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30" windowWidth="19035" windowHeight="12015" tabRatio="815"/>
  </bookViews>
  <sheets>
    <sheet name="CONTROL" sheetId="1" r:id="rId1"/>
    <sheet name="RAP-SOLID FUEL PRICES" sheetId="2" r:id="rId2"/>
    <sheet name="RAP-LIGHT OIL" sheetId="3" r:id="rId3"/>
    <sheet name="RAP-HEAVY OIL&amp;WTI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AVAILABILITY'!$A$12:$T$1157</definedName>
    <definedName name="_xlnm.Print_Area" localSheetId="3">'RAP-HEAVY OIL&amp;WTI'!$A$12:$J$1156</definedName>
    <definedName name="_xlnm.Print_Area" localSheetId="2">'RAP-LIGHT OIL'!$A$12:$K$1157</definedName>
    <definedName name="_xlnm.Print_Area" localSheetId="4">'RAP-NATURAL GAS PRICES'!$A$13:$AC$1158</definedName>
    <definedName name="_xlnm.Print_Area" localSheetId="1">'RAP-SOLID FUEL PRICES'!$A$14:$O$1158</definedName>
    <definedName name="_xlnm.Print_Titles" localSheetId="5">'RAP TEMPLATE-GAS AVAILABILITY'!$1:$11</definedName>
    <definedName name="_xlnm.Print_Titles" localSheetId="3">'RAP-HEAVY OIL&amp;WTI'!$1:$11</definedName>
    <definedName name="_xlnm.Print_Titles" localSheetId="2">'RAP-LIGHT OIL'!$1:$11</definedName>
    <definedName name="_xlnm.Print_Titles" localSheetId="4">'RAP-NATURAL GAS PRICES'!$1:$12</definedName>
    <definedName name="_xlnm.Print_Titles" localSheetId="1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18" i="6" l="1"/>
  <c r="D18" i="6"/>
  <c r="E18" i="6"/>
  <c r="F18" i="6"/>
  <c r="L18" i="6"/>
  <c r="N18" i="6"/>
  <c r="P18" i="6"/>
  <c r="R18" i="6"/>
  <c r="Q18" i="6" s="1"/>
  <c r="S18" i="6" s="1"/>
  <c r="T18" i="6"/>
  <c r="C19" i="6"/>
  <c r="D19" i="6"/>
  <c r="E19" i="6"/>
  <c r="F19" i="6"/>
  <c r="L19" i="6"/>
  <c r="N19" i="6"/>
  <c r="P19" i="6"/>
  <c r="R19" i="6"/>
  <c r="Q19" i="6" s="1"/>
  <c r="S19" i="6" s="1"/>
  <c r="T19" i="6"/>
  <c r="C20" i="6"/>
  <c r="D20" i="6"/>
  <c r="E20" i="6"/>
  <c r="F20" i="6"/>
  <c r="L20" i="6"/>
  <c r="N20" i="6"/>
  <c r="P20" i="6"/>
  <c r="R20" i="6"/>
  <c r="Q20" i="6" s="1"/>
  <c r="T20" i="6"/>
  <c r="C21" i="6"/>
  <c r="D21" i="6"/>
  <c r="E21" i="6"/>
  <c r="F21" i="6"/>
  <c r="L21" i="6"/>
  <c r="N21" i="6"/>
  <c r="P21" i="6"/>
  <c r="R21" i="6"/>
  <c r="Q21" i="6" s="1"/>
  <c r="S21" i="6" s="1"/>
  <c r="T21" i="6"/>
  <c r="C22" i="6"/>
  <c r="D22" i="6"/>
  <c r="E22" i="6"/>
  <c r="F22" i="6"/>
  <c r="L22" i="6" s="1"/>
  <c r="N22" i="6"/>
  <c r="R22" i="6"/>
  <c r="Q22" i="6" s="1"/>
  <c r="S22" i="6" s="1"/>
  <c r="T22" i="6"/>
  <c r="C23" i="6"/>
  <c r="D23" i="6"/>
  <c r="E23" i="6"/>
  <c r="F23" i="6"/>
  <c r="L23" i="6"/>
  <c r="N23" i="6"/>
  <c r="Q23" i="6"/>
  <c r="R23" i="6"/>
  <c r="S23" i="6"/>
  <c r="T23" i="6"/>
  <c r="C24" i="6"/>
  <c r="D24" i="6"/>
  <c r="E24" i="6"/>
  <c r="F24" i="6"/>
  <c r="L24" i="6"/>
  <c r="N24" i="6"/>
  <c r="Q24" i="6"/>
  <c r="R24" i="6"/>
  <c r="S24" i="6"/>
  <c r="T24" i="6"/>
  <c r="C25" i="6"/>
  <c r="D25" i="6"/>
  <c r="E25" i="6"/>
  <c r="F25" i="6"/>
  <c r="L25" i="6"/>
  <c r="N25" i="6"/>
  <c r="Q25" i="6"/>
  <c r="R25" i="6"/>
  <c r="S25" i="6"/>
  <c r="T25" i="6"/>
  <c r="C26" i="6"/>
  <c r="D26" i="6"/>
  <c r="E26" i="6"/>
  <c r="F26" i="6"/>
  <c r="L26" i="6"/>
  <c r="N26" i="6"/>
  <c r="Q26" i="6"/>
  <c r="R26" i="6"/>
  <c r="S26" i="6"/>
  <c r="T26" i="6"/>
  <c r="C27" i="6"/>
  <c r="D27" i="6"/>
  <c r="E27" i="6"/>
  <c r="F27" i="6"/>
  <c r="L27" i="6"/>
  <c r="N27" i="6"/>
  <c r="P27" i="6"/>
  <c r="R27" i="6"/>
  <c r="Q27" i="6" s="1"/>
  <c r="T27" i="6"/>
  <c r="C28" i="6"/>
  <c r="D28" i="6"/>
  <c r="L28" i="6" s="1"/>
  <c r="E28" i="6"/>
  <c r="F28" i="6"/>
  <c r="N28" i="6"/>
  <c r="P28" i="6"/>
  <c r="Q28" i="6"/>
  <c r="R28" i="6"/>
  <c r="S28" i="6"/>
  <c r="T28" i="6"/>
  <c r="C29" i="6"/>
  <c r="D29" i="6"/>
  <c r="E29" i="6"/>
  <c r="F29" i="6"/>
  <c r="L29" i="6"/>
  <c r="N29" i="6"/>
  <c r="P29" i="6"/>
  <c r="S29" i="6" s="1"/>
  <c r="R29" i="6"/>
  <c r="Q29" i="6" s="1"/>
  <c r="T29" i="6"/>
  <c r="C30" i="6"/>
  <c r="D30" i="6"/>
  <c r="L30" i="6" s="1"/>
  <c r="E30" i="6"/>
  <c r="F30" i="6"/>
  <c r="N30" i="6"/>
  <c r="P30" i="6"/>
  <c r="Q30" i="6"/>
  <c r="R30" i="6"/>
  <c r="S30" i="6"/>
  <c r="T30" i="6"/>
  <c r="C31" i="6"/>
  <c r="D31" i="6"/>
  <c r="E31" i="6"/>
  <c r="F31" i="6"/>
  <c r="L31" i="6"/>
  <c r="N31" i="6"/>
  <c r="P31" i="6"/>
  <c r="R31" i="6"/>
  <c r="Q31" i="6" s="1"/>
  <c r="T31" i="6"/>
  <c r="C32" i="6"/>
  <c r="D32" i="6"/>
  <c r="L32" i="6" s="1"/>
  <c r="E32" i="6"/>
  <c r="F32" i="6"/>
  <c r="N32" i="6"/>
  <c r="P32" i="6"/>
  <c r="Q32" i="6"/>
  <c r="R32" i="6"/>
  <c r="S32" i="6"/>
  <c r="T32" i="6"/>
  <c r="C33" i="6"/>
  <c r="D33" i="6"/>
  <c r="E33" i="6"/>
  <c r="F33" i="6"/>
  <c r="L33" i="6"/>
  <c r="N33" i="6"/>
  <c r="P33" i="6"/>
  <c r="S33" i="6" s="1"/>
  <c r="R33" i="6"/>
  <c r="Q33" i="6" s="1"/>
  <c r="T33" i="6"/>
  <c r="C34" i="6"/>
  <c r="D34" i="6"/>
  <c r="L34" i="6" s="1"/>
  <c r="E34" i="6"/>
  <c r="F34" i="6"/>
  <c r="N34" i="6"/>
  <c r="R34" i="6"/>
  <c r="Q34" i="6" s="1"/>
  <c r="S34" i="6" s="1"/>
  <c r="T34" i="6"/>
  <c r="C35" i="6"/>
  <c r="D35" i="6"/>
  <c r="L35" i="6" s="1"/>
  <c r="E35" i="6"/>
  <c r="F35" i="6"/>
  <c r="N35" i="6"/>
  <c r="R35" i="6"/>
  <c r="Q35" i="6" s="1"/>
  <c r="S35" i="6" s="1"/>
  <c r="T35" i="6"/>
  <c r="C36" i="6"/>
  <c r="D36" i="6"/>
  <c r="L36" i="6" s="1"/>
  <c r="E36" i="6"/>
  <c r="F36" i="6"/>
  <c r="N36" i="6"/>
  <c r="R36" i="6"/>
  <c r="Q36" i="6" s="1"/>
  <c r="S36" i="6" s="1"/>
  <c r="T36" i="6"/>
  <c r="C37" i="6"/>
  <c r="D37" i="6"/>
  <c r="E37" i="6"/>
  <c r="F37" i="6"/>
  <c r="L37" i="6" s="1"/>
  <c r="N37" i="6"/>
  <c r="R37" i="6"/>
  <c r="Q37" i="6" s="1"/>
  <c r="S37" i="6" s="1"/>
  <c r="T37" i="6"/>
  <c r="C38" i="6"/>
  <c r="D38" i="6"/>
  <c r="E38" i="6"/>
  <c r="F38" i="6"/>
  <c r="L38" i="6"/>
  <c r="N38" i="6"/>
  <c r="Q38" i="6"/>
  <c r="R38" i="6"/>
  <c r="S38" i="6"/>
  <c r="T38" i="6"/>
  <c r="C39" i="6"/>
  <c r="L39" i="6" s="1"/>
  <c r="D39" i="6"/>
  <c r="E39" i="6"/>
  <c r="F39" i="6"/>
  <c r="H39" i="6"/>
  <c r="N39" i="6"/>
  <c r="P39" i="6"/>
  <c r="Q39" i="6"/>
  <c r="R39" i="6"/>
  <c r="S39" i="6"/>
  <c r="T39" i="6"/>
  <c r="C40" i="6"/>
  <c r="L40" i="6" s="1"/>
  <c r="D40" i="6"/>
  <c r="E40" i="6"/>
  <c r="F40" i="6"/>
  <c r="H40" i="6"/>
  <c r="N40" i="6"/>
  <c r="P40" i="6"/>
  <c r="Q40" i="6"/>
  <c r="R40" i="6"/>
  <c r="S40" i="6"/>
  <c r="T40" i="6"/>
  <c r="C41" i="6"/>
  <c r="L41" i="6" s="1"/>
  <c r="D41" i="6"/>
  <c r="E41" i="6"/>
  <c r="F41" i="6"/>
  <c r="H41" i="6"/>
  <c r="N41" i="6"/>
  <c r="P41" i="6"/>
  <c r="Q41" i="6"/>
  <c r="R41" i="6"/>
  <c r="S41" i="6"/>
  <c r="T41" i="6"/>
  <c r="C42" i="6"/>
  <c r="L42" i="6" s="1"/>
  <c r="D42" i="6"/>
  <c r="E42" i="6"/>
  <c r="F42" i="6"/>
  <c r="H42" i="6"/>
  <c r="N42" i="6"/>
  <c r="P42" i="6"/>
  <c r="Q42" i="6"/>
  <c r="R42" i="6"/>
  <c r="S42" i="6"/>
  <c r="T42" i="6"/>
  <c r="C43" i="6"/>
  <c r="L43" i="6" s="1"/>
  <c r="D43" i="6"/>
  <c r="E43" i="6"/>
  <c r="F43" i="6"/>
  <c r="H43" i="6"/>
  <c r="N43" i="6"/>
  <c r="P43" i="6"/>
  <c r="Q43" i="6"/>
  <c r="R43" i="6"/>
  <c r="S43" i="6"/>
  <c r="T43" i="6"/>
  <c r="C44" i="6"/>
  <c r="L44" i="6" s="1"/>
  <c r="D44" i="6"/>
  <c r="E44" i="6"/>
  <c r="F44" i="6"/>
  <c r="H44" i="6"/>
  <c r="N44" i="6"/>
  <c r="P44" i="6"/>
  <c r="Q44" i="6"/>
  <c r="R44" i="6"/>
  <c r="S44" i="6"/>
  <c r="T44" i="6"/>
  <c r="C45" i="6"/>
  <c r="L45" i="6" s="1"/>
  <c r="D45" i="6"/>
  <c r="E45" i="6"/>
  <c r="F45" i="6"/>
  <c r="H45" i="6"/>
  <c r="N45" i="6"/>
  <c r="P45" i="6"/>
  <c r="Q45" i="6"/>
  <c r="R45" i="6"/>
  <c r="S45" i="6"/>
  <c r="T45" i="6"/>
  <c r="C46" i="6"/>
  <c r="L46" i="6" s="1"/>
  <c r="D46" i="6"/>
  <c r="E46" i="6"/>
  <c r="F46" i="6"/>
  <c r="H46" i="6"/>
  <c r="N46" i="6"/>
  <c r="R46" i="6"/>
  <c r="Q46" i="6" s="1"/>
  <c r="S46" i="6" s="1"/>
  <c r="T46" i="6"/>
  <c r="C47" i="6"/>
  <c r="D47" i="6"/>
  <c r="E47" i="6"/>
  <c r="F47" i="6"/>
  <c r="H47" i="6"/>
  <c r="L47" i="6"/>
  <c r="N47" i="6"/>
  <c r="Q47" i="6"/>
  <c r="R47" i="6"/>
  <c r="S47" i="6"/>
  <c r="T47" i="6"/>
  <c r="C48" i="6"/>
  <c r="L48" i="6" s="1"/>
  <c r="D48" i="6"/>
  <c r="E48" i="6"/>
  <c r="F48" i="6"/>
  <c r="H48" i="6"/>
  <c r="N48" i="6"/>
  <c r="R48" i="6"/>
  <c r="Q48" i="6" s="1"/>
  <c r="S48" i="6" s="1"/>
  <c r="T48" i="6"/>
  <c r="C49" i="6"/>
  <c r="D49" i="6"/>
  <c r="E49" i="6"/>
  <c r="F49" i="6"/>
  <c r="H49" i="6"/>
  <c r="L49" i="6"/>
  <c r="N49" i="6"/>
  <c r="Q49" i="6"/>
  <c r="R49" i="6"/>
  <c r="S49" i="6"/>
  <c r="T49" i="6"/>
  <c r="C50" i="6"/>
  <c r="L50" i="6" s="1"/>
  <c r="D50" i="6"/>
  <c r="E50" i="6"/>
  <c r="F50" i="6"/>
  <c r="H50" i="6"/>
  <c r="N50" i="6"/>
  <c r="R50" i="6"/>
  <c r="Q50" i="6" s="1"/>
  <c r="S50" i="6" s="1"/>
  <c r="T50" i="6"/>
  <c r="C51" i="6"/>
  <c r="D51" i="6"/>
  <c r="E51" i="6"/>
  <c r="F51" i="6"/>
  <c r="H51" i="6"/>
  <c r="L51" i="6"/>
  <c r="N51" i="6"/>
  <c r="Q51" i="6"/>
  <c r="R51" i="6"/>
  <c r="S51" i="6"/>
  <c r="T51" i="6"/>
  <c r="C52" i="6"/>
  <c r="D52" i="6"/>
  <c r="E52" i="6"/>
  <c r="F52" i="6"/>
  <c r="H52" i="6"/>
  <c r="I52" i="6"/>
  <c r="L52" i="6"/>
  <c r="N52" i="6"/>
  <c r="Q52" i="6"/>
  <c r="R52" i="6"/>
  <c r="S52" i="6"/>
  <c r="T52" i="6"/>
  <c r="C53" i="6"/>
  <c r="D53" i="6"/>
  <c r="E53" i="6"/>
  <c r="F53" i="6"/>
  <c r="H53" i="6"/>
  <c r="I53" i="6"/>
  <c r="L53" i="6"/>
  <c r="N53" i="6"/>
  <c r="Q53" i="6"/>
  <c r="R53" i="6"/>
  <c r="S53" i="6"/>
  <c r="T53" i="6"/>
  <c r="C54" i="6"/>
  <c r="D54" i="6"/>
  <c r="E54" i="6"/>
  <c r="F54" i="6"/>
  <c r="H54" i="6"/>
  <c r="I54" i="6"/>
  <c r="L54" i="6"/>
  <c r="N54" i="6"/>
  <c r="Q54" i="6"/>
  <c r="R54" i="6"/>
  <c r="S54" i="6"/>
  <c r="T54" i="6"/>
  <c r="C55" i="6"/>
  <c r="D55" i="6"/>
  <c r="E55" i="6"/>
  <c r="F55" i="6"/>
  <c r="H55" i="6"/>
  <c r="I55" i="6"/>
  <c r="L55" i="6"/>
  <c r="N55" i="6"/>
  <c r="Q55" i="6"/>
  <c r="R55" i="6"/>
  <c r="S55" i="6"/>
  <c r="T55" i="6"/>
  <c r="C56" i="6"/>
  <c r="D56" i="6"/>
  <c r="E56" i="6"/>
  <c r="F56" i="6"/>
  <c r="H56" i="6"/>
  <c r="I56" i="6"/>
  <c r="L56" i="6"/>
  <c r="N56" i="6"/>
  <c r="Q56" i="6"/>
  <c r="R56" i="6"/>
  <c r="S56" i="6"/>
  <c r="T56" i="6"/>
  <c r="C57" i="6"/>
  <c r="D57" i="6"/>
  <c r="E57" i="6"/>
  <c r="F57" i="6"/>
  <c r="H57" i="6"/>
  <c r="I57" i="6"/>
  <c r="L57" i="6"/>
  <c r="N57" i="6"/>
  <c r="Q57" i="6"/>
  <c r="R57" i="6"/>
  <c r="S57" i="6"/>
  <c r="T57" i="6"/>
  <c r="C58" i="6"/>
  <c r="D58" i="6"/>
  <c r="E58" i="6"/>
  <c r="F58" i="6"/>
  <c r="H58" i="6"/>
  <c r="I58" i="6"/>
  <c r="L58" i="6"/>
  <c r="N58" i="6"/>
  <c r="Q58" i="6"/>
  <c r="R58" i="6"/>
  <c r="S58" i="6"/>
  <c r="T58" i="6"/>
  <c r="C59" i="6"/>
  <c r="D59" i="6"/>
  <c r="E59" i="6"/>
  <c r="F59" i="6"/>
  <c r="H59" i="6"/>
  <c r="I59" i="6"/>
  <c r="L59" i="6"/>
  <c r="N59" i="6"/>
  <c r="Q59" i="6"/>
  <c r="R59" i="6"/>
  <c r="S59" i="6"/>
  <c r="T59" i="6"/>
  <c r="C60" i="6"/>
  <c r="D60" i="6"/>
  <c r="E60" i="6"/>
  <c r="F60" i="6"/>
  <c r="H60" i="6"/>
  <c r="I60" i="6"/>
  <c r="L60" i="6"/>
  <c r="N60" i="6"/>
  <c r="Q60" i="6"/>
  <c r="R60" i="6"/>
  <c r="S60" i="6"/>
  <c r="T60" i="6"/>
  <c r="C61" i="6"/>
  <c r="D61" i="6"/>
  <c r="E61" i="6"/>
  <c r="F61" i="6"/>
  <c r="H61" i="6"/>
  <c r="I61" i="6"/>
  <c r="L61" i="6"/>
  <c r="N61" i="6"/>
  <c r="Q61" i="6"/>
  <c r="R61" i="6"/>
  <c r="S61" i="6"/>
  <c r="T61" i="6"/>
  <c r="C62" i="6"/>
  <c r="D62" i="6"/>
  <c r="E62" i="6"/>
  <c r="F62" i="6"/>
  <c r="H62" i="6"/>
  <c r="I62" i="6"/>
  <c r="L62" i="6"/>
  <c r="N62" i="6"/>
  <c r="Q62" i="6"/>
  <c r="R62" i="6"/>
  <c r="S62" i="6"/>
  <c r="T62" i="6"/>
  <c r="C63" i="6"/>
  <c r="D63" i="6"/>
  <c r="E63" i="6"/>
  <c r="F63" i="6"/>
  <c r="H63" i="6"/>
  <c r="I63" i="6"/>
  <c r="L63" i="6"/>
  <c r="N63" i="6"/>
  <c r="Q63" i="6"/>
  <c r="R63" i="6"/>
  <c r="S63" i="6"/>
  <c r="T63" i="6"/>
  <c r="C64" i="6"/>
  <c r="D64" i="6"/>
  <c r="E64" i="6"/>
  <c r="F64" i="6"/>
  <c r="H64" i="6"/>
  <c r="I64" i="6"/>
  <c r="L64" i="6"/>
  <c r="N64" i="6"/>
  <c r="Q64" i="6"/>
  <c r="R64" i="6"/>
  <c r="S64" i="6"/>
  <c r="T64" i="6"/>
  <c r="C65" i="6"/>
  <c r="D65" i="6"/>
  <c r="E65" i="6"/>
  <c r="F65" i="6"/>
  <c r="H65" i="6"/>
  <c r="I65" i="6"/>
  <c r="L65" i="6"/>
  <c r="N65" i="6"/>
  <c r="Q65" i="6"/>
  <c r="R65" i="6"/>
  <c r="S65" i="6"/>
  <c r="T65" i="6"/>
  <c r="C66" i="6"/>
  <c r="D66" i="6"/>
  <c r="E66" i="6"/>
  <c r="F66" i="6"/>
  <c r="H66" i="6"/>
  <c r="I66" i="6"/>
  <c r="L66" i="6"/>
  <c r="N66" i="6"/>
  <c r="Q66" i="6"/>
  <c r="R66" i="6"/>
  <c r="S66" i="6"/>
  <c r="T66" i="6"/>
  <c r="C67" i="6"/>
  <c r="D67" i="6"/>
  <c r="E67" i="6"/>
  <c r="F67" i="6"/>
  <c r="H67" i="6"/>
  <c r="I67" i="6"/>
  <c r="L67" i="6"/>
  <c r="N67" i="6"/>
  <c r="Q67" i="6"/>
  <c r="R67" i="6"/>
  <c r="S67" i="6"/>
  <c r="T67" i="6"/>
  <c r="C68" i="6"/>
  <c r="D68" i="6"/>
  <c r="E68" i="6"/>
  <c r="F68" i="6"/>
  <c r="H68" i="6"/>
  <c r="I68" i="6"/>
  <c r="L68" i="6"/>
  <c r="N68" i="6"/>
  <c r="Q68" i="6"/>
  <c r="R68" i="6"/>
  <c r="S68" i="6"/>
  <c r="T68" i="6"/>
  <c r="C69" i="6"/>
  <c r="D69" i="6"/>
  <c r="E69" i="6"/>
  <c r="F69" i="6"/>
  <c r="H69" i="6"/>
  <c r="I69" i="6"/>
  <c r="L69" i="6"/>
  <c r="N69" i="6"/>
  <c r="Q69" i="6"/>
  <c r="R69" i="6"/>
  <c r="S69" i="6"/>
  <c r="T69" i="6"/>
  <c r="C70" i="6"/>
  <c r="D70" i="6"/>
  <c r="E70" i="6"/>
  <c r="F70" i="6"/>
  <c r="H70" i="6"/>
  <c r="I70" i="6"/>
  <c r="L70" i="6"/>
  <c r="N70" i="6"/>
  <c r="Q70" i="6"/>
  <c r="R70" i="6"/>
  <c r="S70" i="6"/>
  <c r="T70" i="6"/>
  <c r="C71" i="6"/>
  <c r="D71" i="6"/>
  <c r="E71" i="6"/>
  <c r="F71" i="6"/>
  <c r="H71" i="6"/>
  <c r="I71" i="6"/>
  <c r="L71" i="6"/>
  <c r="N71" i="6"/>
  <c r="Q71" i="6"/>
  <c r="R71" i="6"/>
  <c r="S71" i="6"/>
  <c r="T71" i="6"/>
  <c r="C72" i="6"/>
  <c r="D72" i="6"/>
  <c r="E72" i="6"/>
  <c r="F72" i="6"/>
  <c r="H72" i="6"/>
  <c r="I72" i="6"/>
  <c r="L72" i="6"/>
  <c r="N72" i="6"/>
  <c r="Q72" i="6"/>
  <c r="R72" i="6"/>
  <c r="S72" i="6"/>
  <c r="T72" i="6"/>
  <c r="C73" i="6"/>
  <c r="D73" i="6"/>
  <c r="E73" i="6"/>
  <c r="F73" i="6"/>
  <c r="H73" i="6"/>
  <c r="I73" i="6"/>
  <c r="L73" i="6"/>
  <c r="N73" i="6"/>
  <c r="Q73" i="6"/>
  <c r="R73" i="6"/>
  <c r="S73" i="6"/>
  <c r="T73" i="6"/>
  <c r="C74" i="6"/>
  <c r="D74" i="6"/>
  <c r="E74" i="6"/>
  <c r="F74" i="6"/>
  <c r="H74" i="6"/>
  <c r="I74" i="6"/>
  <c r="L74" i="6"/>
  <c r="N74" i="6"/>
  <c r="Q74" i="6"/>
  <c r="R74" i="6"/>
  <c r="S74" i="6"/>
  <c r="T74" i="6"/>
  <c r="C75" i="6"/>
  <c r="D75" i="6"/>
  <c r="E75" i="6"/>
  <c r="F75" i="6"/>
  <c r="H75" i="6"/>
  <c r="I75" i="6"/>
  <c r="L75" i="6"/>
  <c r="N75" i="6"/>
  <c r="Q75" i="6"/>
  <c r="R75" i="6"/>
  <c r="S75" i="6"/>
  <c r="T75" i="6"/>
  <c r="C76" i="6"/>
  <c r="D76" i="6"/>
  <c r="E76" i="6"/>
  <c r="F76" i="6"/>
  <c r="H76" i="6"/>
  <c r="I76" i="6"/>
  <c r="L76" i="6"/>
  <c r="N76" i="6"/>
  <c r="Q76" i="6"/>
  <c r="R76" i="6"/>
  <c r="S76" i="6"/>
  <c r="T76" i="6"/>
  <c r="C77" i="6"/>
  <c r="D77" i="6"/>
  <c r="E77" i="6"/>
  <c r="F77" i="6"/>
  <c r="H77" i="6"/>
  <c r="I77" i="6"/>
  <c r="L77" i="6"/>
  <c r="N77" i="6"/>
  <c r="Q77" i="6"/>
  <c r="R77" i="6"/>
  <c r="S77" i="6"/>
  <c r="T77" i="6"/>
  <c r="C78" i="6"/>
  <c r="D78" i="6"/>
  <c r="E78" i="6"/>
  <c r="F78" i="6"/>
  <c r="H78" i="6"/>
  <c r="I78" i="6"/>
  <c r="L78" i="6"/>
  <c r="N78" i="6"/>
  <c r="Q78" i="6"/>
  <c r="R78" i="6"/>
  <c r="S78" i="6"/>
  <c r="T78" i="6"/>
  <c r="C79" i="6"/>
  <c r="D79" i="6"/>
  <c r="E79" i="6"/>
  <c r="F79" i="6"/>
  <c r="H79" i="6"/>
  <c r="I79" i="6"/>
  <c r="L79" i="6"/>
  <c r="N79" i="6"/>
  <c r="Q79" i="6"/>
  <c r="R79" i="6"/>
  <c r="S79" i="6"/>
  <c r="T79" i="6"/>
  <c r="C80" i="6"/>
  <c r="D80" i="6"/>
  <c r="E80" i="6"/>
  <c r="F80" i="6"/>
  <c r="H80" i="6"/>
  <c r="I80" i="6"/>
  <c r="L80" i="6"/>
  <c r="N80" i="6"/>
  <c r="Q80" i="6"/>
  <c r="R80" i="6"/>
  <c r="S80" i="6"/>
  <c r="T80" i="6"/>
  <c r="C81" i="6"/>
  <c r="D81" i="6"/>
  <c r="E81" i="6"/>
  <c r="F81" i="6"/>
  <c r="H81" i="6"/>
  <c r="I81" i="6"/>
  <c r="L81" i="6"/>
  <c r="N81" i="6"/>
  <c r="Q81" i="6"/>
  <c r="R81" i="6"/>
  <c r="S81" i="6"/>
  <c r="T81" i="6"/>
  <c r="C82" i="6"/>
  <c r="D82" i="6"/>
  <c r="E82" i="6"/>
  <c r="F82" i="6"/>
  <c r="H82" i="6"/>
  <c r="I82" i="6"/>
  <c r="L82" i="6"/>
  <c r="N82" i="6"/>
  <c r="Q82" i="6"/>
  <c r="R82" i="6"/>
  <c r="S82" i="6"/>
  <c r="T82" i="6"/>
  <c r="C83" i="6"/>
  <c r="D83" i="6"/>
  <c r="E83" i="6"/>
  <c r="F83" i="6"/>
  <c r="H83" i="6"/>
  <c r="I83" i="6"/>
  <c r="L83" i="6"/>
  <c r="N83" i="6"/>
  <c r="Q83" i="6"/>
  <c r="R83" i="6"/>
  <c r="S83" i="6"/>
  <c r="T83" i="6"/>
  <c r="C84" i="6"/>
  <c r="D84" i="6"/>
  <c r="E84" i="6"/>
  <c r="F84" i="6"/>
  <c r="H84" i="6"/>
  <c r="I84" i="6"/>
  <c r="L84" i="6"/>
  <c r="N84" i="6"/>
  <c r="Q84" i="6"/>
  <c r="R84" i="6"/>
  <c r="S84" i="6"/>
  <c r="T84" i="6"/>
  <c r="C85" i="6"/>
  <c r="D85" i="6"/>
  <c r="E85" i="6"/>
  <c r="F85" i="6"/>
  <c r="H85" i="6"/>
  <c r="I85" i="6"/>
  <c r="L85" i="6"/>
  <c r="N85" i="6"/>
  <c r="Q85" i="6"/>
  <c r="R85" i="6"/>
  <c r="S85" i="6"/>
  <c r="T85" i="6"/>
  <c r="C86" i="6"/>
  <c r="D86" i="6"/>
  <c r="E86" i="6"/>
  <c r="F86" i="6"/>
  <c r="H86" i="6"/>
  <c r="I86" i="6"/>
  <c r="L86" i="6"/>
  <c r="N86" i="6"/>
  <c r="Q86" i="6"/>
  <c r="R86" i="6"/>
  <c r="S86" i="6"/>
  <c r="T86" i="6"/>
  <c r="C87" i="6"/>
  <c r="D87" i="6"/>
  <c r="E87" i="6"/>
  <c r="F87" i="6"/>
  <c r="H87" i="6"/>
  <c r="I87" i="6"/>
  <c r="L87" i="6"/>
  <c r="N87" i="6"/>
  <c r="Q87" i="6"/>
  <c r="R87" i="6"/>
  <c r="S87" i="6"/>
  <c r="T87" i="6"/>
  <c r="C88" i="6"/>
  <c r="D88" i="6"/>
  <c r="E88" i="6"/>
  <c r="F88" i="6"/>
  <c r="H88" i="6"/>
  <c r="I88" i="6"/>
  <c r="L88" i="6"/>
  <c r="N88" i="6"/>
  <c r="Q88" i="6"/>
  <c r="R88" i="6"/>
  <c r="S88" i="6"/>
  <c r="T88" i="6"/>
  <c r="C89" i="6"/>
  <c r="D89" i="6"/>
  <c r="E89" i="6"/>
  <c r="F89" i="6"/>
  <c r="H89" i="6"/>
  <c r="I89" i="6"/>
  <c r="L89" i="6"/>
  <c r="N89" i="6"/>
  <c r="Q89" i="6"/>
  <c r="R89" i="6"/>
  <c r="S89" i="6"/>
  <c r="T89" i="6"/>
  <c r="C90" i="6"/>
  <c r="D90" i="6"/>
  <c r="E90" i="6"/>
  <c r="F90" i="6"/>
  <c r="H90" i="6"/>
  <c r="I90" i="6"/>
  <c r="L90" i="6"/>
  <c r="N90" i="6"/>
  <c r="Q90" i="6"/>
  <c r="R90" i="6"/>
  <c r="S90" i="6"/>
  <c r="T90" i="6"/>
  <c r="C91" i="6"/>
  <c r="D91" i="6"/>
  <c r="E91" i="6"/>
  <c r="F91" i="6"/>
  <c r="H91" i="6"/>
  <c r="I91" i="6"/>
  <c r="L91" i="6"/>
  <c r="N91" i="6"/>
  <c r="Q91" i="6"/>
  <c r="R91" i="6"/>
  <c r="S91" i="6"/>
  <c r="T91" i="6"/>
  <c r="C92" i="6"/>
  <c r="D92" i="6"/>
  <c r="E92" i="6"/>
  <c r="F92" i="6"/>
  <c r="H92" i="6"/>
  <c r="I92" i="6"/>
  <c r="L92" i="6"/>
  <c r="N92" i="6"/>
  <c r="Q92" i="6"/>
  <c r="R92" i="6"/>
  <c r="S92" i="6"/>
  <c r="T92" i="6"/>
  <c r="C93" i="6"/>
  <c r="D93" i="6"/>
  <c r="E93" i="6"/>
  <c r="F93" i="6"/>
  <c r="H93" i="6"/>
  <c r="I93" i="6"/>
  <c r="L93" i="6"/>
  <c r="N93" i="6"/>
  <c r="Q93" i="6"/>
  <c r="R93" i="6"/>
  <c r="S93" i="6"/>
  <c r="T93" i="6"/>
  <c r="C94" i="6"/>
  <c r="D94" i="6"/>
  <c r="E94" i="6"/>
  <c r="F94" i="6"/>
  <c r="H94" i="6"/>
  <c r="I94" i="6"/>
  <c r="L94" i="6"/>
  <c r="N94" i="6"/>
  <c r="Q94" i="6"/>
  <c r="R94" i="6"/>
  <c r="S94" i="6"/>
  <c r="T94" i="6"/>
  <c r="C95" i="6"/>
  <c r="D95" i="6"/>
  <c r="E95" i="6"/>
  <c r="F95" i="6"/>
  <c r="H95" i="6"/>
  <c r="I95" i="6"/>
  <c r="L95" i="6"/>
  <c r="N95" i="6"/>
  <c r="Q95" i="6"/>
  <c r="R95" i="6"/>
  <c r="S95" i="6"/>
  <c r="T95" i="6"/>
  <c r="C96" i="6"/>
  <c r="D96" i="6"/>
  <c r="E96" i="6"/>
  <c r="F96" i="6"/>
  <c r="H96" i="6"/>
  <c r="I96" i="6"/>
  <c r="L96" i="6"/>
  <c r="N96" i="6"/>
  <c r="Q96" i="6"/>
  <c r="R96" i="6"/>
  <c r="S96" i="6"/>
  <c r="T96" i="6"/>
  <c r="C97" i="6"/>
  <c r="D97" i="6"/>
  <c r="E97" i="6"/>
  <c r="F97" i="6"/>
  <c r="H97" i="6"/>
  <c r="I97" i="6"/>
  <c r="L97" i="6"/>
  <c r="N97" i="6"/>
  <c r="Q97" i="6"/>
  <c r="R97" i="6"/>
  <c r="S97" i="6"/>
  <c r="T97" i="6"/>
  <c r="C98" i="6"/>
  <c r="D98" i="6"/>
  <c r="E98" i="6"/>
  <c r="F98" i="6"/>
  <c r="H98" i="6"/>
  <c r="I98" i="6"/>
  <c r="L98" i="6"/>
  <c r="N98" i="6"/>
  <c r="Q98" i="6"/>
  <c r="R98" i="6"/>
  <c r="S98" i="6"/>
  <c r="T98" i="6"/>
  <c r="C99" i="6"/>
  <c r="D99" i="6"/>
  <c r="E99" i="6"/>
  <c r="F99" i="6"/>
  <c r="H99" i="6"/>
  <c r="I99" i="6"/>
  <c r="L99" i="6"/>
  <c r="N99" i="6"/>
  <c r="Q99" i="6"/>
  <c r="R99" i="6"/>
  <c r="S99" i="6"/>
  <c r="T99" i="6"/>
  <c r="C100" i="6"/>
  <c r="D100" i="6"/>
  <c r="E100" i="6"/>
  <c r="F100" i="6"/>
  <c r="H100" i="6"/>
  <c r="I100" i="6"/>
  <c r="L100" i="6"/>
  <c r="N100" i="6"/>
  <c r="Q100" i="6"/>
  <c r="R100" i="6"/>
  <c r="S100" i="6"/>
  <c r="T100" i="6"/>
  <c r="C101" i="6"/>
  <c r="D101" i="6"/>
  <c r="E101" i="6"/>
  <c r="F101" i="6"/>
  <c r="H101" i="6"/>
  <c r="I101" i="6"/>
  <c r="L101" i="6"/>
  <c r="N101" i="6"/>
  <c r="Q101" i="6"/>
  <c r="R101" i="6"/>
  <c r="S101" i="6"/>
  <c r="T101" i="6"/>
  <c r="C102" i="6"/>
  <c r="D102" i="6"/>
  <c r="E102" i="6"/>
  <c r="F102" i="6"/>
  <c r="H102" i="6"/>
  <c r="I102" i="6"/>
  <c r="L102" i="6"/>
  <c r="N102" i="6"/>
  <c r="Q102" i="6"/>
  <c r="R102" i="6"/>
  <c r="S102" i="6"/>
  <c r="T102" i="6"/>
  <c r="C103" i="6"/>
  <c r="D103" i="6"/>
  <c r="E103" i="6"/>
  <c r="F103" i="6"/>
  <c r="H103" i="6"/>
  <c r="I103" i="6"/>
  <c r="L103" i="6"/>
  <c r="N103" i="6"/>
  <c r="Q103" i="6"/>
  <c r="R103" i="6"/>
  <c r="S103" i="6"/>
  <c r="T103" i="6"/>
  <c r="C104" i="6"/>
  <c r="D104" i="6"/>
  <c r="E104" i="6"/>
  <c r="F104" i="6"/>
  <c r="H104" i="6"/>
  <c r="I104" i="6"/>
  <c r="L104" i="6"/>
  <c r="N104" i="6"/>
  <c r="Q104" i="6"/>
  <c r="R104" i="6"/>
  <c r="S104" i="6"/>
  <c r="T104" i="6"/>
  <c r="C105" i="6"/>
  <c r="D105" i="6"/>
  <c r="E105" i="6"/>
  <c r="F105" i="6"/>
  <c r="H105" i="6"/>
  <c r="I105" i="6"/>
  <c r="L105" i="6"/>
  <c r="N105" i="6"/>
  <c r="Q105" i="6"/>
  <c r="R105" i="6"/>
  <c r="S105" i="6"/>
  <c r="T105" i="6"/>
  <c r="C106" i="6"/>
  <c r="D106" i="6"/>
  <c r="E106" i="6"/>
  <c r="F106" i="6"/>
  <c r="H106" i="6"/>
  <c r="I106" i="6"/>
  <c r="L106" i="6"/>
  <c r="N106" i="6"/>
  <c r="Q106" i="6"/>
  <c r="R106" i="6"/>
  <c r="S106" i="6"/>
  <c r="T106" i="6"/>
  <c r="C107" i="6"/>
  <c r="D107" i="6"/>
  <c r="E107" i="6"/>
  <c r="F107" i="6"/>
  <c r="H107" i="6"/>
  <c r="I107" i="6"/>
  <c r="L107" i="6"/>
  <c r="N107" i="6"/>
  <c r="Q107" i="6"/>
  <c r="R107" i="6"/>
  <c r="S107" i="6"/>
  <c r="T107" i="6"/>
  <c r="C108" i="6"/>
  <c r="D108" i="6"/>
  <c r="E108" i="6"/>
  <c r="F108" i="6"/>
  <c r="H108" i="6"/>
  <c r="I108" i="6"/>
  <c r="L108" i="6"/>
  <c r="N108" i="6"/>
  <c r="Q108" i="6"/>
  <c r="R108" i="6"/>
  <c r="S108" i="6"/>
  <c r="T108" i="6"/>
  <c r="C109" i="6"/>
  <c r="D109" i="6"/>
  <c r="E109" i="6"/>
  <c r="F109" i="6"/>
  <c r="H109" i="6"/>
  <c r="I109" i="6"/>
  <c r="L109" i="6"/>
  <c r="N109" i="6"/>
  <c r="Q109" i="6"/>
  <c r="R109" i="6"/>
  <c r="S109" i="6"/>
  <c r="T109" i="6"/>
  <c r="C110" i="6"/>
  <c r="D110" i="6"/>
  <c r="E110" i="6"/>
  <c r="F110" i="6"/>
  <c r="H110" i="6"/>
  <c r="I110" i="6"/>
  <c r="L110" i="6"/>
  <c r="N110" i="6"/>
  <c r="Q110" i="6"/>
  <c r="R110" i="6"/>
  <c r="S110" i="6"/>
  <c r="T110" i="6"/>
  <c r="C111" i="6"/>
  <c r="D111" i="6"/>
  <c r="E111" i="6"/>
  <c r="F111" i="6"/>
  <c r="H111" i="6"/>
  <c r="I111" i="6"/>
  <c r="L111" i="6"/>
  <c r="N111" i="6"/>
  <c r="Q111" i="6"/>
  <c r="R111" i="6"/>
  <c r="S111" i="6"/>
  <c r="T111" i="6"/>
  <c r="C112" i="6"/>
  <c r="D112" i="6"/>
  <c r="E112" i="6"/>
  <c r="F112" i="6"/>
  <c r="H112" i="6"/>
  <c r="I112" i="6"/>
  <c r="L112" i="6"/>
  <c r="N112" i="6"/>
  <c r="Q112" i="6"/>
  <c r="R112" i="6"/>
  <c r="S112" i="6"/>
  <c r="T112" i="6"/>
  <c r="C113" i="6"/>
  <c r="D113" i="6"/>
  <c r="E113" i="6"/>
  <c r="F113" i="6"/>
  <c r="H113" i="6"/>
  <c r="I113" i="6"/>
  <c r="L113" i="6"/>
  <c r="N113" i="6"/>
  <c r="Q113" i="6"/>
  <c r="R113" i="6"/>
  <c r="S113" i="6"/>
  <c r="T113" i="6"/>
  <c r="C114" i="6"/>
  <c r="D114" i="6"/>
  <c r="E114" i="6"/>
  <c r="F114" i="6"/>
  <c r="H114" i="6"/>
  <c r="I114" i="6"/>
  <c r="L114" i="6"/>
  <c r="N114" i="6"/>
  <c r="Q114" i="6"/>
  <c r="R114" i="6"/>
  <c r="S114" i="6"/>
  <c r="T114" i="6"/>
  <c r="C115" i="6"/>
  <c r="D115" i="6"/>
  <c r="E115" i="6"/>
  <c r="F115" i="6"/>
  <c r="H115" i="6"/>
  <c r="I115" i="6"/>
  <c r="L115" i="6"/>
  <c r="N115" i="6"/>
  <c r="Q115" i="6"/>
  <c r="R115" i="6"/>
  <c r="S115" i="6"/>
  <c r="T115" i="6"/>
  <c r="C116" i="6"/>
  <c r="D116" i="6"/>
  <c r="E116" i="6"/>
  <c r="F116" i="6"/>
  <c r="H116" i="6"/>
  <c r="I116" i="6"/>
  <c r="L116" i="6"/>
  <c r="N116" i="6"/>
  <c r="Q116" i="6"/>
  <c r="R116" i="6"/>
  <c r="S116" i="6"/>
  <c r="T116" i="6"/>
  <c r="C117" i="6"/>
  <c r="D117" i="6"/>
  <c r="E117" i="6"/>
  <c r="F117" i="6"/>
  <c r="H117" i="6"/>
  <c r="I117" i="6"/>
  <c r="L117" i="6"/>
  <c r="N117" i="6"/>
  <c r="Q117" i="6"/>
  <c r="R117" i="6"/>
  <c r="S117" i="6"/>
  <c r="T117" i="6"/>
  <c r="C118" i="6"/>
  <c r="D118" i="6"/>
  <c r="E118" i="6"/>
  <c r="F118" i="6"/>
  <c r="H118" i="6"/>
  <c r="I118" i="6"/>
  <c r="L118" i="6"/>
  <c r="N118" i="6"/>
  <c r="Q118" i="6"/>
  <c r="R118" i="6"/>
  <c r="S118" i="6"/>
  <c r="T118" i="6"/>
  <c r="C119" i="6"/>
  <c r="D119" i="6"/>
  <c r="E119" i="6"/>
  <c r="F119" i="6"/>
  <c r="H119" i="6"/>
  <c r="I119" i="6"/>
  <c r="L119" i="6"/>
  <c r="N119" i="6"/>
  <c r="Q119" i="6"/>
  <c r="R119" i="6"/>
  <c r="S119" i="6"/>
  <c r="T119" i="6"/>
  <c r="C120" i="6"/>
  <c r="D120" i="6"/>
  <c r="E120" i="6"/>
  <c r="F120" i="6"/>
  <c r="H120" i="6"/>
  <c r="I120" i="6"/>
  <c r="L120" i="6"/>
  <c r="N120" i="6"/>
  <c r="Q120" i="6"/>
  <c r="R120" i="6"/>
  <c r="S120" i="6"/>
  <c r="T120" i="6"/>
  <c r="C121" i="6"/>
  <c r="D121" i="6"/>
  <c r="E121" i="6"/>
  <c r="F121" i="6"/>
  <c r="H121" i="6"/>
  <c r="I121" i="6"/>
  <c r="L121" i="6"/>
  <c r="N121" i="6"/>
  <c r="Q121" i="6"/>
  <c r="R121" i="6"/>
  <c r="S121" i="6"/>
  <c r="T121" i="6"/>
  <c r="C122" i="6"/>
  <c r="D122" i="6"/>
  <c r="E122" i="6"/>
  <c r="F122" i="6"/>
  <c r="H122" i="6"/>
  <c r="I122" i="6"/>
  <c r="L122" i="6"/>
  <c r="N122" i="6"/>
  <c r="Q122" i="6"/>
  <c r="R122" i="6"/>
  <c r="S122" i="6"/>
  <c r="T122" i="6"/>
  <c r="C123" i="6"/>
  <c r="D123" i="6"/>
  <c r="E123" i="6"/>
  <c r="F123" i="6"/>
  <c r="H123" i="6"/>
  <c r="I123" i="6"/>
  <c r="L123" i="6"/>
  <c r="N123" i="6"/>
  <c r="Q123" i="6"/>
  <c r="R123" i="6"/>
  <c r="S123" i="6"/>
  <c r="T123" i="6"/>
  <c r="C124" i="6"/>
  <c r="D124" i="6"/>
  <c r="E124" i="6"/>
  <c r="F124" i="6"/>
  <c r="H124" i="6"/>
  <c r="I124" i="6"/>
  <c r="L124" i="6"/>
  <c r="N124" i="6"/>
  <c r="Q124" i="6"/>
  <c r="R124" i="6"/>
  <c r="S124" i="6"/>
  <c r="T124" i="6"/>
  <c r="C125" i="6"/>
  <c r="D125" i="6"/>
  <c r="E125" i="6"/>
  <c r="F125" i="6"/>
  <c r="H125" i="6"/>
  <c r="I125" i="6"/>
  <c r="L125" i="6"/>
  <c r="N125" i="6"/>
  <c r="Q125" i="6"/>
  <c r="R125" i="6"/>
  <c r="S125" i="6"/>
  <c r="T125" i="6"/>
  <c r="C126" i="6"/>
  <c r="D126" i="6"/>
  <c r="E126" i="6"/>
  <c r="F126" i="6"/>
  <c r="H126" i="6"/>
  <c r="I126" i="6"/>
  <c r="L126" i="6"/>
  <c r="N126" i="6"/>
  <c r="Q126" i="6"/>
  <c r="R126" i="6"/>
  <c r="S126" i="6"/>
  <c r="T126" i="6"/>
  <c r="C127" i="6"/>
  <c r="D127" i="6"/>
  <c r="E127" i="6"/>
  <c r="F127" i="6"/>
  <c r="H127" i="6"/>
  <c r="I127" i="6"/>
  <c r="L127" i="6"/>
  <c r="N127" i="6"/>
  <c r="Q127" i="6"/>
  <c r="R127" i="6"/>
  <c r="S127" i="6"/>
  <c r="T127" i="6"/>
  <c r="C128" i="6"/>
  <c r="D128" i="6"/>
  <c r="E128" i="6"/>
  <c r="F128" i="6"/>
  <c r="H128" i="6"/>
  <c r="I128" i="6"/>
  <c r="L128" i="6"/>
  <c r="N128" i="6"/>
  <c r="Q128" i="6"/>
  <c r="R128" i="6"/>
  <c r="S128" i="6"/>
  <c r="T128" i="6"/>
  <c r="C129" i="6"/>
  <c r="D129" i="6"/>
  <c r="E129" i="6"/>
  <c r="F129" i="6"/>
  <c r="H129" i="6"/>
  <c r="I129" i="6"/>
  <c r="L129" i="6"/>
  <c r="N129" i="6"/>
  <c r="Q129" i="6"/>
  <c r="R129" i="6"/>
  <c r="S129" i="6"/>
  <c r="T129" i="6"/>
  <c r="C130" i="6"/>
  <c r="D130" i="6"/>
  <c r="E130" i="6"/>
  <c r="F130" i="6"/>
  <c r="H130" i="6"/>
  <c r="I130" i="6"/>
  <c r="L130" i="6"/>
  <c r="N130" i="6"/>
  <c r="Q130" i="6"/>
  <c r="R130" i="6"/>
  <c r="S130" i="6"/>
  <c r="T130" i="6"/>
  <c r="C131" i="6"/>
  <c r="D131" i="6"/>
  <c r="E131" i="6"/>
  <c r="F131" i="6"/>
  <c r="H131" i="6"/>
  <c r="I131" i="6"/>
  <c r="L131" i="6"/>
  <c r="N131" i="6"/>
  <c r="Q131" i="6"/>
  <c r="R131" i="6"/>
  <c r="S131" i="6"/>
  <c r="T131" i="6"/>
  <c r="C132" i="6"/>
  <c r="D132" i="6"/>
  <c r="E132" i="6"/>
  <c r="F132" i="6"/>
  <c r="H132" i="6"/>
  <c r="I132" i="6"/>
  <c r="L132" i="6"/>
  <c r="N132" i="6"/>
  <c r="Q132" i="6"/>
  <c r="R132" i="6"/>
  <c r="S132" i="6"/>
  <c r="T132" i="6"/>
  <c r="C133" i="6"/>
  <c r="D133" i="6"/>
  <c r="E133" i="6"/>
  <c r="F133" i="6"/>
  <c r="H133" i="6"/>
  <c r="I133" i="6"/>
  <c r="L133" i="6"/>
  <c r="N133" i="6"/>
  <c r="Q133" i="6"/>
  <c r="R133" i="6"/>
  <c r="S133" i="6"/>
  <c r="T133" i="6"/>
  <c r="C134" i="6"/>
  <c r="D134" i="6"/>
  <c r="E134" i="6"/>
  <c r="F134" i="6"/>
  <c r="H134" i="6"/>
  <c r="I134" i="6"/>
  <c r="L134" i="6"/>
  <c r="N134" i="6"/>
  <c r="Q134" i="6"/>
  <c r="R134" i="6"/>
  <c r="S134" i="6"/>
  <c r="T134" i="6"/>
  <c r="C135" i="6"/>
  <c r="D135" i="6"/>
  <c r="E135" i="6"/>
  <c r="F135" i="6"/>
  <c r="H135" i="6"/>
  <c r="I135" i="6"/>
  <c r="L135" i="6"/>
  <c r="N135" i="6"/>
  <c r="Q135" i="6"/>
  <c r="R135" i="6"/>
  <c r="S135" i="6"/>
  <c r="T135" i="6"/>
  <c r="C136" i="6"/>
  <c r="D136" i="6"/>
  <c r="E136" i="6"/>
  <c r="F136" i="6"/>
  <c r="H136" i="6"/>
  <c r="I136" i="6"/>
  <c r="L136" i="6"/>
  <c r="N136" i="6"/>
  <c r="Q136" i="6"/>
  <c r="R136" i="6"/>
  <c r="S136" i="6"/>
  <c r="T136" i="6"/>
  <c r="C137" i="6"/>
  <c r="D137" i="6"/>
  <c r="E137" i="6"/>
  <c r="F137" i="6"/>
  <c r="H137" i="6"/>
  <c r="I137" i="6"/>
  <c r="L137" i="6"/>
  <c r="N137" i="6"/>
  <c r="Q137" i="6"/>
  <c r="R137" i="6"/>
  <c r="S137" i="6"/>
  <c r="T137" i="6"/>
  <c r="C138" i="6"/>
  <c r="D138" i="6"/>
  <c r="E138" i="6"/>
  <c r="F138" i="6"/>
  <c r="H138" i="6"/>
  <c r="I138" i="6"/>
  <c r="L138" i="6"/>
  <c r="N138" i="6"/>
  <c r="Q138" i="6"/>
  <c r="R138" i="6"/>
  <c r="S138" i="6"/>
  <c r="T138" i="6"/>
  <c r="C139" i="6"/>
  <c r="D139" i="6"/>
  <c r="E139" i="6"/>
  <c r="F139" i="6"/>
  <c r="H139" i="6"/>
  <c r="I139" i="6"/>
  <c r="L139" i="6"/>
  <c r="N139" i="6"/>
  <c r="Q139" i="6"/>
  <c r="R139" i="6"/>
  <c r="S139" i="6"/>
  <c r="T139" i="6"/>
  <c r="C140" i="6"/>
  <c r="D140" i="6"/>
  <c r="E140" i="6"/>
  <c r="F140" i="6"/>
  <c r="H140" i="6"/>
  <c r="I140" i="6"/>
  <c r="L140" i="6"/>
  <c r="N140" i="6"/>
  <c r="Q140" i="6"/>
  <c r="R140" i="6"/>
  <c r="S140" i="6"/>
  <c r="T140" i="6"/>
  <c r="C141" i="6"/>
  <c r="D141" i="6"/>
  <c r="E141" i="6"/>
  <c r="F141" i="6"/>
  <c r="H141" i="6"/>
  <c r="I141" i="6"/>
  <c r="L141" i="6"/>
  <c r="N141" i="6"/>
  <c r="Q141" i="6"/>
  <c r="R141" i="6"/>
  <c r="S141" i="6"/>
  <c r="T141" i="6"/>
  <c r="C142" i="6"/>
  <c r="D142" i="6"/>
  <c r="E142" i="6"/>
  <c r="F142" i="6"/>
  <c r="H142" i="6"/>
  <c r="I142" i="6"/>
  <c r="L142" i="6"/>
  <c r="N142" i="6"/>
  <c r="Q142" i="6"/>
  <c r="R142" i="6"/>
  <c r="S142" i="6"/>
  <c r="T142" i="6"/>
  <c r="C143" i="6"/>
  <c r="D143" i="6"/>
  <c r="E143" i="6"/>
  <c r="F143" i="6"/>
  <c r="H143" i="6"/>
  <c r="I143" i="6"/>
  <c r="L143" i="6"/>
  <c r="N143" i="6"/>
  <c r="Q143" i="6"/>
  <c r="R143" i="6"/>
  <c r="S143" i="6"/>
  <c r="T143" i="6"/>
  <c r="C144" i="6"/>
  <c r="D144" i="6"/>
  <c r="E144" i="6"/>
  <c r="F144" i="6"/>
  <c r="H144" i="6"/>
  <c r="I144" i="6"/>
  <c r="L144" i="6"/>
  <c r="N144" i="6"/>
  <c r="Q144" i="6"/>
  <c r="R144" i="6"/>
  <c r="S144" i="6"/>
  <c r="T144" i="6"/>
  <c r="C145" i="6"/>
  <c r="D145" i="6"/>
  <c r="E145" i="6"/>
  <c r="F145" i="6"/>
  <c r="H145" i="6"/>
  <c r="I145" i="6"/>
  <c r="L145" i="6"/>
  <c r="N145" i="6"/>
  <c r="Q145" i="6"/>
  <c r="R145" i="6"/>
  <c r="S145" i="6"/>
  <c r="T145" i="6"/>
  <c r="C146" i="6"/>
  <c r="D146" i="6"/>
  <c r="E146" i="6"/>
  <c r="F146" i="6"/>
  <c r="H146" i="6"/>
  <c r="I146" i="6"/>
  <c r="L146" i="6"/>
  <c r="N146" i="6"/>
  <c r="Q146" i="6"/>
  <c r="R146" i="6"/>
  <c r="S146" i="6"/>
  <c r="T146" i="6"/>
  <c r="C147" i="6"/>
  <c r="D147" i="6"/>
  <c r="E147" i="6"/>
  <c r="F147" i="6"/>
  <c r="H147" i="6"/>
  <c r="I147" i="6"/>
  <c r="L147" i="6"/>
  <c r="N147" i="6"/>
  <c r="Q147" i="6"/>
  <c r="R147" i="6"/>
  <c r="S147" i="6"/>
  <c r="T147" i="6"/>
  <c r="C148" i="6"/>
  <c r="D148" i="6"/>
  <c r="E148" i="6"/>
  <c r="F148" i="6"/>
  <c r="H148" i="6"/>
  <c r="I148" i="6"/>
  <c r="L148" i="6"/>
  <c r="N148" i="6"/>
  <c r="Q148" i="6"/>
  <c r="R148" i="6"/>
  <c r="S148" i="6"/>
  <c r="T148" i="6"/>
  <c r="C149" i="6"/>
  <c r="D149" i="6"/>
  <c r="E149" i="6"/>
  <c r="F149" i="6"/>
  <c r="H149" i="6"/>
  <c r="I149" i="6"/>
  <c r="L149" i="6"/>
  <c r="N149" i="6"/>
  <c r="Q149" i="6"/>
  <c r="R149" i="6"/>
  <c r="S149" i="6"/>
  <c r="T149" i="6"/>
  <c r="C150" i="6"/>
  <c r="D150" i="6"/>
  <c r="E150" i="6"/>
  <c r="F150" i="6"/>
  <c r="H150" i="6"/>
  <c r="I150" i="6"/>
  <c r="L150" i="6"/>
  <c r="N150" i="6"/>
  <c r="Q150" i="6"/>
  <c r="R150" i="6"/>
  <c r="S150" i="6"/>
  <c r="T150" i="6"/>
  <c r="C151" i="6"/>
  <c r="D151" i="6"/>
  <c r="E151" i="6"/>
  <c r="F151" i="6"/>
  <c r="H151" i="6"/>
  <c r="I151" i="6"/>
  <c r="L151" i="6"/>
  <c r="N151" i="6"/>
  <c r="Q151" i="6"/>
  <c r="R151" i="6"/>
  <c r="S151" i="6"/>
  <c r="T151" i="6"/>
  <c r="C152" i="6"/>
  <c r="D152" i="6"/>
  <c r="E152" i="6"/>
  <c r="F152" i="6"/>
  <c r="H152" i="6"/>
  <c r="I152" i="6"/>
  <c r="L152" i="6"/>
  <c r="N152" i="6"/>
  <c r="Q152" i="6"/>
  <c r="R152" i="6"/>
  <c r="S152" i="6"/>
  <c r="T152" i="6"/>
  <c r="C153" i="6"/>
  <c r="D153" i="6"/>
  <c r="E153" i="6"/>
  <c r="F153" i="6"/>
  <c r="H153" i="6"/>
  <c r="I153" i="6"/>
  <c r="L153" i="6"/>
  <c r="N153" i="6"/>
  <c r="Q153" i="6"/>
  <c r="R153" i="6"/>
  <c r="S153" i="6"/>
  <c r="T153" i="6"/>
  <c r="C154" i="6"/>
  <c r="D154" i="6"/>
  <c r="E154" i="6"/>
  <c r="F154" i="6"/>
  <c r="H154" i="6"/>
  <c r="I154" i="6"/>
  <c r="L154" i="6"/>
  <c r="N154" i="6"/>
  <c r="Q154" i="6"/>
  <c r="R154" i="6"/>
  <c r="S154" i="6"/>
  <c r="T154" i="6"/>
  <c r="C155" i="6"/>
  <c r="D155" i="6"/>
  <c r="E155" i="6"/>
  <c r="F155" i="6"/>
  <c r="H155" i="6"/>
  <c r="I155" i="6"/>
  <c r="L155" i="6"/>
  <c r="N155" i="6"/>
  <c r="Q155" i="6"/>
  <c r="R155" i="6"/>
  <c r="S155" i="6"/>
  <c r="T155" i="6"/>
  <c r="C156" i="6"/>
  <c r="D156" i="6"/>
  <c r="E156" i="6"/>
  <c r="F156" i="6"/>
  <c r="H156" i="6"/>
  <c r="I156" i="6"/>
  <c r="L156" i="6"/>
  <c r="N156" i="6"/>
  <c r="Q156" i="6"/>
  <c r="R156" i="6"/>
  <c r="S156" i="6"/>
  <c r="T156" i="6"/>
  <c r="C157" i="6"/>
  <c r="D157" i="6"/>
  <c r="E157" i="6"/>
  <c r="F157" i="6"/>
  <c r="H157" i="6"/>
  <c r="I157" i="6"/>
  <c r="L157" i="6"/>
  <c r="N157" i="6"/>
  <c r="Q157" i="6"/>
  <c r="R157" i="6"/>
  <c r="S157" i="6"/>
  <c r="T157" i="6"/>
  <c r="C158" i="6"/>
  <c r="D158" i="6"/>
  <c r="E158" i="6"/>
  <c r="F158" i="6"/>
  <c r="H158" i="6"/>
  <c r="I158" i="6"/>
  <c r="L158" i="6"/>
  <c r="N158" i="6"/>
  <c r="Q158" i="6"/>
  <c r="R158" i="6"/>
  <c r="S158" i="6"/>
  <c r="T158" i="6"/>
  <c r="C159" i="6"/>
  <c r="D159" i="6"/>
  <c r="E159" i="6"/>
  <c r="F159" i="6"/>
  <c r="H159" i="6"/>
  <c r="I159" i="6"/>
  <c r="L159" i="6"/>
  <c r="N159" i="6"/>
  <c r="Q159" i="6"/>
  <c r="R159" i="6"/>
  <c r="S159" i="6"/>
  <c r="T159" i="6"/>
  <c r="C160" i="6"/>
  <c r="D160" i="6"/>
  <c r="E160" i="6"/>
  <c r="F160" i="6"/>
  <c r="H160" i="6"/>
  <c r="I160" i="6"/>
  <c r="L160" i="6"/>
  <c r="N160" i="6"/>
  <c r="Q160" i="6"/>
  <c r="R160" i="6"/>
  <c r="S160" i="6"/>
  <c r="T160" i="6"/>
  <c r="C161" i="6"/>
  <c r="D161" i="6"/>
  <c r="E161" i="6"/>
  <c r="F161" i="6"/>
  <c r="H161" i="6"/>
  <c r="I161" i="6"/>
  <c r="L161" i="6"/>
  <c r="N161" i="6"/>
  <c r="Q161" i="6"/>
  <c r="R161" i="6"/>
  <c r="S161" i="6"/>
  <c r="T161" i="6"/>
  <c r="C162" i="6"/>
  <c r="D162" i="6"/>
  <c r="E162" i="6"/>
  <c r="F162" i="6"/>
  <c r="H162" i="6"/>
  <c r="I162" i="6"/>
  <c r="L162" i="6"/>
  <c r="N162" i="6"/>
  <c r="Q162" i="6"/>
  <c r="R162" i="6"/>
  <c r="S162" i="6"/>
  <c r="T162" i="6"/>
  <c r="C163" i="6"/>
  <c r="D163" i="6"/>
  <c r="E163" i="6"/>
  <c r="F163" i="6"/>
  <c r="H163" i="6"/>
  <c r="I163" i="6"/>
  <c r="L163" i="6"/>
  <c r="N163" i="6"/>
  <c r="Q163" i="6"/>
  <c r="R163" i="6"/>
  <c r="S163" i="6"/>
  <c r="T163" i="6"/>
  <c r="C164" i="6"/>
  <c r="D164" i="6"/>
  <c r="E164" i="6"/>
  <c r="F164" i="6"/>
  <c r="H164" i="6"/>
  <c r="I164" i="6"/>
  <c r="L164" i="6"/>
  <c r="N164" i="6"/>
  <c r="Q164" i="6"/>
  <c r="R164" i="6"/>
  <c r="S164" i="6"/>
  <c r="T164" i="6"/>
  <c r="C165" i="6"/>
  <c r="D165" i="6"/>
  <c r="E165" i="6"/>
  <c r="F165" i="6"/>
  <c r="H165" i="6"/>
  <c r="I165" i="6"/>
  <c r="L165" i="6"/>
  <c r="N165" i="6"/>
  <c r="Q165" i="6"/>
  <c r="R165" i="6"/>
  <c r="S165" i="6"/>
  <c r="T165" i="6"/>
  <c r="C166" i="6"/>
  <c r="D166" i="6"/>
  <c r="E166" i="6"/>
  <c r="F166" i="6"/>
  <c r="H166" i="6"/>
  <c r="I166" i="6"/>
  <c r="L166" i="6"/>
  <c r="N166" i="6"/>
  <c r="Q166" i="6"/>
  <c r="R166" i="6"/>
  <c r="S166" i="6"/>
  <c r="T166" i="6"/>
  <c r="C167" i="6"/>
  <c r="D167" i="6"/>
  <c r="E167" i="6"/>
  <c r="F167" i="6"/>
  <c r="H167" i="6"/>
  <c r="I167" i="6"/>
  <c r="L167" i="6"/>
  <c r="N167" i="6"/>
  <c r="Q167" i="6"/>
  <c r="R167" i="6"/>
  <c r="S167" i="6"/>
  <c r="T167" i="6"/>
  <c r="C168" i="6"/>
  <c r="D168" i="6"/>
  <c r="E168" i="6"/>
  <c r="F168" i="6"/>
  <c r="H168" i="6"/>
  <c r="I168" i="6"/>
  <c r="L168" i="6"/>
  <c r="N168" i="6"/>
  <c r="Q168" i="6"/>
  <c r="R168" i="6"/>
  <c r="S168" i="6"/>
  <c r="T168" i="6"/>
  <c r="C169" i="6"/>
  <c r="D169" i="6"/>
  <c r="E169" i="6"/>
  <c r="F169" i="6"/>
  <c r="H169" i="6"/>
  <c r="I169" i="6"/>
  <c r="L169" i="6"/>
  <c r="N169" i="6"/>
  <c r="Q169" i="6"/>
  <c r="R169" i="6"/>
  <c r="S169" i="6"/>
  <c r="T169" i="6"/>
  <c r="C170" i="6"/>
  <c r="D170" i="6"/>
  <c r="E170" i="6"/>
  <c r="F170" i="6"/>
  <c r="H170" i="6"/>
  <c r="I170" i="6"/>
  <c r="L170" i="6"/>
  <c r="N170" i="6"/>
  <c r="Q170" i="6"/>
  <c r="R170" i="6"/>
  <c r="S170" i="6"/>
  <c r="T170" i="6"/>
  <c r="C171" i="6"/>
  <c r="D171" i="6"/>
  <c r="E171" i="6"/>
  <c r="F171" i="6"/>
  <c r="H171" i="6"/>
  <c r="I171" i="6"/>
  <c r="L171" i="6"/>
  <c r="N171" i="6"/>
  <c r="Q171" i="6"/>
  <c r="R171" i="6"/>
  <c r="S171" i="6"/>
  <c r="T171" i="6"/>
  <c r="C172" i="6"/>
  <c r="D172" i="6"/>
  <c r="E172" i="6"/>
  <c r="F172" i="6"/>
  <c r="H172" i="6"/>
  <c r="I172" i="6"/>
  <c r="L172" i="6"/>
  <c r="N172" i="6"/>
  <c r="Q172" i="6"/>
  <c r="R172" i="6"/>
  <c r="S172" i="6"/>
  <c r="T172" i="6"/>
  <c r="C173" i="6"/>
  <c r="D173" i="6"/>
  <c r="E173" i="6"/>
  <c r="F173" i="6"/>
  <c r="H173" i="6"/>
  <c r="I173" i="6"/>
  <c r="L173" i="6"/>
  <c r="N173" i="6"/>
  <c r="Q173" i="6"/>
  <c r="R173" i="6"/>
  <c r="S173" i="6"/>
  <c r="T173" i="6"/>
  <c r="C174" i="6"/>
  <c r="D174" i="6"/>
  <c r="E174" i="6"/>
  <c r="F174" i="6"/>
  <c r="H174" i="6"/>
  <c r="I174" i="6"/>
  <c r="L174" i="6"/>
  <c r="N174" i="6"/>
  <c r="Q174" i="6"/>
  <c r="R174" i="6"/>
  <c r="S174" i="6"/>
  <c r="T174" i="6"/>
  <c r="C175" i="6"/>
  <c r="D175" i="6"/>
  <c r="E175" i="6"/>
  <c r="F175" i="6"/>
  <c r="H175" i="6"/>
  <c r="I175" i="6"/>
  <c r="L175" i="6"/>
  <c r="N175" i="6"/>
  <c r="Q175" i="6"/>
  <c r="R175" i="6"/>
  <c r="S175" i="6"/>
  <c r="T175" i="6"/>
  <c r="C176" i="6"/>
  <c r="D176" i="6"/>
  <c r="E176" i="6"/>
  <c r="F176" i="6"/>
  <c r="H176" i="6"/>
  <c r="I176" i="6"/>
  <c r="L176" i="6"/>
  <c r="N176" i="6"/>
  <c r="Q176" i="6"/>
  <c r="R176" i="6"/>
  <c r="S176" i="6"/>
  <c r="T176" i="6"/>
  <c r="C177" i="6"/>
  <c r="D177" i="6"/>
  <c r="E177" i="6"/>
  <c r="F177" i="6"/>
  <c r="H177" i="6"/>
  <c r="I177" i="6"/>
  <c r="L177" i="6"/>
  <c r="N177" i="6"/>
  <c r="Q177" i="6"/>
  <c r="R177" i="6"/>
  <c r="S177" i="6"/>
  <c r="T177" i="6"/>
  <c r="C178" i="6"/>
  <c r="D178" i="6"/>
  <c r="E178" i="6"/>
  <c r="F178" i="6"/>
  <c r="H178" i="6"/>
  <c r="I178" i="6"/>
  <c r="L178" i="6"/>
  <c r="N178" i="6"/>
  <c r="Q178" i="6"/>
  <c r="R178" i="6"/>
  <c r="S178" i="6"/>
  <c r="T178" i="6"/>
  <c r="C179" i="6"/>
  <c r="D179" i="6"/>
  <c r="E179" i="6"/>
  <c r="F179" i="6"/>
  <c r="H179" i="6"/>
  <c r="I179" i="6"/>
  <c r="L179" i="6"/>
  <c r="N179" i="6"/>
  <c r="Q179" i="6"/>
  <c r="R179" i="6"/>
  <c r="S179" i="6"/>
  <c r="T179" i="6"/>
  <c r="C180" i="6"/>
  <c r="D180" i="6"/>
  <c r="E180" i="6"/>
  <c r="F180" i="6"/>
  <c r="H180" i="6"/>
  <c r="I180" i="6"/>
  <c r="L180" i="6"/>
  <c r="N180" i="6"/>
  <c r="Q180" i="6"/>
  <c r="R180" i="6"/>
  <c r="S180" i="6"/>
  <c r="T180" i="6"/>
  <c r="C181" i="6"/>
  <c r="D181" i="6"/>
  <c r="E181" i="6"/>
  <c r="F181" i="6"/>
  <c r="H181" i="6"/>
  <c r="I181" i="6"/>
  <c r="L181" i="6"/>
  <c r="N181" i="6"/>
  <c r="Q181" i="6"/>
  <c r="R181" i="6"/>
  <c r="S181" i="6"/>
  <c r="T181" i="6"/>
  <c r="C182" i="6"/>
  <c r="D182" i="6"/>
  <c r="E182" i="6"/>
  <c r="F182" i="6"/>
  <c r="H182" i="6"/>
  <c r="I182" i="6"/>
  <c r="L182" i="6"/>
  <c r="N182" i="6"/>
  <c r="Q182" i="6"/>
  <c r="R182" i="6"/>
  <c r="S182" i="6"/>
  <c r="T182" i="6"/>
  <c r="C183" i="6"/>
  <c r="D183" i="6"/>
  <c r="E183" i="6"/>
  <c r="F183" i="6"/>
  <c r="H183" i="6"/>
  <c r="I183" i="6"/>
  <c r="L183" i="6"/>
  <c r="N183" i="6"/>
  <c r="Q183" i="6"/>
  <c r="R183" i="6"/>
  <c r="S183" i="6"/>
  <c r="T183" i="6"/>
  <c r="C184" i="6"/>
  <c r="D184" i="6"/>
  <c r="E184" i="6"/>
  <c r="F184" i="6"/>
  <c r="H184" i="6"/>
  <c r="I184" i="6"/>
  <c r="L184" i="6"/>
  <c r="N184" i="6"/>
  <c r="Q184" i="6"/>
  <c r="R184" i="6"/>
  <c r="S184" i="6"/>
  <c r="T184" i="6"/>
  <c r="C185" i="6"/>
  <c r="D185" i="6"/>
  <c r="E185" i="6"/>
  <c r="F185" i="6"/>
  <c r="H185" i="6"/>
  <c r="I185" i="6"/>
  <c r="L185" i="6"/>
  <c r="N185" i="6"/>
  <c r="Q185" i="6"/>
  <c r="R185" i="6"/>
  <c r="S185" i="6"/>
  <c r="T185" i="6"/>
  <c r="C186" i="6"/>
  <c r="D186" i="6"/>
  <c r="E186" i="6"/>
  <c r="F186" i="6"/>
  <c r="H186" i="6"/>
  <c r="I186" i="6"/>
  <c r="L186" i="6"/>
  <c r="N186" i="6"/>
  <c r="Q186" i="6"/>
  <c r="R186" i="6"/>
  <c r="S186" i="6"/>
  <c r="T186" i="6"/>
  <c r="C187" i="6"/>
  <c r="D187" i="6"/>
  <c r="E187" i="6"/>
  <c r="F187" i="6"/>
  <c r="H187" i="6"/>
  <c r="I187" i="6"/>
  <c r="L187" i="6"/>
  <c r="N187" i="6"/>
  <c r="Q187" i="6"/>
  <c r="R187" i="6"/>
  <c r="S187" i="6"/>
  <c r="T187" i="6"/>
  <c r="C188" i="6"/>
  <c r="D188" i="6"/>
  <c r="E188" i="6"/>
  <c r="F188" i="6"/>
  <c r="H188" i="6"/>
  <c r="I188" i="6"/>
  <c r="L188" i="6"/>
  <c r="N188" i="6"/>
  <c r="Q188" i="6"/>
  <c r="R188" i="6"/>
  <c r="S188" i="6"/>
  <c r="T188" i="6"/>
  <c r="C189" i="6"/>
  <c r="D189" i="6"/>
  <c r="E189" i="6"/>
  <c r="F189" i="6"/>
  <c r="H189" i="6"/>
  <c r="I189" i="6"/>
  <c r="L189" i="6"/>
  <c r="N189" i="6"/>
  <c r="Q189" i="6"/>
  <c r="R189" i="6"/>
  <c r="S189" i="6"/>
  <c r="T189" i="6"/>
  <c r="C190" i="6"/>
  <c r="D190" i="6"/>
  <c r="E190" i="6"/>
  <c r="F190" i="6"/>
  <c r="H190" i="6"/>
  <c r="I190" i="6"/>
  <c r="L190" i="6"/>
  <c r="N190" i="6"/>
  <c r="Q190" i="6"/>
  <c r="R190" i="6"/>
  <c r="S190" i="6"/>
  <c r="T190" i="6"/>
  <c r="C191" i="6"/>
  <c r="D191" i="6"/>
  <c r="E191" i="6"/>
  <c r="F191" i="6"/>
  <c r="H191" i="6"/>
  <c r="I191" i="6"/>
  <c r="L191" i="6"/>
  <c r="N191" i="6"/>
  <c r="Q191" i="6"/>
  <c r="R191" i="6"/>
  <c r="S191" i="6"/>
  <c r="T191" i="6"/>
  <c r="C192" i="6"/>
  <c r="D192" i="6"/>
  <c r="E192" i="6"/>
  <c r="F192" i="6"/>
  <c r="H192" i="6"/>
  <c r="I192" i="6"/>
  <c r="L192" i="6"/>
  <c r="N192" i="6"/>
  <c r="Q192" i="6"/>
  <c r="R192" i="6"/>
  <c r="S192" i="6"/>
  <c r="T192" i="6"/>
  <c r="C193" i="6"/>
  <c r="D193" i="6"/>
  <c r="E193" i="6"/>
  <c r="F193" i="6"/>
  <c r="H193" i="6"/>
  <c r="I193" i="6"/>
  <c r="L193" i="6"/>
  <c r="N193" i="6"/>
  <c r="Q193" i="6"/>
  <c r="R193" i="6"/>
  <c r="S193" i="6"/>
  <c r="T193" i="6"/>
  <c r="C194" i="6"/>
  <c r="D194" i="6"/>
  <c r="E194" i="6"/>
  <c r="F194" i="6"/>
  <c r="H194" i="6"/>
  <c r="I194" i="6"/>
  <c r="L194" i="6"/>
  <c r="N194" i="6"/>
  <c r="Q194" i="6"/>
  <c r="R194" i="6"/>
  <c r="S194" i="6"/>
  <c r="T194" i="6"/>
  <c r="C195" i="6"/>
  <c r="D195" i="6"/>
  <c r="E195" i="6"/>
  <c r="F195" i="6"/>
  <c r="H195" i="6"/>
  <c r="I195" i="6"/>
  <c r="L195" i="6"/>
  <c r="N195" i="6"/>
  <c r="Q195" i="6"/>
  <c r="R195" i="6"/>
  <c r="S195" i="6"/>
  <c r="T195" i="6"/>
  <c r="C196" i="6"/>
  <c r="D196" i="6"/>
  <c r="E196" i="6"/>
  <c r="F196" i="6"/>
  <c r="H196" i="6"/>
  <c r="I196" i="6"/>
  <c r="L196" i="6"/>
  <c r="N196" i="6"/>
  <c r="Q196" i="6"/>
  <c r="R196" i="6"/>
  <c r="S196" i="6"/>
  <c r="T196" i="6"/>
  <c r="C197" i="6"/>
  <c r="D197" i="6"/>
  <c r="E197" i="6"/>
  <c r="F197" i="6"/>
  <c r="H197" i="6"/>
  <c r="I197" i="6"/>
  <c r="L197" i="6"/>
  <c r="N197" i="6"/>
  <c r="Q197" i="6"/>
  <c r="R197" i="6"/>
  <c r="S197" i="6"/>
  <c r="T197" i="6"/>
  <c r="C198" i="6"/>
  <c r="D198" i="6"/>
  <c r="E198" i="6"/>
  <c r="F198" i="6"/>
  <c r="H198" i="6"/>
  <c r="I198" i="6"/>
  <c r="L198" i="6"/>
  <c r="N198" i="6"/>
  <c r="Q198" i="6"/>
  <c r="R198" i="6"/>
  <c r="S198" i="6"/>
  <c r="T198" i="6"/>
  <c r="C199" i="6"/>
  <c r="D199" i="6"/>
  <c r="E199" i="6"/>
  <c r="F199" i="6"/>
  <c r="H199" i="6"/>
  <c r="I199" i="6"/>
  <c r="L199" i="6"/>
  <c r="N199" i="6"/>
  <c r="Q199" i="6"/>
  <c r="R199" i="6"/>
  <c r="S199" i="6"/>
  <c r="T199" i="6"/>
  <c r="C200" i="6"/>
  <c r="D200" i="6"/>
  <c r="E200" i="6"/>
  <c r="F200" i="6"/>
  <c r="H200" i="6"/>
  <c r="I200" i="6"/>
  <c r="L200" i="6"/>
  <c r="N200" i="6"/>
  <c r="Q200" i="6"/>
  <c r="R200" i="6"/>
  <c r="S200" i="6"/>
  <c r="T200" i="6"/>
  <c r="C201" i="6"/>
  <c r="D201" i="6"/>
  <c r="E201" i="6"/>
  <c r="F201" i="6"/>
  <c r="H201" i="6"/>
  <c r="I201" i="6"/>
  <c r="L201" i="6"/>
  <c r="N201" i="6"/>
  <c r="Q201" i="6"/>
  <c r="R201" i="6"/>
  <c r="S201" i="6"/>
  <c r="T201" i="6"/>
  <c r="C202" i="6"/>
  <c r="D202" i="6"/>
  <c r="E202" i="6"/>
  <c r="F202" i="6"/>
  <c r="H202" i="6"/>
  <c r="I202" i="6"/>
  <c r="L202" i="6"/>
  <c r="N202" i="6"/>
  <c r="Q202" i="6"/>
  <c r="R202" i="6"/>
  <c r="S202" i="6"/>
  <c r="T202" i="6"/>
  <c r="C203" i="6"/>
  <c r="D203" i="6"/>
  <c r="E203" i="6"/>
  <c r="F203" i="6"/>
  <c r="H203" i="6"/>
  <c r="I203" i="6"/>
  <c r="L203" i="6"/>
  <c r="N203" i="6"/>
  <c r="Q203" i="6"/>
  <c r="R203" i="6"/>
  <c r="S203" i="6"/>
  <c r="T203" i="6"/>
  <c r="C204" i="6"/>
  <c r="D204" i="6"/>
  <c r="E204" i="6"/>
  <c r="F204" i="6"/>
  <c r="H204" i="6"/>
  <c r="I204" i="6"/>
  <c r="L204" i="6"/>
  <c r="N204" i="6"/>
  <c r="Q204" i="6"/>
  <c r="R204" i="6"/>
  <c r="S204" i="6"/>
  <c r="T204" i="6"/>
  <c r="C205" i="6"/>
  <c r="D205" i="6"/>
  <c r="E205" i="6"/>
  <c r="F205" i="6"/>
  <c r="H205" i="6"/>
  <c r="I205" i="6"/>
  <c r="L205" i="6"/>
  <c r="N205" i="6"/>
  <c r="Q205" i="6"/>
  <c r="R205" i="6"/>
  <c r="S205" i="6"/>
  <c r="T205" i="6"/>
  <c r="C206" i="6"/>
  <c r="D206" i="6"/>
  <c r="E206" i="6"/>
  <c r="F206" i="6"/>
  <c r="H206" i="6"/>
  <c r="I206" i="6"/>
  <c r="L206" i="6"/>
  <c r="N206" i="6"/>
  <c r="Q206" i="6"/>
  <c r="R206" i="6"/>
  <c r="S206" i="6"/>
  <c r="T206" i="6"/>
  <c r="C207" i="6"/>
  <c r="D207" i="6"/>
  <c r="E207" i="6"/>
  <c r="F207" i="6"/>
  <c r="H207" i="6"/>
  <c r="I207" i="6"/>
  <c r="L207" i="6"/>
  <c r="N207" i="6"/>
  <c r="Q207" i="6"/>
  <c r="R207" i="6"/>
  <c r="S207" i="6"/>
  <c r="T207" i="6"/>
  <c r="C208" i="6"/>
  <c r="D208" i="6"/>
  <c r="E208" i="6"/>
  <c r="F208" i="6"/>
  <c r="H208" i="6"/>
  <c r="I208" i="6"/>
  <c r="L208" i="6"/>
  <c r="N208" i="6"/>
  <c r="Q208" i="6"/>
  <c r="R208" i="6"/>
  <c r="S208" i="6"/>
  <c r="T208" i="6"/>
  <c r="C209" i="6"/>
  <c r="D209" i="6"/>
  <c r="E209" i="6"/>
  <c r="F209" i="6"/>
  <c r="H209" i="6"/>
  <c r="I209" i="6"/>
  <c r="L209" i="6"/>
  <c r="N209" i="6"/>
  <c r="Q209" i="6"/>
  <c r="R209" i="6"/>
  <c r="S209" i="6"/>
  <c r="T209" i="6"/>
  <c r="C210" i="6"/>
  <c r="D210" i="6"/>
  <c r="E210" i="6"/>
  <c r="F210" i="6"/>
  <c r="H210" i="6"/>
  <c r="I210" i="6"/>
  <c r="L210" i="6"/>
  <c r="N210" i="6"/>
  <c r="Q210" i="6"/>
  <c r="R210" i="6"/>
  <c r="S210" i="6"/>
  <c r="T210" i="6"/>
  <c r="C211" i="6"/>
  <c r="D211" i="6"/>
  <c r="E211" i="6"/>
  <c r="F211" i="6"/>
  <c r="H211" i="6"/>
  <c r="I211" i="6"/>
  <c r="L211" i="6"/>
  <c r="N211" i="6"/>
  <c r="Q211" i="6"/>
  <c r="R211" i="6"/>
  <c r="S211" i="6"/>
  <c r="T211" i="6"/>
  <c r="C212" i="6"/>
  <c r="D212" i="6"/>
  <c r="E212" i="6"/>
  <c r="F212" i="6"/>
  <c r="H212" i="6"/>
  <c r="I212" i="6"/>
  <c r="L212" i="6"/>
  <c r="N212" i="6"/>
  <c r="Q212" i="6"/>
  <c r="R212" i="6"/>
  <c r="S212" i="6"/>
  <c r="T212" i="6"/>
  <c r="C213" i="6"/>
  <c r="D213" i="6"/>
  <c r="E213" i="6"/>
  <c r="F213" i="6"/>
  <c r="H213" i="6"/>
  <c r="I213" i="6"/>
  <c r="L213" i="6"/>
  <c r="N213" i="6"/>
  <c r="Q213" i="6"/>
  <c r="R213" i="6"/>
  <c r="S213" i="6"/>
  <c r="T213" i="6"/>
  <c r="C214" i="6"/>
  <c r="D214" i="6"/>
  <c r="E214" i="6"/>
  <c r="F214" i="6"/>
  <c r="H214" i="6"/>
  <c r="I214" i="6"/>
  <c r="L214" i="6"/>
  <c r="N214" i="6"/>
  <c r="Q214" i="6"/>
  <c r="R214" i="6"/>
  <c r="S214" i="6"/>
  <c r="T214" i="6"/>
  <c r="C215" i="6"/>
  <c r="D215" i="6"/>
  <c r="E215" i="6"/>
  <c r="F215" i="6"/>
  <c r="H215" i="6"/>
  <c r="I215" i="6"/>
  <c r="L215" i="6"/>
  <c r="N215" i="6"/>
  <c r="Q215" i="6"/>
  <c r="R215" i="6"/>
  <c r="S215" i="6"/>
  <c r="T215" i="6"/>
  <c r="C216" i="6"/>
  <c r="D216" i="6"/>
  <c r="E216" i="6"/>
  <c r="F216" i="6"/>
  <c r="H216" i="6"/>
  <c r="I216" i="6"/>
  <c r="L216" i="6"/>
  <c r="N216" i="6"/>
  <c r="Q216" i="6"/>
  <c r="R216" i="6"/>
  <c r="S216" i="6"/>
  <c r="T216" i="6"/>
  <c r="C217" i="6"/>
  <c r="D217" i="6"/>
  <c r="E217" i="6"/>
  <c r="F217" i="6"/>
  <c r="H217" i="6"/>
  <c r="I217" i="6"/>
  <c r="L217" i="6"/>
  <c r="N217" i="6"/>
  <c r="Q217" i="6"/>
  <c r="R217" i="6"/>
  <c r="S217" i="6"/>
  <c r="T217" i="6"/>
  <c r="C218" i="6"/>
  <c r="D218" i="6"/>
  <c r="E218" i="6"/>
  <c r="F218" i="6"/>
  <c r="H218" i="6"/>
  <c r="I218" i="6"/>
  <c r="L218" i="6"/>
  <c r="N218" i="6"/>
  <c r="Q218" i="6"/>
  <c r="R218" i="6"/>
  <c r="S218" i="6"/>
  <c r="T218" i="6"/>
  <c r="C219" i="6"/>
  <c r="D219" i="6"/>
  <c r="E219" i="6"/>
  <c r="F219" i="6"/>
  <c r="H219" i="6"/>
  <c r="I219" i="6"/>
  <c r="L219" i="6"/>
  <c r="N219" i="6"/>
  <c r="Q219" i="6"/>
  <c r="R219" i="6"/>
  <c r="S219" i="6"/>
  <c r="T219" i="6"/>
  <c r="C220" i="6"/>
  <c r="D220" i="6"/>
  <c r="E220" i="6"/>
  <c r="F220" i="6"/>
  <c r="H220" i="6"/>
  <c r="I220" i="6"/>
  <c r="L220" i="6"/>
  <c r="N220" i="6"/>
  <c r="Q220" i="6"/>
  <c r="R220" i="6"/>
  <c r="S220" i="6"/>
  <c r="T220" i="6"/>
  <c r="C221" i="6"/>
  <c r="D221" i="6"/>
  <c r="E221" i="6"/>
  <c r="F221" i="6"/>
  <c r="H221" i="6"/>
  <c r="I221" i="6"/>
  <c r="L221" i="6"/>
  <c r="N221" i="6"/>
  <c r="Q221" i="6"/>
  <c r="R221" i="6"/>
  <c r="S221" i="6"/>
  <c r="T221" i="6"/>
  <c r="C222" i="6"/>
  <c r="D222" i="6"/>
  <c r="E222" i="6"/>
  <c r="F222" i="6"/>
  <c r="H222" i="6"/>
  <c r="I222" i="6"/>
  <c r="L222" i="6"/>
  <c r="N222" i="6"/>
  <c r="Q222" i="6"/>
  <c r="R222" i="6"/>
  <c r="S222" i="6"/>
  <c r="T222" i="6"/>
  <c r="C223" i="6"/>
  <c r="D223" i="6"/>
  <c r="E223" i="6"/>
  <c r="F223" i="6"/>
  <c r="H223" i="6"/>
  <c r="I223" i="6"/>
  <c r="L223" i="6"/>
  <c r="N223" i="6"/>
  <c r="Q223" i="6"/>
  <c r="R223" i="6"/>
  <c r="S223" i="6"/>
  <c r="T223" i="6"/>
  <c r="C224" i="6"/>
  <c r="D224" i="6"/>
  <c r="E224" i="6"/>
  <c r="F224" i="6"/>
  <c r="H224" i="6"/>
  <c r="I224" i="6"/>
  <c r="L224" i="6"/>
  <c r="N224" i="6"/>
  <c r="Q224" i="6"/>
  <c r="R224" i="6"/>
  <c r="S224" i="6"/>
  <c r="T224" i="6"/>
  <c r="C225" i="6"/>
  <c r="D225" i="6"/>
  <c r="E225" i="6"/>
  <c r="F225" i="6"/>
  <c r="H225" i="6"/>
  <c r="I225" i="6"/>
  <c r="L225" i="6"/>
  <c r="N225" i="6"/>
  <c r="Q225" i="6"/>
  <c r="R225" i="6"/>
  <c r="S225" i="6"/>
  <c r="T225" i="6"/>
  <c r="C226" i="6"/>
  <c r="D226" i="6"/>
  <c r="E226" i="6"/>
  <c r="F226" i="6"/>
  <c r="H226" i="6"/>
  <c r="I226" i="6"/>
  <c r="L226" i="6"/>
  <c r="N226" i="6"/>
  <c r="Q226" i="6"/>
  <c r="R226" i="6"/>
  <c r="S226" i="6"/>
  <c r="T226" i="6"/>
  <c r="C227" i="6"/>
  <c r="D227" i="6"/>
  <c r="E227" i="6"/>
  <c r="F227" i="6"/>
  <c r="H227" i="6"/>
  <c r="I227" i="6"/>
  <c r="L227" i="6"/>
  <c r="N227" i="6"/>
  <c r="Q227" i="6"/>
  <c r="R227" i="6"/>
  <c r="S227" i="6"/>
  <c r="T227" i="6"/>
  <c r="C228" i="6"/>
  <c r="D228" i="6"/>
  <c r="E228" i="6"/>
  <c r="F228" i="6"/>
  <c r="H228" i="6"/>
  <c r="I228" i="6"/>
  <c r="L228" i="6"/>
  <c r="N228" i="6"/>
  <c r="Q228" i="6"/>
  <c r="R228" i="6"/>
  <c r="S228" i="6"/>
  <c r="T228" i="6"/>
  <c r="C229" i="6"/>
  <c r="D229" i="6"/>
  <c r="E229" i="6"/>
  <c r="F229" i="6"/>
  <c r="H229" i="6"/>
  <c r="I229" i="6"/>
  <c r="L229" i="6"/>
  <c r="N229" i="6"/>
  <c r="Q229" i="6"/>
  <c r="R229" i="6"/>
  <c r="S229" i="6"/>
  <c r="T229" i="6"/>
  <c r="C230" i="6"/>
  <c r="D230" i="6"/>
  <c r="E230" i="6"/>
  <c r="F230" i="6"/>
  <c r="H230" i="6"/>
  <c r="I230" i="6"/>
  <c r="L230" i="6"/>
  <c r="N230" i="6"/>
  <c r="Q230" i="6"/>
  <c r="R230" i="6"/>
  <c r="S230" i="6"/>
  <c r="T230" i="6"/>
  <c r="C231" i="6"/>
  <c r="D231" i="6"/>
  <c r="E231" i="6"/>
  <c r="F231" i="6"/>
  <c r="H231" i="6"/>
  <c r="I231" i="6"/>
  <c r="L231" i="6"/>
  <c r="N231" i="6"/>
  <c r="Q231" i="6"/>
  <c r="R231" i="6"/>
  <c r="S231" i="6"/>
  <c r="T231" i="6"/>
  <c r="C232" i="6"/>
  <c r="D232" i="6"/>
  <c r="E232" i="6"/>
  <c r="F232" i="6"/>
  <c r="H232" i="6"/>
  <c r="I232" i="6"/>
  <c r="L232" i="6"/>
  <c r="N232" i="6"/>
  <c r="Q232" i="6"/>
  <c r="R232" i="6"/>
  <c r="S232" i="6"/>
  <c r="T232" i="6"/>
  <c r="C233" i="6"/>
  <c r="D233" i="6"/>
  <c r="E233" i="6"/>
  <c r="F233" i="6"/>
  <c r="H233" i="6"/>
  <c r="I233" i="6"/>
  <c r="L233" i="6"/>
  <c r="N233" i="6"/>
  <c r="Q233" i="6"/>
  <c r="R233" i="6"/>
  <c r="S233" i="6"/>
  <c r="T233" i="6"/>
  <c r="C234" i="6"/>
  <c r="D234" i="6"/>
  <c r="E234" i="6"/>
  <c r="F234" i="6"/>
  <c r="H234" i="6"/>
  <c r="I234" i="6"/>
  <c r="L234" i="6"/>
  <c r="N234" i="6"/>
  <c r="Q234" i="6"/>
  <c r="R234" i="6"/>
  <c r="S234" i="6"/>
  <c r="T234" i="6"/>
  <c r="C235" i="6"/>
  <c r="D235" i="6"/>
  <c r="E235" i="6"/>
  <c r="F235" i="6"/>
  <c r="H235" i="6"/>
  <c r="I235" i="6"/>
  <c r="L235" i="6"/>
  <c r="N235" i="6"/>
  <c r="Q235" i="6"/>
  <c r="R235" i="6"/>
  <c r="S235" i="6"/>
  <c r="T235" i="6"/>
  <c r="C236" i="6"/>
  <c r="D236" i="6"/>
  <c r="E236" i="6"/>
  <c r="F236" i="6"/>
  <c r="H236" i="6"/>
  <c r="I236" i="6"/>
  <c r="L236" i="6"/>
  <c r="N236" i="6"/>
  <c r="Q236" i="6"/>
  <c r="R236" i="6"/>
  <c r="S236" i="6"/>
  <c r="T236" i="6"/>
  <c r="C237" i="6"/>
  <c r="D237" i="6"/>
  <c r="E237" i="6"/>
  <c r="F237" i="6"/>
  <c r="H237" i="6"/>
  <c r="I237" i="6"/>
  <c r="L237" i="6"/>
  <c r="N237" i="6"/>
  <c r="Q237" i="6"/>
  <c r="R237" i="6"/>
  <c r="S237" i="6"/>
  <c r="T237" i="6"/>
  <c r="C238" i="6"/>
  <c r="D238" i="6"/>
  <c r="E238" i="6"/>
  <c r="F238" i="6"/>
  <c r="H238" i="6"/>
  <c r="I238" i="6"/>
  <c r="L238" i="6"/>
  <c r="N238" i="6"/>
  <c r="Q238" i="6"/>
  <c r="R238" i="6"/>
  <c r="S238" i="6"/>
  <c r="T238" i="6"/>
  <c r="C239" i="6"/>
  <c r="D239" i="6"/>
  <c r="E239" i="6"/>
  <c r="F239" i="6"/>
  <c r="H239" i="6"/>
  <c r="I239" i="6"/>
  <c r="L239" i="6"/>
  <c r="N239" i="6"/>
  <c r="Q239" i="6"/>
  <c r="R239" i="6"/>
  <c r="S239" i="6"/>
  <c r="T239" i="6"/>
  <c r="C240" i="6"/>
  <c r="D240" i="6"/>
  <c r="E240" i="6"/>
  <c r="F240" i="6"/>
  <c r="H240" i="6"/>
  <c r="I240" i="6"/>
  <c r="L240" i="6"/>
  <c r="N240" i="6"/>
  <c r="Q240" i="6"/>
  <c r="R240" i="6"/>
  <c r="S240" i="6"/>
  <c r="T240" i="6"/>
  <c r="C241" i="6"/>
  <c r="D241" i="6"/>
  <c r="E241" i="6"/>
  <c r="F241" i="6"/>
  <c r="H241" i="6"/>
  <c r="I241" i="6"/>
  <c r="L241" i="6"/>
  <c r="N241" i="6"/>
  <c r="Q241" i="6"/>
  <c r="R241" i="6"/>
  <c r="S241" i="6"/>
  <c r="T241" i="6"/>
  <c r="C242" i="6"/>
  <c r="D242" i="6"/>
  <c r="E242" i="6"/>
  <c r="F242" i="6"/>
  <c r="H242" i="6"/>
  <c r="I242" i="6"/>
  <c r="L242" i="6"/>
  <c r="N242" i="6"/>
  <c r="Q242" i="6"/>
  <c r="R242" i="6"/>
  <c r="S242" i="6"/>
  <c r="T242" i="6"/>
  <c r="C243" i="6"/>
  <c r="D243" i="6"/>
  <c r="E243" i="6"/>
  <c r="F243" i="6"/>
  <c r="H243" i="6"/>
  <c r="I243" i="6"/>
  <c r="L243" i="6"/>
  <c r="N243" i="6"/>
  <c r="Q243" i="6"/>
  <c r="R243" i="6"/>
  <c r="S243" i="6"/>
  <c r="T243" i="6"/>
  <c r="C244" i="6"/>
  <c r="D244" i="6"/>
  <c r="E244" i="6"/>
  <c r="F244" i="6"/>
  <c r="H244" i="6"/>
  <c r="I244" i="6"/>
  <c r="L244" i="6"/>
  <c r="N244" i="6"/>
  <c r="Q244" i="6"/>
  <c r="R244" i="6"/>
  <c r="S244" i="6"/>
  <c r="T244" i="6"/>
  <c r="C245" i="6"/>
  <c r="D245" i="6"/>
  <c r="E245" i="6"/>
  <c r="F245" i="6"/>
  <c r="H245" i="6"/>
  <c r="I245" i="6"/>
  <c r="L245" i="6"/>
  <c r="N245" i="6"/>
  <c r="Q245" i="6"/>
  <c r="R245" i="6"/>
  <c r="S245" i="6"/>
  <c r="T245" i="6"/>
  <c r="C246" i="6"/>
  <c r="D246" i="6"/>
  <c r="E246" i="6"/>
  <c r="F246" i="6"/>
  <c r="H246" i="6"/>
  <c r="I246" i="6"/>
  <c r="L246" i="6"/>
  <c r="N246" i="6"/>
  <c r="Q246" i="6"/>
  <c r="R246" i="6"/>
  <c r="S246" i="6"/>
  <c r="T246" i="6"/>
  <c r="C247" i="6"/>
  <c r="D247" i="6"/>
  <c r="E247" i="6"/>
  <c r="F247" i="6"/>
  <c r="H247" i="6"/>
  <c r="I247" i="6"/>
  <c r="L247" i="6"/>
  <c r="N247" i="6"/>
  <c r="Q247" i="6"/>
  <c r="R247" i="6"/>
  <c r="S247" i="6"/>
  <c r="T247" i="6"/>
  <c r="C248" i="6"/>
  <c r="D248" i="6"/>
  <c r="E248" i="6"/>
  <c r="F248" i="6"/>
  <c r="H248" i="6"/>
  <c r="I248" i="6"/>
  <c r="L248" i="6"/>
  <c r="N248" i="6"/>
  <c r="Q248" i="6"/>
  <c r="R248" i="6"/>
  <c r="S248" i="6"/>
  <c r="T248" i="6"/>
  <c r="C249" i="6"/>
  <c r="D249" i="6"/>
  <c r="E249" i="6"/>
  <c r="F249" i="6"/>
  <c r="H249" i="6"/>
  <c r="I249" i="6"/>
  <c r="L249" i="6"/>
  <c r="N249" i="6"/>
  <c r="Q249" i="6"/>
  <c r="R249" i="6"/>
  <c r="S249" i="6"/>
  <c r="T249" i="6"/>
  <c r="C250" i="6"/>
  <c r="D250" i="6"/>
  <c r="E250" i="6"/>
  <c r="F250" i="6"/>
  <c r="H250" i="6"/>
  <c r="I250" i="6"/>
  <c r="L250" i="6"/>
  <c r="N250" i="6"/>
  <c r="Q250" i="6"/>
  <c r="R250" i="6"/>
  <c r="S250" i="6"/>
  <c r="T250" i="6"/>
  <c r="C251" i="6"/>
  <c r="D251" i="6"/>
  <c r="E251" i="6"/>
  <c r="F251" i="6"/>
  <c r="H251" i="6"/>
  <c r="I251" i="6"/>
  <c r="L251" i="6"/>
  <c r="N251" i="6"/>
  <c r="Q251" i="6"/>
  <c r="R251" i="6"/>
  <c r="S251" i="6"/>
  <c r="T251" i="6"/>
  <c r="C252" i="6"/>
  <c r="D252" i="6"/>
  <c r="E252" i="6"/>
  <c r="F252" i="6"/>
  <c r="H252" i="6"/>
  <c r="I252" i="6"/>
  <c r="L252" i="6"/>
  <c r="N252" i="6"/>
  <c r="Q252" i="6"/>
  <c r="R252" i="6"/>
  <c r="S252" i="6"/>
  <c r="T252" i="6"/>
  <c r="C253" i="6"/>
  <c r="D253" i="6"/>
  <c r="E253" i="6"/>
  <c r="F253" i="6"/>
  <c r="H253" i="6"/>
  <c r="I253" i="6"/>
  <c r="L253" i="6"/>
  <c r="N253" i="6"/>
  <c r="Q253" i="6"/>
  <c r="R253" i="6"/>
  <c r="S253" i="6"/>
  <c r="T253" i="6"/>
  <c r="C254" i="6"/>
  <c r="D254" i="6"/>
  <c r="E254" i="6"/>
  <c r="F254" i="6"/>
  <c r="H254" i="6"/>
  <c r="I254" i="6"/>
  <c r="L254" i="6"/>
  <c r="N254" i="6"/>
  <c r="Q254" i="6"/>
  <c r="R254" i="6"/>
  <c r="S254" i="6"/>
  <c r="T254" i="6"/>
  <c r="C255" i="6"/>
  <c r="D255" i="6"/>
  <c r="E255" i="6"/>
  <c r="F255" i="6"/>
  <c r="H255" i="6"/>
  <c r="I255" i="6"/>
  <c r="L255" i="6"/>
  <c r="N255" i="6"/>
  <c r="Q255" i="6"/>
  <c r="R255" i="6"/>
  <c r="S255" i="6"/>
  <c r="T255" i="6"/>
  <c r="C256" i="6"/>
  <c r="D256" i="6"/>
  <c r="E256" i="6"/>
  <c r="F256" i="6"/>
  <c r="H256" i="6"/>
  <c r="I256" i="6"/>
  <c r="L256" i="6"/>
  <c r="N256" i="6"/>
  <c r="Q256" i="6"/>
  <c r="R256" i="6"/>
  <c r="S256" i="6"/>
  <c r="T256" i="6"/>
  <c r="C257" i="6"/>
  <c r="D257" i="6"/>
  <c r="E257" i="6"/>
  <c r="F257" i="6"/>
  <c r="H257" i="6"/>
  <c r="I257" i="6"/>
  <c r="L257" i="6"/>
  <c r="N257" i="6"/>
  <c r="Q257" i="6"/>
  <c r="R257" i="6"/>
  <c r="S257" i="6"/>
  <c r="T257" i="6"/>
  <c r="C258" i="6"/>
  <c r="D258" i="6"/>
  <c r="E258" i="6"/>
  <c r="F258" i="6"/>
  <c r="H258" i="6"/>
  <c r="I258" i="6"/>
  <c r="L258" i="6"/>
  <c r="N258" i="6"/>
  <c r="Q258" i="6"/>
  <c r="R258" i="6"/>
  <c r="S258" i="6"/>
  <c r="T258" i="6"/>
  <c r="C259" i="6"/>
  <c r="D259" i="6"/>
  <c r="E259" i="6"/>
  <c r="F259" i="6"/>
  <c r="H259" i="6"/>
  <c r="I259" i="6"/>
  <c r="L259" i="6"/>
  <c r="N259" i="6"/>
  <c r="Q259" i="6"/>
  <c r="R259" i="6"/>
  <c r="S259" i="6"/>
  <c r="T259" i="6"/>
  <c r="C260" i="6"/>
  <c r="D260" i="6"/>
  <c r="E260" i="6"/>
  <c r="F260" i="6"/>
  <c r="H260" i="6"/>
  <c r="I260" i="6"/>
  <c r="L260" i="6"/>
  <c r="N260" i="6"/>
  <c r="Q260" i="6"/>
  <c r="R260" i="6"/>
  <c r="S260" i="6"/>
  <c r="T260" i="6"/>
  <c r="C261" i="6"/>
  <c r="D261" i="6"/>
  <c r="E261" i="6"/>
  <c r="F261" i="6"/>
  <c r="H261" i="6"/>
  <c r="I261" i="6"/>
  <c r="L261" i="6"/>
  <c r="N261" i="6"/>
  <c r="Q261" i="6"/>
  <c r="R261" i="6"/>
  <c r="S261" i="6"/>
  <c r="T261" i="6"/>
  <c r="C262" i="6"/>
  <c r="D262" i="6"/>
  <c r="E262" i="6"/>
  <c r="F262" i="6"/>
  <c r="H262" i="6"/>
  <c r="I262" i="6"/>
  <c r="L262" i="6"/>
  <c r="N262" i="6"/>
  <c r="Q262" i="6"/>
  <c r="R262" i="6"/>
  <c r="S262" i="6"/>
  <c r="T262" i="6"/>
  <c r="C263" i="6"/>
  <c r="D263" i="6"/>
  <c r="E263" i="6"/>
  <c r="F263" i="6"/>
  <c r="H263" i="6"/>
  <c r="I263" i="6"/>
  <c r="L263" i="6"/>
  <c r="N263" i="6"/>
  <c r="Q263" i="6"/>
  <c r="R263" i="6"/>
  <c r="S263" i="6"/>
  <c r="T263" i="6"/>
  <c r="C264" i="6"/>
  <c r="D264" i="6"/>
  <c r="E264" i="6"/>
  <c r="F264" i="6"/>
  <c r="H264" i="6"/>
  <c r="I264" i="6"/>
  <c r="L264" i="6"/>
  <c r="N264" i="6"/>
  <c r="Q264" i="6"/>
  <c r="R264" i="6"/>
  <c r="S264" i="6"/>
  <c r="T264" i="6"/>
  <c r="C265" i="6"/>
  <c r="D265" i="6"/>
  <c r="E265" i="6"/>
  <c r="F265" i="6"/>
  <c r="H265" i="6"/>
  <c r="I265" i="6"/>
  <c r="L265" i="6"/>
  <c r="N265" i="6"/>
  <c r="Q265" i="6"/>
  <c r="R265" i="6"/>
  <c r="S265" i="6"/>
  <c r="T265" i="6"/>
  <c r="C266" i="6"/>
  <c r="D266" i="6"/>
  <c r="E266" i="6"/>
  <c r="F266" i="6"/>
  <c r="H266" i="6"/>
  <c r="I266" i="6"/>
  <c r="L266" i="6"/>
  <c r="N266" i="6"/>
  <c r="Q266" i="6"/>
  <c r="R266" i="6"/>
  <c r="S266" i="6"/>
  <c r="T266" i="6"/>
  <c r="C267" i="6"/>
  <c r="D267" i="6"/>
  <c r="E267" i="6"/>
  <c r="F267" i="6"/>
  <c r="H267" i="6"/>
  <c r="I267" i="6"/>
  <c r="L267" i="6"/>
  <c r="N267" i="6"/>
  <c r="Q267" i="6"/>
  <c r="R267" i="6"/>
  <c r="S267" i="6"/>
  <c r="T267" i="6"/>
  <c r="C268" i="6"/>
  <c r="D268" i="6"/>
  <c r="E268" i="6"/>
  <c r="F268" i="6"/>
  <c r="H268" i="6"/>
  <c r="I268" i="6"/>
  <c r="L268" i="6"/>
  <c r="N268" i="6"/>
  <c r="Q268" i="6"/>
  <c r="R268" i="6"/>
  <c r="S268" i="6"/>
  <c r="T268" i="6"/>
  <c r="C269" i="6"/>
  <c r="D269" i="6"/>
  <c r="E269" i="6"/>
  <c r="F269" i="6"/>
  <c r="H269" i="6"/>
  <c r="I269" i="6"/>
  <c r="L269" i="6"/>
  <c r="N269" i="6"/>
  <c r="Q269" i="6"/>
  <c r="R269" i="6"/>
  <c r="S269" i="6"/>
  <c r="T269" i="6"/>
  <c r="C270" i="6"/>
  <c r="D270" i="6"/>
  <c r="E270" i="6"/>
  <c r="F270" i="6"/>
  <c r="H270" i="6"/>
  <c r="I270" i="6"/>
  <c r="L270" i="6"/>
  <c r="N270" i="6"/>
  <c r="Q270" i="6"/>
  <c r="R270" i="6"/>
  <c r="S270" i="6"/>
  <c r="T270" i="6"/>
  <c r="C271" i="6"/>
  <c r="D271" i="6"/>
  <c r="E271" i="6"/>
  <c r="F271" i="6"/>
  <c r="H271" i="6"/>
  <c r="I271" i="6"/>
  <c r="L271" i="6"/>
  <c r="N271" i="6"/>
  <c r="Q271" i="6"/>
  <c r="R271" i="6"/>
  <c r="S271" i="6"/>
  <c r="T271" i="6"/>
  <c r="C272" i="6"/>
  <c r="D272" i="6"/>
  <c r="E272" i="6"/>
  <c r="F272" i="6"/>
  <c r="H272" i="6"/>
  <c r="I272" i="6"/>
  <c r="L272" i="6"/>
  <c r="N272" i="6"/>
  <c r="Q272" i="6"/>
  <c r="R272" i="6"/>
  <c r="S272" i="6"/>
  <c r="T272" i="6"/>
  <c r="C273" i="6"/>
  <c r="D273" i="6"/>
  <c r="E273" i="6"/>
  <c r="F273" i="6"/>
  <c r="H273" i="6"/>
  <c r="I273" i="6"/>
  <c r="L273" i="6"/>
  <c r="N273" i="6"/>
  <c r="Q273" i="6"/>
  <c r="R273" i="6"/>
  <c r="S273" i="6"/>
  <c r="T273" i="6"/>
  <c r="C274" i="6"/>
  <c r="D274" i="6"/>
  <c r="E274" i="6"/>
  <c r="F274" i="6"/>
  <c r="H274" i="6"/>
  <c r="I274" i="6"/>
  <c r="L274" i="6"/>
  <c r="N274" i="6"/>
  <c r="Q274" i="6"/>
  <c r="R274" i="6"/>
  <c r="S274" i="6"/>
  <c r="T274" i="6"/>
  <c r="C275" i="6"/>
  <c r="D275" i="6"/>
  <c r="E275" i="6"/>
  <c r="F275" i="6"/>
  <c r="H275" i="6"/>
  <c r="I275" i="6"/>
  <c r="L275" i="6"/>
  <c r="N275" i="6"/>
  <c r="Q275" i="6"/>
  <c r="R275" i="6"/>
  <c r="S275" i="6"/>
  <c r="T275" i="6"/>
  <c r="C276" i="6"/>
  <c r="D276" i="6"/>
  <c r="E276" i="6"/>
  <c r="F276" i="6"/>
  <c r="H276" i="6"/>
  <c r="I276" i="6"/>
  <c r="L276" i="6"/>
  <c r="N276" i="6"/>
  <c r="Q276" i="6"/>
  <c r="R276" i="6"/>
  <c r="S276" i="6"/>
  <c r="T276" i="6"/>
  <c r="C277" i="6"/>
  <c r="D277" i="6"/>
  <c r="E277" i="6"/>
  <c r="F277" i="6"/>
  <c r="H277" i="6"/>
  <c r="I277" i="6"/>
  <c r="L277" i="6"/>
  <c r="N277" i="6"/>
  <c r="Q277" i="6"/>
  <c r="R277" i="6"/>
  <c r="S277" i="6"/>
  <c r="T277" i="6"/>
  <c r="C278" i="6"/>
  <c r="D278" i="6"/>
  <c r="E278" i="6"/>
  <c r="F278" i="6"/>
  <c r="H278" i="6"/>
  <c r="I278" i="6"/>
  <c r="L278" i="6"/>
  <c r="N278" i="6"/>
  <c r="Q278" i="6"/>
  <c r="R278" i="6"/>
  <c r="S278" i="6"/>
  <c r="T278" i="6"/>
  <c r="C279" i="6"/>
  <c r="D279" i="6"/>
  <c r="E279" i="6"/>
  <c r="F279" i="6"/>
  <c r="H279" i="6"/>
  <c r="I279" i="6"/>
  <c r="L279" i="6"/>
  <c r="N279" i="6"/>
  <c r="Q279" i="6"/>
  <c r="R279" i="6"/>
  <c r="S279" i="6"/>
  <c r="T279" i="6"/>
  <c r="C280" i="6"/>
  <c r="D280" i="6"/>
  <c r="E280" i="6"/>
  <c r="F280" i="6"/>
  <c r="H280" i="6"/>
  <c r="I280" i="6"/>
  <c r="L280" i="6"/>
  <c r="N280" i="6"/>
  <c r="Q280" i="6"/>
  <c r="R280" i="6"/>
  <c r="S280" i="6"/>
  <c r="T280" i="6"/>
  <c r="C281" i="6"/>
  <c r="D281" i="6"/>
  <c r="E281" i="6"/>
  <c r="F281" i="6"/>
  <c r="H281" i="6"/>
  <c r="I281" i="6"/>
  <c r="L281" i="6"/>
  <c r="N281" i="6"/>
  <c r="Q281" i="6"/>
  <c r="R281" i="6"/>
  <c r="S281" i="6"/>
  <c r="T281" i="6"/>
  <c r="C282" i="6"/>
  <c r="D282" i="6"/>
  <c r="E282" i="6"/>
  <c r="F282" i="6"/>
  <c r="H282" i="6"/>
  <c r="I282" i="6"/>
  <c r="L282" i="6"/>
  <c r="N282" i="6"/>
  <c r="Q282" i="6"/>
  <c r="R282" i="6"/>
  <c r="S282" i="6"/>
  <c r="T282" i="6"/>
  <c r="C283" i="6"/>
  <c r="D283" i="6"/>
  <c r="E283" i="6"/>
  <c r="F283" i="6"/>
  <c r="H283" i="6"/>
  <c r="I283" i="6"/>
  <c r="L283" i="6"/>
  <c r="N283" i="6"/>
  <c r="Q283" i="6"/>
  <c r="R283" i="6"/>
  <c r="S283" i="6"/>
  <c r="T283" i="6"/>
  <c r="C284" i="6"/>
  <c r="D284" i="6"/>
  <c r="E284" i="6"/>
  <c r="F284" i="6"/>
  <c r="H284" i="6"/>
  <c r="I284" i="6"/>
  <c r="L284" i="6"/>
  <c r="N284" i="6"/>
  <c r="Q284" i="6"/>
  <c r="R284" i="6"/>
  <c r="S284" i="6"/>
  <c r="T284" i="6"/>
  <c r="C285" i="6"/>
  <c r="D285" i="6"/>
  <c r="E285" i="6"/>
  <c r="F285" i="6"/>
  <c r="H285" i="6"/>
  <c r="I285" i="6"/>
  <c r="L285" i="6"/>
  <c r="N285" i="6"/>
  <c r="Q285" i="6"/>
  <c r="R285" i="6"/>
  <c r="S285" i="6"/>
  <c r="T285" i="6"/>
  <c r="C286" i="6"/>
  <c r="D286" i="6"/>
  <c r="E286" i="6"/>
  <c r="F286" i="6"/>
  <c r="H286" i="6"/>
  <c r="I286" i="6"/>
  <c r="L286" i="6"/>
  <c r="N286" i="6"/>
  <c r="Q286" i="6"/>
  <c r="R286" i="6"/>
  <c r="S286" i="6"/>
  <c r="T286" i="6"/>
  <c r="C287" i="6"/>
  <c r="D287" i="6"/>
  <c r="E287" i="6"/>
  <c r="F287" i="6"/>
  <c r="H287" i="6"/>
  <c r="I287" i="6"/>
  <c r="L287" i="6"/>
  <c r="N287" i="6"/>
  <c r="Q287" i="6"/>
  <c r="R287" i="6"/>
  <c r="S287" i="6"/>
  <c r="T287" i="6"/>
  <c r="C288" i="6"/>
  <c r="D288" i="6"/>
  <c r="E288" i="6"/>
  <c r="F288" i="6"/>
  <c r="H288" i="6"/>
  <c r="I288" i="6"/>
  <c r="L288" i="6"/>
  <c r="N288" i="6"/>
  <c r="Q288" i="6"/>
  <c r="R288" i="6"/>
  <c r="S288" i="6"/>
  <c r="T288" i="6"/>
  <c r="C289" i="6"/>
  <c r="D289" i="6"/>
  <c r="E289" i="6"/>
  <c r="F289" i="6"/>
  <c r="H289" i="6"/>
  <c r="I289" i="6"/>
  <c r="L289" i="6"/>
  <c r="N289" i="6"/>
  <c r="Q289" i="6"/>
  <c r="R289" i="6"/>
  <c r="S289" i="6"/>
  <c r="T289" i="6"/>
  <c r="C290" i="6"/>
  <c r="D290" i="6"/>
  <c r="E290" i="6"/>
  <c r="F290" i="6"/>
  <c r="H290" i="6"/>
  <c r="I290" i="6"/>
  <c r="L290" i="6"/>
  <c r="N290" i="6"/>
  <c r="Q290" i="6"/>
  <c r="R290" i="6"/>
  <c r="S290" i="6"/>
  <c r="T290" i="6"/>
  <c r="C291" i="6"/>
  <c r="D291" i="6"/>
  <c r="E291" i="6"/>
  <c r="F291" i="6"/>
  <c r="H291" i="6"/>
  <c r="I291" i="6"/>
  <c r="L291" i="6"/>
  <c r="N291" i="6"/>
  <c r="Q291" i="6"/>
  <c r="R291" i="6"/>
  <c r="S291" i="6"/>
  <c r="T291" i="6"/>
  <c r="C292" i="6"/>
  <c r="D292" i="6"/>
  <c r="E292" i="6"/>
  <c r="F292" i="6"/>
  <c r="H292" i="6"/>
  <c r="I292" i="6"/>
  <c r="L292" i="6"/>
  <c r="N292" i="6"/>
  <c r="Q292" i="6"/>
  <c r="R292" i="6"/>
  <c r="S292" i="6"/>
  <c r="T292" i="6"/>
  <c r="C293" i="6"/>
  <c r="D293" i="6"/>
  <c r="E293" i="6"/>
  <c r="F293" i="6"/>
  <c r="H293" i="6"/>
  <c r="I293" i="6"/>
  <c r="L293" i="6"/>
  <c r="N293" i="6"/>
  <c r="Q293" i="6"/>
  <c r="R293" i="6"/>
  <c r="S293" i="6"/>
  <c r="T293" i="6"/>
  <c r="C294" i="6"/>
  <c r="D294" i="6"/>
  <c r="E294" i="6"/>
  <c r="F294" i="6"/>
  <c r="H294" i="6"/>
  <c r="I294" i="6"/>
  <c r="L294" i="6"/>
  <c r="N294" i="6"/>
  <c r="Q294" i="6"/>
  <c r="R294" i="6"/>
  <c r="S294" i="6"/>
  <c r="T294" i="6"/>
  <c r="C295" i="6"/>
  <c r="D295" i="6"/>
  <c r="E295" i="6"/>
  <c r="F295" i="6"/>
  <c r="H295" i="6"/>
  <c r="I295" i="6"/>
  <c r="L295" i="6"/>
  <c r="N295" i="6"/>
  <c r="Q295" i="6"/>
  <c r="R295" i="6"/>
  <c r="S295" i="6"/>
  <c r="T295" i="6"/>
  <c r="C296" i="6"/>
  <c r="D296" i="6"/>
  <c r="E296" i="6"/>
  <c r="F296" i="6"/>
  <c r="H296" i="6"/>
  <c r="I296" i="6"/>
  <c r="L296" i="6"/>
  <c r="N296" i="6"/>
  <c r="Q296" i="6"/>
  <c r="R296" i="6"/>
  <c r="S296" i="6"/>
  <c r="T296" i="6"/>
  <c r="C297" i="6"/>
  <c r="D297" i="6"/>
  <c r="E297" i="6"/>
  <c r="F297" i="6"/>
  <c r="H297" i="6"/>
  <c r="I297" i="6"/>
  <c r="L297" i="6"/>
  <c r="N297" i="6"/>
  <c r="Q297" i="6"/>
  <c r="R297" i="6"/>
  <c r="S297" i="6"/>
  <c r="T297" i="6"/>
  <c r="C298" i="6"/>
  <c r="D298" i="6"/>
  <c r="E298" i="6"/>
  <c r="F298" i="6"/>
  <c r="H298" i="6"/>
  <c r="I298" i="6"/>
  <c r="L298" i="6"/>
  <c r="N298" i="6"/>
  <c r="Q298" i="6"/>
  <c r="R298" i="6"/>
  <c r="S298" i="6"/>
  <c r="T298" i="6"/>
  <c r="C299" i="6"/>
  <c r="D299" i="6"/>
  <c r="E299" i="6"/>
  <c r="F299" i="6"/>
  <c r="H299" i="6"/>
  <c r="I299" i="6"/>
  <c r="L299" i="6"/>
  <c r="N299" i="6"/>
  <c r="Q299" i="6"/>
  <c r="R299" i="6"/>
  <c r="S299" i="6"/>
  <c r="T299" i="6"/>
  <c r="C300" i="6"/>
  <c r="D300" i="6"/>
  <c r="E300" i="6"/>
  <c r="F300" i="6"/>
  <c r="H300" i="6"/>
  <c r="I300" i="6"/>
  <c r="L300" i="6"/>
  <c r="N300" i="6"/>
  <c r="Q300" i="6"/>
  <c r="R300" i="6"/>
  <c r="S300" i="6"/>
  <c r="T300" i="6"/>
  <c r="C301" i="6"/>
  <c r="D301" i="6"/>
  <c r="E301" i="6"/>
  <c r="F301" i="6"/>
  <c r="H301" i="6"/>
  <c r="I301" i="6"/>
  <c r="L301" i="6"/>
  <c r="N301" i="6"/>
  <c r="Q301" i="6"/>
  <c r="R301" i="6"/>
  <c r="S301" i="6"/>
  <c r="T301" i="6"/>
  <c r="C302" i="6"/>
  <c r="D302" i="6"/>
  <c r="E302" i="6"/>
  <c r="F302" i="6"/>
  <c r="H302" i="6"/>
  <c r="I302" i="6"/>
  <c r="L302" i="6"/>
  <c r="N302" i="6"/>
  <c r="Q302" i="6"/>
  <c r="R302" i="6"/>
  <c r="S302" i="6"/>
  <c r="T302" i="6"/>
  <c r="C303" i="6"/>
  <c r="D303" i="6"/>
  <c r="E303" i="6"/>
  <c r="F303" i="6"/>
  <c r="H303" i="6"/>
  <c r="I303" i="6"/>
  <c r="L303" i="6"/>
  <c r="N303" i="6"/>
  <c r="Q303" i="6"/>
  <c r="R303" i="6"/>
  <c r="S303" i="6"/>
  <c r="T303" i="6"/>
  <c r="C304" i="6"/>
  <c r="D304" i="6"/>
  <c r="E304" i="6"/>
  <c r="F304" i="6"/>
  <c r="H304" i="6"/>
  <c r="I304" i="6"/>
  <c r="L304" i="6"/>
  <c r="N304" i="6"/>
  <c r="Q304" i="6"/>
  <c r="R304" i="6"/>
  <c r="S304" i="6"/>
  <c r="T304" i="6"/>
  <c r="C305" i="6"/>
  <c r="D305" i="6"/>
  <c r="E305" i="6"/>
  <c r="F305" i="6"/>
  <c r="H305" i="6"/>
  <c r="I305" i="6"/>
  <c r="L305" i="6"/>
  <c r="N305" i="6"/>
  <c r="Q305" i="6"/>
  <c r="R305" i="6"/>
  <c r="S305" i="6"/>
  <c r="T305" i="6"/>
  <c r="C306" i="6"/>
  <c r="D306" i="6"/>
  <c r="E306" i="6"/>
  <c r="F306" i="6"/>
  <c r="H306" i="6"/>
  <c r="I306" i="6"/>
  <c r="L306" i="6"/>
  <c r="N306" i="6"/>
  <c r="Q306" i="6"/>
  <c r="R306" i="6"/>
  <c r="S306" i="6"/>
  <c r="T306" i="6"/>
  <c r="C307" i="6"/>
  <c r="D307" i="6"/>
  <c r="E307" i="6"/>
  <c r="F307" i="6"/>
  <c r="H307" i="6"/>
  <c r="I307" i="6"/>
  <c r="L307" i="6"/>
  <c r="N307" i="6"/>
  <c r="Q307" i="6"/>
  <c r="R307" i="6"/>
  <c r="S307" i="6"/>
  <c r="T307" i="6"/>
  <c r="C308" i="6"/>
  <c r="D308" i="6"/>
  <c r="E308" i="6"/>
  <c r="F308" i="6"/>
  <c r="H308" i="6"/>
  <c r="I308" i="6"/>
  <c r="L308" i="6"/>
  <c r="N308" i="6"/>
  <c r="Q308" i="6"/>
  <c r="R308" i="6"/>
  <c r="S308" i="6"/>
  <c r="T308" i="6"/>
  <c r="C309" i="6"/>
  <c r="D309" i="6"/>
  <c r="E309" i="6"/>
  <c r="F309" i="6"/>
  <c r="H309" i="6"/>
  <c r="I309" i="6"/>
  <c r="L309" i="6"/>
  <c r="N309" i="6"/>
  <c r="Q309" i="6"/>
  <c r="R309" i="6"/>
  <c r="S309" i="6"/>
  <c r="T309" i="6"/>
  <c r="C310" i="6"/>
  <c r="D310" i="6"/>
  <c r="E310" i="6"/>
  <c r="F310" i="6"/>
  <c r="H310" i="6"/>
  <c r="I310" i="6"/>
  <c r="L310" i="6"/>
  <c r="N310" i="6"/>
  <c r="Q310" i="6"/>
  <c r="R310" i="6"/>
  <c r="S310" i="6"/>
  <c r="T310" i="6"/>
  <c r="C311" i="6"/>
  <c r="D311" i="6"/>
  <c r="E311" i="6"/>
  <c r="F311" i="6"/>
  <c r="H311" i="6"/>
  <c r="I311" i="6"/>
  <c r="L311" i="6"/>
  <c r="N311" i="6"/>
  <c r="Q311" i="6"/>
  <c r="R311" i="6"/>
  <c r="S311" i="6"/>
  <c r="T311" i="6"/>
  <c r="C312" i="6"/>
  <c r="D312" i="6"/>
  <c r="E312" i="6"/>
  <c r="F312" i="6"/>
  <c r="H312" i="6"/>
  <c r="I312" i="6"/>
  <c r="L312" i="6"/>
  <c r="N312" i="6"/>
  <c r="Q312" i="6"/>
  <c r="R312" i="6"/>
  <c r="S312" i="6"/>
  <c r="T312" i="6"/>
  <c r="C313" i="6"/>
  <c r="D313" i="6"/>
  <c r="E313" i="6"/>
  <c r="F313" i="6"/>
  <c r="H313" i="6"/>
  <c r="I313" i="6"/>
  <c r="L313" i="6"/>
  <c r="N313" i="6"/>
  <c r="Q313" i="6"/>
  <c r="R313" i="6"/>
  <c r="S313" i="6"/>
  <c r="T313" i="6"/>
  <c r="C314" i="6"/>
  <c r="D314" i="6"/>
  <c r="E314" i="6"/>
  <c r="F314" i="6"/>
  <c r="H314" i="6"/>
  <c r="I314" i="6"/>
  <c r="L314" i="6"/>
  <c r="N314" i="6"/>
  <c r="Q314" i="6"/>
  <c r="R314" i="6"/>
  <c r="S314" i="6"/>
  <c r="T314" i="6"/>
  <c r="C315" i="6"/>
  <c r="D315" i="6"/>
  <c r="E315" i="6"/>
  <c r="F315" i="6"/>
  <c r="H315" i="6"/>
  <c r="I315" i="6"/>
  <c r="L315" i="6"/>
  <c r="N315" i="6"/>
  <c r="Q315" i="6"/>
  <c r="R315" i="6"/>
  <c r="S315" i="6"/>
  <c r="T315" i="6"/>
  <c r="C316" i="6"/>
  <c r="D316" i="6"/>
  <c r="E316" i="6"/>
  <c r="F316" i="6"/>
  <c r="H316" i="6"/>
  <c r="I316" i="6"/>
  <c r="L316" i="6"/>
  <c r="N316" i="6"/>
  <c r="Q316" i="6"/>
  <c r="R316" i="6"/>
  <c r="S316" i="6"/>
  <c r="T316" i="6"/>
  <c r="C317" i="6"/>
  <c r="D317" i="6"/>
  <c r="E317" i="6"/>
  <c r="F317" i="6"/>
  <c r="H317" i="6"/>
  <c r="I317" i="6"/>
  <c r="L317" i="6"/>
  <c r="N317" i="6"/>
  <c r="Q317" i="6"/>
  <c r="R317" i="6"/>
  <c r="S317" i="6"/>
  <c r="T317" i="6"/>
  <c r="C318" i="6"/>
  <c r="D318" i="6"/>
  <c r="E318" i="6"/>
  <c r="F318" i="6"/>
  <c r="H318" i="6"/>
  <c r="I318" i="6"/>
  <c r="L318" i="6"/>
  <c r="N318" i="6"/>
  <c r="Q318" i="6"/>
  <c r="R318" i="6"/>
  <c r="S318" i="6"/>
  <c r="T318" i="6"/>
  <c r="C319" i="6"/>
  <c r="D319" i="6"/>
  <c r="E319" i="6"/>
  <c r="F319" i="6"/>
  <c r="H319" i="6"/>
  <c r="I319" i="6"/>
  <c r="L319" i="6"/>
  <c r="N319" i="6"/>
  <c r="Q319" i="6"/>
  <c r="R319" i="6"/>
  <c r="S319" i="6"/>
  <c r="T319" i="6"/>
  <c r="C320" i="6"/>
  <c r="D320" i="6"/>
  <c r="E320" i="6"/>
  <c r="F320" i="6"/>
  <c r="H320" i="6"/>
  <c r="I320" i="6"/>
  <c r="L320" i="6"/>
  <c r="N320" i="6"/>
  <c r="Q320" i="6"/>
  <c r="R320" i="6"/>
  <c r="S320" i="6"/>
  <c r="T320" i="6"/>
  <c r="C321" i="6"/>
  <c r="D321" i="6"/>
  <c r="E321" i="6"/>
  <c r="F321" i="6"/>
  <c r="H321" i="6"/>
  <c r="I321" i="6"/>
  <c r="L321" i="6"/>
  <c r="N321" i="6"/>
  <c r="Q321" i="6"/>
  <c r="R321" i="6"/>
  <c r="S321" i="6"/>
  <c r="T321" i="6"/>
  <c r="C322" i="6"/>
  <c r="D322" i="6"/>
  <c r="E322" i="6"/>
  <c r="F322" i="6"/>
  <c r="H322" i="6"/>
  <c r="I322" i="6"/>
  <c r="L322" i="6"/>
  <c r="N322" i="6"/>
  <c r="Q322" i="6"/>
  <c r="R322" i="6"/>
  <c r="S322" i="6"/>
  <c r="T322" i="6"/>
  <c r="C323" i="6"/>
  <c r="D323" i="6"/>
  <c r="E323" i="6"/>
  <c r="F323" i="6"/>
  <c r="H323" i="6"/>
  <c r="I323" i="6"/>
  <c r="L323" i="6"/>
  <c r="N323" i="6"/>
  <c r="Q323" i="6"/>
  <c r="R323" i="6"/>
  <c r="S323" i="6"/>
  <c r="T323" i="6"/>
  <c r="C324" i="6"/>
  <c r="D324" i="6"/>
  <c r="E324" i="6"/>
  <c r="F324" i="6"/>
  <c r="H324" i="6"/>
  <c r="I324" i="6"/>
  <c r="L324" i="6"/>
  <c r="N324" i="6"/>
  <c r="Q324" i="6"/>
  <c r="R324" i="6"/>
  <c r="S324" i="6"/>
  <c r="T324" i="6"/>
  <c r="C325" i="6"/>
  <c r="D325" i="6"/>
  <c r="E325" i="6"/>
  <c r="F325" i="6"/>
  <c r="H325" i="6"/>
  <c r="I325" i="6"/>
  <c r="L325" i="6"/>
  <c r="N325" i="6"/>
  <c r="Q325" i="6"/>
  <c r="R325" i="6"/>
  <c r="S325" i="6"/>
  <c r="T325" i="6"/>
  <c r="C326" i="6"/>
  <c r="D326" i="6"/>
  <c r="E326" i="6"/>
  <c r="F326" i="6"/>
  <c r="H326" i="6"/>
  <c r="I326" i="6"/>
  <c r="L326" i="6"/>
  <c r="N326" i="6"/>
  <c r="Q326" i="6"/>
  <c r="R326" i="6"/>
  <c r="S326" i="6"/>
  <c r="T326" i="6"/>
  <c r="C327" i="6"/>
  <c r="D327" i="6"/>
  <c r="E327" i="6"/>
  <c r="F327" i="6"/>
  <c r="H327" i="6"/>
  <c r="I327" i="6"/>
  <c r="L327" i="6"/>
  <c r="N327" i="6"/>
  <c r="Q327" i="6"/>
  <c r="R327" i="6"/>
  <c r="S327" i="6"/>
  <c r="T327" i="6"/>
  <c r="C328" i="6"/>
  <c r="D328" i="6"/>
  <c r="E328" i="6"/>
  <c r="F328" i="6"/>
  <c r="H328" i="6"/>
  <c r="I328" i="6"/>
  <c r="L328" i="6"/>
  <c r="N328" i="6"/>
  <c r="Q328" i="6"/>
  <c r="R328" i="6"/>
  <c r="S328" i="6"/>
  <c r="T328" i="6"/>
  <c r="C329" i="6"/>
  <c r="D329" i="6"/>
  <c r="E329" i="6"/>
  <c r="F329" i="6"/>
  <c r="H329" i="6"/>
  <c r="I329" i="6"/>
  <c r="L329" i="6"/>
  <c r="N329" i="6"/>
  <c r="Q329" i="6"/>
  <c r="R329" i="6"/>
  <c r="S329" i="6"/>
  <c r="T329" i="6"/>
  <c r="C330" i="6"/>
  <c r="D330" i="6"/>
  <c r="E330" i="6"/>
  <c r="F330" i="6"/>
  <c r="H330" i="6"/>
  <c r="I330" i="6"/>
  <c r="L330" i="6"/>
  <c r="N330" i="6"/>
  <c r="Q330" i="6"/>
  <c r="R330" i="6"/>
  <c r="S330" i="6"/>
  <c r="T330" i="6"/>
  <c r="C331" i="6"/>
  <c r="D331" i="6"/>
  <c r="E331" i="6"/>
  <c r="F331" i="6"/>
  <c r="H331" i="6"/>
  <c r="I331" i="6"/>
  <c r="L331" i="6"/>
  <c r="N331" i="6"/>
  <c r="Q331" i="6"/>
  <c r="R331" i="6"/>
  <c r="S331" i="6"/>
  <c r="T331" i="6"/>
  <c r="C332" i="6"/>
  <c r="D332" i="6"/>
  <c r="E332" i="6"/>
  <c r="F332" i="6"/>
  <c r="H332" i="6"/>
  <c r="I332" i="6"/>
  <c r="L332" i="6"/>
  <c r="N332" i="6"/>
  <c r="Q332" i="6"/>
  <c r="R332" i="6"/>
  <c r="S332" i="6"/>
  <c r="T332" i="6"/>
  <c r="C333" i="6"/>
  <c r="D333" i="6"/>
  <c r="E333" i="6"/>
  <c r="F333" i="6"/>
  <c r="H333" i="6"/>
  <c r="I333" i="6"/>
  <c r="L333" i="6"/>
  <c r="N333" i="6"/>
  <c r="Q333" i="6"/>
  <c r="R333" i="6"/>
  <c r="S333" i="6"/>
  <c r="T333" i="6"/>
  <c r="C334" i="6"/>
  <c r="D334" i="6"/>
  <c r="E334" i="6"/>
  <c r="F334" i="6"/>
  <c r="H334" i="6"/>
  <c r="I334" i="6"/>
  <c r="L334" i="6"/>
  <c r="N334" i="6"/>
  <c r="Q334" i="6"/>
  <c r="R334" i="6"/>
  <c r="S334" i="6"/>
  <c r="T334" i="6"/>
  <c r="C335" i="6"/>
  <c r="D335" i="6"/>
  <c r="E335" i="6"/>
  <c r="F335" i="6"/>
  <c r="H335" i="6"/>
  <c r="I335" i="6"/>
  <c r="L335" i="6"/>
  <c r="N335" i="6"/>
  <c r="Q335" i="6"/>
  <c r="R335" i="6"/>
  <c r="S335" i="6"/>
  <c r="T335" i="6"/>
  <c r="C336" i="6"/>
  <c r="D336" i="6"/>
  <c r="E336" i="6"/>
  <c r="F336" i="6"/>
  <c r="H336" i="6"/>
  <c r="I336" i="6"/>
  <c r="L336" i="6"/>
  <c r="N336" i="6"/>
  <c r="Q336" i="6"/>
  <c r="R336" i="6"/>
  <c r="S336" i="6"/>
  <c r="T336" i="6"/>
  <c r="C337" i="6"/>
  <c r="D337" i="6"/>
  <c r="E337" i="6"/>
  <c r="F337" i="6"/>
  <c r="H337" i="6"/>
  <c r="I337" i="6"/>
  <c r="L337" i="6"/>
  <c r="N337" i="6"/>
  <c r="Q337" i="6"/>
  <c r="R337" i="6"/>
  <c r="S337" i="6"/>
  <c r="T337" i="6"/>
  <c r="C338" i="6"/>
  <c r="D338" i="6"/>
  <c r="E338" i="6"/>
  <c r="F338" i="6"/>
  <c r="H338" i="6"/>
  <c r="I338" i="6"/>
  <c r="L338" i="6"/>
  <c r="N338" i="6"/>
  <c r="Q338" i="6"/>
  <c r="R338" i="6"/>
  <c r="S338" i="6"/>
  <c r="T338" i="6"/>
  <c r="C339" i="6"/>
  <c r="D339" i="6"/>
  <c r="E339" i="6"/>
  <c r="F339" i="6"/>
  <c r="H339" i="6"/>
  <c r="I339" i="6"/>
  <c r="L339" i="6"/>
  <c r="N339" i="6"/>
  <c r="Q339" i="6"/>
  <c r="R339" i="6"/>
  <c r="S339" i="6"/>
  <c r="T339" i="6"/>
  <c r="C340" i="6"/>
  <c r="D340" i="6"/>
  <c r="E340" i="6"/>
  <c r="F340" i="6"/>
  <c r="H340" i="6"/>
  <c r="I340" i="6"/>
  <c r="L340" i="6"/>
  <c r="N340" i="6"/>
  <c r="Q340" i="6"/>
  <c r="R340" i="6"/>
  <c r="S340" i="6"/>
  <c r="T340" i="6"/>
  <c r="C341" i="6"/>
  <c r="D341" i="6"/>
  <c r="E341" i="6"/>
  <c r="F341" i="6"/>
  <c r="H341" i="6"/>
  <c r="I341" i="6"/>
  <c r="L341" i="6"/>
  <c r="N341" i="6"/>
  <c r="Q341" i="6"/>
  <c r="R341" i="6"/>
  <c r="S341" i="6"/>
  <c r="T341" i="6"/>
  <c r="C342" i="6"/>
  <c r="D342" i="6"/>
  <c r="E342" i="6"/>
  <c r="F342" i="6"/>
  <c r="H342" i="6"/>
  <c r="I342" i="6"/>
  <c r="L342" i="6"/>
  <c r="N342" i="6"/>
  <c r="Q342" i="6"/>
  <c r="R342" i="6"/>
  <c r="S342" i="6"/>
  <c r="T342" i="6"/>
  <c r="C343" i="6"/>
  <c r="D343" i="6"/>
  <c r="E343" i="6"/>
  <c r="F343" i="6"/>
  <c r="H343" i="6"/>
  <c r="I343" i="6"/>
  <c r="L343" i="6"/>
  <c r="N343" i="6"/>
  <c r="Q343" i="6"/>
  <c r="R343" i="6"/>
  <c r="S343" i="6"/>
  <c r="T343" i="6"/>
  <c r="C344" i="6"/>
  <c r="D344" i="6"/>
  <c r="E344" i="6"/>
  <c r="F344" i="6"/>
  <c r="H344" i="6"/>
  <c r="I344" i="6"/>
  <c r="L344" i="6"/>
  <c r="N344" i="6"/>
  <c r="Q344" i="6"/>
  <c r="R344" i="6"/>
  <c r="S344" i="6"/>
  <c r="T344" i="6"/>
  <c r="C345" i="6"/>
  <c r="D345" i="6"/>
  <c r="E345" i="6"/>
  <c r="F345" i="6"/>
  <c r="H345" i="6"/>
  <c r="I345" i="6"/>
  <c r="L345" i="6"/>
  <c r="N345" i="6"/>
  <c r="Q345" i="6"/>
  <c r="R345" i="6"/>
  <c r="S345" i="6"/>
  <c r="T345" i="6"/>
  <c r="C346" i="6"/>
  <c r="D346" i="6"/>
  <c r="E346" i="6"/>
  <c r="F346" i="6"/>
  <c r="H346" i="6"/>
  <c r="I346" i="6"/>
  <c r="L346" i="6"/>
  <c r="N346" i="6"/>
  <c r="Q346" i="6"/>
  <c r="R346" i="6"/>
  <c r="S346" i="6"/>
  <c r="T346" i="6"/>
  <c r="C347" i="6"/>
  <c r="D347" i="6"/>
  <c r="E347" i="6"/>
  <c r="F347" i="6"/>
  <c r="H347" i="6"/>
  <c r="I347" i="6"/>
  <c r="L347" i="6"/>
  <c r="N347" i="6"/>
  <c r="Q347" i="6"/>
  <c r="R347" i="6"/>
  <c r="S347" i="6"/>
  <c r="T347" i="6"/>
  <c r="C348" i="6"/>
  <c r="D348" i="6"/>
  <c r="E348" i="6"/>
  <c r="F348" i="6"/>
  <c r="H348" i="6"/>
  <c r="I348" i="6"/>
  <c r="L348" i="6"/>
  <c r="N348" i="6"/>
  <c r="Q348" i="6"/>
  <c r="R348" i="6"/>
  <c r="S348" i="6"/>
  <c r="T348" i="6"/>
  <c r="C349" i="6"/>
  <c r="D349" i="6"/>
  <c r="E349" i="6"/>
  <c r="F349" i="6"/>
  <c r="H349" i="6"/>
  <c r="I349" i="6"/>
  <c r="L349" i="6"/>
  <c r="N349" i="6"/>
  <c r="Q349" i="6"/>
  <c r="R349" i="6"/>
  <c r="S349" i="6"/>
  <c r="T349" i="6"/>
  <c r="C350" i="6"/>
  <c r="D350" i="6"/>
  <c r="E350" i="6"/>
  <c r="F350" i="6"/>
  <c r="H350" i="6"/>
  <c r="I350" i="6"/>
  <c r="L350" i="6"/>
  <c r="N350" i="6"/>
  <c r="Q350" i="6"/>
  <c r="R350" i="6"/>
  <c r="S350" i="6"/>
  <c r="T350" i="6"/>
  <c r="C351" i="6"/>
  <c r="D351" i="6"/>
  <c r="E351" i="6"/>
  <c r="F351" i="6"/>
  <c r="H351" i="6"/>
  <c r="I351" i="6"/>
  <c r="L351" i="6"/>
  <c r="N351" i="6"/>
  <c r="Q351" i="6"/>
  <c r="R351" i="6"/>
  <c r="S351" i="6"/>
  <c r="T351" i="6"/>
  <c r="C352" i="6"/>
  <c r="D352" i="6"/>
  <c r="E352" i="6"/>
  <c r="F352" i="6"/>
  <c r="H352" i="6"/>
  <c r="I352" i="6"/>
  <c r="L352" i="6"/>
  <c r="N352" i="6"/>
  <c r="Q352" i="6"/>
  <c r="R352" i="6"/>
  <c r="S352" i="6"/>
  <c r="T352" i="6"/>
  <c r="C353" i="6"/>
  <c r="D353" i="6"/>
  <c r="E353" i="6"/>
  <c r="F353" i="6"/>
  <c r="H353" i="6"/>
  <c r="I353" i="6"/>
  <c r="L353" i="6"/>
  <c r="N353" i="6"/>
  <c r="Q353" i="6"/>
  <c r="R353" i="6"/>
  <c r="S353" i="6"/>
  <c r="T353" i="6"/>
  <c r="C354" i="6"/>
  <c r="D354" i="6"/>
  <c r="E354" i="6"/>
  <c r="F354" i="6"/>
  <c r="H354" i="6"/>
  <c r="I354" i="6"/>
  <c r="L354" i="6"/>
  <c r="N354" i="6"/>
  <c r="Q354" i="6"/>
  <c r="R354" i="6"/>
  <c r="S354" i="6"/>
  <c r="T354" i="6"/>
  <c r="C355" i="6"/>
  <c r="D355" i="6"/>
  <c r="E355" i="6"/>
  <c r="F355" i="6"/>
  <c r="H355" i="6"/>
  <c r="I355" i="6"/>
  <c r="L355" i="6"/>
  <c r="N355" i="6"/>
  <c r="Q355" i="6"/>
  <c r="R355" i="6"/>
  <c r="S355" i="6"/>
  <c r="T355" i="6"/>
  <c r="C356" i="6"/>
  <c r="D356" i="6"/>
  <c r="E356" i="6"/>
  <c r="F356" i="6"/>
  <c r="H356" i="6"/>
  <c r="I356" i="6"/>
  <c r="L356" i="6"/>
  <c r="N356" i="6"/>
  <c r="Q356" i="6"/>
  <c r="R356" i="6"/>
  <c r="S356" i="6"/>
  <c r="T356" i="6"/>
  <c r="C357" i="6"/>
  <c r="D357" i="6"/>
  <c r="E357" i="6"/>
  <c r="F357" i="6"/>
  <c r="H357" i="6"/>
  <c r="I357" i="6"/>
  <c r="L357" i="6"/>
  <c r="N357" i="6"/>
  <c r="Q357" i="6"/>
  <c r="R357" i="6"/>
  <c r="S357" i="6"/>
  <c r="T357" i="6"/>
  <c r="C358" i="6"/>
  <c r="D358" i="6"/>
  <c r="E358" i="6"/>
  <c r="F358" i="6"/>
  <c r="H358" i="6"/>
  <c r="I358" i="6"/>
  <c r="L358" i="6"/>
  <c r="N358" i="6"/>
  <c r="Q358" i="6"/>
  <c r="R358" i="6"/>
  <c r="S358" i="6"/>
  <c r="T358" i="6"/>
  <c r="C359" i="6"/>
  <c r="D359" i="6"/>
  <c r="E359" i="6"/>
  <c r="F359" i="6"/>
  <c r="H359" i="6"/>
  <c r="I359" i="6"/>
  <c r="L359" i="6"/>
  <c r="N359" i="6"/>
  <c r="Q359" i="6"/>
  <c r="R359" i="6"/>
  <c r="S359" i="6"/>
  <c r="T359" i="6"/>
  <c r="C360" i="6"/>
  <c r="D360" i="6"/>
  <c r="E360" i="6"/>
  <c r="F360" i="6"/>
  <c r="H360" i="6"/>
  <c r="I360" i="6"/>
  <c r="L360" i="6"/>
  <c r="N360" i="6"/>
  <c r="Q360" i="6"/>
  <c r="R360" i="6"/>
  <c r="S360" i="6"/>
  <c r="T360" i="6"/>
  <c r="C361" i="6"/>
  <c r="D361" i="6"/>
  <c r="E361" i="6"/>
  <c r="F361" i="6"/>
  <c r="H361" i="6"/>
  <c r="I361" i="6"/>
  <c r="L361" i="6"/>
  <c r="N361" i="6"/>
  <c r="Q361" i="6"/>
  <c r="R361" i="6"/>
  <c r="S361" i="6"/>
  <c r="T361" i="6"/>
  <c r="C362" i="6"/>
  <c r="D362" i="6"/>
  <c r="E362" i="6"/>
  <c r="F362" i="6"/>
  <c r="H362" i="6"/>
  <c r="I362" i="6"/>
  <c r="L362" i="6"/>
  <c r="N362" i="6"/>
  <c r="Q362" i="6"/>
  <c r="R362" i="6"/>
  <c r="S362" i="6"/>
  <c r="T362" i="6"/>
  <c r="C363" i="6"/>
  <c r="D363" i="6"/>
  <c r="E363" i="6"/>
  <c r="F363" i="6"/>
  <c r="H363" i="6"/>
  <c r="I363" i="6"/>
  <c r="L363" i="6"/>
  <c r="N363" i="6"/>
  <c r="Q363" i="6"/>
  <c r="R363" i="6"/>
  <c r="S363" i="6"/>
  <c r="T363" i="6"/>
  <c r="C364" i="6"/>
  <c r="D364" i="6"/>
  <c r="E364" i="6"/>
  <c r="F364" i="6"/>
  <c r="H364" i="6"/>
  <c r="I364" i="6"/>
  <c r="L364" i="6"/>
  <c r="N364" i="6"/>
  <c r="Q364" i="6"/>
  <c r="R364" i="6"/>
  <c r="S364" i="6"/>
  <c r="T364" i="6"/>
  <c r="C365" i="6"/>
  <c r="D365" i="6"/>
  <c r="E365" i="6"/>
  <c r="F365" i="6"/>
  <c r="H365" i="6"/>
  <c r="I365" i="6"/>
  <c r="L365" i="6"/>
  <c r="N365" i="6"/>
  <c r="Q365" i="6"/>
  <c r="R365" i="6"/>
  <c r="S365" i="6"/>
  <c r="T365" i="6"/>
  <c r="C366" i="6"/>
  <c r="D366" i="6"/>
  <c r="E366" i="6"/>
  <c r="F366" i="6"/>
  <c r="H366" i="6"/>
  <c r="I366" i="6"/>
  <c r="L366" i="6"/>
  <c r="N366" i="6"/>
  <c r="Q366" i="6"/>
  <c r="R366" i="6"/>
  <c r="S366" i="6"/>
  <c r="T366" i="6"/>
  <c r="C367" i="6"/>
  <c r="D367" i="6"/>
  <c r="E367" i="6"/>
  <c r="F367" i="6"/>
  <c r="H367" i="6"/>
  <c r="I367" i="6"/>
  <c r="L367" i="6"/>
  <c r="N367" i="6"/>
  <c r="Q367" i="6"/>
  <c r="R367" i="6"/>
  <c r="S367" i="6"/>
  <c r="T367" i="6"/>
  <c r="C368" i="6"/>
  <c r="D368" i="6"/>
  <c r="E368" i="6"/>
  <c r="F368" i="6"/>
  <c r="H368" i="6"/>
  <c r="I368" i="6"/>
  <c r="L368" i="6"/>
  <c r="N368" i="6"/>
  <c r="Q368" i="6"/>
  <c r="R368" i="6"/>
  <c r="S368" i="6"/>
  <c r="T368" i="6"/>
  <c r="C369" i="6"/>
  <c r="D369" i="6"/>
  <c r="E369" i="6"/>
  <c r="F369" i="6"/>
  <c r="H369" i="6"/>
  <c r="I369" i="6"/>
  <c r="L369" i="6"/>
  <c r="N369" i="6"/>
  <c r="Q369" i="6"/>
  <c r="R369" i="6"/>
  <c r="S369" i="6"/>
  <c r="T369" i="6"/>
  <c r="C370" i="6"/>
  <c r="D370" i="6"/>
  <c r="E370" i="6"/>
  <c r="F370" i="6"/>
  <c r="H370" i="6"/>
  <c r="I370" i="6"/>
  <c r="L370" i="6"/>
  <c r="N370" i="6"/>
  <c r="Q370" i="6"/>
  <c r="R370" i="6"/>
  <c r="S370" i="6"/>
  <c r="T370" i="6"/>
  <c r="C371" i="6"/>
  <c r="D371" i="6"/>
  <c r="E371" i="6"/>
  <c r="F371" i="6"/>
  <c r="H371" i="6"/>
  <c r="I371" i="6"/>
  <c r="L371" i="6"/>
  <c r="N371" i="6"/>
  <c r="Q371" i="6"/>
  <c r="R371" i="6"/>
  <c r="S371" i="6"/>
  <c r="T371" i="6"/>
  <c r="C372" i="6"/>
  <c r="D372" i="6"/>
  <c r="E372" i="6"/>
  <c r="F372" i="6"/>
  <c r="H372" i="6"/>
  <c r="I372" i="6"/>
  <c r="L372" i="6"/>
  <c r="N372" i="6"/>
  <c r="Q372" i="6"/>
  <c r="R372" i="6"/>
  <c r="S372" i="6"/>
  <c r="T372" i="6"/>
  <c r="C373" i="6"/>
  <c r="D373" i="6"/>
  <c r="E373" i="6"/>
  <c r="F373" i="6"/>
  <c r="H373" i="6"/>
  <c r="I373" i="6"/>
  <c r="L373" i="6"/>
  <c r="N373" i="6"/>
  <c r="Q373" i="6"/>
  <c r="R373" i="6"/>
  <c r="S373" i="6"/>
  <c r="T373" i="6"/>
  <c r="C374" i="6"/>
  <c r="D374" i="6"/>
  <c r="E374" i="6"/>
  <c r="F374" i="6"/>
  <c r="H374" i="6"/>
  <c r="I374" i="6"/>
  <c r="L374" i="6"/>
  <c r="N374" i="6"/>
  <c r="Q374" i="6"/>
  <c r="R374" i="6"/>
  <c r="S374" i="6"/>
  <c r="T374" i="6"/>
  <c r="C375" i="6"/>
  <c r="D375" i="6"/>
  <c r="E375" i="6"/>
  <c r="F375" i="6"/>
  <c r="H375" i="6"/>
  <c r="I375" i="6"/>
  <c r="L375" i="6"/>
  <c r="N375" i="6"/>
  <c r="Q375" i="6"/>
  <c r="R375" i="6"/>
  <c r="S375" i="6"/>
  <c r="T375" i="6"/>
  <c r="C376" i="6"/>
  <c r="D376" i="6"/>
  <c r="E376" i="6"/>
  <c r="F376" i="6"/>
  <c r="H376" i="6"/>
  <c r="I376" i="6"/>
  <c r="L376" i="6"/>
  <c r="N376" i="6"/>
  <c r="Q376" i="6"/>
  <c r="R376" i="6"/>
  <c r="S376" i="6"/>
  <c r="T376" i="6"/>
  <c r="C377" i="6"/>
  <c r="D377" i="6"/>
  <c r="E377" i="6"/>
  <c r="F377" i="6"/>
  <c r="H377" i="6"/>
  <c r="I377" i="6"/>
  <c r="L377" i="6"/>
  <c r="N377" i="6"/>
  <c r="Q377" i="6"/>
  <c r="R377" i="6"/>
  <c r="S377" i="6"/>
  <c r="T377" i="6"/>
  <c r="C378" i="6"/>
  <c r="D378" i="6"/>
  <c r="E378" i="6"/>
  <c r="F378" i="6"/>
  <c r="H378" i="6"/>
  <c r="I378" i="6"/>
  <c r="L378" i="6"/>
  <c r="N378" i="6"/>
  <c r="Q378" i="6"/>
  <c r="R378" i="6"/>
  <c r="S378" i="6"/>
  <c r="T378" i="6"/>
  <c r="C379" i="6"/>
  <c r="D379" i="6"/>
  <c r="E379" i="6"/>
  <c r="F379" i="6"/>
  <c r="H379" i="6"/>
  <c r="I379" i="6"/>
  <c r="L379" i="6"/>
  <c r="N379" i="6"/>
  <c r="Q379" i="6"/>
  <c r="R379" i="6"/>
  <c r="S379" i="6"/>
  <c r="T379" i="6"/>
  <c r="C380" i="6"/>
  <c r="D380" i="6"/>
  <c r="E380" i="6"/>
  <c r="F380" i="6"/>
  <c r="H380" i="6"/>
  <c r="I380" i="6"/>
  <c r="L380" i="6"/>
  <c r="N380" i="6"/>
  <c r="Q380" i="6"/>
  <c r="R380" i="6"/>
  <c r="S380" i="6"/>
  <c r="T380" i="6"/>
  <c r="C381" i="6"/>
  <c r="D381" i="6"/>
  <c r="E381" i="6"/>
  <c r="F381" i="6"/>
  <c r="H381" i="6"/>
  <c r="I381" i="6"/>
  <c r="L381" i="6"/>
  <c r="N381" i="6"/>
  <c r="Q381" i="6"/>
  <c r="R381" i="6"/>
  <c r="S381" i="6"/>
  <c r="T381" i="6"/>
  <c r="C382" i="6"/>
  <c r="D382" i="6"/>
  <c r="E382" i="6"/>
  <c r="F382" i="6"/>
  <c r="H382" i="6"/>
  <c r="I382" i="6"/>
  <c r="L382" i="6"/>
  <c r="N382" i="6"/>
  <c r="Q382" i="6"/>
  <c r="R382" i="6"/>
  <c r="S382" i="6"/>
  <c r="T382" i="6"/>
  <c r="C383" i="6"/>
  <c r="D383" i="6"/>
  <c r="E383" i="6"/>
  <c r="F383" i="6"/>
  <c r="H383" i="6"/>
  <c r="I383" i="6"/>
  <c r="L383" i="6"/>
  <c r="N383" i="6"/>
  <c r="Q383" i="6"/>
  <c r="R383" i="6"/>
  <c r="S383" i="6"/>
  <c r="T383" i="6"/>
  <c r="C384" i="6"/>
  <c r="D384" i="6"/>
  <c r="E384" i="6"/>
  <c r="F384" i="6"/>
  <c r="H384" i="6"/>
  <c r="I384" i="6"/>
  <c r="L384" i="6"/>
  <c r="N384" i="6"/>
  <c r="Q384" i="6"/>
  <c r="R384" i="6"/>
  <c r="S384" i="6"/>
  <c r="T384" i="6"/>
  <c r="C385" i="6"/>
  <c r="D385" i="6"/>
  <c r="E385" i="6"/>
  <c r="F385" i="6"/>
  <c r="H385" i="6"/>
  <c r="I385" i="6"/>
  <c r="L385" i="6"/>
  <c r="N385" i="6"/>
  <c r="Q385" i="6"/>
  <c r="R385" i="6"/>
  <c r="S385" i="6"/>
  <c r="T385" i="6"/>
  <c r="C386" i="6"/>
  <c r="D386" i="6"/>
  <c r="E386" i="6"/>
  <c r="F386" i="6"/>
  <c r="H386" i="6"/>
  <c r="I386" i="6"/>
  <c r="L386" i="6"/>
  <c r="N386" i="6"/>
  <c r="Q386" i="6"/>
  <c r="R386" i="6"/>
  <c r="S386" i="6"/>
  <c r="T386" i="6"/>
  <c r="C387" i="6"/>
  <c r="D387" i="6"/>
  <c r="E387" i="6"/>
  <c r="F387" i="6"/>
  <c r="H387" i="6"/>
  <c r="I387" i="6"/>
  <c r="L387" i="6"/>
  <c r="N387" i="6"/>
  <c r="Q387" i="6"/>
  <c r="R387" i="6"/>
  <c r="S387" i="6"/>
  <c r="T387" i="6"/>
  <c r="C388" i="6"/>
  <c r="D388" i="6"/>
  <c r="E388" i="6"/>
  <c r="F388" i="6"/>
  <c r="H388" i="6"/>
  <c r="I388" i="6"/>
  <c r="L388" i="6"/>
  <c r="N388" i="6"/>
  <c r="Q388" i="6"/>
  <c r="R388" i="6"/>
  <c r="S388" i="6"/>
  <c r="T388" i="6"/>
  <c r="C389" i="6"/>
  <c r="D389" i="6"/>
  <c r="E389" i="6"/>
  <c r="F389" i="6"/>
  <c r="H389" i="6"/>
  <c r="I389" i="6"/>
  <c r="L389" i="6"/>
  <c r="N389" i="6"/>
  <c r="Q389" i="6"/>
  <c r="R389" i="6"/>
  <c r="S389" i="6"/>
  <c r="T389" i="6"/>
  <c r="C390" i="6"/>
  <c r="D390" i="6"/>
  <c r="E390" i="6"/>
  <c r="F390" i="6"/>
  <c r="H390" i="6"/>
  <c r="I390" i="6"/>
  <c r="L390" i="6"/>
  <c r="N390" i="6"/>
  <c r="Q390" i="6"/>
  <c r="R390" i="6"/>
  <c r="S390" i="6"/>
  <c r="T390" i="6"/>
  <c r="C391" i="6"/>
  <c r="D391" i="6"/>
  <c r="E391" i="6"/>
  <c r="F391" i="6"/>
  <c r="H391" i="6"/>
  <c r="I391" i="6"/>
  <c r="L391" i="6"/>
  <c r="N391" i="6"/>
  <c r="Q391" i="6"/>
  <c r="R391" i="6"/>
  <c r="S391" i="6"/>
  <c r="T391" i="6"/>
  <c r="C392" i="6"/>
  <c r="D392" i="6"/>
  <c r="E392" i="6"/>
  <c r="F392" i="6"/>
  <c r="H392" i="6"/>
  <c r="I392" i="6"/>
  <c r="L392" i="6"/>
  <c r="N392" i="6"/>
  <c r="Q392" i="6"/>
  <c r="R392" i="6"/>
  <c r="S392" i="6"/>
  <c r="T392" i="6"/>
  <c r="C393" i="6"/>
  <c r="D393" i="6"/>
  <c r="E393" i="6"/>
  <c r="F393" i="6"/>
  <c r="H393" i="6"/>
  <c r="I393" i="6"/>
  <c r="L393" i="6"/>
  <c r="N393" i="6"/>
  <c r="Q393" i="6"/>
  <c r="R393" i="6"/>
  <c r="S393" i="6"/>
  <c r="T393" i="6"/>
  <c r="C394" i="6"/>
  <c r="D394" i="6"/>
  <c r="E394" i="6"/>
  <c r="F394" i="6"/>
  <c r="H394" i="6"/>
  <c r="I394" i="6"/>
  <c r="L394" i="6"/>
  <c r="N394" i="6"/>
  <c r="Q394" i="6"/>
  <c r="R394" i="6"/>
  <c r="S394" i="6"/>
  <c r="T394" i="6"/>
  <c r="C395" i="6"/>
  <c r="D395" i="6"/>
  <c r="E395" i="6"/>
  <c r="F395" i="6"/>
  <c r="H395" i="6"/>
  <c r="I395" i="6"/>
  <c r="L395" i="6"/>
  <c r="N395" i="6"/>
  <c r="Q395" i="6"/>
  <c r="R395" i="6"/>
  <c r="S395" i="6"/>
  <c r="T395" i="6"/>
  <c r="C396" i="6"/>
  <c r="D396" i="6"/>
  <c r="E396" i="6"/>
  <c r="F396" i="6"/>
  <c r="H396" i="6"/>
  <c r="I396" i="6"/>
  <c r="L396" i="6"/>
  <c r="N396" i="6"/>
  <c r="Q396" i="6"/>
  <c r="R396" i="6"/>
  <c r="S396" i="6"/>
  <c r="T396" i="6"/>
  <c r="C397" i="6"/>
  <c r="D397" i="6"/>
  <c r="E397" i="6"/>
  <c r="F397" i="6"/>
  <c r="H397" i="6"/>
  <c r="I397" i="6"/>
  <c r="L397" i="6"/>
  <c r="N397" i="6"/>
  <c r="Q397" i="6"/>
  <c r="R397" i="6"/>
  <c r="S397" i="6"/>
  <c r="T397" i="6"/>
  <c r="C398" i="6"/>
  <c r="D398" i="6"/>
  <c r="E398" i="6"/>
  <c r="F398" i="6"/>
  <c r="H398" i="6"/>
  <c r="I398" i="6"/>
  <c r="L398" i="6"/>
  <c r="N398" i="6"/>
  <c r="Q398" i="6"/>
  <c r="R398" i="6"/>
  <c r="S398" i="6"/>
  <c r="T398" i="6"/>
  <c r="C399" i="6"/>
  <c r="D399" i="6"/>
  <c r="E399" i="6"/>
  <c r="F399" i="6"/>
  <c r="H399" i="6"/>
  <c r="I399" i="6"/>
  <c r="L399" i="6"/>
  <c r="N399" i="6"/>
  <c r="Q399" i="6"/>
  <c r="R399" i="6"/>
  <c r="S399" i="6"/>
  <c r="T399" i="6"/>
  <c r="C400" i="6"/>
  <c r="D400" i="6"/>
  <c r="E400" i="6"/>
  <c r="F400" i="6"/>
  <c r="H400" i="6"/>
  <c r="I400" i="6"/>
  <c r="L400" i="6"/>
  <c r="N400" i="6"/>
  <c r="Q400" i="6"/>
  <c r="R400" i="6"/>
  <c r="S400" i="6"/>
  <c r="T400" i="6"/>
  <c r="C401" i="6"/>
  <c r="D401" i="6"/>
  <c r="E401" i="6"/>
  <c r="F401" i="6"/>
  <c r="H401" i="6"/>
  <c r="I401" i="6"/>
  <c r="L401" i="6"/>
  <c r="N401" i="6"/>
  <c r="Q401" i="6"/>
  <c r="R401" i="6"/>
  <c r="S401" i="6"/>
  <c r="T401" i="6"/>
  <c r="C402" i="6"/>
  <c r="D402" i="6"/>
  <c r="E402" i="6"/>
  <c r="F402" i="6"/>
  <c r="H402" i="6"/>
  <c r="I402" i="6"/>
  <c r="L402" i="6"/>
  <c r="N402" i="6"/>
  <c r="Q402" i="6"/>
  <c r="R402" i="6"/>
  <c r="S402" i="6"/>
  <c r="T402" i="6"/>
  <c r="C403" i="6"/>
  <c r="D403" i="6"/>
  <c r="E403" i="6"/>
  <c r="F403" i="6"/>
  <c r="H403" i="6"/>
  <c r="I403" i="6"/>
  <c r="L403" i="6"/>
  <c r="N403" i="6"/>
  <c r="Q403" i="6"/>
  <c r="R403" i="6"/>
  <c r="S403" i="6"/>
  <c r="T403" i="6"/>
  <c r="C404" i="6"/>
  <c r="D404" i="6"/>
  <c r="E404" i="6"/>
  <c r="F404" i="6"/>
  <c r="H404" i="6"/>
  <c r="I404" i="6"/>
  <c r="L404" i="6"/>
  <c r="N404" i="6"/>
  <c r="Q404" i="6"/>
  <c r="R404" i="6"/>
  <c r="S404" i="6"/>
  <c r="T404" i="6"/>
  <c r="C405" i="6"/>
  <c r="D405" i="6"/>
  <c r="E405" i="6"/>
  <c r="F405" i="6"/>
  <c r="H405" i="6"/>
  <c r="I405" i="6"/>
  <c r="L405" i="6"/>
  <c r="N405" i="6"/>
  <c r="Q405" i="6"/>
  <c r="R405" i="6"/>
  <c r="S405" i="6"/>
  <c r="T405" i="6"/>
  <c r="C406" i="6"/>
  <c r="D406" i="6"/>
  <c r="E406" i="6"/>
  <c r="F406" i="6"/>
  <c r="H406" i="6"/>
  <c r="I406" i="6"/>
  <c r="L406" i="6"/>
  <c r="N406" i="6"/>
  <c r="Q406" i="6"/>
  <c r="R406" i="6"/>
  <c r="S406" i="6"/>
  <c r="T406" i="6"/>
  <c r="C407" i="6"/>
  <c r="D407" i="6"/>
  <c r="E407" i="6"/>
  <c r="F407" i="6"/>
  <c r="H407" i="6"/>
  <c r="I407" i="6"/>
  <c r="L407" i="6"/>
  <c r="N407" i="6"/>
  <c r="Q407" i="6"/>
  <c r="R407" i="6"/>
  <c r="S407" i="6"/>
  <c r="T407" i="6"/>
  <c r="C408" i="6"/>
  <c r="D408" i="6"/>
  <c r="E408" i="6"/>
  <c r="F408" i="6"/>
  <c r="H408" i="6"/>
  <c r="I408" i="6"/>
  <c r="L408" i="6"/>
  <c r="N408" i="6"/>
  <c r="Q408" i="6"/>
  <c r="R408" i="6"/>
  <c r="S408" i="6"/>
  <c r="T408" i="6"/>
  <c r="C409" i="6"/>
  <c r="D409" i="6"/>
  <c r="E409" i="6"/>
  <c r="F409" i="6"/>
  <c r="H409" i="6"/>
  <c r="I409" i="6"/>
  <c r="L409" i="6"/>
  <c r="N409" i="6"/>
  <c r="Q409" i="6"/>
  <c r="R409" i="6"/>
  <c r="S409" i="6"/>
  <c r="T409" i="6"/>
  <c r="C410" i="6"/>
  <c r="D410" i="6"/>
  <c r="E410" i="6"/>
  <c r="F410" i="6"/>
  <c r="H410" i="6"/>
  <c r="I410" i="6"/>
  <c r="L410" i="6"/>
  <c r="N410" i="6"/>
  <c r="Q410" i="6"/>
  <c r="R410" i="6"/>
  <c r="S410" i="6"/>
  <c r="T410" i="6"/>
  <c r="C411" i="6"/>
  <c r="D411" i="6"/>
  <c r="E411" i="6"/>
  <c r="F411" i="6"/>
  <c r="H411" i="6"/>
  <c r="I411" i="6"/>
  <c r="L411" i="6"/>
  <c r="N411" i="6"/>
  <c r="Q411" i="6"/>
  <c r="R411" i="6"/>
  <c r="S411" i="6"/>
  <c r="T411" i="6"/>
  <c r="C412" i="6"/>
  <c r="D412" i="6"/>
  <c r="E412" i="6"/>
  <c r="F412" i="6"/>
  <c r="H412" i="6"/>
  <c r="I412" i="6"/>
  <c r="L412" i="6"/>
  <c r="N412" i="6"/>
  <c r="Q412" i="6"/>
  <c r="R412" i="6"/>
  <c r="S412" i="6"/>
  <c r="T412" i="6"/>
  <c r="C413" i="6"/>
  <c r="D413" i="6"/>
  <c r="E413" i="6"/>
  <c r="F413" i="6"/>
  <c r="H413" i="6"/>
  <c r="I413" i="6"/>
  <c r="L413" i="6"/>
  <c r="N413" i="6"/>
  <c r="Q413" i="6"/>
  <c r="R413" i="6"/>
  <c r="S413" i="6"/>
  <c r="T413" i="6"/>
  <c r="C414" i="6"/>
  <c r="D414" i="6"/>
  <c r="E414" i="6"/>
  <c r="F414" i="6"/>
  <c r="H414" i="6"/>
  <c r="I414" i="6"/>
  <c r="L414" i="6"/>
  <c r="N414" i="6"/>
  <c r="Q414" i="6"/>
  <c r="R414" i="6"/>
  <c r="S414" i="6"/>
  <c r="T414" i="6"/>
  <c r="C415" i="6"/>
  <c r="D415" i="6"/>
  <c r="E415" i="6"/>
  <c r="F415" i="6"/>
  <c r="H415" i="6"/>
  <c r="I415" i="6"/>
  <c r="L415" i="6"/>
  <c r="N415" i="6"/>
  <c r="Q415" i="6"/>
  <c r="R415" i="6"/>
  <c r="S415" i="6"/>
  <c r="T415" i="6"/>
  <c r="C416" i="6"/>
  <c r="D416" i="6"/>
  <c r="E416" i="6"/>
  <c r="F416" i="6"/>
  <c r="H416" i="6"/>
  <c r="I416" i="6"/>
  <c r="L416" i="6"/>
  <c r="N416" i="6"/>
  <c r="Q416" i="6"/>
  <c r="R416" i="6"/>
  <c r="S416" i="6"/>
  <c r="T416" i="6"/>
  <c r="C417" i="6"/>
  <c r="D417" i="6"/>
  <c r="E417" i="6"/>
  <c r="F417" i="6"/>
  <c r="H417" i="6"/>
  <c r="I417" i="6"/>
  <c r="L417" i="6"/>
  <c r="N417" i="6"/>
  <c r="Q417" i="6"/>
  <c r="R417" i="6"/>
  <c r="S417" i="6"/>
  <c r="T417" i="6"/>
  <c r="C418" i="6"/>
  <c r="D418" i="6"/>
  <c r="E418" i="6"/>
  <c r="F418" i="6"/>
  <c r="H418" i="6"/>
  <c r="I418" i="6"/>
  <c r="L418" i="6"/>
  <c r="N418" i="6"/>
  <c r="Q418" i="6"/>
  <c r="R418" i="6"/>
  <c r="S418" i="6"/>
  <c r="T418" i="6"/>
  <c r="C419" i="6"/>
  <c r="D419" i="6"/>
  <c r="E419" i="6"/>
  <c r="F419" i="6"/>
  <c r="H419" i="6"/>
  <c r="I419" i="6"/>
  <c r="L419" i="6"/>
  <c r="N419" i="6"/>
  <c r="Q419" i="6"/>
  <c r="R419" i="6"/>
  <c r="S419" i="6"/>
  <c r="T419" i="6"/>
  <c r="C420" i="6"/>
  <c r="D420" i="6"/>
  <c r="E420" i="6"/>
  <c r="F420" i="6"/>
  <c r="H420" i="6"/>
  <c r="I420" i="6"/>
  <c r="L420" i="6"/>
  <c r="N420" i="6"/>
  <c r="Q420" i="6"/>
  <c r="R420" i="6"/>
  <c r="S420" i="6"/>
  <c r="T420" i="6"/>
  <c r="C421" i="6"/>
  <c r="D421" i="6"/>
  <c r="E421" i="6"/>
  <c r="F421" i="6"/>
  <c r="H421" i="6"/>
  <c r="I421" i="6"/>
  <c r="L421" i="6"/>
  <c r="N421" i="6"/>
  <c r="Q421" i="6"/>
  <c r="R421" i="6"/>
  <c r="S421" i="6"/>
  <c r="T421" i="6"/>
  <c r="C422" i="6"/>
  <c r="D422" i="6"/>
  <c r="E422" i="6"/>
  <c r="F422" i="6"/>
  <c r="H422" i="6"/>
  <c r="I422" i="6"/>
  <c r="L422" i="6"/>
  <c r="N422" i="6"/>
  <c r="Q422" i="6"/>
  <c r="R422" i="6"/>
  <c r="S422" i="6"/>
  <c r="T422" i="6"/>
  <c r="C423" i="6"/>
  <c r="D423" i="6"/>
  <c r="E423" i="6"/>
  <c r="F423" i="6"/>
  <c r="H423" i="6"/>
  <c r="I423" i="6"/>
  <c r="L423" i="6"/>
  <c r="N423" i="6"/>
  <c r="Q423" i="6"/>
  <c r="R423" i="6"/>
  <c r="S423" i="6"/>
  <c r="T423" i="6"/>
  <c r="C424" i="6"/>
  <c r="D424" i="6"/>
  <c r="E424" i="6"/>
  <c r="F424" i="6"/>
  <c r="H424" i="6"/>
  <c r="I424" i="6"/>
  <c r="L424" i="6"/>
  <c r="N424" i="6"/>
  <c r="Q424" i="6"/>
  <c r="R424" i="6"/>
  <c r="S424" i="6"/>
  <c r="T424" i="6"/>
  <c r="C425" i="6"/>
  <c r="D425" i="6"/>
  <c r="E425" i="6"/>
  <c r="F425" i="6"/>
  <c r="H425" i="6"/>
  <c r="I425" i="6"/>
  <c r="L425" i="6"/>
  <c r="N425" i="6"/>
  <c r="Q425" i="6"/>
  <c r="R425" i="6"/>
  <c r="S425" i="6"/>
  <c r="T425" i="6"/>
  <c r="C426" i="6"/>
  <c r="D426" i="6"/>
  <c r="E426" i="6"/>
  <c r="F426" i="6"/>
  <c r="H426" i="6"/>
  <c r="I426" i="6"/>
  <c r="L426" i="6"/>
  <c r="N426" i="6"/>
  <c r="Q426" i="6"/>
  <c r="R426" i="6"/>
  <c r="S426" i="6"/>
  <c r="T426" i="6"/>
  <c r="C427" i="6"/>
  <c r="D427" i="6"/>
  <c r="E427" i="6"/>
  <c r="F427" i="6"/>
  <c r="H427" i="6"/>
  <c r="I427" i="6"/>
  <c r="L427" i="6"/>
  <c r="N427" i="6"/>
  <c r="Q427" i="6"/>
  <c r="R427" i="6"/>
  <c r="S427" i="6"/>
  <c r="T427" i="6"/>
  <c r="C428" i="6"/>
  <c r="D428" i="6"/>
  <c r="E428" i="6"/>
  <c r="F428" i="6"/>
  <c r="H428" i="6"/>
  <c r="I428" i="6"/>
  <c r="L428" i="6"/>
  <c r="N428" i="6"/>
  <c r="Q428" i="6"/>
  <c r="R428" i="6"/>
  <c r="S428" i="6"/>
  <c r="T428" i="6"/>
  <c r="C429" i="6"/>
  <c r="D429" i="6"/>
  <c r="E429" i="6"/>
  <c r="F429" i="6"/>
  <c r="H429" i="6"/>
  <c r="I429" i="6"/>
  <c r="L429" i="6"/>
  <c r="N429" i="6"/>
  <c r="Q429" i="6"/>
  <c r="R429" i="6"/>
  <c r="S429" i="6"/>
  <c r="T429" i="6"/>
  <c r="C430" i="6"/>
  <c r="D430" i="6"/>
  <c r="E430" i="6"/>
  <c r="F430" i="6"/>
  <c r="H430" i="6"/>
  <c r="I430" i="6"/>
  <c r="L430" i="6"/>
  <c r="N430" i="6"/>
  <c r="Q430" i="6"/>
  <c r="R430" i="6"/>
  <c r="S430" i="6"/>
  <c r="T430" i="6"/>
  <c r="C431" i="6"/>
  <c r="D431" i="6"/>
  <c r="E431" i="6"/>
  <c r="F431" i="6"/>
  <c r="H431" i="6"/>
  <c r="I431" i="6"/>
  <c r="L431" i="6"/>
  <c r="N431" i="6"/>
  <c r="Q431" i="6"/>
  <c r="R431" i="6"/>
  <c r="S431" i="6"/>
  <c r="T431" i="6"/>
  <c r="C432" i="6"/>
  <c r="D432" i="6"/>
  <c r="E432" i="6"/>
  <c r="F432" i="6"/>
  <c r="H432" i="6"/>
  <c r="I432" i="6"/>
  <c r="L432" i="6"/>
  <c r="N432" i="6"/>
  <c r="Q432" i="6"/>
  <c r="R432" i="6"/>
  <c r="S432" i="6"/>
  <c r="T432" i="6"/>
  <c r="C433" i="6"/>
  <c r="D433" i="6"/>
  <c r="E433" i="6"/>
  <c r="F433" i="6"/>
  <c r="H433" i="6"/>
  <c r="I433" i="6"/>
  <c r="L433" i="6"/>
  <c r="N433" i="6"/>
  <c r="Q433" i="6"/>
  <c r="R433" i="6"/>
  <c r="S433" i="6"/>
  <c r="T433" i="6"/>
  <c r="C434" i="6"/>
  <c r="D434" i="6"/>
  <c r="E434" i="6"/>
  <c r="F434" i="6"/>
  <c r="H434" i="6"/>
  <c r="I434" i="6"/>
  <c r="L434" i="6"/>
  <c r="N434" i="6"/>
  <c r="Q434" i="6"/>
  <c r="R434" i="6"/>
  <c r="S434" i="6"/>
  <c r="T434" i="6"/>
  <c r="C435" i="6"/>
  <c r="D435" i="6"/>
  <c r="E435" i="6"/>
  <c r="F435" i="6"/>
  <c r="H435" i="6"/>
  <c r="I435" i="6"/>
  <c r="L435" i="6"/>
  <c r="N435" i="6"/>
  <c r="Q435" i="6"/>
  <c r="R435" i="6"/>
  <c r="S435" i="6"/>
  <c r="T435" i="6"/>
  <c r="C436" i="6"/>
  <c r="D436" i="6"/>
  <c r="E436" i="6"/>
  <c r="F436" i="6"/>
  <c r="H436" i="6"/>
  <c r="I436" i="6"/>
  <c r="L436" i="6"/>
  <c r="N436" i="6"/>
  <c r="Q436" i="6"/>
  <c r="R436" i="6"/>
  <c r="S436" i="6"/>
  <c r="T436" i="6"/>
  <c r="C437" i="6"/>
  <c r="D437" i="6"/>
  <c r="E437" i="6"/>
  <c r="F437" i="6"/>
  <c r="H437" i="6"/>
  <c r="I437" i="6"/>
  <c r="L437" i="6"/>
  <c r="N437" i="6"/>
  <c r="Q437" i="6"/>
  <c r="R437" i="6"/>
  <c r="S437" i="6"/>
  <c r="T437" i="6"/>
  <c r="C438" i="6"/>
  <c r="D438" i="6"/>
  <c r="E438" i="6"/>
  <c r="F438" i="6"/>
  <c r="H438" i="6"/>
  <c r="I438" i="6"/>
  <c r="L438" i="6"/>
  <c r="N438" i="6"/>
  <c r="Q438" i="6"/>
  <c r="R438" i="6"/>
  <c r="S438" i="6"/>
  <c r="T438" i="6"/>
  <c r="C439" i="6"/>
  <c r="D439" i="6"/>
  <c r="E439" i="6"/>
  <c r="F439" i="6"/>
  <c r="H439" i="6"/>
  <c r="I439" i="6"/>
  <c r="L439" i="6"/>
  <c r="N439" i="6"/>
  <c r="Q439" i="6"/>
  <c r="R439" i="6"/>
  <c r="S439" i="6"/>
  <c r="T439" i="6"/>
  <c r="C440" i="6"/>
  <c r="D440" i="6"/>
  <c r="E440" i="6"/>
  <c r="F440" i="6"/>
  <c r="H440" i="6"/>
  <c r="I440" i="6"/>
  <c r="L440" i="6"/>
  <c r="N440" i="6"/>
  <c r="Q440" i="6"/>
  <c r="R440" i="6"/>
  <c r="S440" i="6"/>
  <c r="T440" i="6"/>
  <c r="C441" i="6"/>
  <c r="D441" i="6"/>
  <c r="E441" i="6"/>
  <c r="F441" i="6"/>
  <c r="H441" i="6"/>
  <c r="I441" i="6"/>
  <c r="L441" i="6"/>
  <c r="N441" i="6"/>
  <c r="Q441" i="6"/>
  <c r="R441" i="6"/>
  <c r="S441" i="6"/>
  <c r="T441" i="6"/>
  <c r="C442" i="6"/>
  <c r="D442" i="6"/>
  <c r="E442" i="6"/>
  <c r="F442" i="6"/>
  <c r="H442" i="6"/>
  <c r="I442" i="6"/>
  <c r="L442" i="6"/>
  <c r="N442" i="6"/>
  <c r="Q442" i="6"/>
  <c r="R442" i="6"/>
  <c r="S442" i="6"/>
  <c r="T442" i="6"/>
  <c r="C443" i="6"/>
  <c r="D443" i="6"/>
  <c r="E443" i="6"/>
  <c r="F443" i="6"/>
  <c r="H443" i="6"/>
  <c r="I443" i="6"/>
  <c r="L443" i="6"/>
  <c r="N443" i="6"/>
  <c r="Q443" i="6"/>
  <c r="R443" i="6"/>
  <c r="S443" i="6"/>
  <c r="T443" i="6"/>
  <c r="C444" i="6"/>
  <c r="D444" i="6"/>
  <c r="E444" i="6"/>
  <c r="F444" i="6"/>
  <c r="H444" i="6"/>
  <c r="I444" i="6"/>
  <c r="L444" i="6"/>
  <c r="N444" i="6"/>
  <c r="Q444" i="6"/>
  <c r="R444" i="6"/>
  <c r="S444" i="6"/>
  <c r="T444" i="6"/>
  <c r="C445" i="6"/>
  <c r="D445" i="6"/>
  <c r="E445" i="6"/>
  <c r="F445" i="6"/>
  <c r="H445" i="6"/>
  <c r="I445" i="6"/>
  <c r="L445" i="6"/>
  <c r="N445" i="6"/>
  <c r="Q445" i="6"/>
  <c r="R445" i="6"/>
  <c r="S445" i="6"/>
  <c r="T445" i="6"/>
  <c r="C446" i="6"/>
  <c r="D446" i="6"/>
  <c r="E446" i="6"/>
  <c r="F446" i="6"/>
  <c r="H446" i="6"/>
  <c r="I446" i="6"/>
  <c r="L446" i="6"/>
  <c r="N446" i="6"/>
  <c r="Q446" i="6"/>
  <c r="R446" i="6"/>
  <c r="S446" i="6"/>
  <c r="T446" i="6"/>
  <c r="C447" i="6"/>
  <c r="D447" i="6"/>
  <c r="E447" i="6"/>
  <c r="F447" i="6"/>
  <c r="H447" i="6"/>
  <c r="I447" i="6"/>
  <c r="L447" i="6"/>
  <c r="N447" i="6"/>
  <c r="Q447" i="6"/>
  <c r="R447" i="6"/>
  <c r="S447" i="6"/>
  <c r="T447" i="6"/>
  <c r="C448" i="6"/>
  <c r="D448" i="6"/>
  <c r="E448" i="6"/>
  <c r="F448" i="6"/>
  <c r="H448" i="6"/>
  <c r="I448" i="6"/>
  <c r="L448" i="6"/>
  <c r="N448" i="6"/>
  <c r="Q448" i="6"/>
  <c r="R448" i="6"/>
  <c r="S448" i="6"/>
  <c r="T448" i="6"/>
  <c r="C449" i="6"/>
  <c r="D449" i="6"/>
  <c r="E449" i="6"/>
  <c r="F449" i="6"/>
  <c r="H449" i="6"/>
  <c r="I449" i="6"/>
  <c r="L449" i="6"/>
  <c r="N449" i="6"/>
  <c r="Q449" i="6"/>
  <c r="R449" i="6"/>
  <c r="S449" i="6"/>
  <c r="T449" i="6"/>
  <c r="C450" i="6"/>
  <c r="D450" i="6"/>
  <c r="E450" i="6"/>
  <c r="F450" i="6"/>
  <c r="H450" i="6"/>
  <c r="I450" i="6"/>
  <c r="L450" i="6"/>
  <c r="N450" i="6"/>
  <c r="Q450" i="6"/>
  <c r="R450" i="6"/>
  <c r="S450" i="6"/>
  <c r="T450" i="6"/>
  <c r="C451" i="6"/>
  <c r="D451" i="6"/>
  <c r="E451" i="6"/>
  <c r="F451" i="6"/>
  <c r="H451" i="6"/>
  <c r="I451" i="6"/>
  <c r="L451" i="6"/>
  <c r="N451" i="6"/>
  <c r="Q451" i="6"/>
  <c r="R451" i="6"/>
  <c r="S451" i="6"/>
  <c r="T451" i="6"/>
  <c r="C452" i="6"/>
  <c r="D452" i="6"/>
  <c r="E452" i="6"/>
  <c r="F452" i="6"/>
  <c r="H452" i="6"/>
  <c r="I452" i="6"/>
  <c r="L452" i="6"/>
  <c r="N452" i="6"/>
  <c r="Q452" i="6"/>
  <c r="R452" i="6"/>
  <c r="S452" i="6"/>
  <c r="T452" i="6"/>
  <c r="C453" i="6"/>
  <c r="D453" i="6"/>
  <c r="E453" i="6"/>
  <c r="F453" i="6"/>
  <c r="H453" i="6"/>
  <c r="I453" i="6"/>
  <c r="L453" i="6"/>
  <c r="N453" i="6"/>
  <c r="Q453" i="6"/>
  <c r="R453" i="6"/>
  <c r="S453" i="6"/>
  <c r="T453" i="6"/>
  <c r="C454" i="6"/>
  <c r="D454" i="6"/>
  <c r="E454" i="6"/>
  <c r="F454" i="6"/>
  <c r="H454" i="6"/>
  <c r="I454" i="6"/>
  <c r="L454" i="6"/>
  <c r="N454" i="6"/>
  <c r="Q454" i="6"/>
  <c r="R454" i="6"/>
  <c r="S454" i="6"/>
  <c r="T454" i="6"/>
  <c r="C455" i="6"/>
  <c r="D455" i="6"/>
  <c r="E455" i="6"/>
  <c r="F455" i="6"/>
  <c r="H455" i="6"/>
  <c r="I455" i="6"/>
  <c r="L455" i="6"/>
  <c r="N455" i="6"/>
  <c r="Q455" i="6"/>
  <c r="R455" i="6"/>
  <c r="S455" i="6"/>
  <c r="T455" i="6"/>
  <c r="C456" i="6"/>
  <c r="D456" i="6"/>
  <c r="E456" i="6"/>
  <c r="F456" i="6"/>
  <c r="H456" i="6"/>
  <c r="I456" i="6"/>
  <c r="L456" i="6"/>
  <c r="N456" i="6"/>
  <c r="Q456" i="6"/>
  <c r="R456" i="6"/>
  <c r="S456" i="6"/>
  <c r="T456" i="6"/>
  <c r="C457" i="6"/>
  <c r="D457" i="6"/>
  <c r="E457" i="6"/>
  <c r="F457" i="6"/>
  <c r="H457" i="6"/>
  <c r="I457" i="6"/>
  <c r="L457" i="6"/>
  <c r="N457" i="6"/>
  <c r="Q457" i="6"/>
  <c r="R457" i="6"/>
  <c r="S457" i="6"/>
  <c r="T457" i="6"/>
  <c r="C458" i="6"/>
  <c r="D458" i="6"/>
  <c r="E458" i="6"/>
  <c r="F458" i="6"/>
  <c r="H458" i="6"/>
  <c r="I458" i="6"/>
  <c r="L458" i="6"/>
  <c r="N458" i="6"/>
  <c r="Q458" i="6"/>
  <c r="R458" i="6"/>
  <c r="S458" i="6"/>
  <c r="T458" i="6"/>
  <c r="C459" i="6"/>
  <c r="D459" i="6"/>
  <c r="E459" i="6"/>
  <c r="F459" i="6"/>
  <c r="H459" i="6"/>
  <c r="I459" i="6"/>
  <c r="L459" i="6"/>
  <c r="N459" i="6"/>
  <c r="Q459" i="6"/>
  <c r="R459" i="6"/>
  <c r="S459" i="6"/>
  <c r="T459" i="6"/>
  <c r="C460" i="6"/>
  <c r="D460" i="6"/>
  <c r="E460" i="6"/>
  <c r="F460" i="6"/>
  <c r="H460" i="6"/>
  <c r="I460" i="6"/>
  <c r="L460" i="6"/>
  <c r="N460" i="6"/>
  <c r="Q460" i="6"/>
  <c r="R460" i="6"/>
  <c r="S460" i="6"/>
  <c r="T460" i="6"/>
  <c r="C461" i="6"/>
  <c r="D461" i="6"/>
  <c r="E461" i="6"/>
  <c r="F461" i="6"/>
  <c r="H461" i="6"/>
  <c r="I461" i="6"/>
  <c r="L461" i="6"/>
  <c r="N461" i="6"/>
  <c r="Q461" i="6"/>
  <c r="R461" i="6"/>
  <c r="S461" i="6"/>
  <c r="T461" i="6"/>
  <c r="C462" i="6"/>
  <c r="D462" i="6"/>
  <c r="E462" i="6"/>
  <c r="F462" i="6"/>
  <c r="H462" i="6"/>
  <c r="I462" i="6"/>
  <c r="L462" i="6"/>
  <c r="N462" i="6"/>
  <c r="Q462" i="6"/>
  <c r="R462" i="6"/>
  <c r="S462" i="6"/>
  <c r="T462" i="6"/>
  <c r="C463" i="6"/>
  <c r="D463" i="6"/>
  <c r="E463" i="6"/>
  <c r="F463" i="6"/>
  <c r="H463" i="6"/>
  <c r="I463" i="6"/>
  <c r="L463" i="6"/>
  <c r="N463" i="6"/>
  <c r="Q463" i="6"/>
  <c r="R463" i="6"/>
  <c r="S463" i="6"/>
  <c r="T463" i="6"/>
  <c r="C464" i="6"/>
  <c r="D464" i="6"/>
  <c r="E464" i="6"/>
  <c r="F464" i="6"/>
  <c r="H464" i="6"/>
  <c r="I464" i="6"/>
  <c r="L464" i="6"/>
  <c r="N464" i="6"/>
  <c r="Q464" i="6"/>
  <c r="R464" i="6"/>
  <c r="S464" i="6"/>
  <c r="T464" i="6"/>
  <c r="C465" i="6"/>
  <c r="D465" i="6"/>
  <c r="E465" i="6"/>
  <c r="F465" i="6"/>
  <c r="H465" i="6"/>
  <c r="I465" i="6"/>
  <c r="L465" i="6"/>
  <c r="N465" i="6"/>
  <c r="Q465" i="6"/>
  <c r="R465" i="6"/>
  <c r="S465" i="6"/>
  <c r="T465" i="6"/>
  <c r="C466" i="6"/>
  <c r="D466" i="6"/>
  <c r="E466" i="6"/>
  <c r="F466" i="6"/>
  <c r="H466" i="6"/>
  <c r="I466" i="6"/>
  <c r="L466" i="6"/>
  <c r="N466" i="6"/>
  <c r="Q466" i="6"/>
  <c r="R466" i="6"/>
  <c r="S466" i="6"/>
  <c r="T466" i="6"/>
  <c r="C467" i="6"/>
  <c r="D467" i="6"/>
  <c r="E467" i="6"/>
  <c r="F467" i="6"/>
  <c r="H467" i="6"/>
  <c r="I467" i="6"/>
  <c r="L467" i="6"/>
  <c r="N467" i="6"/>
  <c r="Q467" i="6"/>
  <c r="R467" i="6"/>
  <c r="S467" i="6"/>
  <c r="T467" i="6"/>
  <c r="C468" i="6"/>
  <c r="D468" i="6"/>
  <c r="E468" i="6"/>
  <c r="F468" i="6"/>
  <c r="H468" i="6"/>
  <c r="I468" i="6"/>
  <c r="L468" i="6"/>
  <c r="N468" i="6"/>
  <c r="Q468" i="6"/>
  <c r="R468" i="6"/>
  <c r="S468" i="6"/>
  <c r="T468" i="6"/>
  <c r="C469" i="6"/>
  <c r="D469" i="6"/>
  <c r="E469" i="6"/>
  <c r="F469" i="6"/>
  <c r="H469" i="6"/>
  <c r="I469" i="6"/>
  <c r="L469" i="6"/>
  <c r="N469" i="6"/>
  <c r="Q469" i="6"/>
  <c r="R469" i="6"/>
  <c r="S469" i="6"/>
  <c r="T469" i="6"/>
  <c r="C470" i="6"/>
  <c r="D470" i="6"/>
  <c r="E470" i="6"/>
  <c r="F470" i="6"/>
  <c r="H470" i="6"/>
  <c r="I470" i="6"/>
  <c r="L470" i="6"/>
  <c r="N470" i="6"/>
  <c r="Q470" i="6"/>
  <c r="R470" i="6"/>
  <c r="S470" i="6"/>
  <c r="T470" i="6"/>
  <c r="C471" i="6"/>
  <c r="D471" i="6"/>
  <c r="E471" i="6"/>
  <c r="F471" i="6"/>
  <c r="H471" i="6"/>
  <c r="I471" i="6"/>
  <c r="L471" i="6"/>
  <c r="N471" i="6"/>
  <c r="Q471" i="6"/>
  <c r="R471" i="6"/>
  <c r="S471" i="6"/>
  <c r="T471" i="6"/>
  <c r="C472" i="6"/>
  <c r="D472" i="6"/>
  <c r="E472" i="6"/>
  <c r="F472" i="6"/>
  <c r="H472" i="6"/>
  <c r="I472" i="6"/>
  <c r="L472" i="6"/>
  <c r="N472" i="6"/>
  <c r="Q472" i="6"/>
  <c r="R472" i="6"/>
  <c r="S472" i="6"/>
  <c r="T472" i="6"/>
  <c r="C473" i="6"/>
  <c r="D473" i="6"/>
  <c r="E473" i="6"/>
  <c r="F473" i="6"/>
  <c r="H473" i="6"/>
  <c r="I473" i="6"/>
  <c r="L473" i="6"/>
  <c r="N473" i="6"/>
  <c r="Q473" i="6"/>
  <c r="R473" i="6"/>
  <c r="S473" i="6"/>
  <c r="T473" i="6"/>
  <c r="C474" i="6"/>
  <c r="D474" i="6"/>
  <c r="E474" i="6"/>
  <c r="F474" i="6"/>
  <c r="H474" i="6"/>
  <c r="I474" i="6"/>
  <c r="L474" i="6"/>
  <c r="N474" i="6"/>
  <c r="Q474" i="6"/>
  <c r="R474" i="6"/>
  <c r="S474" i="6"/>
  <c r="T474" i="6"/>
  <c r="C475" i="6"/>
  <c r="D475" i="6"/>
  <c r="E475" i="6"/>
  <c r="F475" i="6"/>
  <c r="H475" i="6"/>
  <c r="I475" i="6"/>
  <c r="L475" i="6"/>
  <c r="N475" i="6"/>
  <c r="Q475" i="6"/>
  <c r="R475" i="6"/>
  <c r="S475" i="6"/>
  <c r="T475" i="6"/>
  <c r="C476" i="6"/>
  <c r="D476" i="6"/>
  <c r="E476" i="6"/>
  <c r="F476" i="6"/>
  <c r="H476" i="6"/>
  <c r="I476" i="6"/>
  <c r="L476" i="6"/>
  <c r="N476" i="6"/>
  <c r="Q476" i="6"/>
  <c r="R476" i="6"/>
  <c r="S476" i="6"/>
  <c r="T476" i="6"/>
  <c r="C477" i="6"/>
  <c r="D477" i="6"/>
  <c r="E477" i="6"/>
  <c r="F477" i="6"/>
  <c r="H477" i="6"/>
  <c r="I477" i="6"/>
  <c r="L477" i="6"/>
  <c r="N477" i="6"/>
  <c r="Q477" i="6"/>
  <c r="R477" i="6"/>
  <c r="S477" i="6"/>
  <c r="T477" i="6"/>
  <c r="C478" i="6"/>
  <c r="D478" i="6"/>
  <c r="E478" i="6"/>
  <c r="F478" i="6"/>
  <c r="H478" i="6"/>
  <c r="I478" i="6"/>
  <c r="L478" i="6"/>
  <c r="N478" i="6"/>
  <c r="Q478" i="6"/>
  <c r="R478" i="6"/>
  <c r="S478" i="6"/>
  <c r="T478" i="6"/>
  <c r="C479" i="6"/>
  <c r="D479" i="6"/>
  <c r="E479" i="6"/>
  <c r="F479" i="6"/>
  <c r="H479" i="6"/>
  <c r="I479" i="6"/>
  <c r="L479" i="6"/>
  <c r="N479" i="6"/>
  <c r="Q479" i="6"/>
  <c r="R479" i="6"/>
  <c r="S479" i="6"/>
  <c r="T479" i="6"/>
  <c r="C480" i="6"/>
  <c r="D480" i="6"/>
  <c r="E480" i="6"/>
  <c r="F480" i="6"/>
  <c r="H480" i="6"/>
  <c r="I480" i="6"/>
  <c r="L480" i="6"/>
  <c r="N480" i="6"/>
  <c r="Q480" i="6"/>
  <c r="R480" i="6"/>
  <c r="S480" i="6"/>
  <c r="T480" i="6"/>
  <c r="C481" i="6"/>
  <c r="D481" i="6"/>
  <c r="E481" i="6"/>
  <c r="F481" i="6"/>
  <c r="H481" i="6"/>
  <c r="I481" i="6"/>
  <c r="L481" i="6"/>
  <c r="N481" i="6"/>
  <c r="Q481" i="6"/>
  <c r="R481" i="6"/>
  <c r="S481" i="6"/>
  <c r="T481" i="6"/>
  <c r="C482" i="6"/>
  <c r="D482" i="6"/>
  <c r="E482" i="6"/>
  <c r="F482" i="6"/>
  <c r="H482" i="6"/>
  <c r="I482" i="6"/>
  <c r="L482" i="6"/>
  <c r="N482" i="6"/>
  <c r="Q482" i="6"/>
  <c r="R482" i="6"/>
  <c r="S482" i="6"/>
  <c r="T482" i="6"/>
  <c r="C483" i="6"/>
  <c r="D483" i="6"/>
  <c r="E483" i="6"/>
  <c r="F483" i="6"/>
  <c r="H483" i="6"/>
  <c r="I483" i="6"/>
  <c r="L483" i="6"/>
  <c r="N483" i="6"/>
  <c r="Q483" i="6"/>
  <c r="R483" i="6"/>
  <c r="S483" i="6"/>
  <c r="T483" i="6"/>
  <c r="C484" i="6"/>
  <c r="D484" i="6"/>
  <c r="E484" i="6"/>
  <c r="F484" i="6"/>
  <c r="H484" i="6"/>
  <c r="I484" i="6"/>
  <c r="L484" i="6"/>
  <c r="N484" i="6"/>
  <c r="Q484" i="6"/>
  <c r="R484" i="6"/>
  <c r="S484" i="6"/>
  <c r="T484" i="6"/>
  <c r="C485" i="6"/>
  <c r="D485" i="6"/>
  <c r="E485" i="6"/>
  <c r="F485" i="6"/>
  <c r="H485" i="6"/>
  <c r="I485" i="6"/>
  <c r="L485" i="6"/>
  <c r="N485" i="6"/>
  <c r="Q485" i="6"/>
  <c r="R485" i="6"/>
  <c r="S485" i="6"/>
  <c r="T485" i="6"/>
  <c r="C486" i="6"/>
  <c r="D486" i="6"/>
  <c r="E486" i="6"/>
  <c r="F486" i="6"/>
  <c r="H486" i="6"/>
  <c r="I486" i="6"/>
  <c r="L486" i="6"/>
  <c r="N486" i="6"/>
  <c r="Q486" i="6"/>
  <c r="R486" i="6"/>
  <c r="S486" i="6"/>
  <c r="T486" i="6"/>
  <c r="C487" i="6"/>
  <c r="D487" i="6"/>
  <c r="E487" i="6"/>
  <c r="F487" i="6"/>
  <c r="H487" i="6"/>
  <c r="I487" i="6"/>
  <c r="L487" i="6"/>
  <c r="N487" i="6"/>
  <c r="Q487" i="6"/>
  <c r="R487" i="6"/>
  <c r="S487" i="6"/>
  <c r="T487" i="6"/>
  <c r="C488" i="6"/>
  <c r="D488" i="6"/>
  <c r="E488" i="6"/>
  <c r="F488" i="6"/>
  <c r="H488" i="6"/>
  <c r="I488" i="6"/>
  <c r="L488" i="6"/>
  <c r="N488" i="6"/>
  <c r="Q488" i="6"/>
  <c r="R488" i="6"/>
  <c r="S488" i="6"/>
  <c r="T488" i="6"/>
  <c r="C489" i="6"/>
  <c r="D489" i="6"/>
  <c r="E489" i="6"/>
  <c r="F489" i="6"/>
  <c r="H489" i="6"/>
  <c r="I489" i="6"/>
  <c r="L489" i="6"/>
  <c r="N489" i="6"/>
  <c r="Q489" i="6"/>
  <c r="R489" i="6"/>
  <c r="S489" i="6"/>
  <c r="T489" i="6"/>
  <c r="C490" i="6"/>
  <c r="D490" i="6"/>
  <c r="E490" i="6"/>
  <c r="F490" i="6"/>
  <c r="H490" i="6"/>
  <c r="I490" i="6"/>
  <c r="L490" i="6"/>
  <c r="N490" i="6"/>
  <c r="Q490" i="6"/>
  <c r="R490" i="6"/>
  <c r="S490" i="6"/>
  <c r="T490" i="6"/>
  <c r="C491" i="6"/>
  <c r="D491" i="6"/>
  <c r="E491" i="6"/>
  <c r="F491" i="6"/>
  <c r="H491" i="6"/>
  <c r="I491" i="6"/>
  <c r="L491" i="6"/>
  <c r="N491" i="6"/>
  <c r="Q491" i="6"/>
  <c r="R491" i="6"/>
  <c r="S491" i="6"/>
  <c r="T491" i="6"/>
  <c r="C492" i="6"/>
  <c r="D492" i="6"/>
  <c r="E492" i="6"/>
  <c r="F492" i="6"/>
  <c r="H492" i="6"/>
  <c r="I492" i="6"/>
  <c r="L492" i="6"/>
  <c r="N492" i="6"/>
  <c r="Q492" i="6"/>
  <c r="R492" i="6"/>
  <c r="S492" i="6"/>
  <c r="T492" i="6"/>
  <c r="C493" i="6"/>
  <c r="D493" i="6"/>
  <c r="E493" i="6"/>
  <c r="F493" i="6"/>
  <c r="H493" i="6"/>
  <c r="I493" i="6"/>
  <c r="L493" i="6"/>
  <c r="N493" i="6"/>
  <c r="Q493" i="6"/>
  <c r="R493" i="6"/>
  <c r="S493" i="6"/>
  <c r="T493" i="6"/>
  <c r="C494" i="6"/>
  <c r="D494" i="6"/>
  <c r="E494" i="6"/>
  <c r="F494" i="6"/>
  <c r="H494" i="6"/>
  <c r="I494" i="6"/>
  <c r="L494" i="6"/>
  <c r="N494" i="6"/>
  <c r="Q494" i="6"/>
  <c r="R494" i="6"/>
  <c r="S494" i="6"/>
  <c r="T494" i="6"/>
  <c r="C495" i="6"/>
  <c r="D495" i="6"/>
  <c r="E495" i="6"/>
  <c r="F495" i="6"/>
  <c r="H495" i="6"/>
  <c r="I495" i="6"/>
  <c r="L495" i="6"/>
  <c r="N495" i="6"/>
  <c r="Q495" i="6"/>
  <c r="R495" i="6"/>
  <c r="S495" i="6"/>
  <c r="T495" i="6"/>
  <c r="C496" i="6"/>
  <c r="D496" i="6"/>
  <c r="E496" i="6"/>
  <c r="F496" i="6"/>
  <c r="H496" i="6"/>
  <c r="I496" i="6"/>
  <c r="L496" i="6"/>
  <c r="N496" i="6"/>
  <c r="Q496" i="6"/>
  <c r="R496" i="6"/>
  <c r="S496" i="6"/>
  <c r="T496" i="6"/>
  <c r="C497" i="6"/>
  <c r="D497" i="6"/>
  <c r="E497" i="6"/>
  <c r="F497" i="6"/>
  <c r="H497" i="6"/>
  <c r="I497" i="6"/>
  <c r="L497" i="6"/>
  <c r="N497" i="6"/>
  <c r="Q497" i="6"/>
  <c r="R497" i="6"/>
  <c r="S497" i="6"/>
  <c r="T497" i="6"/>
  <c r="C498" i="6"/>
  <c r="D498" i="6"/>
  <c r="E498" i="6"/>
  <c r="F498" i="6"/>
  <c r="H498" i="6"/>
  <c r="I498" i="6"/>
  <c r="L498" i="6"/>
  <c r="N498" i="6"/>
  <c r="Q498" i="6"/>
  <c r="R498" i="6"/>
  <c r="S498" i="6"/>
  <c r="T498" i="6"/>
  <c r="C499" i="6"/>
  <c r="D499" i="6"/>
  <c r="E499" i="6"/>
  <c r="F499" i="6"/>
  <c r="H499" i="6"/>
  <c r="I499" i="6"/>
  <c r="L499" i="6"/>
  <c r="N499" i="6"/>
  <c r="Q499" i="6"/>
  <c r="R499" i="6"/>
  <c r="S499" i="6"/>
  <c r="T499" i="6"/>
  <c r="C500" i="6"/>
  <c r="D500" i="6"/>
  <c r="E500" i="6"/>
  <c r="F500" i="6"/>
  <c r="H500" i="6"/>
  <c r="I500" i="6"/>
  <c r="L500" i="6"/>
  <c r="N500" i="6"/>
  <c r="Q500" i="6"/>
  <c r="R500" i="6"/>
  <c r="S500" i="6"/>
  <c r="T500" i="6"/>
  <c r="C501" i="6"/>
  <c r="D501" i="6"/>
  <c r="E501" i="6"/>
  <c r="F501" i="6"/>
  <c r="H501" i="6"/>
  <c r="I501" i="6"/>
  <c r="L501" i="6"/>
  <c r="N501" i="6"/>
  <c r="Q501" i="6"/>
  <c r="R501" i="6"/>
  <c r="S501" i="6"/>
  <c r="T501" i="6"/>
  <c r="C502" i="6"/>
  <c r="D502" i="6"/>
  <c r="E502" i="6"/>
  <c r="F502" i="6"/>
  <c r="H502" i="6"/>
  <c r="I502" i="6"/>
  <c r="L502" i="6"/>
  <c r="N502" i="6"/>
  <c r="Q502" i="6"/>
  <c r="R502" i="6"/>
  <c r="S502" i="6"/>
  <c r="T502" i="6"/>
  <c r="C503" i="6"/>
  <c r="D503" i="6"/>
  <c r="E503" i="6"/>
  <c r="F503" i="6"/>
  <c r="H503" i="6"/>
  <c r="I503" i="6"/>
  <c r="L503" i="6"/>
  <c r="N503" i="6"/>
  <c r="Q503" i="6"/>
  <c r="R503" i="6"/>
  <c r="S503" i="6"/>
  <c r="T503" i="6"/>
  <c r="C504" i="6"/>
  <c r="D504" i="6"/>
  <c r="E504" i="6"/>
  <c r="F504" i="6"/>
  <c r="H504" i="6"/>
  <c r="I504" i="6"/>
  <c r="L504" i="6"/>
  <c r="N504" i="6"/>
  <c r="Q504" i="6"/>
  <c r="R504" i="6"/>
  <c r="S504" i="6"/>
  <c r="T504" i="6"/>
  <c r="C505" i="6"/>
  <c r="D505" i="6"/>
  <c r="E505" i="6"/>
  <c r="F505" i="6"/>
  <c r="H505" i="6"/>
  <c r="I505" i="6"/>
  <c r="L505" i="6"/>
  <c r="N505" i="6"/>
  <c r="Q505" i="6"/>
  <c r="R505" i="6"/>
  <c r="S505" i="6"/>
  <c r="T505" i="6"/>
  <c r="C506" i="6"/>
  <c r="D506" i="6"/>
  <c r="E506" i="6"/>
  <c r="F506" i="6"/>
  <c r="H506" i="6"/>
  <c r="I506" i="6"/>
  <c r="L506" i="6"/>
  <c r="N506" i="6"/>
  <c r="Q506" i="6"/>
  <c r="R506" i="6"/>
  <c r="S506" i="6"/>
  <c r="T506" i="6"/>
  <c r="C507" i="6"/>
  <c r="D507" i="6"/>
  <c r="E507" i="6"/>
  <c r="F507" i="6"/>
  <c r="H507" i="6"/>
  <c r="I507" i="6"/>
  <c r="L507" i="6"/>
  <c r="N507" i="6"/>
  <c r="Q507" i="6"/>
  <c r="R507" i="6"/>
  <c r="S507" i="6"/>
  <c r="T507" i="6"/>
  <c r="C508" i="6"/>
  <c r="D508" i="6"/>
  <c r="E508" i="6"/>
  <c r="F508" i="6"/>
  <c r="H508" i="6"/>
  <c r="I508" i="6"/>
  <c r="L508" i="6"/>
  <c r="N508" i="6"/>
  <c r="Q508" i="6"/>
  <c r="R508" i="6"/>
  <c r="S508" i="6"/>
  <c r="T508" i="6"/>
  <c r="C509" i="6"/>
  <c r="D509" i="6"/>
  <c r="E509" i="6"/>
  <c r="F509" i="6"/>
  <c r="H509" i="6"/>
  <c r="I509" i="6"/>
  <c r="L509" i="6"/>
  <c r="N509" i="6"/>
  <c r="Q509" i="6"/>
  <c r="R509" i="6"/>
  <c r="S509" i="6"/>
  <c r="T509" i="6"/>
  <c r="C510" i="6"/>
  <c r="D510" i="6"/>
  <c r="E510" i="6"/>
  <c r="F510" i="6"/>
  <c r="H510" i="6"/>
  <c r="I510" i="6"/>
  <c r="L510" i="6"/>
  <c r="N510" i="6"/>
  <c r="Q510" i="6"/>
  <c r="R510" i="6"/>
  <c r="S510" i="6"/>
  <c r="T510" i="6"/>
  <c r="C511" i="6"/>
  <c r="D511" i="6"/>
  <c r="E511" i="6"/>
  <c r="F511" i="6"/>
  <c r="H511" i="6"/>
  <c r="I511" i="6"/>
  <c r="L511" i="6"/>
  <c r="N511" i="6"/>
  <c r="Q511" i="6"/>
  <c r="R511" i="6"/>
  <c r="S511" i="6"/>
  <c r="T511" i="6"/>
  <c r="C512" i="6"/>
  <c r="D512" i="6"/>
  <c r="E512" i="6"/>
  <c r="F512" i="6"/>
  <c r="H512" i="6"/>
  <c r="I512" i="6"/>
  <c r="L512" i="6"/>
  <c r="N512" i="6"/>
  <c r="Q512" i="6"/>
  <c r="R512" i="6"/>
  <c r="S512" i="6"/>
  <c r="T512" i="6"/>
  <c r="C513" i="6"/>
  <c r="D513" i="6"/>
  <c r="E513" i="6"/>
  <c r="F513" i="6"/>
  <c r="H513" i="6"/>
  <c r="I513" i="6"/>
  <c r="L513" i="6"/>
  <c r="N513" i="6"/>
  <c r="Q513" i="6"/>
  <c r="R513" i="6"/>
  <c r="S513" i="6"/>
  <c r="T513" i="6"/>
  <c r="C514" i="6"/>
  <c r="D514" i="6"/>
  <c r="E514" i="6"/>
  <c r="F514" i="6"/>
  <c r="H514" i="6"/>
  <c r="I514" i="6"/>
  <c r="L514" i="6"/>
  <c r="N514" i="6"/>
  <c r="Q514" i="6"/>
  <c r="R514" i="6"/>
  <c r="S514" i="6"/>
  <c r="T514" i="6"/>
  <c r="C515" i="6"/>
  <c r="D515" i="6"/>
  <c r="E515" i="6"/>
  <c r="F515" i="6"/>
  <c r="H515" i="6"/>
  <c r="I515" i="6"/>
  <c r="L515" i="6"/>
  <c r="N515" i="6"/>
  <c r="Q515" i="6"/>
  <c r="R515" i="6"/>
  <c r="S515" i="6"/>
  <c r="T515" i="6"/>
  <c r="C516" i="6"/>
  <c r="D516" i="6"/>
  <c r="E516" i="6"/>
  <c r="F516" i="6"/>
  <c r="H516" i="6"/>
  <c r="I516" i="6"/>
  <c r="L516" i="6"/>
  <c r="N516" i="6"/>
  <c r="Q516" i="6"/>
  <c r="R516" i="6"/>
  <c r="S516" i="6"/>
  <c r="T516" i="6"/>
  <c r="C517" i="6"/>
  <c r="D517" i="6"/>
  <c r="E517" i="6"/>
  <c r="F517" i="6"/>
  <c r="H517" i="6"/>
  <c r="I517" i="6"/>
  <c r="L517" i="6"/>
  <c r="N517" i="6"/>
  <c r="Q517" i="6"/>
  <c r="R517" i="6"/>
  <c r="S517" i="6"/>
  <c r="T517" i="6"/>
  <c r="C518" i="6"/>
  <c r="D518" i="6"/>
  <c r="E518" i="6"/>
  <c r="F518" i="6"/>
  <c r="H518" i="6"/>
  <c r="I518" i="6"/>
  <c r="L518" i="6"/>
  <c r="N518" i="6"/>
  <c r="Q518" i="6"/>
  <c r="R518" i="6"/>
  <c r="S518" i="6"/>
  <c r="T518" i="6"/>
  <c r="C519" i="6"/>
  <c r="D519" i="6"/>
  <c r="E519" i="6"/>
  <c r="F519" i="6"/>
  <c r="H519" i="6"/>
  <c r="I519" i="6"/>
  <c r="L519" i="6"/>
  <c r="N519" i="6"/>
  <c r="Q519" i="6"/>
  <c r="R519" i="6"/>
  <c r="S519" i="6"/>
  <c r="T519" i="6"/>
  <c r="C520" i="6"/>
  <c r="D520" i="6"/>
  <c r="E520" i="6"/>
  <c r="F520" i="6"/>
  <c r="H520" i="6"/>
  <c r="I520" i="6"/>
  <c r="L520" i="6"/>
  <c r="N520" i="6"/>
  <c r="Q520" i="6"/>
  <c r="R520" i="6"/>
  <c r="S520" i="6"/>
  <c r="T520" i="6"/>
  <c r="C521" i="6"/>
  <c r="D521" i="6"/>
  <c r="E521" i="6"/>
  <c r="F521" i="6"/>
  <c r="H521" i="6"/>
  <c r="I521" i="6"/>
  <c r="L521" i="6"/>
  <c r="N521" i="6"/>
  <c r="Q521" i="6"/>
  <c r="R521" i="6"/>
  <c r="S521" i="6"/>
  <c r="T521" i="6"/>
  <c r="C522" i="6"/>
  <c r="D522" i="6"/>
  <c r="E522" i="6"/>
  <c r="F522" i="6"/>
  <c r="H522" i="6"/>
  <c r="I522" i="6"/>
  <c r="L522" i="6"/>
  <c r="N522" i="6"/>
  <c r="Q522" i="6"/>
  <c r="R522" i="6"/>
  <c r="S522" i="6"/>
  <c r="T522" i="6"/>
  <c r="C523" i="6"/>
  <c r="D523" i="6"/>
  <c r="E523" i="6"/>
  <c r="F523" i="6"/>
  <c r="H523" i="6"/>
  <c r="I523" i="6"/>
  <c r="L523" i="6"/>
  <c r="N523" i="6"/>
  <c r="Q523" i="6"/>
  <c r="R523" i="6"/>
  <c r="S523" i="6"/>
  <c r="T523" i="6"/>
  <c r="C524" i="6"/>
  <c r="D524" i="6"/>
  <c r="E524" i="6"/>
  <c r="F524" i="6"/>
  <c r="H524" i="6"/>
  <c r="I524" i="6"/>
  <c r="L524" i="6"/>
  <c r="N524" i="6"/>
  <c r="Q524" i="6"/>
  <c r="R524" i="6"/>
  <c r="S524" i="6"/>
  <c r="T524" i="6"/>
  <c r="C525" i="6"/>
  <c r="D525" i="6"/>
  <c r="E525" i="6"/>
  <c r="F525" i="6"/>
  <c r="H525" i="6"/>
  <c r="I525" i="6"/>
  <c r="L525" i="6"/>
  <c r="N525" i="6"/>
  <c r="Q525" i="6"/>
  <c r="R525" i="6"/>
  <c r="S525" i="6"/>
  <c r="T525" i="6"/>
  <c r="C526" i="6"/>
  <c r="D526" i="6"/>
  <c r="E526" i="6"/>
  <c r="F526" i="6"/>
  <c r="H526" i="6"/>
  <c r="I526" i="6"/>
  <c r="L526" i="6"/>
  <c r="N526" i="6"/>
  <c r="Q526" i="6"/>
  <c r="R526" i="6"/>
  <c r="S526" i="6"/>
  <c r="T526" i="6"/>
  <c r="C527" i="6"/>
  <c r="D527" i="6"/>
  <c r="E527" i="6"/>
  <c r="F527" i="6"/>
  <c r="H527" i="6"/>
  <c r="I527" i="6"/>
  <c r="L527" i="6"/>
  <c r="N527" i="6"/>
  <c r="Q527" i="6"/>
  <c r="R527" i="6"/>
  <c r="S527" i="6"/>
  <c r="T527" i="6"/>
  <c r="C528" i="6"/>
  <c r="D528" i="6"/>
  <c r="E528" i="6"/>
  <c r="F528" i="6"/>
  <c r="H528" i="6"/>
  <c r="I528" i="6"/>
  <c r="L528" i="6"/>
  <c r="N528" i="6"/>
  <c r="Q528" i="6"/>
  <c r="R528" i="6"/>
  <c r="S528" i="6"/>
  <c r="T528" i="6"/>
  <c r="C529" i="6"/>
  <c r="D529" i="6"/>
  <c r="E529" i="6"/>
  <c r="F529" i="6"/>
  <c r="H529" i="6"/>
  <c r="I529" i="6"/>
  <c r="L529" i="6"/>
  <c r="N529" i="6"/>
  <c r="Q529" i="6"/>
  <c r="R529" i="6"/>
  <c r="S529" i="6"/>
  <c r="T529" i="6"/>
  <c r="C530" i="6"/>
  <c r="D530" i="6"/>
  <c r="E530" i="6"/>
  <c r="F530" i="6"/>
  <c r="H530" i="6"/>
  <c r="I530" i="6"/>
  <c r="L530" i="6"/>
  <c r="N530" i="6"/>
  <c r="Q530" i="6"/>
  <c r="R530" i="6"/>
  <c r="S530" i="6"/>
  <c r="T530" i="6"/>
  <c r="C531" i="6"/>
  <c r="D531" i="6"/>
  <c r="E531" i="6"/>
  <c r="F531" i="6"/>
  <c r="H531" i="6"/>
  <c r="I531" i="6"/>
  <c r="L531" i="6"/>
  <c r="N531" i="6"/>
  <c r="Q531" i="6"/>
  <c r="R531" i="6"/>
  <c r="S531" i="6"/>
  <c r="T531" i="6"/>
  <c r="C532" i="6"/>
  <c r="D532" i="6"/>
  <c r="E532" i="6"/>
  <c r="F532" i="6"/>
  <c r="H532" i="6"/>
  <c r="I532" i="6"/>
  <c r="L532" i="6"/>
  <c r="N532" i="6"/>
  <c r="Q532" i="6"/>
  <c r="R532" i="6"/>
  <c r="S532" i="6"/>
  <c r="T532" i="6"/>
  <c r="C533" i="6"/>
  <c r="D533" i="6"/>
  <c r="E533" i="6"/>
  <c r="F533" i="6"/>
  <c r="H533" i="6"/>
  <c r="I533" i="6"/>
  <c r="L533" i="6"/>
  <c r="N533" i="6"/>
  <c r="Q533" i="6"/>
  <c r="R533" i="6"/>
  <c r="S533" i="6"/>
  <c r="T533" i="6"/>
  <c r="C534" i="6"/>
  <c r="D534" i="6"/>
  <c r="E534" i="6"/>
  <c r="F534" i="6"/>
  <c r="H534" i="6"/>
  <c r="I534" i="6"/>
  <c r="L534" i="6"/>
  <c r="N534" i="6"/>
  <c r="Q534" i="6"/>
  <c r="R534" i="6"/>
  <c r="S534" i="6"/>
  <c r="T534" i="6"/>
  <c r="C535" i="6"/>
  <c r="D535" i="6"/>
  <c r="E535" i="6"/>
  <c r="F535" i="6"/>
  <c r="H535" i="6"/>
  <c r="I535" i="6"/>
  <c r="L535" i="6"/>
  <c r="N535" i="6"/>
  <c r="Q535" i="6"/>
  <c r="R535" i="6"/>
  <c r="S535" i="6"/>
  <c r="T535" i="6"/>
  <c r="C536" i="6"/>
  <c r="D536" i="6"/>
  <c r="E536" i="6"/>
  <c r="F536" i="6"/>
  <c r="H536" i="6"/>
  <c r="I536" i="6"/>
  <c r="L536" i="6"/>
  <c r="N536" i="6"/>
  <c r="Q536" i="6"/>
  <c r="R536" i="6"/>
  <c r="S536" i="6"/>
  <c r="T536" i="6"/>
  <c r="C537" i="6"/>
  <c r="D537" i="6"/>
  <c r="E537" i="6"/>
  <c r="F537" i="6"/>
  <c r="H537" i="6"/>
  <c r="I537" i="6"/>
  <c r="L537" i="6"/>
  <c r="N537" i="6"/>
  <c r="Q537" i="6"/>
  <c r="R537" i="6"/>
  <c r="S537" i="6"/>
  <c r="T537" i="6"/>
  <c r="C538" i="6"/>
  <c r="D538" i="6"/>
  <c r="E538" i="6"/>
  <c r="F538" i="6"/>
  <c r="H538" i="6"/>
  <c r="I538" i="6"/>
  <c r="L538" i="6"/>
  <c r="N538" i="6"/>
  <c r="Q538" i="6"/>
  <c r="R538" i="6"/>
  <c r="S538" i="6"/>
  <c r="T538" i="6"/>
  <c r="C539" i="6"/>
  <c r="D539" i="6"/>
  <c r="E539" i="6"/>
  <c r="F539" i="6"/>
  <c r="H539" i="6"/>
  <c r="I539" i="6"/>
  <c r="L539" i="6"/>
  <c r="N539" i="6"/>
  <c r="Q539" i="6"/>
  <c r="R539" i="6"/>
  <c r="S539" i="6"/>
  <c r="T539" i="6"/>
  <c r="C540" i="6"/>
  <c r="D540" i="6"/>
  <c r="E540" i="6"/>
  <c r="F540" i="6"/>
  <c r="H540" i="6"/>
  <c r="I540" i="6"/>
  <c r="L540" i="6"/>
  <c r="N540" i="6"/>
  <c r="Q540" i="6"/>
  <c r="R540" i="6"/>
  <c r="S540" i="6"/>
  <c r="T540" i="6"/>
  <c r="C541" i="6"/>
  <c r="D541" i="6"/>
  <c r="E541" i="6"/>
  <c r="F541" i="6"/>
  <c r="H541" i="6"/>
  <c r="I541" i="6"/>
  <c r="L541" i="6"/>
  <c r="N541" i="6"/>
  <c r="Q541" i="6"/>
  <c r="R541" i="6"/>
  <c r="S541" i="6"/>
  <c r="T541" i="6"/>
  <c r="C542" i="6"/>
  <c r="D542" i="6"/>
  <c r="E542" i="6"/>
  <c r="F542" i="6"/>
  <c r="H542" i="6"/>
  <c r="I542" i="6"/>
  <c r="L542" i="6"/>
  <c r="N542" i="6"/>
  <c r="Q542" i="6"/>
  <c r="R542" i="6"/>
  <c r="S542" i="6"/>
  <c r="T542" i="6"/>
  <c r="C543" i="6"/>
  <c r="D543" i="6"/>
  <c r="E543" i="6"/>
  <c r="F543" i="6"/>
  <c r="H543" i="6"/>
  <c r="I543" i="6"/>
  <c r="L543" i="6"/>
  <c r="N543" i="6"/>
  <c r="Q543" i="6"/>
  <c r="R543" i="6"/>
  <c r="S543" i="6"/>
  <c r="T543" i="6"/>
  <c r="C544" i="6"/>
  <c r="D544" i="6"/>
  <c r="E544" i="6"/>
  <c r="F544" i="6"/>
  <c r="H544" i="6"/>
  <c r="I544" i="6"/>
  <c r="L544" i="6"/>
  <c r="N544" i="6"/>
  <c r="Q544" i="6"/>
  <c r="R544" i="6"/>
  <c r="S544" i="6"/>
  <c r="T544" i="6"/>
  <c r="C545" i="6"/>
  <c r="D545" i="6"/>
  <c r="E545" i="6"/>
  <c r="F545" i="6"/>
  <c r="H545" i="6"/>
  <c r="I545" i="6"/>
  <c r="L545" i="6"/>
  <c r="N545" i="6"/>
  <c r="Q545" i="6"/>
  <c r="R545" i="6"/>
  <c r="S545" i="6"/>
  <c r="T545" i="6"/>
  <c r="C546" i="6"/>
  <c r="D546" i="6"/>
  <c r="E546" i="6"/>
  <c r="F546" i="6"/>
  <c r="H546" i="6"/>
  <c r="I546" i="6"/>
  <c r="L546" i="6"/>
  <c r="N546" i="6"/>
  <c r="Q546" i="6"/>
  <c r="R546" i="6"/>
  <c r="S546" i="6"/>
  <c r="T546" i="6"/>
  <c r="C547" i="6"/>
  <c r="D547" i="6"/>
  <c r="E547" i="6"/>
  <c r="F547" i="6"/>
  <c r="H547" i="6"/>
  <c r="I547" i="6"/>
  <c r="L547" i="6"/>
  <c r="N547" i="6"/>
  <c r="Q547" i="6"/>
  <c r="R547" i="6"/>
  <c r="S547" i="6"/>
  <c r="T547" i="6"/>
  <c r="C548" i="6"/>
  <c r="D548" i="6"/>
  <c r="E548" i="6"/>
  <c r="F548" i="6"/>
  <c r="H548" i="6"/>
  <c r="I548" i="6"/>
  <c r="L548" i="6"/>
  <c r="N548" i="6"/>
  <c r="Q548" i="6"/>
  <c r="R548" i="6"/>
  <c r="S548" i="6"/>
  <c r="T548" i="6"/>
  <c r="C549" i="6"/>
  <c r="D549" i="6"/>
  <c r="E549" i="6"/>
  <c r="F549" i="6"/>
  <c r="H549" i="6"/>
  <c r="I549" i="6"/>
  <c r="L549" i="6"/>
  <c r="N549" i="6"/>
  <c r="Q549" i="6"/>
  <c r="R549" i="6"/>
  <c r="S549" i="6"/>
  <c r="T549" i="6"/>
  <c r="C550" i="6"/>
  <c r="D550" i="6"/>
  <c r="E550" i="6"/>
  <c r="F550" i="6"/>
  <c r="H550" i="6"/>
  <c r="I550" i="6"/>
  <c r="L550" i="6"/>
  <c r="N550" i="6"/>
  <c r="Q550" i="6"/>
  <c r="R550" i="6"/>
  <c r="S550" i="6"/>
  <c r="T550" i="6"/>
  <c r="C551" i="6"/>
  <c r="D551" i="6"/>
  <c r="E551" i="6"/>
  <c r="F551" i="6"/>
  <c r="H551" i="6"/>
  <c r="I551" i="6"/>
  <c r="L551" i="6"/>
  <c r="N551" i="6"/>
  <c r="Q551" i="6"/>
  <c r="R551" i="6"/>
  <c r="S551" i="6"/>
  <c r="T551" i="6"/>
  <c r="C552" i="6"/>
  <c r="D552" i="6"/>
  <c r="E552" i="6"/>
  <c r="F552" i="6"/>
  <c r="H552" i="6"/>
  <c r="I552" i="6"/>
  <c r="L552" i="6"/>
  <c r="N552" i="6"/>
  <c r="Q552" i="6"/>
  <c r="R552" i="6"/>
  <c r="S552" i="6"/>
  <c r="T552" i="6"/>
  <c r="C553" i="6"/>
  <c r="D553" i="6"/>
  <c r="E553" i="6"/>
  <c r="F553" i="6"/>
  <c r="H553" i="6"/>
  <c r="I553" i="6"/>
  <c r="L553" i="6"/>
  <c r="N553" i="6"/>
  <c r="Q553" i="6"/>
  <c r="R553" i="6"/>
  <c r="S553" i="6"/>
  <c r="T553" i="6"/>
  <c r="C554" i="6"/>
  <c r="D554" i="6"/>
  <c r="E554" i="6"/>
  <c r="F554" i="6"/>
  <c r="H554" i="6"/>
  <c r="I554" i="6"/>
  <c r="L554" i="6"/>
  <c r="N554" i="6"/>
  <c r="Q554" i="6"/>
  <c r="R554" i="6"/>
  <c r="S554" i="6"/>
  <c r="T554" i="6"/>
  <c r="C555" i="6"/>
  <c r="D555" i="6"/>
  <c r="E555" i="6"/>
  <c r="F555" i="6"/>
  <c r="H555" i="6"/>
  <c r="I555" i="6"/>
  <c r="L555" i="6"/>
  <c r="N555" i="6"/>
  <c r="Q555" i="6"/>
  <c r="R555" i="6"/>
  <c r="S555" i="6"/>
  <c r="T555" i="6"/>
  <c r="C556" i="6"/>
  <c r="D556" i="6"/>
  <c r="E556" i="6"/>
  <c r="F556" i="6"/>
  <c r="H556" i="6"/>
  <c r="I556" i="6"/>
  <c r="L556" i="6"/>
  <c r="N556" i="6"/>
  <c r="Q556" i="6"/>
  <c r="R556" i="6"/>
  <c r="S556" i="6"/>
  <c r="T556" i="6"/>
  <c r="C557" i="6"/>
  <c r="D557" i="6"/>
  <c r="E557" i="6"/>
  <c r="F557" i="6"/>
  <c r="H557" i="6"/>
  <c r="I557" i="6"/>
  <c r="L557" i="6"/>
  <c r="N557" i="6"/>
  <c r="Q557" i="6"/>
  <c r="R557" i="6"/>
  <c r="S557" i="6"/>
  <c r="T557" i="6"/>
  <c r="C558" i="6"/>
  <c r="D558" i="6"/>
  <c r="E558" i="6"/>
  <c r="F558" i="6"/>
  <c r="H558" i="6"/>
  <c r="I558" i="6"/>
  <c r="L558" i="6"/>
  <c r="N558" i="6"/>
  <c r="Q558" i="6"/>
  <c r="R558" i="6"/>
  <c r="S558" i="6"/>
  <c r="T558" i="6"/>
  <c r="C559" i="6"/>
  <c r="D559" i="6"/>
  <c r="E559" i="6"/>
  <c r="F559" i="6"/>
  <c r="H559" i="6"/>
  <c r="I559" i="6"/>
  <c r="L559" i="6"/>
  <c r="N559" i="6"/>
  <c r="Q559" i="6"/>
  <c r="R559" i="6"/>
  <c r="S559" i="6"/>
  <c r="T559" i="6"/>
  <c r="C560" i="6"/>
  <c r="D560" i="6"/>
  <c r="E560" i="6"/>
  <c r="F560" i="6"/>
  <c r="H560" i="6"/>
  <c r="I560" i="6"/>
  <c r="L560" i="6"/>
  <c r="N560" i="6"/>
  <c r="Q560" i="6"/>
  <c r="R560" i="6"/>
  <c r="S560" i="6"/>
  <c r="T560" i="6"/>
  <c r="C561" i="6"/>
  <c r="D561" i="6"/>
  <c r="E561" i="6"/>
  <c r="F561" i="6"/>
  <c r="H561" i="6"/>
  <c r="I561" i="6"/>
  <c r="L561" i="6"/>
  <c r="N561" i="6"/>
  <c r="Q561" i="6"/>
  <c r="R561" i="6"/>
  <c r="S561" i="6"/>
  <c r="T561" i="6"/>
  <c r="C562" i="6"/>
  <c r="D562" i="6"/>
  <c r="E562" i="6"/>
  <c r="F562" i="6"/>
  <c r="H562" i="6"/>
  <c r="I562" i="6"/>
  <c r="L562" i="6"/>
  <c r="N562" i="6"/>
  <c r="Q562" i="6"/>
  <c r="R562" i="6"/>
  <c r="S562" i="6"/>
  <c r="T562" i="6"/>
  <c r="C563" i="6"/>
  <c r="D563" i="6"/>
  <c r="E563" i="6"/>
  <c r="F563" i="6"/>
  <c r="H563" i="6"/>
  <c r="I563" i="6"/>
  <c r="L563" i="6"/>
  <c r="N563" i="6"/>
  <c r="Q563" i="6"/>
  <c r="R563" i="6"/>
  <c r="S563" i="6"/>
  <c r="T563" i="6"/>
  <c r="C564" i="6"/>
  <c r="D564" i="6"/>
  <c r="E564" i="6"/>
  <c r="F564" i="6"/>
  <c r="H564" i="6"/>
  <c r="I564" i="6"/>
  <c r="L564" i="6"/>
  <c r="N564" i="6"/>
  <c r="Q564" i="6"/>
  <c r="R564" i="6"/>
  <c r="S564" i="6"/>
  <c r="T564" i="6"/>
  <c r="C565" i="6"/>
  <c r="D565" i="6"/>
  <c r="E565" i="6"/>
  <c r="F565" i="6"/>
  <c r="H565" i="6"/>
  <c r="I565" i="6"/>
  <c r="L565" i="6"/>
  <c r="N565" i="6"/>
  <c r="Q565" i="6"/>
  <c r="R565" i="6"/>
  <c r="S565" i="6"/>
  <c r="T565" i="6"/>
  <c r="C566" i="6"/>
  <c r="D566" i="6"/>
  <c r="E566" i="6"/>
  <c r="F566" i="6"/>
  <c r="H566" i="6"/>
  <c r="I566" i="6"/>
  <c r="L566" i="6"/>
  <c r="N566" i="6"/>
  <c r="Q566" i="6"/>
  <c r="R566" i="6"/>
  <c r="S566" i="6"/>
  <c r="T566" i="6"/>
  <c r="C567" i="6"/>
  <c r="D567" i="6"/>
  <c r="E567" i="6"/>
  <c r="F567" i="6"/>
  <c r="H567" i="6"/>
  <c r="I567" i="6"/>
  <c r="L567" i="6"/>
  <c r="N567" i="6"/>
  <c r="Q567" i="6"/>
  <c r="R567" i="6"/>
  <c r="S567" i="6"/>
  <c r="T567" i="6"/>
  <c r="C568" i="6"/>
  <c r="D568" i="6"/>
  <c r="E568" i="6"/>
  <c r="F568" i="6"/>
  <c r="H568" i="6"/>
  <c r="I568" i="6"/>
  <c r="L568" i="6"/>
  <c r="N568" i="6"/>
  <c r="Q568" i="6"/>
  <c r="R568" i="6"/>
  <c r="S568" i="6"/>
  <c r="T568" i="6"/>
  <c r="C569" i="6"/>
  <c r="D569" i="6"/>
  <c r="E569" i="6"/>
  <c r="F569" i="6"/>
  <c r="H569" i="6"/>
  <c r="I569" i="6"/>
  <c r="L569" i="6"/>
  <c r="N569" i="6"/>
  <c r="Q569" i="6"/>
  <c r="R569" i="6"/>
  <c r="S569" i="6"/>
  <c r="T569" i="6"/>
  <c r="C570" i="6"/>
  <c r="D570" i="6"/>
  <c r="E570" i="6"/>
  <c r="F570" i="6"/>
  <c r="H570" i="6"/>
  <c r="I570" i="6"/>
  <c r="L570" i="6"/>
  <c r="N570" i="6"/>
  <c r="Q570" i="6"/>
  <c r="R570" i="6"/>
  <c r="S570" i="6"/>
  <c r="T570" i="6"/>
  <c r="C571" i="6"/>
  <c r="D571" i="6"/>
  <c r="E571" i="6"/>
  <c r="F571" i="6"/>
  <c r="H571" i="6"/>
  <c r="I571" i="6"/>
  <c r="L571" i="6"/>
  <c r="N571" i="6"/>
  <c r="Q571" i="6"/>
  <c r="R571" i="6"/>
  <c r="S571" i="6"/>
  <c r="T571" i="6"/>
  <c r="C572" i="6"/>
  <c r="D572" i="6"/>
  <c r="E572" i="6"/>
  <c r="F572" i="6"/>
  <c r="H572" i="6"/>
  <c r="I572" i="6"/>
  <c r="L572" i="6"/>
  <c r="N572" i="6"/>
  <c r="Q572" i="6"/>
  <c r="R572" i="6"/>
  <c r="S572" i="6"/>
  <c r="T572" i="6"/>
  <c r="C573" i="6"/>
  <c r="D573" i="6"/>
  <c r="E573" i="6"/>
  <c r="F573" i="6"/>
  <c r="H573" i="6"/>
  <c r="I573" i="6"/>
  <c r="L573" i="6"/>
  <c r="N573" i="6"/>
  <c r="Q573" i="6"/>
  <c r="R573" i="6"/>
  <c r="S573" i="6"/>
  <c r="T573" i="6"/>
  <c r="C574" i="6"/>
  <c r="D574" i="6"/>
  <c r="E574" i="6"/>
  <c r="F574" i="6"/>
  <c r="H574" i="6"/>
  <c r="I574" i="6"/>
  <c r="L574" i="6"/>
  <c r="N574" i="6"/>
  <c r="Q574" i="6"/>
  <c r="R574" i="6"/>
  <c r="S574" i="6"/>
  <c r="T574" i="6"/>
  <c r="C575" i="6"/>
  <c r="D575" i="6"/>
  <c r="E575" i="6"/>
  <c r="F575" i="6"/>
  <c r="H575" i="6"/>
  <c r="I575" i="6"/>
  <c r="L575" i="6"/>
  <c r="N575" i="6"/>
  <c r="Q575" i="6"/>
  <c r="R575" i="6"/>
  <c r="S575" i="6"/>
  <c r="T575" i="6"/>
  <c r="C576" i="6"/>
  <c r="D576" i="6"/>
  <c r="E576" i="6"/>
  <c r="F576" i="6"/>
  <c r="H576" i="6"/>
  <c r="I576" i="6"/>
  <c r="L576" i="6"/>
  <c r="N576" i="6"/>
  <c r="Q576" i="6"/>
  <c r="R576" i="6"/>
  <c r="S576" i="6"/>
  <c r="T576" i="6"/>
  <c r="C577" i="6"/>
  <c r="D577" i="6"/>
  <c r="E577" i="6"/>
  <c r="F577" i="6"/>
  <c r="H577" i="6"/>
  <c r="I577" i="6"/>
  <c r="L577" i="6"/>
  <c r="N577" i="6"/>
  <c r="Q577" i="6"/>
  <c r="R577" i="6"/>
  <c r="S577" i="6"/>
  <c r="T577" i="6"/>
  <c r="C578" i="6"/>
  <c r="D578" i="6"/>
  <c r="E578" i="6"/>
  <c r="F578" i="6"/>
  <c r="H578" i="6"/>
  <c r="I578" i="6"/>
  <c r="L578" i="6"/>
  <c r="N578" i="6"/>
  <c r="Q578" i="6"/>
  <c r="R578" i="6"/>
  <c r="S578" i="6"/>
  <c r="T578" i="6"/>
  <c r="C579" i="6"/>
  <c r="D579" i="6"/>
  <c r="E579" i="6"/>
  <c r="F579" i="6"/>
  <c r="H579" i="6"/>
  <c r="I579" i="6"/>
  <c r="L579" i="6"/>
  <c r="N579" i="6"/>
  <c r="Q579" i="6"/>
  <c r="R579" i="6"/>
  <c r="S579" i="6"/>
  <c r="T579" i="6"/>
  <c r="C580" i="6"/>
  <c r="D580" i="6"/>
  <c r="E580" i="6"/>
  <c r="F580" i="6"/>
  <c r="H580" i="6"/>
  <c r="I580" i="6"/>
  <c r="L580" i="6"/>
  <c r="N580" i="6"/>
  <c r="Q580" i="6"/>
  <c r="R580" i="6"/>
  <c r="S580" i="6"/>
  <c r="T580" i="6"/>
  <c r="C581" i="6"/>
  <c r="D581" i="6"/>
  <c r="E581" i="6"/>
  <c r="F581" i="6"/>
  <c r="H581" i="6"/>
  <c r="I581" i="6"/>
  <c r="L581" i="6"/>
  <c r="N581" i="6"/>
  <c r="Q581" i="6"/>
  <c r="R581" i="6"/>
  <c r="S581" i="6"/>
  <c r="T581" i="6"/>
  <c r="C582" i="6"/>
  <c r="D582" i="6"/>
  <c r="E582" i="6"/>
  <c r="F582" i="6"/>
  <c r="H582" i="6"/>
  <c r="I582" i="6"/>
  <c r="L582" i="6"/>
  <c r="N582" i="6"/>
  <c r="Q582" i="6"/>
  <c r="R582" i="6"/>
  <c r="S582" i="6"/>
  <c r="T582" i="6"/>
  <c r="C583" i="6"/>
  <c r="D583" i="6"/>
  <c r="E583" i="6"/>
  <c r="F583" i="6"/>
  <c r="H583" i="6"/>
  <c r="I583" i="6"/>
  <c r="L583" i="6"/>
  <c r="N583" i="6"/>
  <c r="Q583" i="6"/>
  <c r="R583" i="6"/>
  <c r="S583" i="6"/>
  <c r="T583" i="6"/>
  <c r="C584" i="6"/>
  <c r="D584" i="6"/>
  <c r="E584" i="6"/>
  <c r="F584" i="6"/>
  <c r="H584" i="6"/>
  <c r="I584" i="6"/>
  <c r="L584" i="6"/>
  <c r="N584" i="6"/>
  <c r="Q584" i="6"/>
  <c r="R584" i="6"/>
  <c r="S584" i="6"/>
  <c r="T584" i="6"/>
  <c r="C585" i="6"/>
  <c r="D585" i="6"/>
  <c r="E585" i="6"/>
  <c r="F585" i="6"/>
  <c r="H585" i="6"/>
  <c r="I585" i="6"/>
  <c r="L585" i="6"/>
  <c r="N585" i="6"/>
  <c r="Q585" i="6"/>
  <c r="R585" i="6"/>
  <c r="S585" i="6"/>
  <c r="T585" i="6"/>
  <c r="C586" i="6"/>
  <c r="D586" i="6"/>
  <c r="E586" i="6"/>
  <c r="F586" i="6"/>
  <c r="H586" i="6"/>
  <c r="I586" i="6"/>
  <c r="L586" i="6"/>
  <c r="N586" i="6"/>
  <c r="Q586" i="6"/>
  <c r="R586" i="6"/>
  <c r="S586" i="6"/>
  <c r="T586" i="6"/>
  <c r="C587" i="6"/>
  <c r="D587" i="6"/>
  <c r="E587" i="6"/>
  <c r="F587" i="6"/>
  <c r="H587" i="6"/>
  <c r="I587" i="6"/>
  <c r="L587" i="6"/>
  <c r="N587" i="6"/>
  <c r="Q587" i="6"/>
  <c r="R587" i="6"/>
  <c r="S587" i="6"/>
  <c r="T587" i="6"/>
  <c r="C588" i="6"/>
  <c r="D588" i="6"/>
  <c r="E588" i="6"/>
  <c r="F588" i="6"/>
  <c r="H588" i="6"/>
  <c r="I588" i="6"/>
  <c r="L588" i="6"/>
  <c r="N588" i="6"/>
  <c r="Q588" i="6"/>
  <c r="R588" i="6"/>
  <c r="S588" i="6"/>
  <c r="T588" i="6"/>
  <c r="C589" i="6"/>
  <c r="D589" i="6"/>
  <c r="E589" i="6"/>
  <c r="F589" i="6"/>
  <c r="H589" i="6"/>
  <c r="I589" i="6"/>
  <c r="L589" i="6"/>
  <c r="N589" i="6"/>
  <c r="Q589" i="6"/>
  <c r="R589" i="6"/>
  <c r="S589" i="6"/>
  <c r="T589" i="6"/>
  <c r="C590" i="6"/>
  <c r="D590" i="6"/>
  <c r="E590" i="6"/>
  <c r="F590" i="6"/>
  <c r="H590" i="6"/>
  <c r="I590" i="6"/>
  <c r="L590" i="6"/>
  <c r="N590" i="6"/>
  <c r="Q590" i="6"/>
  <c r="R590" i="6"/>
  <c r="S590" i="6"/>
  <c r="T590" i="6"/>
  <c r="C591" i="6"/>
  <c r="D591" i="6"/>
  <c r="E591" i="6"/>
  <c r="F591" i="6"/>
  <c r="H591" i="6"/>
  <c r="I591" i="6"/>
  <c r="L591" i="6"/>
  <c r="N591" i="6"/>
  <c r="Q591" i="6"/>
  <c r="R591" i="6"/>
  <c r="S591" i="6"/>
  <c r="T591" i="6"/>
  <c r="C592" i="6"/>
  <c r="D592" i="6"/>
  <c r="E592" i="6"/>
  <c r="F592" i="6"/>
  <c r="H592" i="6"/>
  <c r="I592" i="6"/>
  <c r="L592" i="6"/>
  <c r="N592" i="6"/>
  <c r="Q592" i="6"/>
  <c r="R592" i="6"/>
  <c r="S592" i="6"/>
  <c r="T592" i="6"/>
  <c r="C593" i="6"/>
  <c r="D593" i="6"/>
  <c r="E593" i="6"/>
  <c r="F593" i="6"/>
  <c r="H593" i="6"/>
  <c r="I593" i="6"/>
  <c r="L593" i="6"/>
  <c r="N593" i="6"/>
  <c r="Q593" i="6"/>
  <c r="R593" i="6"/>
  <c r="S593" i="6"/>
  <c r="T593" i="6"/>
  <c r="C594" i="6"/>
  <c r="D594" i="6"/>
  <c r="E594" i="6"/>
  <c r="F594" i="6"/>
  <c r="H594" i="6"/>
  <c r="I594" i="6"/>
  <c r="L594" i="6"/>
  <c r="N594" i="6"/>
  <c r="Q594" i="6"/>
  <c r="R594" i="6"/>
  <c r="S594" i="6"/>
  <c r="T594" i="6"/>
  <c r="C595" i="6"/>
  <c r="D595" i="6"/>
  <c r="E595" i="6"/>
  <c r="F595" i="6"/>
  <c r="H595" i="6"/>
  <c r="I595" i="6"/>
  <c r="L595" i="6"/>
  <c r="N595" i="6"/>
  <c r="Q595" i="6"/>
  <c r="R595" i="6"/>
  <c r="S595" i="6"/>
  <c r="T595" i="6"/>
  <c r="C596" i="6"/>
  <c r="D596" i="6"/>
  <c r="E596" i="6"/>
  <c r="F596" i="6"/>
  <c r="H596" i="6"/>
  <c r="I596" i="6"/>
  <c r="L596" i="6"/>
  <c r="N596" i="6"/>
  <c r="Q596" i="6"/>
  <c r="R596" i="6"/>
  <c r="S596" i="6"/>
  <c r="T596" i="6"/>
  <c r="C597" i="6"/>
  <c r="D597" i="6"/>
  <c r="E597" i="6"/>
  <c r="F597" i="6"/>
  <c r="H597" i="6"/>
  <c r="I597" i="6"/>
  <c r="L597" i="6"/>
  <c r="N597" i="6"/>
  <c r="Q597" i="6"/>
  <c r="R597" i="6"/>
  <c r="S597" i="6"/>
  <c r="T597" i="6"/>
  <c r="C598" i="6"/>
  <c r="D598" i="6"/>
  <c r="E598" i="6"/>
  <c r="F598" i="6"/>
  <c r="H598" i="6"/>
  <c r="I598" i="6"/>
  <c r="L598" i="6"/>
  <c r="N598" i="6"/>
  <c r="Q598" i="6"/>
  <c r="R598" i="6"/>
  <c r="S598" i="6"/>
  <c r="T598" i="6"/>
  <c r="C599" i="6"/>
  <c r="D599" i="6"/>
  <c r="E599" i="6"/>
  <c r="F599" i="6"/>
  <c r="H599" i="6"/>
  <c r="I599" i="6"/>
  <c r="L599" i="6"/>
  <c r="N599" i="6"/>
  <c r="Q599" i="6"/>
  <c r="R599" i="6"/>
  <c r="S599" i="6"/>
  <c r="T599" i="6"/>
  <c r="B600" i="6"/>
  <c r="C600" i="6"/>
  <c r="D600" i="6"/>
  <c r="E600" i="6"/>
  <c r="F600" i="6"/>
  <c r="H600" i="6"/>
  <c r="I600" i="6"/>
  <c r="N600" i="6"/>
  <c r="R600" i="6"/>
  <c r="Q600" i="6" s="1"/>
  <c r="S600" i="6" s="1"/>
  <c r="T600" i="6"/>
  <c r="B601" i="6"/>
  <c r="C601" i="6"/>
  <c r="D601" i="6"/>
  <c r="E601" i="6"/>
  <c r="F601" i="6"/>
  <c r="H601" i="6"/>
  <c r="I601" i="6"/>
  <c r="L601" i="6"/>
  <c r="N601" i="6"/>
  <c r="Q601" i="6"/>
  <c r="R601" i="6"/>
  <c r="S601" i="6"/>
  <c r="T601" i="6"/>
  <c r="B602" i="6"/>
  <c r="C602" i="6"/>
  <c r="D602" i="6"/>
  <c r="E602" i="6"/>
  <c r="F602" i="6"/>
  <c r="H602" i="6"/>
  <c r="I602" i="6"/>
  <c r="N602" i="6"/>
  <c r="R602" i="6"/>
  <c r="Q602" i="6" s="1"/>
  <c r="S602" i="6" s="1"/>
  <c r="T602" i="6"/>
  <c r="B603" i="6"/>
  <c r="C603" i="6"/>
  <c r="D603" i="6"/>
  <c r="E603" i="6"/>
  <c r="F603" i="6"/>
  <c r="H603" i="6"/>
  <c r="I603" i="6"/>
  <c r="L603" i="6"/>
  <c r="N603" i="6"/>
  <c r="Q603" i="6"/>
  <c r="R603" i="6"/>
  <c r="S603" i="6"/>
  <c r="T603" i="6"/>
  <c r="B604" i="6"/>
  <c r="C604" i="6"/>
  <c r="D604" i="6"/>
  <c r="E604" i="6"/>
  <c r="F604" i="6"/>
  <c r="H604" i="6"/>
  <c r="I604" i="6"/>
  <c r="N604" i="6"/>
  <c r="R604" i="6"/>
  <c r="Q604" i="6" s="1"/>
  <c r="S604" i="6" s="1"/>
  <c r="T604" i="6"/>
  <c r="B605" i="6"/>
  <c r="C605" i="6"/>
  <c r="D605" i="6"/>
  <c r="E605" i="6"/>
  <c r="F605" i="6"/>
  <c r="H605" i="6"/>
  <c r="I605" i="6"/>
  <c r="L605" i="6"/>
  <c r="N605" i="6"/>
  <c r="Q605" i="6"/>
  <c r="R605" i="6"/>
  <c r="S605" i="6"/>
  <c r="T605" i="6"/>
  <c r="B606" i="6"/>
  <c r="C606" i="6"/>
  <c r="D606" i="6"/>
  <c r="E606" i="6"/>
  <c r="F606" i="6"/>
  <c r="H606" i="6"/>
  <c r="I606" i="6"/>
  <c r="N606" i="6"/>
  <c r="R606" i="6"/>
  <c r="Q606" i="6" s="1"/>
  <c r="S606" i="6" s="1"/>
  <c r="T606" i="6"/>
  <c r="B607" i="6"/>
  <c r="C607" i="6"/>
  <c r="D607" i="6"/>
  <c r="E607" i="6"/>
  <c r="F607" i="6"/>
  <c r="H607" i="6"/>
  <c r="I607" i="6"/>
  <c r="L607" i="6"/>
  <c r="N607" i="6"/>
  <c r="Q607" i="6"/>
  <c r="R607" i="6"/>
  <c r="S607" i="6"/>
  <c r="T607" i="6"/>
  <c r="B608" i="6"/>
  <c r="C608" i="6"/>
  <c r="D608" i="6"/>
  <c r="E608" i="6"/>
  <c r="F608" i="6"/>
  <c r="H608" i="6"/>
  <c r="I608" i="6"/>
  <c r="N608" i="6"/>
  <c r="R608" i="6"/>
  <c r="Q608" i="6" s="1"/>
  <c r="S608" i="6" s="1"/>
  <c r="T608" i="6"/>
  <c r="B609" i="6"/>
  <c r="C609" i="6"/>
  <c r="D609" i="6"/>
  <c r="E609" i="6"/>
  <c r="F609" i="6"/>
  <c r="H609" i="6"/>
  <c r="I609" i="6"/>
  <c r="L609" i="6"/>
  <c r="N609" i="6"/>
  <c r="Q609" i="6"/>
  <c r="R609" i="6"/>
  <c r="S609" i="6"/>
  <c r="T609" i="6"/>
  <c r="B610" i="6"/>
  <c r="C610" i="6"/>
  <c r="D610" i="6"/>
  <c r="E610" i="6"/>
  <c r="F610" i="6"/>
  <c r="H610" i="6"/>
  <c r="I610" i="6"/>
  <c r="N610" i="6"/>
  <c r="R610" i="6"/>
  <c r="Q610" i="6" s="1"/>
  <c r="S610" i="6" s="1"/>
  <c r="T610" i="6"/>
  <c r="B611" i="6"/>
  <c r="C611" i="6"/>
  <c r="D611" i="6"/>
  <c r="E611" i="6"/>
  <c r="F611" i="6"/>
  <c r="H611" i="6"/>
  <c r="I611" i="6"/>
  <c r="L611" i="6"/>
  <c r="N611" i="6"/>
  <c r="Q611" i="6"/>
  <c r="R611" i="6"/>
  <c r="S611" i="6"/>
  <c r="T611" i="6"/>
  <c r="B612" i="6"/>
  <c r="C612" i="6"/>
  <c r="D612" i="6"/>
  <c r="E612" i="6"/>
  <c r="F612" i="6"/>
  <c r="H612" i="6"/>
  <c r="I612" i="6"/>
  <c r="N612" i="6"/>
  <c r="R612" i="6"/>
  <c r="Q612" i="6" s="1"/>
  <c r="S612" i="6" s="1"/>
  <c r="T612" i="6"/>
  <c r="B613" i="6"/>
  <c r="C613" i="6"/>
  <c r="D613" i="6"/>
  <c r="E613" i="6"/>
  <c r="F613" i="6"/>
  <c r="H613" i="6"/>
  <c r="I613" i="6"/>
  <c r="L613" i="6"/>
  <c r="N613" i="6"/>
  <c r="Q613" i="6"/>
  <c r="R613" i="6"/>
  <c r="S613" i="6"/>
  <c r="T613" i="6"/>
  <c r="B614" i="6"/>
  <c r="C614" i="6"/>
  <c r="D614" i="6"/>
  <c r="E614" i="6"/>
  <c r="F614" i="6"/>
  <c r="H614" i="6"/>
  <c r="I614" i="6"/>
  <c r="N614" i="6"/>
  <c r="R614" i="6"/>
  <c r="Q614" i="6" s="1"/>
  <c r="S614" i="6" s="1"/>
  <c r="T614" i="6"/>
  <c r="B615" i="6"/>
  <c r="C615" i="6"/>
  <c r="D615" i="6"/>
  <c r="E615" i="6"/>
  <c r="F615" i="6"/>
  <c r="H615" i="6"/>
  <c r="I615" i="6"/>
  <c r="L615" i="6"/>
  <c r="N615" i="6"/>
  <c r="Q615" i="6"/>
  <c r="R615" i="6"/>
  <c r="S615" i="6"/>
  <c r="T615" i="6"/>
  <c r="B616" i="6"/>
  <c r="C616" i="6"/>
  <c r="D616" i="6"/>
  <c r="E616" i="6"/>
  <c r="F616" i="6"/>
  <c r="H616" i="6"/>
  <c r="I616" i="6"/>
  <c r="N616" i="6"/>
  <c r="R616" i="6"/>
  <c r="Q616" i="6" s="1"/>
  <c r="S616" i="6" s="1"/>
  <c r="T616" i="6"/>
  <c r="B617" i="6"/>
  <c r="C617" i="6"/>
  <c r="D617" i="6"/>
  <c r="E617" i="6"/>
  <c r="F617" i="6"/>
  <c r="H617" i="6"/>
  <c r="I617" i="6"/>
  <c r="L617" i="6"/>
  <c r="N617" i="6"/>
  <c r="Q617" i="6"/>
  <c r="R617" i="6"/>
  <c r="S617" i="6"/>
  <c r="T617" i="6"/>
  <c r="B618" i="6"/>
  <c r="C618" i="6"/>
  <c r="D618" i="6"/>
  <c r="E618" i="6"/>
  <c r="F618" i="6"/>
  <c r="H618" i="6"/>
  <c r="I618" i="6"/>
  <c r="N618" i="6"/>
  <c r="R618" i="6"/>
  <c r="Q618" i="6" s="1"/>
  <c r="S618" i="6" s="1"/>
  <c r="T618" i="6"/>
  <c r="B619" i="6"/>
  <c r="C619" i="6"/>
  <c r="D619" i="6"/>
  <c r="E619" i="6"/>
  <c r="F619" i="6"/>
  <c r="H619" i="6"/>
  <c r="I619" i="6"/>
  <c r="L619" i="6"/>
  <c r="N619" i="6"/>
  <c r="Q619" i="6"/>
  <c r="R619" i="6"/>
  <c r="S619" i="6"/>
  <c r="T619" i="6"/>
  <c r="B620" i="6"/>
  <c r="C620" i="6"/>
  <c r="D620" i="6"/>
  <c r="E620" i="6"/>
  <c r="F620" i="6"/>
  <c r="H620" i="6"/>
  <c r="I620" i="6"/>
  <c r="N620" i="6"/>
  <c r="R620" i="6"/>
  <c r="Q620" i="6" s="1"/>
  <c r="S620" i="6" s="1"/>
  <c r="T620" i="6"/>
  <c r="B621" i="6"/>
  <c r="C621" i="6"/>
  <c r="D621" i="6"/>
  <c r="E621" i="6"/>
  <c r="F621" i="6"/>
  <c r="H621" i="6"/>
  <c r="I621" i="6"/>
  <c r="L621" i="6"/>
  <c r="N621" i="6"/>
  <c r="Q621" i="6"/>
  <c r="R621" i="6"/>
  <c r="S621" i="6"/>
  <c r="T621" i="6"/>
  <c r="B622" i="6"/>
  <c r="C622" i="6"/>
  <c r="D622" i="6"/>
  <c r="E622" i="6"/>
  <c r="F622" i="6"/>
  <c r="H622" i="6"/>
  <c r="I622" i="6"/>
  <c r="N622" i="6"/>
  <c r="R622" i="6"/>
  <c r="Q622" i="6" s="1"/>
  <c r="S622" i="6" s="1"/>
  <c r="T622" i="6"/>
  <c r="B623" i="6"/>
  <c r="C623" i="6"/>
  <c r="D623" i="6"/>
  <c r="E623" i="6"/>
  <c r="F623" i="6"/>
  <c r="H623" i="6"/>
  <c r="I623" i="6"/>
  <c r="L623" i="6"/>
  <c r="N623" i="6"/>
  <c r="Q623" i="6"/>
  <c r="R623" i="6"/>
  <c r="S623" i="6"/>
  <c r="T623" i="6"/>
  <c r="B624" i="6"/>
  <c r="C624" i="6"/>
  <c r="D624" i="6"/>
  <c r="E624" i="6"/>
  <c r="F624" i="6"/>
  <c r="H624" i="6"/>
  <c r="I624" i="6"/>
  <c r="N624" i="6"/>
  <c r="R624" i="6"/>
  <c r="Q624" i="6" s="1"/>
  <c r="S624" i="6" s="1"/>
  <c r="T624" i="6"/>
  <c r="B625" i="6"/>
  <c r="C625" i="6"/>
  <c r="D625" i="6"/>
  <c r="E625" i="6"/>
  <c r="F625" i="6"/>
  <c r="H625" i="6"/>
  <c r="I625" i="6"/>
  <c r="L625" i="6"/>
  <c r="N625" i="6"/>
  <c r="Q625" i="6"/>
  <c r="R625" i="6"/>
  <c r="S625" i="6"/>
  <c r="T625" i="6"/>
  <c r="B626" i="6"/>
  <c r="C626" i="6"/>
  <c r="D626" i="6"/>
  <c r="E626" i="6"/>
  <c r="F626" i="6"/>
  <c r="H626" i="6"/>
  <c r="I626" i="6"/>
  <c r="N626" i="6"/>
  <c r="R626" i="6"/>
  <c r="Q626" i="6" s="1"/>
  <c r="S626" i="6" s="1"/>
  <c r="T626" i="6"/>
  <c r="B627" i="6"/>
  <c r="C627" i="6"/>
  <c r="D627" i="6"/>
  <c r="E627" i="6"/>
  <c r="F627" i="6"/>
  <c r="H627" i="6"/>
  <c r="I627" i="6"/>
  <c r="L627" i="6"/>
  <c r="N627" i="6"/>
  <c r="Q627" i="6"/>
  <c r="R627" i="6"/>
  <c r="S627" i="6"/>
  <c r="T627" i="6"/>
  <c r="B628" i="6"/>
  <c r="C628" i="6"/>
  <c r="D628" i="6"/>
  <c r="E628" i="6"/>
  <c r="F628" i="6"/>
  <c r="H628" i="6"/>
  <c r="I628" i="6"/>
  <c r="N628" i="6"/>
  <c r="R628" i="6"/>
  <c r="Q628" i="6" s="1"/>
  <c r="S628" i="6" s="1"/>
  <c r="T628" i="6"/>
  <c r="B629" i="6"/>
  <c r="C629" i="6"/>
  <c r="D629" i="6"/>
  <c r="E629" i="6"/>
  <c r="F629" i="6"/>
  <c r="H629" i="6"/>
  <c r="I629" i="6"/>
  <c r="L629" i="6"/>
  <c r="N629" i="6"/>
  <c r="Q629" i="6"/>
  <c r="R629" i="6"/>
  <c r="S629" i="6"/>
  <c r="T629" i="6"/>
  <c r="B630" i="6"/>
  <c r="C630" i="6"/>
  <c r="D630" i="6"/>
  <c r="E630" i="6"/>
  <c r="F630" i="6"/>
  <c r="H630" i="6"/>
  <c r="I630" i="6"/>
  <c r="N630" i="6"/>
  <c r="R630" i="6"/>
  <c r="Q630" i="6" s="1"/>
  <c r="S630" i="6" s="1"/>
  <c r="T630" i="6"/>
  <c r="B631" i="6"/>
  <c r="C631" i="6"/>
  <c r="D631" i="6"/>
  <c r="E631" i="6"/>
  <c r="F631" i="6"/>
  <c r="H631" i="6"/>
  <c r="I631" i="6"/>
  <c r="L631" i="6"/>
  <c r="N631" i="6"/>
  <c r="Q631" i="6"/>
  <c r="R631" i="6"/>
  <c r="S631" i="6"/>
  <c r="T631" i="6"/>
  <c r="B632" i="6"/>
  <c r="C632" i="6"/>
  <c r="D632" i="6"/>
  <c r="E632" i="6"/>
  <c r="F632" i="6"/>
  <c r="H632" i="6"/>
  <c r="I632" i="6"/>
  <c r="N632" i="6"/>
  <c r="R632" i="6"/>
  <c r="Q632" i="6" s="1"/>
  <c r="S632" i="6" s="1"/>
  <c r="T632" i="6"/>
  <c r="B633" i="6"/>
  <c r="C633" i="6"/>
  <c r="D633" i="6"/>
  <c r="E633" i="6"/>
  <c r="F633" i="6"/>
  <c r="H633" i="6"/>
  <c r="I633" i="6"/>
  <c r="L633" i="6"/>
  <c r="N633" i="6"/>
  <c r="Q633" i="6"/>
  <c r="R633" i="6"/>
  <c r="S633" i="6"/>
  <c r="T633" i="6"/>
  <c r="B634" i="6"/>
  <c r="C634" i="6"/>
  <c r="D634" i="6"/>
  <c r="E634" i="6"/>
  <c r="F634" i="6"/>
  <c r="H634" i="6"/>
  <c r="I634" i="6"/>
  <c r="N634" i="6"/>
  <c r="R634" i="6"/>
  <c r="Q634" i="6" s="1"/>
  <c r="S634" i="6" s="1"/>
  <c r="T634" i="6"/>
  <c r="B635" i="6"/>
  <c r="C635" i="6"/>
  <c r="D635" i="6"/>
  <c r="E635" i="6"/>
  <c r="F635" i="6"/>
  <c r="H635" i="6"/>
  <c r="I635" i="6"/>
  <c r="L635" i="6"/>
  <c r="N635" i="6"/>
  <c r="Q635" i="6"/>
  <c r="R635" i="6"/>
  <c r="S635" i="6"/>
  <c r="T635" i="6"/>
  <c r="B636" i="6"/>
  <c r="C636" i="6"/>
  <c r="D636" i="6"/>
  <c r="E636" i="6"/>
  <c r="F636" i="6"/>
  <c r="H636" i="6"/>
  <c r="I636" i="6"/>
  <c r="N636" i="6"/>
  <c r="R636" i="6"/>
  <c r="Q636" i="6" s="1"/>
  <c r="S636" i="6" s="1"/>
  <c r="T636" i="6"/>
  <c r="B637" i="6"/>
  <c r="C637" i="6"/>
  <c r="D637" i="6"/>
  <c r="E637" i="6"/>
  <c r="F637" i="6"/>
  <c r="H637" i="6"/>
  <c r="I637" i="6"/>
  <c r="L637" i="6"/>
  <c r="N637" i="6"/>
  <c r="Q637" i="6"/>
  <c r="R637" i="6"/>
  <c r="S637" i="6"/>
  <c r="T637" i="6"/>
  <c r="B638" i="6"/>
  <c r="C638" i="6"/>
  <c r="D638" i="6"/>
  <c r="E638" i="6"/>
  <c r="F638" i="6"/>
  <c r="H638" i="6"/>
  <c r="I638" i="6"/>
  <c r="N638" i="6"/>
  <c r="R638" i="6"/>
  <c r="Q638" i="6" s="1"/>
  <c r="S638" i="6" s="1"/>
  <c r="T638" i="6"/>
  <c r="B639" i="6"/>
  <c r="C639" i="6"/>
  <c r="D639" i="6"/>
  <c r="E639" i="6"/>
  <c r="F639" i="6"/>
  <c r="H639" i="6"/>
  <c r="I639" i="6"/>
  <c r="L639" i="6"/>
  <c r="N639" i="6"/>
  <c r="Q639" i="6"/>
  <c r="R639" i="6"/>
  <c r="S639" i="6"/>
  <c r="T639" i="6"/>
  <c r="B640" i="6"/>
  <c r="C640" i="6"/>
  <c r="D640" i="6"/>
  <c r="E640" i="6"/>
  <c r="F640" i="6"/>
  <c r="H640" i="6"/>
  <c r="I640" i="6"/>
  <c r="N640" i="6"/>
  <c r="R640" i="6"/>
  <c r="Q640" i="6" s="1"/>
  <c r="S640" i="6" s="1"/>
  <c r="T640" i="6"/>
  <c r="B641" i="6"/>
  <c r="C641" i="6"/>
  <c r="D641" i="6"/>
  <c r="E641" i="6"/>
  <c r="F641" i="6"/>
  <c r="H641" i="6"/>
  <c r="I641" i="6"/>
  <c r="L641" i="6"/>
  <c r="N641" i="6"/>
  <c r="Q641" i="6"/>
  <c r="R641" i="6"/>
  <c r="S641" i="6"/>
  <c r="T641" i="6"/>
  <c r="B642" i="6"/>
  <c r="C642" i="6"/>
  <c r="D642" i="6"/>
  <c r="L642" i="6" s="1"/>
  <c r="E642" i="6"/>
  <c r="F642" i="6"/>
  <c r="H642" i="6"/>
  <c r="I642" i="6"/>
  <c r="N642" i="6"/>
  <c r="R642" i="6"/>
  <c r="Q642" i="6" s="1"/>
  <c r="S642" i="6" s="1"/>
  <c r="T642" i="6"/>
  <c r="B643" i="6"/>
  <c r="C643" i="6"/>
  <c r="D643" i="6"/>
  <c r="E643" i="6"/>
  <c r="F643" i="6"/>
  <c r="H643" i="6"/>
  <c r="I643" i="6"/>
  <c r="L643" i="6"/>
  <c r="N643" i="6"/>
  <c r="Q643" i="6"/>
  <c r="R643" i="6"/>
  <c r="S643" i="6"/>
  <c r="T643" i="6"/>
  <c r="B644" i="6"/>
  <c r="C644" i="6"/>
  <c r="D644" i="6"/>
  <c r="L644" i="6" s="1"/>
  <c r="E644" i="6"/>
  <c r="F644" i="6"/>
  <c r="H644" i="6"/>
  <c r="I644" i="6"/>
  <c r="N644" i="6"/>
  <c r="R644" i="6"/>
  <c r="Q644" i="6" s="1"/>
  <c r="S644" i="6" s="1"/>
  <c r="T644" i="6"/>
  <c r="B645" i="6"/>
  <c r="C645" i="6"/>
  <c r="D645" i="6"/>
  <c r="E645" i="6"/>
  <c r="F645" i="6"/>
  <c r="H645" i="6"/>
  <c r="I645" i="6"/>
  <c r="L645" i="6"/>
  <c r="N645" i="6"/>
  <c r="Q645" i="6"/>
  <c r="R645" i="6"/>
  <c r="S645" i="6"/>
  <c r="T645" i="6"/>
  <c r="B646" i="6"/>
  <c r="C646" i="6"/>
  <c r="D646" i="6"/>
  <c r="L646" i="6" s="1"/>
  <c r="E646" i="6"/>
  <c r="F646" i="6"/>
  <c r="H646" i="6"/>
  <c r="I646" i="6"/>
  <c r="N646" i="6"/>
  <c r="R646" i="6"/>
  <c r="Q646" i="6" s="1"/>
  <c r="S646" i="6" s="1"/>
  <c r="T646" i="6"/>
  <c r="B647" i="6"/>
  <c r="C647" i="6"/>
  <c r="D647" i="6"/>
  <c r="E647" i="6"/>
  <c r="F647" i="6"/>
  <c r="H647" i="6"/>
  <c r="I647" i="6"/>
  <c r="L647" i="6"/>
  <c r="N647" i="6"/>
  <c r="Q647" i="6"/>
  <c r="R647" i="6"/>
  <c r="S647" i="6"/>
  <c r="T647" i="6"/>
  <c r="B648" i="6"/>
  <c r="C648" i="6"/>
  <c r="D648" i="6"/>
  <c r="L648" i="6" s="1"/>
  <c r="E648" i="6"/>
  <c r="F648" i="6"/>
  <c r="H648" i="6"/>
  <c r="I648" i="6"/>
  <c r="N648" i="6"/>
  <c r="R648" i="6"/>
  <c r="Q648" i="6" s="1"/>
  <c r="S648" i="6" s="1"/>
  <c r="T648" i="6"/>
  <c r="B649" i="6"/>
  <c r="C649" i="6"/>
  <c r="D649" i="6"/>
  <c r="E649" i="6"/>
  <c r="F649" i="6"/>
  <c r="H649" i="6"/>
  <c r="I649" i="6"/>
  <c r="L649" i="6"/>
  <c r="N649" i="6"/>
  <c r="Q649" i="6"/>
  <c r="R649" i="6"/>
  <c r="S649" i="6"/>
  <c r="T649" i="6"/>
  <c r="B650" i="6"/>
  <c r="C650" i="6"/>
  <c r="D650" i="6"/>
  <c r="L650" i="6" s="1"/>
  <c r="E650" i="6"/>
  <c r="F650" i="6"/>
  <c r="H650" i="6"/>
  <c r="I650" i="6"/>
  <c r="N650" i="6"/>
  <c r="R650" i="6"/>
  <c r="Q650" i="6" s="1"/>
  <c r="S650" i="6" s="1"/>
  <c r="T650" i="6"/>
  <c r="B651" i="6"/>
  <c r="C651" i="6"/>
  <c r="D651" i="6"/>
  <c r="E651" i="6"/>
  <c r="F651" i="6"/>
  <c r="H651" i="6"/>
  <c r="I651" i="6"/>
  <c r="L651" i="6"/>
  <c r="N651" i="6"/>
  <c r="Q651" i="6"/>
  <c r="R651" i="6"/>
  <c r="S651" i="6"/>
  <c r="T651" i="6"/>
  <c r="B652" i="6"/>
  <c r="C652" i="6"/>
  <c r="D652" i="6"/>
  <c r="L652" i="6" s="1"/>
  <c r="E652" i="6"/>
  <c r="F652" i="6"/>
  <c r="H652" i="6"/>
  <c r="I652" i="6"/>
  <c r="N652" i="6"/>
  <c r="R652" i="6"/>
  <c r="Q652" i="6" s="1"/>
  <c r="S652" i="6" s="1"/>
  <c r="T652" i="6"/>
  <c r="B653" i="6"/>
  <c r="C653" i="6"/>
  <c r="D653" i="6"/>
  <c r="E653" i="6"/>
  <c r="F653" i="6"/>
  <c r="H653" i="6"/>
  <c r="I653" i="6"/>
  <c r="L653" i="6"/>
  <c r="N653" i="6"/>
  <c r="Q653" i="6"/>
  <c r="R653" i="6"/>
  <c r="S653" i="6"/>
  <c r="T653" i="6"/>
  <c r="B654" i="6"/>
  <c r="C654" i="6"/>
  <c r="D654" i="6"/>
  <c r="L654" i="6" s="1"/>
  <c r="E654" i="6"/>
  <c r="F654" i="6"/>
  <c r="H654" i="6"/>
  <c r="I654" i="6"/>
  <c r="N654" i="6"/>
  <c r="R654" i="6"/>
  <c r="Q654" i="6" s="1"/>
  <c r="S654" i="6" s="1"/>
  <c r="T654" i="6"/>
  <c r="B655" i="6"/>
  <c r="C655" i="6"/>
  <c r="D655" i="6"/>
  <c r="E655" i="6"/>
  <c r="F655" i="6"/>
  <c r="H655" i="6"/>
  <c r="I655" i="6"/>
  <c r="L655" i="6"/>
  <c r="N655" i="6"/>
  <c r="Q655" i="6"/>
  <c r="R655" i="6"/>
  <c r="S655" i="6"/>
  <c r="T655" i="6"/>
  <c r="B656" i="6"/>
  <c r="C656" i="6"/>
  <c r="D656" i="6"/>
  <c r="L656" i="6" s="1"/>
  <c r="E656" i="6"/>
  <c r="F656" i="6"/>
  <c r="H656" i="6"/>
  <c r="I656" i="6"/>
  <c r="N656" i="6"/>
  <c r="R656" i="6"/>
  <c r="Q656" i="6" s="1"/>
  <c r="S656" i="6" s="1"/>
  <c r="T656" i="6"/>
  <c r="B657" i="6"/>
  <c r="C657" i="6"/>
  <c r="D657" i="6"/>
  <c r="E657" i="6"/>
  <c r="F657" i="6"/>
  <c r="H657" i="6"/>
  <c r="I657" i="6"/>
  <c r="L657" i="6"/>
  <c r="N657" i="6"/>
  <c r="Q657" i="6"/>
  <c r="R657" i="6"/>
  <c r="S657" i="6"/>
  <c r="T657" i="6"/>
  <c r="B658" i="6"/>
  <c r="C658" i="6"/>
  <c r="D658" i="6"/>
  <c r="L658" i="6" s="1"/>
  <c r="E658" i="6"/>
  <c r="F658" i="6"/>
  <c r="H658" i="6"/>
  <c r="I658" i="6"/>
  <c r="N658" i="6"/>
  <c r="R658" i="6"/>
  <c r="Q658" i="6" s="1"/>
  <c r="S658" i="6" s="1"/>
  <c r="T658" i="6"/>
  <c r="B659" i="6"/>
  <c r="C659" i="6"/>
  <c r="D659" i="6"/>
  <c r="E659" i="6"/>
  <c r="F659" i="6"/>
  <c r="H659" i="6"/>
  <c r="I659" i="6"/>
  <c r="L659" i="6"/>
  <c r="N659" i="6"/>
  <c r="Q659" i="6"/>
  <c r="R659" i="6"/>
  <c r="S659" i="6"/>
  <c r="T659" i="6"/>
  <c r="B660" i="6"/>
  <c r="C660" i="6"/>
  <c r="D660" i="6"/>
  <c r="L660" i="6" s="1"/>
  <c r="E660" i="6"/>
  <c r="F660" i="6"/>
  <c r="H660" i="6"/>
  <c r="I660" i="6"/>
  <c r="N660" i="6"/>
  <c r="R660" i="6"/>
  <c r="Q660" i="6" s="1"/>
  <c r="S660" i="6" s="1"/>
  <c r="T660" i="6"/>
  <c r="B661" i="6"/>
  <c r="C661" i="6"/>
  <c r="D661" i="6"/>
  <c r="E661" i="6"/>
  <c r="F661" i="6"/>
  <c r="H661" i="6"/>
  <c r="I661" i="6"/>
  <c r="L661" i="6"/>
  <c r="N661" i="6"/>
  <c r="Q661" i="6"/>
  <c r="R661" i="6"/>
  <c r="S661" i="6"/>
  <c r="T661" i="6"/>
  <c r="B662" i="6"/>
  <c r="C662" i="6"/>
  <c r="D662" i="6"/>
  <c r="L662" i="6" s="1"/>
  <c r="E662" i="6"/>
  <c r="F662" i="6"/>
  <c r="H662" i="6"/>
  <c r="I662" i="6"/>
  <c r="N662" i="6"/>
  <c r="R662" i="6"/>
  <c r="Q662" i="6" s="1"/>
  <c r="S662" i="6" s="1"/>
  <c r="T662" i="6"/>
  <c r="B663" i="6"/>
  <c r="C663" i="6"/>
  <c r="D663" i="6"/>
  <c r="E663" i="6"/>
  <c r="F663" i="6"/>
  <c r="H663" i="6"/>
  <c r="I663" i="6"/>
  <c r="L663" i="6"/>
  <c r="N663" i="6"/>
  <c r="Q663" i="6"/>
  <c r="R663" i="6"/>
  <c r="S663" i="6"/>
  <c r="T663" i="6"/>
  <c r="B664" i="6"/>
  <c r="C664" i="6"/>
  <c r="D664" i="6"/>
  <c r="L664" i="6" s="1"/>
  <c r="E664" i="6"/>
  <c r="F664" i="6"/>
  <c r="H664" i="6"/>
  <c r="I664" i="6"/>
  <c r="N664" i="6"/>
  <c r="R664" i="6"/>
  <c r="Q664" i="6" s="1"/>
  <c r="S664" i="6" s="1"/>
  <c r="T664" i="6"/>
  <c r="B665" i="6"/>
  <c r="C665" i="6"/>
  <c r="D665" i="6"/>
  <c r="E665" i="6"/>
  <c r="F665" i="6"/>
  <c r="H665" i="6"/>
  <c r="I665" i="6"/>
  <c r="L665" i="6"/>
  <c r="N665" i="6"/>
  <c r="Q665" i="6"/>
  <c r="R665" i="6"/>
  <c r="S665" i="6"/>
  <c r="T665" i="6"/>
  <c r="B666" i="6"/>
  <c r="C666" i="6"/>
  <c r="D666" i="6"/>
  <c r="L666" i="6" s="1"/>
  <c r="E666" i="6"/>
  <c r="F666" i="6"/>
  <c r="H666" i="6"/>
  <c r="I666" i="6"/>
  <c r="N666" i="6"/>
  <c r="R666" i="6"/>
  <c r="Q666" i="6" s="1"/>
  <c r="S666" i="6" s="1"/>
  <c r="T666" i="6"/>
  <c r="B667" i="6"/>
  <c r="C667" i="6"/>
  <c r="D667" i="6"/>
  <c r="E667" i="6"/>
  <c r="F667" i="6"/>
  <c r="H667" i="6"/>
  <c r="I667" i="6"/>
  <c r="L667" i="6"/>
  <c r="N667" i="6"/>
  <c r="Q667" i="6"/>
  <c r="R667" i="6"/>
  <c r="S667" i="6"/>
  <c r="T667" i="6"/>
  <c r="B668" i="6"/>
  <c r="C668" i="6"/>
  <c r="D668" i="6"/>
  <c r="L668" i="6" s="1"/>
  <c r="E668" i="6"/>
  <c r="F668" i="6"/>
  <c r="H668" i="6"/>
  <c r="I668" i="6"/>
  <c r="N668" i="6"/>
  <c r="R668" i="6"/>
  <c r="Q668" i="6" s="1"/>
  <c r="S668" i="6" s="1"/>
  <c r="T668" i="6"/>
  <c r="B669" i="6"/>
  <c r="C669" i="6"/>
  <c r="D669" i="6"/>
  <c r="E669" i="6"/>
  <c r="F669" i="6"/>
  <c r="H669" i="6"/>
  <c r="I669" i="6"/>
  <c r="L669" i="6"/>
  <c r="N669" i="6"/>
  <c r="Q669" i="6"/>
  <c r="R669" i="6"/>
  <c r="S669" i="6"/>
  <c r="T669" i="6"/>
  <c r="B670" i="6"/>
  <c r="C670" i="6"/>
  <c r="D670" i="6"/>
  <c r="L670" i="6" s="1"/>
  <c r="E670" i="6"/>
  <c r="F670" i="6"/>
  <c r="H670" i="6"/>
  <c r="I670" i="6"/>
  <c r="N670" i="6"/>
  <c r="R670" i="6"/>
  <c r="Q670" i="6" s="1"/>
  <c r="S670" i="6" s="1"/>
  <c r="T670" i="6"/>
  <c r="B671" i="6"/>
  <c r="C671" i="6"/>
  <c r="D671" i="6"/>
  <c r="E671" i="6"/>
  <c r="F671" i="6"/>
  <c r="H671" i="6"/>
  <c r="I671" i="6"/>
  <c r="L671" i="6"/>
  <c r="N671" i="6"/>
  <c r="Q671" i="6"/>
  <c r="R671" i="6"/>
  <c r="S671" i="6"/>
  <c r="T671" i="6"/>
  <c r="B672" i="6"/>
  <c r="C672" i="6"/>
  <c r="D672" i="6"/>
  <c r="L672" i="6" s="1"/>
  <c r="E672" i="6"/>
  <c r="F672" i="6"/>
  <c r="H672" i="6"/>
  <c r="I672" i="6"/>
  <c r="N672" i="6"/>
  <c r="R672" i="6"/>
  <c r="Q672" i="6" s="1"/>
  <c r="S672" i="6" s="1"/>
  <c r="T672" i="6"/>
  <c r="B673" i="6"/>
  <c r="C673" i="6"/>
  <c r="D673" i="6"/>
  <c r="E673" i="6"/>
  <c r="F673" i="6"/>
  <c r="H673" i="6"/>
  <c r="I673" i="6"/>
  <c r="L673" i="6"/>
  <c r="N673" i="6"/>
  <c r="Q673" i="6"/>
  <c r="R673" i="6"/>
  <c r="S673" i="6"/>
  <c r="T673" i="6"/>
  <c r="B674" i="6"/>
  <c r="C674" i="6"/>
  <c r="D674" i="6"/>
  <c r="L674" i="6" s="1"/>
  <c r="E674" i="6"/>
  <c r="F674" i="6"/>
  <c r="H674" i="6"/>
  <c r="I674" i="6"/>
  <c r="N674" i="6"/>
  <c r="R674" i="6"/>
  <c r="Q674" i="6" s="1"/>
  <c r="S674" i="6" s="1"/>
  <c r="T674" i="6"/>
  <c r="B675" i="6"/>
  <c r="C675" i="6"/>
  <c r="D675" i="6"/>
  <c r="E675" i="6"/>
  <c r="F675" i="6"/>
  <c r="H675" i="6"/>
  <c r="I675" i="6"/>
  <c r="L675" i="6"/>
  <c r="N675" i="6"/>
  <c r="Q675" i="6"/>
  <c r="R675" i="6"/>
  <c r="S675" i="6"/>
  <c r="T675" i="6"/>
  <c r="B676" i="6"/>
  <c r="C676" i="6"/>
  <c r="D676" i="6"/>
  <c r="L676" i="6" s="1"/>
  <c r="E676" i="6"/>
  <c r="F676" i="6"/>
  <c r="H676" i="6"/>
  <c r="I676" i="6"/>
  <c r="N676" i="6"/>
  <c r="R676" i="6"/>
  <c r="Q676" i="6" s="1"/>
  <c r="S676" i="6" s="1"/>
  <c r="T676" i="6"/>
  <c r="B677" i="6"/>
  <c r="C677" i="6"/>
  <c r="D677" i="6"/>
  <c r="E677" i="6"/>
  <c r="F677" i="6"/>
  <c r="H677" i="6"/>
  <c r="I677" i="6"/>
  <c r="L677" i="6"/>
  <c r="N677" i="6"/>
  <c r="Q677" i="6"/>
  <c r="R677" i="6"/>
  <c r="S677" i="6"/>
  <c r="T677" i="6"/>
  <c r="B678" i="6"/>
  <c r="C678" i="6"/>
  <c r="D678" i="6"/>
  <c r="L678" i="6" s="1"/>
  <c r="E678" i="6"/>
  <c r="F678" i="6"/>
  <c r="H678" i="6"/>
  <c r="I678" i="6"/>
  <c r="N678" i="6"/>
  <c r="R678" i="6"/>
  <c r="Q678" i="6" s="1"/>
  <c r="S678" i="6" s="1"/>
  <c r="T678" i="6"/>
  <c r="B679" i="6"/>
  <c r="C679" i="6"/>
  <c r="D679" i="6"/>
  <c r="E679" i="6"/>
  <c r="F679" i="6"/>
  <c r="H679" i="6"/>
  <c r="I679" i="6"/>
  <c r="L679" i="6"/>
  <c r="N679" i="6"/>
  <c r="Q679" i="6"/>
  <c r="R679" i="6"/>
  <c r="S679" i="6"/>
  <c r="T679" i="6"/>
  <c r="B680" i="6"/>
  <c r="C680" i="6"/>
  <c r="D680" i="6"/>
  <c r="L680" i="6" s="1"/>
  <c r="E680" i="6"/>
  <c r="F680" i="6"/>
  <c r="H680" i="6"/>
  <c r="I680" i="6"/>
  <c r="N680" i="6"/>
  <c r="R680" i="6"/>
  <c r="Q680" i="6" s="1"/>
  <c r="S680" i="6" s="1"/>
  <c r="T680" i="6"/>
  <c r="B681" i="6"/>
  <c r="C681" i="6"/>
  <c r="D681" i="6"/>
  <c r="E681" i="6"/>
  <c r="F681" i="6"/>
  <c r="H681" i="6"/>
  <c r="I681" i="6"/>
  <c r="L681" i="6"/>
  <c r="N681" i="6"/>
  <c r="Q681" i="6"/>
  <c r="R681" i="6"/>
  <c r="S681" i="6"/>
  <c r="T681" i="6"/>
  <c r="B682" i="6"/>
  <c r="C682" i="6"/>
  <c r="D682" i="6"/>
  <c r="L682" i="6" s="1"/>
  <c r="E682" i="6"/>
  <c r="F682" i="6"/>
  <c r="H682" i="6"/>
  <c r="I682" i="6"/>
  <c r="N682" i="6"/>
  <c r="R682" i="6"/>
  <c r="Q682" i="6" s="1"/>
  <c r="S682" i="6" s="1"/>
  <c r="T682" i="6"/>
  <c r="B683" i="6"/>
  <c r="C683" i="6"/>
  <c r="D683" i="6"/>
  <c r="E683" i="6"/>
  <c r="F683" i="6"/>
  <c r="H683" i="6"/>
  <c r="I683" i="6"/>
  <c r="L683" i="6"/>
  <c r="N683" i="6"/>
  <c r="Q683" i="6"/>
  <c r="R683" i="6"/>
  <c r="S683" i="6"/>
  <c r="T683" i="6"/>
  <c r="B684" i="6"/>
  <c r="C684" i="6"/>
  <c r="D684" i="6"/>
  <c r="L684" i="6" s="1"/>
  <c r="E684" i="6"/>
  <c r="F684" i="6"/>
  <c r="H684" i="6"/>
  <c r="I684" i="6"/>
  <c r="N684" i="6"/>
  <c r="R684" i="6"/>
  <c r="Q684" i="6" s="1"/>
  <c r="S684" i="6" s="1"/>
  <c r="T684" i="6"/>
  <c r="B685" i="6"/>
  <c r="C685" i="6"/>
  <c r="D685" i="6"/>
  <c r="E685" i="6"/>
  <c r="F685" i="6"/>
  <c r="H685" i="6"/>
  <c r="I685" i="6"/>
  <c r="L685" i="6"/>
  <c r="N685" i="6"/>
  <c r="Q685" i="6"/>
  <c r="R685" i="6"/>
  <c r="S685" i="6"/>
  <c r="T685" i="6"/>
  <c r="B686" i="6"/>
  <c r="C686" i="6"/>
  <c r="D686" i="6"/>
  <c r="L686" i="6" s="1"/>
  <c r="E686" i="6"/>
  <c r="F686" i="6"/>
  <c r="H686" i="6"/>
  <c r="I686" i="6"/>
  <c r="N686" i="6"/>
  <c r="R686" i="6"/>
  <c r="Q686" i="6" s="1"/>
  <c r="S686" i="6" s="1"/>
  <c r="T686" i="6"/>
  <c r="B687" i="6"/>
  <c r="C687" i="6"/>
  <c r="D687" i="6"/>
  <c r="E687" i="6"/>
  <c r="F687" i="6"/>
  <c r="H687" i="6"/>
  <c r="I687" i="6"/>
  <c r="L687" i="6"/>
  <c r="N687" i="6"/>
  <c r="Q687" i="6"/>
  <c r="R687" i="6"/>
  <c r="S687" i="6"/>
  <c r="T687" i="6"/>
  <c r="B688" i="6"/>
  <c r="C688" i="6"/>
  <c r="D688" i="6"/>
  <c r="L688" i="6" s="1"/>
  <c r="E688" i="6"/>
  <c r="F688" i="6"/>
  <c r="H688" i="6"/>
  <c r="I688" i="6"/>
  <c r="N688" i="6"/>
  <c r="R688" i="6"/>
  <c r="Q688" i="6" s="1"/>
  <c r="S688" i="6" s="1"/>
  <c r="T688" i="6"/>
  <c r="B689" i="6"/>
  <c r="C689" i="6"/>
  <c r="D689" i="6"/>
  <c r="E689" i="6"/>
  <c r="F689" i="6"/>
  <c r="H689" i="6"/>
  <c r="I689" i="6"/>
  <c r="L689" i="6"/>
  <c r="N689" i="6"/>
  <c r="Q689" i="6"/>
  <c r="R689" i="6"/>
  <c r="S689" i="6"/>
  <c r="T689" i="6"/>
  <c r="B690" i="6"/>
  <c r="C690" i="6"/>
  <c r="D690" i="6"/>
  <c r="L690" i="6" s="1"/>
  <c r="E690" i="6"/>
  <c r="F690" i="6"/>
  <c r="H690" i="6"/>
  <c r="I690" i="6"/>
  <c r="N690" i="6"/>
  <c r="R690" i="6"/>
  <c r="Q690" i="6" s="1"/>
  <c r="S690" i="6" s="1"/>
  <c r="T690" i="6"/>
  <c r="B691" i="6"/>
  <c r="C691" i="6"/>
  <c r="D691" i="6"/>
  <c r="E691" i="6"/>
  <c r="F691" i="6"/>
  <c r="H691" i="6"/>
  <c r="I691" i="6"/>
  <c r="L691" i="6"/>
  <c r="N691" i="6"/>
  <c r="Q691" i="6"/>
  <c r="R691" i="6"/>
  <c r="S691" i="6"/>
  <c r="T691" i="6"/>
  <c r="B692" i="6"/>
  <c r="C692" i="6"/>
  <c r="D692" i="6"/>
  <c r="L692" i="6" s="1"/>
  <c r="E692" i="6"/>
  <c r="F692" i="6"/>
  <c r="H692" i="6"/>
  <c r="I692" i="6"/>
  <c r="N692" i="6"/>
  <c r="R692" i="6"/>
  <c r="Q692" i="6" s="1"/>
  <c r="S692" i="6" s="1"/>
  <c r="T692" i="6"/>
  <c r="B693" i="6"/>
  <c r="C693" i="6"/>
  <c r="D693" i="6"/>
  <c r="E693" i="6"/>
  <c r="F693" i="6"/>
  <c r="H693" i="6"/>
  <c r="I693" i="6"/>
  <c r="L693" i="6"/>
  <c r="N693" i="6"/>
  <c r="Q693" i="6"/>
  <c r="R693" i="6"/>
  <c r="S693" i="6"/>
  <c r="T693" i="6"/>
  <c r="B694" i="6"/>
  <c r="C694" i="6"/>
  <c r="D694" i="6"/>
  <c r="L694" i="6" s="1"/>
  <c r="E694" i="6"/>
  <c r="F694" i="6"/>
  <c r="H694" i="6"/>
  <c r="I694" i="6"/>
  <c r="N694" i="6"/>
  <c r="R694" i="6"/>
  <c r="Q694" i="6" s="1"/>
  <c r="S694" i="6" s="1"/>
  <c r="T694" i="6"/>
  <c r="B695" i="6"/>
  <c r="C695" i="6"/>
  <c r="D695" i="6"/>
  <c r="E695" i="6"/>
  <c r="F695" i="6"/>
  <c r="H695" i="6"/>
  <c r="I695" i="6"/>
  <c r="L695" i="6"/>
  <c r="N695" i="6"/>
  <c r="Q695" i="6"/>
  <c r="R695" i="6"/>
  <c r="S695" i="6"/>
  <c r="T695" i="6"/>
  <c r="B696" i="6"/>
  <c r="C696" i="6"/>
  <c r="D696" i="6"/>
  <c r="L696" i="6" s="1"/>
  <c r="E696" i="6"/>
  <c r="F696" i="6"/>
  <c r="H696" i="6"/>
  <c r="I696" i="6"/>
  <c r="N696" i="6"/>
  <c r="R696" i="6"/>
  <c r="Q696" i="6" s="1"/>
  <c r="S696" i="6" s="1"/>
  <c r="T696" i="6"/>
  <c r="B697" i="6"/>
  <c r="C697" i="6"/>
  <c r="D697" i="6"/>
  <c r="E697" i="6"/>
  <c r="F697" i="6"/>
  <c r="H697" i="6"/>
  <c r="I697" i="6"/>
  <c r="L697" i="6"/>
  <c r="N697" i="6"/>
  <c r="Q697" i="6"/>
  <c r="R697" i="6"/>
  <c r="S697" i="6"/>
  <c r="T697" i="6"/>
  <c r="B698" i="6"/>
  <c r="C698" i="6"/>
  <c r="D698" i="6"/>
  <c r="L698" i="6" s="1"/>
  <c r="E698" i="6"/>
  <c r="F698" i="6"/>
  <c r="H698" i="6"/>
  <c r="I698" i="6"/>
  <c r="N698" i="6"/>
  <c r="R698" i="6"/>
  <c r="Q698" i="6" s="1"/>
  <c r="S698" i="6" s="1"/>
  <c r="T698" i="6"/>
  <c r="B699" i="6"/>
  <c r="C699" i="6"/>
  <c r="D699" i="6"/>
  <c r="E699" i="6"/>
  <c r="F699" i="6"/>
  <c r="H699" i="6"/>
  <c r="I699" i="6"/>
  <c r="L699" i="6"/>
  <c r="N699" i="6"/>
  <c r="Q699" i="6"/>
  <c r="R699" i="6"/>
  <c r="S699" i="6"/>
  <c r="T699" i="6"/>
  <c r="B700" i="6"/>
  <c r="C700" i="6"/>
  <c r="D700" i="6"/>
  <c r="L700" i="6" s="1"/>
  <c r="E700" i="6"/>
  <c r="F700" i="6"/>
  <c r="H700" i="6"/>
  <c r="I700" i="6"/>
  <c r="N700" i="6"/>
  <c r="R700" i="6"/>
  <c r="Q700" i="6" s="1"/>
  <c r="S700" i="6" s="1"/>
  <c r="T700" i="6"/>
  <c r="B701" i="6"/>
  <c r="C701" i="6"/>
  <c r="D701" i="6"/>
  <c r="E701" i="6"/>
  <c r="F701" i="6"/>
  <c r="H701" i="6"/>
  <c r="I701" i="6"/>
  <c r="L701" i="6"/>
  <c r="N701" i="6"/>
  <c r="Q701" i="6"/>
  <c r="R701" i="6"/>
  <c r="S701" i="6"/>
  <c r="T701" i="6"/>
  <c r="B702" i="6"/>
  <c r="C702" i="6"/>
  <c r="D702" i="6"/>
  <c r="L702" i="6" s="1"/>
  <c r="E702" i="6"/>
  <c r="F702" i="6"/>
  <c r="H702" i="6"/>
  <c r="I702" i="6"/>
  <c r="N702" i="6"/>
  <c r="R702" i="6"/>
  <c r="Q702" i="6" s="1"/>
  <c r="S702" i="6" s="1"/>
  <c r="T702" i="6"/>
  <c r="B703" i="6"/>
  <c r="C703" i="6"/>
  <c r="D703" i="6"/>
  <c r="E703" i="6"/>
  <c r="F703" i="6"/>
  <c r="H703" i="6"/>
  <c r="I703" i="6"/>
  <c r="L703" i="6"/>
  <c r="N703" i="6"/>
  <c r="Q703" i="6"/>
  <c r="R703" i="6"/>
  <c r="S703" i="6"/>
  <c r="T703" i="6"/>
  <c r="B704" i="6"/>
  <c r="C704" i="6"/>
  <c r="D704" i="6"/>
  <c r="L704" i="6" s="1"/>
  <c r="E704" i="6"/>
  <c r="F704" i="6"/>
  <c r="H704" i="6"/>
  <c r="I704" i="6"/>
  <c r="N704" i="6"/>
  <c r="R704" i="6"/>
  <c r="Q704" i="6" s="1"/>
  <c r="S704" i="6" s="1"/>
  <c r="T704" i="6"/>
  <c r="B705" i="6"/>
  <c r="C705" i="6"/>
  <c r="D705" i="6"/>
  <c r="E705" i="6"/>
  <c r="F705" i="6"/>
  <c r="H705" i="6"/>
  <c r="I705" i="6"/>
  <c r="L705" i="6"/>
  <c r="N705" i="6"/>
  <c r="Q705" i="6"/>
  <c r="R705" i="6"/>
  <c r="S705" i="6"/>
  <c r="T705" i="6"/>
  <c r="B706" i="6"/>
  <c r="C706" i="6"/>
  <c r="D706" i="6"/>
  <c r="L706" i="6" s="1"/>
  <c r="E706" i="6"/>
  <c r="F706" i="6"/>
  <c r="H706" i="6"/>
  <c r="I706" i="6"/>
  <c r="N706" i="6"/>
  <c r="R706" i="6"/>
  <c r="Q706" i="6" s="1"/>
  <c r="S706" i="6" s="1"/>
  <c r="T706" i="6"/>
  <c r="B707" i="6"/>
  <c r="C707" i="6"/>
  <c r="D707" i="6"/>
  <c r="E707" i="6"/>
  <c r="F707" i="6"/>
  <c r="H707" i="6"/>
  <c r="I707" i="6"/>
  <c r="L707" i="6"/>
  <c r="N707" i="6"/>
  <c r="Q707" i="6"/>
  <c r="R707" i="6"/>
  <c r="S707" i="6"/>
  <c r="T707" i="6"/>
  <c r="B708" i="6"/>
  <c r="C708" i="6"/>
  <c r="D708" i="6"/>
  <c r="L708" i="6" s="1"/>
  <c r="E708" i="6"/>
  <c r="F708" i="6"/>
  <c r="H708" i="6"/>
  <c r="I708" i="6"/>
  <c r="N708" i="6"/>
  <c r="R708" i="6"/>
  <c r="Q708" i="6" s="1"/>
  <c r="S708" i="6" s="1"/>
  <c r="T708" i="6"/>
  <c r="B709" i="6"/>
  <c r="C709" i="6"/>
  <c r="D709" i="6"/>
  <c r="E709" i="6"/>
  <c r="F709" i="6"/>
  <c r="H709" i="6"/>
  <c r="I709" i="6"/>
  <c r="L709" i="6"/>
  <c r="N709" i="6"/>
  <c r="Q709" i="6"/>
  <c r="R709" i="6"/>
  <c r="S709" i="6"/>
  <c r="T709" i="6"/>
  <c r="B710" i="6"/>
  <c r="C710" i="6"/>
  <c r="D710" i="6"/>
  <c r="L710" i="6" s="1"/>
  <c r="E710" i="6"/>
  <c r="F710" i="6"/>
  <c r="H710" i="6"/>
  <c r="I710" i="6"/>
  <c r="N710" i="6"/>
  <c r="R710" i="6"/>
  <c r="Q710" i="6" s="1"/>
  <c r="S710" i="6" s="1"/>
  <c r="T710" i="6"/>
  <c r="B711" i="6"/>
  <c r="C711" i="6"/>
  <c r="D711" i="6"/>
  <c r="E711" i="6"/>
  <c r="F711" i="6"/>
  <c r="H711" i="6"/>
  <c r="I711" i="6"/>
  <c r="L711" i="6"/>
  <c r="N711" i="6"/>
  <c r="Q711" i="6"/>
  <c r="R711" i="6"/>
  <c r="S711" i="6"/>
  <c r="T711" i="6"/>
  <c r="B712" i="6"/>
  <c r="C712" i="6"/>
  <c r="D712" i="6"/>
  <c r="L712" i="6" s="1"/>
  <c r="E712" i="6"/>
  <c r="F712" i="6"/>
  <c r="H712" i="6"/>
  <c r="I712" i="6"/>
  <c r="N712" i="6"/>
  <c r="R712" i="6"/>
  <c r="Q712" i="6" s="1"/>
  <c r="S712" i="6" s="1"/>
  <c r="T712" i="6"/>
  <c r="B713" i="6"/>
  <c r="C713" i="6"/>
  <c r="D713" i="6"/>
  <c r="E713" i="6"/>
  <c r="F713" i="6"/>
  <c r="H713" i="6"/>
  <c r="I713" i="6"/>
  <c r="L713" i="6"/>
  <c r="N713" i="6"/>
  <c r="Q713" i="6"/>
  <c r="R713" i="6"/>
  <c r="S713" i="6"/>
  <c r="T713" i="6"/>
  <c r="B714" i="6"/>
  <c r="C714" i="6"/>
  <c r="D714" i="6"/>
  <c r="L714" i="6" s="1"/>
  <c r="E714" i="6"/>
  <c r="F714" i="6"/>
  <c r="H714" i="6"/>
  <c r="I714" i="6"/>
  <c r="N714" i="6"/>
  <c r="R714" i="6"/>
  <c r="Q714" i="6" s="1"/>
  <c r="S714" i="6" s="1"/>
  <c r="T714" i="6"/>
  <c r="B715" i="6"/>
  <c r="C715" i="6"/>
  <c r="D715" i="6"/>
  <c r="E715" i="6"/>
  <c r="F715" i="6"/>
  <c r="H715" i="6"/>
  <c r="I715" i="6"/>
  <c r="L715" i="6"/>
  <c r="N715" i="6"/>
  <c r="Q715" i="6"/>
  <c r="R715" i="6"/>
  <c r="S715" i="6"/>
  <c r="T715" i="6"/>
  <c r="B716" i="6"/>
  <c r="C716" i="6"/>
  <c r="D716" i="6"/>
  <c r="L716" i="6" s="1"/>
  <c r="E716" i="6"/>
  <c r="F716" i="6"/>
  <c r="H716" i="6"/>
  <c r="I716" i="6"/>
  <c r="N716" i="6"/>
  <c r="R716" i="6"/>
  <c r="Q716" i="6" s="1"/>
  <c r="S716" i="6" s="1"/>
  <c r="T716" i="6"/>
  <c r="B717" i="6"/>
  <c r="C717" i="6"/>
  <c r="D717" i="6"/>
  <c r="E717" i="6"/>
  <c r="F717" i="6"/>
  <c r="H717" i="6"/>
  <c r="I717" i="6"/>
  <c r="L717" i="6"/>
  <c r="N717" i="6"/>
  <c r="Q717" i="6"/>
  <c r="R717" i="6"/>
  <c r="S717" i="6"/>
  <c r="T717" i="6"/>
  <c r="B718" i="6"/>
  <c r="C718" i="6"/>
  <c r="D718" i="6"/>
  <c r="L718" i="6" s="1"/>
  <c r="E718" i="6"/>
  <c r="F718" i="6"/>
  <c r="H718" i="6"/>
  <c r="I718" i="6"/>
  <c r="N718" i="6"/>
  <c r="R718" i="6"/>
  <c r="Q718" i="6" s="1"/>
  <c r="S718" i="6" s="1"/>
  <c r="T718" i="6"/>
  <c r="B719" i="6"/>
  <c r="C719" i="6"/>
  <c r="D719" i="6"/>
  <c r="E719" i="6"/>
  <c r="F719" i="6"/>
  <c r="H719" i="6"/>
  <c r="I719" i="6"/>
  <c r="L719" i="6"/>
  <c r="N719" i="6"/>
  <c r="Q719" i="6"/>
  <c r="R719" i="6"/>
  <c r="S719" i="6"/>
  <c r="T719" i="6"/>
  <c r="B720" i="6"/>
  <c r="C720" i="6"/>
  <c r="D720" i="6"/>
  <c r="L720" i="6" s="1"/>
  <c r="E720" i="6"/>
  <c r="F720" i="6"/>
  <c r="H720" i="6"/>
  <c r="I720" i="6"/>
  <c r="N720" i="6"/>
  <c r="R720" i="6"/>
  <c r="Q720" i="6" s="1"/>
  <c r="S720" i="6" s="1"/>
  <c r="T720" i="6"/>
  <c r="B721" i="6"/>
  <c r="C721" i="6"/>
  <c r="D721" i="6"/>
  <c r="E721" i="6"/>
  <c r="F721" i="6"/>
  <c r="H721" i="6"/>
  <c r="I721" i="6"/>
  <c r="L721" i="6"/>
  <c r="N721" i="6"/>
  <c r="Q721" i="6"/>
  <c r="R721" i="6"/>
  <c r="S721" i="6"/>
  <c r="T721" i="6"/>
  <c r="B722" i="6"/>
  <c r="C722" i="6"/>
  <c r="D722" i="6"/>
  <c r="L722" i="6" s="1"/>
  <c r="E722" i="6"/>
  <c r="F722" i="6"/>
  <c r="H722" i="6"/>
  <c r="I722" i="6"/>
  <c r="N722" i="6"/>
  <c r="R722" i="6"/>
  <c r="Q722" i="6" s="1"/>
  <c r="S722" i="6" s="1"/>
  <c r="T722" i="6"/>
  <c r="B723" i="6"/>
  <c r="C723" i="6"/>
  <c r="D723" i="6"/>
  <c r="E723" i="6"/>
  <c r="F723" i="6"/>
  <c r="H723" i="6"/>
  <c r="I723" i="6"/>
  <c r="L723" i="6"/>
  <c r="N723" i="6"/>
  <c r="Q723" i="6"/>
  <c r="R723" i="6"/>
  <c r="S723" i="6"/>
  <c r="T723" i="6"/>
  <c r="B724" i="6"/>
  <c r="C724" i="6"/>
  <c r="D724" i="6"/>
  <c r="L724" i="6" s="1"/>
  <c r="E724" i="6"/>
  <c r="F724" i="6"/>
  <c r="H724" i="6"/>
  <c r="I724" i="6"/>
  <c r="N724" i="6"/>
  <c r="R724" i="6"/>
  <c r="Q724" i="6" s="1"/>
  <c r="S724" i="6" s="1"/>
  <c r="T724" i="6"/>
  <c r="B725" i="6"/>
  <c r="C725" i="6"/>
  <c r="D725" i="6"/>
  <c r="E725" i="6"/>
  <c r="F725" i="6"/>
  <c r="H725" i="6"/>
  <c r="I725" i="6"/>
  <c r="L725" i="6"/>
  <c r="N725" i="6"/>
  <c r="Q725" i="6"/>
  <c r="R725" i="6"/>
  <c r="S725" i="6"/>
  <c r="T725" i="6"/>
  <c r="B726" i="6"/>
  <c r="C726" i="6"/>
  <c r="D726" i="6"/>
  <c r="L726" i="6" s="1"/>
  <c r="E726" i="6"/>
  <c r="F726" i="6"/>
  <c r="H726" i="6"/>
  <c r="I726" i="6"/>
  <c r="N726" i="6"/>
  <c r="R726" i="6"/>
  <c r="Q726" i="6" s="1"/>
  <c r="S726" i="6" s="1"/>
  <c r="T726" i="6"/>
  <c r="B727" i="6"/>
  <c r="C727" i="6"/>
  <c r="D727" i="6"/>
  <c r="E727" i="6"/>
  <c r="F727" i="6"/>
  <c r="H727" i="6"/>
  <c r="I727" i="6"/>
  <c r="L727" i="6"/>
  <c r="N727" i="6"/>
  <c r="Q727" i="6"/>
  <c r="R727" i="6"/>
  <c r="S727" i="6"/>
  <c r="T727" i="6"/>
  <c r="B728" i="6"/>
  <c r="C728" i="6"/>
  <c r="D728" i="6"/>
  <c r="L728" i="6" s="1"/>
  <c r="E728" i="6"/>
  <c r="F728" i="6"/>
  <c r="H728" i="6"/>
  <c r="I728" i="6"/>
  <c r="N728" i="6"/>
  <c r="R728" i="6"/>
  <c r="Q728" i="6" s="1"/>
  <c r="S728" i="6" s="1"/>
  <c r="T728" i="6"/>
  <c r="B729" i="6"/>
  <c r="C729" i="6"/>
  <c r="D729" i="6"/>
  <c r="E729" i="6"/>
  <c r="F729" i="6"/>
  <c r="H729" i="6"/>
  <c r="I729" i="6"/>
  <c r="L729" i="6"/>
  <c r="N729" i="6"/>
  <c r="Q729" i="6"/>
  <c r="R729" i="6"/>
  <c r="S729" i="6"/>
  <c r="T729" i="6"/>
  <c r="B730" i="6"/>
  <c r="C730" i="6"/>
  <c r="D730" i="6"/>
  <c r="L730" i="6" s="1"/>
  <c r="E730" i="6"/>
  <c r="F730" i="6"/>
  <c r="H730" i="6"/>
  <c r="I730" i="6"/>
  <c r="N730" i="6"/>
  <c r="R730" i="6"/>
  <c r="Q730" i="6" s="1"/>
  <c r="S730" i="6" s="1"/>
  <c r="T730" i="6"/>
  <c r="B731" i="6"/>
  <c r="C731" i="6"/>
  <c r="D731" i="6"/>
  <c r="E731" i="6"/>
  <c r="F731" i="6"/>
  <c r="H731" i="6"/>
  <c r="I731" i="6"/>
  <c r="L731" i="6"/>
  <c r="N731" i="6"/>
  <c r="Q731" i="6"/>
  <c r="R731" i="6"/>
  <c r="S731" i="6"/>
  <c r="T731" i="6"/>
  <c r="B732" i="6"/>
  <c r="C732" i="6"/>
  <c r="D732" i="6"/>
  <c r="L732" i="6" s="1"/>
  <c r="E732" i="6"/>
  <c r="F732" i="6"/>
  <c r="H732" i="6"/>
  <c r="I732" i="6"/>
  <c r="N732" i="6"/>
  <c r="R732" i="6"/>
  <c r="Q732" i="6" s="1"/>
  <c r="S732" i="6" s="1"/>
  <c r="T732" i="6"/>
  <c r="B733" i="6"/>
  <c r="C733" i="6"/>
  <c r="D733" i="6"/>
  <c r="E733" i="6"/>
  <c r="F733" i="6"/>
  <c r="H733" i="6"/>
  <c r="I733" i="6"/>
  <c r="L733" i="6"/>
  <c r="N733" i="6"/>
  <c r="Q733" i="6"/>
  <c r="R733" i="6"/>
  <c r="S733" i="6"/>
  <c r="T733" i="6"/>
  <c r="B734" i="6"/>
  <c r="C734" i="6"/>
  <c r="D734" i="6"/>
  <c r="E734" i="6"/>
  <c r="F734" i="6"/>
  <c r="H734" i="6"/>
  <c r="I734" i="6"/>
  <c r="N734" i="6"/>
  <c r="R734" i="6"/>
  <c r="Q734" i="6" s="1"/>
  <c r="S734" i="6" s="1"/>
  <c r="T734" i="6"/>
  <c r="B735" i="6"/>
  <c r="C735" i="6"/>
  <c r="D735" i="6"/>
  <c r="E735" i="6"/>
  <c r="F735" i="6"/>
  <c r="H735" i="6"/>
  <c r="I735" i="6"/>
  <c r="L735" i="6"/>
  <c r="N735" i="6"/>
  <c r="Q735" i="6"/>
  <c r="R735" i="6"/>
  <c r="S735" i="6"/>
  <c r="T735" i="6"/>
  <c r="B736" i="6"/>
  <c r="C736" i="6"/>
  <c r="D736" i="6"/>
  <c r="E736" i="6"/>
  <c r="F736" i="6"/>
  <c r="H736" i="6"/>
  <c r="I736" i="6"/>
  <c r="N736" i="6"/>
  <c r="R736" i="6"/>
  <c r="Q736" i="6" s="1"/>
  <c r="S736" i="6" s="1"/>
  <c r="T736" i="6"/>
  <c r="B737" i="6"/>
  <c r="C737" i="6"/>
  <c r="D737" i="6"/>
  <c r="E737" i="6"/>
  <c r="F737" i="6"/>
  <c r="H737" i="6"/>
  <c r="I737" i="6"/>
  <c r="L737" i="6"/>
  <c r="N737" i="6"/>
  <c r="Q737" i="6"/>
  <c r="R737" i="6"/>
  <c r="S737" i="6"/>
  <c r="T737" i="6"/>
  <c r="B738" i="6"/>
  <c r="C738" i="6"/>
  <c r="D738" i="6"/>
  <c r="E738" i="6"/>
  <c r="F738" i="6"/>
  <c r="H738" i="6"/>
  <c r="I738" i="6"/>
  <c r="N738" i="6"/>
  <c r="R738" i="6"/>
  <c r="Q738" i="6" s="1"/>
  <c r="S738" i="6" s="1"/>
  <c r="T738" i="6"/>
  <c r="B739" i="6"/>
  <c r="C739" i="6"/>
  <c r="D739" i="6"/>
  <c r="E739" i="6"/>
  <c r="F739" i="6"/>
  <c r="H739" i="6"/>
  <c r="I739" i="6"/>
  <c r="L739" i="6"/>
  <c r="N739" i="6"/>
  <c r="Q739" i="6"/>
  <c r="R739" i="6"/>
  <c r="S739" i="6"/>
  <c r="T739" i="6"/>
  <c r="B740" i="6"/>
  <c r="C740" i="6"/>
  <c r="D740" i="6"/>
  <c r="E740" i="6"/>
  <c r="F740" i="6"/>
  <c r="H740" i="6"/>
  <c r="I740" i="6"/>
  <c r="N740" i="6"/>
  <c r="R740" i="6"/>
  <c r="Q740" i="6" s="1"/>
  <c r="S740" i="6" s="1"/>
  <c r="T740" i="6"/>
  <c r="B741" i="6"/>
  <c r="C741" i="6"/>
  <c r="D741" i="6"/>
  <c r="E741" i="6"/>
  <c r="F741" i="6"/>
  <c r="H741" i="6"/>
  <c r="I741" i="6"/>
  <c r="L741" i="6"/>
  <c r="N741" i="6"/>
  <c r="Q741" i="6"/>
  <c r="R741" i="6"/>
  <c r="S741" i="6"/>
  <c r="T741" i="6"/>
  <c r="B742" i="6"/>
  <c r="C742" i="6"/>
  <c r="D742" i="6"/>
  <c r="E742" i="6"/>
  <c r="F742" i="6"/>
  <c r="H742" i="6"/>
  <c r="I742" i="6"/>
  <c r="N742" i="6"/>
  <c r="R742" i="6"/>
  <c r="Q742" i="6" s="1"/>
  <c r="S742" i="6" s="1"/>
  <c r="T742" i="6"/>
  <c r="B743" i="6"/>
  <c r="C743" i="6"/>
  <c r="D743" i="6"/>
  <c r="E743" i="6"/>
  <c r="F743" i="6"/>
  <c r="H743" i="6"/>
  <c r="I743" i="6"/>
  <c r="L743" i="6"/>
  <c r="N743" i="6"/>
  <c r="Q743" i="6"/>
  <c r="R743" i="6"/>
  <c r="S743" i="6"/>
  <c r="T743" i="6"/>
  <c r="B744" i="6"/>
  <c r="C744" i="6"/>
  <c r="D744" i="6"/>
  <c r="E744" i="6"/>
  <c r="F744" i="6"/>
  <c r="H744" i="6"/>
  <c r="I744" i="6"/>
  <c r="N744" i="6"/>
  <c r="R744" i="6"/>
  <c r="Q744" i="6" s="1"/>
  <c r="S744" i="6" s="1"/>
  <c r="T744" i="6"/>
  <c r="B745" i="6"/>
  <c r="C745" i="6"/>
  <c r="D745" i="6"/>
  <c r="E745" i="6"/>
  <c r="F745" i="6"/>
  <c r="H745" i="6"/>
  <c r="I745" i="6"/>
  <c r="L745" i="6"/>
  <c r="N745" i="6"/>
  <c r="Q745" i="6"/>
  <c r="R745" i="6"/>
  <c r="S745" i="6"/>
  <c r="T745" i="6"/>
  <c r="B746" i="6"/>
  <c r="C746" i="6"/>
  <c r="D746" i="6"/>
  <c r="E746" i="6"/>
  <c r="F746" i="6"/>
  <c r="H746" i="6"/>
  <c r="I746" i="6"/>
  <c r="N746" i="6"/>
  <c r="R746" i="6"/>
  <c r="Q746" i="6" s="1"/>
  <c r="S746" i="6" s="1"/>
  <c r="T746" i="6"/>
  <c r="B747" i="6"/>
  <c r="C747" i="6"/>
  <c r="D747" i="6"/>
  <c r="E747" i="6"/>
  <c r="F747" i="6"/>
  <c r="H747" i="6"/>
  <c r="I747" i="6"/>
  <c r="L747" i="6"/>
  <c r="N747" i="6"/>
  <c r="Q747" i="6"/>
  <c r="R747" i="6"/>
  <c r="S747" i="6"/>
  <c r="T747" i="6"/>
  <c r="B748" i="6"/>
  <c r="C748" i="6"/>
  <c r="D748" i="6"/>
  <c r="L748" i="6" s="1"/>
  <c r="E748" i="6"/>
  <c r="F748" i="6"/>
  <c r="H748" i="6"/>
  <c r="I748" i="6"/>
  <c r="N748" i="6"/>
  <c r="R748" i="6"/>
  <c r="Q748" i="6" s="1"/>
  <c r="S748" i="6" s="1"/>
  <c r="T748" i="6"/>
  <c r="B749" i="6"/>
  <c r="C749" i="6"/>
  <c r="D749" i="6"/>
  <c r="E749" i="6"/>
  <c r="F749" i="6"/>
  <c r="H749" i="6"/>
  <c r="I749" i="6"/>
  <c r="L749" i="6"/>
  <c r="N749" i="6"/>
  <c r="Q749" i="6"/>
  <c r="R749" i="6"/>
  <c r="S749" i="6"/>
  <c r="T749" i="6"/>
  <c r="B750" i="6"/>
  <c r="C750" i="6"/>
  <c r="D750" i="6"/>
  <c r="L750" i="6" s="1"/>
  <c r="E750" i="6"/>
  <c r="F750" i="6"/>
  <c r="H750" i="6"/>
  <c r="I750" i="6"/>
  <c r="N750" i="6"/>
  <c r="R750" i="6"/>
  <c r="Q750" i="6" s="1"/>
  <c r="S750" i="6" s="1"/>
  <c r="T750" i="6"/>
  <c r="B751" i="6"/>
  <c r="C751" i="6"/>
  <c r="D751" i="6"/>
  <c r="E751" i="6"/>
  <c r="F751" i="6"/>
  <c r="H751" i="6"/>
  <c r="I751" i="6"/>
  <c r="L751" i="6"/>
  <c r="N751" i="6"/>
  <c r="Q751" i="6"/>
  <c r="R751" i="6"/>
  <c r="S751" i="6"/>
  <c r="T751" i="6"/>
  <c r="B752" i="6"/>
  <c r="C752" i="6"/>
  <c r="D752" i="6"/>
  <c r="L752" i="6" s="1"/>
  <c r="E752" i="6"/>
  <c r="F752" i="6"/>
  <c r="H752" i="6"/>
  <c r="I752" i="6"/>
  <c r="N752" i="6"/>
  <c r="R752" i="6"/>
  <c r="Q752" i="6" s="1"/>
  <c r="S752" i="6" s="1"/>
  <c r="T752" i="6"/>
  <c r="B753" i="6"/>
  <c r="C753" i="6"/>
  <c r="D753" i="6"/>
  <c r="E753" i="6"/>
  <c r="F753" i="6"/>
  <c r="H753" i="6"/>
  <c r="I753" i="6"/>
  <c r="L753" i="6"/>
  <c r="N753" i="6"/>
  <c r="Q753" i="6"/>
  <c r="R753" i="6"/>
  <c r="S753" i="6"/>
  <c r="T753" i="6"/>
  <c r="B754" i="6"/>
  <c r="C754" i="6"/>
  <c r="D754" i="6"/>
  <c r="L754" i="6" s="1"/>
  <c r="E754" i="6"/>
  <c r="F754" i="6"/>
  <c r="H754" i="6"/>
  <c r="I754" i="6"/>
  <c r="N754" i="6"/>
  <c r="R754" i="6"/>
  <c r="Q754" i="6" s="1"/>
  <c r="S754" i="6" s="1"/>
  <c r="T754" i="6"/>
  <c r="B755" i="6"/>
  <c r="C755" i="6"/>
  <c r="D755" i="6"/>
  <c r="E755" i="6"/>
  <c r="F755" i="6"/>
  <c r="H755" i="6"/>
  <c r="I755" i="6"/>
  <c r="L755" i="6"/>
  <c r="N755" i="6"/>
  <c r="Q755" i="6"/>
  <c r="R755" i="6"/>
  <c r="S755" i="6"/>
  <c r="T755" i="6"/>
  <c r="B756" i="6"/>
  <c r="C756" i="6"/>
  <c r="D756" i="6"/>
  <c r="L756" i="6" s="1"/>
  <c r="E756" i="6"/>
  <c r="F756" i="6"/>
  <c r="H756" i="6"/>
  <c r="I756" i="6"/>
  <c r="N756" i="6"/>
  <c r="R756" i="6"/>
  <c r="Q756" i="6" s="1"/>
  <c r="S756" i="6" s="1"/>
  <c r="T756" i="6"/>
  <c r="B757" i="6"/>
  <c r="C757" i="6"/>
  <c r="D757" i="6"/>
  <c r="E757" i="6"/>
  <c r="F757" i="6"/>
  <c r="H757" i="6"/>
  <c r="I757" i="6"/>
  <c r="L757" i="6"/>
  <c r="N757" i="6"/>
  <c r="Q757" i="6"/>
  <c r="R757" i="6"/>
  <c r="S757" i="6"/>
  <c r="T757" i="6"/>
  <c r="B758" i="6"/>
  <c r="C758" i="6"/>
  <c r="D758" i="6"/>
  <c r="L758" i="6" s="1"/>
  <c r="E758" i="6"/>
  <c r="F758" i="6"/>
  <c r="H758" i="6"/>
  <c r="I758" i="6"/>
  <c r="N758" i="6"/>
  <c r="R758" i="6"/>
  <c r="Q758" i="6" s="1"/>
  <c r="S758" i="6" s="1"/>
  <c r="T758" i="6"/>
  <c r="B759" i="6"/>
  <c r="C759" i="6"/>
  <c r="D759" i="6"/>
  <c r="E759" i="6"/>
  <c r="F759" i="6"/>
  <c r="H759" i="6"/>
  <c r="I759" i="6"/>
  <c r="L759" i="6"/>
  <c r="N759" i="6"/>
  <c r="Q759" i="6"/>
  <c r="R759" i="6"/>
  <c r="S759" i="6"/>
  <c r="T759" i="6"/>
  <c r="B760" i="6"/>
  <c r="C760" i="6"/>
  <c r="D760" i="6"/>
  <c r="L760" i="6" s="1"/>
  <c r="E760" i="6"/>
  <c r="F760" i="6"/>
  <c r="H760" i="6"/>
  <c r="I760" i="6"/>
  <c r="N760" i="6"/>
  <c r="R760" i="6"/>
  <c r="Q760" i="6" s="1"/>
  <c r="S760" i="6" s="1"/>
  <c r="T760" i="6"/>
  <c r="B761" i="6"/>
  <c r="C761" i="6"/>
  <c r="D761" i="6"/>
  <c r="E761" i="6"/>
  <c r="F761" i="6"/>
  <c r="H761" i="6"/>
  <c r="I761" i="6"/>
  <c r="L761" i="6"/>
  <c r="N761" i="6"/>
  <c r="Q761" i="6"/>
  <c r="R761" i="6"/>
  <c r="S761" i="6"/>
  <c r="T761" i="6"/>
  <c r="B762" i="6"/>
  <c r="C762" i="6"/>
  <c r="D762" i="6"/>
  <c r="L762" i="6" s="1"/>
  <c r="E762" i="6"/>
  <c r="F762" i="6"/>
  <c r="H762" i="6"/>
  <c r="I762" i="6"/>
  <c r="N762" i="6"/>
  <c r="R762" i="6"/>
  <c r="Q762" i="6" s="1"/>
  <c r="S762" i="6" s="1"/>
  <c r="T762" i="6"/>
  <c r="B763" i="6"/>
  <c r="C763" i="6"/>
  <c r="D763" i="6"/>
  <c r="E763" i="6"/>
  <c r="F763" i="6"/>
  <c r="H763" i="6"/>
  <c r="I763" i="6"/>
  <c r="L763" i="6"/>
  <c r="N763" i="6"/>
  <c r="Q763" i="6"/>
  <c r="R763" i="6"/>
  <c r="S763" i="6"/>
  <c r="T763" i="6"/>
  <c r="B764" i="6"/>
  <c r="C764" i="6"/>
  <c r="D764" i="6"/>
  <c r="L764" i="6" s="1"/>
  <c r="E764" i="6"/>
  <c r="F764" i="6"/>
  <c r="H764" i="6"/>
  <c r="I764" i="6"/>
  <c r="N764" i="6"/>
  <c r="R764" i="6"/>
  <c r="Q764" i="6" s="1"/>
  <c r="S764" i="6" s="1"/>
  <c r="T764" i="6"/>
  <c r="B765" i="6"/>
  <c r="C765" i="6"/>
  <c r="D765" i="6"/>
  <c r="E765" i="6"/>
  <c r="F765" i="6"/>
  <c r="H765" i="6"/>
  <c r="I765" i="6"/>
  <c r="L765" i="6"/>
  <c r="N765" i="6"/>
  <c r="Q765" i="6"/>
  <c r="R765" i="6"/>
  <c r="S765" i="6"/>
  <c r="T765" i="6"/>
  <c r="B766" i="6"/>
  <c r="C766" i="6"/>
  <c r="D766" i="6"/>
  <c r="L766" i="6" s="1"/>
  <c r="E766" i="6"/>
  <c r="F766" i="6"/>
  <c r="H766" i="6"/>
  <c r="I766" i="6"/>
  <c r="N766" i="6"/>
  <c r="R766" i="6"/>
  <c r="Q766" i="6" s="1"/>
  <c r="S766" i="6" s="1"/>
  <c r="T766" i="6"/>
  <c r="B767" i="6"/>
  <c r="C767" i="6"/>
  <c r="D767" i="6"/>
  <c r="E767" i="6"/>
  <c r="F767" i="6"/>
  <c r="H767" i="6"/>
  <c r="I767" i="6"/>
  <c r="L767" i="6"/>
  <c r="N767" i="6"/>
  <c r="Q767" i="6"/>
  <c r="R767" i="6"/>
  <c r="S767" i="6"/>
  <c r="T767" i="6"/>
  <c r="B768" i="6"/>
  <c r="C768" i="6"/>
  <c r="D768" i="6"/>
  <c r="L768" i="6" s="1"/>
  <c r="E768" i="6"/>
  <c r="F768" i="6"/>
  <c r="H768" i="6"/>
  <c r="I768" i="6"/>
  <c r="N768" i="6"/>
  <c r="R768" i="6"/>
  <c r="Q768" i="6" s="1"/>
  <c r="S768" i="6" s="1"/>
  <c r="T768" i="6"/>
  <c r="B769" i="6"/>
  <c r="C769" i="6"/>
  <c r="D769" i="6"/>
  <c r="E769" i="6"/>
  <c r="F769" i="6"/>
  <c r="H769" i="6"/>
  <c r="I769" i="6"/>
  <c r="L769" i="6"/>
  <c r="N769" i="6"/>
  <c r="Q769" i="6"/>
  <c r="R769" i="6"/>
  <c r="S769" i="6"/>
  <c r="T769" i="6"/>
  <c r="B770" i="6"/>
  <c r="C770" i="6"/>
  <c r="D770" i="6"/>
  <c r="L770" i="6" s="1"/>
  <c r="E770" i="6"/>
  <c r="F770" i="6"/>
  <c r="H770" i="6"/>
  <c r="I770" i="6"/>
  <c r="N770" i="6"/>
  <c r="R770" i="6"/>
  <c r="Q770" i="6" s="1"/>
  <c r="S770" i="6" s="1"/>
  <c r="T770" i="6"/>
  <c r="B771" i="6"/>
  <c r="C771" i="6"/>
  <c r="D771" i="6"/>
  <c r="E771" i="6"/>
  <c r="F771" i="6"/>
  <c r="H771" i="6"/>
  <c r="I771" i="6"/>
  <c r="L771" i="6"/>
  <c r="N771" i="6"/>
  <c r="Q771" i="6"/>
  <c r="R771" i="6"/>
  <c r="S771" i="6"/>
  <c r="T771" i="6"/>
  <c r="B772" i="6"/>
  <c r="C772" i="6"/>
  <c r="D772" i="6"/>
  <c r="L772" i="6" s="1"/>
  <c r="E772" i="6"/>
  <c r="F772" i="6"/>
  <c r="H772" i="6"/>
  <c r="I772" i="6"/>
  <c r="N772" i="6"/>
  <c r="R772" i="6"/>
  <c r="Q772" i="6" s="1"/>
  <c r="S772" i="6" s="1"/>
  <c r="T772" i="6"/>
  <c r="B773" i="6"/>
  <c r="C773" i="6"/>
  <c r="D773" i="6"/>
  <c r="E773" i="6"/>
  <c r="F773" i="6"/>
  <c r="H773" i="6"/>
  <c r="I773" i="6"/>
  <c r="L773" i="6"/>
  <c r="N773" i="6"/>
  <c r="Q773" i="6"/>
  <c r="R773" i="6"/>
  <c r="S773" i="6"/>
  <c r="T773" i="6"/>
  <c r="B774" i="6"/>
  <c r="C774" i="6"/>
  <c r="D774" i="6"/>
  <c r="L774" i="6" s="1"/>
  <c r="E774" i="6"/>
  <c r="F774" i="6"/>
  <c r="H774" i="6"/>
  <c r="I774" i="6"/>
  <c r="N774" i="6"/>
  <c r="R774" i="6"/>
  <c r="Q774" i="6" s="1"/>
  <c r="S774" i="6" s="1"/>
  <c r="T774" i="6"/>
  <c r="B775" i="6"/>
  <c r="C775" i="6"/>
  <c r="D775" i="6"/>
  <c r="E775" i="6"/>
  <c r="F775" i="6"/>
  <c r="H775" i="6"/>
  <c r="I775" i="6"/>
  <c r="L775" i="6"/>
  <c r="N775" i="6"/>
  <c r="Q775" i="6"/>
  <c r="R775" i="6"/>
  <c r="S775" i="6"/>
  <c r="T775" i="6"/>
  <c r="B776" i="6"/>
  <c r="C776" i="6"/>
  <c r="D776" i="6"/>
  <c r="L776" i="6" s="1"/>
  <c r="E776" i="6"/>
  <c r="F776" i="6"/>
  <c r="H776" i="6"/>
  <c r="I776" i="6"/>
  <c r="N776" i="6"/>
  <c r="R776" i="6"/>
  <c r="Q776" i="6" s="1"/>
  <c r="S776" i="6" s="1"/>
  <c r="T776" i="6"/>
  <c r="B777" i="6"/>
  <c r="C777" i="6"/>
  <c r="D777" i="6"/>
  <c r="E777" i="6"/>
  <c r="F777" i="6"/>
  <c r="H777" i="6"/>
  <c r="I777" i="6"/>
  <c r="L777" i="6"/>
  <c r="N777" i="6"/>
  <c r="Q777" i="6"/>
  <c r="R777" i="6"/>
  <c r="S777" i="6"/>
  <c r="T777" i="6"/>
  <c r="B778" i="6"/>
  <c r="C778" i="6"/>
  <c r="D778" i="6"/>
  <c r="L778" i="6" s="1"/>
  <c r="E778" i="6"/>
  <c r="F778" i="6"/>
  <c r="H778" i="6"/>
  <c r="I778" i="6"/>
  <c r="N778" i="6"/>
  <c r="R778" i="6"/>
  <c r="Q778" i="6" s="1"/>
  <c r="S778" i="6" s="1"/>
  <c r="T778" i="6"/>
  <c r="B779" i="6"/>
  <c r="C779" i="6"/>
  <c r="D779" i="6"/>
  <c r="E779" i="6"/>
  <c r="F779" i="6"/>
  <c r="H779" i="6"/>
  <c r="I779" i="6"/>
  <c r="L779" i="6"/>
  <c r="N779" i="6"/>
  <c r="Q779" i="6"/>
  <c r="R779" i="6"/>
  <c r="S779" i="6"/>
  <c r="T779" i="6"/>
  <c r="B780" i="6"/>
  <c r="C780" i="6"/>
  <c r="D780" i="6"/>
  <c r="L780" i="6" s="1"/>
  <c r="E780" i="6"/>
  <c r="F780" i="6"/>
  <c r="H780" i="6"/>
  <c r="I780" i="6"/>
  <c r="N780" i="6"/>
  <c r="R780" i="6"/>
  <c r="Q780" i="6" s="1"/>
  <c r="S780" i="6" s="1"/>
  <c r="T780" i="6"/>
  <c r="B781" i="6"/>
  <c r="C781" i="6"/>
  <c r="D781" i="6"/>
  <c r="E781" i="6"/>
  <c r="F781" i="6"/>
  <c r="H781" i="6"/>
  <c r="I781" i="6"/>
  <c r="L781" i="6"/>
  <c r="N781" i="6"/>
  <c r="Q781" i="6"/>
  <c r="R781" i="6"/>
  <c r="S781" i="6"/>
  <c r="T781" i="6"/>
  <c r="B782" i="6"/>
  <c r="C782" i="6"/>
  <c r="D782" i="6"/>
  <c r="L782" i="6" s="1"/>
  <c r="E782" i="6"/>
  <c r="F782" i="6"/>
  <c r="H782" i="6"/>
  <c r="I782" i="6"/>
  <c r="N782" i="6"/>
  <c r="R782" i="6"/>
  <c r="Q782" i="6" s="1"/>
  <c r="S782" i="6" s="1"/>
  <c r="T782" i="6"/>
  <c r="B783" i="6"/>
  <c r="C783" i="6"/>
  <c r="D783" i="6"/>
  <c r="E783" i="6"/>
  <c r="F783" i="6"/>
  <c r="H783" i="6"/>
  <c r="I783" i="6"/>
  <c r="L783" i="6"/>
  <c r="N783" i="6"/>
  <c r="Q783" i="6"/>
  <c r="R783" i="6"/>
  <c r="S783" i="6"/>
  <c r="T783" i="6"/>
  <c r="B784" i="6"/>
  <c r="C784" i="6"/>
  <c r="D784" i="6"/>
  <c r="L784" i="6" s="1"/>
  <c r="E784" i="6"/>
  <c r="F784" i="6"/>
  <c r="H784" i="6"/>
  <c r="I784" i="6"/>
  <c r="N784" i="6"/>
  <c r="R784" i="6"/>
  <c r="Q784" i="6" s="1"/>
  <c r="S784" i="6" s="1"/>
  <c r="T784" i="6"/>
  <c r="B785" i="6"/>
  <c r="C785" i="6"/>
  <c r="D785" i="6"/>
  <c r="E785" i="6"/>
  <c r="F785" i="6"/>
  <c r="H785" i="6"/>
  <c r="I785" i="6"/>
  <c r="L785" i="6"/>
  <c r="N785" i="6"/>
  <c r="Q785" i="6"/>
  <c r="R785" i="6"/>
  <c r="S785" i="6"/>
  <c r="T785" i="6"/>
  <c r="B786" i="6"/>
  <c r="C786" i="6"/>
  <c r="D786" i="6"/>
  <c r="L786" i="6" s="1"/>
  <c r="E786" i="6"/>
  <c r="F786" i="6"/>
  <c r="H786" i="6"/>
  <c r="I786" i="6"/>
  <c r="N786" i="6"/>
  <c r="R786" i="6"/>
  <c r="Q786" i="6" s="1"/>
  <c r="S786" i="6" s="1"/>
  <c r="T786" i="6"/>
  <c r="B787" i="6"/>
  <c r="C787" i="6"/>
  <c r="D787" i="6"/>
  <c r="E787" i="6"/>
  <c r="F787" i="6"/>
  <c r="H787" i="6"/>
  <c r="I787" i="6"/>
  <c r="L787" i="6"/>
  <c r="N787" i="6"/>
  <c r="Q787" i="6"/>
  <c r="R787" i="6"/>
  <c r="S787" i="6"/>
  <c r="T787" i="6"/>
  <c r="B788" i="6"/>
  <c r="C788" i="6"/>
  <c r="D788" i="6"/>
  <c r="L788" i="6" s="1"/>
  <c r="E788" i="6"/>
  <c r="F788" i="6"/>
  <c r="H788" i="6"/>
  <c r="I788" i="6"/>
  <c r="N788" i="6"/>
  <c r="R788" i="6"/>
  <c r="Q788" i="6" s="1"/>
  <c r="S788" i="6" s="1"/>
  <c r="T788" i="6"/>
  <c r="B789" i="6"/>
  <c r="C789" i="6"/>
  <c r="D789" i="6"/>
  <c r="E789" i="6"/>
  <c r="F789" i="6"/>
  <c r="H789" i="6"/>
  <c r="I789" i="6"/>
  <c r="L789" i="6"/>
  <c r="N789" i="6"/>
  <c r="Q789" i="6"/>
  <c r="R789" i="6"/>
  <c r="S789" i="6"/>
  <c r="T789" i="6"/>
  <c r="B790" i="6"/>
  <c r="C790" i="6"/>
  <c r="D790" i="6"/>
  <c r="L790" i="6" s="1"/>
  <c r="E790" i="6"/>
  <c r="F790" i="6"/>
  <c r="H790" i="6"/>
  <c r="I790" i="6"/>
  <c r="N790" i="6"/>
  <c r="R790" i="6"/>
  <c r="Q790" i="6" s="1"/>
  <c r="S790" i="6" s="1"/>
  <c r="T790" i="6"/>
  <c r="B791" i="6"/>
  <c r="C791" i="6"/>
  <c r="D791" i="6"/>
  <c r="E791" i="6"/>
  <c r="F791" i="6"/>
  <c r="H791" i="6"/>
  <c r="I791" i="6"/>
  <c r="L791" i="6"/>
  <c r="N791" i="6"/>
  <c r="Q791" i="6"/>
  <c r="R791" i="6"/>
  <c r="S791" i="6"/>
  <c r="T791" i="6"/>
  <c r="B792" i="6"/>
  <c r="C792" i="6"/>
  <c r="D792" i="6"/>
  <c r="L792" i="6" s="1"/>
  <c r="E792" i="6"/>
  <c r="F792" i="6"/>
  <c r="H792" i="6"/>
  <c r="I792" i="6"/>
  <c r="N792" i="6"/>
  <c r="R792" i="6"/>
  <c r="Q792" i="6" s="1"/>
  <c r="S792" i="6" s="1"/>
  <c r="T792" i="6"/>
  <c r="B793" i="6"/>
  <c r="C793" i="6"/>
  <c r="D793" i="6"/>
  <c r="E793" i="6"/>
  <c r="F793" i="6"/>
  <c r="H793" i="6"/>
  <c r="I793" i="6"/>
  <c r="L793" i="6"/>
  <c r="N793" i="6"/>
  <c r="Q793" i="6"/>
  <c r="R793" i="6"/>
  <c r="S793" i="6"/>
  <c r="T793" i="6"/>
  <c r="B794" i="6"/>
  <c r="C794" i="6"/>
  <c r="D794" i="6"/>
  <c r="L794" i="6" s="1"/>
  <c r="E794" i="6"/>
  <c r="F794" i="6"/>
  <c r="H794" i="6"/>
  <c r="I794" i="6"/>
  <c r="N794" i="6"/>
  <c r="R794" i="6"/>
  <c r="Q794" i="6" s="1"/>
  <c r="S794" i="6" s="1"/>
  <c r="T794" i="6"/>
  <c r="B795" i="6"/>
  <c r="C795" i="6"/>
  <c r="D795" i="6"/>
  <c r="E795" i="6"/>
  <c r="F795" i="6"/>
  <c r="H795" i="6"/>
  <c r="I795" i="6"/>
  <c r="L795" i="6"/>
  <c r="N795" i="6"/>
  <c r="Q795" i="6"/>
  <c r="R795" i="6"/>
  <c r="S795" i="6"/>
  <c r="T795" i="6"/>
  <c r="B796" i="6"/>
  <c r="C796" i="6"/>
  <c r="D796" i="6"/>
  <c r="L796" i="6" s="1"/>
  <c r="E796" i="6"/>
  <c r="F796" i="6"/>
  <c r="H796" i="6"/>
  <c r="I796" i="6"/>
  <c r="N796" i="6"/>
  <c r="R796" i="6"/>
  <c r="Q796" i="6" s="1"/>
  <c r="S796" i="6" s="1"/>
  <c r="T796" i="6"/>
  <c r="B797" i="6"/>
  <c r="C797" i="6"/>
  <c r="D797" i="6"/>
  <c r="E797" i="6"/>
  <c r="F797" i="6"/>
  <c r="H797" i="6"/>
  <c r="I797" i="6"/>
  <c r="L797" i="6"/>
  <c r="N797" i="6"/>
  <c r="Q797" i="6"/>
  <c r="R797" i="6"/>
  <c r="S797" i="6"/>
  <c r="T797" i="6"/>
  <c r="B798" i="6"/>
  <c r="C798" i="6"/>
  <c r="D798" i="6"/>
  <c r="E798" i="6"/>
  <c r="F798" i="6"/>
  <c r="H798" i="6"/>
  <c r="I798" i="6"/>
  <c r="N798" i="6"/>
  <c r="R798" i="6"/>
  <c r="Q798" i="6" s="1"/>
  <c r="S798" i="6" s="1"/>
  <c r="T798" i="6"/>
  <c r="B799" i="6"/>
  <c r="C799" i="6"/>
  <c r="D799" i="6"/>
  <c r="E799" i="6"/>
  <c r="F799" i="6"/>
  <c r="H799" i="6"/>
  <c r="I799" i="6"/>
  <c r="L799" i="6"/>
  <c r="N799" i="6"/>
  <c r="Q799" i="6"/>
  <c r="R799" i="6"/>
  <c r="S799" i="6"/>
  <c r="T799" i="6"/>
  <c r="B800" i="6"/>
  <c r="C800" i="6"/>
  <c r="D800" i="6"/>
  <c r="E800" i="6"/>
  <c r="F800" i="6"/>
  <c r="H800" i="6"/>
  <c r="I800" i="6"/>
  <c r="N800" i="6"/>
  <c r="R800" i="6"/>
  <c r="Q800" i="6" s="1"/>
  <c r="S800" i="6" s="1"/>
  <c r="T800" i="6"/>
  <c r="B801" i="6"/>
  <c r="C801" i="6"/>
  <c r="D801" i="6"/>
  <c r="L801" i="6" s="1"/>
  <c r="E801" i="6"/>
  <c r="F801" i="6"/>
  <c r="H801" i="6"/>
  <c r="I801" i="6"/>
  <c r="N801" i="6"/>
  <c r="R801" i="6"/>
  <c r="Q801" i="6" s="1"/>
  <c r="S801" i="6" s="1"/>
  <c r="T801" i="6"/>
  <c r="B802" i="6"/>
  <c r="C802" i="6"/>
  <c r="D802" i="6"/>
  <c r="E802" i="6"/>
  <c r="F802" i="6"/>
  <c r="H802" i="6"/>
  <c r="I802" i="6"/>
  <c r="L802" i="6" s="1"/>
  <c r="N802" i="6"/>
  <c r="Q802" i="6"/>
  <c r="R802" i="6"/>
  <c r="S802" i="6"/>
  <c r="T802" i="6"/>
  <c r="B803" i="6"/>
  <c r="C803" i="6"/>
  <c r="D803" i="6"/>
  <c r="L803" i="6" s="1"/>
  <c r="E803" i="6"/>
  <c r="F803" i="6"/>
  <c r="H803" i="6"/>
  <c r="I803" i="6"/>
  <c r="N803" i="6"/>
  <c r="R803" i="6"/>
  <c r="Q803" i="6" s="1"/>
  <c r="S803" i="6" s="1"/>
  <c r="T803" i="6"/>
  <c r="B804" i="6"/>
  <c r="C804" i="6"/>
  <c r="D804" i="6"/>
  <c r="E804" i="6"/>
  <c r="F804" i="6"/>
  <c r="H804" i="6"/>
  <c r="I804" i="6"/>
  <c r="L804" i="6"/>
  <c r="N804" i="6"/>
  <c r="Q804" i="6"/>
  <c r="R804" i="6"/>
  <c r="S804" i="6"/>
  <c r="T804" i="6"/>
  <c r="B805" i="6"/>
  <c r="C805" i="6"/>
  <c r="D805" i="6"/>
  <c r="L805" i="6" s="1"/>
  <c r="E805" i="6"/>
  <c r="F805" i="6"/>
  <c r="H805" i="6"/>
  <c r="I805" i="6"/>
  <c r="N805" i="6"/>
  <c r="R805" i="6"/>
  <c r="Q805" i="6" s="1"/>
  <c r="S805" i="6" s="1"/>
  <c r="T805" i="6"/>
  <c r="B806" i="6"/>
  <c r="C806" i="6"/>
  <c r="D806" i="6"/>
  <c r="E806" i="6"/>
  <c r="F806" i="6"/>
  <c r="H806" i="6"/>
  <c r="I806" i="6"/>
  <c r="L806" i="6"/>
  <c r="N806" i="6"/>
  <c r="Q806" i="6"/>
  <c r="R806" i="6"/>
  <c r="S806" i="6"/>
  <c r="T806" i="6"/>
  <c r="B807" i="6"/>
  <c r="C807" i="6"/>
  <c r="D807" i="6"/>
  <c r="L807" i="6" s="1"/>
  <c r="E807" i="6"/>
  <c r="F807" i="6"/>
  <c r="H807" i="6"/>
  <c r="I807" i="6"/>
  <c r="N807" i="6"/>
  <c r="R807" i="6"/>
  <c r="Q807" i="6" s="1"/>
  <c r="S807" i="6" s="1"/>
  <c r="T807" i="6"/>
  <c r="B808" i="6"/>
  <c r="C808" i="6"/>
  <c r="D808" i="6"/>
  <c r="E808" i="6"/>
  <c r="F808" i="6"/>
  <c r="H808" i="6"/>
  <c r="I808" i="6"/>
  <c r="L808" i="6"/>
  <c r="N808" i="6"/>
  <c r="Q808" i="6"/>
  <c r="R808" i="6"/>
  <c r="S808" i="6"/>
  <c r="T808" i="6"/>
  <c r="B809" i="6"/>
  <c r="C809" i="6"/>
  <c r="D809" i="6"/>
  <c r="L809" i="6" s="1"/>
  <c r="E809" i="6"/>
  <c r="F809" i="6"/>
  <c r="H809" i="6"/>
  <c r="I809" i="6"/>
  <c r="N809" i="6"/>
  <c r="R809" i="6"/>
  <c r="Q809" i="6" s="1"/>
  <c r="S809" i="6" s="1"/>
  <c r="T809" i="6"/>
  <c r="B810" i="6"/>
  <c r="C810" i="6"/>
  <c r="D810" i="6"/>
  <c r="E810" i="6"/>
  <c r="F810" i="6"/>
  <c r="H810" i="6"/>
  <c r="I810" i="6"/>
  <c r="L810" i="6"/>
  <c r="N810" i="6"/>
  <c r="Q810" i="6"/>
  <c r="R810" i="6"/>
  <c r="S810" i="6"/>
  <c r="T810" i="6"/>
  <c r="B811" i="6"/>
  <c r="C811" i="6"/>
  <c r="D811" i="6"/>
  <c r="L811" i="6" s="1"/>
  <c r="E811" i="6"/>
  <c r="F811" i="6"/>
  <c r="H811" i="6"/>
  <c r="I811" i="6"/>
  <c r="N811" i="6"/>
  <c r="R811" i="6"/>
  <c r="Q811" i="6" s="1"/>
  <c r="S811" i="6" s="1"/>
  <c r="T811" i="6"/>
  <c r="B812" i="6"/>
  <c r="C812" i="6"/>
  <c r="D812" i="6"/>
  <c r="E812" i="6"/>
  <c r="F812" i="6"/>
  <c r="H812" i="6"/>
  <c r="I812" i="6"/>
  <c r="L812" i="6"/>
  <c r="N812" i="6"/>
  <c r="Q812" i="6"/>
  <c r="R812" i="6"/>
  <c r="S812" i="6"/>
  <c r="T812" i="6"/>
  <c r="B813" i="6"/>
  <c r="C813" i="6"/>
  <c r="D813" i="6"/>
  <c r="L813" i="6" s="1"/>
  <c r="E813" i="6"/>
  <c r="F813" i="6"/>
  <c r="H813" i="6"/>
  <c r="I813" i="6"/>
  <c r="N813" i="6"/>
  <c r="R813" i="6"/>
  <c r="Q813" i="6" s="1"/>
  <c r="S813" i="6" s="1"/>
  <c r="T813" i="6"/>
  <c r="B814" i="6"/>
  <c r="C814" i="6"/>
  <c r="D814" i="6"/>
  <c r="E814" i="6"/>
  <c r="F814" i="6"/>
  <c r="H814" i="6"/>
  <c r="I814" i="6"/>
  <c r="L814" i="6"/>
  <c r="N814" i="6"/>
  <c r="Q814" i="6"/>
  <c r="R814" i="6"/>
  <c r="S814" i="6"/>
  <c r="T814" i="6"/>
  <c r="B815" i="6"/>
  <c r="C815" i="6"/>
  <c r="D815" i="6"/>
  <c r="L815" i="6" s="1"/>
  <c r="E815" i="6"/>
  <c r="F815" i="6"/>
  <c r="H815" i="6"/>
  <c r="I815" i="6"/>
  <c r="N815" i="6"/>
  <c r="R815" i="6"/>
  <c r="Q815" i="6" s="1"/>
  <c r="S815" i="6" s="1"/>
  <c r="T815" i="6"/>
  <c r="B816" i="6"/>
  <c r="C816" i="6"/>
  <c r="D816" i="6"/>
  <c r="E816" i="6"/>
  <c r="F816" i="6"/>
  <c r="H816" i="6"/>
  <c r="I816" i="6"/>
  <c r="L816" i="6"/>
  <c r="N816" i="6"/>
  <c r="Q816" i="6"/>
  <c r="R816" i="6"/>
  <c r="S816" i="6"/>
  <c r="T816" i="6"/>
  <c r="B817" i="6"/>
  <c r="C817" i="6"/>
  <c r="D817" i="6"/>
  <c r="L817" i="6" s="1"/>
  <c r="E817" i="6"/>
  <c r="F817" i="6"/>
  <c r="H817" i="6"/>
  <c r="I817" i="6"/>
  <c r="N817" i="6"/>
  <c r="R817" i="6"/>
  <c r="Q817" i="6" s="1"/>
  <c r="S817" i="6" s="1"/>
  <c r="T817" i="6"/>
  <c r="B818" i="6"/>
  <c r="C818" i="6"/>
  <c r="D818" i="6"/>
  <c r="E818" i="6"/>
  <c r="F818" i="6"/>
  <c r="H818" i="6"/>
  <c r="I818" i="6"/>
  <c r="L818" i="6"/>
  <c r="N818" i="6"/>
  <c r="Q818" i="6"/>
  <c r="R818" i="6"/>
  <c r="S818" i="6"/>
  <c r="T818" i="6"/>
  <c r="B819" i="6"/>
  <c r="C819" i="6"/>
  <c r="D819" i="6"/>
  <c r="L819" i="6" s="1"/>
  <c r="E819" i="6"/>
  <c r="F819" i="6"/>
  <c r="H819" i="6"/>
  <c r="I819" i="6"/>
  <c r="N819" i="6"/>
  <c r="R819" i="6"/>
  <c r="Q819" i="6" s="1"/>
  <c r="S819" i="6" s="1"/>
  <c r="T819" i="6"/>
  <c r="B820" i="6"/>
  <c r="C820" i="6"/>
  <c r="D820" i="6"/>
  <c r="E820" i="6"/>
  <c r="F820" i="6"/>
  <c r="H820" i="6"/>
  <c r="I820" i="6"/>
  <c r="L820" i="6"/>
  <c r="N820" i="6"/>
  <c r="Q820" i="6"/>
  <c r="R820" i="6"/>
  <c r="S820" i="6"/>
  <c r="T820" i="6"/>
  <c r="B821" i="6"/>
  <c r="C821" i="6"/>
  <c r="D821" i="6"/>
  <c r="L821" i="6" s="1"/>
  <c r="E821" i="6"/>
  <c r="F821" i="6"/>
  <c r="H821" i="6"/>
  <c r="I821" i="6"/>
  <c r="N821" i="6"/>
  <c r="R821" i="6"/>
  <c r="Q821" i="6" s="1"/>
  <c r="S821" i="6" s="1"/>
  <c r="T821" i="6"/>
  <c r="B822" i="6"/>
  <c r="C822" i="6"/>
  <c r="D822" i="6"/>
  <c r="E822" i="6"/>
  <c r="F822" i="6"/>
  <c r="H822" i="6"/>
  <c r="I822" i="6"/>
  <c r="L822" i="6"/>
  <c r="N822" i="6"/>
  <c r="Q822" i="6"/>
  <c r="R822" i="6"/>
  <c r="S822" i="6"/>
  <c r="T822" i="6"/>
  <c r="B823" i="6"/>
  <c r="C823" i="6"/>
  <c r="D823" i="6"/>
  <c r="L823" i="6" s="1"/>
  <c r="E823" i="6"/>
  <c r="F823" i="6"/>
  <c r="H823" i="6"/>
  <c r="I823" i="6"/>
  <c r="N823" i="6"/>
  <c r="R823" i="6"/>
  <c r="Q823" i="6" s="1"/>
  <c r="S823" i="6" s="1"/>
  <c r="T823" i="6"/>
  <c r="B824" i="6"/>
  <c r="C824" i="6"/>
  <c r="D824" i="6"/>
  <c r="E824" i="6"/>
  <c r="F824" i="6"/>
  <c r="H824" i="6"/>
  <c r="I824" i="6"/>
  <c r="L824" i="6"/>
  <c r="N824" i="6"/>
  <c r="Q824" i="6"/>
  <c r="R824" i="6"/>
  <c r="S824" i="6"/>
  <c r="T824" i="6"/>
  <c r="B825" i="6"/>
  <c r="C825" i="6"/>
  <c r="D825" i="6"/>
  <c r="L825" i="6" s="1"/>
  <c r="E825" i="6"/>
  <c r="F825" i="6"/>
  <c r="H825" i="6"/>
  <c r="I825" i="6"/>
  <c r="N825" i="6"/>
  <c r="R825" i="6"/>
  <c r="Q825" i="6" s="1"/>
  <c r="S825" i="6" s="1"/>
  <c r="T825" i="6"/>
  <c r="B826" i="6"/>
  <c r="C826" i="6"/>
  <c r="D826" i="6"/>
  <c r="E826" i="6"/>
  <c r="F826" i="6"/>
  <c r="H826" i="6"/>
  <c r="I826" i="6"/>
  <c r="L826" i="6"/>
  <c r="N826" i="6"/>
  <c r="Q826" i="6"/>
  <c r="R826" i="6"/>
  <c r="S826" i="6"/>
  <c r="T826" i="6"/>
  <c r="B827" i="6"/>
  <c r="C827" i="6"/>
  <c r="D827" i="6"/>
  <c r="L827" i="6" s="1"/>
  <c r="E827" i="6"/>
  <c r="F827" i="6"/>
  <c r="H827" i="6"/>
  <c r="I827" i="6"/>
  <c r="N827" i="6"/>
  <c r="R827" i="6"/>
  <c r="Q827" i="6" s="1"/>
  <c r="S827" i="6" s="1"/>
  <c r="T827" i="6"/>
  <c r="B828" i="6"/>
  <c r="C828" i="6"/>
  <c r="D828" i="6"/>
  <c r="E828" i="6"/>
  <c r="F828" i="6"/>
  <c r="H828" i="6"/>
  <c r="I828" i="6"/>
  <c r="L828" i="6"/>
  <c r="N828" i="6"/>
  <c r="Q828" i="6"/>
  <c r="R828" i="6"/>
  <c r="S828" i="6"/>
  <c r="T828" i="6"/>
  <c r="B829" i="6"/>
  <c r="C829" i="6"/>
  <c r="D829" i="6"/>
  <c r="L829" i="6" s="1"/>
  <c r="E829" i="6"/>
  <c r="F829" i="6"/>
  <c r="H829" i="6"/>
  <c r="I829" i="6"/>
  <c r="N829" i="6"/>
  <c r="R829" i="6"/>
  <c r="Q829" i="6" s="1"/>
  <c r="S829" i="6" s="1"/>
  <c r="T829" i="6"/>
  <c r="B830" i="6"/>
  <c r="C830" i="6"/>
  <c r="D830" i="6"/>
  <c r="E830" i="6"/>
  <c r="F830" i="6"/>
  <c r="H830" i="6"/>
  <c r="I830" i="6"/>
  <c r="L830" i="6"/>
  <c r="N830" i="6"/>
  <c r="Q830" i="6"/>
  <c r="R830" i="6"/>
  <c r="S830" i="6"/>
  <c r="T830" i="6"/>
  <c r="B831" i="6"/>
  <c r="C831" i="6"/>
  <c r="D831" i="6"/>
  <c r="L831" i="6" s="1"/>
  <c r="E831" i="6"/>
  <c r="F831" i="6"/>
  <c r="H831" i="6"/>
  <c r="I831" i="6"/>
  <c r="N831" i="6"/>
  <c r="R831" i="6"/>
  <c r="Q831" i="6" s="1"/>
  <c r="S831" i="6" s="1"/>
  <c r="T831" i="6"/>
  <c r="B832" i="6"/>
  <c r="C832" i="6"/>
  <c r="D832" i="6"/>
  <c r="E832" i="6"/>
  <c r="F832" i="6"/>
  <c r="H832" i="6"/>
  <c r="I832" i="6"/>
  <c r="L832" i="6"/>
  <c r="N832" i="6"/>
  <c r="Q832" i="6"/>
  <c r="R832" i="6"/>
  <c r="S832" i="6"/>
  <c r="T832" i="6"/>
  <c r="B833" i="6"/>
  <c r="C833" i="6"/>
  <c r="D833" i="6"/>
  <c r="L833" i="6" s="1"/>
  <c r="E833" i="6"/>
  <c r="F833" i="6"/>
  <c r="H833" i="6"/>
  <c r="I833" i="6"/>
  <c r="N833" i="6"/>
  <c r="R833" i="6"/>
  <c r="Q833" i="6" s="1"/>
  <c r="S833" i="6" s="1"/>
  <c r="T833" i="6"/>
  <c r="B834" i="6"/>
  <c r="C834" i="6"/>
  <c r="D834" i="6"/>
  <c r="E834" i="6"/>
  <c r="F834" i="6"/>
  <c r="H834" i="6"/>
  <c r="I834" i="6"/>
  <c r="L834" i="6"/>
  <c r="N834" i="6"/>
  <c r="Q834" i="6"/>
  <c r="R834" i="6"/>
  <c r="S834" i="6"/>
  <c r="T834" i="6"/>
  <c r="B835" i="6"/>
  <c r="C835" i="6"/>
  <c r="D835" i="6"/>
  <c r="L835" i="6" s="1"/>
  <c r="E835" i="6"/>
  <c r="F835" i="6"/>
  <c r="H835" i="6"/>
  <c r="I835" i="6"/>
  <c r="N835" i="6"/>
  <c r="R835" i="6"/>
  <c r="Q835" i="6" s="1"/>
  <c r="S835" i="6" s="1"/>
  <c r="T835" i="6"/>
  <c r="B836" i="6"/>
  <c r="C836" i="6"/>
  <c r="D836" i="6"/>
  <c r="E836" i="6"/>
  <c r="F836" i="6"/>
  <c r="H836" i="6"/>
  <c r="I836" i="6"/>
  <c r="L836" i="6"/>
  <c r="N836" i="6"/>
  <c r="Q836" i="6"/>
  <c r="R836" i="6"/>
  <c r="S836" i="6"/>
  <c r="T836" i="6"/>
  <c r="B837" i="6"/>
  <c r="C837" i="6"/>
  <c r="D837" i="6"/>
  <c r="L837" i="6" s="1"/>
  <c r="E837" i="6"/>
  <c r="F837" i="6"/>
  <c r="H837" i="6"/>
  <c r="I837" i="6"/>
  <c r="N837" i="6"/>
  <c r="R837" i="6"/>
  <c r="Q837" i="6" s="1"/>
  <c r="S837" i="6" s="1"/>
  <c r="T837" i="6"/>
  <c r="B838" i="6"/>
  <c r="C838" i="6"/>
  <c r="D838" i="6"/>
  <c r="E838" i="6"/>
  <c r="F838" i="6"/>
  <c r="H838" i="6"/>
  <c r="I838" i="6"/>
  <c r="L838" i="6"/>
  <c r="N838" i="6"/>
  <c r="Q838" i="6"/>
  <c r="R838" i="6"/>
  <c r="S838" i="6"/>
  <c r="T838" i="6"/>
  <c r="B839" i="6"/>
  <c r="C839" i="6"/>
  <c r="D839" i="6"/>
  <c r="L839" i="6" s="1"/>
  <c r="E839" i="6"/>
  <c r="F839" i="6"/>
  <c r="H839" i="6"/>
  <c r="I839" i="6"/>
  <c r="N839" i="6"/>
  <c r="R839" i="6"/>
  <c r="Q839" i="6" s="1"/>
  <c r="S839" i="6" s="1"/>
  <c r="T839" i="6"/>
  <c r="B840" i="6"/>
  <c r="C840" i="6"/>
  <c r="D840" i="6"/>
  <c r="E840" i="6"/>
  <c r="F840" i="6"/>
  <c r="H840" i="6"/>
  <c r="I840" i="6"/>
  <c r="L840" i="6"/>
  <c r="N840" i="6"/>
  <c r="Q840" i="6"/>
  <c r="R840" i="6"/>
  <c r="S840" i="6"/>
  <c r="T840" i="6"/>
  <c r="B841" i="6"/>
  <c r="C841" i="6"/>
  <c r="D841" i="6"/>
  <c r="L841" i="6" s="1"/>
  <c r="E841" i="6"/>
  <c r="F841" i="6"/>
  <c r="H841" i="6"/>
  <c r="I841" i="6"/>
  <c r="N841" i="6"/>
  <c r="R841" i="6"/>
  <c r="Q841" i="6" s="1"/>
  <c r="S841" i="6" s="1"/>
  <c r="T841" i="6"/>
  <c r="B842" i="6"/>
  <c r="C842" i="6"/>
  <c r="D842" i="6"/>
  <c r="E842" i="6"/>
  <c r="F842" i="6"/>
  <c r="H842" i="6"/>
  <c r="I842" i="6"/>
  <c r="L842" i="6"/>
  <c r="N842" i="6"/>
  <c r="Q842" i="6"/>
  <c r="R842" i="6"/>
  <c r="S842" i="6"/>
  <c r="T842" i="6"/>
  <c r="B843" i="6"/>
  <c r="C843" i="6"/>
  <c r="D843" i="6"/>
  <c r="L843" i="6" s="1"/>
  <c r="E843" i="6"/>
  <c r="F843" i="6"/>
  <c r="H843" i="6"/>
  <c r="I843" i="6"/>
  <c r="N843" i="6"/>
  <c r="R843" i="6"/>
  <c r="Q843" i="6" s="1"/>
  <c r="S843" i="6" s="1"/>
  <c r="T843" i="6"/>
  <c r="B844" i="6"/>
  <c r="C844" i="6"/>
  <c r="D844" i="6"/>
  <c r="E844" i="6"/>
  <c r="F844" i="6"/>
  <c r="H844" i="6"/>
  <c r="I844" i="6"/>
  <c r="L844" i="6"/>
  <c r="N844" i="6"/>
  <c r="Q844" i="6"/>
  <c r="R844" i="6"/>
  <c r="S844" i="6"/>
  <c r="T844" i="6"/>
  <c r="B845" i="6"/>
  <c r="C845" i="6"/>
  <c r="D845" i="6"/>
  <c r="L845" i="6" s="1"/>
  <c r="E845" i="6"/>
  <c r="F845" i="6"/>
  <c r="H845" i="6"/>
  <c r="I845" i="6"/>
  <c r="N845" i="6"/>
  <c r="R845" i="6"/>
  <c r="Q845" i="6" s="1"/>
  <c r="S845" i="6" s="1"/>
  <c r="T845" i="6"/>
  <c r="B846" i="6"/>
  <c r="C846" i="6"/>
  <c r="D846" i="6"/>
  <c r="E846" i="6"/>
  <c r="F846" i="6"/>
  <c r="H846" i="6"/>
  <c r="I846" i="6"/>
  <c r="L846" i="6"/>
  <c r="N846" i="6"/>
  <c r="Q846" i="6"/>
  <c r="R846" i="6"/>
  <c r="S846" i="6"/>
  <c r="T846" i="6"/>
  <c r="B847" i="6"/>
  <c r="C847" i="6"/>
  <c r="D847" i="6"/>
  <c r="L847" i="6" s="1"/>
  <c r="E847" i="6"/>
  <c r="F847" i="6"/>
  <c r="H847" i="6"/>
  <c r="I847" i="6"/>
  <c r="N847" i="6"/>
  <c r="R847" i="6"/>
  <c r="Q847" i="6" s="1"/>
  <c r="S847" i="6" s="1"/>
  <c r="T847" i="6"/>
  <c r="B848" i="6"/>
  <c r="C848" i="6"/>
  <c r="D848" i="6"/>
  <c r="E848" i="6"/>
  <c r="F848" i="6"/>
  <c r="H848" i="6"/>
  <c r="I848" i="6"/>
  <c r="L848" i="6"/>
  <c r="N848" i="6"/>
  <c r="Q848" i="6"/>
  <c r="R848" i="6"/>
  <c r="S848" i="6"/>
  <c r="T848" i="6"/>
  <c r="B849" i="6"/>
  <c r="C849" i="6"/>
  <c r="D849" i="6"/>
  <c r="L849" i="6" s="1"/>
  <c r="E849" i="6"/>
  <c r="F849" i="6"/>
  <c r="H849" i="6"/>
  <c r="I849" i="6"/>
  <c r="N849" i="6"/>
  <c r="R849" i="6"/>
  <c r="Q849" i="6" s="1"/>
  <c r="S849" i="6" s="1"/>
  <c r="T849" i="6"/>
  <c r="B850" i="6"/>
  <c r="C850" i="6"/>
  <c r="D850" i="6"/>
  <c r="E850" i="6"/>
  <c r="F850" i="6"/>
  <c r="H850" i="6"/>
  <c r="I850" i="6"/>
  <c r="L850" i="6"/>
  <c r="N850" i="6"/>
  <c r="Q850" i="6"/>
  <c r="R850" i="6"/>
  <c r="S850" i="6"/>
  <c r="T850" i="6"/>
  <c r="B851" i="6"/>
  <c r="C851" i="6"/>
  <c r="D851" i="6"/>
  <c r="L851" i="6" s="1"/>
  <c r="E851" i="6"/>
  <c r="F851" i="6"/>
  <c r="H851" i="6"/>
  <c r="I851" i="6"/>
  <c r="N851" i="6"/>
  <c r="R851" i="6"/>
  <c r="Q851" i="6" s="1"/>
  <c r="S851" i="6" s="1"/>
  <c r="T851" i="6"/>
  <c r="B852" i="6"/>
  <c r="C852" i="6"/>
  <c r="D852" i="6"/>
  <c r="E852" i="6"/>
  <c r="F852" i="6"/>
  <c r="H852" i="6"/>
  <c r="I852" i="6"/>
  <c r="L852" i="6"/>
  <c r="N852" i="6"/>
  <c r="Q852" i="6"/>
  <c r="R852" i="6"/>
  <c r="S852" i="6"/>
  <c r="T852" i="6"/>
  <c r="B853" i="6"/>
  <c r="C853" i="6"/>
  <c r="D853" i="6"/>
  <c r="L853" i="6" s="1"/>
  <c r="E853" i="6"/>
  <c r="F853" i="6"/>
  <c r="H853" i="6"/>
  <c r="I853" i="6"/>
  <c r="N853" i="6"/>
  <c r="R853" i="6"/>
  <c r="Q853" i="6" s="1"/>
  <c r="S853" i="6" s="1"/>
  <c r="T853" i="6"/>
  <c r="B854" i="6"/>
  <c r="C854" i="6"/>
  <c r="D854" i="6"/>
  <c r="E854" i="6"/>
  <c r="F854" i="6"/>
  <c r="H854" i="6"/>
  <c r="I854" i="6"/>
  <c r="L854" i="6"/>
  <c r="N854" i="6"/>
  <c r="Q854" i="6"/>
  <c r="R854" i="6"/>
  <c r="S854" i="6"/>
  <c r="T854" i="6"/>
  <c r="B855" i="6"/>
  <c r="C855" i="6"/>
  <c r="D855" i="6"/>
  <c r="L855" i="6" s="1"/>
  <c r="E855" i="6"/>
  <c r="F855" i="6"/>
  <c r="H855" i="6"/>
  <c r="I855" i="6"/>
  <c r="N855" i="6"/>
  <c r="R855" i="6"/>
  <c r="Q855" i="6" s="1"/>
  <c r="S855" i="6" s="1"/>
  <c r="T855" i="6"/>
  <c r="B856" i="6"/>
  <c r="C856" i="6"/>
  <c r="D856" i="6"/>
  <c r="E856" i="6"/>
  <c r="F856" i="6"/>
  <c r="H856" i="6"/>
  <c r="I856" i="6"/>
  <c r="L856" i="6"/>
  <c r="N856" i="6"/>
  <c r="Q856" i="6"/>
  <c r="R856" i="6"/>
  <c r="S856" i="6"/>
  <c r="T856" i="6"/>
  <c r="B857" i="6"/>
  <c r="C857" i="6"/>
  <c r="D857" i="6"/>
  <c r="L857" i="6" s="1"/>
  <c r="E857" i="6"/>
  <c r="F857" i="6"/>
  <c r="H857" i="6"/>
  <c r="I857" i="6"/>
  <c r="N857" i="6"/>
  <c r="R857" i="6"/>
  <c r="Q857" i="6" s="1"/>
  <c r="S857" i="6" s="1"/>
  <c r="T857" i="6"/>
  <c r="B858" i="6"/>
  <c r="C858" i="6"/>
  <c r="D858" i="6"/>
  <c r="E858" i="6"/>
  <c r="F858" i="6"/>
  <c r="H858" i="6"/>
  <c r="I858" i="6"/>
  <c r="L858" i="6"/>
  <c r="N858" i="6"/>
  <c r="Q858" i="6"/>
  <c r="R858" i="6"/>
  <c r="S858" i="6"/>
  <c r="T858" i="6"/>
  <c r="B859" i="6"/>
  <c r="C859" i="6"/>
  <c r="D859" i="6"/>
  <c r="L859" i="6" s="1"/>
  <c r="E859" i="6"/>
  <c r="F859" i="6"/>
  <c r="H859" i="6"/>
  <c r="I859" i="6"/>
  <c r="N859" i="6"/>
  <c r="R859" i="6"/>
  <c r="Q859" i="6" s="1"/>
  <c r="S859" i="6" s="1"/>
  <c r="T859" i="6"/>
  <c r="B860" i="6"/>
  <c r="C860" i="6"/>
  <c r="D860" i="6"/>
  <c r="E860" i="6"/>
  <c r="F860" i="6"/>
  <c r="H860" i="6"/>
  <c r="I860" i="6"/>
  <c r="L860" i="6"/>
  <c r="N860" i="6"/>
  <c r="Q860" i="6"/>
  <c r="R860" i="6"/>
  <c r="S860" i="6"/>
  <c r="T860" i="6"/>
  <c r="B861" i="6"/>
  <c r="C861" i="6"/>
  <c r="D861" i="6"/>
  <c r="L861" i="6" s="1"/>
  <c r="E861" i="6"/>
  <c r="F861" i="6"/>
  <c r="H861" i="6"/>
  <c r="I861" i="6"/>
  <c r="N861" i="6"/>
  <c r="R861" i="6"/>
  <c r="Q861" i="6" s="1"/>
  <c r="S861" i="6" s="1"/>
  <c r="T861" i="6"/>
  <c r="B862" i="6"/>
  <c r="C862" i="6"/>
  <c r="D862" i="6"/>
  <c r="E862" i="6"/>
  <c r="F862" i="6"/>
  <c r="H862" i="6"/>
  <c r="I862" i="6"/>
  <c r="L862" i="6"/>
  <c r="N862" i="6"/>
  <c r="Q862" i="6"/>
  <c r="R862" i="6"/>
  <c r="S862" i="6"/>
  <c r="T862" i="6"/>
  <c r="B863" i="6"/>
  <c r="C863" i="6"/>
  <c r="D863" i="6"/>
  <c r="L863" i="6" s="1"/>
  <c r="E863" i="6"/>
  <c r="F863" i="6"/>
  <c r="H863" i="6"/>
  <c r="I863" i="6"/>
  <c r="N863" i="6"/>
  <c r="R863" i="6"/>
  <c r="Q863" i="6" s="1"/>
  <c r="S863" i="6" s="1"/>
  <c r="T863" i="6"/>
  <c r="B864" i="6"/>
  <c r="C864" i="6"/>
  <c r="D864" i="6"/>
  <c r="E864" i="6"/>
  <c r="F864" i="6"/>
  <c r="H864" i="6"/>
  <c r="I864" i="6"/>
  <c r="L864" i="6"/>
  <c r="N864" i="6"/>
  <c r="Q864" i="6"/>
  <c r="R864" i="6"/>
  <c r="S864" i="6"/>
  <c r="T864" i="6"/>
  <c r="B865" i="6"/>
  <c r="C865" i="6"/>
  <c r="D865" i="6"/>
  <c r="L865" i="6" s="1"/>
  <c r="E865" i="6"/>
  <c r="F865" i="6"/>
  <c r="H865" i="6"/>
  <c r="I865" i="6"/>
  <c r="N865" i="6"/>
  <c r="R865" i="6"/>
  <c r="Q865" i="6" s="1"/>
  <c r="S865" i="6" s="1"/>
  <c r="T865" i="6"/>
  <c r="B866" i="6"/>
  <c r="C866" i="6"/>
  <c r="D866" i="6"/>
  <c r="E866" i="6"/>
  <c r="F866" i="6"/>
  <c r="H866" i="6"/>
  <c r="I866" i="6"/>
  <c r="L866" i="6"/>
  <c r="N866" i="6"/>
  <c r="Q866" i="6"/>
  <c r="R866" i="6"/>
  <c r="S866" i="6"/>
  <c r="T866" i="6"/>
  <c r="B867" i="6"/>
  <c r="C867" i="6"/>
  <c r="D867" i="6"/>
  <c r="L867" i="6" s="1"/>
  <c r="E867" i="6"/>
  <c r="F867" i="6"/>
  <c r="H867" i="6"/>
  <c r="I867" i="6"/>
  <c r="N867" i="6"/>
  <c r="R867" i="6"/>
  <c r="Q867" i="6" s="1"/>
  <c r="S867" i="6" s="1"/>
  <c r="T867" i="6"/>
  <c r="B868" i="6"/>
  <c r="C868" i="6"/>
  <c r="D868" i="6"/>
  <c r="E868" i="6"/>
  <c r="F868" i="6"/>
  <c r="H868" i="6"/>
  <c r="I868" i="6"/>
  <c r="L868" i="6"/>
  <c r="N868" i="6"/>
  <c r="Q868" i="6"/>
  <c r="R868" i="6"/>
  <c r="S868" i="6"/>
  <c r="T868" i="6"/>
  <c r="B869" i="6"/>
  <c r="C869" i="6"/>
  <c r="D869" i="6"/>
  <c r="L869" i="6" s="1"/>
  <c r="E869" i="6"/>
  <c r="F869" i="6"/>
  <c r="H869" i="6"/>
  <c r="I869" i="6"/>
  <c r="N869" i="6"/>
  <c r="R869" i="6"/>
  <c r="Q869" i="6" s="1"/>
  <c r="S869" i="6" s="1"/>
  <c r="T869" i="6"/>
  <c r="B870" i="6"/>
  <c r="C870" i="6"/>
  <c r="D870" i="6"/>
  <c r="E870" i="6"/>
  <c r="F870" i="6"/>
  <c r="H870" i="6"/>
  <c r="I870" i="6"/>
  <c r="L870" i="6"/>
  <c r="N870" i="6"/>
  <c r="Q870" i="6"/>
  <c r="R870" i="6"/>
  <c r="S870" i="6"/>
  <c r="T870" i="6"/>
  <c r="B871" i="6"/>
  <c r="C871" i="6"/>
  <c r="D871" i="6"/>
  <c r="L871" i="6" s="1"/>
  <c r="E871" i="6"/>
  <c r="F871" i="6"/>
  <c r="H871" i="6"/>
  <c r="I871" i="6"/>
  <c r="N871" i="6"/>
  <c r="R871" i="6"/>
  <c r="Q871" i="6" s="1"/>
  <c r="S871" i="6" s="1"/>
  <c r="T871" i="6"/>
  <c r="B872" i="6"/>
  <c r="C872" i="6"/>
  <c r="D872" i="6"/>
  <c r="E872" i="6"/>
  <c r="F872" i="6"/>
  <c r="H872" i="6"/>
  <c r="I872" i="6"/>
  <c r="L872" i="6"/>
  <c r="N872" i="6"/>
  <c r="Q872" i="6"/>
  <c r="R872" i="6"/>
  <c r="S872" i="6"/>
  <c r="T872" i="6"/>
  <c r="B873" i="6"/>
  <c r="C873" i="6"/>
  <c r="D873" i="6"/>
  <c r="L873" i="6" s="1"/>
  <c r="E873" i="6"/>
  <c r="F873" i="6"/>
  <c r="H873" i="6"/>
  <c r="I873" i="6"/>
  <c r="N873" i="6"/>
  <c r="R873" i="6"/>
  <c r="Q873" i="6" s="1"/>
  <c r="S873" i="6" s="1"/>
  <c r="T873" i="6"/>
  <c r="B874" i="6"/>
  <c r="C874" i="6"/>
  <c r="D874" i="6"/>
  <c r="E874" i="6"/>
  <c r="F874" i="6"/>
  <c r="H874" i="6"/>
  <c r="I874" i="6"/>
  <c r="L874" i="6"/>
  <c r="N874" i="6"/>
  <c r="Q874" i="6"/>
  <c r="R874" i="6"/>
  <c r="S874" i="6"/>
  <c r="T874" i="6"/>
  <c r="B875" i="6"/>
  <c r="C875" i="6"/>
  <c r="D875" i="6"/>
  <c r="L875" i="6" s="1"/>
  <c r="E875" i="6"/>
  <c r="F875" i="6"/>
  <c r="H875" i="6"/>
  <c r="I875" i="6"/>
  <c r="N875" i="6"/>
  <c r="R875" i="6"/>
  <c r="Q875" i="6" s="1"/>
  <c r="S875" i="6" s="1"/>
  <c r="T875" i="6"/>
  <c r="B876" i="6"/>
  <c r="C876" i="6"/>
  <c r="D876" i="6"/>
  <c r="E876" i="6"/>
  <c r="F876" i="6"/>
  <c r="H876" i="6"/>
  <c r="I876" i="6"/>
  <c r="L876" i="6"/>
  <c r="N876" i="6"/>
  <c r="Q876" i="6"/>
  <c r="R876" i="6"/>
  <c r="S876" i="6"/>
  <c r="T876" i="6"/>
  <c r="B877" i="6"/>
  <c r="C877" i="6"/>
  <c r="D877" i="6"/>
  <c r="L877" i="6" s="1"/>
  <c r="E877" i="6"/>
  <c r="F877" i="6"/>
  <c r="H877" i="6"/>
  <c r="I877" i="6"/>
  <c r="N877" i="6"/>
  <c r="R877" i="6"/>
  <c r="Q877" i="6" s="1"/>
  <c r="S877" i="6" s="1"/>
  <c r="T877" i="6"/>
  <c r="B878" i="6"/>
  <c r="C878" i="6"/>
  <c r="D878" i="6"/>
  <c r="E878" i="6"/>
  <c r="F878" i="6"/>
  <c r="H878" i="6"/>
  <c r="I878" i="6"/>
  <c r="L878" i="6"/>
  <c r="N878" i="6"/>
  <c r="Q878" i="6"/>
  <c r="R878" i="6"/>
  <c r="S878" i="6"/>
  <c r="T878" i="6"/>
  <c r="B879" i="6"/>
  <c r="C879" i="6"/>
  <c r="D879" i="6"/>
  <c r="L879" i="6" s="1"/>
  <c r="E879" i="6"/>
  <c r="F879" i="6"/>
  <c r="H879" i="6"/>
  <c r="I879" i="6"/>
  <c r="N879" i="6"/>
  <c r="R879" i="6"/>
  <c r="Q879" i="6" s="1"/>
  <c r="S879" i="6" s="1"/>
  <c r="T879" i="6"/>
  <c r="B880" i="6"/>
  <c r="C880" i="6"/>
  <c r="D880" i="6"/>
  <c r="E880" i="6"/>
  <c r="F880" i="6"/>
  <c r="H880" i="6"/>
  <c r="I880" i="6"/>
  <c r="L880" i="6"/>
  <c r="N880" i="6"/>
  <c r="Q880" i="6"/>
  <c r="R880" i="6"/>
  <c r="S880" i="6"/>
  <c r="T880" i="6"/>
  <c r="B881" i="6"/>
  <c r="C881" i="6"/>
  <c r="D881" i="6"/>
  <c r="L881" i="6" s="1"/>
  <c r="E881" i="6"/>
  <c r="F881" i="6"/>
  <c r="H881" i="6"/>
  <c r="I881" i="6"/>
  <c r="N881" i="6"/>
  <c r="R881" i="6"/>
  <c r="Q881" i="6" s="1"/>
  <c r="S881" i="6" s="1"/>
  <c r="T881" i="6"/>
  <c r="B882" i="6"/>
  <c r="C882" i="6"/>
  <c r="D882" i="6"/>
  <c r="E882" i="6"/>
  <c r="F882" i="6"/>
  <c r="H882" i="6"/>
  <c r="I882" i="6"/>
  <c r="L882" i="6"/>
  <c r="N882" i="6"/>
  <c r="Q882" i="6"/>
  <c r="R882" i="6"/>
  <c r="S882" i="6"/>
  <c r="T882" i="6"/>
  <c r="B883" i="6"/>
  <c r="C883" i="6"/>
  <c r="D883" i="6"/>
  <c r="L883" i="6" s="1"/>
  <c r="E883" i="6"/>
  <c r="F883" i="6"/>
  <c r="H883" i="6"/>
  <c r="I883" i="6"/>
  <c r="N883" i="6"/>
  <c r="R883" i="6"/>
  <c r="Q883" i="6" s="1"/>
  <c r="S883" i="6" s="1"/>
  <c r="T883" i="6"/>
  <c r="B884" i="6"/>
  <c r="C884" i="6"/>
  <c r="D884" i="6"/>
  <c r="E884" i="6"/>
  <c r="F884" i="6"/>
  <c r="H884" i="6"/>
  <c r="I884" i="6"/>
  <c r="L884" i="6"/>
  <c r="N884" i="6"/>
  <c r="Q884" i="6"/>
  <c r="R884" i="6"/>
  <c r="S884" i="6"/>
  <c r="T884" i="6"/>
  <c r="B885" i="6"/>
  <c r="C885" i="6"/>
  <c r="D885" i="6"/>
  <c r="L885" i="6" s="1"/>
  <c r="E885" i="6"/>
  <c r="F885" i="6"/>
  <c r="H885" i="6"/>
  <c r="I885" i="6"/>
  <c r="N885" i="6"/>
  <c r="R885" i="6"/>
  <c r="Q885" i="6" s="1"/>
  <c r="S885" i="6" s="1"/>
  <c r="T885" i="6"/>
  <c r="B886" i="6"/>
  <c r="C886" i="6"/>
  <c r="D886" i="6"/>
  <c r="E886" i="6"/>
  <c r="F886" i="6"/>
  <c r="H886" i="6"/>
  <c r="I886" i="6"/>
  <c r="L886" i="6"/>
  <c r="N886" i="6"/>
  <c r="Q886" i="6"/>
  <c r="R886" i="6"/>
  <c r="S886" i="6"/>
  <c r="T886" i="6"/>
  <c r="B887" i="6"/>
  <c r="C887" i="6"/>
  <c r="D887" i="6"/>
  <c r="L887" i="6" s="1"/>
  <c r="E887" i="6"/>
  <c r="F887" i="6"/>
  <c r="H887" i="6"/>
  <c r="I887" i="6"/>
  <c r="N887" i="6"/>
  <c r="R887" i="6"/>
  <c r="Q887" i="6" s="1"/>
  <c r="S887" i="6" s="1"/>
  <c r="T887" i="6"/>
  <c r="B888" i="6"/>
  <c r="C888" i="6"/>
  <c r="D888" i="6"/>
  <c r="E888" i="6"/>
  <c r="F888" i="6"/>
  <c r="H888" i="6"/>
  <c r="I888" i="6"/>
  <c r="L888" i="6"/>
  <c r="N888" i="6"/>
  <c r="Q888" i="6"/>
  <c r="R888" i="6"/>
  <c r="S888" i="6"/>
  <c r="T888" i="6"/>
  <c r="B889" i="6"/>
  <c r="C889" i="6"/>
  <c r="D889" i="6"/>
  <c r="L889" i="6" s="1"/>
  <c r="E889" i="6"/>
  <c r="F889" i="6"/>
  <c r="H889" i="6"/>
  <c r="I889" i="6"/>
  <c r="N889" i="6"/>
  <c r="R889" i="6"/>
  <c r="Q889" i="6" s="1"/>
  <c r="S889" i="6" s="1"/>
  <c r="T889" i="6"/>
  <c r="B890" i="6"/>
  <c r="C890" i="6"/>
  <c r="D890" i="6"/>
  <c r="E890" i="6"/>
  <c r="F890" i="6"/>
  <c r="H890" i="6"/>
  <c r="I890" i="6"/>
  <c r="L890" i="6"/>
  <c r="N890" i="6"/>
  <c r="Q890" i="6"/>
  <c r="R890" i="6"/>
  <c r="S890" i="6"/>
  <c r="T890" i="6"/>
  <c r="B891" i="6"/>
  <c r="C891" i="6"/>
  <c r="D891" i="6"/>
  <c r="L891" i="6" s="1"/>
  <c r="E891" i="6"/>
  <c r="F891" i="6"/>
  <c r="H891" i="6"/>
  <c r="I891" i="6"/>
  <c r="N891" i="6"/>
  <c r="R891" i="6"/>
  <c r="Q891" i="6" s="1"/>
  <c r="S891" i="6" s="1"/>
  <c r="T891" i="6"/>
  <c r="B892" i="6"/>
  <c r="C892" i="6"/>
  <c r="D892" i="6"/>
  <c r="E892" i="6"/>
  <c r="F892" i="6"/>
  <c r="H892" i="6"/>
  <c r="I892" i="6"/>
  <c r="L892" i="6"/>
  <c r="N892" i="6"/>
  <c r="Q892" i="6"/>
  <c r="R892" i="6"/>
  <c r="S892" i="6"/>
  <c r="T892" i="6"/>
  <c r="B893" i="6"/>
  <c r="C893" i="6"/>
  <c r="D893" i="6"/>
  <c r="L893" i="6" s="1"/>
  <c r="E893" i="6"/>
  <c r="F893" i="6"/>
  <c r="H893" i="6"/>
  <c r="I893" i="6"/>
  <c r="N893" i="6"/>
  <c r="R893" i="6"/>
  <c r="Q893" i="6" s="1"/>
  <c r="S893" i="6" s="1"/>
  <c r="T893" i="6"/>
  <c r="B894" i="6"/>
  <c r="C894" i="6"/>
  <c r="D894" i="6"/>
  <c r="E894" i="6"/>
  <c r="F894" i="6"/>
  <c r="H894" i="6"/>
  <c r="I894" i="6"/>
  <c r="L894" i="6"/>
  <c r="N894" i="6"/>
  <c r="Q894" i="6"/>
  <c r="R894" i="6"/>
  <c r="S894" i="6"/>
  <c r="T894" i="6"/>
  <c r="B895" i="6"/>
  <c r="C895" i="6"/>
  <c r="D895" i="6"/>
  <c r="L895" i="6" s="1"/>
  <c r="E895" i="6"/>
  <c r="F895" i="6"/>
  <c r="H895" i="6"/>
  <c r="I895" i="6"/>
  <c r="N895" i="6"/>
  <c r="R895" i="6"/>
  <c r="Q895" i="6" s="1"/>
  <c r="S895" i="6" s="1"/>
  <c r="T895" i="6"/>
  <c r="B896" i="6"/>
  <c r="C896" i="6"/>
  <c r="D896" i="6"/>
  <c r="E896" i="6"/>
  <c r="F896" i="6"/>
  <c r="H896" i="6"/>
  <c r="I896" i="6"/>
  <c r="L896" i="6"/>
  <c r="N896" i="6"/>
  <c r="Q896" i="6"/>
  <c r="R896" i="6"/>
  <c r="S896" i="6"/>
  <c r="T896" i="6"/>
  <c r="B897" i="6"/>
  <c r="C897" i="6"/>
  <c r="D897" i="6"/>
  <c r="L897" i="6" s="1"/>
  <c r="E897" i="6"/>
  <c r="F897" i="6"/>
  <c r="H897" i="6"/>
  <c r="I897" i="6"/>
  <c r="N897" i="6"/>
  <c r="R897" i="6"/>
  <c r="Q897" i="6" s="1"/>
  <c r="S897" i="6" s="1"/>
  <c r="T897" i="6"/>
  <c r="B898" i="6"/>
  <c r="C898" i="6"/>
  <c r="D898" i="6"/>
  <c r="E898" i="6"/>
  <c r="F898" i="6"/>
  <c r="H898" i="6"/>
  <c r="I898" i="6"/>
  <c r="L898" i="6"/>
  <c r="N898" i="6"/>
  <c r="Q898" i="6"/>
  <c r="R898" i="6"/>
  <c r="S898" i="6"/>
  <c r="T898" i="6"/>
  <c r="B899" i="6"/>
  <c r="C899" i="6"/>
  <c r="D899" i="6"/>
  <c r="L899" i="6" s="1"/>
  <c r="E899" i="6"/>
  <c r="F899" i="6"/>
  <c r="H899" i="6"/>
  <c r="I899" i="6"/>
  <c r="N899" i="6"/>
  <c r="R899" i="6"/>
  <c r="Q899" i="6" s="1"/>
  <c r="S899" i="6" s="1"/>
  <c r="T899" i="6"/>
  <c r="B900" i="6"/>
  <c r="C900" i="6"/>
  <c r="D900" i="6"/>
  <c r="E900" i="6"/>
  <c r="F900" i="6"/>
  <c r="H900" i="6"/>
  <c r="I900" i="6"/>
  <c r="L900" i="6"/>
  <c r="N900" i="6"/>
  <c r="Q900" i="6"/>
  <c r="R900" i="6"/>
  <c r="S900" i="6"/>
  <c r="T900" i="6"/>
  <c r="B901" i="6"/>
  <c r="C901" i="6"/>
  <c r="D901" i="6"/>
  <c r="L901" i="6" s="1"/>
  <c r="E901" i="6"/>
  <c r="F901" i="6"/>
  <c r="H901" i="6"/>
  <c r="I901" i="6"/>
  <c r="N901" i="6"/>
  <c r="R901" i="6"/>
  <c r="Q901" i="6" s="1"/>
  <c r="S901" i="6" s="1"/>
  <c r="T901" i="6"/>
  <c r="B902" i="6"/>
  <c r="C902" i="6"/>
  <c r="D902" i="6"/>
  <c r="E902" i="6"/>
  <c r="F902" i="6"/>
  <c r="H902" i="6"/>
  <c r="I902" i="6"/>
  <c r="L902" i="6"/>
  <c r="N902" i="6"/>
  <c r="Q902" i="6"/>
  <c r="R902" i="6"/>
  <c r="S902" i="6"/>
  <c r="T902" i="6"/>
  <c r="B903" i="6"/>
  <c r="C903" i="6"/>
  <c r="D903" i="6"/>
  <c r="L903" i="6" s="1"/>
  <c r="E903" i="6"/>
  <c r="F903" i="6"/>
  <c r="H903" i="6"/>
  <c r="I903" i="6"/>
  <c r="N903" i="6"/>
  <c r="R903" i="6"/>
  <c r="Q903" i="6" s="1"/>
  <c r="S903" i="6" s="1"/>
  <c r="T903" i="6"/>
  <c r="B904" i="6"/>
  <c r="C904" i="6"/>
  <c r="D904" i="6"/>
  <c r="E904" i="6"/>
  <c r="F904" i="6"/>
  <c r="H904" i="6"/>
  <c r="I904" i="6"/>
  <c r="L904" i="6"/>
  <c r="N904" i="6"/>
  <c r="Q904" i="6"/>
  <c r="R904" i="6"/>
  <c r="S904" i="6"/>
  <c r="T904" i="6"/>
  <c r="B905" i="6"/>
  <c r="C905" i="6"/>
  <c r="D905" i="6"/>
  <c r="L905" i="6" s="1"/>
  <c r="E905" i="6"/>
  <c r="F905" i="6"/>
  <c r="H905" i="6"/>
  <c r="I905" i="6"/>
  <c r="N905" i="6"/>
  <c r="R905" i="6"/>
  <c r="Q905" i="6" s="1"/>
  <c r="S905" i="6" s="1"/>
  <c r="T905" i="6"/>
  <c r="B906" i="6"/>
  <c r="C906" i="6"/>
  <c r="D906" i="6"/>
  <c r="E906" i="6"/>
  <c r="F906" i="6"/>
  <c r="H906" i="6"/>
  <c r="I906" i="6"/>
  <c r="L906" i="6"/>
  <c r="N906" i="6"/>
  <c r="Q906" i="6"/>
  <c r="R906" i="6"/>
  <c r="S906" i="6"/>
  <c r="T906" i="6"/>
  <c r="B907" i="6"/>
  <c r="C907" i="6"/>
  <c r="D907" i="6"/>
  <c r="L907" i="6" s="1"/>
  <c r="E907" i="6"/>
  <c r="F907" i="6"/>
  <c r="H907" i="6"/>
  <c r="I907" i="6"/>
  <c r="N907" i="6"/>
  <c r="R907" i="6"/>
  <c r="Q907" i="6" s="1"/>
  <c r="S907" i="6" s="1"/>
  <c r="T907" i="6"/>
  <c r="B908" i="6"/>
  <c r="C908" i="6"/>
  <c r="D908" i="6"/>
  <c r="E908" i="6"/>
  <c r="F908" i="6"/>
  <c r="H908" i="6"/>
  <c r="I908" i="6"/>
  <c r="L908" i="6"/>
  <c r="N908" i="6"/>
  <c r="Q908" i="6"/>
  <c r="R908" i="6"/>
  <c r="S908" i="6"/>
  <c r="T908" i="6"/>
  <c r="B909" i="6"/>
  <c r="C909" i="6"/>
  <c r="D909" i="6"/>
  <c r="L909" i="6" s="1"/>
  <c r="E909" i="6"/>
  <c r="F909" i="6"/>
  <c r="H909" i="6"/>
  <c r="I909" i="6"/>
  <c r="N909" i="6"/>
  <c r="R909" i="6"/>
  <c r="Q909" i="6" s="1"/>
  <c r="S909" i="6" s="1"/>
  <c r="T909" i="6"/>
  <c r="B910" i="6"/>
  <c r="C910" i="6"/>
  <c r="D910" i="6"/>
  <c r="E910" i="6"/>
  <c r="F910" i="6"/>
  <c r="H910" i="6"/>
  <c r="I910" i="6"/>
  <c r="L910" i="6"/>
  <c r="N910" i="6"/>
  <c r="Q910" i="6"/>
  <c r="R910" i="6"/>
  <c r="S910" i="6"/>
  <c r="T910" i="6"/>
  <c r="B911" i="6"/>
  <c r="C911" i="6"/>
  <c r="D911" i="6"/>
  <c r="L911" i="6" s="1"/>
  <c r="E911" i="6"/>
  <c r="F911" i="6"/>
  <c r="H911" i="6"/>
  <c r="I911" i="6"/>
  <c r="N911" i="6"/>
  <c r="R911" i="6"/>
  <c r="Q911" i="6" s="1"/>
  <c r="S911" i="6" s="1"/>
  <c r="T911" i="6"/>
  <c r="B912" i="6"/>
  <c r="C912" i="6"/>
  <c r="D912" i="6"/>
  <c r="E912" i="6"/>
  <c r="F912" i="6"/>
  <c r="H912" i="6"/>
  <c r="I912" i="6"/>
  <c r="L912" i="6"/>
  <c r="N912" i="6"/>
  <c r="Q912" i="6"/>
  <c r="R912" i="6"/>
  <c r="S912" i="6"/>
  <c r="T912" i="6"/>
  <c r="B913" i="6"/>
  <c r="C913" i="6"/>
  <c r="D913" i="6"/>
  <c r="L913" i="6" s="1"/>
  <c r="E913" i="6"/>
  <c r="F913" i="6"/>
  <c r="H913" i="6"/>
  <c r="I913" i="6"/>
  <c r="N913" i="6"/>
  <c r="R913" i="6"/>
  <c r="Q913" i="6" s="1"/>
  <c r="S913" i="6" s="1"/>
  <c r="T913" i="6"/>
  <c r="B914" i="6"/>
  <c r="C914" i="6"/>
  <c r="D914" i="6"/>
  <c r="E914" i="6"/>
  <c r="F914" i="6"/>
  <c r="H914" i="6"/>
  <c r="I914" i="6"/>
  <c r="L914" i="6"/>
  <c r="N914" i="6"/>
  <c r="Q914" i="6"/>
  <c r="R914" i="6"/>
  <c r="S914" i="6"/>
  <c r="T914" i="6"/>
  <c r="B915" i="6"/>
  <c r="C915" i="6"/>
  <c r="D915" i="6"/>
  <c r="L915" i="6" s="1"/>
  <c r="E915" i="6"/>
  <c r="F915" i="6"/>
  <c r="H915" i="6"/>
  <c r="I915" i="6"/>
  <c r="N915" i="6"/>
  <c r="R915" i="6"/>
  <c r="Q915" i="6" s="1"/>
  <c r="S915" i="6" s="1"/>
  <c r="T915" i="6"/>
  <c r="B916" i="6"/>
  <c r="C916" i="6"/>
  <c r="D916" i="6"/>
  <c r="E916" i="6"/>
  <c r="F916" i="6"/>
  <c r="H916" i="6"/>
  <c r="I916" i="6"/>
  <c r="L916" i="6"/>
  <c r="N916" i="6"/>
  <c r="Q916" i="6"/>
  <c r="R916" i="6"/>
  <c r="S916" i="6"/>
  <c r="T916" i="6"/>
  <c r="B917" i="6"/>
  <c r="C917" i="6"/>
  <c r="D917" i="6"/>
  <c r="L917" i="6" s="1"/>
  <c r="E917" i="6"/>
  <c r="F917" i="6"/>
  <c r="H917" i="6"/>
  <c r="I917" i="6"/>
  <c r="N917" i="6"/>
  <c r="R917" i="6"/>
  <c r="Q917" i="6" s="1"/>
  <c r="S917" i="6" s="1"/>
  <c r="T917" i="6"/>
  <c r="B918" i="6"/>
  <c r="C918" i="6"/>
  <c r="D918" i="6"/>
  <c r="E918" i="6"/>
  <c r="F918" i="6"/>
  <c r="H918" i="6"/>
  <c r="I918" i="6"/>
  <c r="L918" i="6"/>
  <c r="N918" i="6"/>
  <c r="Q918" i="6"/>
  <c r="R918" i="6"/>
  <c r="S918" i="6"/>
  <c r="T918" i="6"/>
  <c r="B919" i="6"/>
  <c r="C919" i="6"/>
  <c r="D919" i="6"/>
  <c r="L919" i="6" s="1"/>
  <c r="E919" i="6"/>
  <c r="F919" i="6"/>
  <c r="H919" i="6"/>
  <c r="I919" i="6"/>
  <c r="N919" i="6"/>
  <c r="R919" i="6"/>
  <c r="Q919" i="6" s="1"/>
  <c r="S919" i="6" s="1"/>
  <c r="T919" i="6"/>
  <c r="B920" i="6"/>
  <c r="C920" i="6"/>
  <c r="D920" i="6"/>
  <c r="E920" i="6"/>
  <c r="F920" i="6"/>
  <c r="H920" i="6"/>
  <c r="I920" i="6"/>
  <c r="L920" i="6"/>
  <c r="N920" i="6"/>
  <c r="Q920" i="6"/>
  <c r="R920" i="6"/>
  <c r="S920" i="6"/>
  <c r="T920" i="6"/>
  <c r="B921" i="6"/>
  <c r="C921" i="6"/>
  <c r="D921" i="6"/>
  <c r="L921" i="6" s="1"/>
  <c r="E921" i="6"/>
  <c r="F921" i="6"/>
  <c r="H921" i="6"/>
  <c r="I921" i="6"/>
  <c r="N921" i="6"/>
  <c r="R921" i="6"/>
  <c r="Q921" i="6" s="1"/>
  <c r="S921" i="6" s="1"/>
  <c r="T921" i="6"/>
  <c r="B922" i="6"/>
  <c r="C922" i="6"/>
  <c r="D922" i="6"/>
  <c r="E922" i="6"/>
  <c r="F922" i="6"/>
  <c r="H922" i="6"/>
  <c r="I922" i="6"/>
  <c r="L922" i="6"/>
  <c r="N922" i="6"/>
  <c r="Q922" i="6"/>
  <c r="R922" i="6"/>
  <c r="S922" i="6"/>
  <c r="T922" i="6"/>
  <c r="B923" i="6"/>
  <c r="C923" i="6"/>
  <c r="D923" i="6"/>
  <c r="L923" i="6" s="1"/>
  <c r="E923" i="6"/>
  <c r="F923" i="6"/>
  <c r="H923" i="6"/>
  <c r="I923" i="6"/>
  <c r="N923" i="6"/>
  <c r="R923" i="6"/>
  <c r="Q923" i="6" s="1"/>
  <c r="S923" i="6" s="1"/>
  <c r="T923" i="6"/>
  <c r="B924" i="6"/>
  <c r="C924" i="6"/>
  <c r="D924" i="6"/>
  <c r="E924" i="6"/>
  <c r="F924" i="6"/>
  <c r="H924" i="6"/>
  <c r="I924" i="6"/>
  <c r="L924" i="6"/>
  <c r="N924" i="6"/>
  <c r="Q924" i="6"/>
  <c r="R924" i="6"/>
  <c r="S924" i="6"/>
  <c r="T924" i="6"/>
  <c r="B925" i="6"/>
  <c r="C925" i="6"/>
  <c r="D925" i="6"/>
  <c r="L925" i="6" s="1"/>
  <c r="E925" i="6"/>
  <c r="F925" i="6"/>
  <c r="H925" i="6"/>
  <c r="I925" i="6"/>
  <c r="N925" i="6"/>
  <c r="R925" i="6"/>
  <c r="Q925" i="6" s="1"/>
  <c r="S925" i="6" s="1"/>
  <c r="T925" i="6"/>
  <c r="B926" i="6"/>
  <c r="C926" i="6"/>
  <c r="D926" i="6"/>
  <c r="E926" i="6"/>
  <c r="F926" i="6"/>
  <c r="H926" i="6"/>
  <c r="I926" i="6"/>
  <c r="L926" i="6"/>
  <c r="N926" i="6"/>
  <c r="Q926" i="6"/>
  <c r="R926" i="6"/>
  <c r="S926" i="6"/>
  <c r="T926" i="6"/>
  <c r="B927" i="6"/>
  <c r="C927" i="6"/>
  <c r="D927" i="6"/>
  <c r="L927" i="6" s="1"/>
  <c r="E927" i="6"/>
  <c r="F927" i="6"/>
  <c r="H927" i="6"/>
  <c r="I927" i="6"/>
  <c r="N927" i="6"/>
  <c r="R927" i="6"/>
  <c r="Q927" i="6" s="1"/>
  <c r="S927" i="6" s="1"/>
  <c r="T927" i="6"/>
  <c r="B928" i="6"/>
  <c r="C928" i="6"/>
  <c r="D928" i="6"/>
  <c r="E928" i="6"/>
  <c r="F928" i="6"/>
  <c r="H928" i="6"/>
  <c r="I928" i="6"/>
  <c r="L928" i="6"/>
  <c r="N928" i="6"/>
  <c r="Q928" i="6"/>
  <c r="R928" i="6"/>
  <c r="S928" i="6"/>
  <c r="T928" i="6"/>
  <c r="B929" i="6"/>
  <c r="C929" i="6"/>
  <c r="D929" i="6"/>
  <c r="L929" i="6" s="1"/>
  <c r="E929" i="6"/>
  <c r="F929" i="6"/>
  <c r="H929" i="6"/>
  <c r="I929" i="6"/>
  <c r="N929" i="6"/>
  <c r="R929" i="6"/>
  <c r="Q929" i="6" s="1"/>
  <c r="S929" i="6" s="1"/>
  <c r="T929" i="6"/>
  <c r="B930" i="6"/>
  <c r="C930" i="6"/>
  <c r="D930" i="6"/>
  <c r="E930" i="6"/>
  <c r="F930" i="6"/>
  <c r="H930" i="6"/>
  <c r="I930" i="6"/>
  <c r="L930" i="6"/>
  <c r="N930" i="6"/>
  <c r="Q930" i="6"/>
  <c r="R930" i="6"/>
  <c r="S930" i="6"/>
  <c r="T930" i="6"/>
  <c r="B931" i="6"/>
  <c r="C931" i="6"/>
  <c r="D931" i="6"/>
  <c r="L931" i="6" s="1"/>
  <c r="E931" i="6"/>
  <c r="F931" i="6"/>
  <c r="H931" i="6"/>
  <c r="I931" i="6"/>
  <c r="N931" i="6"/>
  <c r="R931" i="6"/>
  <c r="Q931" i="6" s="1"/>
  <c r="S931" i="6" s="1"/>
  <c r="T931" i="6"/>
  <c r="B932" i="6"/>
  <c r="C932" i="6"/>
  <c r="D932" i="6"/>
  <c r="E932" i="6"/>
  <c r="F932" i="6"/>
  <c r="H932" i="6"/>
  <c r="I932" i="6"/>
  <c r="L932" i="6"/>
  <c r="N932" i="6"/>
  <c r="Q932" i="6"/>
  <c r="R932" i="6"/>
  <c r="S932" i="6"/>
  <c r="T932" i="6"/>
  <c r="B933" i="6"/>
  <c r="C933" i="6"/>
  <c r="D933" i="6"/>
  <c r="L933" i="6" s="1"/>
  <c r="E933" i="6"/>
  <c r="F933" i="6"/>
  <c r="H933" i="6"/>
  <c r="I933" i="6"/>
  <c r="N933" i="6"/>
  <c r="R933" i="6"/>
  <c r="Q933" i="6" s="1"/>
  <c r="S933" i="6" s="1"/>
  <c r="T933" i="6"/>
  <c r="B934" i="6"/>
  <c r="C934" i="6"/>
  <c r="D934" i="6"/>
  <c r="E934" i="6"/>
  <c r="F934" i="6"/>
  <c r="H934" i="6"/>
  <c r="I934" i="6"/>
  <c r="L934" i="6"/>
  <c r="N934" i="6"/>
  <c r="Q934" i="6"/>
  <c r="R934" i="6"/>
  <c r="S934" i="6"/>
  <c r="T934" i="6"/>
  <c r="B935" i="6"/>
  <c r="C935" i="6"/>
  <c r="D935" i="6"/>
  <c r="L935" i="6" s="1"/>
  <c r="E935" i="6"/>
  <c r="F935" i="6"/>
  <c r="H935" i="6"/>
  <c r="I935" i="6"/>
  <c r="N935" i="6"/>
  <c r="R935" i="6"/>
  <c r="Q935" i="6" s="1"/>
  <c r="S935" i="6" s="1"/>
  <c r="T935" i="6"/>
  <c r="B936" i="6"/>
  <c r="C936" i="6"/>
  <c r="D936" i="6"/>
  <c r="E936" i="6"/>
  <c r="F936" i="6"/>
  <c r="H936" i="6"/>
  <c r="I936" i="6"/>
  <c r="L936" i="6"/>
  <c r="N936" i="6"/>
  <c r="Q936" i="6"/>
  <c r="R936" i="6"/>
  <c r="S936" i="6"/>
  <c r="T936" i="6"/>
  <c r="B937" i="6"/>
  <c r="C937" i="6"/>
  <c r="D937" i="6"/>
  <c r="L937" i="6" s="1"/>
  <c r="E937" i="6"/>
  <c r="F937" i="6"/>
  <c r="H937" i="6"/>
  <c r="I937" i="6"/>
  <c r="N937" i="6"/>
  <c r="R937" i="6"/>
  <c r="Q937" i="6" s="1"/>
  <c r="S937" i="6" s="1"/>
  <c r="T937" i="6"/>
  <c r="B938" i="6"/>
  <c r="C938" i="6"/>
  <c r="D938" i="6"/>
  <c r="E938" i="6"/>
  <c r="F938" i="6"/>
  <c r="H938" i="6"/>
  <c r="I938" i="6"/>
  <c r="L938" i="6"/>
  <c r="N938" i="6"/>
  <c r="Q938" i="6"/>
  <c r="R938" i="6"/>
  <c r="S938" i="6"/>
  <c r="T938" i="6"/>
  <c r="B939" i="6"/>
  <c r="C939" i="6"/>
  <c r="D939" i="6"/>
  <c r="L939" i="6" s="1"/>
  <c r="E939" i="6"/>
  <c r="F939" i="6"/>
  <c r="H939" i="6"/>
  <c r="I939" i="6"/>
  <c r="N939" i="6"/>
  <c r="R939" i="6"/>
  <c r="Q939" i="6" s="1"/>
  <c r="S939" i="6" s="1"/>
  <c r="T939" i="6"/>
  <c r="B940" i="6"/>
  <c r="C940" i="6"/>
  <c r="D940" i="6"/>
  <c r="E940" i="6"/>
  <c r="F940" i="6"/>
  <c r="H940" i="6"/>
  <c r="I940" i="6"/>
  <c r="L940" i="6"/>
  <c r="N940" i="6"/>
  <c r="Q940" i="6"/>
  <c r="R940" i="6"/>
  <c r="S940" i="6"/>
  <c r="T940" i="6"/>
  <c r="B941" i="6"/>
  <c r="C941" i="6"/>
  <c r="D941" i="6"/>
  <c r="L941" i="6" s="1"/>
  <c r="E941" i="6"/>
  <c r="F941" i="6"/>
  <c r="H941" i="6"/>
  <c r="I941" i="6"/>
  <c r="N941" i="6"/>
  <c r="R941" i="6"/>
  <c r="Q941" i="6" s="1"/>
  <c r="S941" i="6" s="1"/>
  <c r="T941" i="6"/>
  <c r="B942" i="6"/>
  <c r="C942" i="6"/>
  <c r="D942" i="6"/>
  <c r="E942" i="6"/>
  <c r="F942" i="6"/>
  <c r="H942" i="6"/>
  <c r="I942" i="6"/>
  <c r="L942" i="6"/>
  <c r="N942" i="6"/>
  <c r="Q942" i="6"/>
  <c r="R942" i="6"/>
  <c r="S942" i="6"/>
  <c r="T942" i="6"/>
  <c r="B943" i="6"/>
  <c r="C943" i="6"/>
  <c r="D943" i="6"/>
  <c r="L943" i="6" s="1"/>
  <c r="E943" i="6"/>
  <c r="F943" i="6"/>
  <c r="H943" i="6"/>
  <c r="I943" i="6"/>
  <c r="N943" i="6"/>
  <c r="R943" i="6"/>
  <c r="Q943" i="6" s="1"/>
  <c r="S943" i="6" s="1"/>
  <c r="T943" i="6"/>
  <c r="B944" i="6"/>
  <c r="C944" i="6"/>
  <c r="D944" i="6"/>
  <c r="E944" i="6"/>
  <c r="F944" i="6"/>
  <c r="H944" i="6"/>
  <c r="I944" i="6"/>
  <c r="L944" i="6"/>
  <c r="N944" i="6"/>
  <c r="Q944" i="6"/>
  <c r="R944" i="6"/>
  <c r="S944" i="6"/>
  <c r="T944" i="6"/>
  <c r="B945" i="6"/>
  <c r="C945" i="6"/>
  <c r="D945" i="6"/>
  <c r="L945" i="6" s="1"/>
  <c r="E945" i="6"/>
  <c r="F945" i="6"/>
  <c r="H945" i="6"/>
  <c r="I945" i="6"/>
  <c r="N945" i="6"/>
  <c r="R945" i="6"/>
  <c r="Q945" i="6" s="1"/>
  <c r="S945" i="6" s="1"/>
  <c r="T945" i="6"/>
  <c r="B946" i="6"/>
  <c r="C946" i="6"/>
  <c r="D946" i="6"/>
  <c r="E946" i="6"/>
  <c r="F946" i="6"/>
  <c r="H946" i="6"/>
  <c r="I946" i="6"/>
  <c r="L946" i="6"/>
  <c r="N946" i="6"/>
  <c r="Q946" i="6"/>
  <c r="R946" i="6"/>
  <c r="S946" i="6"/>
  <c r="T946" i="6"/>
  <c r="B947" i="6"/>
  <c r="C947" i="6"/>
  <c r="D947" i="6"/>
  <c r="L947" i="6" s="1"/>
  <c r="E947" i="6"/>
  <c r="F947" i="6"/>
  <c r="H947" i="6"/>
  <c r="I947" i="6"/>
  <c r="N947" i="6"/>
  <c r="R947" i="6"/>
  <c r="Q947" i="6" s="1"/>
  <c r="S947" i="6" s="1"/>
  <c r="T947" i="6"/>
  <c r="B948" i="6"/>
  <c r="C948" i="6"/>
  <c r="D948" i="6"/>
  <c r="E948" i="6"/>
  <c r="F948" i="6"/>
  <c r="H948" i="6"/>
  <c r="I948" i="6"/>
  <c r="L948" i="6"/>
  <c r="N948" i="6"/>
  <c r="Q948" i="6"/>
  <c r="R948" i="6"/>
  <c r="S948" i="6"/>
  <c r="T948" i="6"/>
  <c r="B949" i="6"/>
  <c r="C949" i="6"/>
  <c r="D949" i="6"/>
  <c r="L949" i="6" s="1"/>
  <c r="E949" i="6"/>
  <c r="F949" i="6"/>
  <c r="H949" i="6"/>
  <c r="I949" i="6"/>
  <c r="N949" i="6"/>
  <c r="R949" i="6"/>
  <c r="Q949" i="6" s="1"/>
  <c r="S949" i="6" s="1"/>
  <c r="T949" i="6"/>
  <c r="B950" i="6"/>
  <c r="C950" i="6"/>
  <c r="D950" i="6"/>
  <c r="E950" i="6"/>
  <c r="F950" i="6"/>
  <c r="H950" i="6"/>
  <c r="I950" i="6"/>
  <c r="L950" i="6"/>
  <c r="N950" i="6"/>
  <c r="Q950" i="6"/>
  <c r="R950" i="6"/>
  <c r="S950" i="6"/>
  <c r="T950" i="6"/>
  <c r="B951" i="6"/>
  <c r="C951" i="6"/>
  <c r="D951" i="6"/>
  <c r="L951" i="6" s="1"/>
  <c r="E951" i="6"/>
  <c r="F951" i="6"/>
  <c r="H951" i="6"/>
  <c r="I951" i="6"/>
  <c r="N951" i="6"/>
  <c r="R951" i="6"/>
  <c r="Q951" i="6" s="1"/>
  <c r="S951" i="6" s="1"/>
  <c r="T951" i="6"/>
  <c r="B952" i="6"/>
  <c r="C952" i="6"/>
  <c r="D952" i="6"/>
  <c r="E952" i="6"/>
  <c r="F952" i="6"/>
  <c r="H952" i="6"/>
  <c r="I952" i="6"/>
  <c r="L952" i="6"/>
  <c r="N952" i="6"/>
  <c r="Q952" i="6"/>
  <c r="R952" i="6"/>
  <c r="S952" i="6"/>
  <c r="T952" i="6"/>
  <c r="B953" i="6"/>
  <c r="C953" i="6"/>
  <c r="D953" i="6"/>
  <c r="L953" i="6" s="1"/>
  <c r="E953" i="6"/>
  <c r="F953" i="6"/>
  <c r="H953" i="6"/>
  <c r="I953" i="6"/>
  <c r="N953" i="6"/>
  <c r="R953" i="6"/>
  <c r="Q953" i="6" s="1"/>
  <c r="S953" i="6" s="1"/>
  <c r="T953" i="6"/>
  <c r="B954" i="6"/>
  <c r="C954" i="6"/>
  <c r="D954" i="6"/>
  <c r="E954" i="6"/>
  <c r="F954" i="6"/>
  <c r="H954" i="6"/>
  <c r="I954" i="6"/>
  <c r="L954" i="6"/>
  <c r="N954" i="6"/>
  <c r="Q954" i="6"/>
  <c r="R954" i="6"/>
  <c r="S954" i="6"/>
  <c r="T954" i="6"/>
  <c r="B955" i="6"/>
  <c r="C955" i="6"/>
  <c r="D955" i="6"/>
  <c r="L955" i="6" s="1"/>
  <c r="E955" i="6"/>
  <c r="F955" i="6"/>
  <c r="H955" i="6"/>
  <c r="I955" i="6"/>
  <c r="N955" i="6"/>
  <c r="R955" i="6"/>
  <c r="Q955" i="6" s="1"/>
  <c r="S955" i="6" s="1"/>
  <c r="T955" i="6"/>
  <c r="B956" i="6"/>
  <c r="C956" i="6"/>
  <c r="D956" i="6"/>
  <c r="E956" i="6"/>
  <c r="F956" i="6"/>
  <c r="H956" i="6"/>
  <c r="I956" i="6"/>
  <c r="L956" i="6"/>
  <c r="N956" i="6"/>
  <c r="Q956" i="6"/>
  <c r="R956" i="6"/>
  <c r="S956" i="6"/>
  <c r="T956" i="6"/>
  <c r="B957" i="6"/>
  <c r="C957" i="6"/>
  <c r="D957" i="6"/>
  <c r="L957" i="6" s="1"/>
  <c r="E957" i="6"/>
  <c r="F957" i="6"/>
  <c r="H957" i="6"/>
  <c r="I957" i="6"/>
  <c r="N957" i="6"/>
  <c r="R957" i="6"/>
  <c r="Q957" i="6" s="1"/>
  <c r="S957" i="6" s="1"/>
  <c r="T957" i="6"/>
  <c r="B958" i="6"/>
  <c r="C958" i="6"/>
  <c r="D958" i="6"/>
  <c r="E958" i="6"/>
  <c r="F958" i="6"/>
  <c r="H958" i="6"/>
  <c r="I958" i="6"/>
  <c r="L958" i="6"/>
  <c r="N958" i="6"/>
  <c r="Q958" i="6"/>
  <c r="R958" i="6"/>
  <c r="S958" i="6"/>
  <c r="T958" i="6"/>
  <c r="B959" i="6"/>
  <c r="C959" i="6"/>
  <c r="D959" i="6"/>
  <c r="L959" i="6" s="1"/>
  <c r="E959" i="6"/>
  <c r="F959" i="6"/>
  <c r="H959" i="6"/>
  <c r="I959" i="6"/>
  <c r="N959" i="6"/>
  <c r="R959" i="6"/>
  <c r="Q959" i="6" s="1"/>
  <c r="S959" i="6" s="1"/>
  <c r="T959" i="6"/>
  <c r="B960" i="6"/>
  <c r="C960" i="6"/>
  <c r="D960" i="6"/>
  <c r="E960" i="6"/>
  <c r="F960" i="6"/>
  <c r="H960" i="6"/>
  <c r="I960" i="6"/>
  <c r="L960" i="6"/>
  <c r="N960" i="6"/>
  <c r="Q960" i="6"/>
  <c r="R960" i="6"/>
  <c r="S960" i="6"/>
  <c r="T960" i="6"/>
  <c r="B961" i="6"/>
  <c r="C961" i="6"/>
  <c r="D961" i="6"/>
  <c r="L961" i="6" s="1"/>
  <c r="E961" i="6"/>
  <c r="F961" i="6"/>
  <c r="H961" i="6"/>
  <c r="I961" i="6"/>
  <c r="N961" i="6"/>
  <c r="R961" i="6"/>
  <c r="Q961" i="6" s="1"/>
  <c r="S961" i="6" s="1"/>
  <c r="T961" i="6"/>
  <c r="B962" i="6"/>
  <c r="C962" i="6"/>
  <c r="D962" i="6"/>
  <c r="E962" i="6"/>
  <c r="F962" i="6"/>
  <c r="H962" i="6"/>
  <c r="I962" i="6"/>
  <c r="L962" i="6"/>
  <c r="N962" i="6"/>
  <c r="Q962" i="6"/>
  <c r="R962" i="6"/>
  <c r="S962" i="6"/>
  <c r="T962" i="6"/>
  <c r="B963" i="6"/>
  <c r="C963" i="6"/>
  <c r="D963" i="6"/>
  <c r="L963" i="6" s="1"/>
  <c r="E963" i="6"/>
  <c r="F963" i="6"/>
  <c r="H963" i="6"/>
  <c r="I963" i="6"/>
  <c r="N963" i="6"/>
  <c r="R963" i="6"/>
  <c r="Q963" i="6" s="1"/>
  <c r="S963" i="6" s="1"/>
  <c r="T963" i="6"/>
  <c r="B964" i="6"/>
  <c r="C964" i="6"/>
  <c r="D964" i="6"/>
  <c r="E964" i="6"/>
  <c r="F964" i="6"/>
  <c r="H964" i="6"/>
  <c r="I964" i="6"/>
  <c r="L964" i="6"/>
  <c r="N964" i="6"/>
  <c r="Q964" i="6"/>
  <c r="R964" i="6"/>
  <c r="S964" i="6"/>
  <c r="T964" i="6"/>
  <c r="B965" i="6"/>
  <c r="C965" i="6"/>
  <c r="D965" i="6"/>
  <c r="L965" i="6" s="1"/>
  <c r="E965" i="6"/>
  <c r="F965" i="6"/>
  <c r="H965" i="6"/>
  <c r="I965" i="6"/>
  <c r="N965" i="6"/>
  <c r="R965" i="6"/>
  <c r="Q965" i="6" s="1"/>
  <c r="S965" i="6" s="1"/>
  <c r="T965" i="6"/>
  <c r="B966" i="6"/>
  <c r="C966" i="6"/>
  <c r="D966" i="6"/>
  <c r="E966" i="6"/>
  <c r="F966" i="6"/>
  <c r="H966" i="6"/>
  <c r="I966" i="6"/>
  <c r="L966" i="6"/>
  <c r="N966" i="6"/>
  <c r="Q966" i="6"/>
  <c r="R966" i="6"/>
  <c r="S966" i="6"/>
  <c r="T966" i="6"/>
  <c r="B967" i="6"/>
  <c r="C967" i="6"/>
  <c r="D967" i="6"/>
  <c r="L967" i="6" s="1"/>
  <c r="E967" i="6"/>
  <c r="F967" i="6"/>
  <c r="H967" i="6"/>
  <c r="I967" i="6"/>
  <c r="N967" i="6"/>
  <c r="R967" i="6"/>
  <c r="Q967" i="6" s="1"/>
  <c r="S967" i="6" s="1"/>
  <c r="T967" i="6"/>
  <c r="B968" i="6"/>
  <c r="C968" i="6"/>
  <c r="D968" i="6"/>
  <c r="E968" i="6"/>
  <c r="F968" i="6"/>
  <c r="H968" i="6"/>
  <c r="I968" i="6"/>
  <c r="L968" i="6"/>
  <c r="N968" i="6"/>
  <c r="Q968" i="6"/>
  <c r="R968" i="6"/>
  <c r="S968" i="6"/>
  <c r="T968" i="6"/>
  <c r="B969" i="6"/>
  <c r="C969" i="6"/>
  <c r="D969" i="6"/>
  <c r="L969" i="6" s="1"/>
  <c r="E969" i="6"/>
  <c r="F969" i="6"/>
  <c r="H969" i="6"/>
  <c r="I969" i="6"/>
  <c r="N969" i="6"/>
  <c r="R969" i="6"/>
  <c r="Q969" i="6" s="1"/>
  <c r="S969" i="6" s="1"/>
  <c r="T969" i="6"/>
  <c r="B970" i="6"/>
  <c r="C970" i="6"/>
  <c r="D970" i="6"/>
  <c r="E970" i="6"/>
  <c r="F970" i="6"/>
  <c r="H970" i="6"/>
  <c r="I970" i="6"/>
  <c r="L970" i="6"/>
  <c r="N970" i="6"/>
  <c r="Q970" i="6"/>
  <c r="R970" i="6"/>
  <c r="S970" i="6"/>
  <c r="T970" i="6"/>
  <c r="B971" i="6"/>
  <c r="C971" i="6"/>
  <c r="D971" i="6"/>
  <c r="L971" i="6" s="1"/>
  <c r="E971" i="6"/>
  <c r="F971" i="6"/>
  <c r="H971" i="6"/>
  <c r="I971" i="6"/>
  <c r="N971" i="6"/>
  <c r="R971" i="6"/>
  <c r="Q971" i="6" s="1"/>
  <c r="S971" i="6" s="1"/>
  <c r="T971" i="6"/>
  <c r="B972" i="6"/>
  <c r="C972" i="6"/>
  <c r="D972" i="6"/>
  <c r="E972" i="6"/>
  <c r="F972" i="6"/>
  <c r="H972" i="6"/>
  <c r="I972" i="6"/>
  <c r="L972" i="6"/>
  <c r="N972" i="6"/>
  <c r="Q972" i="6"/>
  <c r="R972" i="6"/>
  <c r="S972" i="6"/>
  <c r="T972" i="6"/>
  <c r="B973" i="6"/>
  <c r="C973" i="6"/>
  <c r="D973" i="6"/>
  <c r="L973" i="6" s="1"/>
  <c r="E973" i="6"/>
  <c r="F973" i="6"/>
  <c r="H973" i="6"/>
  <c r="I973" i="6"/>
  <c r="N973" i="6"/>
  <c r="R973" i="6"/>
  <c r="Q973" i="6" s="1"/>
  <c r="S973" i="6" s="1"/>
  <c r="T973" i="6"/>
  <c r="B974" i="6"/>
  <c r="C974" i="6"/>
  <c r="D974" i="6"/>
  <c r="E974" i="6"/>
  <c r="F974" i="6"/>
  <c r="H974" i="6"/>
  <c r="I974" i="6"/>
  <c r="L974" i="6"/>
  <c r="N974" i="6"/>
  <c r="Q974" i="6"/>
  <c r="R974" i="6"/>
  <c r="S974" i="6"/>
  <c r="T974" i="6"/>
  <c r="B975" i="6"/>
  <c r="C975" i="6"/>
  <c r="D975" i="6"/>
  <c r="L975" i="6" s="1"/>
  <c r="E975" i="6"/>
  <c r="F975" i="6"/>
  <c r="H975" i="6"/>
  <c r="I975" i="6"/>
  <c r="N975" i="6"/>
  <c r="R975" i="6"/>
  <c r="Q975" i="6" s="1"/>
  <c r="S975" i="6" s="1"/>
  <c r="T975" i="6"/>
  <c r="B976" i="6"/>
  <c r="C976" i="6"/>
  <c r="D976" i="6"/>
  <c r="E976" i="6"/>
  <c r="F976" i="6"/>
  <c r="H976" i="6"/>
  <c r="I976" i="6"/>
  <c r="L976" i="6"/>
  <c r="N976" i="6"/>
  <c r="Q976" i="6"/>
  <c r="R976" i="6"/>
  <c r="S976" i="6"/>
  <c r="T976" i="6"/>
  <c r="B977" i="6"/>
  <c r="C977" i="6"/>
  <c r="D977" i="6"/>
  <c r="L977" i="6" s="1"/>
  <c r="E977" i="6"/>
  <c r="F977" i="6"/>
  <c r="H977" i="6"/>
  <c r="I977" i="6"/>
  <c r="N977" i="6"/>
  <c r="R977" i="6"/>
  <c r="Q977" i="6" s="1"/>
  <c r="S977" i="6" s="1"/>
  <c r="T977" i="6"/>
  <c r="B978" i="6"/>
  <c r="C978" i="6"/>
  <c r="D978" i="6"/>
  <c r="E978" i="6"/>
  <c r="F978" i="6"/>
  <c r="H978" i="6"/>
  <c r="I978" i="6"/>
  <c r="L978" i="6"/>
  <c r="N978" i="6"/>
  <c r="Q978" i="6"/>
  <c r="R978" i="6"/>
  <c r="S978" i="6"/>
  <c r="T978" i="6"/>
  <c r="B979" i="6"/>
  <c r="C979" i="6"/>
  <c r="D979" i="6"/>
  <c r="L979" i="6" s="1"/>
  <c r="E979" i="6"/>
  <c r="F979" i="6"/>
  <c r="H979" i="6"/>
  <c r="I979" i="6"/>
  <c r="N979" i="6"/>
  <c r="R979" i="6"/>
  <c r="Q979" i="6" s="1"/>
  <c r="S979" i="6" s="1"/>
  <c r="T979" i="6"/>
  <c r="B980" i="6"/>
  <c r="C980" i="6"/>
  <c r="D980" i="6"/>
  <c r="E980" i="6"/>
  <c r="F980" i="6"/>
  <c r="H980" i="6"/>
  <c r="I980" i="6"/>
  <c r="L980" i="6"/>
  <c r="N980" i="6"/>
  <c r="Q980" i="6"/>
  <c r="R980" i="6"/>
  <c r="S980" i="6"/>
  <c r="T980" i="6"/>
  <c r="B981" i="6"/>
  <c r="C981" i="6"/>
  <c r="D981" i="6"/>
  <c r="L981" i="6" s="1"/>
  <c r="E981" i="6"/>
  <c r="F981" i="6"/>
  <c r="H981" i="6"/>
  <c r="I981" i="6"/>
  <c r="N981" i="6"/>
  <c r="R981" i="6"/>
  <c r="Q981" i="6" s="1"/>
  <c r="S981" i="6" s="1"/>
  <c r="T981" i="6"/>
  <c r="B982" i="6"/>
  <c r="C982" i="6"/>
  <c r="D982" i="6"/>
  <c r="E982" i="6"/>
  <c r="F982" i="6"/>
  <c r="H982" i="6"/>
  <c r="I982" i="6"/>
  <c r="L982" i="6"/>
  <c r="N982" i="6"/>
  <c r="Q982" i="6"/>
  <c r="R982" i="6"/>
  <c r="S982" i="6"/>
  <c r="T982" i="6"/>
  <c r="B983" i="6"/>
  <c r="C983" i="6"/>
  <c r="D983" i="6"/>
  <c r="L983" i="6" s="1"/>
  <c r="E983" i="6"/>
  <c r="F983" i="6"/>
  <c r="H983" i="6"/>
  <c r="I983" i="6"/>
  <c r="N983" i="6"/>
  <c r="R983" i="6"/>
  <c r="Q983" i="6" s="1"/>
  <c r="S983" i="6" s="1"/>
  <c r="T983" i="6"/>
  <c r="B984" i="6"/>
  <c r="C984" i="6"/>
  <c r="D984" i="6"/>
  <c r="E984" i="6"/>
  <c r="F984" i="6"/>
  <c r="H984" i="6"/>
  <c r="I984" i="6"/>
  <c r="L984" i="6"/>
  <c r="N984" i="6"/>
  <c r="Q984" i="6"/>
  <c r="R984" i="6"/>
  <c r="S984" i="6"/>
  <c r="T984" i="6"/>
  <c r="B985" i="6"/>
  <c r="C985" i="6"/>
  <c r="D985" i="6"/>
  <c r="L985" i="6" s="1"/>
  <c r="E985" i="6"/>
  <c r="F985" i="6"/>
  <c r="H985" i="6"/>
  <c r="I985" i="6"/>
  <c r="N985" i="6"/>
  <c r="R985" i="6"/>
  <c r="Q985" i="6" s="1"/>
  <c r="S985" i="6" s="1"/>
  <c r="T985" i="6"/>
  <c r="B986" i="6"/>
  <c r="C986" i="6"/>
  <c r="D986" i="6"/>
  <c r="E986" i="6"/>
  <c r="F986" i="6"/>
  <c r="H986" i="6"/>
  <c r="I986" i="6"/>
  <c r="L986" i="6"/>
  <c r="N986" i="6"/>
  <c r="Q986" i="6"/>
  <c r="R986" i="6"/>
  <c r="S986" i="6"/>
  <c r="T986" i="6"/>
  <c r="B987" i="6"/>
  <c r="C987" i="6"/>
  <c r="D987" i="6"/>
  <c r="L987" i="6" s="1"/>
  <c r="E987" i="6"/>
  <c r="F987" i="6"/>
  <c r="H987" i="6"/>
  <c r="I987" i="6"/>
  <c r="N987" i="6"/>
  <c r="R987" i="6"/>
  <c r="Q987" i="6" s="1"/>
  <c r="S987" i="6" s="1"/>
  <c r="T987" i="6"/>
  <c r="B988" i="6"/>
  <c r="C988" i="6"/>
  <c r="D988" i="6"/>
  <c r="E988" i="6"/>
  <c r="F988" i="6"/>
  <c r="H988" i="6"/>
  <c r="I988" i="6"/>
  <c r="L988" i="6"/>
  <c r="N988" i="6"/>
  <c r="Q988" i="6"/>
  <c r="R988" i="6"/>
  <c r="S988" i="6"/>
  <c r="T988" i="6"/>
  <c r="B989" i="6"/>
  <c r="C989" i="6"/>
  <c r="D989" i="6"/>
  <c r="L989" i="6" s="1"/>
  <c r="E989" i="6"/>
  <c r="F989" i="6"/>
  <c r="H989" i="6"/>
  <c r="I989" i="6"/>
  <c r="N989" i="6"/>
  <c r="R989" i="6"/>
  <c r="Q989" i="6" s="1"/>
  <c r="S989" i="6" s="1"/>
  <c r="T989" i="6"/>
  <c r="B990" i="6"/>
  <c r="C990" i="6"/>
  <c r="D990" i="6"/>
  <c r="E990" i="6"/>
  <c r="F990" i="6"/>
  <c r="H990" i="6"/>
  <c r="I990" i="6"/>
  <c r="L990" i="6"/>
  <c r="N990" i="6"/>
  <c r="Q990" i="6"/>
  <c r="R990" i="6"/>
  <c r="S990" i="6"/>
  <c r="T990" i="6"/>
  <c r="B991" i="6"/>
  <c r="C991" i="6"/>
  <c r="D991" i="6"/>
  <c r="L991" i="6" s="1"/>
  <c r="E991" i="6"/>
  <c r="F991" i="6"/>
  <c r="H991" i="6"/>
  <c r="I991" i="6"/>
  <c r="N991" i="6"/>
  <c r="R991" i="6"/>
  <c r="Q991" i="6" s="1"/>
  <c r="S991" i="6" s="1"/>
  <c r="T991" i="6"/>
  <c r="B992" i="6"/>
  <c r="C992" i="6"/>
  <c r="D992" i="6"/>
  <c r="E992" i="6"/>
  <c r="F992" i="6"/>
  <c r="H992" i="6"/>
  <c r="I992" i="6"/>
  <c r="L992" i="6"/>
  <c r="N992" i="6"/>
  <c r="Q992" i="6"/>
  <c r="R992" i="6"/>
  <c r="S992" i="6"/>
  <c r="T992" i="6"/>
  <c r="B993" i="6"/>
  <c r="C993" i="6"/>
  <c r="D993" i="6"/>
  <c r="L993" i="6" s="1"/>
  <c r="E993" i="6"/>
  <c r="F993" i="6"/>
  <c r="H993" i="6"/>
  <c r="I993" i="6"/>
  <c r="N993" i="6"/>
  <c r="R993" i="6"/>
  <c r="Q993" i="6" s="1"/>
  <c r="S993" i="6" s="1"/>
  <c r="T993" i="6"/>
  <c r="B994" i="6"/>
  <c r="C994" i="6"/>
  <c r="D994" i="6"/>
  <c r="E994" i="6"/>
  <c r="F994" i="6"/>
  <c r="H994" i="6"/>
  <c r="I994" i="6"/>
  <c r="L994" i="6"/>
  <c r="N994" i="6"/>
  <c r="Q994" i="6"/>
  <c r="R994" i="6"/>
  <c r="S994" i="6"/>
  <c r="T994" i="6"/>
  <c r="B995" i="6"/>
  <c r="C995" i="6"/>
  <c r="D995" i="6"/>
  <c r="L995" i="6" s="1"/>
  <c r="E995" i="6"/>
  <c r="F995" i="6"/>
  <c r="H995" i="6"/>
  <c r="I995" i="6"/>
  <c r="N995" i="6"/>
  <c r="R995" i="6"/>
  <c r="Q995" i="6" s="1"/>
  <c r="S995" i="6" s="1"/>
  <c r="T995" i="6"/>
  <c r="B996" i="6"/>
  <c r="C996" i="6"/>
  <c r="D996" i="6"/>
  <c r="E996" i="6"/>
  <c r="F996" i="6"/>
  <c r="H996" i="6"/>
  <c r="I996" i="6"/>
  <c r="L996" i="6"/>
  <c r="N996" i="6"/>
  <c r="Q996" i="6"/>
  <c r="R996" i="6"/>
  <c r="S996" i="6"/>
  <c r="T996" i="6"/>
  <c r="B997" i="6"/>
  <c r="C997" i="6"/>
  <c r="D997" i="6"/>
  <c r="L997" i="6" s="1"/>
  <c r="E997" i="6"/>
  <c r="F997" i="6"/>
  <c r="H997" i="6"/>
  <c r="I997" i="6"/>
  <c r="N997" i="6"/>
  <c r="R997" i="6"/>
  <c r="Q997" i="6" s="1"/>
  <c r="S997" i="6" s="1"/>
  <c r="T997" i="6"/>
  <c r="B998" i="6"/>
  <c r="C998" i="6"/>
  <c r="D998" i="6"/>
  <c r="E998" i="6"/>
  <c r="F998" i="6"/>
  <c r="H998" i="6"/>
  <c r="I998" i="6"/>
  <c r="L998" i="6"/>
  <c r="N998" i="6"/>
  <c r="Q998" i="6"/>
  <c r="R998" i="6"/>
  <c r="S998" i="6"/>
  <c r="T998" i="6"/>
  <c r="B999" i="6"/>
  <c r="C999" i="6"/>
  <c r="D999" i="6"/>
  <c r="L999" i="6" s="1"/>
  <c r="E999" i="6"/>
  <c r="F999" i="6"/>
  <c r="H999" i="6"/>
  <c r="I999" i="6"/>
  <c r="N999" i="6"/>
  <c r="R999" i="6"/>
  <c r="Q999" i="6" s="1"/>
  <c r="S999" i="6" s="1"/>
  <c r="T999" i="6"/>
  <c r="B1000" i="6"/>
  <c r="C1000" i="6"/>
  <c r="D1000" i="6"/>
  <c r="E1000" i="6"/>
  <c r="F1000" i="6"/>
  <c r="H1000" i="6"/>
  <c r="I1000" i="6"/>
  <c r="L1000" i="6"/>
  <c r="N1000" i="6"/>
  <c r="Q1000" i="6"/>
  <c r="R1000" i="6"/>
  <c r="S1000" i="6"/>
  <c r="T1000" i="6"/>
  <c r="B1001" i="6"/>
  <c r="C1001" i="6"/>
  <c r="D1001" i="6"/>
  <c r="L1001" i="6" s="1"/>
  <c r="E1001" i="6"/>
  <c r="F1001" i="6"/>
  <c r="H1001" i="6"/>
  <c r="I1001" i="6"/>
  <c r="N1001" i="6"/>
  <c r="R1001" i="6"/>
  <c r="Q1001" i="6" s="1"/>
  <c r="S1001" i="6" s="1"/>
  <c r="T1001" i="6"/>
  <c r="B1002" i="6"/>
  <c r="C1002" i="6"/>
  <c r="D1002" i="6"/>
  <c r="E1002" i="6"/>
  <c r="F1002" i="6"/>
  <c r="H1002" i="6"/>
  <c r="I1002" i="6"/>
  <c r="L1002" i="6"/>
  <c r="N1002" i="6"/>
  <c r="Q1002" i="6"/>
  <c r="R1002" i="6"/>
  <c r="S1002" i="6"/>
  <c r="T1002" i="6"/>
  <c r="B1003" i="6"/>
  <c r="C1003" i="6"/>
  <c r="D1003" i="6"/>
  <c r="L1003" i="6" s="1"/>
  <c r="E1003" i="6"/>
  <c r="F1003" i="6"/>
  <c r="H1003" i="6"/>
  <c r="I1003" i="6"/>
  <c r="N1003" i="6"/>
  <c r="R1003" i="6"/>
  <c r="Q1003" i="6" s="1"/>
  <c r="S1003" i="6" s="1"/>
  <c r="T1003" i="6"/>
  <c r="B1004" i="6"/>
  <c r="C1004" i="6"/>
  <c r="D1004" i="6"/>
  <c r="E1004" i="6"/>
  <c r="F1004" i="6"/>
  <c r="H1004" i="6"/>
  <c r="I1004" i="6"/>
  <c r="L1004" i="6"/>
  <c r="N1004" i="6"/>
  <c r="Q1004" i="6"/>
  <c r="R1004" i="6"/>
  <c r="S1004" i="6"/>
  <c r="T1004" i="6"/>
  <c r="B1005" i="6"/>
  <c r="C1005" i="6"/>
  <c r="D1005" i="6"/>
  <c r="L1005" i="6" s="1"/>
  <c r="E1005" i="6"/>
  <c r="F1005" i="6"/>
  <c r="H1005" i="6"/>
  <c r="I1005" i="6"/>
  <c r="N1005" i="6"/>
  <c r="R1005" i="6"/>
  <c r="Q1005" i="6" s="1"/>
  <c r="S1005" i="6" s="1"/>
  <c r="T1005" i="6"/>
  <c r="B1006" i="6"/>
  <c r="C1006" i="6"/>
  <c r="D1006" i="6"/>
  <c r="E1006" i="6"/>
  <c r="F1006" i="6"/>
  <c r="H1006" i="6"/>
  <c r="I1006" i="6"/>
  <c r="L1006" i="6"/>
  <c r="N1006" i="6"/>
  <c r="Q1006" i="6"/>
  <c r="R1006" i="6"/>
  <c r="S1006" i="6"/>
  <c r="T1006" i="6"/>
  <c r="B1007" i="6"/>
  <c r="C1007" i="6"/>
  <c r="D1007" i="6"/>
  <c r="L1007" i="6" s="1"/>
  <c r="E1007" i="6"/>
  <c r="F1007" i="6"/>
  <c r="H1007" i="6"/>
  <c r="I1007" i="6"/>
  <c r="N1007" i="6"/>
  <c r="R1007" i="6"/>
  <c r="Q1007" i="6" s="1"/>
  <c r="S1007" i="6" s="1"/>
  <c r="T1007" i="6"/>
  <c r="B1008" i="6"/>
  <c r="C1008" i="6"/>
  <c r="D1008" i="6"/>
  <c r="E1008" i="6"/>
  <c r="F1008" i="6"/>
  <c r="H1008" i="6"/>
  <c r="I1008" i="6"/>
  <c r="L1008" i="6"/>
  <c r="N1008" i="6"/>
  <c r="Q1008" i="6"/>
  <c r="R1008" i="6"/>
  <c r="S1008" i="6"/>
  <c r="T1008" i="6"/>
  <c r="B1009" i="6"/>
  <c r="C1009" i="6"/>
  <c r="D1009" i="6"/>
  <c r="L1009" i="6" s="1"/>
  <c r="E1009" i="6"/>
  <c r="F1009" i="6"/>
  <c r="H1009" i="6"/>
  <c r="I1009" i="6"/>
  <c r="N1009" i="6"/>
  <c r="R1009" i="6"/>
  <c r="Q1009" i="6" s="1"/>
  <c r="S1009" i="6" s="1"/>
  <c r="T1009" i="6"/>
  <c r="B1010" i="6"/>
  <c r="C1010" i="6"/>
  <c r="D1010" i="6"/>
  <c r="E1010" i="6"/>
  <c r="F1010" i="6"/>
  <c r="H1010" i="6"/>
  <c r="I1010" i="6"/>
  <c r="L1010" i="6"/>
  <c r="N1010" i="6"/>
  <c r="Q1010" i="6"/>
  <c r="R1010" i="6"/>
  <c r="S1010" i="6"/>
  <c r="T1010" i="6"/>
  <c r="B1011" i="6"/>
  <c r="C1011" i="6"/>
  <c r="D1011" i="6"/>
  <c r="L1011" i="6" s="1"/>
  <c r="E1011" i="6"/>
  <c r="F1011" i="6"/>
  <c r="H1011" i="6"/>
  <c r="I1011" i="6"/>
  <c r="N1011" i="6"/>
  <c r="R1011" i="6"/>
  <c r="Q1011" i="6" s="1"/>
  <c r="S1011" i="6" s="1"/>
  <c r="T1011" i="6"/>
  <c r="B1012" i="6"/>
  <c r="C1012" i="6"/>
  <c r="D1012" i="6"/>
  <c r="E1012" i="6"/>
  <c r="F1012" i="6"/>
  <c r="H1012" i="6"/>
  <c r="I1012" i="6"/>
  <c r="L1012" i="6"/>
  <c r="N1012" i="6"/>
  <c r="Q1012" i="6"/>
  <c r="R1012" i="6"/>
  <c r="S1012" i="6"/>
  <c r="T1012" i="6"/>
  <c r="B1013" i="6"/>
  <c r="C1013" i="6"/>
  <c r="D1013" i="6"/>
  <c r="L1013" i="6" s="1"/>
  <c r="E1013" i="6"/>
  <c r="F1013" i="6"/>
  <c r="H1013" i="6"/>
  <c r="I1013" i="6"/>
  <c r="N1013" i="6"/>
  <c r="R1013" i="6"/>
  <c r="Q1013" i="6" s="1"/>
  <c r="S1013" i="6" s="1"/>
  <c r="T1013" i="6"/>
  <c r="B1014" i="6"/>
  <c r="C1014" i="6"/>
  <c r="D1014" i="6"/>
  <c r="E1014" i="6"/>
  <c r="F1014" i="6"/>
  <c r="H1014" i="6"/>
  <c r="I1014" i="6"/>
  <c r="L1014" i="6"/>
  <c r="N1014" i="6"/>
  <c r="Q1014" i="6"/>
  <c r="R1014" i="6"/>
  <c r="S1014" i="6"/>
  <c r="T1014" i="6"/>
  <c r="B1015" i="6"/>
  <c r="C1015" i="6"/>
  <c r="D1015" i="6"/>
  <c r="L1015" i="6" s="1"/>
  <c r="E1015" i="6"/>
  <c r="F1015" i="6"/>
  <c r="H1015" i="6"/>
  <c r="I1015" i="6"/>
  <c r="N1015" i="6"/>
  <c r="R1015" i="6"/>
  <c r="Q1015" i="6" s="1"/>
  <c r="S1015" i="6" s="1"/>
  <c r="T1015" i="6"/>
  <c r="B1016" i="6"/>
  <c r="C1016" i="6"/>
  <c r="D1016" i="6"/>
  <c r="E1016" i="6"/>
  <c r="F1016" i="6"/>
  <c r="H1016" i="6"/>
  <c r="I1016" i="6"/>
  <c r="L1016" i="6"/>
  <c r="N1016" i="6"/>
  <c r="Q1016" i="6"/>
  <c r="R1016" i="6"/>
  <c r="S1016" i="6"/>
  <c r="T1016" i="6"/>
  <c r="B1017" i="6"/>
  <c r="C1017" i="6"/>
  <c r="D1017" i="6"/>
  <c r="L1017" i="6" s="1"/>
  <c r="E1017" i="6"/>
  <c r="F1017" i="6"/>
  <c r="H1017" i="6"/>
  <c r="I1017" i="6"/>
  <c r="N1017" i="6"/>
  <c r="R1017" i="6"/>
  <c r="Q1017" i="6" s="1"/>
  <c r="S1017" i="6" s="1"/>
  <c r="T1017" i="6"/>
  <c r="B1018" i="6"/>
  <c r="C1018" i="6"/>
  <c r="D1018" i="6"/>
  <c r="E1018" i="6"/>
  <c r="F1018" i="6"/>
  <c r="H1018" i="6"/>
  <c r="I1018" i="6"/>
  <c r="L1018" i="6"/>
  <c r="N1018" i="6"/>
  <c r="Q1018" i="6"/>
  <c r="R1018" i="6"/>
  <c r="S1018" i="6"/>
  <c r="T1018" i="6"/>
  <c r="B1019" i="6"/>
  <c r="C1019" i="6"/>
  <c r="D1019" i="6"/>
  <c r="L1019" i="6" s="1"/>
  <c r="E1019" i="6"/>
  <c r="F1019" i="6"/>
  <c r="H1019" i="6"/>
  <c r="I1019" i="6"/>
  <c r="N1019" i="6"/>
  <c r="R1019" i="6"/>
  <c r="Q1019" i="6" s="1"/>
  <c r="S1019" i="6" s="1"/>
  <c r="T1019" i="6"/>
  <c r="B1020" i="6"/>
  <c r="C1020" i="6"/>
  <c r="D1020" i="6"/>
  <c r="E1020" i="6"/>
  <c r="F1020" i="6"/>
  <c r="H1020" i="6"/>
  <c r="I1020" i="6"/>
  <c r="L1020" i="6"/>
  <c r="N1020" i="6"/>
  <c r="Q1020" i="6"/>
  <c r="R1020" i="6"/>
  <c r="S1020" i="6"/>
  <c r="T1020" i="6"/>
  <c r="B1021" i="6"/>
  <c r="C1021" i="6"/>
  <c r="D1021" i="6"/>
  <c r="E1021" i="6"/>
  <c r="F1021" i="6"/>
  <c r="H1021" i="6"/>
  <c r="I1021" i="6"/>
  <c r="N1021" i="6"/>
  <c r="R1021" i="6"/>
  <c r="Q1021" i="6" s="1"/>
  <c r="S1021" i="6" s="1"/>
  <c r="T1021" i="6"/>
  <c r="B1022" i="6"/>
  <c r="C1022" i="6"/>
  <c r="D1022" i="6"/>
  <c r="E1022" i="6"/>
  <c r="F1022" i="6"/>
  <c r="H1022" i="6"/>
  <c r="I1022" i="6"/>
  <c r="L1022" i="6"/>
  <c r="N1022" i="6"/>
  <c r="Q1022" i="6"/>
  <c r="R1022" i="6"/>
  <c r="S1022" i="6"/>
  <c r="T1022" i="6"/>
  <c r="B1023" i="6"/>
  <c r="C1023" i="6"/>
  <c r="D1023" i="6"/>
  <c r="E1023" i="6"/>
  <c r="F1023" i="6"/>
  <c r="H1023" i="6"/>
  <c r="I1023" i="6"/>
  <c r="N1023" i="6"/>
  <c r="R1023" i="6"/>
  <c r="Q1023" i="6" s="1"/>
  <c r="S1023" i="6" s="1"/>
  <c r="T1023" i="6"/>
  <c r="B1024" i="6"/>
  <c r="C1024" i="6"/>
  <c r="D1024" i="6"/>
  <c r="E1024" i="6"/>
  <c r="F1024" i="6"/>
  <c r="H1024" i="6"/>
  <c r="I1024" i="6"/>
  <c r="L1024" i="6"/>
  <c r="N1024" i="6"/>
  <c r="Q1024" i="6"/>
  <c r="R1024" i="6"/>
  <c r="S1024" i="6"/>
  <c r="T1024" i="6"/>
  <c r="B1025" i="6"/>
  <c r="C1025" i="6"/>
  <c r="D1025" i="6"/>
  <c r="E1025" i="6"/>
  <c r="F1025" i="6"/>
  <c r="H1025" i="6"/>
  <c r="I1025" i="6"/>
  <c r="N1025" i="6"/>
  <c r="R1025" i="6"/>
  <c r="Q1025" i="6" s="1"/>
  <c r="S1025" i="6" s="1"/>
  <c r="T1025" i="6"/>
  <c r="B1026" i="6"/>
  <c r="C1026" i="6"/>
  <c r="D1026" i="6"/>
  <c r="E1026" i="6"/>
  <c r="F1026" i="6"/>
  <c r="H1026" i="6"/>
  <c r="I1026" i="6"/>
  <c r="L1026" i="6"/>
  <c r="N1026" i="6"/>
  <c r="Q1026" i="6"/>
  <c r="R1026" i="6"/>
  <c r="S1026" i="6"/>
  <c r="T1026" i="6"/>
  <c r="B1027" i="6"/>
  <c r="C1027" i="6"/>
  <c r="D1027" i="6"/>
  <c r="E1027" i="6"/>
  <c r="F1027" i="6"/>
  <c r="H1027" i="6"/>
  <c r="I1027" i="6"/>
  <c r="N1027" i="6"/>
  <c r="Q1027" i="6"/>
  <c r="R1027" i="6"/>
  <c r="S1027" i="6"/>
  <c r="T1027" i="6"/>
  <c r="B1028" i="6"/>
  <c r="C1028" i="6"/>
  <c r="D1028" i="6"/>
  <c r="L1028" i="6" s="1"/>
  <c r="E1028" i="6"/>
  <c r="F1028" i="6"/>
  <c r="H1028" i="6"/>
  <c r="I1028" i="6"/>
  <c r="N1028" i="6"/>
  <c r="R1028" i="6"/>
  <c r="Q1028" i="6" s="1"/>
  <c r="T1028" i="6"/>
  <c r="B1029" i="6"/>
  <c r="C1029" i="6"/>
  <c r="D1029" i="6"/>
  <c r="E1029" i="6"/>
  <c r="F1029" i="6"/>
  <c r="H1029" i="6"/>
  <c r="I1029" i="6"/>
  <c r="L1029" i="6"/>
  <c r="N1029" i="6"/>
  <c r="Q1029" i="6"/>
  <c r="R1029" i="6"/>
  <c r="S1029" i="6"/>
  <c r="T1029" i="6"/>
  <c r="B1030" i="6"/>
  <c r="C1030" i="6"/>
  <c r="D1030" i="6"/>
  <c r="L1030" i="6" s="1"/>
  <c r="E1030" i="6"/>
  <c r="F1030" i="6"/>
  <c r="H1030" i="6"/>
  <c r="I1030" i="6"/>
  <c r="N1030" i="6"/>
  <c r="R1030" i="6"/>
  <c r="Q1030" i="6" s="1"/>
  <c r="S1030" i="6" s="1"/>
  <c r="T1030" i="6"/>
  <c r="B1031" i="6"/>
  <c r="C1031" i="6"/>
  <c r="D1031" i="6"/>
  <c r="E1031" i="6"/>
  <c r="F1031" i="6"/>
  <c r="H1031" i="6"/>
  <c r="I1031" i="6"/>
  <c r="L1031" i="6"/>
  <c r="N1031" i="6"/>
  <c r="Q1031" i="6"/>
  <c r="R1031" i="6"/>
  <c r="S1031" i="6"/>
  <c r="T1031" i="6"/>
  <c r="B1032" i="6"/>
  <c r="C1032" i="6"/>
  <c r="D1032" i="6"/>
  <c r="L1032" i="6" s="1"/>
  <c r="E1032" i="6"/>
  <c r="F1032" i="6"/>
  <c r="H1032" i="6"/>
  <c r="I1032" i="6"/>
  <c r="N1032" i="6"/>
  <c r="R1032" i="6"/>
  <c r="Q1032" i="6" s="1"/>
  <c r="T1032" i="6"/>
  <c r="B1033" i="6"/>
  <c r="C1033" i="6"/>
  <c r="D1033" i="6"/>
  <c r="E1033" i="6"/>
  <c r="F1033" i="6"/>
  <c r="H1033" i="6"/>
  <c r="I1033" i="6"/>
  <c r="L1033" i="6"/>
  <c r="N1033" i="6"/>
  <c r="Q1033" i="6"/>
  <c r="R1033" i="6"/>
  <c r="S1033" i="6"/>
  <c r="T1033" i="6"/>
  <c r="B1034" i="6"/>
  <c r="C1034" i="6"/>
  <c r="D1034" i="6"/>
  <c r="L1034" i="6" s="1"/>
  <c r="E1034" i="6"/>
  <c r="F1034" i="6"/>
  <c r="H1034" i="6"/>
  <c r="I1034" i="6"/>
  <c r="N1034" i="6"/>
  <c r="R1034" i="6"/>
  <c r="Q1034" i="6" s="1"/>
  <c r="S1034" i="6" s="1"/>
  <c r="T1034" i="6"/>
  <c r="B1035" i="6"/>
  <c r="C1035" i="6"/>
  <c r="D1035" i="6"/>
  <c r="E1035" i="6"/>
  <c r="F1035" i="6"/>
  <c r="H1035" i="6"/>
  <c r="I1035" i="6"/>
  <c r="L1035" i="6"/>
  <c r="N1035" i="6"/>
  <c r="Q1035" i="6"/>
  <c r="R1035" i="6"/>
  <c r="S1035" i="6"/>
  <c r="T1035" i="6"/>
  <c r="B1036" i="6"/>
  <c r="C1036" i="6"/>
  <c r="D1036" i="6"/>
  <c r="L1036" i="6" s="1"/>
  <c r="E1036" i="6"/>
  <c r="F1036" i="6"/>
  <c r="H1036" i="6"/>
  <c r="I1036" i="6"/>
  <c r="N1036" i="6"/>
  <c r="R1036" i="6"/>
  <c r="Q1036" i="6" s="1"/>
  <c r="S1036" i="6" s="1"/>
  <c r="T1036" i="6"/>
  <c r="B1037" i="6"/>
  <c r="C1037" i="6"/>
  <c r="D1037" i="6"/>
  <c r="E1037" i="6"/>
  <c r="F1037" i="6"/>
  <c r="H1037" i="6"/>
  <c r="I1037" i="6"/>
  <c r="L1037" i="6"/>
  <c r="N1037" i="6"/>
  <c r="Q1037" i="6"/>
  <c r="R1037" i="6"/>
  <c r="S1037" i="6"/>
  <c r="T1037" i="6"/>
  <c r="B1038" i="6"/>
  <c r="C1038" i="6"/>
  <c r="D1038" i="6"/>
  <c r="L1038" i="6" s="1"/>
  <c r="E1038" i="6"/>
  <c r="F1038" i="6"/>
  <c r="H1038" i="6"/>
  <c r="I1038" i="6"/>
  <c r="N1038" i="6"/>
  <c r="R1038" i="6"/>
  <c r="Q1038" i="6" s="1"/>
  <c r="S1038" i="6" s="1"/>
  <c r="T1038" i="6"/>
  <c r="B1039" i="6"/>
  <c r="C1039" i="6"/>
  <c r="D1039" i="6"/>
  <c r="E1039" i="6"/>
  <c r="F1039" i="6"/>
  <c r="H1039" i="6"/>
  <c r="I1039" i="6"/>
  <c r="L1039" i="6"/>
  <c r="N1039" i="6"/>
  <c r="Q1039" i="6"/>
  <c r="R1039" i="6"/>
  <c r="S1039" i="6"/>
  <c r="T1039" i="6"/>
  <c r="B1040" i="6"/>
  <c r="C1040" i="6"/>
  <c r="D1040" i="6"/>
  <c r="L1040" i="6" s="1"/>
  <c r="E1040" i="6"/>
  <c r="F1040" i="6"/>
  <c r="H1040" i="6"/>
  <c r="I1040" i="6"/>
  <c r="N1040" i="6"/>
  <c r="R1040" i="6"/>
  <c r="Q1040" i="6" s="1"/>
  <c r="S1040" i="6" s="1"/>
  <c r="T1040" i="6"/>
  <c r="B1041" i="6"/>
  <c r="C1041" i="6"/>
  <c r="D1041" i="6"/>
  <c r="E1041" i="6"/>
  <c r="F1041" i="6"/>
  <c r="H1041" i="6"/>
  <c r="I1041" i="6"/>
  <c r="L1041" i="6"/>
  <c r="N1041" i="6"/>
  <c r="Q1041" i="6"/>
  <c r="R1041" i="6"/>
  <c r="S1041" i="6"/>
  <c r="T1041" i="6"/>
  <c r="B1042" i="6"/>
  <c r="C1042" i="6"/>
  <c r="D1042" i="6"/>
  <c r="L1042" i="6" s="1"/>
  <c r="E1042" i="6"/>
  <c r="F1042" i="6"/>
  <c r="H1042" i="6"/>
  <c r="I1042" i="6"/>
  <c r="N1042" i="6"/>
  <c r="R1042" i="6"/>
  <c r="Q1042" i="6" s="1"/>
  <c r="S1042" i="6" s="1"/>
  <c r="T1042" i="6"/>
  <c r="B1043" i="6"/>
  <c r="C1043" i="6"/>
  <c r="D1043" i="6"/>
  <c r="E1043" i="6"/>
  <c r="F1043" i="6"/>
  <c r="H1043" i="6"/>
  <c r="I1043" i="6"/>
  <c r="L1043" i="6"/>
  <c r="N1043" i="6"/>
  <c r="Q1043" i="6"/>
  <c r="R1043" i="6"/>
  <c r="S1043" i="6"/>
  <c r="T1043" i="6"/>
  <c r="B1044" i="6"/>
  <c r="C1044" i="6"/>
  <c r="D1044" i="6"/>
  <c r="L1044" i="6" s="1"/>
  <c r="E1044" i="6"/>
  <c r="F1044" i="6"/>
  <c r="H1044" i="6"/>
  <c r="I1044" i="6"/>
  <c r="N1044" i="6"/>
  <c r="R1044" i="6"/>
  <c r="Q1044" i="6" s="1"/>
  <c r="T1044" i="6"/>
  <c r="B1045" i="6"/>
  <c r="C1045" i="6"/>
  <c r="D1045" i="6"/>
  <c r="E1045" i="6"/>
  <c r="F1045" i="6"/>
  <c r="H1045" i="6"/>
  <c r="I1045" i="6"/>
  <c r="L1045" i="6"/>
  <c r="N1045" i="6"/>
  <c r="Q1045" i="6"/>
  <c r="R1045" i="6"/>
  <c r="S1045" i="6"/>
  <c r="T1045" i="6"/>
  <c r="B1046" i="6"/>
  <c r="C1046" i="6"/>
  <c r="D1046" i="6"/>
  <c r="L1046" i="6" s="1"/>
  <c r="E1046" i="6"/>
  <c r="F1046" i="6"/>
  <c r="H1046" i="6"/>
  <c r="I1046" i="6"/>
  <c r="N1046" i="6"/>
  <c r="R1046" i="6"/>
  <c r="Q1046" i="6" s="1"/>
  <c r="S1046" i="6" s="1"/>
  <c r="T1046" i="6"/>
  <c r="B1047" i="6"/>
  <c r="C1047" i="6"/>
  <c r="D1047" i="6"/>
  <c r="E1047" i="6"/>
  <c r="F1047" i="6"/>
  <c r="H1047" i="6"/>
  <c r="I1047" i="6"/>
  <c r="L1047" i="6"/>
  <c r="N1047" i="6"/>
  <c r="Q1047" i="6"/>
  <c r="R1047" i="6"/>
  <c r="S1047" i="6"/>
  <c r="T1047" i="6"/>
  <c r="B1048" i="6"/>
  <c r="C1048" i="6"/>
  <c r="D1048" i="6"/>
  <c r="L1048" i="6" s="1"/>
  <c r="E1048" i="6"/>
  <c r="F1048" i="6"/>
  <c r="H1048" i="6"/>
  <c r="I1048" i="6"/>
  <c r="N1048" i="6"/>
  <c r="R1048" i="6"/>
  <c r="Q1048" i="6" s="1"/>
  <c r="S1048" i="6" s="1"/>
  <c r="T1048" i="6"/>
  <c r="B1049" i="6"/>
  <c r="C1049" i="6"/>
  <c r="D1049" i="6"/>
  <c r="E1049" i="6"/>
  <c r="F1049" i="6"/>
  <c r="H1049" i="6"/>
  <c r="I1049" i="6"/>
  <c r="L1049" i="6"/>
  <c r="N1049" i="6"/>
  <c r="Q1049" i="6"/>
  <c r="R1049" i="6"/>
  <c r="S1049" i="6"/>
  <c r="T1049" i="6"/>
  <c r="B1050" i="6"/>
  <c r="C1050" i="6"/>
  <c r="D1050" i="6"/>
  <c r="L1050" i="6" s="1"/>
  <c r="E1050" i="6"/>
  <c r="F1050" i="6"/>
  <c r="H1050" i="6"/>
  <c r="I1050" i="6"/>
  <c r="N1050" i="6"/>
  <c r="R1050" i="6"/>
  <c r="Q1050" i="6" s="1"/>
  <c r="S1050" i="6" s="1"/>
  <c r="T1050" i="6"/>
  <c r="B1051" i="6"/>
  <c r="C1051" i="6"/>
  <c r="D1051" i="6"/>
  <c r="E1051" i="6"/>
  <c r="F1051" i="6"/>
  <c r="H1051" i="6"/>
  <c r="I1051" i="6"/>
  <c r="L1051" i="6"/>
  <c r="N1051" i="6"/>
  <c r="Q1051" i="6"/>
  <c r="R1051" i="6"/>
  <c r="S1051" i="6"/>
  <c r="T1051" i="6"/>
  <c r="B1052" i="6"/>
  <c r="C1052" i="6"/>
  <c r="D1052" i="6"/>
  <c r="L1052" i="6" s="1"/>
  <c r="E1052" i="6"/>
  <c r="F1052" i="6"/>
  <c r="H1052" i="6"/>
  <c r="I1052" i="6"/>
  <c r="N1052" i="6"/>
  <c r="R1052" i="6"/>
  <c r="Q1052" i="6" s="1"/>
  <c r="S1052" i="6" s="1"/>
  <c r="T1052" i="6"/>
  <c r="B1053" i="6"/>
  <c r="C1053" i="6"/>
  <c r="D1053" i="6"/>
  <c r="E1053" i="6"/>
  <c r="F1053" i="6"/>
  <c r="H1053" i="6"/>
  <c r="I1053" i="6"/>
  <c r="L1053" i="6"/>
  <c r="N1053" i="6"/>
  <c r="Q1053" i="6"/>
  <c r="R1053" i="6"/>
  <c r="S1053" i="6"/>
  <c r="T1053" i="6"/>
  <c r="B1054" i="6"/>
  <c r="C1054" i="6"/>
  <c r="D1054" i="6"/>
  <c r="L1054" i="6" s="1"/>
  <c r="E1054" i="6"/>
  <c r="F1054" i="6"/>
  <c r="H1054" i="6"/>
  <c r="I1054" i="6"/>
  <c r="N1054" i="6"/>
  <c r="R1054" i="6"/>
  <c r="Q1054" i="6" s="1"/>
  <c r="S1054" i="6" s="1"/>
  <c r="T1054" i="6"/>
  <c r="B1055" i="6"/>
  <c r="C1055" i="6"/>
  <c r="D1055" i="6"/>
  <c r="E1055" i="6"/>
  <c r="F1055" i="6"/>
  <c r="H1055" i="6"/>
  <c r="I1055" i="6"/>
  <c r="L1055" i="6"/>
  <c r="N1055" i="6"/>
  <c r="Q1055" i="6"/>
  <c r="R1055" i="6"/>
  <c r="S1055" i="6"/>
  <c r="T1055" i="6"/>
  <c r="B1056" i="6"/>
  <c r="C1056" i="6"/>
  <c r="D1056" i="6"/>
  <c r="L1056" i="6" s="1"/>
  <c r="E1056" i="6"/>
  <c r="F1056" i="6"/>
  <c r="H1056" i="6"/>
  <c r="I1056" i="6"/>
  <c r="N1056" i="6"/>
  <c r="R1056" i="6"/>
  <c r="Q1056" i="6" s="1"/>
  <c r="T1056" i="6"/>
  <c r="B1057" i="6"/>
  <c r="C1057" i="6"/>
  <c r="D1057" i="6"/>
  <c r="E1057" i="6"/>
  <c r="F1057" i="6"/>
  <c r="H1057" i="6"/>
  <c r="I1057" i="6"/>
  <c r="L1057" i="6"/>
  <c r="N1057" i="6"/>
  <c r="Q1057" i="6"/>
  <c r="R1057" i="6"/>
  <c r="S1057" i="6"/>
  <c r="T1057" i="6"/>
  <c r="B1058" i="6"/>
  <c r="C1058" i="6"/>
  <c r="D1058" i="6"/>
  <c r="L1058" i="6" s="1"/>
  <c r="E1058" i="6"/>
  <c r="F1058" i="6"/>
  <c r="H1058" i="6"/>
  <c r="I1058" i="6"/>
  <c r="N1058" i="6"/>
  <c r="R1058" i="6"/>
  <c r="Q1058" i="6" s="1"/>
  <c r="S1058" i="6" s="1"/>
  <c r="T1058" i="6"/>
  <c r="B1059" i="6"/>
  <c r="C1059" i="6"/>
  <c r="D1059" i="6"/>
  <c r="E1059" i="6"/>
  <c r="F1059" i="6"/>
  <c r="H1059" i="6"/>
  <c r="I1059" i="6"/>
  <c r="L1059" i="6"/>
  <c r="N1059" i="6"/>
  <c r="Q1059" i="6"/>
  <c r="R1059" i="6"/>
  <c r="S1059" i="6"/>
  <c r="T1059" i="6"/>
  <c r="B1060" i="6"/>
  <c r="C1060" i="6"/>
  <c r="D1060" i="6"/>
  <c r="L1060" i="6" s="1"/>
  <c r="E1060" i="6"/>
  <c r="F1060" i="6"/>
  <c r="H1060" i="6"/>
  <c r="I1060" i="6"/>
  <c r="N1060" i="6"/>
  <c r="R1060" i="6"/>
  <c r="Q1060" i="6" s="1"/>
  <c r="S1060" i="6" s="1"/>
  <c r="T1060" i="6"/>
  <c r="B1061" i="6"/>
  <c r="C1061" i="6"/>
  <c r="D1061" i="6"/>
  <c r="E1061" i="6"/>
  <c r="F1061" i="6"/>
  <c r="H1061" i="6"/>
  <c r="I1061" i="6"/>
  <c r="L1061" i="6"/>
  <c r="N1061" i="6"/>
  <c r="Q1061" i="6"/>
  <c r="R1061" i="6"/>
  <c r="S1061" i="6"/>
  <c r="T1061" i="6"/>
  <c r="B1062" i="6"/>
  <c r="C1062" i="6"/>
  <c r="D1062" i="6"/>
  <c r="L1062" i="6" s="1"/>
  <c r="E1062" i="6"/>
  <c r="F1062" i="6"/>
  <c r="H1062" i="6"/>
  <c r="I1062" i="6"/>
  <c r="N1062" i="6"/>
  <c r="R1062" i="6"/>
  <c r="Q1062" i="6" s="1"/>
  <c r="S1062" i="6" s="1"/>
  <c r="T1062" i="6"/>
  <c r="B1063" i="6"/>
  <c r="C1063" i="6"/>
  <c r="D1063" i="6"/>
  <c r="E1063" i="6"/>
  <c r="F1063" i="6"/>
  <c r="H1063" i="6"/>
  <c r="I1063" i="6"/>
  <c r="L1063" i="6"/>
  <c r="N1063" i="6"/>
  <c r="Q1063" i="6"/>
  <c r="R1063" i="6"/>
  <c r="S1063" i="6"/>
  <c r="T1063" i="6"/>
  <c r="B1064" i="6"/>
  <c r="C1064" i="6"/>
  <c r="D1064" i="6"/>
  <c r="L1064" i="6" s="1"/>
  <c r="E1064" i="6"/>
  <c r="F1064" i="6"/>
  <c r="H1064" i="6"/>
  <c r="I1064" i="6"/>
  <c r="N1064" i="6"/>
  <c r="R1064" i="6"/>
  <c r="Q1064" i="6" s="1"/>
  <c r="S1064" i="6" s="1"/>
  <c r="T1064" i="6"/>
  <c r="B1065" i="6"/>
  <c r="C1065" i="6"/>
  <c r="D1065" i="6"/>
  <c r="E1065" i="6"/>
  <c r="F1065" i="6"/>
  <c r="H1065" i="6"/>
  <c r="I1065" i="6"/>
  <c r="L1065" i="6"/>
  <c r="N1065" i="6"/>
  <c r="Q1065" i="6"/>
  <c r="R1065" i="6"/>
  <c r="S1065" i="6"/>
  <c r="T1065" i="6"/>
  <c r="B1066" i="6"/>
  <c r="C1066" i="6"/>
  <c r="D1066" i="6"/>
  <c r="L1066" i="6" s="1"/>
  <c r="E1066" i="6"/>
  <c r="F1066" i="6"/>
  <c r="H1066" i="6"/>
  <c r="I1066" i="6"/>
  <c r="N1066" i="6"/>
  <c r="R1066" i="6"/>
  <c r="Q1066" i="6" s="1"/>
  <c r="S1066" i="6" s="1"/>
  <c r="T1066" i="6"/>
  <c r="B1067" i="6"/>
  <c r="C1067" i="6"/>
  <c r="D1067" i="6"/>
  <c r="E1067" i="6"/>
  <c r="F1067" i="6"/>
  <c r="H1067" i="6"/>
  <c r="I1067" i="6"/>
  <c r="L1067" i="6"/>
  <c r="N1067" i="6"/>
  <c r="Q1067" i="6"/>
  <c r="R1067" i="6"/>
  <c r="S1067" i="6"/>
  <c r="T1067" i="6"/>
  <c r="B1069" i="6"/>
  <c r="C1069" i="6"/>
  <c r="D1069" i="6"/>
  <c r="E1069" i="6"/>
  <c r="F1069" i="6"/>
  <c r="G1069" i="6"/>
  <c r="H1069" i="6"/>
  <c r="I1069" i="6"/>
  <c r="J1069" i="6"/>
  <c r="K1069" i="6"/>
  <c r="L1069" i="6"/>
  <c r="N1069" i="6"/>
  <c r="O1069" i="6"/>
  <c r="P1069" i="6"/>
  <c r="Q1069" i="6"/>
  <c r="R1069" i="6"/>
  <c r="T1069" i="6"/>
  <c r="B1070" i="6"/>
  <c r="C1070" i="6"/>
  <c r="D1070" i="6"/>
  <c r="E1070" i="6"/>
  <c r="F1070" i="6"/>
  <c r="G1070" i="6"/>
  <c r="H1070" i="6"/>
  <c r="I1070" i="6"/>
  <c r="J1070" i="6"/>
  <c r="K1070" i="6"/>
  <c r="L1070" i="6"/>
  <c r="N1070" i="6"/>
  <c r="O1070" i="6"/>
  <c r="P1070" i="6"/>
  <c r="Q1070" i="6"/>
  <c r="R1070" i="6"/>
  <c r="T1070" i="6"/>
  <c r="B1071" i="6"/>
  <c r="C1071" i="6"/>
  <c r="D1071" i="6"/>
  <c r="E1071" i="6"/>
  <c r="F1071" i="6"/>
  <c r="G1071" i="6"/>
  <c r="H1071" i="6"/>
  <c r="I1071" i="6"/>
  <c r="J1071" i="6"/>
  <c r="K1071" i="6"/>
  <c r="L1071" i="6"/>
  <c r="N1071" i="6"/>
  <c r="O1071" i="6"/>
  <c r="P1071" i="6"/>
  <c r="Q1071" i="6"/>
  <c r="R1071" i="6"/>
  <c r="S1071" i="6"/>
  <c r="T1071" i="6"/>
  <c r="B1072" i="6"/>
  <c r="C1072" i="6"/>
  <c r="D1072" i="6"/>
  <c r="E1072" i="6"/>
  <c r="F1072" i="6"/>
  <c r="G1072" i="6"/>
  <c r="H1072" i="6"/>
  <c r="I1072" i="6"/>
  <c r="J1072" i="6"/>
  <c r="K1072" i="6"/>
  <c r="L1072" i="6"/>
  <c r="N1072" i="6"/>
  <c r="O1072" i="6"/>
  <c r="P1072" i="6"/>
  <c r="Q1072" i="6"/>
  <c r="R1072" i="6"/>
  <c r="S1072" i="6"/>
  <c r="T1072" i="6"/>
  <c r="B1073" i="6"/>
  <c r="C1073" i="6"/>
  <c r="D1073" i="6"/>
  <c r="E1073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B1074" i="6"/>
  <c r="C1074" i="6"/>
  <c r="D1074" i="6"/>
  <c r="E1074" i="6"/>
  <c r="F1074" i="6"/>
  <c r="G1074" i="6"/>
  <c r="H1074" i="6"/>
  <c r="I1074" i="6"/>
  <c r="J1074" i="6"/>
  <c r="K1074" i="6"/>
  <c r="L1074" i="6"/>
  <c r="M1074" i="6"/>
  <c r="N1074" i="6"/>
  <c r="O1074" i="6"/>
  <c r="P1074" i="6"/>
  <c r="Q1074" i="6"/>
  <c r="R1074" i="6"/>
  <c r="S1074" i="6"/>
  <c r="T1074" i="6"/>
  <c r="B1075" i="6"/>
  <c r="C1075" i="6"/>
  <c r="D1075" i="6"/>
  <c r="E1075" i="6"/>
  <c r="F1075" i="6"/>
  <c r="G1075" i="6"/>
  <c r="H1075" i="6"/>
  <c r="I1075" i="6"/>
  <c r="J1075" i="6"/>
  <c r="K1075" i="6"/>
  <c r="L1075" i="6"/>
  <c r="M1075" i="6"/>
  <c r="N1075" i="6"/>
  <c r="O1075" i="6"/>
  <c r="P1075" i="6"/>
  <c r="Q1075" i="6"/>
  <c r="R1075" i="6"/>
  <c r="S1075" i="6"/>
  <c r="T1075" i="6"/>
  <c r="B1076" i="6"/>
  <c r="C1076" i="6"/>
  <c r="D1076" i="6"/>
  <c r="E1076" i="6"/>
  <c r="F1076" i="6"/>
  <c r="G1076" i="6"/>
  <c r="H1076" i="6"/>
  <c r="I1076" i="6"/>
  <c r="J1076" i="6"/>
  <c r="K1076" i="6"/>
  <c r="L1076" i="6"/>
  <c r="M1076" i="6"/>
  <c r="N1076" i="6"/>
  <c r="O1076" i="6"/>
  <c r="P1076" i="6"/>
  <c r="Q1076" i="6"/>
  <c r="R1076" i="6"/>
  <c r="S1076" i="6"/>
  <c r="T1076" i="6"/>
  <c r="B1077" i="6"/>
  <c r="C1077" i="6"/>
  <c r="D1077" i="6"/>
  <c r="E1077" i="6"/>
  <c r="F1077" i="6"/>
  <c r="G1077" i="6"/>
  <c r="H1077" i="6"/>
  <c r="I1077" i="6"/>
  <c r="J1077" i="6"/>
  <c r="K1077" i="6"/>
  <c r="L1077" i="6"/>
  <c r="M1077" i="6"/>
  <c r="N1077" i="6"/>
  <c r="O1077" i="6"/>
  <c r="P1077" i="6"/>
  <c r="Q1077" i="6"/>
  <c r="R1077" i="6"/>
  <c r="S1077" i="6"/>
  <c r="T1077" i="6"/>
  <c r="B1078" i="6"/>
  <c r="C1078" i="6"/>
  <c r="D1078" i="6"/>
  <c r="E1078" i="6"/>
  <c r="F1078" i="6"/>
  <c r="G1078" i="6"/>
  <c r="H1078" i="6"/>
  <c r="I1078" i="6"/>
  <c r="J1078" i="6"/>
  <c r="K1078" i="6"/>
  <c r="L1078" i="6"/>
  <c r="M1078" i="6"/>
  <c r="N1078" i="6"/>
  <c r="O1078" i="6"/>
  <c r="P1078" i="6"/>
  <c r="Q1078" i="6"/>
  <c r="R1078" i="6"/>
  <c r="S1078" i="6"/>
  <c r="T1078" i="6"/>
  <c r="B1079" i="6"/>
  <c r="C1079" i="6"/>
  <c r="D1079" i="6"/>
  <c r="E1079" i="6"/>
  <c r="F1079" i="6"/>
  <c r="G1079" i="6"/>
  <c r="H1079" i="6"/>
  <c r="I1079" i="6"/>
  <c r="J1079" i="6"/>
  <c r="K1079" i="6"/>
  <c r="L1079" i="6"/>
  <c r="M1079" i="6"/>
  <c r="N1079" i="6"/>
  <c r="O1079" i="6"/>
  <c r="P1079" i="6"/>
  <c r="Q1079" i="6"/>
  <c r="R1079" i="6"/>
  <c r="S1079" i="6"/>
  <c r="T1079" i="6"/>
  <c r="B1080" i="6"/>
  <c r="C1080" i="6"/>
  <c r="D1080" i="6"/>
  <c r="E1080" i="6"/>
  <c r="F1080" i="6"/>
  <c r="G1080" i="6"/>
  <c r="H1080" i="6"/>
  <c r="I1080" i="6"/>
  <c r="J1080" i="6"/>
  <c r="K1080" i="6"/>
  <c r="L1080" i="6"/>
  <c r="M1080" i="6"/>
  <c r="N1080" i="6"/>
  <c r="O1080" i="6"/>
  <c r="P1080" i="6"/>
  <c r="Q1080" i="6"/>
  <c r="R1080" i="6"/>
  <c r="S1080" i="6"/>
  <c r="T1080" i="6"/>
  <c r="B1081" i="6"/>
  <c r="C1081" i="6"/>
  <c r="D1081" i="6"/>
  <c r="E1081" i="6"/>
  <c r="F1081" i="6"/>
  <c r="G1081" i="6"/>
  <c r="H1081" i="6"/>
  <c r="I1081" i="6"/>
  <c r="J1081" i="6"/>
  <c r="K1081" i="6"/>
  <c r="L1081" i="6"/>
  <c r="M1081" i="6"/>
  <c r="N1081" i="6"/>
  <c r="O1081" i="6"/>
  <c r="P1081" i="6"/>
  <c r="Q1081" i="6"/>
  <c r="R1081" i="6"/>
  <c r="S1081" i="6"/>
  <c r="T1081" i="6"/>
  <c r="B1082" i="6"/>
  <c r="C1082" i="6"/>
  <c r="D1082" i="6"/>
  <c r="E1082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B1083" i="6"/>
  <c r="C1083" i="6"/>
  <c r="D1083" i="6"/>
  <c r="E1083" i="6"/>
  <c r="F1083" i="6"/>
  <c r="G1083" i="6"/>
  <c r="H1083" i="6"/>
  <c r="I1083" i="6"/>
  <c r="J1083" i="6"/>
  <c r="K1083" i="6"/>
  <c r="L1083" i="6"/>
  <c r="M1083" i="6"/>
  <c r="N1083" i="6"/>
  <c r="O1083" i="6"/>
  <c r="P1083" i="6"/>
  <c r="Q1083" i="6"/>
  <c r="R1083" i="6"/>
  <c r="S1083" i="6"/>
  <c r="T1083" i="6"/>
  <c r="B1084" i="6"/>
  <c r="C1084" i="6"/>
  <c r="D1084" i="6"/>
  <c r="E1084" i="6"/>
  <c r="F1084" i="6"/>
  <c r="G1084" i="6"/>
  <c r="H1084" i="6"/>
  <c r="I1084" i="6"/>
  <c r="J1084" i="6"/>
  <c r="K1084" i="6"/>
  <c r="L1084" i="6"/>
  <c r="M1084" i="6"/>
  <c r="N1084" i="6"/>
  <c r="O1084" i="6"/>
  <c r="P1084" i="6"/>
  <c r="Q1084" i="6"/>
  <c r="R1084" i="6"/>
  <c r="S1084" i="6"/>
  <c r="T1084" i="6"/>
  <c r="B1085" i="6"/>
  <c r="C1085" i="6"/>
  <c r="D1085" i="6"/>
  <c r="E1085" i="6"/>
  <c r="F1085" i="6"/>
  <c r="G1085" i="6"/>
  <c r="H1085" i="6"/>
  <c r="I1085" i="6"/>
  <c r="J1085" i="6"/>
  <c r="K1085" i="6"/>
  <c r="L1085" i="6"/>
  <c r="M1085" i="6"/>
  <c r="N1085" i="6"/>
  <c r="O1085" i="6"/>
  <c r="P1085" i="6"/>
  <c r="Q1085" i="6"/>
  <c r="R1085" i="6"/>
  <c r="S1085" i="6"/>
  <c r="T1085" i="6"/>
  <c r="B1086" i="6"/>
  <c r="C1086" i="6"/>
  <c r="D1086" i="6"/>
  <c r="E1086" i="6"/>
  <c r="F1086" i="6"/>
  <c r="G1086" i="6"/>
  <c r="H1086" i="6"/>
  <c r="I1086" i="6"/>
  <c r="J1086" i="6"/>
  <c r="K1086" i="6"/>
  <c r="L1086" i="6"/>
  <c r="M1086" i="6"/>
  <c r="N1086" i="6"/>
  <c r="O1086" i="6"/>
  <c r="P1086" i="6"/>
  <c r="Q1086" i="6"/>
  <c r="R1086" i="6"/>
  <c r="S1086" i="6"/>
  <c r="T1086" i="6"/>
  <c r="B1087" i="6"/>
  <c r="C1087" i="6"/>
  <c r="D1087" i="6"/>
  <c r="E1087" i="6"/>
  <c r="F1087" i="6"/>
  <c r="G1087" i="6"/>
  <c r="H1087" i="6"/>
  <c r="I1087" i="6"/>
  <c r="J1087" i="6"/>
  <c r="K1087" i="6"/>
  <c r="L1087" i="6"/>
  <c r="M1087" i="6"/>
  <c r="N1087" i="6"/>
  <c r="O1087" i="6"/>
  <c r="P1087" i="6"/>
  <c r="Q1087" i="6"/>
  <c r="R1087" i="6"/>
  <c r="S1087" i="6"/>
  <c r="T1087" i="6"/>
  <c r="B1088" i="6"/>
  <c r="C1088" i="6"/>
  <c r="D1088" i="6"/>
  <c r="E1088" i="6"/>
  <c r="F1088" i="6"/>
  <c r="G1088" i="6"/>
  <c r="H1088" i="6"/>
  <c r="I1088" i="6"/>
  <c r="J1088" i="6"/>
  <c r="K1088" i="6"/>
  <c r="L1088" i="6"/>
  <c r="M1088" i="6"/>
  <c r="N1088" i="6"/>
  <c r="O1088" i="6"/>
  <c r="P1088" i="6"/>
  <c r="Q1088" i="6"/>
  <c r="R1088" i="6"/>
  <c r="S1088" i="6"/>
  <c r="T1088" i="6"/>
  <c r="B1089" i="6"/>
  <c r="C1089" i="6"/>
  <c r="D1089" i="6"/>
  <c r="E1089" i="6"/>
  <c r="F1089" i="6"/>
  <c r="G1089" i="6"/>
  <c r="H1089" i="6"/>
  <c r="I1089" i="6"/>
  <c r="J1089" i="6"/>
  <c r="K1089" i="6"/>
  <c r="L1089" i="6"/>
  <c r="M1089" i="6"/>
  <c r="N1089" i="6"/>
  <c r="O1089" i="6"/>
  <c r="P1089" i="6"/>
  <c r="Q1089" i="6"/>
  <c r="R1089" i="6"/>
  <c r="S1089" i="6"/>
  <c r="T1089" i="6"/>
  <c r="B1090" i="6"/>
  <c r="C1090" i="6"/>
  <c r="D1090" i="6"/>
  <c r="E1090" i="6"/>
  <c r="F1090" i="6"/>
  <c r="G1090" i="6"/>
  <c r="H1090" i="6"/>
  <c r="I1090" i="6"/>
  <c r="J1090" i="6"/>
  <c r="K1090" i="6"/>
  <c r="L1090" i="6"/>
  <c r="M1090" i="6"/>
  <c r="N1090" i="6"/>
  <c r="O1090" i="6"/>
  <c r="P1090" i="6"/>
  <c r="Q1090" i="6"/>
  <c r="R1090" i="6"/>
  <c r="S1090" i="6"/>
  <c r="T1090" i="6"/>
  <c r="B1091" i="6"/>
  <c r="C1091" i="6"/>
  <c r="D1091" i="6"/>
  <c r="E1091" i="6"/>
  <c r="F1091" i="6"/>
  <c r="G1091" i="6"/>
  <c r="H1091" i="6"/>
  <c r="I1091" i="6"/>
  <c r="J1091" i="6"/>
  <c r="K1091" i="6"/>
  <c r="L1091" i="6"/>
  <c r="M1091" i="6"/>
  <c r="N1091" i="6"/>
  <c r="O1091" i="6"/>
  <c r="P1091" i="6"/>
  <c r="Q1091" i="6"/>
  <c r="R1091" i="6"/>
  <c r="S1091" i="6"/>
  <c r="T1091" i="6"/>
  <c r="B1092" i="6"/>
  <c r="C1092" i="6"/>
  <c r="D1092" i="6"/>
  <c r="E1092" i="6"/>
  <c r="F1092" i="6"/>
  <c r="G1092" i="6"/>
  <c r="H1092" i="6"/>
  <c r="I1092" i="6"/>
  <c r="J1092" i="6"/>
  <c r="K1092" i="6"/>
  <c r="L1092" i="6"/>
  <c r="M1092" i="6"/>
  <c r="N1092" i="6"/>
  <c r="O1092" i="6"/>
  <c r="P1092" i="6"/>
  <c r="Q1092" i="6"/>
  <c r="R1092" i="6"/>
  <c r="S1092" i="6"/>
  <c r="T1092" i="6"/>
  <c r="B1093" i="6"/>
  <c r="C1093" i="6"/>
  <c r="D1093" i="6"/>
  <c r="E1093" i="6"/>
  <c r="F1093" i="6"/>
  <c r="G1093" i="6"/>
  <c r="H1093" i="6"/>
  <c r="I1093" i="6"/>
  <c r="J1093" i="6"/>
  <c r="K1093" i="6"/>
  <c r="L1093" i="6"/>
  <c r="M1093" i="6"/>
  <c r="N1093" i="6"/>
  <c r="O1093" i="6"/>
  <c r="P1093" i="6"/>
  <c r="Q1093" i="6"/>
  <c r="R1093" i="6"/>
  <c r="S1093" i="6"/>
  <c r="T1093" i="6"/>
  <c r="A1094" i="6"/>
  <c r="B1094" i="6"/>
  <c r="C1094" i="6"/>
  <c r="D1094" i="6"/>
  <c r="E1094" i="6"/>
  <c r="F1094" i="6"/>
  <c r="G1094" i="6"/>
  <c r="H1094" i="6"/>
  <c r="I1094" i="6"/>
  <c r="J1094" i="6"/>
  <c r="K1094" i="6"/>
  <c r="L1094" i="6"/>
  <c r="M1094" i="6"/>
  <c r="N1094" i="6"/>
  <c r="O1094" i="6"/>
  <c r="P1094" i="6"/>
  <c r="Q1094" i="6"/>
  <c r="R1094" i="6"/>
  <c r="S1094" i="6"/>
  <c r="T1094" i="6"/>
  <c r="A1095" i="6"/>
  <c r="B1095" i="6"/>
  <c r="C1095" i="6"/>
  <c r="D1095" i="6"/>
  <c r="E1095" i="6"/>
  <c r="F1095" i="6"/>
  <c r="G1095" i="6"/>
  <c r="H1095" i="6"/>
  <c r="I1095" i="6"/>
  <c r="J1095" i="6"/>
  <c r="K1095" i="6"/>
  <c r="L1095" i="6"/>
  <c r="M1095" i="6"/>
  <c r="N1095" i="6"/>
  <c r="O1095" i="6"/>
  <c r="P1095" i="6"/>
  <c r="Q1095" i="6"/>
  <c r="R1095" i="6"/>
  <c r="S1095" i="6"/>
  <c r="T1095" i="6"/>
  <c r="A1096" i="6"/>
  <c r="B1096" i="6"/>
  <c r="C1096" i="6"/>
  <c r="D1096" i="6"/>
  <c r="E1096" i="6"/>
  <c r="F1096" i="6"/>
  <c r="G1096" i="6"/>
  <c r="H1096" i="6"/>
  <c r="I1096" i="6"/>
  <c r="J1096" i="6"/>
  <c r="K1096" i="6"/>
  <c r="L1096" i="6"/>
  <c r="M1096" i="6"/>
  <c r="N1096" i="6"/>
  <c r="O1096" i="6"/>
  <c r="P1096" i="6"/>
  <c r="Q1096" i="6"/>
  <c r="R1096" i="6"/>
  <c r="S1096" i="6"/>
  <c r="T1096" i="6"/>
  <c r="A1097" i="6"/>
  <c r="B1097" i="6"/>
  <c r="C1097" i="6"/>
  <c r="D1097" i="6"/>
  <c r="E1097" i="6"/>
  <c r="F1097" i="6"/>
  <c r="G1097" i="6"/>
  <c r="H1097" i="6"/>
  <c r="I1097" i="6"/>
  <c r="J1097" i="6"/>
  <c r="K1097" i="6"/>
  <c r="L1097" i="6"/>
  <c r="M1097" i="6"/>
  <c r="N1097" i="6"/>
  <c r="O1097" i="6"/>
  <c r="P1097" i="6"/>
  <c r="Q1097" i="6"/>
  <c r="R1097" i="6"/>
  <c r="S1097" i="6"/>
  <c r="T1097" i="6"/>
  <c r="A1098" i="6"/>
  <c r="B1098" i="6"/>
  <c r="C1098" i="6"/>
  <c r="D1098" i="6"/>
  <c r="E1098" i="6"/>
  <c r="F1098" i="6"/>
  <c r="G1098" i="6"/>
  <c r="H1098" i="6"/>
  <c r="I1098" i="6"/>
  <c r="J1098" i="6"/>
  <c r="K1098" i="6"/>
  <c r="L1098" i="6"/>
  <c r="M1098" i="6"/>
  <c r="N1098" i="6"/>
  <c r="O1098" i="6"/>
  <c r="P1098" i="6"/>
  <c r="Q1098" i="6"/>
  <c r="R1098" i="6"/>
  <c r="S1098" i="6"/>
  <c r="T1098" i="6"/>
  <c r="A1099" i="6"/>
  <c r="B1099" i="6"/>
  <c r="C1099" i="6"/>
  <c r="D1099" i="6"/>
  <c r="E1099" i="6"/>
  <c r="F1099" i="6"/>
  <c r="G1099" i="6"/>
  <c r="H1099" i="6"/>
  <c r="I1099" i="6"/>
  <c r="J1099" i="6"/>
  <c r="K1099" i="6"/>
  <c r="L1099" i="6"/>
  <c r="M1099" i="6"/>
  <c r="N1099" i="6"/>
  <c r="O1099" i="6"/>
  <c r="P1099" i="6"/>
  <c r="Q1099" i="6"/>
  <c r="R1099" i="6"/>
  <c r="S1099" i="6"/>
  <c r="T1099" i="6"/>
  <c r="A1100" i="6"/>
  <c r="B1100" i="6"/>
  <c r="C1100" i="6"/>
  <c r="D1100" i="6"/>
  <c r="E1100" i="6"/>
  <c r="F1100" i="6"/>
  <c r="G1100" i="6"/>
  <c r="H1100" i="6"/>
  <c r="I1100" i="6"/>
  <c r="J1100" i="6"/>
  <c r="K1100" i="6"/>
  <c r="L1100" i="6"/>
  <c r="M1100" i="6"/>
  <c r="N1100" i="6"/>
  <c r="O1100" i="6"/>
  <c r="P1100" i="6"/>
  <c r="Q1100" i="6"/>
  <c r="R1100" i="6"/>
  <c r="S1100" i="6"/>
  <c r="T1100" i="6"/>
  <c r="A1101" i="6"/>
  <c r="B1101" i="6"/>
  <c r="C1101" i="6"/>
  <c r="D1101" i="6"/>
  <c r="E1101" i="6"/>
  <c r="F1101" i="6"/>
  <c r="G1101" i="6"/>
  <c r="H1101" i="6"/>
  <c r="I1101" i="6"/>
  <c r="J1101" i="6"/>
  <c r="K1101" i="6"/>
  <c r="L1101" i="6"/>
  <c r="M1101" i="6"/>
  <c r="N1101" i="6"/>
  <c r="O1101" i="6"/>
  <c r="P1101" i="6"/>
  <c r="Q1101" i="6"/>
  <c r="R1101" i="6"/>
  <c r="S1101" i="6"/>
  <c r="T1101" i="6"/>
  <c r="A1102" i="6"/>
  <c r="B1102" i="6"/>
  <c r="C1102" i="6"/>
  <c r="D1102" i="6"/>
  <c r="E1102" i="6"/>
  <c r="F1102" i="6"/>
  <c r="G1102" i="6"/>
  <c r="H1102" i="6"/>
  <c r="I1102" i="6"/>
  <c r="J1102" i="6"/>
  <c r="K1102" i="6"/>
  <c r="L1102" i="6"/>
  <c r="M1102" i="6"/>
  <c r="N1102" i="6"/>
  <c r="O1102" i="6"/>
  <c r="P1102" i="6"/>
  <c r="Q1102" i="6"/>
  <c r="R1102" i="6"/>
  <c r="S1102" i="6"/>
  <c r="T1102" i="6"/>
  <c r="A1103" i="6"/>
  <c r="B1103" i="6"/>
  <c r="C1103" i="6"/>
  <c r="D1103" i="6"/>
  <c r="E1103" i="6"/>
  <c r="F1103" i="6"/>
  <c r="G1103" i="6"/>
  <c r="H1103" i="6"/>
  <c r="I1103" i="6"/>
  <c r="J1103" i="6"/>
  <c r="K1103" i="6"/>
  <c r="L1103" i="6"/>
  <c r="M1103" i="6"/>
  <c r="N1103" i="6"/>
  <c r="O1103" i="6"/>
  <c r="P1103" i="6"/>
  <c r="Q1103" i="6"/>
  <c r="R1103" i="6"/>
  <c r="S1103" i="6"/>
  <c r="T1103" i="6"/>
  <c r="A1104" i="6"/>
  <c r="B1104" i="6"/>
  <c r="C1104" i="6"/>
  <c r="D1104" i="6"/>
  <c r="E1104" i="6"/>
  <c r="F1104" i="6"/>
  <c r="G1104" i="6"/>
  <c r="H1104" i="6"/>
  <c r="I1104" i="6"/>
  <c r="J1104" i="6"/>
  <c r="K1104" i="6"/>
  <c r="L1104" i="6"/>
  <c r="M1104" i="6"/>
  <c r="N1104" i="6"/>
  <c r="O1104" i="6"/>
  <c r="P1104" i="6"/>
  <c r="Q1104" i="6"/>
  <c r="R1104" i="6"/>
  <c r="S1104" i="6"/>
  <c r="T1104" i="6"/>
  <c r="A1105" i="6"/>
  <c r="B1105" i="6"/>
  <c r="C1105" i="6"/>
  <c r="D1105" i="6"/>
  <c r="E1105" i="6"/>
  <c r="F1105" i="6"/>
  <c r="G1105" i="6"/>
  <c r="H1105" i="6"/>
  <c r="I1105" i="6"/>
  <c r="J1105" i="6"/>
  <c r="K1105" i="6"/>
  <c r="L1105" i="6"/>
  <c r="M1105" i="6"/>
  <c r="N1105" i="6"/>
  <c r="O1105" i="6"/>
  <c r="P1105" i="6"/>
  <c r="Q1105" i="6"/>
  <c r="R1105" i="6"/>
  <c r="S1105" i="6"/>
  <c r="T1105" i="6"/>
  <c r="A1106" i="6"/>
  <c r="B1106" i="6"/>
  <c r="C1106" i="6"/>
  <c r="D1106" i="6"/>
  <c r="E1106" i="6"/>
  <c r="F1106" i="6"/>
  <c r="G1106" i="6"/>
  <c r="H1106" i="6"/>
  <c r="I1106" i="6"/>
  <c r="J1106" i="6"/>
  <c r="K1106" i="6"/>
  <c r="L1106" i="6"/>
  <c r="M1106" i="6"/>
  <c r="N1106" i="6"/>
  <c r="O1106" i="6"/>
  <c r="P1106" i="6"/>
  <c r="Q1106" i="6"/>
  <c r="R1106" i="6"/>
  <c r="S1106" i="6"/>
  <c r="T1106" i="6"/>
  <c r="A1107" i="6"/>
  <c r="B1107" i="6"/>
  <c r="C1107" i="6"/>
  <c r="D1107" i="6"/>
  <c r="E1107" i="6"/>
  <c r="F1107" i="6"/>
  <c r="G1107" i="6"/>
  <c r="H1107" i="6"/>
  <c r="I1107" i="6"/>
  <c r="J1107" i="6"/>
  <c r="K1107" i="6"/>
  <c r="L1107" i="6"/>
  <c r="M1107" i="6"/>
  <c r="N1107" i="6"/>
  <c r="O1107" i="6"/>
  <c r="P1107" i="6"/>
  <c r="Q1107" i="6"/>
  <c r="R1107" i="6"/>
  <c r="S1107" i="6"/>
  <c r="T1107" i="6"/>
  <c r="A1108" i="6"/>
  <c r="B1108" i="6"/>
  <c r="C1108" i="6"/>
  <c r="D1108" i="6"/>
  <c r="E1108" i="6"/>
  <c r="F1108" i="6"/>
  <c r="G1108" i="6"/>
  <c r="H1108" i="6"/>
  <c r="I1108" i="6"/>
  <c r="J1108" i="6"/>
  <c r="K1108" i="6"/>
  <c r="L1108" i="6"/>
  <c r="M1108" i="6"/>
  <c r="N1108" i="6"/>
  <c r="O1108" i="6"/>
  <c r="P1108" i="6"/>
  <c r="Q1108" i="6"/>
  <c r="R1108" i="6"/>
  <c r="S1108" i="6"/>
  <c r="T1108" i="6"/>
  <c r="A1109" i="6"/>
  <c r="B1109" i="6"/>
  <c r="C1109" i="6"/>
  <c r="D1109" i="6"/>
  <c r="E1109" i="6"/>
  <c r="F1109" i="6"/>
  <c r="G1109" i="6"/>
  <c r="H1109" i="6"/>
  <c r="I1109" i="6"/>
  <c r="J1109" i="6"/>
  <c r="K1109" i="6"/>
  <c r="L1109" i="6"/>
  <c r="M1109" i="6"/>
  <c r="N1109" i="6"/>
  <c r="O1109" i="6"/>
  <c r="P1109" i="6"/>
  <c r="Q1109" i="6"/>
  <c r="R1109" i="6"/>
  <c r="S1109" i="6"/>
  <c r="T1109" i="6"/>
  <c r="A1110" i="6"/>
  <c r="B1110" i="6"/>
  <c r="C1110" i="6"/>
  <c r="D1110" i="6"/>
  <c r="E1110" i="6"/>
  <c r="F1110" i="6"/>
  <c r="G1110" i="6"/>
  <c r="H1110" i="6"/>
  <c r="I1110" i="6"/>
  <c r="J1110" i="6"/>
  <c r="K1110" i="6"/>
  <c r="L1110" i="6"/>
  <c r="M1110" i="6"/>
  <c r="N1110" i="6"/>
  <c r="O1110" i="6"/>
  <c r="P1110" i="6"/>
  <c r="Q1110" i="6"/>
  <c r="R1110" i="6"/>
  <c r="S1110" i="6"/>
  <c r="T1110" i="6"/>
  <c r="A1111" i="6"/>
  <c r="B1111" i="6"/>
  <c r="C1111" i="6"/>
  <c r="D1111" i="6"/>
  <c r="E1111" i="6"/>
  <c r="F1111" i="6"/>
  <c r="G1111" i="6"/>
  <c r="H1111" i="6"/>
  <c r="I1111" i="6"/>
  <c r="J1111" i="6"/>
  <c r="K1111" i="6"/>
  <c r="L1111" i="6"/>
  <c r="M1111" i="6"/>
  <c r="N1111" i="6"/>
  <c r="O1111" i="6"/>
  <c r="P1111" i="6"/>
  <c r="Q1111" i="6"/>
  <c r="R1111" i="6"/>
  <c r="S1111" i="6"/>
  <c r="T1111" i="6"/>
  <c r="A1112" i="6"/>
  <c r="B1112" i="6"/>
  <c r="C1112" i="6"/>
  <c r="D1112" i="6"/>
  <c r="E1112" i="6"/>
  <c r="F1112" i="6"/>
  <c r="G1112" i="6"/>
  <c r="H1112" i="6"/>
  <c r="I1112" i="6"/>
  <c r="J1112" i="6"/>
  <c r="K1112" i="6"/>
  <c r="L1112" i="6"/>
  <c r="M1112" i="6"/>
  <c r="N1112" i="6"/>
  <c r="O1112" i="6"/>
  <c r="P1112" i="6"/>
  <c r="Q1112" i="6"/>
  <c r="R1112" i="6"/>
  <c r="S1112" i="6"/>
  <c r="T1112" i="6"/>
  <c r="A1113" i="6"/>
  <c r="B1113" i="6"/>
  <c r="C1113" i="6"/>
  <c r="D1113" i="6"/>
  <c r="E1113" i="6"/>
  <c r="F1113" i="6"/>
  <c r="G1113" i="6"/>
  <c r="H1113" i="6"/>
  <c r="I1113" i="6"/>
  <c r="J1113" i="6"/>
  <c r="K1113" i="6"/>
  <c r="L1113" i="6"/>
  <c r="M1113" i="6"/>
  <c r="N1113" i="6"/>
  <c r="O1113" i="6"/>
  <c r="P1113" i="6"/>
  <c r="Q1113" i="6"/>
  <c r="R1113" i="6"/>
  <c r="S1113" i="6"/>
  <c r="T1113" i="6"/>
  <c r="A1114" i="6"/>
  <c r="B1114" i="6"/>
  <c r="C1114" i="6"/>
  <c r="D1114" i="6"/>
  <c r="E1114" i="6"/>
  <c r="F1114" i="6"/>
  <c r="G1114" i="6"/>
  <c r="H1114" i="6"/>
  <c r="I1114" i="6"/>
  <c r="J1114" i="6"/>
  <c r="K1114" i="6"/>
  <c r="L1114" i="6"/>
  <c r="M1114" i="6"/>
  <c r="N1114" i="6"/>
  <c r="O1114" i="6"/>
  <c r="P1114" i="6"/>
  <c r="Q1114" i="6"/>
  <c r="R1114" i="6"/>
  <c r="S1114" i="6"/>
  <c r="T1114" i="6"/>
  <c r="A1115" i="6"/>
  <c r="B1115" i="6"/>
  <c r="C1115" i="6"/>
  <c r="D1115" i="6"/>
  <c r="E1115" i="6"/>
  <c r="F1115" i="6"/>
  <c r="G1115" i="6"/>
  <c r="H1115" i="6"/>
  <c r="I1115" i="6"/>
  <c r="J1115" i="6"/>
  <c r="K1115" i="6"/>
  <c r="L1115" i="6"/>
  <c r="M1115" i="6"/>
  <c r="N1115" i="6"/>
  <c r="O1115" i="6"/>
  <c r="P1115" i="6"/>
  <c r="Q1115" i="6"/>
  <c r="R1115" i="6"/>
  <c r="S1115" i="6"/>
  <c r="T1115" i="6"/>
  <c r="A1116" i="6"/>
  <c r="B1116" i="6"/>
  <c r="C1116" i="6"/>
  <c r="D1116" i="6"/>
  <c r="E1116" i="6"/>
  <c r="F1116" i="6"/>
  <c r="G1116" i="6"/>
  <c r="H1116" i="6"/>
  <c r="I1116" i="6"/>
  <c r="J1116" i="6"/>
  <c r="K1116" i="6"/>
  <c r="L1116" i="6"/>
  <c r="M1116" i="6"/>
  <c r="N1116" i="6"/>
  <c r="O1116" i="6"/>
  <c r="P1116" i="6"/>
  <c r="Q1116" i="6"/>
  <c r="R1116" i="6"/>
  <c r="S1116" i="6"/>
  <c r="T1116" i="6"/>
  <c r="A1117" i="6"/>
  <c r="B1117" i="6"/>
  <c r="C1117" i="6"/>
  <c r="D1117" i="6"/>
  <c r="E1117" i="6"/>
  <c r="F1117" i="6"/>
  <c r="G1117" i="6"/>
  <c r="H1117" i="6"/>
  <c r="I1117" i="6"/>
  <c r="J1117" i="6"/>
  <c r="K1117" i="6"/>
  <c r="L1117" i="6"/>
  <c r="M1117" i="6"/>
  <c r="N1117" i="6"/>
  <c r="O1117" i="6"/>
  <c r="P1117" i="6"/>
  <c r="Q1117" i="6"/>
  <c r="R1117" i="6"/>
  <c r="S1117" i="6"/>
  <c r="T1117" i="6"/>
  <c r="A1118" i="6"/>
  <c r="B1118" i="6"/>
  <c r="C1118" i="6"/>
  <c r="D1118" i="6"/>
  <c r="E1118" i="6"/>
  <c r="F1118" i="6"/>
  <c r="G1118" i="6"/>
  <c r="H1118" i="6"/>
  <c r="I1118" i="6"/>
  <c r="J1118" i="6"/>
  <c r="K1118" i="6"/>
  <c r="M1118" i="6"/>
  <c r="N1118" i="6"/>
  <c r="O1118" i="6"/>
  <c r="P1118" i="6"/>
  <c r="Q1118" i="6"/>
  <c r="R1118" i="6"/>
  <c r="S1118" i="6"/>
  <c r="T1118" i="6"/>
  <c r="A1119" i="6"/>
  <c r="B1119" i="6"/>
  <c r="C1119" i="6"/>
  <c r="D1119" i="6"/>
  <c r="E1119" i="6"/>
  <c r="F1119" i="6"/>
  <c r="G1119" i="6"/>
  <c r="H1119" i="6"/>
  <c r="I1119" i="6"/>
  <c r="J1119" i="6"/>
  <c r="K1119" i="6"/>
  <c r="M1119" i="6"/>
  <c r="N1119" i="6"/>
  <c r="O1119" i="6"/>
  <c r="P1119" i="6"/>
  <c r="Q1119" i="6"/>
  <c r="R1119" i="6"/>
  <c r="S1119" i="6"/>
  <c r="T1119" i="6"/>
  <c r="A1120" i="6"/>
  <c r="B1120" i="6"/>
  <c r="C1120" i="6"/>
  <c r="D1120" i="6"/>
  <c r="E1120" i="6"/>
  <c r="F1120" i="6"/>
  <c r="G1120" i="6"/>
  <c r="H1120" i="6"/>
  <c r="I1120" i="6"/>
  <c r="J1120" i="6"/>
  <c r="K1120" i="6"/>
  <c r="M1120" i="6"/>
  <c r="N1120" i="6"/>
  <c r="O1120" i="6"/>
  <c r="P1120" i="6"/>
  <c r="Q1120" i="6"/>
  <c r="R1120" i="6"/>
  <c r="S1120" i="6"/>
  <c r="T1120" i="6"/>
  <c r="A1121" i="6"/>
  <c r="B1121" i="6"/>
  <c r="C1121" i="6"/>
  <c r="D1121" i="6"/>
  <c r="E1121" i="6"/>
  <c r="F1121" i="6"/>
  <c r="G1121" i="6"/>
  <c r="H1121" i="6"/>
  <c r="I1121" i="6"/>
  <c r="J1121" i="6"/>
  <c r="K1121" i="6"/>
  <c r="M1121" i="6"/>
  <c r="N1121" i="6"/>
  <c r="O1121" i="6"/>
  <c r="P1121" i="6"/>
  <c r="Q1121" i="6"/>
  <c r="R1121" i="6"/>
  <c r="S1121" i="6"/>
  <c r="T1121" i="6"/>
  <c r="A1122" i="6"/>
  <c r="B1122" i="6"/>
  <c r="C1122" i="6"/>
  <c r="D1122" i="6"/>
  <c r="E1122" i="6"/>
  <c r="F1122" i="6"/>
  <c r="G1122" i="6"/>
  <c r="H1122" i="6"/>
  <c r="I1122" i="6"/>
  <c r="J1122" i="6"/>
  <c r="K1122" i="6"/>
  <c r="L1122" i="6"/>
  <c r="M1122" i="6"/>
  <c r="N1122" i="6"/>
  <c r="O1122" i="6"/>
  <c r="P1122" i="6"/>
  <c r="Q1122" i="6"/>
  <c r="R1122" i="6"/>
  <c r="S1122" i="6"/>
  <c r="T1122" i="6"/>
  <c r="A1123" i="6"/>
  <c r="B1123" i="6"/>
  <c r="C1123" i="6"/>
  <c r="D1123" i="6"/>
  <c r="E1123" i="6"/>
  <c r="F1123" i="6"/>
  <c r="G1123" i="6"/>
  <c r="H1123" i="6"/>
  <c r="I1123" i="6"/>
  <c r="J1123" i="6"/>
  <c r="K1123" i="6"/>
  <c r="L1123" i="6"/>
  <c r="M1123" i="6"/>
  <c r="N1123" i="6"/>
  <c r="O1123" i="6"/>
  <c r="P1123" i="6"/>
  <c r="Q1123" i="6"/>
  <c r="R1123" i="6"/>
  <c r="S1123" i="6"/>
  <c r="T1123" i="6"/>
  <c r="A1124" i="6"/>
  <c r="B1124" i="6"/>
  <c r="C1124" i="6"/>
  <c r="D1124" i="6"/>
  <c r="E1124" i="6"/>
  <c r="F1124" i="6"/>
  <c r="G1124" i="6"/>
  <c r="H1124" i="6"/>
  <c r="I1124" i="6"/>
  <c r="J1124" i="6"/>
  <c r="K1124" i="6"/>
  <c r="L1124" i="6"/>
  <c r="M1124" i="6"/>
  <c r="N1124" i="6"/>
  <c r="O1124" i="6"/>
  <c r="P1124" i="6"/>
  <c r="Q1124" i="6"/>
  <c r="R1124" i="6"/>
  <c r="S1124" i="6"/>
  <c r="T1124" i="6"/>
  <c r="A1125" i="6"/>
  <c r="B1125" i="6"/>
  <c r="C1125" i="6"/>
  <c r="D1125" i="6"/>
  <c r="E1125" i="6"/>
  <c r="F1125" i="6"/>
  <c r="G1125" i="6"/>
  <c r="H1125" i="6"/>
  <c r="I1125" i="6"/>
  <c r="J1125" i="6"/>
  <c r="K1125" i="6"/>
  <c r="L1125" i="6"/>
  <c r="M1125" i="6"/>
  <c r="N1125" i="6"/>
  <c r="O1125" i="6"/>
  <c r="P1125" i="6"/>
  <c r="Q1125" i="6"/>
  <c r="R1125" i="6"/>
  <c r="S1125" i="6"/>
  <c r="T1125" i="6"/>
  <c r="A1126" i="6"/>
  <c r="B1126" i="6"/>
  <c r="C1126" i="6"/>
  <c r="D1126" i="6"/>
  <c r="E1126" i="6"/>
  <c r="F1126" i="6"/>
  <c r="G1126" i="6"/>
  <c r="H1126" i="6"/>
  <c r="I1126" i="6"/>
  <c r="J1126" i="6"/>
  <c r="K1126" i="6"/>
  <c r="L1126" i="6"/>
  <c r="M1126" i="6"/>
  <c r="N1126" i="6"/>
  <c r="O1126" i="6"/>
  <c r="P1126" i="6"/>
  <c r="Q1126" i="6"/>
  <c r="R1126" i="6"/>
  <c r="S1126" i="6"/>
  <c r="T1126" i="6"/>
  <c r="A1127" i="6"/>
  <c r="B1127" i="6"/>
  <c r="C1127" i="6"/>
  <c r="D1127" i="6"/>
  <c r="E1127" i="6"/>
  <c r="F1127" i="6"/>
  <c r="G1127" i="6"/>
  <c r="H1127" i="6"/>
  <c r="I1127" i="6"/>
  <c r="J1127" i="6"/>
  <c r="K1127" i="6"/>
  <c r="L1127" i="6"/>
  <c r="M1127" i="6"/>
  <c r="N1127" i="6"/>
  <c r="O1127" i="6"/>
  <c r="P1127" i="6"/>
  <c r="Q1127" i="6"/>
  <c r="R1127" i="6"/>
  <c r="S1127" i="6"/>
  <c r="T1127" i="6"/>
  <c r="A1128" i="6"/>
  <c r="B1128" i="6"/>
  <c r="C1128" i="6"/>
  <c r="D1128" i="6"/>
  <c r="E1128" i="6"/>
  <c r="F1128" i="6"/>
  <c r="G1128" i="6"/>
  <c r="H1128" i="6"/>
  <c r="I1128" i="6"/>
  <c r="J1128" i="6"/>
  <c r="K1128" i="6"/>
  <c r="L1128" i="6"/>
  <c r="M1128" i="6"/>
  <c r="N1128" i="6"/>
  <c r="O1128" i="6"/>
  <c r="P1128" i="6"/>
  <c r="Q1128" i="6"/>
  <c r="R1128" i="6"/>
  <c r="S1128" i="6"/>
  <c r="T1128" i="6"/>
  <c r="A1129" i="6"/>
  <c r="B1129" i="6"/>
  <c r="C1129" i="6"/>
  <c r="D1129" i="6"/>
  <c r="E1129" i="6"/>
  <c r="F1129" i="6"/>
  <c r="G1129" i="6"/>
  <c r="H1129" i="6"/>
  <c r="I1129" i="6"/>
  <c r="J1129" i="6"/>
  <c r="K1129" i="6"/>
  <c r="M1129" i="6"/>
  <c r="N1129" i="6"/>
  <c r="O1129" i="6"/>
  <c r="P1129" i="6"/>
  <c r="Q1129" i="6"/>
  <c r="R1129" i="6"/>
  <c r="S1129" i="6"/>
  <c r="T1129" i="6"/>
  <c r="A1130" i="6"/>
  <c r="B1130" i="6"/>
  <c r="C1130" i="6"/>
  <c r="D1130" i="6"/>
  <c r="E1130" i="6"/>
  <c r="F1130" i="6"/>
  <c r="G1130" i="6"/>
  <c r="H1130" i="6"/>
  <c r="I1130" i="6"/>
  <c r="J1130" i="6"/>
  <c r="K1130" i="6"/>
  <c r="M1130" i="6"/>
  <c r="N1130" i="6"/>
  <c r="O1130" i="6"/>
  <c r="P1130" i="6"/>
  <c r="Q1130" i="6"/>
  <c r="R1130" i="6"/>
  <c r="S1130" i="6"/>
  <c r="T1130" i="6"/>
  <c r="A1131" i="6"/>
  <c r="B1131" i="6"/>
  <c r="C1131" i="6"/>
  <c r="D1131" i="6"/>
  <c r="E1131" i="6"/>
  <c r="F1131" i="6"/>
  <c r="G1131" i="6"/>
  <c r="H1131" i="6"/>
  <c r="I1131" i="6"/>
  <c r="J1131" i="6"/>
  <c r="K1131" i="6"/>
  <c r="L1131" i="6"/>
  <c r="M1131" i="6"/>
  <c r="N1131" i="6"/>
  <c r="O1131" i="6"/>
  <c r="P1131" i="6"/>
  <c r="Q1131" i="6"/>
  <c r="R1131" i="6"/>
  <c r="S1131" i="6"/>
  <c r="T1131" i="6"/>
  <c r="A1132" i="6"/>
  <c r="B1132" i="6"/>
  <c r="C1132" i="6"/>
  <c r="D1132" i="6"/>
  <c r="E1132" i="6"/>
  <c r="F1132" i="6"/>
  <c r="G1132" i="6"/>
  <c r="H1132" i="6"/>
  <c r="I1132" i="6"/>
  <c r="J1132" i="6"/>
  <c r="K1132" i="6"/>
  <c r="L1132" i="6"/>
  <c r="M1132" i="6"/>
  <c r="N1132" i="6"/>
  <c r="O1132" i="6"/>
  <c r="P1132" i="6"/>
  <c r="Q1132" i="6"/>
  <c r="R1132" i="6"/>
  <c r="S1132" i="6"/>
  <c r="T1132" i="6"/>
  <c r="A1133" i="6"/>
  <c r="B1133" i="6"/>
  <c r="C1133" i="6"/>
  <c r="D1133" i="6"/>
  <c r="E1133" i="6"/>
  <c r="F1133" i="6"/>
  <c r="G1133" i="6"/>
  <c r="H1133" i="6"/>
  <c r="I1133" i="6"/>
  <c r="J1133" i="6"/>
  <c r="K1133" i="6"/>
  <c r="L1133" i="6"/>
  <c r="M1133" i="6"/>
  <c r="N1133" i="6"/>
  <c r="O1133" i="6"/>
  <c r="P1133" i="6"/>
  <c r="Q1133" i="6"/>
  <c r="R1133" i="6"/>
  <c r="S1133" i="6"/>
  <c r="T1133" i="6"/>
  <c r="A1134" i="6"/>
  <c r="B1134" i="6"/>
  <c r="C1134" i="6"/>
  <c r="D1134" i="6"/>
  <c r="E1134" i="6"/>
  <c r="F1134" i="6"/>
  <c r="G1134" i="6"/>
  <c r="H1134" i="6"/>
  <c r="I1134" i="6"/>
  <c r="J1134" i="6"/>
  <c r="K1134" i="6"/>
  <c r="M1134" i="6"/>
  <c r="N1134" i="6"/>
  <c r="O1134" i="6"/>
  <c r="P1134" i="6"/>
  <c r="Q1134" i="6"/>
  <c r="R1134" i="6"/>
  <c r="S1134" i="6"/>
  <c r="T1134" i="6"/>
  <c r="A1135" i="6"/>
  <c r="B1135" i="6"/>
  <c r="C1135" i="6"/>
  <c r="D1135" i="6"/>
  <c r="E1135" i="6"/>
  <c r="F1135" i="6"/>
  <c r="G1135" i="6"/>
  <c r="H1135" i="6"/>
  <c r="I1135" i="6"/>
  <c r="J1135" i="6"/>
  <c r="K1135" i="6"/>
  <c r="L1135" i="6"/>
  <c r="M1135" i="6"/>
  <c r="N1135" i="6"/>
  <c r="O1135" i="6"/>
  <c r="P1135" i="6"/>
  <c r="Q1135" i="6"/>
  <c r="R1135" i="6"/>
  <c r="S1135" i="6"/>
  <c r="T1135" i="6"/>
  <c r="A1136" i="6"/>
  <c r="B1136" i="6"/>
  <c r="C1136" i="6"/>
  <c r="D1136" i="6"/>
  <c r="E1136" i="6"/>
  <c r="F1136" i="6"/>
  <c r="G1136" i="6"/>
  <c r="H1136" i="6"/>
  <c r="I1136" i="6"/>
  <c r="J1136" i="6"/>
  <c r="K1136" i="6"/>
  <c r="L1136" i="6"/>
  <c r="M1136" i="6"/>
  <c r="N1136" i="6"/>
  <c r="O1136" i="6"/>
  <c r="P1136" i="6"/>
  <c r="Q1136" i="6"/>
  <c r="R1136" i="6"/>
  <c r="S1136" i="6"/>
  <c r="T1136" i="6"/>
  <c r="A1137" i="6"/>
  <c r="B1137" i="6"/>
  <c r="C1137" i="6"/>
  <c r="D1137" i="6"/>
  <c r="E1137" i="6"/>
  <c r="F1137" i="6"/>
  <c r="G1137" i="6"/>
  <c r="H1137" i="6"/>
  <c r="I1137" i="6"/>
  <c r="J1137" i="6"/>
  <c r="K1137" i="6"/>
  <c r="L1137" i="6"/>
  <c r="M1137" i="6"/>
  <c r="N1137" i="6"/>
  <c r="O1137" i="6"/>
  <c r="P1137" i="6"/>
  <c r="Q1137" i="6"/>
  <c r="R1137" i="6"/>
  <c r="S1137" i="6"/>
  <c r="T1137" i="6"/>
  <c r="A1138" i="6"/>
  <c r="B1138" i="6"/>
  <c r="C1138" i="6"/>
  <c r="D1138" i="6"/>
  <c r="E1138" i="6"/>
  <c r="F1138" i="6"/>
  <c r="G1138" i="6"/>
  <c r="H1138" i="6"/>
  <c r="I1138" i="6"/>
  <c r="J1138" i="6"/>
  <c r="K1138" i="6"/>
  <c r="L1138" i="6"/>
  <c r="M1138" i="6"/>
  <c r="N1138" i="6"/>
  <c r="O1138" i="6"/>
  <c r="P1138" i="6"/>
  <c r="Q1138" i="6"/>
  <c r="R1138" i="6"/>
  <c r="S1138" i="6"/>
  <c r="T1138" i="6"/>
  <c r="A1139" i="6"/>
  <c r="B1139" i="6"/>
  <c r="C1139" i="6"/>
  <c r="D1139" i="6"/>
  <c r="E1139" i="6"/>
  <c r="F1139" i="6"/>
  <c r="G1139" i="6"/>
  <c r="H1139" i="6"/>
  <c r="I1139" i="6"/>
  <c r="J1139" i="6"/>
  <c r="K1139" i="6"/>
  <c r="L1139" i="6"/>
  <c r="M1139" i="6"/>
  <c r="N1139" i="6"/>
  <c r="O1139" i="6"/>
  <c r="P1139" i="6"/>
  <c r="Q1139" i="6"/>
  <c r="R1139" i="6"/>
  <c r="S1139" i="6"/>
  <c r="T1139" i="6"/>
  <c r="A1140" i="6"/>
  <c r="B1140" i="6"/>
  <c r="C1140" i="6"/>
  <c r="D1140" i="6"/>
  <c r="E1140" i="6"/>
  <c r="F1140" i="6"/>
  <c r="G1140" i="6"/>
  <c r="H1140" i="6"/>
  <c r="I1140" i="6"/>
  <c r="J1140" i="6"/>
  <c r="K1140" i="6"/>
  <c r="L1140" i="6"/>
  <c r="M1140" i="6"/>
  <c r="N1140" i="6"/>
  <c r="O1140" i="6"/>
  <c r="P1140" i="6"/>
  <c r="Q1140" i="6"/>
  <c r="R1140" i="6"/>
  <c r="S1140" i="6"/>
  <c r="T1140" i="6"/>
  <c r="A1141" i="6"/>
  <c r="B1141" i="6"/>
  <c r="C1141" i="6"/>
  <c r="D1141" i="6"/>
  <c r="E1141" i="6"/>
  <c r="F1141" i="6"/>
  <c r="G1141" i="6"/>
  <c r="H1141" i="6"/>
  <c r="I1141" i="6"/>
  <c r="J1141" i="6"/>
  <c r="K1141" i="6"/>
  <c r="L1141" i="6"/>
  <c r="M1141" i="6"/>
  <c r="N1141" i="6"/>
  <c r="O1141" i="6"/>
  <c r="P1141" i="6"/>
  <c r="Q1141" i="6"/>
  <c r="R1141" i="6"/>
  <c r="S1141" i="6"/>
  <c r="T1141" i="6"/>
  <c r="A1142" i="6"/>
  <c r="B1142" i="6"/>
  <c r="C1142" i="6"/>
  <c r="D1142" i="6"/>
  <c r="E1142" i="6"/>
  <c r="F1142" i="6"/>
  <c r="G1142" i="6"/>
  <c r="H1142" i="6"/>
  <c r="I1142" i="6"/>
  <c r="J1142" i="6"/>
  <c r="K1142" i="6"/>
  <c r="L1142" i="6"/>
  <c r="M1142" i="6"/>
  <c r="N1142" i="6"/>
  <c r="O1142" i="6"/>
  <c r="P1142" i="6"/>
  <c r="Q1142" i="6"/>
  <c r="R1142" i="6"/>
  <c r="S1142" i="6"/>
  <c r="T1142" i="6"/>
  <c r="A1143" i="6"/>
  <c r="B1143" i="6"/>
  <c r="C1143" i="6"/>
  <c r="D1143" i="6"/>
  <c r="E1143" i="6"/>
  <c r="F1143" i="6"/>
  <c r="G1143" i="6"/>
  <c r="H1143" i="6"/>
  <c r="I1143" i="6"/>
  <c r="J1143" i="6"/>
  <c r="K1143" i="6"/>
  <c r="L1143" i="6"/>
  <c r="M1143" i="6"/>
  <c r="N1143" i="6"/>
  <c r="O1143" i="6"/>
  <c r="P1143" i="6"/>
  <c r="Q1143" i="6"/>
  <c r="R1143" i="6"/>
  <c r="S1143" i="6"/>
  <c r="T1143" i="6"/>
  <c r="A1144" i="6"/>
  <c r="B1144" i="6"/>
  <c r="C1144" i="6"/>
  <c r="D1144" i="6"/>
  <c r="E1144" i="6"/>
  <c r="F1144" i="6"/>
  <c r="G1144" i="6"/>
  <c r="H1144" i="6"/>
  <c r="I1144" i="6"/>
  <c r="J1144" i="6"/>
  <c r="K1144" i="6"/>
  <c r="L1144" i="6"/>
  <c r="M1144" i="6"/>
  <c r="N1144" i="6"/>
  <c r="O1144" i="6"/>
  <c r="P1144" i="6"/>
  <c r="Q1144" i="6"/>
  <c r="R1144" i="6"/>
  <c r="S1144" i="6"/>
  <c r="T1144" i="6"/>
  <c r="A1145" i="6"/>
  <c r="B1145" i="6"/>
  <c r="C1145" i="6"/>
  <c r="D1145" i="6"/>
  <c r="E1145" i="6"/>
  <c r="F1145" i="6"/>
  <c r="G1145" i="6"/>
  <c r="H1145" i="6"/>
  <c r="I1145" i="6"/>
  <c r="J1145" i="6"/>
  <c r="K1145" i="6"/>
  <c r="L1145" i="6"/>
  <c r="M1145" i="6"/>
  <c r="N1145" i="6"/>
  <c r="O1145" i="6"/>
  <c r="P1145" i="6"/>
  <c r="Q1145" i="6"/>
  <c r="R1145" i="6"/>
  <c r="S1145" i="6"/>
  <c r="T1145" i="6"/>
  <c r="A1146" i="6"/>
  <c r="B1146" i="6"/>
  <c r="C1146" i="6"/>
  <c r="D1146" i="6"/>
  <c r="E1146" i="6"/>
  <c r="F1146" i="6"/>
  <c r="G1146" i="6"/>
  <c r="H1146" i="6"/>
  <c r="I1146" i="6"/>
  <c r="J1146" i="6"/>
  <c r="K1146" i="6"/>
  <c r="L1146" i="6"/>
  <c r="M1146" i="6"/>
  <c r="N1146" i="6"/>
  <c r="O1146" i="6"/>
  <c r="P1146" i="6"/>
  <c r="Q1146" i="6"/>
  <c r="R1146" i="6"/>
  <c r="S1146" i="6"/>
  <c r="T1146" i="6"/>
  <c r="A1147" i="6"/>
  <c r="B1147" i="6"/>
  <c r="C1147" i="6"/>
  <c r="D1147" i="6"/>
  <c r="E1147" i="6"/>
  <c r="F1147" i="6"/>
  <c r="G1147" i="6"/>
  <c r="H1147" i="6"/>
  <c r="I1147" i="6"/>
  <c r="J1147" i="6"/>
  <c r="K1147" i="6"/>
  <c r="L1147" i="6"/>
  <c r="M1147" i="6"/>
  <c r="N1147" i="6"/>
  <c r="O1147" i="6"/>
  <c r="P1147" i="6"/>
  <c r="Q1147" i="6"/>
  <c r="R1147" i="6"/>
  <c r="S1147" i="6"/>
  <c r="T1147" i="6"/>
  <c r="A1148" i="6"/>
  <c r="B1148" i="6"/>
  <c r="C1148" i="6"/>
  <c r="D1148" i="6"/>
  <c r="E1148" i="6"/>
  <c r="F1148" i="6"/>
  <c r="G1148" i="6"/>
  <c r="H1148" i="6"/>
  <c r="I1148" i="6"/>
  <c r="J1148" i="6"/>
  <c r="K1148" i="6"/>
  <c r="L1148" i="6"/>
  <c r="M1148" i="6"/>
  <c r="N1148" i="6"/>
  <c r="O1148" i="6"/>
  <c r="P1148" i="6"/>
  <c r="Q1148" i="6"/>
  <c r="R1148" i="6"/>
  <c r="S1148" i="6"/>
  <c r="T1148" i="6"/>
  <c r="A1149" i="6"/>
  <c r="B1149" i="6"/>
  <c r="C1149" i="6"/>
  <c r="D1149" i="6"/>
  <c r="E1149" i="6"/>
  <c r="F1149" i="6"/>
  <c r="G1149" i="6"/>
  <c r="H1149" i="6"/>
  <c r="I1149" i="6"/>
  <c r="J1149" i="6"/>
  <c r="K1149" i="6"/>
  <c r="L1149" i="6"/>
  <c r="M1149" i="6"/>
  <c r="N1149" i="6"/>
  <c r="O1149" i="6"/>
  <c r="P1149" i="6"/>
  <c r="Q1149" i="6"/>
  <c r="R1149" i="6"/>
  <c r="S1149" i="6"/>
  <c r="T1149" i="6"/>
  <c r="A1150" i="6"/>
  <c r="B1150" i="6"/>
  <c r="C1150" i="6"/>
  <c r="D1150" i="6"/>
  <c r="E1150" i="6"/>
  <c r="F1150" i="6"/>
  <c r="G1150" i="6"/>
  <c r="H1150" i="6"/>
  <c r="I1150" i="6"/>
  <c r="J1150" i="6"/>
  <c r="K1150" i="6"/>
  <c r="L1150" i="6"/>
  <c r="M1150" i="6"/>
  <c r="N1150" i="6"/>
  <c r="O1150" i="6"/>
  <c r="P1150" i="6"/>
  <c r="Q1150" i="6"/>
  <c r="R1150" i="6"/>
  <c r="S1150" i="6"/>
  <c r="T1150" i="6"/>
  <c r="A1151" i="6"/>
  <c r="B1151" i="6"/>
  <c r="C1151" i="6"/>
  <c r="D1151" i="6"/>
  <c r="E1151" i="6"/>
  <c r="F1151" i="6"/>
  <c r="G1151" i="6"/>
  <c r="H1151" i="6"/>
  <c r="I1151" i="6"/>
  <c r="J1151" i="6"/>
  <c r="K1151" i="6"/>
  <c r="L1151" i="6"/>
  <c r="M1151" i="6"/>
  <c r="N1151" i="6"/>
  <c r="O1151" i="6"/>
  <c r="P1151" i="6"/>
  <c r="Q1151" i="6"/>
  <c r="R1151" i="6"/>
  <c r="S1151" i="6"/>
  <c r="T1151" i="6"/>
  <c r="A1152" i="6"/>
  <c r="B1152" i="6"/>
  <c r="C1152" i="6"/>
  <c r="D1152" i="6"/>
  <c r="E1152" i="6"/>
  <c r="F1152" i="6"/>
  <c r="G1152" i="6"/>
  <c r="H1152" i="6"/>
  <c r="I1152" i="6"/>
  <c r="J1152" i="6"/>
  <c r="K1152" i="6"/>
  <c r="L1152" i="6"/>
  <c r="M1152" i="6"/>
  <c r="N1152" i="6"/>
  <c r="O1152" i="6"/>
  <c r="P1152" i="6"/>
  <c r="Q1152" i="6"/>
  <c r="R1152" i="6"/>
  <c r="S1152" i="6"/>
  <c r="T1152" i="6"/>
  <c r="A1153" i="6"/>
  <c r="B1153" i="6"/>
  <c r="C1153" i="6"/>
  <c r="D1153" i="6"/>
  <c r="E1153" i="6"/>
  <c r="F1153" i="6"/>
  <c r="G1153" i="6"/>
  <c r="H1153" i="6"/>
  <c r="I1153" i="6"/>
  <c r="J1153" i="6"/>
  <c r="K1153" i="6"/>
  <c r="M1153" i="6"/>
  <c r="N1153" i="6"/>
  <c r="O1153" i="6"/>
  <c r="P1153" i="6"/>
  <c r="R1153" i="6"/>
  <c r="T1153" i="6"/>
  <c r="A1154" i="6"/>
  <c r="B1154" i="6"/>
  <c r="C1154" i="6"/>
  <c r="D1154" i="6"/>
  <c r="E1154" i="6"/>
  <c r="F1154" i="6"/>
  <c r="G1154" i="6"/>
  <c r="H1154" i="6"/>
  <c r="I1154" i="6"/>
  <c r="J1154" i="6"/>
  <c r="K1154" i="6"/>
  <c r="M1154" i="6"/>
  <c r="N1154" i="6"/>
  <c r="O1154" i="6"/>
  <c r="P1154" i="6"/>
  <c r="R1154" i="6"/>
  <c r="T1154" i="6"/>
  <c r="A1155" i="6"/>
  <c r="B1155" i="6"/>
  <c r="C1155" i="6"/>
  <c r="D1155" i="6"/>
  <c r="E1155" i="6"/>
  <c r="F1155" i="6"/>
  <c r="G1155" i="6"/>
  <c r="H1155" i="6"/>
  <c r="I1155" i="6"/>
  <c r="J1155" i="6"/>
  <c r="K1155" i="6"/>
  <c r="M1155" i="6"/>
  <c r="N1155" i="6"/>
  <c r="O1155" i="6"/>
  <c r="P1155" i="6"/>
  <c r="R1155" i="6"/>
  <c r="T1155" i="6"/>
  <c r="A1156" i="6"/>
  <c r="B1156" i="6"/>
  <c r="C1156" i="6"/>
  <c r="D1156" i="6"/>
  <c r="E1156" i="6"/>
  <c r="F1156" i="6"/>
  <c r="G1156" i="6"/>
  <c r="H1156" i="6"/>
  <c r="I1156" i="6"/>
  <c r="J1156" i="6"/>
  <c r="K1156" i="6"/>
  <c r="M1156" i="6"/>
  <c r="N1156" i="6"/>
  <c r="O1156" i="6"/>
  <c r="P1156" i="6"/>
  <c r="R1156" i="6"/>
  <c r="T1156" i="6"/>
  <c r="C9" i="5"/>
  <c r="B19" i="5"/>
  <c r="C19" i="5"/>
  <c r="D19" i="5"/>
  <c r="E19" i="5"/>
  <c r="F19" i="5"/>
  <c r="G19" i="5"/>
  <c r="H19" i="5"/>
  <c r="I19" i="5"/>
  <c r="J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C19" i="5"/>
  <c r="B20" i="5"/>
  <c r="C20" i="5"/>
  <c r="D20" i="5"/>
  <c r="E20" i="5"/>
  <c r="F20" i="5"/>
  <c r="G20" i="5"/>
  <c r="H20" i="5"/>
  <c r="I20" i="5"/>
  <c r="J20" i="5"/>
  <c r="L20" i="5"/>
  <c r="M20" i="5"/>
  <c r="N20" i="5"/>
  <c r="AC20" i="5" s="1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B21" i="5"/>
  <c r="C21" i="5"/>
  <c r="D21" i="5"/>
  <c r="E21" i="5"/>
  <c r="F21" i="5"/>
  <c r="G21" i="5"/>
  <c r="H21" i="5"/>
  <c r="I21" i="5"/>
  <c r="J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C21" i="5"/>
  <c r="B22" i="5"/>
  <c r="C22" i="5"/>
  <c r="D22" i="5"/>
  <c r="E22" i="5"/>
  <c r="F22" i="5"/>
  <c r="G22" i="5"/>
  <c r="H22" i="5"/>
  <c r="I22" i="5"/>
  <c r="J22" i="5"/>
  <c r="L22" i="5"/>
  <c r="M22" i="5"/>
  <c r="N22" i="5"/>
  <c r="AC22" i="5" s="1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B23" i="5"/>
  <c r="C23" i="5"/>
  <c r="AB23" i="5" s="1"/>
  <c r="D23" i="5"/>
  <c r="E23" i="5"/>
  <c r="F23" i="5"/>
  <c r="G23" i="5"/>
  <c r="H23" i="5"/>
  <c r="I23" i="5"/>
  <c r="J23" i="5"/>
  <c r="L23" i="5"/>
  <c r="M23" i="5"/>
  <c r="N23" i="5"/>
  <c r="O23" i="5"/>
  <c r="P23" i="5"/>
  <c r="Q23" i="5"/>
  <c r="R23" i="5"/>
  <c r="S23" i="5"/>
  <c r="T23" i="5"/>
  <c r="U23" i="5"/>
  <c r="V23" i="5"/>
  <c r="W23" i="5"/>
  <c r="Y23" i="5"/>
  <c r="Z23" i="5"/>
  <c r="AA23" i="5"/>
  <c r="B24" i="5"/>
  <c r="C24" i="5"/>
  <c r="D24" i="5"/>
  <c r="E24" i="5"/>
  <c r="F24" i="5"/>
  <c r="G24" i="5"/>
  <c r="H24" i="5"/>
  <c r="I24" i="5"/>
  <c r="J24" i="5"/>
  <c r="L24" i="5"/>
  <c r="M24" i="5"/>
  <c r="N24" i="5"/>
  <c r="O24" i="5"/>
  <c r="P24" i="5"/>
  <c r="Q24" i="5"/>
  <c r="R24" i="5"/>
  <c r="S24" i="5"/>
  <c r="T24" i="5"/>
  <c r="U24" i="5"/>
  <c r="V24" i="5"/>
  <c r="W24" i="5"/>
  <c r="Y24" i="5"/>
  <c r="Z24" i="5"/>
  <c r="AA24" i="5"/>
  <c r="AB24" i="5"/>
  <c r="B25" i="5"/>
  <c r="C25" i="5"/>
  <c r="D25" i="5"/>
  <c r="E25" i="5"/>
  <c r="AB25" i="5" s="1"/>
  <c r="F25" i="5"/>
  <c r="G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Y25" i="5"/>
  <c r="Z25" i="5"/>
  <c r="AA25" i="5"/>
  <c r="B26" i="5"/>
  <c r="C26" i="5"/>
  <c r="D26" i="5"/>
  <c r="E26" i="5"/>
  <c r="F26" i="5"/>
  <c r="G26" i="5"/>
  <c r="H26" i="5"/>
  <c r="I26" i="5"/>
  <c r="J26" i="5"/>
  <c r="L26" i="5"/>
  <c r="M26" i="5"/>
  <c r="AC26" i="5" s="1"/>
  <c r="N26" i="5"/>
  <c r="O26" i="5"/>
  <c r="P26" i="5"/>
  <c r="Q26" i="5"/>
  <c r="R26" i="5"/>
  <c r="S26" i="5"/>
  <c r="T26" i="5"/>
  <c r="U26" i="5"/>
  <c r="V26" i="5"/>
  <c r="W26" i="5"/>
  <c r="Y26" i="5"/>
  <c r="Z26" i="5"/>
  <c r="AA26" i="5"/>
  <c r="AB26" i="5"/>
  <c r="B27" i="5"/>
  <c r="C27" i="5"/>
  <c r="AB27" i="5" s="1"/>
  <c r="D27" i="5"/>
  <c r="E27" i="5"/>
  <c r="F27" i="5"/>
  <c r="G27" i="5"/>
  <c r="H27" i="5"/>
  <c r="I27" i="5"/>
  <c r="J27" i="5"/>
  <c r="L27" i="5"/>
  <c r="M27" i="5"/>
  <c r="N27" i="5"/>
  <c r="O27" i="5"/>
  <c r="P27" i="5"/>
  <c r="Q27" i="5"/>
  <c r="R27" i="5"/>
  <c r="S27" i="5"/>
  <c r="T27" i="5"/>
  <c r="U27" i="5"/>
  <c r="V27" i="5"/>
  <c r="W27" i="5"/>
  <c r="Y27" i="5"/>
  <c r="Z27" i="5"/>
  <c r="AA27" i="5"/>
  <c r="B28" i="5"/>
  <c r="C28" i="5"/>
  <c r="D28" i="5"/>
  <c r="E28" i="5"/>
  <c r="F28" i="5"/>
  <c r="G28" i="5"/>
  <c r="H28" i="5"/>
  <c r="I28" i="5"/>
  <c r="J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Z28" i="5"/>
  <c r="AA28" i="5"/>
  <c r="AB28" i="5"/>
  <c r="B29" i="5"/>
  <c r="C29" i="5"/>
  <c r="D29" i="5"/>
  <c r="E29" i="5"/>
  <c r="AB29" i="5" s="1"/>
  <c r="F29" i="5"/>
  <c r="G29" i="5"/>
  <c r="H29" i="5"/>
  <c r="I29" i="5"/>
  <c r="J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Z29" i="5"/>
  <c r="AA29" i="5"/>
  <c r="B30" i="5"/>
  <c r="C30" i="5"/>
  <c r="D30" i="5"/>
  <c r="E30" i="5"/>
  <c r="F30" i="5"/>
  <c r="G30" i="5"/>
  <c r="H30" i="5"/>
  <c r="I30" i="5"/>
  <c r="J30" i="5"/>
  <c r="L30" i="5"/>
  <c r="M30" i="5"/>
  <c r="AC30" i="5" s="1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AB30" i="5"/>
  <c r="B31" i="5"/>
  <c r="C31" i="5"/>
  <c r="AB31" i="5" s="1"/>
  <c r="D31" i="5"/>
  <c r="E31" i="5"/>
  <c r="F31" i="5"/>
  <c r="G31" i="5"/>
  <c r="H31" i="5"/>
  <c r="I31" i="5"/>
  <c r="J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Z31" i="5"/>
  <c r="AA31" i="5"/>
  <c r="B32" i="5"/>
  <c r="C32" i="5"/>
  <c r="D32" i="5"/>
  <c r="E32" i="5"/>
  <c r="F32" i="5"/>
  <c r="G32" i="5"/>
  <c r="H32" i="5"/>
  <c r="I32" i="5"/>
  <c r="J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AB32" i="5"/>
  <c r="B33" i="5"/>
  <c r="C33" i="5"/>
  <c r="D33" i="5"/>
  <c r="E33" i="5"/>
  <c r="AB33" i="5" s="1"/>
  <c r="F33" i="5"/>
  <c r="G33" i="5"/>
  <c r="H33" i="5"/>
  <c r="I33" i="5"/>
  <c r="J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B34" i="5"/>
  <c r="C34" i="5"/>
  <c r="D34" i="5"/>
  <c r="E34" i="5"/>
  <c r="F34" i="5"/>
  <c r="G34" i="5"/>
  <c r="H34" i="5"/>
  <c r="I34" i="5"/>
  <c r="J34" i="5"/>
  <c r="L34" i="5"/>
  <c r="M34" i="5"/>
  <c r="AC34" i="5" s="1"/>
  <c r="N34" i="5"/>
  <c r="O34" i="5"/>
  <c r="P34" i="5"/>
  <c r="Q34" i="5"/>
  <c r="R34" i="5"/>
  <c r="S34" i="5"/>
  <c r="T34" i="5"/>
  <c r="U34" i="5"/>
  <c r="V34" i="5"/>
  <c r="W34" i="5"/>
  <c r="X34" i="5"/>
  <c r="Z34" i="5"/>
  <c r="AA34" i="5"/>
  <c r="AB34" i="5"/>
  <c r="B35" i="5"/>
  <c r="C35" i="5"/>
  <c r="D35" i="5"/>
  <c r="E35" i="5"/>
  <c r="F35" i="5"/>
  <c r="G35" i="5"/>
  <c r="H35" i="5"/>
  <c r="I35" i="5"/>
  <c r="J35" i="5"/>
  <c r="L35" i="5"/>
  <c r="M35" i="5"/>
  <c r="N35" i="5"/>
  <c r="O35" i="5"/>
  <c r="P35" i="5"/>
  <c r="Q35" i="5"/>
  <c r="R35" i="5"/>
  <c r="S35" i="5"/>
  <c r="T35" i="5"/>
  <c r="U35" i="5"/>
  <c r="V35" i="5"/>
  <c r="W35" i="5"/>
  <c r="Z35" i="5"/>
  <c r="AA35" i="5"/>
  <c r="AC35" i="5"/>
  <c r="B36" i="5"/>
  <c r="C36" i="5"/>
  <c r="D36" i="5"/>
  <c r="E36" i="5"/>
  <c r="F36" i="5"/>
  <c r="G36" i="5"/>
  <c r="H36" i="5"/>
  <c r="I36" i="5"/>
  <c r="J36" i="5"/>
  <c r="L36" i="5"/>
  <c r="M36" i="5"/>
  <c r="N36" i="5"/>
  <c r="O36" i="5"/>
  <c r="P36" i="5"/>
  <c r="Q36" i="5"/>
  <c r="R36" i="5"/>
  <c r="S36" i="5"/>
  <c r="T36" i="5"/>
  <c r="U36" i="5"/>
  <c r="V36" i="5"/>
  <c r="W36" i="5"/>
  <c r="Z36" i="5"/>
  <c r="AA36" i="5"/>
  <c r="AB36" i="5"/>
  <c r="B37" i="5"/>
  <c r="C37" i="5"/>
  <c r="D37" i="5"/>
  <c r="E37" i="5"/>
  <c r="F37" i="5"/>
  <c r="G37" i="5"/>
  <c r="H37" i="5"/>
  <c r="I37" i="5"/>
  <c r="J37" i="5"/>
  <c r="L37" i="5"/>
  <c r="M37" i="5"/>
  <c r="N37" i="5"/>
  <c r="O37" i="5"/>
  <c r="P37" i="5"/>
  <c r="Q37" i="5"/>
  <c r="R37" i="5"/>
  <c r="S37" i="5"/>
  <c r="T37" i="5"/>
  <c r="U37" i="5"/>
  <c r="V37" i="5"/>
  <c r="W37" i="5"/>
  <c r="Z37" i="5"/>
  <c r="AA37" i="5"/>
  <c r="AC37" i="5"/>
  <c r="B38" i="5"/>
  <c r="C38" i="5"/>
  <c r="D38" i="5"/>
  <c r="E38" i="5"/>
  <c r="F38" i="5"/>
  <c r="G38" i="5"/>
  <c r="H38" i="5"/>
  <c r="I38" i="5"/>
  <c r="J38" i="5"/>
  <c r="L38" i="5"/>
  <c r="M38" i="5"/>
  <c r="N38" i="5"/>
  <c r="O38" i="5"/>
  <c r="P38" i="5"/>
  <c r="Q38" i="5"/>
  <c r="R38" i="5"/>
  <c r="S38" i="5"/>
  <c r="T38" i="5"/>
  <c r="U38" i="5"/>
  <c r="V38" i="5"/>
  <c r="W38" i="5"/>
  <c r="Z38" i="5"/>
  <c r="AA38" i="5"/>
  <c r="AB38" i="5"/>
  <c r="B39" i="5"/>
  <c r="C39" i="5"/>
  <c r="D39" i="5"/>
  <c r="E39" i="5"/>
  <c r="F39" i="5"/>
  <c r="G39" i="5"/>
  <c r="H39" i="5"/>
  <c r="I39" i="5"/>
  <c r="J39" i="5"/>
  <c r="L39" i="5"/>
  <c r="M39" i="5"/>
  <c r="N39" i="5"/>
  <c r="O39" i="5"/>
  <c r="P39" i="5"/>
  <c r="Q39" i="5"/>
  <c r="R39" i="5"/>
  <c r="S39" i="5"/>
  <c r="T39" i="5"/>
  <c r="U39" i="5"/>
  <c r="V39" i="5"/>
  <c r="W39" i="5"/>
  <c r="Z39" i="5"/>
  <c r="AA39" i="5"/>
  <c r="AC39" i="5"/>
  <c r="B40" i="5"/>
  <c r="C40" i="5"/>
  <c r="D40" i="5"/>
  <c r="E40" i="5"/>
  <c r="F40" i="5"/>
  <c r="G40" i="5"/>
  <c r="H40" i="5"/>
  <c r="I40" i="5"/>
  <c r="J40" i="5"/>
  <c r="L40" i="5"/>
  <c r="M40" i="5"/>
  <c r="N40" i="5"/>
  <c r="AC40" i="5" s="1"/>
  <c r="O40" i="5"/>
  <c r="P40" i="5"/>
  <c r="Q40" i="5"/>
  <c r="R40" i="5"/>
  <c r="S40" i="5"/>
  <c r="T40" i="5"/>
  <c r="U40" i="5"/>
  <c r="V40" i="5"/>
  <c r="W40" i="5"/>
  <c r="X40" i="5"/>
  <c r="Z40" i="5"/>
  <c r="AA40" i="5"/>
  <c r="B41" i="5"/>
  <c r="C41" i="5"/>
  <c r="D41" i="5"/>
  <c r="E41" i="5"/>
  <c r="F41" i="5"/>
  <c r="G41" i="5"/>
  <c r="H41" i="5"/>
  <c r="I41" i="5"/>
  <c r="J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AC41" i="5"/>
  <c r="B42" i="5"/>
  <c r="C42" i="5"/>
  <c r="D42" i="5"/>
  <c r="E42" i="5"/>
  <c r="F42" i="5"/>
  <c r="G42" i="5"/>
  <c r="H42" i="5"/>
  <c r="I42" i="5"/>
  <c r="J42" i="5"/>
  <c r="L42" i="5"/>
  <c r="M42" i="5"/>
  <c r="N42" i="5"/>
  <c r="AC42" i="5" s="1"/>
  <c r="O42" i="5"/>
  <c r="P42" i="5"/>
  <c r="Q42" i="5"/>
  <c r="R42" i="5"/>
  <c r="S42" i="5"/>
  <c r="T42" i="5"/>
  <c r="U42" i="5"/>
  <c r="V42" i="5"/>
  <c r="W42" i="5"/>
  <c r="X42" i="5"/>
  <c r="Z42" i="5"/>
  <c r="AA42" i="5"/>
  <c r="B43" i="5"/>
  <c r="C43" i="5"/>
  <c r="D43" i="5"/>
  <c r="E43" i="5"/>
  <c r="F43" i="5"/>
  <c r="G43" i="5"/>
  <c r="H43" i="5"/>
  <c r="I43" i="5"/>
  <c r="J43" i="5"/>
  <c r="L43" i="5"/>
  <c r="M43" i="5"/>
  <c r="AC43" i="5" s="1"/>
  <c r="N43" i="5"/>
  <c r="O43" i="5"/>
  <c r="P43" i="5"/>
  <c r="Q43" i="5"/>
  <c r="R43" i="5"/>
  <c r="S43" i="5"/>
  <c r="T43" i="5"/>
  <c r="U43" i="5"/>
  <c r="V43" i="5"/>
  <c r="W43" i="5"/>
  <c r="X43" i="5"/>
  <c r="Z43" i="5"/>
  <c r="AA43" i="5"/>
  <c r="B44" i="5"/>
  <c r="C44" i="5"/>
  <c r="D44" i="5"/>
  <c r="E44" i="5"/>
  <c r="F44" i="5"/>
  <c r="G44" i="5"/>
  <c r="H44" i="5"/>
  <c r="I44" i="5"/>
  <c r="J44" i="5"/>
  <c r="L44" i="5"/>
  <c r="M44" i="5"/>
  <c r="N44" i="5"/>
  <c r="AC44" i="5" s="1"/>
  <c r="O44" i="5"/>
  <c r="P44" i="5"/>
  <c r="Q44" i="5"/>
  <c r="R44" i="5"/>
  <c r="S44" i="5"/>
  <c r="T44" i="5"/>
  <c r="U44" i="5"/>
  <c r="V44" i="5"/>
  <c r="W44" i="5"/>
  <c r="X44" i="5"/>
  <c r="Z44" i="5"/>
  <c r="AA44" i="5"/>
  <c r="B45" i="5"/>
  <c r="C45" i="5"/>
  <c r="D45" i="5"/>
  <c r="E45" i="5"/>
  <c r="F45" i="5"/>
  <c r="G45" i="5"/>
  <c r="H45" i="5"/>
  <c r="I45" i="5"/>
  <c r="J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Z45" i="5"/>
  <c r="AA45" i="5"/>
  <c r="AC45" i="5"/>
  <c r="B46" i="5"/>
  <c r="C46" i="5"/>
  <c r="D46" i="5"/>
  <c r="E46" i="5"/>
  <c r="F46" i="5"/>
  <c r="G46" i="5"/>
  <c r="H46" i="5"/>
  <c r="I46" i="5"/>
  <c r="J46" i="5"/>
  <c r="L46" i="5"/>
  <c r="M46" i="5"/>
  <c r="N46" i="5"/>
  <c r="AC46" i="5" s="1"/>
  <c r="O46" i="5"/>
  <c r="P46" i="5"/>
  <c r="Q46" i="5"/>
  <c r="R46" i="5"/>
  <c r="S46" i="5"/>
  <c r="T46" i="5"/>
  <c r="U46" i="5"/>
  <c r="V46" i="5"/>
  <c r="W46" i="5"/>
  <c r="X46" i="5"/>
  <c r="Z46" i="5"/>
  <c r="AA46" i="5"/>
  <c r="B47" i="5"/>
  <c r="C47" i="5"/>
  <c r="D47" i="5"/>
  <c r="E47" i="5"/>
  <c r="F47" i="5"/>
  <c r="G47" i="5"/>
  <c r="H47" i="5"/>
  <c r="I47" i="5"/>
  <c r="J47" i="5"/>
  <c r="L47" i="5"/>
  <c r="M47" i="5"/>
  <c r="AC47" i="5" s="1"/>
  <c r="N47" i="5"/>
  <c r="O47" i="5"/>
  <c r="P47" i="5"/>
  <c r="Q47" i="5"/>
  <c r="R47" i="5"/>
  <c r="S47" i="5"/>
  <c r="T47" i="5"/>
  <c r="U47" i="5"/>
  <c r="V47" i="5"/>
  <c r="W47" i="5"/>
  <c r="X47" i="5"/>
  <c r="Z47" i="5"/>
  <c r="AA47" i="5"/>
  <c r="B48" i="5"/>
  <c r="C48" i="5"/>
  <c r="D48" i="5"/>
  <c r="E48" i="5"/>
  <c r="F48" i="5"/>
  <c r="G48" i="5"/>
  <c r="H48" i="5"/>
  <c r="I48" i="5"/>
  <c r="J48" i="5"/>
  <c r="L48" i="5"/>
  <c r="M48" i="5"/>
  <c r="N48" i="5"/>
  <c r="AC48" i="5" s="1"/>
  <c r="O48" i="5"/>
  <c r="P48" i="5"/>
  <c r="Q48" i="5"/>
  <c r="R48" i="5"/>
  <c r="S48" i="5"/>
  <c r="T48" i="5"/>
  <c r="U48" i="5"/>
  <c r="V48" i="5"/>
  <c r="W48" i="5"/>
  <c r="X48" i="5"/>
  <c r="Z48" i="5"/>
  <c r="AA48" i="5"/>
  <c r="B49" i="5"/>
  <c r="C49" i="5"/>
  <c r="D49" i="5"/>
  <c r="E49" i="5"/>
  <c r="F49" i="5"/>
  <c r="G49" i="5"/>
  <c r="H49" i="5"/>
  <c r="I49" i="5"/>
  <c r="J49" i="5"/>
  <c r="L49" i="5"/>
  <c r="M49" i="5"/>
  <c r="N49" i="5"/>
  <c r="O49" i="5"/>
  <c r="AC49" i="5" s="1"/>
  <c r="P49" i="5"/>
  <c r="Q49" i="5"/>
  <c r="R49" i="5"/>
  <c r="S49" i="5"/>
  <c r="T49" i="5"/>
  <c r="U49" i="5"/>
  <c r="V49" i="5"/>
  <c r="W49" i="5"/>
  <c r="X49" i="5"/>
  <c r="B50" i="5"/>
  <c r="C50" i="5"/>
  <c r="D50" i="5"/>
  <c r="E50" i="5"/>
  <c r="F50" i="5"/>
  <c r="G50" i="5"/>
  <c r="H50" i="5"/>
  <c r="I50" i="5"/>
  <c r="J50" i="5"/>
  <c r="L50" i="5"/>
  <c r="M50" i="5"/>
  <c r="N50" i="5"/>
  <c r="O50" i="5"/>
  <c r="P50" i="5"/>
  <c r="AC50" i="5" s="1"/>
  <c r="Q50" i="5"/>
  <c r="R50" i="5"/>
  <c r="S50" i="5"/>
  <c r="T50" i="5"/>
  <c r="U50" i="5"/>
  <c r="V50" i="5"/>
  <c r="W50" i="5"/>
  <c r="X50" i="5"/>
  <c r="B51" i="5"/>
  <c r="C51" i="5"/>
  <c r="D51" i="5"/>
  <c r="E51" i="5"/>
  <c r="F51" i="5"/>
  <c r="G51" i="5"/>
  <c r="H51" i="5"/>
  <c r="I51" i="5"/>
  <c r="J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AC51" i="5"/>
  <c r="B52" i="5"/>
  <c r="C52" i="5"/>
  <c r="D52" i="5"/>
  <c r="E52" i="5"/>
  <c r="F52" i="5"/>
  <c r="G52" i="5"/>
  <c r="H52" i="5"/>
  <c r="I52" i="5"/>
  <c r="J52" i="5"/>
  <c r="L52" i="5"/>
  <c r="M52" i="5"/>
  <c r="N52" i="5"/>
  <c r="AC52" i="5" s="1"/>
  <c r="O52" i="5"/>
  <c r="P52" i="5"/>
  <c r="Q52" i="5"/>
  <c r="R52" i="5"/>
  <c r="S52" i="5"/>
  <c r="T52" i="5"/>
  <c r="U52" i="5"/>
  <c r="V52" i="5"/>
  <c r="W52" i="5"/>
  <c r="X52" i="5"/>
  <c r="B53" i="5"/>
  <c r="C53" i="5"/>
  <c r="D53" i="5"/>
  <c r="E53" i="5"/>
  <c r="F53" i="5"/>
  <c r="G53" i="5"/>
  <c r="H53" i="5"/>
  <c r="I53" i="5"/>
  <c r="J53" i="5"/>
  <c r="L53" i="5"/>
  <c r="M53" i="5"/>
  <c r="N53" i="5"/>
  <c r="O53" i="5"/>
  <c r="AC53" i="5" s="1"/>
  <c r="P53" i="5"/>
  <c r="Q53" i="5"/>
  <c r="R53" i="5"/>
  <c r="S53" i="5"/>
  <c r="T53" i="5"/>
  <c r="U53" i="5"/>
  <c r="V53" i="5"/>
  <c r="W53" i="5"/>
  <c r="X53" i="5"/>
  <c r="B54" i="5"/>
  <c r="C54" i="5"/>
  <c r="D54" i="5"/>
  <c r="E54" i="5"/>
  <c r="F54" i="5"/>
  <c r="G54" i="5"/>
  <c r="H54" i="5"/>
  <c r="I54" i="5"/>
  <c r="J54" i="5"/>
  <c r="L54" i="5"/>
  <c r="M54" i="5"/>
  <c r="N54" i="5"/>
  <c r="O54" i="5"/>
  <c r="P54" i="5"/>
  <c r="AC54" i="5" s="1"/>
  <c r="Q54" i="5"/>
  <c r="R54" i="5"/>
  <c r="S54" i="5"/>
  <c r="T54" i="5"/>
  <c r="U54" i="5"/>
  <c r="V54" i="5"/>
  <c r="W54" i="5"/>
  <c r="X54" i="5"/>
  <c r="B55" i="5"/>
  <c r="C55" i="5"/>
  <c r="D55" i="5"/>
  <c r="E55" i="5"/>
  <c r="F55" i="5"/>
  <c r="G55" i="5"/>
  <c r="H55" i="5"/>
  <c r="I55" i="5"/>
  <c r="J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AC55" i="5"/>
  <c r="B56" i="5"/>
  <c r="C56" i="5"/>
  <c r="D56" i="5"/>
  <c r="E56" i="5"/>
  <c r="F56" i="5"/>
  <c r="G56" i="5"/>
  <c r="H56" i="5"/>
  <c r="I56" i="5"/>
  <c r="J56" i="5"/>
  <c r="L56" i="5"/>
  <c r="M56" i="5"/>
  <c r="N56" i="5"/>
  <c r="AC56" i="5" s="1"/>
  <c r="O56" i="5"/>
  <c r="P56" i="5"/>
  <c r="Q56" i="5"/>
  <c r="R56" i="5"/>
  <c r="S56" i="5"/>
  <c r="T56" i="5"/>
  <c r="U56" i="5"/>
  <c r="V56" i="5"/>
  <c r="W56" i="5"/>
  <c r="X56" i="5"/>
  <c r="B57" i="5"/>
  <c r="C57" i="5"/>
  <c r="D57" i="5"/>
  <c r="E57" i="5"/>
  <c r="F57" i="5"/>
  <c r="G57" i="5"/>
  <c r="H57" i="5"/>
  <c r="I57" i="5"/>
  <c r="J57" i="5"/>
  <c r="L57" i="5"/>
  <c r="M57" i="5"/>
  <c r="N57" i="5"/>
  <c r="O57" i="5"/>
  <c r="AC57" i="5" s="1"/>
  <c r="P57" i="5"/>
  <c r="Q57" i="5"/>
  <c r="R57" i="5"/>
  <c r="S57" i="5"/>
  <c r="T57" i="5"/>
  <c r="U57" i="5"/>
  <c r="V57" i="5"/>
  <c r="W57" i="5"/>
  <c r="X57" i="5"/>
  <c r="B58" i="5"/>
  <c r="C58" i="5"/>
  <c r="D58" i="5"/>
  <c r="E58" i="5"/>
  <c r="F58" i="5"/>
  <c r="G58" i="5"/>
  <c r="H58" i="5"/>
  <c r="I58" i="5"/>
  <c r="J58" i="5"/>
  <c r="L58" i="5"/>
  <c r="M58" i="5"/>
  <c r="N58" i="5"/>
  <c r="O58" i="5"/>
  <c r="P58" i="5"/>
  <c r="AC58" i="5" s="1"/>
  <c r="Q58" i="5"/>
  <c r="R58" i="5"/>
  <c r="S58" i="5"/>
  <c r="T58" i="5"/>
  <c r="U58" i="5"/>
  <c r="V58" i="5"/>
  <c r="W58" i="5"/>
  <c r="X58" i="5"/>
  <c r="B59" i="5"/>
  <c r="C59" i="5"/>
  <c r="D59" i="5"/>
  <c r="E59" i="5"/>
  <c r="F59" i="5"/>
  <c r="G59" i="5"/>
  <c r="H59" i="5"/>
  <c r="I59" i="5"/>
  <c r="J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AC59" i="5"/>
  <c r="B60" i="5"/>
  <c r="C60" i="5"/>
  <c r="D60" i="5"/>
  <c r="E60" i="5"/>
  <c r="F60" i="5"/>
  <c r="G60" i="5"/>
  <c r="H60" i="5"/>
  <c r="I60" i="5"/>
  <c r="J60" i="5"/>
  <c r="L60" i="5"/>
  <c r="M60" i="5"/>
  <c r="N60" i="5"/>
  <c r="AC60" i="5" s="1"/>
  <c r="O60" i="5"/>
  <c r="P60" i="5"/>
  <c r="Q60" i="5"/>
  <c r="R60" i="5"/>
  <c r="S60" i="5"/>
  <c r="T60" i="5"/>
  <c r="U60" i="5"/>
  <c r="V60" i="5"/>
  <c r="W60" i="5"/>
  <c r="X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AB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AC62" i="5"/>
  <c r="B63" i="5"/>
  <c r="C63" i="5"/>
  <c r="D63" i="5"/>
  <c r="E63" i="5"/>
  <c r="F63" i="5"/>
  <c r="G63" i="5"/>
  <c r="H63" i="5"/>
  <c r="I63" i="5"/>
  <c r="J63" i="5"/>
  <c r="K63" i="5"/>
  <c r="L63" i="5"/>
  <c r="M63" i="5"/>
  <c r="AC63" i="5" s="1"/>
  <c r="N63" i="5"/>
  <c r="O63" i="5"/>
  <c r="P63" i="5"/>
  <c r="Q63" i="5"/>
  <c r="R63" i="5"/>
  <c r="S63" i="5"/>
  <c r="T63" i="5"/>
  <c r="U63" i="5"/>
  <c r="V63" i="5"/>
  <c r="W63" i="5"/>
  <c r="X63" i="5"/>
  <c r="AB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AC64" i="5"/>
  <c r="B65" i="5"/>
  <c r="C65" i="5"/>
  <c r="D65" i="5"/>
  <c r="E65" i="5"/>
  <c r="F65" i="5"/>
  <c r="G65" i="5"/>
  <c r="H65" i="5"/>
  <c r="I65" i="5"/>
  <c r="J65" i="5"/>
  <c r="K65" i="5"/>
  <c r="L65" i="5"/>
  <c r="M65" i="5"/>
  <c r="AC65" i="5" s="1"/>
  <c r="N65" i="5"/>
  <c r="O65" i="5"/>
  <c r="P65" i="5"/>
  <c r="Q65" i="5"/>
  <c r="R65" i="5"/>
  <c r="S65" i="5"/>
  <c r="T65" i="5"/>
  <c r="U65" i="5"/>
  <c r="V65" i="5"/>
  <c r="W65" i="5"/>
  <c r="X65" i="5"/>
  <c r="AB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AC66" i="5"/>
  <c r="B67" i="5"/>
  <c r="C67" i="5"/>
  <c r="D67" i="5"/>
  <c r="E67" i="5"/>
  <c r="F67" i="5"/>
  <c r="G67" i="5"/>
  <c r="H67" i="5"/>
  <c r="I67" i="5"/>
  <c r="J67" i="5"/>
  <c r="K67" i="5"/>
  <c r="L67" i="5"/>
  <c r="M67" i="5"/>
  <c r="AC67" i="5" s="1"/>
  <c r="N67" i="5"/>
  <c r="O67" i="5"/>
  <c r="P67" i="5"/>
  <c r="Q67" i="5"/>
  <c r="R67" i="5"/>
  <c r="S67" i="5"/>
  <c r="T67" i="5"/>
  <c r="U67" i="5"/>
  <c r="V67" i="5"/>
  <c r="W67" i="5"/>
  <c r="X67" i="5"/>
  <c r="AB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AC68" i="5"/>
  <c r="B69" i="5"/>
  <c r="C69" i="5"/>
  <c r="D69" i="5"/>
  <c r="E69" i="5"/>
  <c r="F69" i="5"/>
  <c r="G69" i="5"/>
  <c r="H69" i="5"/>
  <c r="I69" i="5"/>
  <c r="J69" i="5"/>
  <c r="K69" i="5"/>
  <c r="L69" i="5"/>
  <c r="M69" i="5"/>
  <c r="AC69" i="5" s="1"/>
  <c r="N69" i="5"/>
  <c r="O69" i="5"/>
  <c r="P69" i="5"/>
  <c r="Q69" i="5"/>
  <c r="R69" i="5"/>
  <c r="S69" i="5"/>
  <c r="T69" i="5"/>
  <c r="U69" i="5"/>
  <c r="V69" i="5"/>
  <c r="W69" i="5"/>
  <c r="X69" i="5"/>
  <c r="AB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AC70" i="5"/>
  <c r="B71" i="5"/>
  <c r="C71" i="5"/>
  <c r="D71" i="5"/>
  <c r="E71" i="5"/>
  <c r="F71" i="5"/>
  <c r="G71" i="5"/>
  <c r="H71" i="5"/>
  <c r="I71" i="5"/>
  <c r="J71" i="5"/>
  <c r="K71" i="5"/>
  <c r="L71" i="5"/>
  <c r="M71" i="5"/>
  <c r="AC71" i="5" s="1"/>
  <c r="N71" i="5"/>
  <c r="O71" i="5"/>
  <c r="P71" i="5"/>
  <c r="Q71" i="5"/>
  <c r="R71" i="5"/>
  <c r="S71" i="5"/>
  <c r="T71" i="5"/>
  <c r="U71" i="5"/>
  <c r="V71" i="5"/>
  <c r="W71" i="5"/>
  <c r="X71" i="5"/>
  <c r="AB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AC72" i="5"/>
  <c r="B73" i="5"/>
  <c r="C73" i="5"/>
  <c r="D73" i="5"/>
  <c r="E73" i="5"/>
  <c r="F73" i="5"/>
  <c r="G73" i="5"/>
  <c r="H73" i="5"/>
  <c r="I73" i="5"/>
  <c r="J73" i="5"/>
  <c r="K73" i="5"/>
  <c r="L73" i="5"/>
  <c r="M73" i="5"/>
  <c r="AC73" i="5" s="1"/>
  <c r="N73" i="5"/>
  <c r="O73" i="5"/>
  <c r="P73" i="5"/>
  <c r="Q73" i="5"/>
  <c r="R73" i="5"/>
  <c r="S73" i="5"/>
  <c r="T73" i="5"/>
  <c r="U73" i="5"/>
  <c r="V73" i="5"/>
  <c r="W73" i="5"/>
  <c r="X73" i="5"/>
  <c r="AB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AC74" i="5"/>
  <c r="B75" i="5"/>
  <c r="C75" i="5"/>
  <c r="D75" i="5"/>
  <c r="E75" i="5"/>
  <c r="F75" i="5"/>
  <c r="G75" i="5"/>
  <c r="H75" i="5"/>
  <c r="I75" i="5"/>
  <c r="J75" i="5"/>
  <c r="K75" i="5"/>
  <c r="L75" i="5"/>
  <c r="M75" i="5"/>
  <c r="AC75" i="5" s="1"/>
  <c r="N75" i="5"/>
  <c r="O75" i="5"/>
  <c r="P75" i="5"/>
  <c r="Q75" i="5"/>
  <c r="R75" i="5"/>
  <c r="S75" i="5"/>
  <c r="T75" i="5"/>
  <c r="U75" i="5"/>
  <c r="V75" i="5"/>
  <c r="W75" i="5"/>
  <c r="X75" i="5"/>
  <c r="AB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AC76" i="5"/>
  <c r="B77" i="5"/>
  <c r="C77" i="5"/>
  <c r="D77" i="5"/>
  <c r="E77" i="5"/>
  <c r="F77" i="5"/>
  <c r="G77" i="5"/>
  <c r="H77" i="5"/>
  <c r="I77" i="5"/>
  <c r="J77" i="5"/>
  <c r="K77" i="5"/>
  <c r="L77" i="5"/>
  <c r="M77" i="5"/>
  <c r="AC77" i="5" s="1"/>
  <c r="N77" i="5"/>
  <c r="O77" i="5"/>
  <c r="P77" i="5"/>
  <c r="Q77" i="5"/>
  <c r="R77" i="5"/>
  <c r="S77" i="5"/>
  <c r="T77" i="5"/>
  <c r="U77" i="5"/>
  <c r="V77" i="5"/>
  <c r="W77" i="5"/>
  <c r="X77" i="5"/>
  <c r="AB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AC78" i="5"/>
  <c r="B79" i="5"/>
  <c r="C79" i="5"/>
  <c r="D79" i="5"/>
  <c r="E79" i="5"/>
  <c r="F79" i="5"/>
  <c r="G79" i="5"/>
  <c r="H79" i="5"/>
  <c r="I79" i="5"/>
  <c r="J79" i="5"/>
  <c r="K79" i="5"/>
  <c r="L79" i="5"/>
  <c r="M79" i="5"/>
  <c r="AC79" i="5" s="1"/>
  <c r="N79" i="5"/>
  <c r="O79" i="5"/>
  <c r="P79" i="5"/>
  <c r="Q79" i="5"/>
  <c r="R79" i="5"/>
  <c r="S79" i="5"/>
  <c r="T79" i="5"/>
  <c r="U79" i="5"/>
  <c r="V79" i="5"/>
  <c r="W79" i="5"/>
  <c r="X79" i="5"/>
  <c r="AB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AC80" i="5"/>
  <c r="B81" i="5"/>
  <c r="C81" i="5"/>
  <c r="D81" i="5"/>
  <c r="E81" i="5"/>
  <c r="F81" i="5"/>
  <c r="G81" i="5"/>
  <c r="H81" i="5"/>
  <c r="I81" i="5"/>
  <c r="J81" i="5"/>
  <c r="K81" i="5"/>
  <c r="L81" i="5"/>
  <c r="M81" i="5"/>
  <c r="AC81" i="5" s="1"/>
  <c r="N81" i="5"/>
  <c r="O81" i="5"/>
  <c r="P81" i="5"/>
  <c r="Q81" i="5"/>
  <c r="R81" i="5"/>
  <c r="S81" i="5"/>
  <c r="T81" i="5"/>
  <c r="U81" i="5"/>
  <c r="V81" i="5"/>
  <c r="W81" i="5"/>
  <c r="X81" i="5"/>
  <c r="AB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AC82" i="5"/>
  <c r="B83" i="5"/>
  <c r="C83" i="5"/>
  <c r="D83" i="5"/>
  <c r="E83" i="5"/>
  <c r="F83" i="5"/>
  <c r="G83" i="5"/>
  <c r="H83" i="5"/>
  <c r="I83" i="5"/>
  <c r="J83" i="5"/>
  <c r="K83" i="5"/>
  <c r="L83" i="5"/>
  <c r="M83" i="5"/>
  <c r="AC83" i="5" s="1"/>
  <c r="N83" i="5"/>
  <c r="O83" i="5"/>
  <c r="P83" i="5"/>
  <c r="Q83" i="5"/>
  <c r="R83" i="5"/>
  <c r="S83" i="5"/>
  <c r="T83" i="5"/>
  <c r="U83" i="5"/>
  <c r="V83" i="5"/>
  <c r="W83" i="5"/>
  <c r="X83" i="5"/>
  <c r="AB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AC84" i="5"/>
  <c r="B85" i="5"/>
  <c r="C85" i="5"/>
  <c r="D85" i="5"/>
  <c r="E85" i="5"/>
  <c r="F85" i="5"/>
  <c r="G85" i="5"/>
  <c r="H85" i="5"/>
  <c r="I85" i="5"/>
  <c r="J85" i="5"/>
  <c r="K85" i="5"/>
  <c r="L85" i="5"/>
  <c r="M85" i="5"/>
  <c r="AC85" i="5" s="1"/>
  <c r="N85" i="5"/>
  <c r="O85" i="5"/>
  <c r="P85" i="5"/>
  <c r="Q85" i="5"/>
  <c r="R85" i="5"/>
  <c r="S85" i="5"/>
  <c r="T85" i="5"/>
  <c r="U85" i="5"/>
  <c r="V85" i="5"/>
  <c r="W85" i="5"/>
  <c r="X85" i="5"/>
  <c r="AB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AC86" i="5"/>
  <c r="B87" i="5"/>
  <c r="C87" i="5"/>
  <c r="D87" i="5"/>
  <c r="E87" i="5"/>
  <c r="F87" i="5"/>
  <c r="G87" i="5"/>
  <c r="H87" i="5"/>
  <c r="I87" i="5"/>
  <c r="J87" i="5"/>
  <c r="K87" i="5"/>
  <c r="L87" i="5"/>
  <c r="M87" i="5"/>
  <c r="AC87" i="5" s="1"/>
  <c r="N87" i="5"/>
  <c r="O87" i="5"/>
  <c r="P87" i="5"/>
  <c r="Q87" i="5"/>
  <c r="R87" i="5"/>
  <c r="S87" i="5"/>
  <c r="T87" i="5"/>
  <c r="U87" i="5"/>
  <c r="V87" i="5"/>
  <c r="W87" i="5"/>
  <c r="X87" i="5"/>
  <c r="AB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AC88" i="5"/>
  <c r="B89" i="5"/>
  <c r="C89" i="5"/>
  <c r="D89" i="5"/>
  <c r="E89" i="5"/>
  <c r="F89" i="5"/>
  <c r="G89" i="5"/>
  <c r="H89" i="5"/>
  <c r="I89" i="5"/>
  <c r="J89" i="5"/>
  <c r="K89" i="5"/>
  <c r="L89" i="5"/>
  <c r="M89" i="5"/>
  <c r="AC89" i="5" s="1"/>
  <c r="N89" i="5"/>
  <c r="O89" i="5"/>
  <c r="P89" i="5"/>
  <c r="Q89" i="5"/>
  <c r="R89" i="5"/>
  <c r="S89" i="5"/>
  <c r="T89" i="5"/>
  <c r="U89" i="5"/>
  <c r="V89" i="5"/>
  <c r="W89" i="5"/>
  <c r="X89" i="5"/>
  <c r="AB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AC90" i="5"/>
  <c r="B91" i="5"/>
  <c r="C91" i="5"/>
  <c r="D91" i="5"/>
  <c r="E91" i="5"/>
  <c r="F91" i="5"/>
  <c r="G91" i="5"/>
  <c r="H91" i="5"/>
  <c r="I91" i="5"/>
  <c r="J91" i="5"/>
  <c r="K91" i="5"/>
  <c r="L91" i="5"/>
  <c r="M91" i="5"/>
  <c r="AC91" i="5" s="1"/>
  <c r="N91" i="5"/>
  <c r="O91" i="5"/>
  <c r="P91" i="5"/>
  <c r="Q91" i="5"/>
  <c r="R91" i="5"/>
  <c r="S91" i="5"/>
  <c r="T91" i="5"/>
  <c r="U91" i="5"/>
  <c r="V91" i="5"/>
  <c r="W91" i="5"/>
  <c r="X91" i="5"/>
  <c r="AB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AC92" i="5"/>
  <c r="B93" i="5"/>
  <c r="C93" i="5"/>
  <c r="D93" i="5"/>
  <c r="E93" i="5"/>
  <c r="F93" i="5"/>
  <c r="G93" i="5"/>
  <c r="H93" i="5"/>
  <c r="I93" i="5"/>
  <c r="J93" i="5"/>
  <c r="K93" i="5"/>
  <c r="L93" i="5"/>
  <c r="M93" i="5"/>
  <c r="AC93" i="5" s="1"/>
  <c r="N93" i="5"/>
  <c r="O93" i="5"/>
  <c r="P93" i="5"/>
  <c r="Q93" i="5"/>
  <c r="R93" i="5"/>
  <c r="S93" i="5"/>
  <c r="T93" i="5"/>
  <c r="U93" i="5"/>
  <c r="V93" i="5"/>
  <c r="W93" i="5"/>
  <c r="X93" i="5"/>
  <c r="AB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AC94" i="5"/>
  <c r="B95" i="5"/>
  <c r="C95" i="5"/>
  <c r="D95" i="5"/>
  <c r="E95" i="5"/>
  <c r="F95" i="5"/>
  <c r="G95" i="5"/>
  <c r="H95" i="5"/>
  <c r="I95" i="5"/>
  <c r="J95" i="5"/>
  <c r="K95" i="5"/>
  <c r="L95" i="5"/>
  <c r="M95" i="5"/>
  <c r="AC95" i="5" s="1"/>
  <c r="N95" i="5"/>
  <c r="O95" i="5"/>
  <c r="P95" i="5"/>
  <c r="Q95" i="5"/>
  <c r="R95" i="5"/>
  <c r="S95" i="5"/>
  <c r="T95" i="5"/>
  <c r="U95" i="5"/>
  <c r="V95" i="5"/>
  <c r="W95" i="5"/>
  <c r="X95" i="5"/>
  <c r="AB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AC96" i="5"/>
  <c r="B97" i="5"/>
  <c r="C97" i="5"/>
  <c r="D97" i="5"/>
  <c r="E97" i="5"/>
  <c r="F97" i="5"/>
  <c r="G97" i="5"/>
  <c r="H97" i="5"/>
  <c r="I97" i="5"/>
  <c r="J97" i="5"/>
  <c r="K97" i="5"/>
  <c r="L97" i="5"/>
  <c r="M97" i="5"/>
  <c r="AC97" i="5" s="1"/>
  <c r="N97" i="5"/>
  <c r="O97" i="5"/>
  <c r="P97" i="5"/>
  <c r="Q97" i="5"/>
  <c r="R97" i="5"/>
  <c r="S97" i="5"/>
  <c r="T97" i="5"/>
  <c r="U97" i="5"/>
  <c r="V97" i="5"/>
  <c r="W97" i="5"/>
  <c r="X97" i="5"/>
  <c r="AB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AC98" i="5"/>
  <c r="B99" i="5"/>
  <c r="C99" i="5"/>
  <c r="D99" i="5"/>
  <c r="E99" i="5"/>
  <c r="F99" i="5"/>
  <c r="G99" i="5"/>
  <c r="H99" i="5"/>
  <c r="I99" i="5"/>
  <c r="J99" i="5"/>
  <c r="K99" i="5"/>
  <c r="L99" i="5"/>
  <c r="M99" i="5"/>
  <c r="AC99" i="5" s="1"/>
  <c r="N99" i="5"/>
  <c r="O99" i="5"/>
  <c r="P99" i="5"/>
  <c r="Q99" i="5"/>
  <c r="R99" i="5"/>
  <c r="S99" i="5"/>
  <c r="T99" i="5"/>
  <c r="U99" i="5"/>
  <c r="V99" i="5"/>
  <c r="W99" i="5"/>
  <c r="X99" i="5"/>
  <c r="AB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AC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AC101" i="5" s="1"/>
  <c r="N101" i="5"/>
  <c r="O101" i="5"/>
  <c r="P101" i="5"/>
  <c r="Q101" i="5"/>
  <c r="R101" i="5"/>
  <c r="S101" i="5"/>
  <c r="T101" i="5"/>
  <c r="U101" i="5"/>
  <c r="V101" i="5"/>
  <c r="W101" i="5"/>
  <c r="X101" i="5"/>
  <c r="AB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AC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AC103" i="5" s="1"/>
  <c r="N103" i="5"/>
  <c r="O103" i="5"/>
  <c r="P103" i="5"/>
  <c r="Q103" i="5"/>
  <c r="R103" i="5"/>
  <c r="S103" i="5"/>
  <c r="T103" i="5"/>
  <c r="U103" i="5"/>
  <c r="V103" i="5"/>
  <c r="W103" i="5"/>
  <c r="X103" i="5"/>
  <c r="AB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AC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AC105" i="5" s="1"/>
  <c r="N105" i="5"/>
  <c r="O105" i="5"/>
  <c r="P105" i="5"/>
  <c r="Q105" i="5"/>
  <c r="R105" i="5"/>
  <c r="S105" i="5"/>
  <c r="T105" i="5"/>
  <c r="U105" i="5"/>
  <c r="V105" i="5"/>
  <c r="W105" i="5"/>
  <c r="X105" i="5"/>
  <c r="AB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AC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AC107" i="5" s="1"/>
  <c r="N107" i="5"/>
  <c r="O107" i="5"/>
  <c r="P107" i="5"/>
  <c r="Q107" i="5"/>
  <c r="R107" i="5"/>
  <c r="S107" i="5"/>
  <c r="T107" i="5"/>
  <c r="U107" i="5"/>
  <c r="V107" i="5"/>
  <c r="W107" i="5"/>
  <c r="X107" i="5"/>
  <c r="AB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AC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AC109" i="5" s="1"/>
  <c r="N109" i="5"/>
  <c r="O109" i="5"/>
  <c r="P109" i="5"/>
  <c r="Q109" i="5"/>
  <c r="R109" i="5"/>
  <c r="S109" i="5"/>
  <c r="T109" i="5"/>
  <c r="U109" i="5"/>
  <c r="V109" i="5"/>
  <c r="W109" i="5"/>
  <c r="X109" i="5"/>
  <c r="AB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AC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AC111" i="5" s="1"/>
  <c r="N111" i="5"/>
  <c r="O111" i="5"/>
  <c r="P111" i="5"/>
  <c r="Q111" i="5"/>
  <c r="R111" i="5"/>
  <c r="S111" i="5"/>
  <c r="T111" i="5"/>
  <c r="U111" i="5"/>
  <c r="V111" i="5"/>
  <c r="W111" i="5"/>
  <c r="X111" i="5"/>
  <c r="AB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AC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AC113" i="5" s="1"/>
  <c r="N113" i="5"/>
  <c r="O113" i="5"/>
  <c r="P113" i="5"/>
  <c r="Q113" i="5"/>
  <c r="R113" i="5"/>
  <c r="S113" i="5"/>
  <c r="T113" i="5"/>
  <c r="U113" i="5"/>
  <c r="V113" i="5"/>
  <c r="W113" i="5"/>
  <c r="X113" i="5"/>
  <c r="AB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AC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AC115" i="5" s="1"/>
  <c r="N115" i="5"/>
  <c r="O115" i="5"/>
  <c r="P115" i="5"/>
  <c r="Q115" i="5"/>
  <c r="R115" i="5"/>
  <c r="S115" i="5"/>
  <c r="T115" i="5"/>
  <c r="U115" i="5"/>
  <c r="V115" i="5"/>
  <c r="W115" i="5"/>
  <c r="X115" i="5"/>
  <c r="AB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AC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AC117" i="5" s="1"/>
  <c r="N117" i="5"/>
  <c r="O117" i="5"/>
  <c r="P117" i="5"/>
  <c r="Q117" i="5"/>
  <c r="R117" i="5"/>
  <c r="S117" i="5"/>
  <c r="T117" i="5"/>
  <c r="U117" i="5"/>
  <c r="V117" i="5"/>
  <c r="W117" i="5"/>
  <c r="X117" i="5"/>
  <c r="AB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AC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AC119" i="5" s="1"/>
  <c r="N119" i="5"/>
  <c r="O119" i="5"/>
  <c r="P119" i="5"/>
  <c r="Q119" i="5"/>
  <c r="R119" i="5"/>
  <c r="S119" i="5"/>
  <c r="T119" i="5"/>
  <c r="U119" i="5"/>
  <c r="V119" i="5"/>
  <c r="W119" i="5"/>
  <c r="X119" i="5"/>
  <c r="AB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AC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AC121" i="5" s="1"/>
  <c r="N121" i="5"/>
  <c r="O121" i="5"/>
  <c r="P121" i="5"/>
  <c r="Q121" i="5"/>
  <c r="R121" i="5"/>
  <c r="S121" i="5"/>
  <c r="T121" i="5"/>
  <c r="U121" i="5"/>
  <c r="V121" i="5"/>
  <c r="W121" i="5"/>
  <c r="X121" i="5"/>
  <c r="AB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AC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AC123" i="5" s="1"/>
  <c r="N123" i="5"/>
  <c r="O123" i="5"/>
  <c r="P123" i="5"/>
  <c r="Q123" i="5"/>
  <c r="R123" i="5"/>
  <c r="S123" i="5"/>
  <c r="T123" i="5"/>
  <c r="U123" i="5"/>
  <c r="V123" i="5"/>
  <c r="W123" i="5"/>
  <c r="X123" i="5"/>
  <c r="AB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AC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AC125" i="5" s="1"/>
  <c r="N125" i="5"/>
  <c r="O125" i="5"/>
  <c r="P125" i="5"/>
  <c r="Q125" i="5"/>
  <c r="R125" i="5"/>
  <c r="S125" i="5"/>
  <c r="T125" i="5"/>
  <c r="U125" i="5"/>
  <c r="V125" i="5"/>
  <c r="W125" i="5"/>
  <c r="X125" i="5"/>
  <c r="AB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AC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AC127" i="5" s="1"/>
  <c r="N127" i="5"/>
  <c r="O127" i="5"/>
  <c r="P127" i="5"/>
  <c r="Q127" i="5"/>
  <c r="R127" i="5"/>
  <c r="S127" i="5"/>
  <c r="T127" i="5"/>
  <c r="U127" i="5"/>
  <c r="V127" i="5"/>
  <c r="W127" i="5"/>
  <c r="X127" i="5"/>
  <c r="AB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AC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AC129" i="5" s="1"/>
  <c r="N129" i="5"/>
  <c r="O129" i="5"/>
  <c r="P129" i="5"/>
  <c r="Q129" i="5"/>
  <c r="R129" i="5"/>
  <c r="S129" i="5"/>
  <c r="T129" i="5"/>
  <c r="U129" i="5"/>
  <c r="V129" i="5"/>
  <c r="W129" i="5"/>
  <c r="X129" i="5"/>
  <c r="AB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AC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AC131" i="5" s="1"/>
  <c r="N131" i="5"/>
  <c r="O131" i="5"/>
  <c r="P131" i="5"/>
  <c r="Q131" i="5"/>
  <c r="R131" i="5"/>
  <c r="S131" i="5"/>
  <c r="T131" i="5"/>
  <c r="U131" i="5"/>
  <c r="V131" i="5"/>
  <c r="W131" i="5"/>
  <c r="X131" i="5"/>
  <c r="AB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AC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AC133" i="5" s="1"/>
  <c r="N133" i="5"/>
  <c r="O133" i="5"/>
  <c r="P133" i="5"/>
  <c r="Q133" i="5"/>
  <c r="R133" i="5"/>
  <c r="S133" i="5"/>
  <c r="T133" i="5"/>
  <c r="U133" i="5"/>
  <c r="V133" i="5"/>
  <c r="W133" i="5"/>
  <c r="X133" i="5"/>
  <c r="AB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AC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AC135" i="5" s="1"/>
  <c r="N135" i="5"/>
  <c r="O135" i="5"/>
  <c r="P135" i="5"/>
  <c r="Q135" i="5"/>
  <c r="R135" i="5"/>
  <c r="S135" i="5"/>
  <c r="T135" i="5"/>
  <c r="U135" i="5"/>
  <c r="V135" i="5"/>
  <c r="W135" i="5"/>
  <c r="X135" i="5"/>
  <c r="AB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AC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AC137" i="5" s="1"/>
  <c r="N137" i="5"/>
  <c r="O137" i="5"/>
  <c r="P137" i="5"/>
  <c r="Q137" i="5"/>
  <c r="R137" i="5"/>
  <c r="S137" i="5"/>
  <c r="T137" i="5"/>
  <c r="U137" i="5"/>
  <c r="V137" i="5"/>
  <c r="W137" i="5"/>
  <c r="X137" i="5"/>
  <c r="AB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AC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AC139" i="5" s="1"/>
  <c r="N139" i="5"/>
  <c r="O139" i="5"/>
  <c r="P139" i="5"/>
  <c r="Q139" i="5"/>
  <c r="R139" i="5"/>
  <c r="S139" i="5"/>
  <c r="T139" i="5"/>
  <c r="U139" i="5"/>
  <c r="V139" i="5"/>
  <c r="W139" i="5"/>
  <c r="X139" i="5"/>
  <c r="AB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AC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AC141" i="5" s="1"/>
  <c r="N141" i="5"/>
  <c r="O141" i="5"/>
  <c r="P141" i="5"/>
  <c r="Q141" i="5"/>
  <c r="R141" i="5"/>
  <c r="S141" i="5"/>
  <c r="T141" i="5"/>
  <c r="U141" i="5"/>
  <c r="V141" i="5"/>
  <c r="W141" i="5"/>
  <c r="X141" i="5"/>
  <c r="AB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AC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AC143" i="5" s="1"/>
  <c r="N143" i="5"/>
  <c r="O143" i="5"/>
  <c r="P143" i="5"/>
  <c r="Q143" i="5"/>
  <c r="R143" i="5"/>
  <c r="S143" i="5"/>
  <c r="T143" i="5"/>
  <c r="U143" i="5"/>
  <c r="V143" i="5"/>
  <c r="W143" i="5"/>
  <c r="X143" i="5"/>
  <c r="AB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AC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AC145" i="5" s="1"/>
  <c r="N145" i="5"/>
  <c r="O145" i="5"/>
  <c r="P145" i="5"/>
  <c r="Q145" i="5"/>
  <c r="R145" i="5"/>
  <c r="S145" i="5"/>
  <c r="T145" i="5"/>
  <c r="U145" i="5"/>
  <c r="V145" i="5"/>
  <c r="W145" i="5"/>
  <c r="X145" i="5"/>
  <c r="AB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AC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AC147" i="5" s="1"/>
  <c r="N147" i="5"/>
  <c r="O147" i="5"/>
  <c r="P147" i="5"/>
  <c r="Q147" i="5"/>
  <c r="R147" i="5"/>
  <c r="S147" i="5"/>
  <c r="T147" i="5"/>
  <c r="U147" i="5"/>
  <c r="V147" i="5"/>
  <c r="W147" i="5"/>
  <c r="X147" i="5"/>
  <c r="AB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AC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AC149" i="5" s="1"/>
  <c r="N149" i="5"/>
  <c r="O149" i="5"/>
  <c r="P149" i="5"/>
  <c r="Q149" i="5"/>
  <c r="R149" i="5"/>
  <c r="S149" i="5"/>
  <c r="T149" i="5"/>
  <c r="U149" i="5"/>
  <c r="V149" i="5"/>
  <c r="W149" i="5"/>
  <c r="X149" i="5"/>
  <c r="AB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AC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AC151" i="5" s="1"/>
  <c r="N151" i="5"/>
  <c r="O151" i="5"/>
  <c r="P151" i="5"/>
  <c r="Q151" i="5"/>
  <c r="R151" i="5"/>
  <c r="S151" i="5"/>
  <c r="T151" i="5"/>
  <c r="U151" i="5"/>
  <c r="V151" i="5"/>
  <c r="W151" i="5"/>
  <c r="X151" i="5"/>
  <c r="AB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AC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AC153" i="5" s="1"/>
  <c r="N153" i="5"/>
  <c r="O153" i="5"/>
  <c r="P153" i="5"/>
  <c r="Q153" i="5"/>
  <c r="R153" i="5"/>
  <c r="S153" i="5"/>
  <c r="T153" i="5"/>
  <c r="U153" i="5"/>
  <c r="V153" i="5"/>
  <c r="W153" i="5"/>
  <c r="X153" i="5"/>
  <c r="AB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AC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AC155" i="5" s="1"/>
  <c r="N155" i="5"/>
  <c r="O155" i="5"/>
  <c r="P155" i="5"/>
  <c r="Q155" i="5"/>
  <c r="R155" i="5"/>
  <c r="S155" i="5"/>
  <c r="T155" i="5"/>
  <c r="U155" i="5"/>
  <c r="V155" i="5"/>
  <c r="W155" i="5"/>
  <c r="X155" i="5"/>
  <c r="AB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AC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AC157" i="5" s="1"/>
  <c r="N157" i="5"/>
  <c r="O157" i="5"/>
  <c r="P157" i="5"/>
  <c r="Q157" i="5"/>
  <c r="R157" i="5"/>
  <c r="S157" i="5"/>
  <c r="T157" i="5"/>
  <c r="U157" i="5"/>
  <c r="V157" i="5"/>
  <c r="W157" i="5"/>
  <c r="X157" i="5"/>
  <c r="AB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AC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AC159" i="5" s="1"/>
  <c r="N159" i="5"/>
  <c r="O159" i="5"/>
  <c r="P159" i="5"/>
  <c r="Q159" i="5"/>
  <c r="R159" i="5"/>
  <c r="S159" i="5"/>
  <c r="T159" i="5"/>
  <c r="U159" i="5"/>
  <c r="V159" i="5"/>
  <c r="W159" i="5"/>
  <c r="X159" i="5"/>
  <c r="AB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AC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AC161" i="5" s="1"/>
  <c r="N161" i="5"/>
  <c r="O161" i="5"/>
  <c r="P161" i="5"/>
  <c r="Q161" i="5"/>
  <c r="R161" i="5"/>
  <c r="S161" i="5"/>
  <c r="T161" i="5"/>
  <c r="U161" i="5"/>
  <c r="V161" i="5"/>
  <c r="W161" i="5"/>
  <c r="X161" i="5"/>
  <c r="AB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AC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AC163" i="5" s="1"/>
  <c r="N163" i="5"/>
  <c r="O163" i="5"/>
  <c r="P163" i="5"/>
  <c r="Q163" i="5"/>
  <c r="R163" i="5"/>
  <c r="S163" i="5"/>
  <c r="T163" i="5"/>
  <c r="U163" i="5"/>
  <c r="V163" i="5"/>
  <c r="W163" i="5"/>
  <c r="X163" i="5"/>
  <c r="AB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AC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AC165" i="5" s="1"/>
  <c r="N165" i="5"/>
  <c r="O165" i="5"/>
  <c r="P165" i="5"/>
  <c r="Q165" i="5"/>
  <c r="R165" i="5"/>
  <c r="S165" i="5"/>
  <c r="T165" i="5"/>
  <c r="U165" i="5"/>
  <c r="V165" i="5"/>
  <c r="W165" i="5"/>
  <c r="X165" i="5"/>
  <c r="AB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AC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AC167" i="5" s="1"/>
  <c r="N167" i="5"/>
  <c r="O167" i="5"/>
  <c r="P167" i="5"/>
  <c r="Q167" i="5"/>
  <c r="R167" i="5"/>
  <c r="S167" i="5"/>
  <c r="T167" i="5"/>
  <c r="U167" i="5"/>
  <c r="V167" i="5"/>
  <c r="W167" i="5"/>
  <c r="X167" i="5"/>
  <c r="AB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AC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AC169" i="5" s="1"/>
  <c r="N169" i="5"/>
  <c r="O169" i="5"/>
  <c r="P169" i="5"/>
  <c r="Q169" i="5"/>
  <c r="R169" i="5"/>
  <c r="S169" i="5"/>
  <c r="T169" i="5"/>
  <c r="U169" i="5"/>
  <c r="V169" i="5"/>
  <c r="W169" i="5"/>
  <c r="X169" i="5"/>
  <c r="AB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AC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AC171" i="5" s="1"/>
  <c r="N171" i="5"/>
  <c r="O171" i="5"/>
  <c r="P171" i="5"/>
  <c r="Q171" i="5"/>
  <c r="R171" i="5"/>
  <c r="S171" i="5"/>
  <c r="T171" i="5"/>
  <c r="U171" i="5"/>
  <c r="V171" i="5"/>
  <c r="W171" i="5"/>
  <c r="X171" i="5"/>
  <c r="AB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AC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AC173" i="5" s="1"/>
  <c r="N173" i="5"/>
  <c r="O173" i="5"/>
  <c r="P173" i="5"/>
  <c r="Q173" i="5"/>
  <c r="R173" i="5"/>
  <c r="S173" i="5"/>
  <c r="T173" i="5"/>
  <c r="U173" i="5"/>
  <c r="V173" i="5"/>
  <c r="W173" i="5"/>
  <c r="X173" i="5"/>
  <c r="AB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AC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AC175" i="5" s="1"/>
  <c r="N175" i="5"/>
  <c r="O175" i="5"/>
  <c r="P175" i="5"/>
  <c r="Q175" i="5"/>
  <c r="R175" i="5"/>
  <c r="S175" i="5"/>
  <c r="T175" i="5"/>
  <c r="U175" i="5"/>
  <c r="V175" i="5"/>
  <c r="W175" i="5"/>
  <c r="X175" i="5"/>
  <c r="AB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AC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AC177" i="5" s="1"/>
  <c r="N177" i="5"/>
  <c r="O177" i="5"/>
  <c r="P177" i="5"/>
  <c r="Q177" i="5"/>
  <c r="R177" i="5"/>
  <c r="S177" i="5"/>
  <c r="T177" i="5"/>
  <c r="U177" i="5"/>
  <c r="V177" i="5"/>
  <c r="W177" i="5"/>
  <c r="X177" i="5"/>
  <c r="AB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AC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AC179" i="5" s="1"/>
  <c r="N179" i="5"/>
  <c r="O179" i="5"/>
  <c r="P179" i="5"/>
  <c r="Q179" i="5"/>
  <c r="R179" i="5"/>
  <c r="S179" i="5"/>
  <c r="T179" i="5"/>
  <c r="U179" i="5"/>
  <c r="V179" i="5"/>
  <c r="W179" i="5"/>
  <c r="X179" i="5"/>
  <c r="AB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AC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AC181" i="5" s="1"/>
  <c r="N181" i="5"/>
  <c r="O181" i="5"/>
  <c r="P181" i="5"/>
  <c r="Q181" i="5"/>
  <c r="R181" i="5"/>
  <c r="S181" i="5"/>
  <c r="T181" i="5"/>
  <c r="U181" i="5"/>
  <c r="V181" i="5"/>
  <c r="W181" i="5"/>
  <c r="X181" i="5"/>
  <c r="AB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AC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AC183" i="5" s="1"/>
  <c r="N183" i="5"/>
  <c r="O183" i="5"/>
  <c r="P183" i="5"/>
  <c r="Q183" i="5"/>
  <c r="R183" i="5"/>
  <c r="S183" i="5"/>
  <c r="T183" i="5"/>
  <c r="U183" i="5"/>
  <c r="V183" i="5"/>
  <c r="W183" i="5"/>
  <c r="X183" i="5"/>
  <c r="AB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AC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AC185" i="5" s="1"/>
  <c r="N185" i="5"/>
  <c r="O185" i="5"/>
  <c r="P185" i="5"/>
  <c r="Q185" i="5"/>
  <c r="R185" i="5"/>
  <c r="S185" i="5"/>
  <c r="T185" i="5"/>
  <c r="U185" i="5"/>
  <c r="V185" i="5"/>
  <c r="W185" i="5"/>
  <c r="X185" i="5"/>
  <c r="AB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AC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AC187" i="5" s="1"/>
  <c r="N187" i="5"/>
  <c r="O187" i="5"/>
  <c r="P187" i="5"/>
  <c r="Q187" i="5"/>
  <c r="R187" i="5"/>
  <c r="S187" i="5"/>
  <c r="T187" i="5"/>
  <c r="U187" i="5"/>
  <c r="V187" i="5"/>
  <c r="W187" i="5"/>
  <c r="X187" i="5"/>
  <c r="AB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AC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AC189" i="5" s="1"/>
  <c r="N189" i="5"/>
  <c r="O189" i="5"/>
  <c r="P189" i="5"/>
  <c r="Q189" i="5"/>
  <c r="R189" i="5"/>
  <c r="S189" i="5"/>
  <c r="T189" i="5"/>
  <c r="U189" i="5"/>
  <c r="V189" i="5"/>
  <c r="W189" i="5"/>
  <c r="X189" i="5"/>
  <c r="AB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AC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AC191" i="5" s="1"/>
  <c r="N191" i="5"/>
  <c r="O191" i="5"/>
  <c r="P191" i="5"/>
  <c r="Q191" i="5"/>
  <c r="R191" i="5"/>
  <c r="S191" i="5"/>
  <c r="T191" i="5"/>
  <c r="U191" i="5"/>
  <c r="V191" i="5"/>
  <c r="W191" i="5"/>
  <c r="X191" i="5"/>
  <c r="AB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AC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AC193" i="5" s="1"/>
  <c r="N193" i="5"/>
  <c r="O193" i="5"/>
  <c r="P193" i="5"/>
  <c r="Q193" i="5"/>
  <c r="R193" i="5"/>
  <c r="S193" i="5"/>
  <c r="T193" i="5"/>
  <c r="U193" i="5"/>
  <c r="V193" i="5"/>
  <c r="W193" i="5"/>
  <c r="X193" i="5"/>
  <c r="AB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AC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AC195" i="5" s="1"/>
  <c r="N195" i="5"/>
  <c r="O195" i="5"/>
  <c r="P195" i="5"/>
  <c r="Q195" i="5"/>
  <c r="R195" i="5"/>
  <c r="S195" i="5"/>
  <c r="T195" i="5"/>
  <c r="U195" i="5"/>
  <c r="V195" i="5"/>
  <c r="W195" i="5"/>
  <c r="X195" i="5"/>
  <c r="AB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AC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AC197" i="5" s="1"/>
  <c r="N197" i="5"/>
  <c r="O197" i="5"/>
  <c r="P197" i="5"/>
  <c r="Q197" i="5"/>
  <c r="R197" i="5"/>
  <c r="S197" i="5"/>
  <c r="T197" i="5"/>
  <c r="U197" i="5"/>
  <c r="V197" i="5"/>
  <c r="W197" i="5"/>
  <c r="X197" i="5"/>
  <c r="AB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AC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AC199" i="5" s="1"/>
  <c r="N199" i="5"/>
  <c r="O199" i="5"/>
  <c r="P199" i="5"/>
  <c r="Q199" i="5"/>
  <c r="R199" i="5"/>
  <c r="S199" i="5"/>
  <c r="T199" i="5"/>
  <c r="U199" i="5"/>
  <c r="V199" i="5"/>
  <c r="W199" i="5"/>
  <c r="X199" i="5"/>
  <c r="AB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AC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AC201" i="5" s="1"/>
  <c r="N201" i="5"/>
  <c r="O201" i="5"/>
  <c r="P201" i="5"/>
  <c r="Q201" i="5"/>
  <c r="R201" i="5"/>
  <c r="S201" i="5"/>
  <c r="T201" i="5"/>
  <c r="U201" i="5"/>
  <c r="V201" i="5"/>
  <c r="W201" i="5"/>
  <c r="X201" i="5"/>
  <c r="AB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AC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AC203" i="5" s="1"/>
  <c r="N203" i="5"/>
  <c r="O203" i="5"/>
  <c r="P203" i="5"/>
  <c r="Q203" i="5"/>
  <c r="R203" i="5"/>
  <c r="S203" i="5"/>
  <c r="T203" i="5"/>
  <c r="U203" i="5"/>
  <c r="V203" i="5"/>
  <c r="W203" i="5"/>
  <c r="X203" i="5"/>
  <c r="AB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AC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AC205" i="5" s="1"/>
  <c r="N205" i="5"/>
  <c r="O205" i="5"/>
  <c r="P205" i="5"/>
  <c r="Q205" i="5"/>
  <c r="R205" i="5"/>
  <c r="S205" i="5"/>
  <c r="T205" i="5"/>
  <c r="U205" i="5"/>
  <c r="V205" i="5"/>
  <c r="W205" i="5"/>
  <c r="X205" i="5"/>
  <c r="AB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AC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AC207" i="5" s="1"/>
  <c r="N207" i="5"/>
  <c r="O207" i="5"/>
  <c r="P207" i="5"/>
  <c r="Q207" i="5"/>
  <c r="R207" i="5"/>
  <c r="S207" i="5"/>
  <c r="T207" i="5"/>
  <c r="U207" i="5"/>
  <c r="V207" i="5"/>
  <c r="W207" i="5"/>
  <c r="X207" i="5"/>
  <c r="AB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AC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AC209" i="5" s="1"/>
  <c r="N209" i="5"/>
  <c r="O209" i="5"/>
  <c r="P209" i="5"/>
  <c r="Q209" i="5"/>
  <c r="R209" i="5"/>
  <c r="S209" i="5"/>
  <c r="T209" i="5"/>
  <c r="U209" i="5"/>
  <c r="V209" i="5"/>
  <c r="W209" i="5"/>
  <c r="X209" i="5"/>
  <c r="AB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AC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AC211" i="5" s="1"/>
  <c r="N211" i="5"/>
  <c r="O211" i="5"/>
  <c r="P211" i="5"/>
  <c r="Q211" i="5"/>
  <c r="R211" i="5"/>
  <c r="S211" i="5"/>
  <c r="T211" i="5"/>
  <c r="U211" i="5"/>
  <c r="V211" i="5"/>
  <c r="W211" i="5"/>
  <c r="X211" i="5"/>
  <c r="AB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AC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AC213" i="5" s="1"/>
  <c r="N213" i="5"/>
  <c r="O213" i="5"/>
  <c r="P213" i="5"/>
  <c r="Q213" i="5"/>
  <c r="R213" i="5"/>
  <c r="S213" i="5"/>
  <c r="T213" i="5"/>
  <c r="U213" i="5"/>
  <c r="V213" i="5"/>
  <c r="W213" i="5"/>
  <c r="X213" i="5"/>
  <c r="AB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AC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AC215" i="5" s="1"/>
  <c r="N215" i="5"/>
  <c r="O215" i="5"/>
  <c r="P215" i="5"/>
  <c r="Q215" i="5"/>
  <c r="R215" i="5"/>
  <c r="S215" i="5"/>
  <c r="T215" i="5"/>
  <c r="U215" i="5"/>
  <c r="V215" i="5"/>
  <c r="W215" i="5"/>
  <c r="X215" i="5"/>
  <c r="AB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AC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AC217" i="5" s="1"/>
  <c r="N217" i="5"/>
  <c r="O217" i="5"/>
  <c r="P217" i="5"/>
  <c r="Q217" i="5"/>
  <c r="R217" i="5"/>
  <c r="S217" i="5"/>
  <c r="T217" i="5"/>
  <c r="U217" i="5"/>
  <c r="V217" i="5"/>
  <c r="W217" i="5"/>
  <c r="X217" i="5"/>
  <c r="AB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AC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AC219" i="5" s="1"/>
  <c r="N219" i="5"/>
  <c r="O219" i="5"/>
  <c r="P219" i="5"/>
  <c r="Q219" i="5"/>
  <c r="R219" i="5"/>
  <c r="S219" i="5"/>
  <c r="T219" i="5"/>
  <c r="U219" i="5"/>
  <c r="V219" i="5"/>
  <c r="W219" i="5"/>
  <c r="X219" i="5"/>
  <c r="AB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AC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AC221" i="5" s="1"/>
  <c r="N221" i="5"/>
  <c r="O221" i="5"/>
  <c r="P221" i="5"/>
  <c r="Q221" i="5"/>
  <c r="R221" i="5"/>
  <c r="S221" i="5"/>
  <c r="T221" i="5"/>
  <c r="U221" i="5"/>
  <c r="V221" i="5"/>
  <c r="W221" i="5"/>
  <c r="X221" i="5"/>
  <c r="AB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AC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AC223" i="5" s="1"/>
  <c r="N223" i="5"/>
  <c r="O223" i="5"/>
  <c r="P223" i="5"/>
  <c r="Q223" i="5"/>
  <c r="R223" i="5"/>
  <c r="S223" i="5"/>
  <c r="T223" i="5"/>
  <c r="U223" i="5"/>
  <c r="V223" i="5"/>
  <c r="W223" i="5"/>
  <c r="X223" i="5"/>
  <c r="AB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AC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AC225" i="5" s="1"/>
  <c r="N225" i="5"/>
  <c r="O225" i="5"/>
  <c r="P225" i="5"/>
  <c r="Q225" i="5"/>
  <c r="R225" i="5"/>
  <c r="S225" i="5"/>
  <c r="T225" i="5"/>
  <c r="U225" i="5"/>
  <c r="V225" i="5"/>
  <c r="W225" i="5"/>
  <c r="X225" i="5"/>
  <c r="AB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AC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AC227" i="5" s="1"/>
  <c r="N227" i="5"/>
  <c r="O227" i="5"/>
  <c r="P227" i="5"/>
  <c r="Q227" i="5"/>
  <c r="R227" i="5"/>
  <c r="S227" i="5"/>
  <c r="T227" i="5"/>
  <c r="U227" i="5"/>
  <c r="V227" i="5"/>
  <c r="W227" i="5"/>
  <c r="X227" i="5"/>
  <c r="AB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AC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AC229" i="5" s="1"/>
  <c r="N229" i="5"/>
  <c r="O229" i="5"/>
  <c r="P229" i="5"/>
  <c r="Q229" i="5"/>
  <c r="R229" i="5"/>
  <c r="S229" i="5"/>
  <c r="T229" i="5"/>
  <c r="U229" i="5"/>
  <c r="V229" i="5"/>
  <c r="W229" i="5"/>
  <c r="X229" i="5"/>
  <c r="AB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AC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AC231" i="5" s="1"/>
  <c r="N231" i="5"/>
  <c r="O231" i="5"/>
  <c r="P231" i="5"/>
  <c r="Q231" i="5"/>
  <c r="R231" i="5"/>
  <c r="S231" i="5"/>
  <c r="T231" i="5"/>
  <c r="U231" i="5"/>
  <c r="V231" i="5"/>
  <c r="W231" i="5"/>
  <c r="X231" i="5"/>
  <c r="AB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AC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AC233" i="5" s="1"/>
  <c r="N233" i="5"/>
  <c r="O233" i="5"/>
  <c r="P233" i="5"/>
  <c r="Q233" i="5"/>
  <c r="R233" i="5"/>
  <c r="S233" i="5"/>
  <c r="T233" i="5"/>
  <c r="U233" i="5"/>
  <c r="V233" i="5"/>
  <c r="W233" i="5"/>
  <c r="X233" i="5"/>
  <c r="AB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AC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AC235" i="5" s="1"/>
  <c r="N235" i="5"/>
  <c r="O235" i="5"/>
  <c r="P235" i="5"/>
  <c r="Q235" i="5"/>
  <c r="R235" i="5"/>
  <c r="S235" i="5"/>
  <c r="T235" i="5"/>
  <c r="U235" i="5"/>
  <c r="V235" i="5"/>
  <c r="W235" i="5"/>
  <c r="X235" i="5"/>
  <c r="AB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AC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AC237" i="5" s="1"/>
  <c r="N237" i="5"/>
  <c r="O237" i="5"/>
  <c r="P237" i="5"/>
  <c r="Q237" i="5"/>
  <c r="R237" i="5"/>
  <c r="S237" i="5"/>
  <c r="T237" i="5"/>
  <c r="U237" i="5"/>
  <c r="V237" i="5"/>
  <c r="W237" i="5"/>
  <c r="X237" i="5"/>
  <c r="AB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AC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AC239" i="5" s="1"/>
  <c r="N239" i="5"/>
  <c r="O239" i="5"/>
  <c r="P239" i="5"/>
  <c r="Q239" i="5"/>
  <c r="R239" i="5"/>
  <c r="S239" i="5"/>
  <c r="T239" i="5"/>
  <c r="U239" i="5"/>
  <c r="V239" i="5"/>
  <c r="W239" i="5"/>
  <c r="X239" i="5"/>
  <c r="AB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AC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AC241" i="5" s="1"/>
  <c r="N241" i="5"/>
  <c r="O241" i="5"/>
  <c r="P241" i="5"/>
  <c r="Q241" i="5"/>
  <c r="R241" i="5"/>
  <c r="S241" i="5"/>
  <c r="T241" i="5"/>
  <c r="U241" i="5"/>
  <c r="V241" i="5"/>
  <c r="W241" i="5"/>
  <c r="X241" i="5"/>
  <c r="AB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AC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AC243" i="5" s="1"/>
  <c r="N243" i="5"/>
  <c r="O243" i="5"/>
  <c r="P243" i="5"/>
  <c r="Q243" i="5"/>
  <c r="R243" i="5"/>
  <c r="S243" i="5"/>
  <c r="T243" i="5"/>
  <c r="U243" i="5"/>
  <c r="V243" i="5"/>
  <c r="W243" i="5"/>
  <c r="X243" i="5"/>
  <c r="AB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AC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AC245" i="5" s="1"/>
  <c r="N245" i="5"/>
  <c r="O245" i="5"/>
  <c r="P245" i="5"/>
  <c r="Q245" i="5"/>
  <c r="R245" i="5"/>
  <c r="S245" i="5"/>
  <c r="T245" i="5"/>
  <c r="U245" i="5"/>
  <c r="V245" i="5"/>
  <c r="W245" i="5"/>
  <c r="X245" i="5"/>
  <c r="AB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AC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AC247" i="5" s="1"/>
  <c r="N247" i="5"/>
  <c r="O247" i="5"/>
  <c r="P247" i="5"/>
  <c r="Q247" i="5"/>
  <c r="R247" i="5"/>
  <c r="S247" i="5"/>
  <c r="T247" i="5"/>
  <c r="U247" i="5"/>
  <c r="V247" i="5"/>
  <c r="W247" i="5"/>
  <c r="X247" i="5"/>
  <c r="AB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AC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AC249" i="5" s="1"/>
  <c r="N249" i="5"/>
  <c r="O249" i="5"/>
  <c r="P249" i="5"/>
  <c r="Q249" i="5"/>
  <c r="R249" i="5"/>
  <c r="S249" i="5"/>
  <c r="T249" i="5"/>
  <c r="U249" i="5"/>
  <c r="V249" i="5"/>
  <c r="W249" i="5"/>
  <c r="X249" i="5"/>
  <c r="AB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AC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AC251" i="5" s="1"/>
  <c r="N251" i="5"/>
  <c r="O251" i="5"/>
  <c r="P251" i="5"/>
  <c r="Q251" i="5"/>
  <c r="R251" i="5"/>
  <c r="S251" i="5"/>
  <c r="T251" i="5"/>
  <c r="U251" i="5"/>
  <c r="V251" i="5"/>
  <c r="W251" i="5"/>
  <c r="X251" i="5"/>
  <c r="AB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AC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AC253" i="5" s="1"/>
  <c r="N253" i="5"/>
  <c r="O253" i="5"/>
  <c r="P253" i="5"/>
  <c r="Q253" i="5"/>
  <c r="R253" i="5"/>
  <c r="S253" i="5"/>
  <c r="T253" i="5"/>
  <c r="U253" i="5"/>
  <c r="V253" i="5"/>
  <c r="W253" i="5"/>
  <c r="X253" i="5"/>
  <c r="AB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AC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AC255" i="5" s="1"/>
  <c r="N255" i="5"/>
  <c r="O255" i="5"/>
  <c r="P255" i="5"/>
  <c r="Q255" i="5"/>
  <c r="R255" i="5"/>
  <c r="S255" i="5"/>
  <c r="T255" i="5"/>
  <c r="U255" i="5"/>
  <c r="V255" i="5"/>
  <c r="W255" i="5"/>
  <c r="X255" i="5"/>
  <c r="AB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AC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AC257" i="5" s="1"/>
  <c r="N257" i="5"/>
  <c r="O257" i="5"/>
  <c r="P257" i="5"/>
  <c r="Q257" i="5"/>
  <c r="R257" i="5"/>
  <c r="S257" i="5"/>
  <c r="T257" i="5"/>
  <c r="U257" i="5"/>
  <c r="V257" i="5"/>
  <c r="W257" i="5"/>
  <c r="X257" i="5"/>
  <c r="AB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AC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AC259" i="5" s="1"/>
  <c r="N259" i="5"/>
  <c r="O259" i="5"/>
  <c r="P259" i="5"/>
  <c r="Q259" i="5"/>
  <c r="R259" i="5"/>
  <c r="S259" i="5"/>
  <c r="T259" i="5"/>
  <c r="U259" i="5"/>
  <c r="V259" i="5"/>
  <c r="W259" i="5"/>
  <c r="X259" i="5"/>
  <c r="AB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AC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AC261" i="5" s="1"/>
  <c r="N261" i="5"/>
  <c r="O261" i="5"/>
  <c r="P261" i="5"/>
  <c r="Q261" i="5"/>
  <c r="R261" i="5"/>
  <c r="S261" i="5"/>
  <c r="T261" i="5"/>
  <c r="U261" i="5"/>
  <c r="V261" i="5"/>
  <c r="W261" i="5"/>
  <c r="X261" i="5"/>
  <c r="AB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AC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AC263" i="5" s="1"/>
  <c r="N263" i="5"/>
  <c r="O263" i="5"/>
  <c r="P263" i="5"/>
  <c r="Q263" i="5"/>
  <c r="R263" i="5"/>
  <c r="S263" i="5"/>
  <c r="T263" i="5"/>
  <c r="U263" i="5"/>
  <c r="V263" i="5"/>
  <c r="W263" i="5"/>
  <c r="X263" i="5"/>
  <c r="AB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AC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AC265" i="5" s="1"/>
  <c r="N265" i="5"/>
  <c r="O265" i="5"/>
  <c r="P265" i="5"/>
  <c r="Q265" i="5"/>
  <c r="R265" i="5"/>
  <c r="S265" i="5"/>
  <c r="T265" i="5"/>
  <c r="U265" i="5"/>
  <c r="V265" i="5"/>
  <c r="W265" i="5"/>
  <c r="X265" i="5"/>
  <c r="AB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AC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AC267" i="5" s="1"/>
  <c r="N267" i="5"/>
  <c r="O267" i="5"/>
  <c r="P267" i="5"/>
  <c r="Q267" i="5"/>
  <c r="R267" i="5"/>
  <c r="S267" i="5"/>
  <c r="T267" i="5"/>
  <c r="U267" i="5"/>
  <c r="V267" i="5"/>
  <c r="W267" i="5"/>
  <c r="X267" i="5"/>
  <c r="AB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AC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AC269" i="5" s="1"/>
  <c r="N269" i="5"/>
  <c r="O269" i="5"/>
  <c r="P269" i="5"/>
  <c r="Q269" i="5"/>
  <c r="R269" i="5"/>
  <c r="S269" i="5"/>
  <c r="T269" i="5"/>
  <c r="U269" i="5"/>
  <c r="V269" i="5"/>
  <c r="W269" i="5"/>
  <c r="X269" i="5"/>
  <c r="AB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AC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AC271" i="5" s="1"/>
  <c r="N271" i="5"/>
  <c r="O271" i="5"/>
  <c r="P271" i="5"/>
  <c r="Q271" i="5"/>
  <c r="R271" i="5"/>
  <c r="S271" i="5"/>
  <c r="T271" i="5"/>
  <c r="U271" i="5"/>
  <c r="V271" i="5"/>
  <c r="W271" i="5"/>
  <c r="X271" i="5"/>
  <c r="AB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AC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AC273" i="5" s="1"/>
  <c r="N273" i="5"/>
  <c r="O273" i="5"/>
  <c r="P273" i="5"/>
  <c r="Q273" i="5"/>
  <c r="R273" i="5"/>
  <c r="S273" i="5"/>
  <c r="T273" i="5"/>
  <c r="U273" i="5"/>
  <c r="V273" i="5"/>
  <c r="W273" i="5"/>
  <c r="X273" i="5"/>
  <c r="AB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AC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AC275" i="5" s="1"/>
  <c r="N275" i="5"/>
  <c r="O275" i="5"/>
  <c r="P275" i="5"/>
  <c r="Q275" i="5"/>
  <c r="R275" i="5"/>
  <c r="S275" i="5"/>
  <c r="T275" i="5"/>
  <c r="U275" i="5"/>
  <c r="V275" i="5"/>
  <c r="W275" i="5"/>
  <c r="X275" i="5"/>
  <c r="AB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AC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AC277" i="5" s="1"/>
  <c r="N277" i="5"/>
  <c r="O277" i="5"/>
  <c r="P277" i="5"/>
  <c r="Q277" i="5"/>
  <c r="R277" i="5"/>
  <c r="S277" i="5"/>
  <c r="T277" i="5"/>
  <c r="U277" i="5"/>
  <c r="V277" i="5"/>
  <c r="W277" i="5"/>
  <c r="X277" i="5"/>
  <c r="AB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AC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AC279" i="5" s="1"/>
  <c r="N279" i="5"/>
  <c r="O279" i="5"/>
  <c r="P279" i="5"/>
  <c r="Q279" i="5"/>
  <c r="R279" i="5"/>
  <c r="S279" i="5"/>
  <c r="T279" i="5"/>
  <c r="U279" i="5"/>
  <c r="V279" i="5"/>
  <c r="W279" i="5"/>
  <c r="X279" i="5"/>
  <c r="AB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AC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AC281" i="5" s="1"/>
  <c r="N281" i="5"/>
  <c r="O281" i="5"/>
  <c r="P281" i="5"/>
  <c r="Q281" i="5"/>
  <c r="R281" i="5"/>
  <c r="S281" i="5"/>
  <c r="T281" i="5"/>
  <c r="U281" i="5"/>
  <c r="V281" i="5"/>
  <c r="W281" i="5"/>
  <c r="X281" i="5"/>
  <c r="AB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AC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AC283" i="5" s="1"/>
  <c r="N283" i="5"/>
  <c r="O283" i="5"/>
  <c r="P283" i="5"/>
  <c r="Q283" i="5"/>
  <c r="R283" i="5"/>
  <c r="S283" i="5"/>
  <c r="T283" i="5"/>
  <c r="U283" i="5"/>
  <c r="V283" i="5"/>
  <c r="W283" i="5"/>
  <c r="X283" i="5"/>
  <c r="AB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AC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AC285" i="5" s="1"/>
  <c r="N285" i="5"/>
  <c r="O285" i="5"/>
  <c r="P285" i="5"/>
  <c r="Q285" i="5"/>
  <c r="R285" i="5"/>
  <c r="S285" i="5"/>
  <c r="T285" i="5"/>
  <c r="U285" i="5"/>
  <c r="V285" i="5"/>
  <c r="W285" i="5"/>
  <c r="X285" i="5"/>
  <c r="AB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AC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AC287" i="5" s="1"/>
  <c r="N287" i="5"/>
  <c r="O287" i="5"/>
  <c r="P287" i="5"/>
  <c r="Q287" i="5"/>
  <c r="R287" i="5"/>
  <c r="S287" i="5"/>
  <c r="T287" i="5"/>
  <c r="U287" i="5"/>
  <c r="V287" i="5"/>
  <c r="W287" i="5"/>
  <c r="X287" i="5"/>
  <c r="AB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AC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AC289" i="5" s="1"/>
  <c r="N289" i="5"/>
  <c r="O289" i="5"/>
  <c r="P289" i="5"/>
  <c r="Q289" i="5"/>
  <c r="R289" i="5"/>
  <c r="S289" i="5"/>
  <c r="T289" i="5"/>
  <c r="U289" i="5"/>
  <c r="V289" i="5"/>
  <c r="W289" i="5"/>
  <c r="X289" i="5"/>
  <c r="AB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AC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AC291" i="5" s="1"/>
  <c r="N291" i="5"/>
  <c r="O291" i="5"/>
  <c r="P291" i="5"/>
  <c r="Q291" i="5"/>
  <c r="R291" i="5"/>
  <c r="S291" i="5"/>
  <c r="T291" i="5"/>
  <c r="U291" i="5"/>
  <c r="V291" i="5"/>
  <c r="W291" i="5"/>
  <c r="X291" i="5"/>
  <c r="AB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AC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AC293" i="5" s="1"/>
  <c r="N293" i="5"/>
  <c r="O293" i="5"/>
  <c r="P293" i="5"/>
  <c r="Q293" i="5"/>
  <c r="R293" i="5"/>
  <c r="S293" i="5"/>
  <c r="T293" i="5"/>
  <c r="U293" i="5"/>
  <c r="V293" i="5"/>
  <c r="W293" i="5"/>
  <c r="X293" i="5"/>
  <c r="AB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AC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AC295" i="5" s="1"/>
  <c r="N295" i="5"/>
  <c r="O295" i="5"/>
  <c r="P295" i="5"/>
  <c r="Q295" i="5"/>
  <c r="R295" i="5"/>
  <c r="S295" i="5"/>
  <c r="T295" i="5"/>
  <c r="U295" i="5"/>
  <c r="V295" i="5"/>
  <c r="W295" i="5"/>
  <c r="X295" i="5"/>
  <c r="AB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AC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AC297" i="5" s="1"/>
  <c r="N297" i="5"/>
  <c r="O297" i="5"/>
  <c r="P297" i="5"/>
  <c r="Q297" i="5"/>
  <c r="R297" i="5"/>
  <c r="S297" i="5"/>
  <c r="T297" i="5"/>
  <c r="U297" i="5"/>
  <c r="V297" i="5"/>
  <c r="W297" i="5"/>
  <c r="X297" i="5"/>
  <c r="AB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AC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AC299" i="5" s="1"/>
  <c r="N299" i="5"/>
  <c r="O299" i="5"/>
  <c r="P299" i="5"/>
  <c r="Q299" i="5"/>
  <c r="R299" i="5"/>
  <c r="S299" i="5"/>
  <c r="T299" i="5"/>
  <c r="U299" i="5"/>
  <c r="V299" i="5"/>
  <c r="W299" i="5"/>
  <c r="X299" i="5"/>
  <c r="AB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AC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AC301" i="5" s="1"/>
  <c r="N301" i="5"/>
  <c r="O301" i="5"/>
  <c r="P301" i="5"/>
  <c r="Q301" i="5"/>
  <c r="R301" i="5"/>
  <c r="S301" i="5"/>
  <c r="T301" i="5"/>
  <c r="U301" i="5"/>
  <c r="V301" i="5"/>
  <c r="W301" i="5"/>
  <c r="X301" i="5"/>
  <c r="AB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AC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AC303" i="5" s="1"/>
  <c r="N303" i="5"/>
  <c r="O303" i="5"/>
  <c r="P303" i="5"/>
  <c r="Q303" i="5"/>
  <c r="R303" i="5"/>
  <c r="S303" i="5"/>
  <c r="T303" i="5"/>
  <c r="U303" i="5"/>
  <c r="V303" i="5"/>
  <c r="W303" i="5"/>
  <c r="X303" i="5"/>
  <c r="AB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AC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AC305" i="5" s="1"/>
  <c r="N305" i="5"/>
  <c r="O305" i="5"/>
  <c r="P305" i="5"/>
  <c r="Q305" i="5"/>
  <c r="R305" i="5"/>
  <c r="S305" i="5"/>
  <c r="T305" i="5"/>
  <c r="U305" i="5"/>
  <c r="V305" i="5"/>
  <c r="W305" i="5"/>
  <c r="X305" i="5"/>
  <c r="AB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AC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AC307" i="5" s="1"/>
  <c r="N307" i="5"/>
  <c r="O307" i="5"/>
  <c r="P307" i="5"/>
  <c r="Q307" i="5"/>
  <c r="R307" i="5"/>
  <c r="S307" i="5"/>
  <c r="T307" i="5"/>
  <c r="U307" i="5"/>
  <c r="V307" i="5"/>
  <c r="W307" i="5"/>
  <c r="X307" i="5"/>
  <c r="AB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AC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AC309" i="5" s="1"/>
  <c r="N309" i="5"/>
  <c r="O309" i="5"/>
  <c r="P309" i="5"/>
  <c r="Q309" i="5"/>
  <c r="R309" i="5"/>
  <c r="S309" i="5"/>
  <c r="T309" i="5"/>
  <c r="U309" i="5"/>
  <c r="V309" i="5"/>
  <c r="W309" i="5"/>
  <c r="X309" i="5"/>
  <c r="AB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AC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AC311" i="5" s="1"/>
  <c r="N311" i="5"/>
  <c r="O311" i="5"/>
  <c r="P311" i="5"/>
  <c r="Q311" i="5"/>
  <c r="R311" i="5"/>
  <c r="S311" i="5"/>
  <c r="T311" i="5"/>
  <c r="U311" i="5"/>
  <c r="V311" i="5"/>
  <c r="W311" i="5"/>
  <c r="X311" i="5"/>
  <c r="AB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AC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AC313" i="5" s="1"/>
  <c r="N313" i="5"/>
  <c r="O313" i="5"/>
  <c r="P313" i="5"/>
  <c r="Q313" i="5"/>
  <c r="R313" i="5"/>
  <c r="S313" i="5"/>
  <c r="T313" i="5"/>
  <c r="U313" i="5"/>
  <c r="V313" i="5"/>
  <c r="W313" i="5"/>
  <c r="X313" i="5"/>
  <c r="AB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AC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AC315" i="5" s="1"/>
  <c r="N315" i="5"/>
  <c r="O315" i="5"/>
  <c r="P315" i="5"/>
  <c r="Q315" i="5"/>
  <c r="R315" i="5"/>
  <c r="S315" i="5"/>
  <c r="T315" i="5"/>
  <c r="U315" i="5"/>
  <c r="V315" i="5"/>
  <c r="W315" i="5"/>
  <c r="X315" i="5"/>
  <c r="AB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AC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AC317" i="5" s="1"/>
  <c r="N317" i="5"/>
  <c r="O317" i="5"/>
  <c r="P317" i="5"/>
  <c r="Q317" i="5"/>
  <c r="R317" i="5"/>
  <c r="S317" i="5"/>
  <c r="T317" i="5"/>
  <c r="U317" i="5"/>
  <c r="V317" i="5"/>
  <c r="W317" i="5"/>
  <c r="X317" i="5"/>
  <c r="AB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AC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AC319" i="5" s="1"/>
  <c r="N319" i="5"/>
  <c r="O319" i="5"/>
  <c r="P319" i="5"/>
  <c r="Q319" i="5"/>
  <c r="R319" i="5"/>
  <c r="S319" i="5"/>
  <c r="T319" i="5"/>
  <c r="U319" i="5"/>
  <c r="V319" i="5"/>
  <c r="W319" i="5"/>
  <c r="X319" i="5"/>
  <c r="AB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AC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AC321" i="5" s="1"/>
  <c r="N321" i="5"/>
  <c r="O321" i="5"/>
  <c r="P321" i="5"/>
  <c r="Q321" i="5"/>
  <c r="R321" i="5"/>
  <c r="S321" i="5"/>
  <c r="T321" i="5"/>
  <c r="U321" i="5"/>
  <c r="V321" i="5"/>
  <c r="W321" i="5"/>
  <c r="X321" i="5"/>
  <c r="AB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AC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AC323" i="5" s="1"/>
  <c r="N323" i="5"/>
  <c r="O323" i="5"/>
  <c r="P323" i="5"/>
  <c r="Q323" i="5"/>
  <c r="R323" i="5"/>
  <c r="S323" i="5"/>
  <c r="T323" i="5"/>
  <c r="U323" i="5"/>
  <c r="V323" i="5"/>
  <c r="W323" i="5"/>
  <c r="X323" i="5"/>
  <c r="AB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AC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AC325" i="5" s="1"/>
  <c r="N325" i="5"/>
  <c r="O325" i="5"/>
  <c r="P325" i="5"/>
  <c r="Q325" i="5"/>
  <c r="R325" i="5"/>
  <c r="S325" i="5"/>
  <c r="T325" i="5"/>
  <c r="U325" i="5"/>
  <c r="V325" i="5"/>
  <c r="W325" i="5"/>
  <c r="X325" i="5"/>
  <c r="AB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AC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AC327" i="5" s="1"/>
  <c r="N327" i="5"/>
  <c r="O327" i="5"/>
  <c r="P327" i="5"/>
  <c r="Q327" i="5"/>
  <c r="R327" i="5"/>
  <c r="S327" i="5"/>
  <c r="T327" i="5"/>
  <c r="U327" i="5"/>
  <c r="V327" i="5"/>
  <c r="W327" i="5"/>
  <c r="X327" i="5"/>
  <c r="AB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AC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AC329" i="5" s="1"/>
  <c r="N329" i="5"/>
  <c r="O329" i="5"/>
  <c r="P329" i="5"/>
  <c r="Q329" i="5"/>
  <c r="R329" i="5"/>
  <c r="S329" i="5"/>
  <c r="T329" i="5"/>
  <c r="U329" i="5"/>
  <c r="V329" i="5"/>
  <c r="W329" i="5"/>
  <c r="X329" i="5"/>
  <c r="AB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AC330" i="5"/>
  <c r="B331" i="5"/>
  <c r="C331" i="5"/>
  <c r="D331" i="5"/>
  <c r="E331" i="5"/>
  <c r="F331" i="5"/>
  <c r="G331" i="5"/>
  <c r="H331" i="5"/>
  <c r="I331" i="5"/>
  <c r="J331" i="5"/>
  <c r="K331" i="5"/>
  <c r="L331" i="5"/>
  <c r="M331" i="5"/>
  <c r="AC331" i="5" s="1"/>
  <c r="N331" i="5"/>
  <c r="O331" i="5"/>
  <c r="P331" i="5"/>
  <c r="Q331" i="5"/>
  <c r="R331" i="5"/>
  <c r="S331" i="5"/>
  <c r="T331" i="5"/>
  <c r="U331" i="5"/>
  <c r="V331" i="5"/>
  <c r="W331" i="5"/>
  <c r="X331" i="5"/>
  <c r="AB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AC332" i="5"/>
  <c r="B333" i="5"/>
  <c r="C333" i="5"/>
  <c r="D333" i="5"/>
  <c r="E333" i="5"/>
  <c r="F333" i="5"/>
  <c r="G333" i="5"/>
  <c r="H333" i="5"/>
  <c r="I333" i="5"/>
  <c r="J333" i="5"/>
  <c r="K333" i="5"/>
  <c r="L333" i="5"/>
  <c r="M333" i="5"/>
  <c r="AC333" i="5" s="1"/>
  <c r="N333" i="5"/>
  <c r="O333" i="5"/>
  <c r="P333" i="5"/>
  <c r="Q333" i="5"/>
  <c r="R333" i="5"/>
  <c r="S333" i="5"/>
  <c r="T333" i="5"/>
  <c r="U333" i="5"/>
  <c r="V333" i="5"/>
  <c r="W333" i="5"/>
  <c r="X333" i="5"/>
  <c r="AB333" i="5"/>
  <c r="B334" i="5"/>
  <c r="C334" i="5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AC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AC335" i="5" s="1"/>
  <c r="N335" i="5"/>
  <c r="O335" i="5"/>
  <c r="P335" i="5"/>
  <c r="Q335" i="5"/>
  <c r="R335" i="5"/>
  <c r="S335" i="5"/>
  <c r="T335" i="5"/>
  <c r="U335" i="5"/>
  <c r="V335" i="5"/>
  <c r="W335" i="5"/>
  <c r="X335" i="5"/>
  <c r="AB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AC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AC337" i="5" s="1"/>
  <c r="N337" i="5"/>
  <c r="O337" i="5"/>
  <c r="P337" i="5"/>
  <c r="Q337" i="5"/>
  <c r="R337" i="5"/>
  <c r="S337" i="5"/>
  <c r="T337" i="5"/>
  <c r="U337" i="5"/>
  <c r="V337" i="5"/>
  <c r="W337" i="5"/>
  <c r="X337" i="5"/>
  <c r="AB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AC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AC339" i="5" s="1"/>
  <c r="N339" i="5"/>
  <c r="O339" i="5"/>
  <c r="P339" i="5"/>
  <c r="Q339" i="5"/>
  <c r="R339" i="5"/>
  <c r="S339" i="5"/>
  <c r="T339" i="5"/>
  <c r="U339" i="5"/>
  <c r="V339" i="5"/>
  <c r="W339" i="5"/>
  <c r="X339" i="5"/>
  <c r="AB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AC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AC341" i="5" s="1"/>
  <c r="N341" i="5"/>
  <c r="O341" i="5"/>
  <c r="P341" i="5"/>
  <c r="Q341" i="5"/>
  <c r="R341" i="5"/>
  <c r="S341" i="5"/>
  <c r="T341" i="5"/>
  <c r="U341" i="5"/>
  <c r="V341" i="5"/>
  <c r="W341" i="5"/>
  <c r="X341" i="5"/>
  <c r="AB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AC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AC343" i="5" s="1"/>
  <c r="N343" i="5"/>
  <c r="O343" i="5"/>
  <c r="P343" i="5"/>
  <c r="Q343" i="5"/>
  <c r="R343" i="5"/>
  <c r="S343" i="5"/>
  <c r="T343" i="5"/>
  <c r="U343" i="5"/>
  <c r="V343" i="5"/>
  <c r="W343" i="5"/>
  <c r="X343" i="5"/>
  <c r="AB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AC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AC345" i="5" s="1"/>
  <c r="N345" i="5"/>
  <c r="O345" i="5"/>
  <c r="P345" i="5"/>
  <c r="Q345" i="5"/>
  <c r="R345" i="5"/>
  <c r="S345" i="5"/>
  <c r="T345" i="5"/>
  <c r="U345" i="5"/>
  <c r="V345" i="5"/>
  <c r="W345" i="5"/>
  <c r="X345" i="5"/>
  <c r="AB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AC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AC347" i="5" s="1"/>
  <c r="N347" i="5"/>
  <c r="O347" i="5"/>
  <c r="P347" i="5"/>
  <c r="Q347" i="5"/>
  <c r="R347" i="5"/>
  <c r="S347" i="5"/>
  <c r="T347" i="5"/>
  <c r="U347" i="5"/>
  <c r="V347" i="5"/>
  <c r="W347" i="5"/>
  <c r="X347" i="5"/>
  <c r="AB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AC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AC349" i="5" s="1"/>
  <c r="N349" i="5"/>
  <c r="O349" i="5"/>
  <c r="P349" i="5"/>
  <c r="Q349" i="5"/>
  <c r="R349" i="5"/>
  <c r="S349" i="5"/>
  <c r="T349" i="5"/>
  <c r="U349" i="5"/>
  <c r="V349" i="5"/>
  <c r="W349" i="5"/>
  <c r="X349" i="5"/>
  <c r="AB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AC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AC351" i="5" s="1"/>
  <c r="N351" i="5"/>
  <c r="O351" i="5"/>
  <c r="P351" i="5"/>
  <c r="Q351" i="5"/>
  <c r="R351" i="5"/>
  <c r="S351" i="5"/>
  <c r="T351" i="5"/>
  <c r="U351" i="5"/>
  <c r="V351" i="5"/>
  <c r="W351" i="5"/>
  <c r="X351" i="5"/>
  <c r="AB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AC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AC353" i="5" s="1"/>
  <c r="N353" i="5"/>
  <c r="O353" i="5"/>
  <c r="P353" i="5"/>
  <c r="Q353" i="5"/>
  <c r="R353" i="5"/>
  <c r="S353" i="5"/>
  <c r="T353" i="5"/>
  <c r="U353" i="5"/>
  <c r="V353" i="5"/>
  <c r="W353" i="5"/>
  <c r="X353" i="5"/>
  <c r="AB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AC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AC355" i="5" s="1"/>
  <c r="N355" i="5"/>
  <c r="O355" i="5"/>
  <c r="P355" i="5"/>
  <c r="Q355" i="5"/>
  <c r="R355" i="5"/>
  <c r="S355" i="5"/>
  <c r="T355" i="5"/>
  <c r="U355" i="5"/>
  <c r="V355" i="5"/>
  <c r="W355" i="5"/>
  <c r="X355" i="5"/>
  <c r="AB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AC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AC357" i="5" s="1"/>
  <c r="N357" i="5"/>
  <c r="O357" i="5"/>
  <c r="P357" i="5"/>
  <c r="Q357" i="5"/>
  <c r="R357" i="5"/>
  <c r="S357" i="5"/>
  <c r="T357" i="5"/>
  <c r="U357" i="5"/>
  <c r="V357" i="5"/>
  <c r="W357" i="5"/>
  <c r="X357" i="5"/>
  <c r="AB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AC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AC359" i="5" s="1"/>
  <c r="N359" i="5"/>
  <c r="O359" i="5"/>
  <c r="P359" i="5"/>
  <c r="Q359" i="5"/>
  <c r="R359" i="5"/>
  <c r="S359" i="5"/>
  <c r="T359" i="5"/>
  <c r="U359" i="5"/>
  <c r="V359" i="5"/>
  <c r="W359" i="5"/>
  <c r="X359" i="5"/>
  <c r="AB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AC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AC361" i="5" s="1"/>
  <c r="N361" i="5"/>
  <c r="O361" i="5"/>
  <c r="P361" i="5"/>
  <c r="Q361" i="5"/>
  <c r="R361" i="5"/>
  <c r="S361" i="5"/>
  <c r="T361" i="5"/>
  <c r="U361" i="5"/>
  <c r="V361" i="5"/>
  <c r="W361" i="5"/>
  <c r="X361" i="5"/>
  <c r="AB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AC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AC363" i="5" s="1"/>
  <c r="N363" i="5"/>
  <c r="O363" i="5"/>
  <c r="P363" i="5"/>
  <c r="Q363" i="5"/>
  <c r="R363" i="5"/>
  <c r="S363" i="5"/>
  <c r="T363" i="5"/>
  <c r="U363" i="5"/>
  <c r="V363" i="5"/>
  <c r="W363" i="5"/>
  <c r="X363" i="5"/>
  <c r="AB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AC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AC365" i="5" s="1"/>
  <c r="N365" i="5"/>
  <c r="O365" i="5"/>
  <c r="P365" i="5"/>
  <c r="Q365" i="5"/>
  <c r="R365" i="5"/>
  <c r="S365" i="5"/>
  <c r="T365" i="5"/>
  <c r="U365" i="5"/>
  <c r="V365" i="5"/>
  <c r="W365" i="5"/>
  <c r="X365" i="5"/>
  <c r="AB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AC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AC367" i="5" s="1"/>
  <c r="N367" i="5"/>
  <c r="O367" i="5"/>
  <c r="P367" i="5"/>
  <c r="Q367" i="5"/>
  <c r="R367" i="5"/>
  <c r="S367" i="5"/>
  <c r="T367" i="5"/>
  <c r="U367" i="5"/>
  <c r="V367" i="5"/>
  <c r="W367" i="5"/>
  <c r="X367" i="5"/>
  <c r="AB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AC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AC369" i="5" s="1"/>
  <c r="N369" i="5"/>
  <c r="O369" i="5"/>
  <c r="P369" i="5"/>
  <c r="Q369" i="5"/>
  <c r="R369" i="5"/>
  <c r="S369" i="5"/>
  <c r="T369" i="5"/>
  <c r="U369" i="5"/>
  <c r="V369" i="5"/>
  <c r="W369" i="5"/>
  <c r="X369" i="5"/>
  <c r="AB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AC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AC371" i="5" s="1"/>
  <c r="N371" i="5"/>
  <c r="O371" i="5"/>
  <c r="P371" i="5"/>
  <c r="Q371" i="5"/>
  <c r="R371" i="5"/>
  <c r="S371" i="5"/>
  <c r="T371" i="5"/>
  <c r="U371" i="5"/>
  <c r="V371" i="5"/>
  <c r="W371" i="5"/>
  <c r="X371" i="5"/>
  <c r="AB371" i="5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AC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AC373" i="5" s="1"/>
  <c r="N373" i="5"/>
  <c r="O373" i="5"/>
  <c r="P373" i="5"/>
  <c r="Q373" i="5"/>
  <c r="R373" i="5"/>
  <c r="S373" i="5"/>
  <c r="T373" i="5"/>
  <c r="U373" i="5"/>
  <c r="V373" i="5"/>
  <c r="W373" i="5"/>
  <c r="X373" i="5"/>
  <c r="AB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AC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AC375" i="5" s="1"/>
  <c r="N375" i="5"/>
  <c r="O375" i="5"/>
  <c r="P375" i="5"/>
  <c r="Q375" i="5"/>
  <c r="R375" i="5"/>
  <c r="S375" i="5"/>
  <c r="T375" i="5"/>
  <c r="U375" i="5"/>
  <c r="V375" i="5"/>
  <c r="W375" i="5"/>
  <c r="X375" i="5"/>
  <c r="AB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AC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AC377" i="5" s="1"/>
  <c r="N377" i="5"/>
  <c r="O377" i="5"/>
  <c r="P377" i="5"/>
  <c r="Q377" i="5"/>
  <c r="R377" i="5"/>
  <c r="S377" i="5"/>
  <c r="T377" i="5"/>
  <c r="U377" i="5"/>
  <c r="V377" i="5"/>
  <c r="W377" i="5"/>
  <c r="X377" i="5"/>
  <c r="AB377" i="5"/>
  <c r="B378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AC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AC379" i="5" s="1"/>
  <c r="N379" i="5"/>
  <c r="O379" i="5"/>
  <c r="P379" i="5"/>
  <c r="Q379" i="5"/>
  <c r="R379" i="5"/>
  <c r="S379" i="5"/>
  <c r="T379" i="5"/>
  <c r="U379" i="5"/>
  <c r="V379" i="5"/>
  <c r="W379" i="5"/>
  <c r="X379" i="5"/>
  <c r="AB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AC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AC381" i="5" s="1"/>
  <c r="N381" i="5"/>
  <c r="O381" i="5"/>
  <c r="P381" i="5"/>
  <c r="Q381" i="5"/>
  <c r="R381" i="5"/>
  <c r="S381" i="5"/>
  <c r="T381" i="5"/>
  <c r="U381" i="5"/>
  <c r="V381" i="5"/>
  <c r="W381" i="5"/>
  <c r="X381" i="5"/>
  <c r="AB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AC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AC383" i="5" s="1"/>
  <c r="N383" i="5"/>
  <c r="O383" i="5"/>
  <c r="P383" i="5"/>
  <c r="Q383" i="5"/>
  <c r="R383" i="5"/>
  <c r="S383" i="5"/>
  <c r="T383" i="5"/>
  <c r="U383" i="5"/>
  <c r="V383" i="5"/>
  <c r="W383" i="5"/>
  <c r="X383" i="5"/>
  <c r="AB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X384" i="5"/>
  <c r="AC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AC385" i="5" s="1"/>
  <c r="N385" i="5"/>
  <c r="O385" i="5"/>
  <c r="P385" i="5"/>
  <c r="Q385" i="5"/>
  <c r="R385" i="5"/>
  <c r="S385" i="5"/>
  <c r="T385" i="5"/>
  <c r="U385" i="5"/>
  <c r="V385" i="5"/>
  <c r="W385" i="5"/>
  <c r="X385" i="5"/>
  <c r="AB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AC386" i="5"/>
  <c r="B387" i="5"/>
  <c r="C387" i="5"/>
  <c r="D387" i="5"/>
  <c r="E387" i="5"/>
  <c r="F387" i="5"/>
  <c r="G387" i="5"/>
  <c r="H387" i="5"/>
  <c r="I387" i="5"/>
  <c r="J387" i="5"/>
  <c r="K387" i="5"/>
  <c r="L387" i="5"/>
  <c r="M387" i="5"/>
  <c r="AC387" i="5" s="1"/>
  <c r="N387" i="5"/>
  <c r="O387" i="5"/>
  <c r="P387" i="5"/>
  <c r="Q387" i="5"/>
  <c r="R387" i="5"/>
  <c r="S387" i="5"/>
  <c r="T387" i="5"/>
  <c r="U387" i="5"/>
  <c r="V387" i="5"/>
  <c r="W387" i="5"/>
  <c r="X387" i="5"/>
  <c r="AB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X388" i="5"/>
  <c r="AC388" i="5"/>
  <c r="B389" i="5"/>
  <c r="C389" i="5"/>
  <c r="D389" i="5"/>
  <c r="E389" i="5"/>
  <c r="F389" i="5"/>
  <c r="G389" i="5"/>
  <c r="H389" i="5"/>
  <c r="I389" i="5"/>
  <c r="J389" i="5"/>
  <c r="K389" i="5"/>
  <c r="L389" i="5"/>
  <c r="M389" i="5"/>
  <c r="AC389" i="5" s="1"/>
  <c r="N389" i="5"/>
  <c r="O389" i="5"/>
  <c r="P389" i="5"/>
  <c r="Q389" i="5"/>
  <c r="R389" i="5"/>
  <c r="S389" i="5"/>
  <c r="T389" i="5"/>
  <c r="U389" i="5"/>
  <c r="V389" i="5"/>
  <c r="W389" i="5"/>
  <c r="X389" i="5"/>
  <c r="AB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AC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AC391" i="5" s="1"/>
  <c r="N391" i="5"/>
  <c r="O391" i="5"/>
  <c r="P391" i="5"/>
  <c r="Q391" i="5"/>
  <c r="R391" i="5"/>
  <c r="S391" i="5"/>
  <c r="T391" i="5"/>
  <c r="U391" i="5"/>
  <c r="V391" i="5"/>
  <c r="W391" i="5"/>
  <c r="X391" i="5"/>
  <c r="AB391" i="5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R392" i="5"/>
  <c r="S392" i="5"/>
  <c r="T392" i="5"/>
  <c r="U392" i="5"/>
  <c r="V392" i="5"/>
  <c r="W392" i="5"/>
  <c r="X392" i="5"/>
  <c r="AC392" i="5"/>
  <c r="B393" i="5"/>
  <c r="C393" i="5"/>
  <c r="D393" i="5"/>
  <c r="E393" i="5"/>
  <c r="F393" i="5"/>
  <c r="G393" i="5"/>
  <c r="H393" i="5"/>
  <c r="I393" i="5"/>
  <c r="J393" i="5"/>
  <c r="K393" i="5"/>
  <c r="L393" i="5"/>
  <c r="M393" i="5"/>
  <c r="AC393" i="5" s="1"/>
  <c r="N393" i="5"/>
  <c r="O393" i="5"/>
  <c r="P393" i="5"/>
  <c r="Q393" i="5"/>
  <c r="R393" i="5"/>
  <c r="S393" i="5"/>
  <c r="T393" i="5"/>
  <c r="U393" i="5"/>
  <c r="V393" i="5"/>
  <c r="W393" i="5"/>
  <c r="X393" i="5"/>
  <c r="AB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X394" i="5"/>
  <c r="AC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AC395" i="5" s="1"/>
  <c r="N395" i="5"/>
  <c r="O395" i="5"/>
  <c r="P395" i="5"/>
  <c r="Q395" i="5"/>
  <c r="R395" i="5"/>
  <c r="S395" i="5"/>
  <c r="T395" i="5"/>
  <c r="U395" i="5"/>
  <c r="V395" i="5"/>
  <c r="W395" i="5"/>
  <c r="X395" i="5"/>
  <c r="AB395" i="5"/>
  <c r="B396" i="5"/>
  <c r="C396" i="5"/>
  <c r="D396" i="5"/>
  <c r="E396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X396" i="5"/>
  <c r="AC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AC397" i="5" s="1"/>
  <c r="N397" i="5"/>
  <c r="O397" i="5"/>
  <c r="P397" i="5"/>
  <c r="Q397" i="5"/>
  <c r="R397" i="5"/>
  <c r="S397" i="5"/>
  <c r="T397" i="5"/>
  <c r="U397" i="5"/>
  <c r="V397" i="5"/>
  <c r="W397" i="5"/>
  <c r="X397" i="5"/>
  <c r="AB397" i="5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AC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AC399" i="5" s="1"/>
  <c r="N399" i="5"/>
  <c r="O399" i="5"/>
  <c r="P399" i="5"/>
  <c r="Q399" i="5"/>
  <c r="R399" i="5"/>
  <c r="S399" i="5"/>
  <c r="T399" i="5"/>
  <c r="U399" i="5"/>
  <c r="V399" i="5"/>
  <c r="W399" i="5"/>
  <c r="X399" i="5"/>
  <c r="AB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AC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AC401" i="5" s="1"/>
  <c r="N401" i="5"/>
  <c r="O401" i="5"/>
  <c r="P401" i="5"/>
  <c r="Q401" i="5"/>
  <c r="R401" i="5"/>
  <c r="S401" i="5"/>
  <c r="T401" i="5"/>
  <c r="U401" i="5"/>
  <c r="V401" i="5"/>
  <c r="W401" i="5"/>
  <c r="X401" i="5"/>
  <c r="AB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AC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AC403" i="5" s="1"/>
  <c r="N403" i="5"/>
  <c r="O403" i="5"/>
  <c r="P403" i="5"/>
  <c r="Q403" i="5"/>
  <c r="R403" i="5"/>
  <c r="S403" i="5"/>
  <c r="T403" i="5"/>
  <c r="U403" i="5"/>
  <c r="V403" i="5"/>
  <c r="W403" i="5"/>
  <c r="X403" i="5"/>
  <c r="AB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AC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AC405" i="5" s="1"/>
  <c r="N405" i="5"/>
  <c r="O405" i="5"/>
  <c r="P405" i="5"/>
  <c r="Q405" i="5"/>
  <c r="R405" i="5"/>
  <c r="S405" i="5"/>
  <c r="T405" i="5"/>
  <c r="U405" i="5"/>
  <c r="V405" i="5"/>
  <c r="W405" i="5"/>
  <c r="X405" i="5"/>
  <c r="AB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AC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AC407" i="5" s="1"/>
  <c r="N407" i="5"/>
  <c r="O407" i="5"/>
  <c r="P407" i="5"/>
  <c r="Q407" i="5"/>
  <c r="R407" i="5"/>
  <c r="S407" i="5"/>
  <c r="T407" i="5"/>
  <c r="U407" i="5"/>
  <c r="V407" i="5"/>
  <c r="W407" i="5"/>
  <c r="X407" i="5"/>
  <c r="AB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AC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AC409" i="5" s="1"/>
  <c r="N409" i="5"/>
  <c r="O409" i="5"/>
  <c r="P409" i="5"/>
  <c r="Q409" i="5"/>
  <c r="R409" i="5"/>
  <c r="S409" i="5"/>
  <c r="T409" i="5"/>
  <c r="U409" i="5"/>
  <c r="V409" i="5"/>
  <c r="W409" i="5"/>
  <c r="X409" i="5"/>
  <c r="AB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AC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AC411" i="5" s="1"/>
  <c r="N411" i="5"/>
  <c r="O411" i="5"/>
  <c r="P411" i="5"/>
  <c r="Q411" i="5"/>
  <c r="R411" i="5"/>
  <c r="S411" i="5"/>
  <c r="T411" i="5"/>
  <c r="U411" i="5"/>
  <c r="V411" i="5"/>
  <c r="W411" i="5"/>
  <c r="X411" i="5"/>
  <c r="AB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AC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AC413" i="5" s="1"/>
  <c r="N413" i="5"/>
  <c r="O413" i="5"/>
  <c r="P413" i="5"/>
  <c r="Q413" i="5"/>
  <c r="R413" i="5"/>
  <c r="S413" i="5"/>
  <c r="T413" i="5"/>
  <c r="U413" i="5"/>
  <c r="V413" i="5"/>
  <c r="W413" i="5"/>
  <c r="X413" i="5"/>
  <c r="AB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AC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AC415" i="5" s="1"/>
  <c r="N415" i="5"/>
  <c r="O415" i="5"/>
  <c r="P415" i="5"/>
  <c r="Q415" i="5"/>
  <c r="R415" i="5"/>
  <c r="S415" i="5"/>
  <c r="T415" i="5"/>
  <c r="U415" i="5"/>
  <c r="V415" i="5"/>
  <c r="W415" i="5"/>
  <c r="X415" i="5"/>
  <c r="AB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AC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AC417" i="5" s="1"/>
  <c r="N417" i="5"/>
  <c r="O417" i="5"/>
  <c r="P417" i="5"/>
  <c r="Q417" i="5"/>
  <c r="R417" i="5"/>
  <c r="S417" i="5"/>
  <c r="T417" i="5"/>
  <c r="U417" i="5"/>
  <c r="V417" i="5"/>
  <c r="W417" i="5"/>
  <c r="X417" i="5"/>
  <c r="AB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AC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AC419" i="5" s="1"/>
  <c r="N419" i="5"/>
  <c r="O419" i="5"/>
  <c r="P419" i="5"/>
  <c r="Q419" i="5"/>
  <c r="R419" i="5"/>
  <c r="S419" i="5"/>
  <c r="T419" i="5"/>
  <c r="U419" i="5"/>
  <c r="V419" i="5"/>
  <c r="W419" i="5"/>
  <c r="X419" i="5"/>
  <c r="AB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AC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AC421" i="5" s="1"/>
  <c r="N421" i="5"/>
  <c r="O421" i="5"/>
  <c r="P421" i="5"/>
  <c r="Q421" i="5"/>
  <c r="R421" i="5"/>
  <c r="S421" i="5"/>
  <c r="T421" i="5"/>
  <c r="U421" i="5"/>
  <c r="V421" i="5"/>
  <c r="W421" i="5"/>
  <c r="X421" i="5"/>
  <c r="AB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AC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AC423" i="5" s="1"/>
  <c r="N423" i="5"/>
  <c r="O423" i="5"/>
  <c r="P423" i="5"/>
  <c r="Q423" i="5"/>
  <c r="R423" i="5"/>
  <c r="S423" i="5"/>
  <c r="T423" i="5"/>
  <c r="U423" i="5"/>
  <c r="V423" i="5"/>
  <c r="W423" i="5"/>
  <c r="X423" i="5"/>
  <c r="AB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AC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AC425" i="5" s="1"/>
  <c r="N425" i="5"/>
  <c r="O425" i="5"/>
  <c r="P425" i="5"/>
  <c r="Q425" i="5"/>
  <c r="R425" i="5"/>
  <c r="S425" i="5"/>
  <c r="T425" i="5"/>
  <c r="U425" i="5"/>
  <c r="V425" i="5"/>
  <c r="W425" i="5"/>
  <c r="X425" i="5"/>
  <c r="AB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AC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AC427" i="5" s="1"/>
  <c r="N427" i="5"/>
  <c r="O427" i="5"/>
  <c r="P427" i="5"/>
  <c r="Q427" i="5"/>
  <c r="R427" i="5"/>
  <c r="S427" i="5"/>
  <c r="T427" i="5"/>
  <c r="U427" i="5"/>
  <c r="V427" i="5"/>
  <c r="W427" i="5"/>
  <c r="X427" i="5"/>
  <c r="AB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AC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AC429" i="5" s="1"/>
  <c r="N429" i="5"/>
  <c r="O429" i="5"/>
  <c r="P429" i="5"/>
  <c r="Q429" i="5"/>
  <c r="R429" i="5"/>
  <c r="S429" i="5"/>
  <c r="T429" i="5"/>
  <c r="U429" i="5"/>
  <c r="V429" i="5"/>
  <c r="W429" i="5"/>
  <c r="X429" i="5"/>
  <c r="AB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AC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AC431" i="5" s="1"/>
  <c r="N431" i="5"/>
  <c r="O431" i="5"/>
  <c r="P431" i="5"/>
  <c r="Q431" i="5"/>
  <c r="R431" i="5"/>
  <c r="S431" i="5"/>
  <c r="T431" i="5"/>
  <c r="U431" i="5"/>
  <c r="V431" i="5"/>
  <c r="W431" i="5"/>
  <c r="X431" i="5"/>
  <c r="AB431" i="5"/>
  <c r="B432" i="5"/>
  <c r="C432" i="5"/>
  <c r="D432" i="5"/>
  <c r="E432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X432" i="5"/>
  <c r="AC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AC433" i="5" s="1"/>
  <c r="N433" i="5"/>
  <c r="O433" i="5"/>
  <c r="P433" i="5"/>
  <c r="Q433" i="5"/>
  <c r="R433" i="5"/>
  <c r="S433" i="5"/>
  <c r="T433" i="5"/>
  <c r="U433" i="5"/>
  <c r="V433" i="5"/>
  <c r="W433" i="5"/>
  <c r="X433" i="5"/>
  <c r="AB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X434" i="5"/>
  <c r="AC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AC435" i="5" s="1"/>
  <c r="N435" i="5"/>
  <c r="O435" i="5"/>
  <c r="P435" i="5"/>
  <c r="Q435" i="5"/>
  <c r="R435" i="5"/>
  <c r="S435" i="5"/>
  <c r="T435" i="5"/>
  <c r="U435" i="5"/>
  <c r="V435" i="5"/>
  <c r="W435" i="5"/>
  <c r="X435" i="5"/>
  <c r="AB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AC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AC437" i="5" s="1"/>
  <c r="N437" i="5"/>
  <c r="O437" i="5"/>
  <c r="P437" i="5"/>
  <c r="Q437" i="5"/>
  <c r="R437" i="5"/>
  <c r="S437" i="5"/>
  <c r="T437" i="5"/>
  <c r="U437" i="5"/>
  <c r="V437" i="5"/>
  <c r="W437" i="5"/>
  <c r="X437" i="5"/>
  <c r="AB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AC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AC439" i="5" s="1"/>
  <c r="N439" i="5"/>
  <c r="O439" i="5"/>
  <c r="P439" i="5"/>
  <c r="Q439" i="5"/>
  <c r="R439" i="5"/>
  <c r="S439" i="5"/>
  <c r="T439" i="5"/>
  <c r="U439" i="5"/>
  <c r="V439" i="5"/>
  <c r="W439" i="5"/>
  <c r="X439" i="5"/>
  <c r="AB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AC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AC441" i="5" s="1"/>
  <c r="N441" i="5"/>
  <c r="O441" i="5"/>
  <c r="P441" i="5"/>
  <c r="Q441" i="5"/>
  <c r="R441" i="5"/>
  <c r="S441" i="5"/>
  <c r="T441" i="5"/>
  <c r="U441" i="5"/>
  <c r="V441" i="5"/>
  <c r="W441" i="5"/>
  <c r="X441" i="5"/>
  <c r="AB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AC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AC443" i="5" s="1"/>
  <c r="N443" i="5"/>
  <c r="O443" i="5"/>
  <c r="P443" i="5"/>
  <c r="Q443" i="5"/>
  <c r="R443" i="5"/>
  <c r="S443" i="5"/>
  <c r="T443" i="5"/>
  <c r="U443" i="5"/>
  <c r="V443" i="5"/>
  <c r="W443" i="5"/>
  <c r="X443" i="5"/>
  <c r="AB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AC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AC445" i="5" s="1"/>
  <c r="N445" i="5"/>
  <c r="O445" i="5"/>
  <c r="P445" i="5"/>
  <c r="Q445" i="5"/>
  <c r="R445" i="5"/>
  <c r="S445" i="5"/>
  <c r="T445" i="5"/>
  <c r="U445" i="5"/>
  <c r="V445" i="5"/>
  <c r="W445" i="5"/>
  <c r="X445" i="5"/>
  <c r="AB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AC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AC447" i="5" s="1"/>
  <c r="N447" i="5"/>
  <c r="O447" i="5"/>
  <c r="P447" i="5"/>
  <c r="Q447" i="5"/>
  <c r="R447" i="5"/>
  <c r="S447" i="5"/>
  <c r="T447" i="5"/>
  <c r="U447" i="5"/>
  <c r="V447" i="5"/>
  <c r="W447" i="5"/>
  <c r="X447" i="5"/>
  <c r="AB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AC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AC449" i="5" s="1"/>
  <c r="N449" i="5"/>
  <c r="O449" i="5"/>
  <c r="P449" i="5"/>
  <c r="Q449" i="5"/>
  <c r="R449" i="5"/>
  <c r="S449" i="5"/>
  <c r="T449" i="5"/>
  <c r="U449" i="5"/>
  <c r="V449" i="5"/>
  <c r="W449" i="5"/>
  <c r="X449" i="5"/>
  <c r="AB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AC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AC451" i="5" s="1"/>
  <c r="N451" i="5"/>
  <c r="O451" i="5"/>
  <c r="P451" i="5"/>
  <c r="Q451" i="5"/>
  <c r="R451" i="5"/>
  <c r="S451" i="5"/>
  <c r="T451" i="5"/>
  <c r="U451" i="5"/>
  <c r="V451" i="5"/>
  <c r="W451" i="5"/>
  <c r="X451" i="5"/>
  <c r="AB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AC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AC453" i="5" s="1"/>
  <c r="N453" i="5"/>
  <c r="O453" i="5"/>
  <c r="P453" i="5"/>
  <c r="Q453" i="5"/>
  <c r="R453" i="5"/>
  <c r="S453" i="5"/>
  <c r="T453" i="5"/>
  <c r="U453" i="5"/>
  <c r="V453" i="5"/>
  <c r="W453" i="5"/>
  <c r="X453" i="5"/>
  <c r="AB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AC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AC455" i="5" s="1"/>
  <c r="N455" i="5"/>
  <c r="O455" i="5"/>
  <c r="P455" i="5"/>
  <c r="Q455" i="5"/>
  <c r="R455" i="5"/>
  <c r="S455" i="5"/>
  <c r="T455" i="5"/>
  <c r="U455" i="5"/>
  <c r="V455" i="5"/>
  <c r="W455" i="5"/>
  <c r="X455" i="5"/>
  <c r="AB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AC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AC457" i="5" s="1"/>
  <c r="N457" i="5"/>
  <c r="O457" i="5"/>
  <c r="P457" i="5"/>
  <c r="Q457" i="5"/>
  <c r="R457" i="5"/>
  <c r="S457" i="5"/>
  <c r="T457" i="5"/>
  <c r="U457" i="5"/>
  <c r="V457" i="5"/>
  <c r="W457" i="5"/>
  <c r="X457" i="5"/>
  <c r="AB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AC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AC459" i="5" s="1"/>
  <c r="N459" i="5"/>
  <c r="O459" i="5"/>
  <c r="P459" i="5"/>
  <c r="Q459" i="5"/>
  <c r="R459" i="5"/>
  <c r="S459" i="5"/>
  <c r="T459" i="5"/>
  <c r="U459" i="5"/>
  <c r="V459" i="5"/>
  <c r="W459" i="5"/>
  <c r="X459" i="5"/>
  <c r="AB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AC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AC461" i="5" s="1"/>
  <c r="N461" i="5"/>
  <c r="O461" i="5"/>
  <c r="P461" i="5"/>
  <c r="Q461" i="5"/>
  <c r="R461" i="5"/>
  <c r="S461" i="5"/>
  <c r="T461" i="5"/>
  <c r="U461" i="5"/>
  <c r="V461" i="5"/>
  <c r="W461" i="5"/>
  <c r="X461" i="5"/>
  <c r="AB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AC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AC463" i="5" s="1"/>
  <c r="N463" i="5"/>
  <c r="O463" i="5"/>
  <c r="P463" i="5"/>
  <c r="Q463" i="5"/>
  <c r="R463" i="5"/>
  <c r="S463" i="5"/>
  <c r="T463" i="5"/>
  <c r="U463" i="5"/>
  <c r="V463" i="5"/>
  <c r="W463" i="5"/>
  <c r="X463" i="5"/>
  <c r="AB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AC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AC465" i="5" s="1"/>
  <c r="N465" i="5"/>
  <c r="O465" i="5"/>
  <c r="P465" i="5"/>
  <c r="Q465" i="5"/>
  <c r="R465" i="5"/>
  <c r="S465" i="5"/>
  <c r="T465" i="5"/>
  <c r="U465" i="5"/>
  <c r="V465" i="5"/>
  <c r="W465" i="5"/>
  <c r="X465" i="5"/>
  <c r="AB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X466" i="5"/>
  <c r="AC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AC467" i="5" s="1"/>
  <c r="N467" i="5"/>
  <c r="O467" i="5"/>
  <c r="P467" i="5"/>
  <c r="Q467" i="5"/>
  <c r="R467" i="5"/>
  <c r="S467" i="5"/>
  <c r="T467" i="5"/>
  <c r="U467" i="5"/>
  <c r="V467" i="5"/>
  <c r="W467" i="5"/>
  <c r="X467" i="5"/>
  <c r="AB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X468" i="5"/>
  <c r="AC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AC469" i="5" s="1"/>
  <c r="N469" i="5"/>
  <c r="O469" i="5"/>
  <c r="P469" i="5"/>
  <c r="Q469" i="5"/>
  <c r="R469" i="5"/>
  <c r="S469" i="5"/>
  <c r="T469" i="5"/>
  <c r="U469" i="5"/>
  <c r="V469" i="5"/>
  <c r="W469" i="5"/>
  <c r="X469" i="5"/>
  <c r="AB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X470" i="5"/>
  <c r="AC470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AC471" i="5" s="1"/>
  <c r="N471" i="5"/>
  <c r="O471" i="5"/>
  <c r="P471" i="5"/>
  <c r="Q471" i="5"/>
  <c r="R471" i="5"/>
  <c r="S471" i="5"/>
  <c r="T471" i="5"/>
  <c r="U471" i="5"/>
  <c r="V471" i="5"/>
  <c r="W471" i="5"/>
  <c r="X471" i="5"/>
  <c r="AB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AC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AC473" i="5" s="1"/>
  <c r="N473" i="5"/>
  <c r="O473" i="5"/>
  <c r="P473" i="5"/>
  <c r="Q473" i="5"/>
  <c r="R473" i="5"/>
  <c r="S473" i="5"/>
  <c r="T473" i="5"/>
  <c r="U473" i="5"/>
  <c r="V473" i="5"/>
  <c r="W473" i="5"/>
  <c r="X473" i="5"/>
  <c r="AB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AC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AC475" i="5" s="1"/>
  <c r="N475" i="5"/>
  <c r="O475" i="5"/>
  <c r="P475" i="5"/>
  <c r="Q475" i="5"/>
  <c r="R475" i="5"/>
  <c r="S475" i="5"/>
  <c r="T475" i="5"/>
  <c r="U475" i="5"/>
  <c r="V475" i="5"/>
  <c r="W475" i="5"/>
  <c r="X475" i="5"/>
  <c r="AB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AC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AC477" i="5" s="1"/>
  <c r="N477" i="5"/>
  <c r="O477" i="5"/>
  <c r="P477" i="5"/>
  <c r="Q477" i="5"/>
  <c r="R477" i="5"/>
  <c r="S477" i="5"/>
  <c r="T477" i="5"/>
  <c r="U477" i="5"/>
  <c r="V477" i="5"/>
  <c r="W477" i="5"/>
  <c r="X477" i="5"/>
  <c r="AB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AC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AC479" i="5" s="1"/>
  <c r="N479" i="5"/>
  <c r="O479" i="5"/>
  <c r="P479" i="5"/>
  <c r="Q479" i="5"/>
  <c r="R479" i="5"/>
  <c r="S479" i="5"/>
  <c r="T479" i="5"/>
  <c r="U479" i="5"/>
  <c r="V479" i="5"/>
  <c r="W479" i="5"/>
  <c r="X479" i="5"/>
  <c r="AB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AC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AC481" i="5" s="1"/>
  <c r="N481" i="5"/>
  <c r="O481" i="5"/>
  <c r="P481" i="5"/>
  <c r="Q481" i="5"/>
  <c r="R481" i="5"/>
  <c r="S481" i="5"/>
  <c r="T481" i="5"/>
  <c r="U481" i="5"/>
  <c r="V481" i="5"/>
  <c r="W481" i="5"/>
  <c r="X481" i="5"/>
  <c r="AB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AC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AC483" i="5" s="1"/>
  <c r="N483" i="5"/>
  <c r="O483" i="5"/>
  <c r="P483" i="5"/>
  <c r="Q483" i="5"/>
  <c r="R483" i="5"/>
  <c r="S483" i="5"/>
  <c r="T483" i="5"/>
  <c r="U483" i="5"/>
  <c r="V483" i="5"/>
  <c r="W483" i="5"/>
  <c r="X483" i="5"/>
  <c r="AB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AC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AC485" i="5" s="1"/>
  <c r="N485" i="5"/>
  <c r="O485" i="5"/>
  <c r="P485" i="5"/>
  <c r="Q485" i="5"/>
  <c r="R485" i="5"/>
  <c r="S485" i="5"/>
  <c r="T485" i="5"/>
  <c r="U485" i="5"/>
  <c r="V485" i="5"/>
  <c r="W485" i="5"/>
  <c r="X485" i="5"/>
  <c r="AB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AC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AC487" i="5" s="1"/>
  <c r="N487" i="5"/>
  <c r="O487" i="5"/>
  <c r="P487" i="5"/>
  <c r="Q487" i="5"/>
  <c r="R487" i="5"/>
  <c r="S487" i="5"/>
  <c r="T487" i="5"/>
  <c r="U487" i="5"/>
  <c r="V487" i="5"/>
  <c r="W487" i="5"/>
  <c r="X487" i="5"/>
  <c r="AB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AC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AC489" i="5" s="1"/>
  <c r="N489" i="5"/>
  <c r="O489" i="5"/>
  <c r="P489" i="5"/>
  <c r="Q489" i="5"/>
  <c r="R489" i="5"/>
  <c r="S489" i="5"/>
  <c r="T489" i="5"/>
  <c r="U489" i="5"/>
  <c r="V489" i="5"/>
  <c r="W489" i="5"/>
  <c r="X489" i="5"/>
  <c r="AB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AC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AC491" i="5" s="1"/>
  <c r="N491" i="5"/>
  <c r="O491" i="5"/>
  <c r="P491" i="5"/>
  <c r="Q491" i="5"/>
  <c r="R491" i="5"/>
  <c r="S491" i="5"/>
  <c r="T491" i="5"/>
  <c r="U491" i="5"/>
  <c r="V491" i="5"/>
  <c r="W491" i="5"/>
  <c r="X491" i="5"/>
  <c r="AB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AC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AC493" i="5" s="1"/>
  <c r="N493" i="5"/>
  <c r="O493" i="5"/>
  <c r="P493" i="5"/>
  <c r="Q493" i="5"/>
  <c r="R493" i="5"/>
  <c r="S493" i="5"/>
  <c r="T493" i="5"/>
  <c r="U493" i="5"/>
  <c r="V493" i="5"/>
  <c r="W493" i="5"/>
  <c r="X493" i="5"/>
  <c r="AB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AC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AC495" i="5" s="1"/>
  <c r="N495" i="5"/>
  <c r="O495" i="5"/>
  <c r="P495" i="5"/>
  <c r="Q495" i="5"/>
  <c r="R495" i="5"/>
  <c r="S495" i="5"/>
  <c r="T495" i="5"/>
  <c r="U495" i="5"/>
  <c r="V495" i="5"/>
  <c r="W495" i="5"/>
  <c r="X495" i="5"/>
  <c r="AB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AC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AC497" i="5" s="1"/>
  <c r="N497" i="5"/>
  <c r="O497" i="5"/>
  <c r="P497" i="5"/>
  <c r="Q497" i="5"/>
  <c r="R497" i="5"/>
  <c r="S497" i="5"/>
  <c r="T497" i="5"/>
  <c r="U497" i="5"/>
  <c r="V497" i="5"/>
  <c r="W497" i="5"/>
  <c r="X497" i="5"/>
  <c r="AB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AC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AC499" i="5" s="1"/>
  <c r="N499" i="5"/>
  <c r="O499" i="5"/>
  <c r="P499" i="5"/>
  <c r="Q499" i="5"/>
  <c r="R499" i="5"/>
  <c r="S499" i="5"/>
  <c r="T499" i="5"/>
  <c r="U499" i="5"/>
  <c r="V499" i="5"/>
  <c r="W499" i="5"/>
  <c r="X499" i="5"/>
  <c r="AB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AC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AC501" i="5" s="1"/>
  <c r="N501" i="5"/>
  <c r="O501" i="5"/>
  <c r="P501" i="5"/>
  <c r="Q501" i="5"/>
  <c r="R501" i="5"/>
  <c r="S501" i="5"/>
  <c r="T501" i="5"/>
  <c r="U501" i="5"/>
  <c r="V501" i="5"/>
  <c r="W501" i="5"/>
  <c r="X501" i="5"/>
  <c r="AB501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X502" i="5"/>
  <c r="AC502" i="5"/>
  <c r="B503" i="5"/>
  <c r="C503" i="5"/>
  <c r="D503" i="5"/>
  <c r="E503" i="5"/>
  <c r="F503" i="5"/>
  <c r="G503" i="5"/>
  <c r="H503" i="5"/>
  <c r="I503" i="5"/>
  <c r="J503" i="5"/>
  <c r="K503" i="5"/>
  <c r="L503" i="5"/>
  <c r="M503" i="5"/>
  <c r="AC503" i="5" s="1"/>
  <c r="N503" i="5"/>
  <c r="O503" i="5"/>
  <c r="P503" i="5"/>
  <c r="Q503" i="5"/>
  <c r="R503" i="5"/>
  <c r="S503" i="5"/>
  <c r="T503" i="5"/>
  <c r="U503" i="5"/>
  <c r="V503" i="5"/>
  <c r="W503" i="5"/>
  <c r="X503" i="5"/>
  <c r="AB503" i="5"/>
  <c r="B504" i="5"/>
  <c r="C504" i="5"/>
  <c r="D504" i="5"/>
  <c r="E504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X504" i="5"/>
  <c r="AC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AC505" i="5" s="1"/>
  <c r="N505" i="5"/>
  <c r="O505" i="5"/>
  <c r="P505" i="5"/>
  <c r="Q505" i="5"/>
  <c r="R505" i="5"/>
  <c r="S505" i="5"/>
  <c r="T505" i="5"/>
  <c r="U505" i="5"/>
  <c r="V505" i="5"/>
  <c r="W505" i="5"/>
  <c r="X505" i="5"/>
  <c r="AB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X506" i="5"/>
  <c r="AC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AC507" i="5" s="1"/>
  <c r="N507" i="5"/>
  <c r="O507" i="5"/>
  <c r="P507" i="5"/>
  <c r="Q507" i="5"/>
  <c r="R507" i="5"/>
  <c r="S507" i="5"/>
  <c r="T507" i="5"/>
  <c r="U507" i="5"/>
  <c r="V507" i="5"/>
  <c r="W507" i="5"/>
  <c r="X507" i="5"/>
  <c r="AB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AC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AC509" i="5" s="1"/>
  <c r="N509" i="5"/>
  <c r="O509" i="5"/>
  <c r="P509" i="5"/>
  <c r="Q509" i="5"/>
  <c r="R509" i="5"/>
  <c r="S509" i="5"/>
  <c r="T509" i="5"/>
  <c r="U509" i="5"/>
  <c r="V509" i="5"/>
  <c r="W509" i="5"/>
  <c r="X509" i="5"/>
  <c r="AB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AC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AC511" i="5" s="1"/>
  <c r="N511" i="5"/>
  <c r="O511" i="5"/>
  <c r="P511" i="5"/>
  <c r="Q511" i="5"/>
  <c r="R511" i="5"/>
  <c r="S511" i="5"/>
  <c r="T511" i="5"/>
  <c r="U511" i="5"/>
  <c r="V511" i="5"/>
  <c r="W511" i="5"/>
  <c r="X511" i="5"/>
  <c r="AB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AC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AC513" i="5" s="1"/>
  <c r="N513" i="5"/>
  <c r="O513" i="5"/>
  <c r="P513" i="5"/>
  <c r="Q513" i="5"/>
  <c r="R513" i="5"/>
  <c r="S513" i="5"/>
  <c r="T513" i="5"/>
  <c r="U513" i="5"/>
  <c r="V513" i="5"/>
  <c r="W513" i="5"/>
  <c r="X513" i="5"/>
  <c r="AB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AC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AC515" i="5" s="1"/>
  <c r="N515" i="5"/>
  <c r="O515" i="5"/>
  <c r="P515" i="5"/>
  <c r="Q515" i="5"/>
  <c r="R515" i="5"/>
  <c r="S515" i="5"/>
  <c r="T515" i="5"/>
  <c r="U515" i="5"/>
  <c r="V515" i="5"/>
  <c r="W515" i="5"/>
  <c r="X515" i="5"/>
  <c r="AB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AC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AC517" i="5" s="1"/>
  <c r="N517" i="5"/>
  <c r="O517" i="5"/>
  <c r="P517" i="5"/>
  <c r="Q517" i="5"/>
  <c r="R517" i="5"/>
  <c r="S517" i="5"/>
  <c r="T517" i="5"/>
  <c r="U517" i="5"/>
  <c r="V517" i="5"/>
  <c r="W517" i="5"/>
  <c r="X517" i="5"/>
  <c r="AB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AC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AC519" i="5" s="1"/>
  <c r="N519" i="5"/>
  <c r="O519" i="5"/>
  <c r="P519" i="5"/>
  <c r="Q519" i="5"/>
  <c r="R519" i="5"/>
  <c r="S519" i="5"/>
  <c r="T519" i="5"/>
  <c r="U519" i="5"/>
  <c r="V519" i="5"/>
  <c r="W519" i="5"/>
  <c r="X519" i="5"/>
  <c r="AB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AC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AC521" i="5" s="1"/>
  <c r="N521" i="5"/>
  <c r="O521" i="5"/>
  <c r="P521" i="5"/>
  <c r="Q521" i="5"/>
  <c r="R521" i="5"/>
  <c r="S521" i="5"/>
  <c r="T521" i="5"/>
  <c r="U521" i="5"/>
  <c r="V521" i="5"/>
  <c r="W521" i="5"/>
  <c r="X521" i="5"/>
  <c r="AB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AC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AC523" i="5" s="1"/>
  <c r="N523" i="5"/>
  <c r="O523" i="5"/>
  <c r="P523" i="5"/>
  <c r="Q523" i="5"/>
  <c r="R523" i="5"/>
  <c r="S523" i="5"/>
  <c r="T523" i="5"/>
  <c r="U523" i="5"/>
  <c r="V523" i="5"/>
  <c r="W523" i="5"/>
  <c r="X523" i="5"/>
  <c r="AB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AC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AC525" i="5" s="1"/>
  <c r="N525" i="5"/>
  <c r="O525" i="5"/>
  <c r="P525" i="5"/>
  <c r="Q525" i="5"/>
  <c r="R525" i="5"/>
  <c r="S525" i="5"/>
  <c r="T525" i="5"/>
  <c r="U525" i="5"/>
  <c r="V525" i="5"/>
  <c r="W525" i="5"/>
  <c r="X525" i="5"/>
  <c r="AB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AC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AC527" i="5" s="1"/>
  <c r="N527" i="5"/>
  <c r="O527" i="5"/>
  <c r="P527" i="5"/>
  <c r="Q527" i="5"/>
  <c r="R527" i="5"/>
  <c r="S527" i="5"/>
  <c r="T527" i="5"/>
  <c r="U527" i="5"/>
  <c r="V527" i="5"/>
  <c r="W527" i="5"/>
  <c r="X527" i="5"/>
  <c r="AB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AC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AC529" i="5" s="1"/>
  <c r="N529" i="5"/>
  <c r="O529" i="5"/>
  <c r="P529" i="5"/>
  <c r="Q529" i="5"/>
  <c r="R529" i="5"/>
  <c r="S529" i="5"/>
  <c r="T529" i="5"/>
  <c r="U529" i="5"/>
  <c r="V529" i="5"/>
  <c r="W529" i="5"/>
  <c r="X529" i="5"/>
  <c r="AB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AC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AC531" i="5" s="1"/>
  <c r="N531" i="5"/>
  <c r="O531" i="5"/>
  <c r="P531" i="5"/>
  <c r="Q531" i="5"/>
  <c r="R531" i="5"/>
  <c r="S531" i="5"/>
  <c r="T531" i="5"/>
  <c r="U531" i="5"/>
  <c r="V531" i="5"/>
  <c r="W531" i="5"/>
  <c r="X531" i="5"/>
  <c r="AB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AC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AC533" i="5" s="1"/>
  <c r="N533" i="5"/>
  <c r="O533" i="5"/>
  <c r="P533" i="5"/>
  <c r="Q533" i="5"/>
  <c r="R533" i="5"/>
  <c r="S533" i="5"/>
  <c r="T533" i="5"/>
  <c r="U533" i="5"/>
  <c r="V533" i="5"/>
  <c r="W533" i="5"/>
  <c r="X533" i="5"/>
  <c r="AB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AC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AC535" i="5" s="1"/>
  <c r="N535" i="5"/>
  <c r="O535" i="5"/>
  <c r="P535" i="5"/>
  <c r="Q535" i="5"/>
  <c r="R535" i="5"/>
  <c r="S535" i="5"/>
  <c r="T535" i="5"/>
  <c r="U535" i="5"/>
  <c r="V535" i="5"/>
  <c r="W535" i="5"/>
  <c r="X535" i="5"/>
  <c r="AB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AC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AC537" i="5" s="1"/>
  <c r="N537" i="5"/>
  <c r="O537" i="5"/>
  <c r="P537" i="5"/>
  <c r="Q537" i="5"/>
  <c r="R537" i="5"/>
  <c r="S537" i="5"/>
  <c r="T537" i="5"/>
  <c r="U537" i="5"/>
  <c r="V537" i="5"/>
  <c r="W537" i="5"/>
  <c r="X537" i="5"/>
  <c r="AB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X538" i="5"/>
  <c r="AC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AC539" i="5" s="1"/>
  <c r="N539" i="5"/>
  <c r="O539" i="5"/>
  <c r="P539" i="5"/>
  <c r="Q539" i="5"/>
  <c r="R539" i="5"/>
  <c r="S539" i="5"/>
  <c r="T539" i="5"/>
  <c r="U539" i="5"/>
  <c r="V539" i="5"/>
  <c r="W539" i="5"/>
  <c r="X539" i="5"/>
  <c r="AB539" i="5"/>
  <c r="B540" i="5"/>
  <c r="C540" i="5"/>
  <c r="D540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X540" i="5"/>
  <c r="AC540" i="5"/>
  <c r="B541" i="5"/>
  <c r="C541" i="5"/>
  <c r="D541" i="5"/>
  <c r="E541" i="5"/>
  <c r="F541" i="5"/>
  <c r="G541" i="5"/>
  <c r="H541" i="5"/>
  <c r="I541" i="5"/>
  <c r="J541" i="5"/>
  <c r="K541" i="5"/>
  <c r="L541" i="5"/>
  <c r="M541" i="5"/>
  <c r="AC541" i="5" s="1"/>
  <c r="N541" i="5"/>
  <c r="O541" i="5"/>
  <c r="P541" i="5"/>
  <c r="Q541" i="5"/>
  <c r="R541" i="5"/>
  <c r="S541" i="5"/>
  <c r="T541" i="5"/>
  <c r="U541" i="5"/>
  <c r="V541" i="5"/>
  <c r="W541" i="5"/>
  <c r="X541" i="5"/>
  <c r="AB541" i="5"/>
  <c r="B542" i="5"/>
  <c r="C542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X542" i="5"/>
  <c r="AC542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AC543" i="5" s="1"/>
  <c r="N543" i="5"/>
  <c r="O543" i="5"/>
  <c r="P543" i="5"/>
  <c r="Q543" i="5"/>
  <c r="R543" i="5"/>
  <c r="S543" i="5"/>
  <c r="T543" i="5"/>
  <c r="U543" i="5"/>
  <c r="V543" i="5"/>
  <c r="W543" i="5"/>
  <c r="X543" i="5"/>
  <c r="AB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AC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AC545" i="5" s="1"/>
  <c r="N545" i="5"/>
  <c r="O545" i="5"/>
  <c r="P545" i="5"/>
  <c r="Q545" i="5"/>
  <c r="R545" i="5"/>
  <c r="S545" i="5"/>
  <c r="T545" i="5"/>
  <c r="U545" i="5"/>
  <c r="V545" i="5"/>
  <c r="W545" i="5"/>
  <c r="X545" i="5"/>
  <c r="AB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AC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AC547" i="5" s="1"/>
  <c r="N547" i="5"/>
  <c r="O547" i="5"/>
  <c r="P547" i="5"/>
  <c r="Q547" i="5"/>
  <c r="R547" i="5"/>
  <c r="S547" i="5"/>
  <c r="T547" i="5"/>
  <c r="U547" i="5"/>
  <c r="V547" i="5"/>
  <c r="W547" i="5"/>
  <c r="X547" i="5"/>
  <c r="AB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AC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AC549" i="5" s="1"/>
  <c r="N549" i="5"/>
  <c r="O549" i="5"/>
  <c r="P549" i="5"/>
  <c r="Q549" i="5"/>
  <c r="R549" i="5"/>
  <c r="S549" i="5"/>
  <c r="T549" i="5"/>
  <c r="U549" i="5"/>
  <c r="V549" i="5"/>
  <c r="W549" i="5"/>
  <c r="X549" i="5"/>
  <c r="AB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AC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AC551" i="5" s="1"/>
  <c r="N551" i="5"/>
  <c r="O551" i="5"/>
  <c r="P551" i="5"/>
  <c r="Q551" i="5"/>
  <c r="R551" i="5"/>
  <c r="S551" i="5"/>
  <c r="T551" i="5"/>
  <c r="U551" i="5"/>
  <c r="V551" i="5"/>
  <c r="W551" i="5"/>
  <c r="X551" i="5"/>
  <c r="AB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AC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AC553" i="5" s="1"/>
  <c r="N553" i="5"/>
  <c r="O553" i="5"/>
  <c r="P553" i="5"/>
  <c r="Q553" i="5"/>
  <c r="R553" i="5"/>
  <c r="S553" i="5"/>
  <c r="T553" i="5"/>
  <c r="U553" i="5"/>
  <c r="V553" i="5"/>
  <c r="W553" i="5"/>
  <c r="X553" i="5"/>
  <c r="AB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AC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AC555" i="5" s="1"/>
  <c r="N555" i="5"/>
  <c r="O555" i="5"/>
  <c r="P555" i="5"/>
  <c r="Q555" i="5"/>
  <c r="R555" i="5"/>
  <c r="S555" i="5"/>
  <c r="T555" i="5"/>
  <c r="U555" i="5"/>
  <c r="V555" i="5"/>
  <c r="W555" i="5"/>
  <c r="X555" i="5"/>
  <c r="AB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AC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AC557" i="5" s="1"/>
  <c r="N557" i="5"/>
  <c r="O557" i="5"/>
  <c r="P557" i="5"/>
  <c r="Q557" i="5"/>
  <c r="R557" i="5"/>
  <c r="S557" i="5"/>
  <c r="T557" i="5"/>
  <c r="U557" i="5"/>
  <c r="V557" i="5"/>
  <c r="W557" i="5"/>
  <c r="X557" i="5"/>
  <c r="AB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AC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AC559" i="5" s="1"/>
  <c r="N559" i="5"/>
  <c r="O559" i="5"/>
  <c r="P559" i="5"/>
  <c r="Q559" i="5"/>
  <c r="R559" i="5"/>
  <c r="S559" i="5"/>
  <c r="T559" i="5"/>
  <c r="U559" i="5"/>
  <c r="V559" i="5"/>
  <c r="W559" i="5"/>
  <c r="X559" i="5"/>
  <c r="AB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AC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AC561" i="5" s="1"/>
  <c r="N561" i="5"/>
  <c r="O561" i="5"/>
  <c r="P561" i="5"/>
  <c r="Q561" i="5"/>
  <c r="R561" i="5"/>
  <c r="S561" i="5"/>
  <c r="T561" i="5"/>
  <c r="U561" i="5"/>
  <c r="V561" i="5"/>
  <c r="W561" i="5"/>
  <c r="X561" i="5"/>
  <c r="AB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AC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AC563" i="5" s="1"/>
  <c r="N563" i="5"/>
  <c r="O563" i="5"/>
  <c r="P563" i="5"/>
  <c r="Q563" i="5"/>
  <c r="R563" i="5"/>
  <c r="S563" i="5"/>
  <c r="T563" i="5"/>
  <c r="U563" i="5"/>
  <c r="V563" i="5"/>
  <c r="W563" i="5"/>
  <c r="X563" i="5"/>
  <c r="AB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AC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AC565" i="5" s="1"/>
  <c r="N565" i="5"/>
  <c r="O565" i="5"/>
  <c r="P565" i="5"/>
  <c r="Q565" i="5"/>
  <c r="R565" i="5"/>
  <c r="S565" i="5"/>
  <c r="T565" i="5"/>
  <c r="U565" i="5"/>
  <c r="V565" i="5"/>
  <c r="W565" i="5"/>
  <c r="X565" i="5"/>
  <c r="AB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AC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AC567" i="5" s="1"/>
  <c r="N567" i="5"/>
  <c r="O567" i="5"/>
  <c r="P567" i="5"/>
  <c r="Q567" i="5"/>
  <c r="R567" i="5"/>
  <c r="S567" i="5"/>
  <c r="T567" i="5"/>
  <c r="U567" i="5"/>
  <c r="V567" i="5"/>
  <c r="W567" i="5"/>
  <c r="X567" i="5"/>
  <c r="AB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AC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AC569" i="5" s="1"/>
  <c r="N569" i="5"/>
  <c r="O569" i="5"/>
  <c r="P569" i="5"/>
  <c r="Q569" i="5"/>
  <c r="R569" i="5"/>
  <c r="S569" i="5"/>
  <c r="T569" i="5"/>
  <c r="U569" i="5"/>
  <c r="V569" i="5"/>
  <c r="W569" i="5"/>
  <c r="X569" i="5"/>
  <c r="AB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AC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AC571" i="5" s="1"/>
  <c r="N571" i="5"/>
  <c r="O571" i="5"/>
  <c r="P571" i="5"/>
  <c r="Q571" i="5"/>
  <c r="R571" i="5"/>
  <c r="S571" i="5"/>
  <c r="T571" i="5"/>
  <c r="U571" i="5"/>
  <c r="V571" i="5"/>
  <c r="W571" i="5"/>
  <c r="X571" i="5"/>
  <c r="AB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AC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AC573" i="5" s="1"/>
  <c r="N573" i="5"/>
  <c r="O573" i="5"/>
  <c r="P573" i="5"/>
  <c r="Q573" i="5"/>
  <c r="R573" i="5"/>
  <c r="S573" i="5"/>
  <c r="T573" i="5"/>
  <c r="U573" i="5"/>
  <c r="V573" i="5"/>
  <c r="W573" i="5"/>
  <c r="X573" i="5"/>
  <c r="AB573" i="5"/>
  <c r="B574" i="5"/>
  <c r="C574" i="5"/>
  <c r="D574" i="5"/>
  <c r="E574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R574" i="5"/>
  <c r="S574" i="5"/>
  <c r="T574" i="5"/>
  <c r="U574" i="5"/>
  <c r="V574" i="5"/>
  <c r="W574" i="5"/>
  <c r="X574" i="5"/>
  <c r="AC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AC575" i="5" s="1"/>
  <c r="N575" i="5"/>
  <c r="O575" i="5"/>
  <c r="P575" i="5"/>
  <c r="Q575" i="5"/>
  <c r="R575" i="5"/>
  <c r="S575" i="5"/>
  <c r="T575" i="5"/>
  <c r="U575" i="5"/>
  <c r="V575" i="5"/>
  <c r="W575" i="5"/>
  <c r="X575" i="5"/>
  <c r="AB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X576" i="5"/>
  <c r="AC576" i="5"/>
  <c r="B577" i="5"/>
  <c r="C577" i="5"/>
  <c r="D577" i="5"/>
  <c r="E577" i="5"/>
  <c r="F577" i="5"/>
  <c r="G577" i="5"/>
  <c r="H577" i="5"/>
  <c r="I577" i="5"/>
  <c r="J577" i="5"/>
  <c r="K577" i="5"/>
  <c r="L577" i="5"/>
  <c r="M577" i="5"/>
  <c r="AC577" i="5" s="1"/>
  <c r="N577" i="5"/>
  <c r="O577" i="5"/>
  <c r="P577" i="5"/>
  <c r="Q577" i="5"/>
  <c r="R577" i="5"/>
  <c r="S577" i="5"/>
  <c r="T577" i="5"/>
  <c r="U577" i="5"/>
  <c r="V577" i="5"/>
  <c r="W577" i="5"/>
  <c r="X577" i="5"/>
  <c r="AB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X578" i="5"/>
  <c r="AC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AC579" i="5" s="1"/>
  <c r="N579" i="5"/>
  <c r="O579" i="5"/>
  <c r="P579" i="5"/>
  <c r="Q579" i="5"/>
  <c r="R579" i="5"/>
  <c r="S579" i="5"/>
  <c r="T579" i="5"/>
  <c r="U579" i="5"/>
  <c r="V579" i="5"/>
  <c r="W579" i="5"/>
  <c r="X579" i="5"/>
  <c r="AB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AC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AC581" i="5" s="1"/>
  <c r="N581" i="5"/>
  <c r="O581" i="5"/>
  <c r="P581" i="5"/>
  <c r="Q581" i="5"/>
  <c r="R581" i="5"/>
  <c r="S581" i="5"/>
  <c r="T581" i="5"/>
  <c r="U581" i="5"/>
  <c r="V581" i="5"/>
  <c r="W581" i="5"/>
  <c r="X581" i="5"/>
  <c r="AB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AC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AC583" i="5" s="1"/>
  <c r="N583" i="5"/>
  <c r="O583" i="5"/>
  <c r="P583" i="5"/>
  <c r="Q583" i="5"/>
  <c r="R583" i="5"/>
  <c r="S583" i="5"/>
  <c r="T583" i="5"/>
  <c r="U583" i="5"/>
  <c r="V583" i="5"/>
  <c r="W583" i="5"/>
  <c r="X583" i="5"/>
  <c r="AB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AC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AC585" i="5" s="1"/>
  <c r="N585" i="5"/>
  <c r="O585" i="5"/>
  <c r="P585" i="5"/>
  <c r="Q585" i="5"/>
  <c r="R585" i="5"/>
  <c r="S585" i="5"/>
  <c r="T585" i="5"/>
  <c r="U585" i="5"/>
  <c r="V585" i="5"/>
  <c r="W585" i="5"/>
  <c r="X585" i="5"/>
  <c r="AB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AC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AC587" i="5" s="1"/>
  <c r="N587" i="5"/>
  <c r="O587" i="5"/>
  <c r="P587" i="5"/>
  <c r="Q587" i="5"/>
  <c r="R587" i="5"/>
  <c r="S587" i="5"/>
  <c r="T587" i="5"/>
  <c r="U587" i="5"/>
  <c r="V587" i="5"/>
  <c r="W587" i="5"/>
  <c r="X587" i="5"/>
  <c r="AB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AC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AC589" i="5" s="1"/>
  <c r="N589" i="5"/>
  <c r="O589" i="5"/>
  <c r="P589" i="5"/>
  <c r="Q589" i="5"/>
  <c r="R589" i="5"/>
  <c r="S589" i="5"/>
  <c r="T589" i="5"/>
  <c r="U589" i="5"/>
  <c r="V589" i="5"/>
  <c r="W589" i="5"/>
  <c r="X589" i="5"/>
  <c r="AB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AC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AC591" i="5" s="1"/>
  <c r="N591" i="5"/>
  <c r="O591" i="5"/>
  <c r="P591" i="5"/>
  <c r="Q591" i="5"/>
  <c r="R591" i="5"/>
  <c r="S591" i="5"/>
  <c r="T591" i="5"/>
  <c r="U591" i="5"/>
  <c r="V591" i="5"/>
  <c r="W591" i="5"/>
  <c r="X591" i="5"/>
  <c r="AB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AC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AC593" i="5" s="1"/>
  <c r="N593" i="5"/>
  <c r="O593" i="5"/>
  <c r="P593" i="5"/>
  <c r="Q593" i="5"/>
  <c r="R593" i="5"/>
  <c r="S593" i="5"/>
  <c r="T593" i="5"/>
  <c r="U593" i="5"/>
  <c r="V593" i="5"/>
  <c r="W593" i="5"/>
  <c r="X593" i="5"/>
  <c r="AB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AC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AC595" i="5" s="1"/>
  <c r="N595" i="5"/>
  <c r="O595" i="5"/>
  <c r="P595" i="5"/>
  <c r="Q595" i="5"/>
  <c r="R595" i="5"/>
  <c r="S595" i="5"/>
  <c r="T595" i="5"/>
  <c r="U595" i="5"/>
  <c r="V595" i="5"/>
  <c r="W595" i="5"/>
  <c r="X595" i="5"/>
  <c r="AB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AC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AC597" i="5" s="1"/>
  <c r="N597" i="5"/>
  <c r="O597" i="5"/>
  <c r="P597" i="5"/>
  <c r="Q597" i="5"/>
  <c r="R597" i="5"/>
  <c r="S597" i="5"/>
  <c r="T597" i="5"/>
  <c r="U597" i="5"/>
  <c r="V597" i="5"/>
  <c r="W597" i="5"/>
  <c r="X597" i="5"/>
  <c r="AB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AC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AC599" i="5" s="1"/>
  <c r="N599" i="5"/>
  <c r="O599" i="5"/>
  <c r="P599" i="5"/>
  <c r="Q599" i="5"/>
  <c r="R599" i="5"/>
  <c r="S599" i="5"/>
  <c r="T599" i="5"/>
  <c r="U599" i="5"/>
  <c r="V599" i="5"/>
  <c r="W599" i="5"/>
  <c r="X599" i="5"/>
  <c r="AB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AC602" i="5" s="1"/>
  <c r="O602" i="5"/>
  <c r="P602" i="5"/>
  <c r="Q602" i="5"/>
  <c r="R602" i="5"/>
  <c r="S602" i="5"/>
  <c r="T602" i="5"/>
  <c r="U602" i="5"/>
  <c r="V602" i="5"/>
  <c r="W602" i="5"/>
  <c r="X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AB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N610" i="5"/>
  <c r="AC610" i="5" s="1"/>
  <c r="O610" i="5"/>
  <c r="P610" i="5"/>
  <c r="Q610" i="5"/>
  <c r="R610" i="5"/>
  <c r="S610" i="5"/>
  <c r="T610" i="5"/>
  <c r="U610" i="5"/>
  <c r="V610" i="5"/>
  <c r="W610" i="5"/>
  <c r="X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X611" i="5"/>
  <c r="B612" i="5"/>
  <c r="C612" i="5"/>
  <c r="D612" i="5"/>
  <c r="E612" i="5"/>
  <c r="F612" i="5"/>
  <c r="G612" i="5"/>
  <c r="H612" i="5"/>
  <c r="I612" i="5"/>
  <c r="J612" i="5"/>
  <c r="K612" i="5"/>
  <c r="L612" i="5"/>
  <c r="M612" i="5"/>
  <c r="N612" i="5"/>
  <c r="O612" i="5"/>
  <c r="P612" i="5"/>
  <c r="Q612" i="5"/>
  <c r="R612" i="5"/>
  <c r="S612" i="5"/>
  <c r="T612" i="5"/>
  <c r="U612" i="5"/>
  <c r="V612" i="5"/>
  <c r="W612" i="5"/>
  <c r="X612" i="5"/>
  <c r="B613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X613" i="5"/>
  <c r="B614" i="5"/>
  <c r="C614" i="5"/>
  <c r="D614" i="5"/>
  <c r="E614" i="5"/>
  <c r="F614" i="5"/>
  <c r="G614" i="5"/>
  <c r="H614" i="5"/>
  <c r="I614" i="5"/>
  <c r="J614" i="5"/>
  <c r="K614" i="5"/>
  <c r="L614" i="5"/>
  <c r="M614" i="5"/>
  <c r="N614" i="5"/>
  <c r="O614" i="5"/>
  <c r="P614" i="5"/>
  <c r="Q614" i="5"/>
  <c r="R614" i="5"/>
  <c r="S614" i="5"/>
  <c r="T614" i="5"/>
  <c r="U614" i="5"/>
  <c r="V614" i="5"/>
  <c r="W614" i="5"/>
  <c r="X614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AB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AC618" i="5" s="1"/>
  <c r="O618" i="5"/>
  <c r="P618" i="5"/>
  <c r="Q618" i="5"/>
  <c r="R618" i="5"/>
  <c r="S618" i="5"/>
  <c r="T618" i="5"/>
  <c r="U618" i="5"/>
  <c r="V618" i="5"/>
  <c r="W618" i="5"/>
  <c r="X618" i="5"/>
  <c r="B619" i="5"/>
  <c r="AB619" i="5" s="1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AC622" i="5" s="1"/>
  <c r="P622" i="5"/>
  <c r="Q622" i="5"/>
  <c r="R622" i="5"/>
  <c r="S622" i="5"/>
  <c r="T622" i="5"/>
  <c r="U622" i="5"/>
  <c r="V622" i="5"/>
  <c r="W622" i="5"/>
  <c r="X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AC624" i="5" s="1"/>
  <c r="P624" i="5"/>
  <c r="Q624" i="5"/>
  <c r="R624" i="5"/>
  <c r="S624" i="5"/>
  <c r="T624" i="5"/>
  <c r="U624" i="5"/>
  <c r="V624" i="5"/>
  <c r="W624" i="5"/>
  <c r="X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AC626" i="5" s="1"/>
  <c r="P626" i="5"/>
  <c r="Q626" i="5"/>
  <c r="R626" i="5"/>
  <c r="S626" i="5"/>
  <c r="T626" i="5"/>
  <c r="U626" i="5"/>
  <c r="V626" i="5"/>
  <c r="W626" i="5"/>
  <c r="X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AC628" i="5" s="1"/>
  <c r="P628" i="5"/>
  <c r="Q628" i="5"/>
  <c r="R628" i="5"/>
  <c r="S628" i="5"/>
  <c r="T628" i="5"/>
  <c r="U628" i="5"/>
  <c r="V628" i="5"/>
  <c r="W628" i="5"/>
  <c r="X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AC630" i="5" s="1"/>
  <c r="P630" i="5"/>
  <c r="Q630" i="5"/>
  <c r="R630" i="5"/>
  <c r="S630" i="5"/>
  <c r="T630" i="5"/>
  <c r="U630" i="5"/>
  <c r="V630" i="5"/>
  <c r="W630" i="5"/>
  <c r="X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AC632" i="5" s="1"/>
  <c r="P632" i="5"/>
  <c r="Q632" i="5"/>
  <c r="R632" i="5"/>
  <c r="S632" i="5"/>
  <c r="T632" i="5"/>
  <c r="U632" i="5"/>
  <c r="V632" i="5"/>
  <c r="W632" i="5"/>
  <c r="X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AC633" i="5" s="1"/>
  <c r="O633" i="5"/>
  <c r="P633" i="5"/>
  <c r="Q633" i="5"/>
  <c r="R633" i="5"/>
  <c r="S633" i="5"/>
  <c r="T633" i="5"/>
  <c r="U633" i="5"/>
  <c r="V633" i="5"/>
  <c r="W633" i="5"/>
  <c r="X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AC634" i="5" s="1"/>
  <c r="N634" i="5"/>
  <c r="O634" i="5"/>
  <c r="P634" i="5"/>
  <c r="Q634" i="5"/>
  <c r="R634" i="5"/>
  <c r="S634" i="5"/>
  <c r="T634" i="5"/>
  <c r="U634" i="5"/>
  <c r="V634" i="5"/>
  <c r="W634" i="5"/>
  <c r="X634" i="5"/>
  <c r="AB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AC636" i="5" s="1"/>
  <c r="P636" i="5"/>
  <c r="Q636" i="5"/>
  <c r="R636" i="5"/>
  <c r="S636" i="5"/>
  <c r="T636" i="5"/>
  <c r="U636" i="5"/>
  <c r="V636" i="5"/>
  <c r="W636" i="5"/>
  <c r="X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AC637" i="5" s="1"/>
  <c r="O637" i="5"/>
  <c r="P637" i="5"/>
  <c r="Q637" i="5"/>
  <c r="R637" i="5"/>
  <c r="S637" i="5"/>
  <c r="T637" i="5"/>
  <c r="U637" i="5"/>
  <c r="V637" i="5"/>
  <c r="W637" i="5"/>
  <c r="X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AC638" i="5" s="1"/>
  <c r="N638" i="5"/>
  <c r="O638" i="5"/>
  <c r="P638" i="5"/>
  <c r="Q638" i="5"/>
  <c r="R638" i="5"/>
  <c r="S638" i="5"/>
  <c r="T638" i="5"/>
  <c r="U638" i="5"/>
  <c r="V638" i="5"/>
  <c r="W638" i="5"/>
  <c r="X638" i="5"/>
  <c r="AB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AC640" i="5" s="1"/>
  <c r="P640" i="5"/>
  <c r="Q640" i="5"/>
  <c r="R640" i="5"/>
  <c r="S640" i="5"/>
  <c r="T640" i="5"/>
  <c r="U640" i="5"/>
  <c r="V640" i="5"/>
  <c r="W640" i="5"/>
  <c r="X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AC641" i="5" s="1"/>
  <c r="O641" i="5"/>
  <c r="P641" i="5"/>
  <c r="Q641" i="5"/>
  <c r="R641" i="5"/>
  <c r="S641" i="5"/>
  <c r="T641" i="5"/>
  <c r="U641" i="5"/>
  <c r="V641" i="5"/>
  <c r="W641" i="5"/>
  <c r="X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AC642" i="5" s="1"/>
  <c r="N642" i="5"/>
  <c r="O642" i="5"/>
  <c r="P642" i="5"/>
  <c r="Q642" i="5"/>
  <c r="R642" i="5"/>
  <c r="S642" i="5"/>
  <c r="T642" i="5"/>
  <c r="U642" i="5"/>
  <c r="V642" i="5"/>
  <c r="W642" i="5"/>
  <c r="X642" i="5"/>
  <c r="AB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AC644" i="5" s="1"/>
  <c r="P644" i="5"/>
  <c r="Q644" i="5"/>
  <c r="R644" i="5"/>
  <c r="S644" i="5"/>
  <c r="T644" i="5"/>
  <c r="U644" i="5"/>
  <c r="V644" i="5"/>
  <c r="W644" i="5"/>
  <c r="X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AC645" i="5" s="1"/>
  <c r="O645" i="5"/>
  <c r="P645" i="5"/>
  <c r="Q645" i="5"/>
  <c r="R645" i="5"/>
  <c r="S645" i="5"/>
  <c r="T645" i="5"/>
  <c r="U645" i="5"/>
  <c r="V645" i="5"/>
  <c r="W645" i="5"/>
  <c r="X645" i="5"/>
  <c r="B646" i="5"/>
  <c r="C646" i="5"/>
  <c r="D646" i="5"/>
  <c r="E646" i="5"/>
  <c r="F646" i="5"/>
  <c r="G646" i="5"/>
  <c r="H646" i="5"/>
  <c r="I646" i="5"/>
  <c r="J646" i="5"/>
  <c r="K646" i="5"/>
  <c r="L646" i="5"/>
  <c r="M646" i="5"/>
  <c r="AC646" i="5" s="1"/>
  <c r="N646" i="5"/>
  <c r="O646" i="5"/>
  <c r="P646" i="5"/>
  <c r="Q646" i="5"/>
  <c r="R646" i="5"/>
  <c r="S646" i="5"/>
  <c r="T646" i="5"/>
  <c r="U646" i="5"/>
  <c r="V646" i="5"/>
  <c r="W646" i="5"/>
  <c r="X646" i="5"/>
  <c r="AB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X647" i="5"/>
  <c r="B648" i="5"/>
  <c r="C648" i="5"/>
  <c r="D648" i="5"/>
  <c r="E648" i="5"/>
  <c r="F648" i="5"/>
  <c r="G648" i="5"/>
  <c r="H648" i="5"/>
  <c r="I648" i="5"/>
  <c r="J648" i="5"/>
  <c r="K648" i="5"/>
  <c r="L648" i="5"/>
  <c r="M648" i="5"/>
  <c r="N648" i="5"/>
  <c r="O648" i="5"/>
  <c r="AC648" i="5" s="1"/>
  <c r="P648" i="5"/>
  <c r="Q648" i="5"/>
  <c r="R648" i="5"/>
  <c r="S648" i="5"/>
  <c r="T648" i="5"/>
  <c r="U648" i="5"/>
  <c r="V648" i="5"/>
  <c r="W648" i="5"/>
  <c r="X648" i="5"/>
  <c r="B649" i="5"/>
  <c r="C649" i="5"/>
  <c r="D649" i="5"/>
  <c r="E649" i="5"/>
  <c r="F649" i="5"/>
  <c r="G649" i="5"/>
  <c r="H649" i="5"/>
  <c r="I649" i="5"/>
  <c r="J649" i="5"/>
  <c r="K649" i="5"/>
  <c r="L649" i="5"/>
  <c r="M649" i="5"/>
  <c r="N649" i="5"/>
  <c r="AC649" i="5" s="1"/>
  <c r="O649" i="5"/>
  <c r="P649" i="5"/>
  <c r="Q649" i="5"/>
  <c r="R649" i="5"/>
  <c r="S649" i="5"/>
  <c r="T649" i="5"/>
  <c r="U649" i="5"/>
  <c r="V649" i="5"/>
  <c r="W649" i="5"/>
  <c r="X649" i="5"/>
  <c r="B650" i="5"/>
  <c r="C650" i="5"/>
  <c r="D650" i="5"/>
  <c r="E650" i="5"/>
  <c r="F650" i="5"/>
  <c r="G650" i="5"/>
  <c r="H650" i="5"/>
  <c r="I650" i="5"/>
  <c r="J650" i="5"/>
  <c r="K650" i="5"/>
  <c r="L650" i="5"/>
  <c r="M650" i="5"/>
  <c r="AC650" i="5" s="1"/>
  <c r="N650" i="5"/>
  <c r="O650" i="5"/>
  <c r="P650" i="5"/>
  <c r="Q650" i="5"/>
  <c r="R650" i="5"/>
  <c r="S650" i="5"/>
  <c r="T650" i="5"/>
  <c r="U650" i="5"/>
  <c r="V650" i="5"/>
  <c r="W650" i="5"/>
  <c r="X650" i="5"/>
  <c r="AB650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AC652" i="5" s="1"/>
  <c r="P652" i="5"/>
  <c r="Q652" i="5"/>
  <c r="R652" i="5"/>
  <c r="S652" i="5"/>
  <c r="T652" i="5"/>
  <c r="U652" i="5"/>
  <c r="V652" i="5"/>
  <c r="W652" i="5"/>
  <c r="X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AC653" i="5" s="1"/>
  <c r="O653" i="5"/>
  <c r="P653" i="5"/>
  <c r="Q653" i="5"/>
  <c r="R653" i="5"/>
  <c r="S653" i="5"/>
  <c r="T653" i="5"/>
  <c r="U653" i="5"/>
  <c r="V653" i="5"/>
  <c r="W653" i="5"/>
  <c r="X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AC654" i="5" s="1"/>
  <c r="N654" i="5"/>
  <c r="O654" i="5"/>
  <c r="P654" i="5"/>
  <c r="Q654" i="5"/>
  <c r="R654" i="5"/>
  <c r="S654" i="5"/>
  <c r="T654" i="5"/>
  <c r="U654" i="5"/>
  <c r="V654" i="5"/>
  <c r="W654" i="5"/>
  <c r="X654" i="5"/>
  <c r="AB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AC656" i="5" s="1"/>
  <c r="P656" i="5"/>
  <c r="Q656" i="5"/>
  <c r="R656" i="5"/>
  <c r="S656" i="5"/>
  <c r="T656" i="5"/>
  <c r="U656" i="5"/>
  <c r="V656" i="5"/>
  <c r="W656" i="5"/>
  <c r="X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AC657" i="5" s="1"/>
  <c r="O657" i="5"/>
  <c r="P657" i="5"/>
  <c r="Q657" i="5"/>
  <c r="R657" i="5"/>
  <c r="S657" i="5"/>
  <c r="T657" i="5"/>
  <c r="U657" i="5"/>
  <c r="V657" i="5"/>
  <c r="W657" i="5"/>
  <c r="X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AC658" i="5" s="1"/>
  <c r="N658" i="5"/>
  <c r="O658" i="5"/>
  <c r="P658" i="5"/>
  <c r="Q658" i="5"/>
  <c r="R658" i="5"/>
  <c r="S658" i="5"/>
  <c r="T658" i="5"/>
  <c r="U658" i="5"/>
  <c r="V658" i="5"/>
  <c r="W658" i="5"/>
  <c r="X658" i="5"/>
  <c r="AB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AC660" i="5" s="1"/>
  <c r="P660" i="5"/>
  <c r="Q660" i="5"/>
  <c r="R660" i="5"/>
  <c r="S660" i="5"/>
  <c r="T660" i="5"/>
  <c r="U660" i="5"/>
  <c r="V660" i="5"/>
  <c r="W660" i="5"/>
  <c r="X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AC661" i="5" s="1"/>
  <c r="O661" i="5"/>
  <c r="P661" i="5"/>
  <c r="Q661" i="5"/>
  <c r="R661" i="5"/>
  <c r="S661" i="5"/>
  <c r="T661" i="5"/>
  <c r="U661" i="5"/>
  <c r="V661" i="5"/>
  <c r="W661" i="5"/>
  <c r="X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AC662" i="5" s="1"/>
  <c r="N662" i="5"/>
  <c r="O662" i="5"/>
  <c r="P662" i="5"/>
  <c r="Q662" i="5"/>
  <c r="R662" i="5"/>
  <c r="S662" i="5"/>
  <c r="T662" i="5"/>
  <c r="U662" i="5"/>
  <c r="V662" i="5"/>
  <c r="W662" i="5"/>
  <c r="X662" i="5"/>
  <c r="AB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AC664" i="5" s="1"/>
  <c r="P664" i="5"/>
  <c r="Q664" i="5"/>
  <c r="R664" i="5"/>
  <c r="S664" i="5"/>
  <c r="T664" i="5"/>
  <c r="U664" i="5"/>
  <c r="V664" i="5"/>
  <c r="W664" i="5"/>
  <c r="X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AC665" i="5" s="1"/>
  <c r="O665" i="5"/>
  <c r="P665" i="5"/>
  <c r="Q665" i="5"/>
  <c r="R665" i="5"/>
  <c r="S665" i="5"/>
  <c r="T665" i="5"/>
  <c r="U665" i="5"/>
  <c r="V665" i="5"/>
  <c r="W665" i="5"/>
  <c r="X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AC666" i="5" s="1"/>
  <c r="N666" i="5"/>
  <c r="O666" i="5"/>
  <c r="P666" i="5"/>
  <c r="Q666" i="5"/>
  <c r="R666" i="5"/>
  <c r="S666" i="5"/>
  <c r="T666" i="5"/>
  <c r="U666" i="5"/>
  <c r="V666" i="5"/>
  <c r="W666" i="5"/>
  <c r="X666" i="5"/>
  <c r="AB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AC668" i="5" s="1"/>
  <c r="P668" i="5"/>
  <c r="Q668" i="5"/>
  <c r="R668" i="5"/>
  <c r="S668" i="5"/>
  <c r="T668" i="5"/>
  <c r="U668" i="5"/>
  <c r="V668" i="5"/>
  <c r="W668" i="5"/>
  <c r="X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AC669" i="5" s="1"/>
  <c r="O669" i="5"/>
  <c r="P669" i="5"/>
  <c r="Q669" i="5"/>
  <c r="R669" i="5"/>
  <c r="S669" i="5"/>
  <c r="T669" i="5"/>
  <c r="U669" i="5"/>
  <c r="V669" i="5"/>
  <c r="W669" i="5"/>
  <c r="X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AC670" i="5" s="1"/>
  <c r="N670" i="5"/>
  <c r="O670" i="5"/>
  <c r="P670" i="5"/>
  <c r="Q670" i="5"/>
  <c r="R670" i="5"/>
  <c r="S670" i="5"/>
  <c r="T670" i="5"/>
  <c r="U670" i="5"/>
  <c r="V670" i="5"/>
  <c r="W670" i="5"/>
  <c r="X670" i="5"/>
  <c r="AB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AC672" i="5" s="1"/>
  <c r="P672" i="5"/>
  <c r="Q672" i="5"/>
  <c r="R672" i="5"/>
  <c r="S672" i="5"/>
  <c r="T672" i="5"/>
  <c r="U672" i="5"/>
  <c r="V672" i="5"/>
  <c r="W672" i="5"/>
  <c r="X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AC673" i="5" s="1"/>
  <c r="O673" i="5"/>
  <c r="P673" i="5"/>
  <c r="Q673" i="5"/>
  <c r="R673" i="5"/>
  <c r="S673" i="5"/>
  <c r="T673" i="5"/>
  <c r="U673" i="5"/>
  <c r="V673" i="5"/>
  <c r="W673" i="5"/>
  <c r="X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AC674" i="5" s="1"/>
  <c r="N674" i="5"/>
  <c r="O674" i="5"/>
  <c r="P674" i="5"/>
  <c r="Q674" i="5"/>
  <c r="R674" i="5"/>
  <c r="S674" i="5"/>
  <c r="T674" i="5"/>
  <c r="U674" i="5"/>
  <c r="V674" i="5"/>
  <c r="W674" i="5"/>
  <c r="X674" i="5"/>
  <c r="AB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AC676" i="5" s="1"/>
  <c r="P676" i="5"/>
  <c r="Q676" i="5"/>
  <c r="R676" i="5"/>
  <c r="S676" i="5"/>
  <c r="T676" i="5"/>
  <c r="U676" i="5"/>
  <c r="V676" i="5"/>
  <c r="W676" i="5"/>
  <c r="X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AC677" i="5" s="1"/>
  <c r="O677" i="5"/>
  <c r="P677" i="5"/>
  <c r="Q677" i="5"/>
  <c r="R677" i="5"/>
  <c r="S677" i="5"/>
  <c r="T677" i="5"/>
  <c r="U677" i="5"/>
  <c r="V677" i="5"/>
  <c r="W677" i="5"/>
  <c r="X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AC678" i="5" s="1"/>
  <c r="N678" i="5"/>
  <c r="O678" i="5"/>
  <c r="P678" i="5"/>
  <c r="Q678" i="5"/>
  <c r="R678" i="5"/>
  <c r="S678" i="5"/>
  <c r="T678" i="5"/>
  <c r="U678" i="5"/>
  <c r="V678" i="5"/>
  <c r="W678" i="5"/>
  <c r="X678" i="5"/>
  <c r="AB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AC680" i="5" s="1"/>
  <c r="P680" i="5"/>
  <c r="Q680" i="5"/>
  <c r="R680" i="5"/>
  <c r="S680" i="5"/>
  <c r="T680" i="5"/>
  <c r="U680" i="5"/>
  <c r="V680" i="5"/>
  <c r="W680" i="5"/>
  <c r="X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AC681" i="5" s="1"/>
  <c r="O681" i="5"/>
  <c r="P681" i="5"/>
  <c r="Q681" i="5"/>
  <c r="R681" i="5"/>
  <c r="S681" i="5"/>
  <c r="T681" i="5"/>
  <c r="U681" i="5"/>
  <c r="V681" i="5"/>
  <c r="W681" i="5"/>
  <c r="X681" i="5"/>
  <c r="B682" i="5"/>
  <c r="C682" i="5"/>
  <c r="D682" i="5"/>
  <c r="E682" i="5"/>
  <c r="F682" i="5"/>
  <c r="G682" i="5"/>
  <c r="H682" i="5"/>
  <c r="I682" i="5"/>
  <c r="J682" i="5"/>
  <c r="K682" i="5"/>
  <c r="L682" i="5"/>
  <c r="M682" i="5"/>
  <c r="AC682" i="5" s="1"/>
  <c r="N682" i="5"/>
  <c r="O682" i="5"/>
  <c r="P682" i="5"/>
  <c r="Q682" i="5"/>
  <c r="R682" i="5"/>
  <c r="S682" i="5"/>
  <c r="T682" i="5"/>
  <c r="U682" i="5"/>
  <c r="V682" i="5"/>
  <c r="W682" i="5"/>
  <c r="X682" i="5"/>
  <c r="AB682" i="5"/>
  <c r="B683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AC684" i="5" s="1"/>
  <c r="P684" i="5"/>
  <c r="Q684" i="5"/>
  <c r="R684" i="5"/>
  <c r="S684" i="5"/>
  <c r="T684" i="5"/>
  <c r="U684" i="5"/>
  <c r="V684" i="5"/>
  <c r="W684" i="5"/>
  <c r="X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AC685" i="5" s="1"/>
  <c r="O685" i="5"/>
  <c r="P685" i="5"/>
  <c r="Q685" i="5"/>
  <c r="R685" i="5"/>
  <c r="S685" i="5"/>
  <c r="T685" i="5"/>
  <c r="U685" i="5"/>
  <c r="V685" i="5"/>
  <c r="W685" i="5"/>
  <c r="X685" i="5"/>
  <c r="B686" i="5"/>
  <c r="C686" i="5"/>
  <c r="D686" i="5"/>
  <c r="E686" i="5"/>
  <c r="F686" i="5"/>
  <c r="G686" i="5"/>
  <c r="H686" i="5"/>
  <c r="I686" i="5"/>
  <c r="J686" i="5"/>
  <c r="K686" i="5"/>
  <c r="L686" i="5"/>
  <c r="M686" i="5"/>
  <c r="AC686" i="5" s="1"/>
  <c r="N686" i="5"/>
  <c r="O686" i="5"/>
  <c r="P686" i="5"/>
  <c r="Q686" i="5"/>
  <c r="R686" i="5"/>
  <c r="S686" i="5"/>
  <c r="T686" i="5"/>
  <c r="U686" i="5"/>
  <c r="V686" i="5"/>
  <c r="W686" i="5"/>
  <c r="X686" i="5"/>
  <c r="AB686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AC688" i="5" s="1"/>
  <c r="P688" i="5"/>
  <c r="Q688" i="5"/>
  <c r="R688" i="5"/>
  <c r="S688" i="5"/>
  <c r="T688" i="5"/>
  <c r="U688" i="5"/>
  <c r="V688" i="5"/>
  <c r="W688" i="5"/>
  <c r="X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AC689" i="5" s="1"/>
  <c r="O689" i="5"/>
  <c r="P689" i="5"/>
  <c r="Q689" i="5"/>
  <c r="R689" i="5"/>
  <c r="S689" i="5"/>
  <c r="T689" i="5"/>
  <c r="U689" i="5"/>
  <c r="V689" i="5"/>
  <c r="W689" i="5"/>
  <c r="X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AC690" i="5" s="1"/>
  <c r="N690" i="5"/>
  <c r="O690" i="5"/>
  <c r="P690" i="5"/>
  <c r="Q690" i="5"/>
  <c r="R690" i="5"/>
  <c r="S690" i="5"/>
  <c r="T690" i="5"/>
  <c r="U690" i="5"/>
  <c r="V690" i="5"/>
  <c r="W690" i="5"/>
  <c r="X690" i="5"/>
  <c r="AB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AC692" i="5" s="1"/>
  <c r="P692" i="5"/>
  <c r="Q692" i="5"/>
  <c r="R692" i="5"/>
  <c r="S692" i="5"/>
  <c r="T692" i="5"/>
  <c r="U692" i="5"/>
  <c r="V692" i="5"/>
  <c r="W692" i="5"/>
  <c r="X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AC693" i="5" s="1"/>
  <c r="O693" i="5"/>
  <c r="P693" i="5"/>
  <c r="Q693" i="5"/>
  <c r="R693" i="5"/>
  <c r="S693" i="5"/>
  <c r="T693" i="5"/>
  <c r="U693" i="5"/>
  <c r="V693" i="5"/>
  <c r="W693" i="5"/>
  <c r="X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AC694" i="5" s="1"/>
  <c r="N694" i="5"/>
  <c r="O694" i="5"/>
  <c r="P694" i="5"/>
  <c r="Q694" i="5"/>
  <c r="R694" i="5"/>
  <c r="S694" i="5"/>
  <c r="T694" i="5"/>
  <c r="U694" i="5"/>
  <c r="V694" i="5"/>
  <c r="W694" i="5"/>
  <c r="X694" i="5"/>
  <c r="AB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AC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AC696" i="5" s="1"/>
  <c r="N696" i="5"/>
  <c r="O696" i="5"/>
  <c r="P696" i="5"/>
  <c r="Q696" i="5"/>
  <c r="R696" i="5"/>
  <c r="S696" i="5"/>
  <c r="T696" i="5"/>
  <c r="U696" i="5"/>
  <c r="V696" i="5"/>
  <c r="W696" i="5"/>
  <c r="X696" i="5"/>
  <c r="AB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AC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AC698" i="5" s="1"/>
  <c r="N698" i="5"/>
  <c r="O698" i="5"/>
  <c r="P698" i="5"/>
  <c r="Q698" i="5"/>
  <c r="R698" i="5"/>
  <c r="S698" i="5"/>
  <c r="T698" i="5"/>
  <c r="U698" i="5"/>
  <c r="V698" i="5"/>
  <c r="W698" i="5"/>
  <c r="X698" i="5"/>
  <c r="AB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AC699" i="5" s="1"/>
  <c r="Q699" i="5"/>
  <c r="R699" i="5"/>
  <c r="S699" i="5"/>
  <c r="T699" i="5"/>
  <c r="U699" i="5"/>
  <c r="V699" i="5"/>
  <c r="W699" i="5"/>
  <c r="X699" i="5"/>
  <c r="B700" i="5"/>
  <c r="C700" i="5"/>
  <c r="D700" i="5"/>
  <c r="AB700" i="5" s="1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AC701" i="5" s="1"/>
  <c r="Q701" i="5"/>
  <c r="R701" i="5"/>
  <c r="S701" i="5"/>
  <c r="T701" i="5"/>
  <c r="U701" i="5"/>
  <c r="V701" i="5"/>
  <c r="W701" i="5"/>
  <c r="X701" i="5"/>
  <c r="B702" i="5"/>
  <c r="C702" i="5"/>
  <c r="D702" i="5"/>
  <c r="AB702" i="5" s="1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AC703" i="5" s="1"/>
  <c r="Q703" i="5"/>
  <c r="R703" i="5"/>
  <c r="S703" i="5"/>
  <c r="T703" i="5"/>
  <c r="U703" i="5"/>
  <c r="V703" i="5"/>
  <c r="W703" i="5"/>
  <c r="X703" i="5"/>
  <c r="B704" i="5"/>
  <c r="C704" i="5"/>
  <c r="D704" i="5"/>
  <c r="AB704" i="5" s="1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AC705" i="5" s="1"/>
  <c r="Q705" i="5"/>
  <c r="R705" i="5"/>
  <c r="S705" i="5"/>
  <c r="T705" i="5"/>
  <c r="U705" i="5"/>
  <c r="V705" i="5"/>
  <c r="W705" i="5"/>
  <c r="X705" i="5"/>
  <c r="B706" i="5"/>
  <c r="C706" i="5"/>
  <c r="D706" i="5"/>
  <c r="AB706" i="5" s="1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AC707" i="5" s="1"/>
  <c r="Q707" i="5"/>
  <c r="R707" i="5"/>
  <c r="S707" i="5"/>
  <c r="T707" i="5"/>
  <c r="U707" i="5"/>
  <c r="V707" i="5"/>
  <c r="W707" i="5"/>
  <c r="X707" i="5"/>
  <c r="B708" i="5"/>
  <c r="C708" i="5"/>
  <c r="D708" i="5"/>
  <c r="AB708" i="5" s="1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AC709" i="5" s="1"/>
  <c r="Q709" i="5"/>
  <c r="R709" i="5"/>
  <c r="S709" i="5"/>
  <c r="T709" i="5"/>
  <c r="U709" i="5"/>
  <c r="V709" i="5"/>
  <c r="W709" i="5"/>
  <c r="X709" i="5"/>
  <c r="B710" i="5"/>
  <c r="C710" i="5"/>
  <c r="D710" i="5"/>
  <c r="AB710" i="5" s="1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AC711" i="5" s="1"/>
  <c r="Q711" i="5"/>
  <c r="R711" i="5"/>
  <c r="S711" i="5"/>
  <c r="T711" i="5"/>
  <c r="U711" i="5"/>
  <c r="V711" i="5"/>
  <c r="W711" i="5"/>
  <c r="X711" i="5"/>
  <c r="B712" i="5"/>
  <c r="C712" i="5"/>
  <c r="D712" i="5"/>
  <c r="AB712" i="5" s="1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AC713" i="5" s="1"/>
  <c r="Q713" i="5"/>
  <c r="R713" i="5"/>
  <c r="S713" i="5"/>
  <c r="T713" i="5"/>
  <c r="U713" i="5"/>
  <c r="V713" i="5"/>
  <c r="W713" i="5"/>
  <c r="X713" i="5"/>
  <c r="B714" i="5"/>
  <c r="C714" i="5"/>
  <c r="D714" i="5"/>
  <c r="AB714" i="5" s="1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AC715" i="5" s="1"/>
  <c r="Q715" i="5"/>
  <c r="R715" i="5"/>
  <c r="S715" i="5"/>
  <c r="T715" i="5"/>
  <c r="U715" i="5"/>
  <c r="V715" i="5"/>
  <c r="W715" i="5"/>
  <c r="X715" i="5"/>
  <c r="B716" i="5"/>
  <c r="C716" i="5"/>
  <c r="D716" i="5"/>
  <c r="AB716" i="5" s="1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AC717" i="5" s="1"/>
  <c r="Q717" i="5"/>
  <c r="R717" i="5"/>
  <c r="S717" i="5"/>
  <c r="T717" i="5"/>
  <c r="U717" i="5"/>
  <c r="V717" i="5"/>
  <c r="W717" i="5"/>
  <c r="X717" i="5"/>
  <c r="B718" i="5"/>
  <c r="C718" i="5"/>
  <c r="D718" i="5"/>
  <c r="AB718" i="5" s="1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T718" i="5"/>
  <c r="U718" i="5"/>
  <c r="V718" i="5"/>
  <c r="W718" i="5"/>
  <c r="X718" i="5"/>
  <c r="B719" i="5"/>
  <c r="C719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AC719" i="5" s="1"/>
  <c r="Q719" i="5"/>
  <c r="R719" i="5"/>
  <c r="S719" i="5"/>
  <c r="T719" i="5"/>
  <c r="U719" i="5"/>
  <c r="V719" i="5"/>
  <c r="W719" i="5"/>
  <c r="X719" i="5"/>
  <c r="B720" i="5"/>
  <c r="C720" i="5"/>
  <c r="D720" i="5"/>
  <c r="AB720" i="5" s="1"/>
  <c r="E720" i="5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T720" i="5"/>
  <c r="U720" i="5"/>
  <c r="V720" i="5"/>
  <c r="W720" i="5"/>
  <c r="X720" i="5"/>
  <c r="B721" i="5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AC721" i="5" s="1"/>
  <c r="Q721" i="5"/>
  <c r="R721" i="5"/>
  <c r="S721" i="5"/>
  <c r="T721" i="5"/>
  <c r="U721" i="5"/>
  <c r="V721" i="5"/>
  <c r="W721" i="5"/>
  <c r="X721" i="5"/>
  <c r="B722" i="5"/>
  <c r="C722" i="5"/>
  <c r="D722" i="5"/>
  <c r="AB722" i="5" s="1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X722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AC723" i="5" s="1"/>
  <c r="Q723" i="5"/>
  <c r="R723" i="5"/>
  <c r="S723" i="5"/>
  <c r="T723" i="5"/>
  <c r="U723" i="5"/>
  <c r="V723" i="5"/>
  <c r="W723" i="5"/>
  <c r="X723" i="5"/>
  <c r="B724" i="5"/>
  <c r="C724" i="5"/>
  <c r="D724" i="5"/>
  <c r="AB724" i="5" s="1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AC725" i="5" s="1"/>
  <c r="Q725" i="5"/>
  <c r="R725" i="5"/>
  <c r="S725" i="5"/>
  <c r="T725" i="5"/>
  <c r="U725" i="5"/>
  <c r="V725" i="5"/>
  <c r="W725" i="5"/>
  <c r="X725" i="5"/>
  <c r="B726" i="5"/>
  <c r="C726" i="5"/>
  <c r="D726" i="5"/>
  <c r="AB726" i="5" s="1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AC727" i="5" s="1"/>
  <c r="Q727" i="5"/>
  <c r="R727" i="5"/>
  <c r="S727" i="5"/>
  <c r="T727" i="5"/>
  <c r="U727" i="5"/>
  <c r="V727" i="5"/>
  <c r="W727" i="5"/>
  <c r="X727" i="5"/>
  <c r="B728" i="5"/>
  <c r="C728" i="5"/>
  <c r="D728" i="5"/>
  <c r="AB728" i="5" s="1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AC729" i="5" s="1"/>
  <c r="Q729" i="5"/>
  <c r="R729" i="5"/>
  <c r="S729" i="5"/>
  <c r="T729" i="5"/>
  <c r="U729" i="5"/>
  <c r="V729" i="5"/>
  <c r="W729" i="5"/>
  <c r="X729" i="5"/>
  <c r="B730" i="5"/>
  <c r="C730" i="5"/>
  <c r="D730" i="5"/>
  <c r="AB730" i="5" s="1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AC731" i="5" s="1"/>
  <c r="O731" i="5"/>
  <c r="P731" i="5"/>
  <c r="Q731" i="5"/>
  <c r="R731" i="5"/>
  <c r="S731" i="5"/>
  <c r="T731" i="5"/>
  <c r="U731" i="5"/>
  <c r="V731" i="5"/>
  <c r="W731" i="5"/>
  <c r="X731" i="5"/>
  <c r="B732" i="5"/>
  <c r="AB732" i="5" s="1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AC733" i="5" s="1"/>
  <c r="O733" i="5"/>
  <c r="P733" i="5"/>
  <c r="Q733" i="5"/>
  <c r="R733" i="5"/>
  <c r="S733" i="5"/>
  <c r="T733" i="5"/>
  <c r="U733" i="5"/>
  <c r="V733" i="5"/>
  <c r="W733" i="5"/>
  <c r="X733" i="5"/>
  <c r="B734" i="5"/>
  <c r="AB734" i="5" s="1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AC735" i="5" s="1"/>
  <c r="O735" i="5"/>
  <c r="P735" i="5"/>
  <c r="Q735" i="5"/>
  <c r="R735" i="5"/>
  <c r="S735" i="5"/>
  <c r="T735" i="5"/>
  <c r="U735" i="5"/>
  <c r="V735" i="5"/>
  <c r="W735" i="5"/>
  <c r="X735" i="5"/>
  <c r="B736" i="5"/>
  <c r="AB736" i="5" s="1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AC737" i="5" s="1"/>
  <c r="O737" i="5"/>
  <c r="P737" i="5"/>
  <c r="Q737" i="5"/>
  <c r="R737" i="5"/>
  <c r="S737" i="5"/>
  <c r="T737" i="5"/>
  <c r="U737" i="5"/>
  <c r="V737" i="5"/>
  <c r="W737" i="5"/>
  <c r="X737" i="5"/>
  <c r="B738" i="5"/>
  <c r="AB738" i="5" s="1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AC739" i="5" s="1"/>
  <c r="O739" i="5"/>
  <c r="P739" i="5"/>
  <c r="Q739" i="5"/>
  <c r="R739" i="5"/>
  <c r="S739" i="5"/>
  <c r="T739" i="5"/>
  <c r="U739" i="5"/>
  <c r="V739" i="5"/>
  <c r="W739" i="5"/>
  <c r="X739" i="5"/>
  <c r="B740" i="5"/>
  <c r="AB740" i="5" s="1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AC741" i="5" s="1"/>
  <c r="O741" i="5"/>
  <c r="P741" i="5"/>
  <c r="Q741" i="5"/>
  <c r="R741" i="5"/>
  <c r="S741" i="5"/>
  <c r="T741" i="5"/>
  <c r="U741" i="5"/>
  <c r="V741" i="5"/>
  <c r="W741" i="5"/>
  <c r="X741" i="5"/>
  <c r="B742" i="5"/>
  <c r="AB742" i="5" s="1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AC743" i="5" s="1"/>
  <c r="O743" i="5"/>
  <c r="P743" i="5"/>
  <c r="Q743" i="5"/>
  <c r="R743" i="5"/>
  <c r="S743" i="5"/>
  <c r="T743" i="5"/>
  <c r="U743" i="5"/>
  <c r="V743" i="5"/>
  <c r="W743" i="5"/>
  <c r="X743" i="5"/>
  <c r="B744" i="5"/>
  <c r="AB744" i="5" s="1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AC745" i="5" s="1"/>
  <c r="O745" i="5"/>
  <c r="P745" i="5"/>
  <c r="Q745" i="5"/>
  <c r="R745" i="5"/>
  <c r="S745" i="5"/>
  <c r="T745" i="5"/>
  <c r="U745" i="5"/>
  <c r="V745" i="5"/>
  <c r="W745" i="5"/>
  <c r="X745" i="5"/>
  <c r="B746" i="5"/>
  <c r="AB746" i="5" s="1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AC747" i="5" s="1"/>
  <c r="O747" i="5"/>
  <c r="P747" i="5"/>
  <c r="Q747" i="5"/>
  <c r="R747" i="5"/>
  <c r="S747" i="5"/>
  <c r="T747" i="5"/>
  <c r="U747" i="5"/>
  <c r="V747" i="5"/>
  <c r="W747" i="5"/>
  <c r="X747" i="5"/>
  <c r="B748" i="5"/>
  <c r="AB748" i="5" s="1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AC749" i="5" s="1"/>
  <c r="O749" i="5"/>
  <c r="P749" i="5"/>
  <c r="Q749" i="5"/>
  <c r="R749" i="5"/>
  <c r="S749" i="5"/>
  <c r="T749" i="5"/>
  <c r="U749" i="5"/>
  <c r="V749" i="5"/>
  <c r="W749" i="5"/>
  <c r="X749" i="5"/>
  <c r="B750" i="5"/>
  <c r="AB750" i="5" s="1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AC751" i="5" s="1"/>
  <c r="O751" i="5"/>
  <c r="P751" i="5"/>
  <c r="Q751" i="5"/>
  <c r="R751" i="5"/>
  <c r="S751" i="5"/>
  <c r="T751" i="5"/>
  <c r="U751" i="5"/>
  <c r="V751" i="5"/>
  <c r="W751" i="5"/>
  <c r="X751" i="5"/>
  <c r="B752" i="5"/>
  <c r="AB752" i="5" s="1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AC753" i="5" s="1"/>
  <c r="O753" i="5"/>
  <c r="P753" i="5"/>
  <c r="Q753" i="5"/>
  <c r="R753" i="5"/>
  <c r="S753" i="5"/>
  <c r="T753" i="5"/>
  <c r="U753" i="5"/>
  <c r="V753" i="5"/>
  <c r="W753" i="5"/>
  <c r="X753" i="5"/>
  <c r="B754" i="5"/>
  <c r="AB754" i="5" s="1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AC755" i="5" s="1"/>
  <c r="O755" i="5"/>
  <c r="P755" i="5"/>
  <c r="Q755" i="5"/>
  <c r="R755" i="5"/>
  <c r="S755" i="5"/>
  <c r="T755" i="5"/>
  <c r="U755" i="5"/>
  <c r="V755" i="5"/>
  <c r="W755" i="5"/>
  <c r="X755" i="5"/>
  <c r="B756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AC757" i="5" s="1"/>
  <c r="O757" i="5"/>
  <c r="P757" i="5"/>
  <c r="Q757" i="5"/>
  <c r="R757" i="5"/>
  <c r="S757" i="5"/>
  <c r="T757" i="5"/>
  <c r="U757" i="5"/>
  <c r="V757" i="5"/>
  <c r="W757" i="5"/>
  <c r="X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AC759" i="5" s="1"/>
  <c r="O759" i="5"/>
  <c r="P759" i="5"/>
  <c r="Q759" i="5"/>
  <c r="R759" i="5"/>
  <c r="S759" i="5"/>
  <c r="T759" i="5"/>
  <c r="U759" i="5"/>
  <c r="V759" i="5"/>
  <c r="W759" i="5"/>
  <c r="X759" i="5"/>
  <c r="B760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AC761" i="5" s="1"/>
  <c r="O761" i="5"/>
  <c r="P761" i="5"/>
  <c r="Q761" i="5"/>
  <c r="R761" i="5"/>
  <c r="S761" i="5"/>
  <c r="T761" i="5"/>
  <c r="U761" i="5"/>
  <c r="V761" i="5"/>
  <c r="W761" i="5"/>
  <c r="X761" i="5"/>
  <c r="B762" i="5"/>
  <c r="C762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AC763" i="5" s="1"/>
  <c r="O763" i="5"/>
  <c r="P763" i="5"/>
  <c r="Q763" i="5"/>
  <c r="R763" i="5"/>
  <c r="S763" i="5"/>
  <c r="T763" i="5"/>
  <c r="U763" i="5"/>
  <c r="V763" i="5"/>
  <c r="W763" i="5"/>
  <c r="X763" i="5"/>
  <c r="B764" i="5"/>
  <c r="C764" i="5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X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AC767" i="5" s="1"/>
  <c r="O767" i="5"/>
  <c r="P767" i="5"/>
  <c r="Q767" i="5"/>
  <c r="R767" i="5"/>
  <c r="S767" i="5"/>
  <c r="T767" i="5"/>
  <c r="U767" i="5"/>
  <c r="V767" i="5"/>
  <c r="W767" i="5"/>
  <c r="X767" i="5"/>
  <c r="B768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B770" i="5"/>
  <c r="C770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X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AC771" i="5" s="1"/>
  <c r="O771" i="5"/>
  <c r="P771" i="5"/>
  <c r="Q771" i="5"/>
  <c r="R771" i="5"/>
  <c r="S771" i="5"/>
  <c r="T771" i="5"/>
  <c r="U771" i="5"/>
  <c r="V771" i="5"/>
  <c r="W771" i="5"/>
  <c r="X771" i="5"/>
  <c r="B772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B774" i="5"/>
  <c r="C774" i="5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X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AC775" i="5" s="1"/>
  <c r="O775" i="5"/>
  <c r="P775" i="5"/>
  <c r="Q775" i="5"/>
  <c r="R775" i="5"/>
  <c r="S775" i="5"/>
  <c r="T775" i="5"/>
  <c r="U775" i="5"/>
  <c r="V775" i="5"/>
  <c r="W775" i="5"/>
  <c r="X775" i="5"/>
  <c r="B776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B777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AC779" i="5" s="1"/>
  <c r="O779" i="5"/>
  <c r="P779" i="5"/>
  <c r="Q779" i="5"/>
  <c r="R779" i="5"/>
  <c r="S779" i="5"/>
  <c r="T779" i="5"/>
  <c r="U779" i="5"/>
  <c r="V779" i="5"/>
  <c r="W779" i="5"/>
  <c r="X779" i="5"/>
  <c r="B780" i="5"/>
  <c r="C780" i="5"/>
  <c r="D780" i="5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X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X781" i="5"/>
  <c r="B782" i="5"/>
  <c r="C782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AC783" i="5" s="1"/>
  <c r="O783" i="5"/>
  <c r="P783" i="5"/>
  <c r="Q783" i="5"/>
  <c r="R783" i="5"/>
  <c r="S783" i="5"/>
  <c r="T783" i="5"/>
  <c r="U783" i="5"/>
  <c r="V783" i="5"/>
  <c r="W783" i="5"/>
  <c r="X783" i="5"/>
  <c r="B784" i="5"/>
  <c r="C784" i="5"/>
  <c r="D784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X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AC787" i="5" s="1"/>
  <c r="O787" i="5"/>
  <c r="P787" i="5"/>
  <c r="Q787" i="5"/>
  <c r="R787" i="5"/>
  <c r="S787" i="5"/>
  <c r="T787" i="5"/>
  <c r="U787" i="5"/>
  <c r="V787" i="5"/>
  <c r="W787" i="5"/>
  <c r="X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AB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AC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AC790" i="5" s="1"/>
  <c r="N790" i="5"/>
  <c r="O790" i="5"/>
  <c r="P790" i="5"/>
  <c r="Q790" i="5"/>
  <c r="R790" i="5"/>
  <c r="S790" i="5"/>
  <c r="T790" i="5"/>
  <c r="U790" i="5"/>
  <c r="V790" i="5"/>
  <c r="W790" i="5"/>
  <c r="X790" i="5"/>
  <c r="AB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AC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AC792" i="5" s="1"/>
  <c r="N792" i="5"/>
  <c r="O792" i="5"/>
  <c r="P792" i="5"/>
  <c r="Q792" i="5"/>
  <c r="R792" i="5"/>
  <c r="S792" i="5"/>
  <c r="T792" i="5"/>
  <c r="U792" i="5"/>
  <c r="V792" i="5"/>
  <c r="W792" i="5"/>
  <c r="X792" i="5"/>
  <c r="AB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AC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AC794" i="5" s="1"/>
  <c r="N794" i="5"/>
  <c r="O794" i="5"/>
  <c r="P794" i="5"/>
  <c r="Q794" i="5"/>
  <c r="R794" i="5"/>
  <c r="S794" i="5"/>
  <c r="T794" i="5"/>
  <c r="U794" i="5"/>
  <c r="V794" i="5"/>
  <c r="W794" i="5"/>
  <c r="X794" i="5"/>
  <c r="AB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AC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AC796" i="5" s="1"/>
  <c r="N796" i="5"/>
  <c r="O796" i="5"/>
  <c r="P796" i="5"/>
  <c r="Q796" i="5"/>
  <c r="R796" i="5"/>
  <c r="S796" i="5"/>
  <c r="T796" i="5"/>
  <c r="U796" i="5"/>
  <c r="V796" i="5"/>
  <c r="W796" i="5"/>
  <c r="X796" i="5"/>
  <c r="AB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AC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AC798" i="5" s="1"/>
  <c r="N798" i="5"/>
  <c r="O798" i="5"/>
  <c r="P798" i="5"/>
  <c r="Q798" i="5"/>
  <c r="R798" i="5"/>
  <c r="S798" i="5"/>
  <c r="T798" i="5"/>
  <c r="U798" i="5"/>
  <c r="V798" i="5"/>
  <c r="W798" i="5"/>
  <c r="X798" i="5"/>
  <c r="AB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AC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AC800" i="5" s="1"/>
  <c r="N800" i="5"/>
  <c r="O800" i="5"/>
  <c r="P800" i="5"/>
  <c r="Q800" i="5"/>
  <c r="R800" i="5"/>
  <c r="S800" i="5"/>
  <c r="T800" i="5"/>
  <c r="U800" i="5"/>
  <c r="V800" i="5"/>
  <c r="W800" i="5"/>
  <c r="X800" i="5"/>
  <c r="AB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AC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AC802" i="5" s="1"/>
  <c r="N802" i="5"/>
  <c r="O802" i="5"/>
  <c r="P802" i="5"/>
  <c r="Q802" i="5"/>
  <c r="R802" i="5"/>
  <c r="S802" i="5"/>
  <c r="T802" i="5"/>
  <c r="U802" i="5"/>
  <c r="V802" i="5"/>
  <c r="W802" i="5"/>
  <c r="X802" i="5"/>
  <c r="AB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AC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AC804" i="5" s="1"/>
  <c r="N804" i="5"/>
  <c r="O804" i="5"/>
  <c r="P804" i="5"/>
  <c r="Q804" i="5"/>
  <c r="R804" i="5"/>
  <c r="S804" i="5"/>
  <c r="T804" i="5"/>
  <c r="U804" i="5"/>
  <c r="V804" i="5"/>
  <c r="W804" i="5"/>
  <c r="X804" i="5"/>
  <c r="AB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AC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AC806" i="5" s="1"/>
  <c r="N806" i="5"/>
  <c r="O806" i="5"/>
  <c r="P806" i="5"/>
  <c r="Q806" i="5"/>
  <c r="R806" i="5"/>
  <c r="S806" i="5"/>
  <c r="T806" i="5"/>
  <c r="U806" i="5"/>
  <c r="V806" i="5"/>
  <c r="W806" i="5"/>
  <c r="X806" i="5"/>
  <c r="AB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AC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AC808" i="5" s="1"/>
  <c r="N808" i="5"/>
  <c r="O808" i="5"/>
  <c r="P808" i="5"/>
  <c r="Q808" i="5"/>
  <c r="R808" i="5"/>
  <c r="S808" i="5"/>
  <c r="T808" i="5"/>
  <c r="U808" i="5"/>
  <c r="V808" i="5"/>
  <c r="W808" i="5"/>
  <c r="X808" i="5"/>
  <c r="AB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AC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AC810" i="5" s="1"/>
  <c r="N810" i="5"/>
  <c r="O810" i="5"/>
  <c r="P810" i="5"/>
  <c r="Q810" i="5"/>
  <c r="R810" i="5"/>
  <c r="S810" i="5"/>
  <c r="T810" i="5"/>
  <c r="U810" i="5"/>
  <c r="V810" i="5"/>
  <c r="W810" i="5"/>
  <c r="X810" i="5"/>
  <c r="AB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AC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AC812" i="5" s="1"/>
  <c r="N812" i="5"/>
  <c r="O812" i="5"/>
  <c r="P812" i="5"/>
  <c r="Q812" i="5"/>
  <c r="R812" i="5"/>
  <c r="S812" i="5"/>
  <c r="T812" i="5"/>
  <c r="U812" i="5"/>
  <c r="V812" i="5"/>
  <c r="W812" i="5"/>
  <c r="X812" i="5"/>
  <c r="AB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AC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AC814" i="5" s="1"/>
  <c r="N814" i="5"/>
  <c r="O814" i="5"/>
  <c r="P814" i="5"/>
  <c r="Q814" i="5"/>
  <c r="R814" i="5"/>
  <c r="S814" i="5"/>
  <c r="T814" i="5"/>
  <c r="U814" i="5"/>
  <c r="V814" i="5"/>
  <c r="W814" i="5"/>
  <c r="X814" i="5"/>
  <c r="AB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AC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AC816" i="5" s="1"/>
  <c r="N816" i="5"/>
  <c r="O816" i="5"/>
  <c r="P816" i="5"/>
  <c r="Q816" i="5"/>
  <c r="R816" i="5"/>
  <c r="S816" i="5"/>
  <c r="T816" i="5"/>
  <c r="U816" i="5"/>
  <c r="V816" i="5"/>
  <c r="W816" i="5"/>
  <c r="X816" i="5"/>
  <c r="AB816" i="5"/>
  <c r="B817" i="5"/>
  <c r="C817" i="5"/>
  <c r="D817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AC817" i="5"/>
  <c r="B818" i="5"/>
  <c r="C818" i="5"/>
  <c r="D818" i="5"/>
  <c r="E818" i="5"/>
  <c r="F818" i="5"/>
  <c r="G818" i="5"/>
  <c r="H818" i="5"/>
  <c r="I818" i="5"/>
  <c r="J818" i="5"/>
  <c r="K818" i="5"/>
  <c r="L818" i="5"/>
  <c r="M818" i="5"/>
  <c r="AC818" i="5" s="1"/>
  <c r="N818" i="5"/>
  <c r="O818" i="5"/>
  <c r="P818" i="5"/>
  <c r="Q818" i="5"/>
  <c r="R818" i="5"/>
  <c r="S818" i="5"/>
  <c r="T818" i="5"/>
  <c r="U818" i="5"/>
  <c r="V818" i="5"/>
  <c r="W818" i="5"/>
  <c r="X818" i="5"/>
  <c r="AB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N819" i="5"/>
  <c r="O819" i="5"/>
  <c r="P819" i="5"/>
  <c r="Q819" i="5"/>
  <c r="R819" i="5"/>
  <c r="S819" i="5"/>
  <c r="T819" i="5"/>
  <c r="U819" i="5"/>
  <c r="V819" i="5"/>
  <c r="W819" i="5"/>
  <c r="X819" i="5"/>
  <c r="AC819" i="5"/>
  <c r="B820" i="5"/>
  <c r="C820" i="5"/>
  <c r="D820" i="5"/>
  <c r="E820" i="5"/>
  <c r="F820" i="5"/>
  <c r="G820" i="5"/>
  <c r="H820" i="5"/>
  <c r="I820" i="5"/>
  <c r="J820" i="5"/>
  <c r="K820" i="5"/>
  <c r="L820" i="5"/>
  <c r="M820" i="5"/>
  <c r="AC820" i="5" s="1"/>
  <c r="N820" i="5"/>
  <c r="O820" i="5"/>
  <c r="P820" i="5"/>
  <c r="Q820" i="5"/>
  <c r="R820" i="5"/>
  <c r="S820" i="5"/>
  <c r="T820" i="5"/>
  <c r="U820" i="5"/>
  <c r="V820" i="5"/>
  <c r="W820" i="5"/>
  <c r="X820" i="5"/>
  <c r="AB820" i="5"/>
  <c r="B821" i="5"/>
  <c r="C821" i="5"/>
  <c r="D821" i="5"/>
  <c r="E821" i="5"/>
  <c r="F821" i="5"/>
  <c r="G821" i="5"/>
  <c r="H821" i="5"/>
  <c r="I821" i="5"/>
  <c r="J821" i="5"/>
  <c r="K821" i="5"/>
  <c r="L821" i="5"/>
  <c r="M821" i="5"/>
  <c r="N821" i="5"/>
  <c r="O821" i="5"/>
  <c r="P821" i="5"/>
  <c r="Q821" i="5"/>
  <c r="R821" i="5"/>
  <c r="S821" i="5"/>
  <c r="T821" i="5"/>
  <c r="U821" i="5"/>
  <c r="V821" i="5"/>
  <c r="W821" i="5"/>
  <c r="X821" i="5"/>
  <c r="AC821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AC822" i="5" s="1"/>
  <c r="N822" i="5"/>
  <c r="O822" i="5"/>
  <c r="P822" i="5"/>
  <c r="Q822" i="5"/>
  <c r="R822" i="5"/>
  <c r="S822" i="5"/>
  <c r="T822" i="5"/>
  <c r="U822" i="5"/>
  <c r="V822" i="5"/>
  <c r="W822" i="5"/>
  <c r="X822" i="5"/>
  <c r="AB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AC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AC824" i="5" s="1"/>
  <c r="N824" i="5"/>
  <c r="O824" i="5"/>
  <c r="P824" i="5"/>
  <c r="Q824" i="5"/>
  <c r="R824" i="5"/>
  <c r="S824" i="5"/>
  <c r="T824" i="5"/>
  <c r="U824" i="5"/>
  <c r="V824" i="5"/>
  <c r="W824" i="5"/>
  <c r="X824" i="5"/>
  <c r="AB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AC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AC826" i="5" s="1"/>
  <c r="N826" i="5"/>
  <c r="O826" i="5"/>
  <c r="P826" i="5"/>
  <c r="Q826" i="5"/>
  <c r="R826" i="5"/>
  <c r="S826" i="5"/>
  <c r="T826" i="5"/>
  <c r="U826" i="5"/>
  <c r="V826" i="5"/>
  <c r="W826" i="5"/>
  <c r="X826" i="5"/>
  <c r="AB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AC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AC828" i="5" s="1"/>
  <c r="N828" i="5"/>
  <c r="O828" i="5"/>
  <c r="P828" i="5"/>
  <c r="Q828" i="5"/>
  <c r="R828" i="5"/>
  <c r="S828" i="5"/>
  <c r="T828" i="5"/>
  <c r="U828" i="5"/>
  <c r="V828" i="5"/>
  <c r="W828" i="5"/>
  <c r="X828" i="5"/>
  <c r="AB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AC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AC830" i="5" s="1"/>
  <c r="N830" i="5"/>
  <c r="O830" i="5"/>
  <c r="P830" i="5"/>
  <c r="Q830" i="5"/>
  <c r="R830" i="5"/>
  <c r="S830" i="5"/>
  <c r="T830" i="5"/>
  <c r="U830" i="5"/>
  <c r="V830" i="5"/>
  <c r="W830" i="5"/>
  <c r="X830" i="5"/>
  <c r="AB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AC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AC832" i="5" s="1"/>
  <c r="N832" i="5"/>
  <c r="O832" i="5"/>
  <c r="P832" i="5"/>
  <c r="Q832" i="5"/>
  <c r="R832" i="5"/>
  <c r="S832" i="5"/>
  <c r="T832" i="5"/>
  <c r="U832" i="5"/>
  <c r="V832" i="5"/>
  <c r="W832" i="5"/>
  <c r="X832" i="5"/>
  <c r="AB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AC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AC834" i="5" s="1"/>
  <c r="N834" i="5"/>
  <c r="O834" i="5"/>
  <c r="P834" i="5"/>
  <c r="Q834" i="5"/>
  <c r="R834" i="5"/>
  <c r="S834" i="5"/>
  <c r="T834" i="5"/>
  <c r="U834" i="5"/>
  <c r="V834" i="5"/>
  <c r="W834" i="5"/>
  <c r="X834" i="5"/>
  <c r="AB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AC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AC836" i="5" s="1"/>
  <c r="N836" i="5"/>
  <c r="O836" i="5"/>
  <c r="P836" i="5"/>
  <c r="Q836" i="5"/>
  <c r="R836" i="5"/>
  <c r="S836" i="5"/>
  <c r="T836" i="5"/>
  <c r="U836" i="5"/>
  <c r="V836" i="5"/>
  <c r="W836" i="5"/>
  <c r="X836" i="5"/>
  <c r="AB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AC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AC838" i="5" s="1"/>
  <c r="N838" i="5"/>
  <c r="O838" i="5"/>
  <c r="P838" i="5"/>
  <c r="Q838" i="5"/>
  <c r="R838" i="5"/>
  <c r="S838" i="5"/>
  <c r="T838" i="5"/>
  <c r="U838" i="5"/>
  <c r="V838" i="5"/>
  <c r="W838" i="5"/>
  <c r="X838" i="5"/>
  <c r="AB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AC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AC840" i="5" s="1"/>
  <c r="N840" i="5"/>
  <c r="O840" i="5"/>
  <c r="P840" i="5"/>
  <c r="Q840" i="5"/>
  <c r="R840" i="5"/>
  <c r="S840" i="5"/>
  <c r="T840" i="5"/>
  <c r="U840" i="5"/>
  <c r="V840" i="5"/>
  <c r="W840" i="5"/>
  <c r="X840" i="5"/>
  <c r="AB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AC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AC842" i="5" s="1"/>
  <c r="N842" i="5"/>
  <c r="O842" i="5"/>
  <c r="P842" i="5"/>
  <c r="Q842" i="5"/>
  <c r="R842" i="5"/>
  <c r="S842" i="5"/>
  <c r="T842" i="5"/>
  <c r="U842" i="5"/>
  <c r="V842" i="5"/>
  <c r="W842" i="5"/>
  <c r="X842" i="5"/>
  <c r="AB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AC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AC844" i="5" s="1"/>
  <c r="N844" i="5"/>
  <c r="O844" i="5"/>
  <c r="P844" i="5"/>
  <c r="Q844" i="5"/>
  <c r="R844" i="5"/>
  <c r="S844" i="5"/>
  <c r="T844" i="5"/>
  <c r="U844" i="5"/>
  <c r="V844" i="5"/>
  <c r="W844" i="5"/>
  <c r="X844" i="5"/>
  <c r="AB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AC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AC846" i="5" s="1"/>
  <c r="N846" i="5"/>
  <c r="O846" i="5"/>
  <c r="P846" i="5"/>
  <c r="Q846" i="5"/>
  <c r="R846" i="5"/>
  <c r="S846" i="5"/>
  <c r="T846" i="5"/>
  <c r="U846" i="5"/>
  <c r="V846" i="5"/>
  <c r="W846" i="5"/>
  <c r="X846" i="5"/>
  <c r="AB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AC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AC848" i="5" s="1"/>
  <c r="N848" i="5"/>
  <c r="O848" i="5"/>
  <c r="P848" i="5"/>
  <c r="Q848" i="5"/>
  <c r="R848" i="5"/>
  <c r="S848" i="5"/>
  <c r="T848" i="5"/>
  <c r="U848" i="5"/>
  <c r="V848" i="5"/>
  <c r="W848" i="5"/>
  <c r="X848" i="5"/>
  <c r="AB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AC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AC850" i="5" s="1"/>
  <c r="N850" i="5"/>
  <c r="O850" i="5"/>
  <c r="P850" i="5"/>
  <c r="Q850" i="5"/>
  <c r="R850" i="5"/>
  <c r="S850" i="5"/>
  <c r="T850" i="5"/>
  <c r="U850" i="5"/>
  <c r="V850" i="5"/>
  <c r="W850" i="5"/>
  <c r="X850" i="5"/>
  <c r="AB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AC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AC852" i="5" s="1"/>
  <c r="N852" i="5"/>
  <c r="O852" i="5"/>
  <c r="P852" i="5"/>
  <c r="Q852" i="5"/>
  <c r="R852" i="5"/>
  <c r="S852" i="5"/>
  <c r="T852" i="5"/>
  <c r="U852" i="5"/>
  <c r="V852" i="5"/>
  <c r="W852" i="5"/>
  <c r="X852" i="5"/>
  <c r="AB852" i="5"/>
  <c r="B853" i="5"/>
  <c r="C853" i="5"/>
  <c r="D85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X853" i="5"/>
  <c r="AC853" i="5"/>
  <c r="B854" i="5"/>
  <c r="C854" i="5"/>
  <c r="D854" i="5"/>
  <c r="E854" i="5"/>
  <c r="F854" i="5"/>
  <c r="G854" i="5"/>
  <c r="H854" i="5"/>
  <c r="I854" i="5"/>
  <c r="J854" i="5"/>
  <c r="K854" i="5"/>
  <c r="L854" i="5"/>
  <c r="M854" i="5"/>
  <c r="AC854" i="5" s="1"/>
  <c r="N854" i="5"/>
  <c r="O854" i="5"/>
  <c r="P854" i="5"/>
  <c r="Q854" i="5"/>
  <c r="R854" i="5"/>
  <c r="S854" i="5"/>
  <c r="T854" i="5"/>
  <c r="U854" i="5"/>
  <c r="V854" i="5"/>
  <c r="W854" i="5"/>
  <c r="X854" i="5"/>
  <c r="AB854" i="5"/>
  <c r="B855" i="5"/>
  <c r="C855" i="5"/>
  <c r="D855" i="5"/>
  <c r="E855" i="5"/>
  <c r="F855" i="5"/>
  <c r="G855" i="5"/>
  <c r="H855" i="5"/>
  <c r="I855" i="5"/>
  <c r="J855" i="5"/>
  <c r="K855" i="5"/>
  <c r="L855" i="5"/>
  <c r="M855" i="5"/>
  <c r="N855" i="5"/>
  <c r="O855" i="5"/>
  <c r="P855" i="5"/>
  <c r="Q855" i="5"/>
  <c r="R855" i="5"/>
  <c r="S855" i="5"/>
  <c r="T855" i="5"/>
  <c r="U855" i="5"/>
  <c r="V855" i="5"/>
  <c r="W855" i="5"/>
  <c r="X855" i="5"/>
  <c r="AC855" i="5"/>
  <c r="B856" i="5"/>
  <c r="C856" i="5"/>
  <c r="D856" i="5"/>
  <c r="E856" i="5"/>
  <c r="F856" i="5"/>
  <c r="G856" i="5"/>
  <c r="H856" i="5"/>
  <c r="I856" i="5"/>
  <c r="J856" i="5"/>
  <c r="K856" i="5"/>
  <c r="L856" i="5"/>
  <c r="M856" i="5"/>
  <c r="AC856" i="5" s="1"/>
  <c r="N856" i="5"/>
  <c r="O856" i="5"/>
  <c r="P856" i="5"/>
  <c r="Q856" i="5"/>
  <c r="R856" i="5"/>
  <c r="S856" i="5"/>
  <c r="T856" i="5"/>
  <c r="U856" i="5"/>
  <c r="V856" i="5"/>
  <c r="W856" i="5"/>
  <c r="X856" i="5"/>
  <c r="AB856" i="5"/>
  <c r="B857" i="5"/>
  <c r="C857" i="5"/>
  <c r="D857" i="5"/>
  <c r="E857" i="5"/>
  <c r="F857" i="5"/>
  <c r="G857" i="5"/>
  <c r="H857" i="5"/>
  <c r="I857" i="5"/>
  <c r="J857" i="5"/>
  <c r="K857" i="5"/>
  <c r="L857" i="5"/>
  <c r="M857" i="5"/>
  <c r="N857" i="5"/>
  <c r="O857" i="5"/>
  <c r="P857" i="5"/>
  <c r="Q857" i="5"/>
  <c r="R857" i="5"/>
  <c r="S857" i="5"/>
  <c r="T857" i="5"/>
  <c r="U857" i="5"/>
  <c r="V857" i="5"/>
  <c r="W857" i="5"/>
  <c r="X857" i="5"/>
  <c r="AC857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AC858" i="5" s="1"/>
  <c r="N858" i="5"/>
  <c r="O858" i="5"/>
  <c r="P858" i="5"/>
  <c r="Q858" i="5"/>
  <c r="R858" i="5"/>
  <c r="S858" i="5"/>
  <c r="T858" i="5"/>
  <c r="U858" i="5"/>
  <c r="V858" i="5"/>
  <c r="W858" i="5"/>
  <c r="X858" i="5"/>
  <c r="AB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AC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AC860" i="5" s="1"/>
  <c r="N860" i="5"/>
  <c r="O860" i="5"/>
  <c r="P860" i="5"/>
  <c r="Q860" i="5"/>
  <c r="R860" i="5"/>
  <c r="S860" i="5"/>
  <c r="T860" i="5"/>
  <c r="U860" i="5"/>
  <c r="V860" i="5"/>
  <c r="W860" i="5"/>
  <c r="X860" i="5"/>
  <c r="AB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AC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AC862" i="5" s="1"/>
  <c r="N862" i="5"/>
  <c r="O862" i="5"/>
  <c r="P862" i="5"/>
  <c r="Q862" i="5"/>
  <c r="R862" i="5"/>
  <c r="S862" i="5"/>
  <c r="T862" i="5"/>
  <c r="U862" i="5"/>
  <c r="V862" i="5"/>
  <c r="W862" i="5"/>
  <c r="X862" i="5"/>
  <c r="AB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AC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AC864" i="5" s="1"/>
  <c r="N864" i="5"/>
  <c r="O864" i="5"/>
  <c r="P864" i="5"/>
  <c r="Q864" i="5"/>
  <c r="R864" i="5"/>
  <c r="S864" i="5"/>
  <c r="T864" i="5"/>
  <c r="U864" i="5"/>
  <c r="V864" i="5"/>
  <c r="W864" i="5"/>
  <c r="X864" i="5"/>
  <c r="AB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AC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AC866" i="5" s="1"/>
  <c r="N866" i="5"/>
  <c r="O866" i="5"/>
  <c r="P866" i="5"/>
  <c r="Q866" i="5"/>
  <c r="R866" i="5"/>
  <c r="S866" i="5"/>
  <c r="T866" i="5"/>
  <c r="U866" i="5"/>
  <c r="V866" i="5"/>
  <c r="W866" i="5"/>
  <c r="X866" i="5"/>
  <c r="AB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AC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AC868" i="5" s="1"/>
  <c r="N868" i="5"/>
  <c r="O868" i="5"/>
  <c r="P868" i="5"/>
  <c r="Q868" i="5"/>
  <c r="R868" i="5"/>
  <c r="S868" i="5"/>
  <c r="T868" i="5"/>
  <c r="U868" i="5"/>
  <c r="V868" i="5"/>
  <c r="W868" i="5"/>
  <c r="X868" i="5"/>
  <c r="AB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AC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AC870" i="5" s="1"/>
  <c r="N870" i="5"/>
  <c r="O870" i="5"/>
  <c r="P870" i="5"/>
  <c r="Q870" i="5"/>
  <c r="R870" i="5"/>
  <c r="S870" i="5"/>
  <c r="T870" i="5"/>
  <c r="U870" i="5"/>
  <c r="V870" i="5"/>
  <c r="W870" i="5"/>
  <c r="X870" i="5"/>
  <c r="AB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AC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AC872" i="5" s="1"/>
  <c r="N872" i="5"/>
  <c r="O872" i="5"/>
  <c r="P872" i="5"/>
  <c r="Q872" i="5"/>
  <c r="R872" i="5"/>
  <c r="S872" i="5"/>
  <c r="T872" i="5"/>
  <c r="U872" i="5"/>
  <c r="V872" i="5"/>
  <c r="W872" i="5"/>
  <c r="X872" i="5"/>
  <c r="AB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AC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AC874" i="5" s="1"/>
  <c r="N874" i="5"/>
  <c r="O874" i="5"/>
  <c r="P874" i="5"/>
  <c r="Q874" i="5"/>
  <c r="R874" i="5"/>
  <c r="S874" i="5"/>
  <c r="T874" i="5"/>
  <c r="U874" i="5"/>
  <c r="V874" i="5"/>
  <c r="W874" i="5"/>
  <c r="X874" i="5"/>
  <c r="AB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AC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AC876" i="5" s="1"/>
  <c r="N876" i="5"/>
  <c r="O876" i="5"/>
  <c r="P876" i="5"/>
  <c r="Q876" i="5"/>
  <c r="R876" i="5"/>
  <c r="S876" i="5"/>
  <c r="T876" i="5"/>
  <c r="U876" i="5"/>
  <c r="V876" i="5"/>
  <c r="W876" i="5"/>
  <c r="X876" i="5"/>
  <c r="AB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AC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AC878" i="5" s="1"/>
  <c r="N878" i="5"/>
  <c r="O878" i="5"/>
  <c r="P878" i="5"/>
  <c r="Q878" i="5"/>
  <c r="R878" i="5"/>
  <c r="S878" i="5"/>
  <c r="T878" i="5"/>
  <c r="U878" i="5"/>
  <c r="V878" i="5"/>
  <c r="W878" i="5"/>
  <c r="X878" i="5"/>
  <c r="AB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AC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AC880" i="5" s="1"/>
  <c r="N880" i="5"/>
  <c r="O880" i="5"/>
  <c r="P880" i="5"/>
  <c r="Q880" i="5"/>
  <c r="R880" i="5"/>
  <c r="S880" i="5"/>
  <c r="T880" i="5"/>
  <c r="U880" i="5"/>
  <c r="V880" i="5"/>
  <c r="W880" i="5"/>
  <c r="X880" i="5"/>
  <c r="AB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AC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AC882" i="5" s="1"/>
  <c r="N882" i="5"/>
  <c r="O882" i="5"/>
  <c r="P882" i="5"/>
  <c r="Q882" i="5"/>
  <c r="R882" i="5"/>
  <c r="S882" i="5"/>
  <c r="T882" i="5"/>
  <c r="U882" i="5"/>
  <c r="V882" i="5"/>
  <c r="W882" i="5"/>
  <c r="X882" i="5"/>
  <c r="AB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AC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AC884" i="5" s="1"/>
  <c r="N884" i="5"/>
  <c r="O884" i="5"/>
  <c r="P884" i="5"/>
  <c r="Q884" i="5"/>
  <c r="R884" i="5"/>
  <c r="S884" i="5"/>
  <c r="T884" i="5"/>
  <c r="U884" i="5"/>
  <c r="V884" i="5"/>
  <c r="W884" i="5"/>
  <c r="X884" i="5"/>
  <c r="AB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AC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AC886" i="5" s="1"/>
  <c r="N886" i="5"/>
  <c r="O886" i="5"/>
  <c r="P886" i="5"/>
  <c r="Q886" i="5"/>
  <c r="R886" i="5"/>
  <c r="S886" i="5"/>
  <c r="T886" i="5"/>
  <c r="U886" i="5"/>
  <c r="V886" i="5"/>
  <c r="W886" i="5"/>
  <c r="X886" i="5"/>
  <c r="AB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AC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AC888" i="5" s="1"/>
  <c r="N888" i="5"/>
  <c r="O888" i="5"/>
  <c r="P888" i="5"/>
  <c r="Q888" i="5"/>
  <c r="R888" i="5"/>
  <c r="S888" i="5"/>
  <c r="T888" i="5"/>
  <c r="U888" i="5"/>
  <c r="V888" i="5"/>
  <c r="W888" i="5"/>
  <c r="X888" i="5"/>
  <c r="AB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U889" i="5"/>
  <c r="V889" i="5"/>
  <c r="W889" i="5"/>
  <c r="X889" i="5"/>
  <c r="AC889" i="5"/>
  <c r="B890" i="5"/>
  <c r="C890" i="5"/>
  <c r="D890" i="5"/>
  <c r="E890" i="5"/>
  <c r="F890" i="5"/>
  <c r="G890" i="5"/>
  <c r="H890" i="5"/>
  <c r="I890" i="5"/>
  <c r="J890" i="5"/>
  <c r="K890" i="5"/>
  <c r="L890" i="5"/>
  <c r="M890" i="5"/>
  <c r="AC890" i="5" s="1"/>
  <c r="N890" i="5"/>
  <c r="O890" i="5"/>
  <c r="P890" i="5"/>
  <c r="Q890" i="5"/>
  <c r="R890" i="5"/>
  <c r="S890" i="5"/>
  <c r="T890" i="5"/>
  <c r="U890" i="5"/>
  <c r="V890" i="5"/>
  <c r="W890" i="5"/>
  <c r="X890" i="5"/>
  <c r="AB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AC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AC892" i="5" s="1"/>
  <c r="N892" i="5"/>
  <c r="O892" i="5"/>
  <c r="P892" i="5"/>
  <c r="Q892" i="5"/>
  <c r="R892" i="5"/>
  <c r="S892" i="5"/>
  <c r="T892" i="5"/>
  <c r="U892" i="5"/>
  <c r="V892" i="5"/>
  <c r="W892" i="5"/>
  <c r="X892" i="5"/>
  <c r="AB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U893" i="5"/>
  <c r="V893" i="5"/>
  <c r="W893" i="5"/>
  <c r="X893" i="5"/>
  <c r="AC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AC894" i="5" s="1"/>
  <c r="N894" i="5"/>
  <c r="O894" i="5"/>
  <c r="P894" i="5"/>
  <c r="Q894" i="5"/>
  <c r="R894" i="5"/>
  <c r="S894" i="5"/>
  <c r="T894" i="5"/>
  <c r="U894" i="5"/>
  <c r="V894" i="5"/>
  <c r="W894" i="5"/>
  <c r="X894" i="5"/>
  <c r="AB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AC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AC896" i="5" s="1"/>
  <c r="N896" i="5"/>
  <c r="O896" i="5"/>
  <c r="P896" i="5"/>
  <c r="Q896" i="5"/>
  <c r="R896" i="5"/>
  <c r="S896" i="5"/>
  <c r="T896" i="5"/>
  <c r="U896" i="5"/>
  <c r="V896" i="5"/>
  <c r="W896" i="5"/>
  <c r="X896" i="5"/>
  <c r="AB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AC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AC898" i="5" s="1"/>
  <c r="N898" i="5"/>
  <c r="O898" i="5"/>
  <c r="P898" i="5"/>
  <c r="Q898" i="5"/>
  <c r="R898" i="5"/>
  <c r="S898" i="5"/>
  <c r="T898" i="5"/>
  <c r="U898" i="5"/>
  <c r="V898" i="5"/>
  <c r="W898" i="5"/>
  <c r="X898" i="5"/>
  <c r="AB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AC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AC900" i="5" s="1"/>
  <c r="N900" i="5"/>
  <c r="O900" i="5"/>
  <c r="P900" i="5"/>
  <c r="Q900" i="5"/>
  <c r="R900" i="5"/>
  <c r="S900" i="5"/>
  <c r="T900" i="5"/>
  <c r="U900" i="5"/>
  <c r="V900" i="5"/>
  <c r="W900" i="5"/>
  <c r="X900" i="5"/>
  <c r="AB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AC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AC902" i="5" s="1"/>
  <c r="N902" i="5"/>
  <c r="O902" i="5"/>
  <c r="P902" i="5"/>
  <c r="Q902" i="5"/>
  <c r="R902" i="5"/>
  <c r="S902" i="5"/>
  <c r="T902" i="5"/>
  <c r="U902" i="5"/>
  <c r="V902" i="5"/>
  <c r="W902" i="5"/>
  <c r="X902" i="5"/>
  <c r="AB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AC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AC904" i="5" s="1"/>
  <c r="N904" i="5"/>
  <c r="O904" i="5"/>
  <c r="P904" i="5"/>
  <c r="Q904" i="5"/>
  <c r="R904" i="5"/>
  <c r="S904" i="5"/>
  <c r="T904" i="5"/>
  <c r="U904" i="5"/>
  <c r="V904" i="5"/>
  <c r="W904" i="5"/>
  <c r="X904" i="5"/>
  <c r="AB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AC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AC906" i="5" s="1"/>
  <c r="N906" i="5"/>
  <c r="O906" i="5"/>
  <c r="P906" i="5"/>
  <c r="Q906" i="5"/>
  <c r="R906" i="5"/>
  <c r="S906" i="5"/>
  <c r="T906" i="5"/>
  <c r="U906" i="5"/>
  <c r="V906" i="5"/>
  <c r="W906" i="5"/>
  <c r="X906" i="5"/>
  <c r="AB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AC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AC908" i="5" s="1"/>
  <c r="N908" i="5"/>
  <c r="O908" i="5"/>
  <c r="P908" i="5"/>
  <c r="Q908" i="5"/>
  <c r="R908" i="5"/>
  <c r="S908" i="5"/>
  <c r="T908" i="5"/>
  <c r="U908" i="5"/>
  <c r="V908" i="5"/>
  <c r="W908" i="5"/>
  <c r="X908" i="5"/>
  <c r="AB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AC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AC910" i="5" s="1"/>
  <c r="N910" i="5"/>
  <c r="O910" i="5"/>
  <c r="P910" i="5"/>
  <c r="Q910" i="5"/>
  <c r="R910" i="5"/>
  <c r="S910" i="5"/>
  <c r="T910" i="5"/>
  <c r="U910" i="5"/>
  <c r="V910" i="5"/>
  <c r="W910" i="5"/>
  <c r="X910" i="5"/>
  <c r="AB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AC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AC912" i="5" s="1"/>
  <c r="N912" i="5"/>
  <c r="O912" i="5"/>
  <c r="P912" i="5"/>
  <c r="Q912" i="5"/>
  <c r="R912" i="5"/>
  <c r="S912" i="5"/>
  <c r="T912" i="5"/>
  <c r="U912" i="5"/>
  <c r="V912" i="5"/>
  <c r="W912" i="5"/>
  <c r="X912" i="5"/>
  <c r="AB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AC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AC914" i="5" s="1"/>
  <c r="N914" i="5"/>
  <c r="O914" i="5"/>
  <c r="P914" i="5"/>
  <c r="Q914" i="5"/>
  <c r="R914" i="5"/>
  <c r="S914" i="5"/>
  <c r="T914" i="5"/>
  <c r="U914" i="5"/>
  <c r="V914" i="5"/>
  <c r="W914" i="5"/>
  <c r="X914" i="5"/>
  <c r="AB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AC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AC916" i="5" s="1"/>
  <c r="N916" i="5"/>
  <c r="O916" i="5"/>
  <c r="P916" i="5"/>
  <c r="Q916" i="5"/>
  <c r="R916" i="5"/>
  <c r="S916" i="5"/>
  <c r="T916" i="5"/>
  <c r="U916" i="5"/>
  <c r="V916" i="5"/>
  <c r="W916" i="5"/>
  <c r="X916" i="5"/>
  <c r="AB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AC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AC918" i="5" s="1"/>
  <c r="N918" i="5"/>
  <c r="O918" i="5"/>
  <c r="P918" i="5"/>
  <c r="Q918" i="5"/>
  <c r="R918" i="5"/>
  <c r="S918" i="5"/>
  <c r="T918" i="5"/>
  <c r="U918" i="5"/>
  <c r="V918" i="5"/>
  <c r="W918" i="5"/>
  <c r="X918" i="5"/>
  <c r="AB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AC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AC920" i="5" s="1"/>
  <c r="N920" i="5"/>
  <c r="O920" i="5"/>
  <c r="P920" i="5"/>
  <c r="Q920" i="5"/>
  <c r="R920" i="5"/>
  <c r="S920" i="5"/>
  <c r="T920" i="5"/>
  <c r="U920" i="5"/>
  <c r="V920" i="5"/>
  <c r="W920" i="5"/>
  <c r="X920" i="5"/>
  <c r="AB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AC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AC922" i="5" s="1"/>
  <c r="N922" i="5"/>
  <c r="O922" i="5"/>
  <c r="P922" i="5"/>
  <c r="Q922" i="5"/>
  <c r="R922" i="5"/>
  <c r="S922" i="5"/>
  <c r="T922" i="5"/>
  <c r="U922" i="5"/>
  <c r="V922" i="5"/>
  <c r="W922" i="5"/>
  <c r="X922" i="5"/>
  <c r="AB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AC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AC924" i="5" s="1"/>
  <c r="N924" i="5"/>
  <c r="O924" i="5"/>
  <c r="P924" i="5"/>
  <c r="Q924" i="5"/>
  <c r="R924" i="5"/>
  <c r="S924" i="5"/>
  <c r="T924" i="5"/>
  <c r="U924" i="5"/>
  <c r="V924" i="5"/>
  <c r="W924" i="5"/>
  <c r="X924" i="5"/>
  <c r="AB924" i="5"/>
  <c r="B925" i="5"/>
  <c r="C925" i="5"/>
  <c r="D925" i="5"/>
  <c r="E925" i="5"/>
  <c r="F925" i="5"/>
  <c r="G925" i="5"/>
  <c r="H925" i="5"/>
  <c r="I925" i="5"/>
  <c r="J925" i="5"/>
  <c r="K925" i="5"/>
  <c r="L925" i="5"/>
  <c r="M925" i="5"/>
  <c r="N925" i="5"/>
  <c r="O925" i="5"/>
  <c r="P925" i="5"/>
  <c r="Q925" i="5"/>
  <c r="R925" i="5"/>
  <c r="S925" i="5"/>
  <c r="T925" i="5"/>
  <c r="U925" i="5"/>
  <c r="V925" i="5"/>
  <c r="W925" i="5"/>
  <c r="X925" i="5"/>
  <c r="AC925" i="5"/>
  <c r="B926" i="5"/>
  <c r="C926" i="5"/>
  <c r="D926" i="5"/>
  <c r="E926" i="5"/>
  <c r="F926" i="5"/>
  <c r="G926" i="5"/>
  <c r="H926" i="5"/>
  <c r="I926" i="5"/>
  <c r="J926" i="5"/>
  <c r="K926" i="5"/>
  <c r="L926" i="5"/>
  <c r="M926" i="5"/>
  <c r="AC926" i="5" s="1"/>
  <c r="N926" i="5"/>
  <c r="O926" i="5"/>
  <c r="P926" i="5"/>
  <c r="Q926" i="5"/>
  <c r="R926" i="5"/>
  <c r="S926" i="5"/>
  <c r="T926" i="5"/>
  <c r="U926" i="5"/>
  <c r="V926" i="5"/>
  <c r="W926" i="5"/>
  <c r="X926" i="5"/>
  <c r="AB926" i="5"/>
  <c r="B927" i="5"/>
  <c r="C927" i="5"/>
  <c r="D927" i="5"/>
  <c r="E927" i="5"/>
  <c r="F927" i="5"/>
  <c r="G927" i="5"/>
  <c r="H927" i="5"/>
  <c r="I927" i="5"/>
  <c r="J927" i="5"/>
  <c r="K927" i="5"/>
  <c r="L927" i="5"/>
  <c r="M927" i="5"/>
  <c r="N927" i="5"/>
  <c r="O927" i="5"/>
  <c r="P927" i="5"/>
  <c r="Q927" i="5"/>
  <c r="R927" i="5"/>
  <c r="S927" i="5"/>
  <c r="T927" i="5"/>
  <c r="U927" i="5"/>
  <c r="V927" i="5"/>
  <c r="W927" i="5"/>
  <c r="X927" i="5"/>
  <c r="AC927" i="5"/>
  <c r="B928" i="5"/>
  <c r="C928" i="5"/>
  <c r="D928" i="5"/>
  <c r="E928" i="5"/>
  <c r="F928" i="5"/>
  <c r="G928" i="5"/>
  <c r="H928" i="5"/>
  <c r="I928" i="5"/>
  <c r="J928" i="5"/>
  <c r="K928" i="5"/>
  <c r="L928" i="5"/>
  <c r="M928" i="5"/>
  <c r="AC928" i="5" s="1"/>
  <c r="N928" i="5"/>
  <c r="O928" i="5"/>
  <c r="P928" i="5"/>
  <c r="Q928" i="5"/>
  <c r="R928" i="5"/>
  <c r="S928" i="5"/>
  <c r="T928" i="5"/>
  <c r="U928" i="5"/>
  <c r="V928" i="5"/>
  <c r="W928" i="5"/>
  <c r="X928" i="5"/>
  <c r="AB928" i="5"/>
  <c r="B929" i="5"/>
  <c r="C929" i="5"/>
  <c r="D929" i="5"/>
  <c r="E929" i="5"/>
  <c r="F929" i="5"/>
  <c r="G929" i="5"/>
  <c r="H929" i="5"/>
  <c r="I929" i="5"/>
  <c r="J929" i="5"/>
  <c r="K929" i="5"/>
  <c r="L929" i="5"/>
  <c r="M929" i="5"/>
  <c r="N929" i="5"/>
  <c r="O929" i="5"/>
  <c r="P929" i="5"/>
  <c r="Q929" i="5"/>
  <c r="R929" i="5"/>
  <c r="S929" i="5"/>
  <c r="T929" i="5"/>
  <c r="U929" i="5"/>
  <c r="V929" i="5"/>
  <c r="W929" i="5"/>
  <c r="X929" i="5"/>
  <c r="AC929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AC930" i="5" s="1"/>
  <c r="N930" i="5"/>
  <c r="O930" i="5"/>
  <c r="P930" i="5"/>
  <c r="Q930" i="5"/>
  <c r="R930" i="5"/>
  <c r="S930" i="5"/>
  <c r="T930" i="5"/>
  <c r="U930" i="5"/>
  <c r="V930" i="5"/>
  <c r="W930" i="5"/>
  <c r="X930" i="5"/>
  <c r="AB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AC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AC932" i="5" s="1"/>
  <c r="N932" i="5"/>
  <c r="O932" i="5"/>
  <c r="P932" i="5"/>
  <c r="Q932" i="5"/>
  <c r="R932" i="5"/>
  <c r="S932" i="5"/>
  <c r="T932" i="5"/>
  <c r="U932" i="5"/>
  <c r="V932" i="5"/>
  <c r="W932" i="5"/>
  <c r="X932" i="5"/>
  <c r="AB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AC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AC934" i="5" s="1"/>
  <c r="N934" i="5"/>
  <c r="O934" i="5"/>
  <c r="P934" i="5"/>
  <c r="Q934" i="5"/>
  <c r="R934" i="5"/>
  <c r="S934" i="5"/>
  <c r="T934" i="5"/>
  <c r="U934" i="5"/>
  <c r="V934" i="5"/>
  <c r="W934" i="5"/>
  <c r="X934" i="5"/>
  <c r="AB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AC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AC936" i="5" s="1"/>
  <c r="N936" i="5"/>
  <c r="O936" i="5"/>
  <c r="P936" i="5"/>
  <c r="Q936" i="5"/>
  <c r="R936" i="5"/>
  <c r="S936" i="5"/>
  <c r="T936" i="5"/>
  <c r="U936" i="5"/>
  <c r="V936" i="5"/>
  <c r="W936" i="5"/>
  <c r="X936" i="5"/>
  <c r="AB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AC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AC938" i="5" s="1"/>
  <c r="N938" i="5"/>
  <c r="O938" i="5"/>
  <c r="P938" i="5"/>
  <c r="Q938" i="5"/>
  <c r="R938" i="5"/>
  <c r="S938" i="5"/>
  <c r="T938" i="5"/>
  <c r="U938" i="5"/>
  <c r="V938" i="5"/>
  <c r="W938" i="5"/>
  <c r="X938" i="5"/>
  <c r="AB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AC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AC940" i="5" s="1"/>
  <c r="N940" i="5"/>
  <c r="O940" i="5"/>
  <c r="P940" i="5"/>
  <c r="Q940" i="5"/>
  <c r="R940" i="5"/>
  <c r="S940" i="5"/>
  <c r="T940" i="5"/>
  <c r="U940" i="5"/>
  <c r="V940" i="5"/>
  <c r="W940" i="5"/>
  <c r="X940" i="5"/>
  <c r="AB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AC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AC942" i="5" s="1"/>
  <c r="N942" i="5"/>
  <c r="O942" i="5"/>
  <c r="P942" i="5"/>
  <c r="Q942" i="5"/>
  <c r="R942" i="5"/>
  <c r="S942" i="5"/>
  <c r="T942" i="5"/>
  <c r="U942" i="5"/>
  <c r="V942" i="5"/>
  <c r="W942" i="5"/>
  <c r="X942" i="5"/>
  <c r="AB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AC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AC944" i="5" s="1"/>
  <c r="N944" i="5"/>
  <c r="O944" i="5"/>
  <c r="P944" i="5"/>
  <c r="Q944" i="5"/>
  <c r="R944" i="5"/>
  <c r="S944" i="5"/>
  <c r="T944" i="5"/>
  <c r="U944" i="5"/>
  <c r="V944" i="5"/>
  <c r="W944" i="5"/>
  <c r="X944" i="5"/>
  <c r="AB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AC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AC946" i="5" s="1"/>
  <c r="N946" i="5"/>
  <c r="O946" i="5"/>
  <c r="P946" i="5"/>
  <c r="Q946" i="5"/>
  <c r="R946" i="5"/>
  <c r="S946" i="5"/>
  <c r="T946" i="5"/>
  <c r="U946" i="5"/>
  <c r="V946" i="5"/>
  <c r="W946" i="5"/>
  <c r="X946" i="5"/>
  <c r="AB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AC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AC948" i="5" s="1"/>
  <c r="N948" i="5"/>
  <c r="O948" i="5"/>
  <c r="P948" i="5"/>
  <c r="Q948" i="5"/>
  <c r="R948" i="5"/>
  <c r="S948" i="5"/>
  <c r="T948" i="5"/>
  <c r="U948" i="5"/>
  <c r="V948" i="5"/>
  <c r="W948" i="5"/>
  <c r="X948" i="5"/>
  <c r="AB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AC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AC950" i="5" s="1"/>
  <c r="N950" i="5"/>
  <c r="O950" i="5"/>
  <c r="P950" i="5"/>
  <c r="Q950" i="5"/>
  <c r="R950" i="5"/>
  <c r="S950" i="5"/>
  <c r="T950" i="5"/>
  <c r="U950" i="5"/>
  <c r="V950" i="5"/>
  <c r="W950" i="5"/>
  <c r="X950" i="5"/>
  <c r="AB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AC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AC952" i="5" s="1"/>
  <c r="N952" i="5"/>
  <c r="O952" i="5"/>
  <c r="P952" i="5"/>
  <c r="Q952" i="5"/>
  <c r="R952" i="5"/>
  <c r="S952" i="5"/>
  <c r="T952" i="5"/>
  <c r="U952" i="5"/>
  <c r="V952" i="5"/>
  <c r="W952" i="5"/>
  <c r="X952" i="5"/>
  <c r="AB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AC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AC954" i="5" s="1"/>
  <c r="N954" i="5"/>
  <c r="O954" i="5"/>
  <c r="P954" i="5"/>
  <c r="Q954" i="5"/>
  <c r="R954" i="5"/>
  <c r="S954" i="5"/>
  <c r="T954" i="5"/>
  <c r="U954" i="5"/>
  <c r="V954" i="5"/>
  <c r="W954" i="5"/>
  <c r="X954" i="5"/>
  <c r="AB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AC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AC956" i="5" s="1"/>
  <c r="N956" i="5"/>
  <c r="O956" i="5"/>
  <c r="P956" i="5"/>
  <c r="Q956" i="5"/>
  <c r="R956" i="5"/>
  <c r="S956" i="5"/>
  <c r="T956" i="5"/>
  <c r="U956" i="5"/>
  <c r="V956" i="5"/>
  <c r="W956" i="5"/>
  <c r="X956" i="5"/>
  <c r="AB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AC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AC958" i="5" s="1"/>
  <c r="N958" i="5"/>
  <c r="O958" i="5"/>
  <c r="P958" i="5"/>
  <c r="Q958" i="5"/>
  <c r="R958" i="5"/>
  <c r="S958" i="5"/>
  <c r="T958" i="5"/>
  <c r="U958" i="5"/>
  <c r="V958" i="5"/>
  <c r="W958" i="5"/>
  <c r="X958" i="5"/>
  <c r="AB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AC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AC960" i="5" s="1"/>
  <c r="N960" i="5"/>
  <c r="O960" i="5"/>
  <c r="P960" i="5"/>
  <c r="Q960" i="5"/>
  <c r="R960" i="5"/>
  <c r="S960" i="5"/>
  <c r="T960" i="5"/>
  <c r="U960" i="5"/>
  <c r="V960" i="5"/>
  <c r="W960" i="5"/>
  <c r="X960" i="5"/>
  <c r="AB960" i="5"/>
  <c r="B961" i="5"/>
  <c r="C961" i="5"/>
  <c r="D961" i="5"/>
  <c r="E961" i="5"/>
  <c r="F961" i="5"/>
  <c r="G961" i="5"/>
  <c r="H961" i="5"/>
  <c r="I961" i="5"/>
  <c r="J961" i="5"/>
  <c r="K961" i="5"/>
  <c r="L961" i="5"/>
  <c r="M961" i="5"/>
  <c r="N961" i="5"/>
  <c r="O961" i="5"/>
  <c r="P961" i="5"/>
  <c r="Q961" i="5"/>
  <c r="R961" i="5"/>
  <c r="S961" i="5"/>
  <c r="T961" i="5"/>
  <c r="U961" i="5"/>
  <c r="V961" i="5"/>
  <c r="W961" i="5"/>
  <c r="X961" i="5"/>
  <c r="AC961" i="5"/>
  <c r="B962" i="5"/>
  <c r="C962" i="5"/>
  <c r="D962" i="5"/>
  <c r="E962" i="5"/>
  <c r="F962" i="5"/>
  <c r="G962" i="5"/>
  <c r="H962" i="5"/>
  <c r="I962" i="5"/>
  <c r="J962" i="5"/>
  <c r="K962" i="5"/>
  <c r="L962" i="5"/>
  <c r="M962" i="5"/>
  <c r="AC962" i="5" s="1"/>
  <c r="N962" i="5"/>
  <c r="O962" i="5"/>
  <c r="P962" i="5"/>
  <c r="Q962" i="5"/>
  <c r="R962" i="5"/>
  <c r="S962" i="5"/>
  <c r="T962" i="5"/>
  <c r="U962" i="5"/>
  <c r="V962" i="5"/>
  <c r="W962" i="5"/>
  <c r="X962" i="5"/>
  <c r="AB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N963" i="5"/>
  <c r="O963" i="5"/>
  <c r="P963" i="5"/>
  <c r="Q963" i="5"/>
  <c r="R963" i="5"/>
  <c r="S963" i="5"/>
  <c r="T963" i="5"/>
  <c r="U963" i="5"/>
  <c r="V963" i="5"/>
  <c r="W963" i="5"/>
  <c r="X963" i="5"/>
  <c r="AC963" i="5"/>
  <c r="B964" i="5"/>
  <c r="C964" i="5"/>
  <c r="D964" i="5"/>
  <c r="E964" i="5"/>
  <c r="F964" i="5"/>
  <c r="G964" i="5"/>
  <c r="H964" i="5"/>
  <c r="I964" i="5"/>
  <c r="J964" i="5"/>
  <c r="K964" i="5"/>
  <c r="L964" i="5"/>
  <c r="M964" i="5"/>
  <c r="AC964" i="5" s="1"/>
  <c r="N964" i="5"/>
  <c r="O964" i="5"/>
  <c r="P964" i="5"/>
  <c r="Q964" i="5"/>
  <c r="R964" i="5"/>
  <c r="S964" i="5"/>
  <c r="T964" i="5"/>
  <c r="U964" i="5"/>
  <c r="V964" i="5"/>
  <c r="W964" i="5"/>
  <c r="X964" i="5"/>
  <c r="AB964" i="5"/>
  <c r="B965" i="5"/>
  <c r="C965" i="5"/>
  <c r="D965" i="5"/>
  <c r="E965" i="5"/>
  <c r="F965" i="5"/>
  <c r="G965" i="5"/>
  <c r="H965" i="5"/>
  <c r="I965" i="5"/>
  <c r="J965" i="5"/>
  <c r="K965" i="5"/>
  <c r="L965" i="5"/>
  <c r="M965" i="5"/>
  <c r="N965" i="5"/>
  <c r="O965" i="5"/>
  <c r="P965" i="5"/>
  <c r="Q965" i="5"/>
  <c r="R965" i="5"/>
  <c r="S965" i="5"/>
  <c r="T965" i="5"/>
  <c r="U965" i="5"/>
  <c r="V965" i="5"/>
  <c r="W965" i="5"/>
  <c r="X965" i="5"/>
  <c r="AC965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AC966" i="5" s="1"/>
  <c r="N966" i="5"/>
  <c r="O966" i="5"/>
  <c r="P966" i="5"/>
  <c r="Q966" i="5"/>
  <c r="R966" i="5"/>
  <c r="S966" i="5"/>
  <c r="T966" i="5"/>
  <c r="U966" i="5"/>
  <c r="V966" i="5"/>
  <c r="W966" i="5"/>
  <c r="X966" i="5"/>
  <c r="AB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AC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AC968" i="5" s="1"/>
  <c r="N968" i="5"/>
  <c r="O968" i="5"/>
  <c r="P968" i="5"/>
  <c r="Q968" i="5"/>
  <c r="R968" i="5"/>
  <c r="S968" i="5"/>
  <c r="T968" i="5"/>
  <c r="U968" i="5"/>
  <c r="V968" i="5"/>
  <c r="W968" i="5"/>
  <c r="X968" i="5"/>
  <c r="AB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AC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AC970" i="5" s="1"/>
  <c r="N970" i="5"/>
  <c r="O970" i="5"/>
  <c r="P970" i="5"/>
  <c r="Q970" i="5"/>
  <c r="R970" i="5"/>
  <c r="S970" i="5"/>
  <c r="T970" i="5"/>
  <c r="U970" i="5"/>
  <c r="V970" i="5"/>
  <c r="W970" i="5"/>
  <c r="X970" i="5"/>
  <c r="AB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AC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AC972" i="5" s="1"/>
  <c r="N972" i="5"/>
  <c r="O972" i="5"/>
  <c r="P972" i="5"/>
  <c r="Q972" i="5"/>
  <c r="R972" i="5"/>
  <c r="S972" i="5"/>
  <c r="T972" i="5"/>
  <c r="U972" i="5"/>
  <c r="V972" i="5"/>
  <c r="W972" i="5"/>
  <c r="X972" i="5"/>
  <c r="AB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AC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AC974" i="5" s="1"/>
  <c r="N974" i="5"/>
  <c r="O974" i="5"/>
  <c r="P974" i="5"/>
  <c r="Q974" i="5"/>
  <c r="R974" i="5"/>
  <c r="S974" i="5"/>
  <c r="T974" i="5"/>
  <c r="U974" i="5"/>
  <c r="V974" i="5"/>
  <c r="W974" i="5"/>
  <c r="X974" i="5"/>
  <c r="AB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AC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AC976" i="5" s="1"/>
  <c r="N976" i="5"/>
  <c r="O976" i="5"/>
  <c r="P976" i="5"/>
  <c r="Q976" i="5"/>
  <c r="R976" i="5"/>
  <c r="S976" i="5"/>
  <c r="T976" i="5"/>
  <c r="U976" i="5"/>
  <c r="V976" i="5"/>
  <c r="W976" i="5"/>
  <c r="X976" i="5"/>
  <c r="AB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AC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AC978" i="5" s="1"/>
  <c r="N978" i="5"/>
  <c r="O978" i="5"/>
  <c r="P978" i="5"/>
  <c r="Q978" i="5"/>
  <c r="R978" i="5"/>
  <c r="S978" i="5"/>
  <c r="T978" i="5"/>
  <c r="U978" i="5"/>
  <c r="V978" i="5"/>
  <c r="W978" i="5"/>
  <c r="X978" i="5"/>
  <c r="AB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AC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AC980" i="5" s="1"/>
  <c r="N980" i="5"/>
  <c r="O980" i="5"/>
  <c r="P980" i="5"/>
  <c r="Q980" i="5"/>
  <c r="R980" i="5"/>
  <c r="S980" i="5"/>
  <c r="T980" i="5"/>
  <c r="U980" i="5"/>
  <c r="V980" i="5"/>
  <c r="W980" i="5"/>
  <c r="X980" i="5"/>
  <c r="AB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AC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AC982" i="5" s="1"/>
  <c r="N982" i="5"/>
  <c r="O982" i="5"/>
  <c r="P982" i="5"/>
  <c r="Q982" i="5"/>
  <c r="R982" i="5"/>
  <c r="S982" i="5"/>
  <c r="T982" i="5"/>
  <c r="U982" i="5"/>
  <c r="V982" i="5"/>
  <c r="W982" i="5"/>
  <c r="X982" i="5"/>
  <c r="AB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AC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AC984" i="5" s="1"/>
  <c r="N984" i="5"/>
  <c r="O984" i="5"/>
  <c r="P984" i="5"/>
  <c r="Q984" i="5"/>
  <c r="R984" i="5"/>
  <c r="S984" i="5"/>
  <c r="T984" i="5"/>
  <c r="U984" i="5"/>
  <c r="V984" i="5"/>
  <c r="W984" i="5"/>
  <c r="X984" i="5"/>
  <c r="AB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AC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AC986" i="5" s="1"/>
  <c r="N986" i="5"/>
  <c r="O986" i="5"/>
  <c r="P986" i="5"/>
  <c r="Q986" i="5"/>
  <c r="R986" i="5"/>
  <c r="S986" i="5"/>
  <c r="T986" i="5"/>
  <c r="U986" i="5"/>
  <c r="V986" i="5"/>
  <c r="W986" i="5"/>
  <c r="X986" i="5"/>
  <c r="AB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AC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AC988" i="5" s="1"/>
  <c r="N988" i="5"/>
  <c r="O988" i="5"/>
  <c r="P988" i="5"/>
  <c r="Q988" i="5"/>
  <c r="R988" i="5"/>
  <c r="S988" i="5"/>
  <c r="T988" i="5"/>
  <c r="U988" i="5"/>
  <c r="V988" i="5"/>
  <c r="W988" i="5"/>
  <c r="X988" i="5"/>
  <c r="AB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AC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AC990" i="5" s="1"/>
  <c r="N990" i="5"/>
  <c r="O990" i="5"/>
  <c r="P990" i="5"/>
  <c r="Q990" i="5"/>
  <c r="R990" i="5"/>
  <c r="S990" i="5"/>
  <c r="T990" i="5"/>
  <c r="U990" i="5"/>
  <c r="V990" i="5"/>
  <c r="W990" i="5"/>
  <c r="X990" i="5"/>
  <c r="AB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AC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AC992" i="5" s="1"/>
  <c r="N992" i="5"/>
  <c r="O992" i="5"/>
  <c r="P992" i="5"/>
  <c r="Q992" i="5"/>
  <c r="R992" i="5"/>
  <c r="S992" i="5"/>
  <c r="T992" i="5"/>
  <c r="U992" i="5"/>
  <c r="V992" i="5"/>
  <c r="W992" i="5"/>
  <c r="X992" i="5"/>
  <c r="AB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AC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AC994" i="5" s="1"/>
  <c r="N994" i="5"/>
  <c r="O994" i="5"/>
  <c r="P994" i="5"/>
  <c r="Q994" i="5"/>
  <c r="R994" i="5"/>
  <c r="S994" i="5"/>
  <c r="T994" i="5"/>
  <c r="U994" i="5"/>
  <c r="V994" i="5"/>
  <c r="W994" i="5"/>
  <c r="X994" i="5"/>
  <c r="AB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AC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AC996" i="5" s="1"/>
  <c r="N996" i="5"/>
  <c r="O996" i="5"/>
  <c r="P996" i="5"/>
  <c r="Q996" i="5"/>
  <c r="R996" i="5"/>
  <c r="S996" i="5"/>
  <c r="T996" i="5"/>
  <c r="U996" i="5"/>
  <c r="V996" i="5"/>
  <c r="W996" i="5"/>
  <c r="X996" i="5"/>
  <c r="AB996" i="5"/>
  <c r="B997" i="5"/>
  <c r="C997" i="5"/>
  <c r="D997" i="5"/>
  <c r="E997" i="5"/>
  <c r="F997" i="5"/>
  <c r="G997" i="5"/>
  <c r="H997" i="5"/>
  <c r="I997" i="5"/>
  <c r="J997" i="5"/>
  <c r="K997" i="5"/>
  <c r="L997" i="5"/>
  <c r="M997" i="5"/>
  <c r="N997" i="5"/>
  <c r="O997" i="5"/>
  <c r="P997" i="5"/>
  <c r="Q997" i="5"/>
  <c r="R997" i="5"/>
  <c r="S997" i="5"/>
  <c r="T997" i="5"/>
  <c r="U997" i="5"/>
  <c r="V997" i="5"/>
  <c r="W997" i="5"/>
  <c r="X997" i="5"/>
  <c r="AC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AC998" i="5" s="1"/>
  <c r="N998" i="5"/>
  <c r="O998" i="5"/>
  <c r="P998" i="5"/>
  <c r="Q998" i="5"/>
  <c r="R998" i="5"/>
  <c r="S998" i="5"/>
  <c r="T998" i="5"/>
  <c r="U998" i="5"/>
  <c r="V998" i="5"/>
  <c r="W998" i="5"/>
  <c r="X998" i="5"/>
  <c r="AB998" i="5"/>
  <c r="B999" i="5"/>
  <c r="C999" i="5"/>
  <c r="D999" i="5"/>
  <c r="E999" i="5"/>
  <c r="F999" i="5"/>
  <c r="G999" i="5"/>
  <c r="H999" i="5"/>
  <c r="I999" i="5"/>
  <c r="J999" i="5"/>
  <c r="K999" i="5"/>
  <c r="L999" i="5"/>
  <c r="M999" i="5"/>
  <c r="N999" i="5"/>
  <c r="O999" i="5"/>
  <c r="P999" i="5"/>
  <c r="Q999" i="5"/>
  <c r="R999" i="5"/>
  <c r="S999" i="5"/>
  <c r="T999" i="5"/>
  <c r="U999" i="5"/>
  <c r="V999" i="5"/>
  <c r="W999" i="5"/>
  <c r="X999" i="5"/>
  <c r="AC999" i="5"/>
  <c r="B1000" i="5"/>
  <c r="C1000" i="5"/>
  <c r="D1000" i="5"/>
  <c r="E1000" i="5"/>
  <c r="F1000" i="5"/>
  <c r="G1000" i="5"/>
  <c r="H1000" i="5"/>
  <c r="I1000" i="5"/>
  <c r="J1000" i="5"/>
  <c r="K1000" i="5"/>
  <c r="L1000" i="5"/>
  <c r="M1000" i="5"/>
  <c r="AC1000" i="5" s="1"/>
  <c r="N1000" i="5"/>
  <c r="O1000" i="5"/>
  <c r="P1000" i="5"/>
  <c r="Q1000" i="5"/>
  <c r="R1000" i="5"/>
  <c r="S1000" i="5"/>
  <c r="T1000" i="5"/>
  <c r="U1000" i="5"/>
  <c r="V1000" i="5"/>
  <c r="W1000" i="5"/>
  <c r="X1000" i="5"/>
  <c r="AB1000" i="5"/>
  <c r="B1001" i="5"/>
  <c r="C1001" i="5"/>
  <c r="D1001" i="5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AC1001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AC1002" i="5" s="1"/>
  <c r="N1002" i="5"/>
  <c r="O1002" i="5"/>
  <c r="P1002" i="5"/>
  <c r="Q1002" i="5"/>
  <c r="R1002" i="5"/>
  <c r="S1002" i="5"/>
  <c r="T1002" i="5"/>
  <c r="U1002" i="5"/>
  <c r="V1002" i="5"/>
  <c r="W1002" i="5"/>
  <c r="X1002" i="5"/>
  <c r="AB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AC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AC1004" i="5" s="1"/>
  <c r="N1004" i="5"/>
  <c r="O1004" i="5"/>
  <c r="P1004" i="5"/>
  <c r="Q1004" i="5"/>
  <c r="R1004" i="5"/>
  <c r="S1004" i="5"/>
  <c r="T1004" i="5"/>
  <c r="U1004" i="5"/>
  <c r="V1004" i="5"/>
  <c r="W1004" i="5"/>
  <c r="X1004" i="5"/>
  <c r="AB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AC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AC1006" i="5" s="1"/>
  <c r="N1006" i="5"/>
  <c r="O1006" i="5"/>
  <c r="P1006" i="5"/>
  <c r="Q1006" i="5"/>
  <c r="R1006" i="5"/>
  <c r="S1006" i="5"/>
  <c r="T1006" i="5"/>
  <c r="U1006" i="5"/>
  <c r="V1006" i="5"/>
  <c r="W1006" i="5"/>
  <c r="X1006" i="5"/>
  <c r="AB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AC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AC1008" i="5" s="1"/>
  <c r="N1008" i="5"/>
  <c r="O1008" i="5"/>
  <c r="P1008" i="5"/>
  <c r="Q1008" i="5"/>
  <c r="R1008" i="5"/>
  <c r="S1008" i="5"/>
  <c r="T1008" i="5"/>
  <c r="U1008" i="5"/>
  <c r="V1008" i="5"/>
  <c r="W1008" i="5"/>
  <c r="X1008" i="5"/>
  <c r="AB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AC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AC1010" i="5" s="1"/>
  <c r="N1010" i="5"/>
  <c r="O1010" i="5"/>
  <c r="P1010" i="5"/>
  <c r="Q1010" i="5"/>
  <c r="R1010" i="5"/>
  <c r="S1010" i="5"/>
  <c r="T1010" i="5"/>
  <c r="U1010" i="5"/>
  <c r="V1010" i="5"/>
  <c r="W1010" i="5"/>
  <c r="X1010" i="5"/>
  <c r="AB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AC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AC1012" i="5" s="1"/>
  <c r="N1012" i="5"/>
  <c r="O1012" i="5"/>
  <c r="P1012" i="5"/>
  <c r="Q1012" i="5"/>
  <c r="R1012" i="5"/>
  <c r="S1012" i="5"/>
  <c r="T1012" i="5"/>
  <c r="U1012" i="5"/>
  <c r="V1012" i="5"/>
  <c r="W1012" i="5"/>
  <c r="X1012" i="5"/>
  <c r="AB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AC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AC1014" i="5" s="1"/>
  <c r="N1014" i="5"/>
  <c r="O1014" i="5"/>
  <c r="P1014" i="5"/>
  <c r="Q1014" i="5"/>
  <c r="R1014" i="5"/>
  <c r="S1014" i="5"/>
  <c r="T1014" i="5"/>
  <c r="U1014" i="5"/>
  <c r="V1014" i="5"/>
  <c r="W1014" i="5"/>
  <c r="X1014" i="5"/>
  <c r="AB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AC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AC1016" i="5" s="1"/>
  <c r="N1016" i="5"/>
  <c r="O1016" i="5"/>
  <c r="P1016" i="5"/>
  <c r="Q1016" i="5"/>
  <c r="R1016" i="5"/>
  <c r="S1016" i="5"/>
  <c r="T1016" i="5"/>
  <c r="U1016" i="5"/>
  <c r="V1016" i="5"/>
  <c r="W1016" i="5"/>
  <c r="X1016" i="5"/>
  <c r="AB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AC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AC1018" i="5" s="1"/>
  <c r="N1018" i="5"/>
  <c r="O1018" i="5"/>
  <c r="P1018" i="5"/>
  <c r="Q1018" i="5"/>
  <c r="R1018" i="5"/>
  <c r="S1018" i="5"/>
  <c r="T1018" i="5"/>
  <c r="U1018" i="5"/>
  <c r="V1018" i="5"/>
  <c r="W1018" i="5"/>
  <c r="X1018" i="5"/>
  <c r="AB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AC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AC1020" i="5" s="1"/>
  <c r="N1020" i="5"/>
  <c r="O1020" i="5"/>
  <c r="P1020" i="5"/>
  <c r="Q1020" i="5"/>
  <c r="R1020" i="5"/>
  <c r="S1020" i="5"/>
  <c r="T1020" i="5"/>
  <c r="U1020" i="5"/>
  <c r="V1020" i="5"/>
  <c r="W1020" i="5"/>
  <c r="X1020" i="5"/>
  <c r="AB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AC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AC1022" i="5" s="1"/>
  <c r="N1022" i="5"/>
  <c r="O1022" i="5"/>
  <c r="P1022" i="5"/>
  <c r="Q1022" i="5"/>
  <c r="R1022" i="5"/>
  <c r="S1022" i="5"/>
  <c r="T1022" i="5"/>
  <c r="U1022" i="5"/>
  <c r="V1022" i="5"/>
  <c r="W1022" i="5"/>
  <c r="X1022" i="5"/>
  <c r="AB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AC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AC1024" i="5" s="1"/>
  <c r="N1024" i="5"/>
  <c r="O1024" i="5"/>
  <c r="P1024" i="5"/>
  <c r="Q1024" i="5"/>
  <c r="R1024" i="5"/>
  <c r="S1024" i="5"/>
  <c r="T1024" i="5"/>
  <c r="U1024" i="5"/>
  <c r="V1024" i="5"/>
  <c r="W1024" i="5"/>
  <c r="X1024" i="5"/>
  <c r="AB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AC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AC1026" i="5" s="1"/>
  <c r="N1026" i="5"/>
  <c r="O1026" i="5"/>
  <c r="P1026" i="5"/>
  <c r="Q1026" i="5"/>
  <c r="R1026" i="5"/>
  <c r="S1026" i="5"/>
  <c r="T1026" i="5"/>
  <c r="U1026" i="5"/>
  <c r="V1026" i="5"/>
  <c r="W1026" i="5"/>
  <c r="X1026" i="5"/>
  <c r="AB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AC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AC1028" i="5" s="1"/>
  <c r="N1028" i="5"/>
  <c r="O1028" i="5"/>
  <c r="P1028" i="5"/>
  <c r="Q1028" i="5"/>
  <c r="R1028" i="5"/>
  <c r="S1028" i="5"/>
  <c r="T1028" i="5"/>
  <c r="U1028" i="5"/>
  <c r="V1028" i="5"/>
  <c r="W1028" i="5"/>
  <c r="X1028" i="5"/>
  <c r="AB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AC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AC1030" i="5" s="1"/>
  <c r="N1030" i="5"/>
  <c r="O1030" i="5"/>
  <c r="P1030" i="5"/>
  <c r="Q1030" i="5"/>
  <c r="R1030" i="5"/>
  <c r="S1030" i="5"/>
  <c r="T1030" i="5"/>
  <c r="U1030" i="5"/>
  <c r="V1030" i="5"/>
  <c r="W1030" i="5"/>
  <c r="X1030" i="5"/>
  <c r="AB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AC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AC1032" i="5" s="1"/>
  <c r="N1032" i="5"/>
  <c r="O1032" i="5"/>
  <c r="P1032" i="5"/>
  <c r="Q1032" i="5"/>
  <c r="R1032" i="5"/>
  <c r="S1032" i="5"/>
  <c r="T1032" i="5"/>
  <c r="U1032" i="5"/>
  <c r="V1032" i="5"/>
  <c r="W1032" i="5"/>
  <c r="X1032" i="5"/>
  <c r="AB1032" i="5"/>
  <c r="B1033" i="5"/>
  <c r="C1033" i="5"/>
  <c r="D1033" i="5"/>
  <c r="E1033" i="5"/>
  <c r="F1033" i="5"/>
  <c r="G1033" i="5"/>
  <c r="H1033" i="5"/>
  <c r="I1033" i="5"/>
  <c r="J1033" i="5"/>
  <c r="K1033" i="5"/>
  <c r="L1033" i="5"/>
  <c r="M1033" i="5"/>
  <c r="N1033" i="5"/>
  <c r="O1033" i="5"/>
  <c r="P1033" i="5"/>
  <c r="Q1033" i="5"/>
  <c r="R1033" i="5"/>
  <c r="S1033" i="5"/>
  <c r="T1033" i="5"/>
  <c r="U1033" i="5"/>
  <c r="V1033" i="5"/>
  <c r="W1033" i="5"/>
  <c r="X1033" i="5"/>
  <c r="AC1033" i="5"/>
  <c r="B1034" i="5"/>
  <c r="C1034" i="5"/>
  <c r="D1034" i="5"/>
  <c r="E1034" i="5"/>
  <c r="F1034" i="5"/>
  <c r="G1034" i="5"/>
  <c r="H1034" i="5"/>
  <c r="I1034" i="5"/>
  <c r="J1034" i="5"/>
  <c r="K1034" i="5"/>
  <c r="L1034" i="5"/>
  <c r="M1034" i="5"/>
  <c r="AC1034" i="5" s="1"/>
  <c r="N1034" i="5"/>
  <c r="O1034" i="5"/>
  <c r="P1034" i="5"/>
  <c r="Q1034" i="5"/>
  <c r="R1034" i="5"/>
  <c r="S1034" i="5"/>
  <c r="T1034" i="5"/>
  <c r="U1034" i="5"/>
  <c r="V1034" i="5"/>
  <c r="W1034" i="5"/>
  <c r="X1034" i="5"/>
  <c r="AB1034" i="5"/>
  <c r="B1035" i="5"/>
  <c r="C1035" i="5"/>
  <c r="D1035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Q1035" i="5"/>
  <c r="R1035" i="5"/>
  <c r="S1035" i="5"/>
  <c r="T1035" i="5"/>
  <c r="U1035" i="5"/>
  <c r="V1035" i="5"/>
  <c r="W1035" i="5"/>
  <c r="X1035" i="5"/>
  <c r="AC1035" i="5"/>
  <c r="B1036" i="5"/>
  <c r="C1036" i="5"/>
  <c r="D1036" i="5"/>
  <c r="E1036" i="5"/>
  <c r="F1036" i="5"/>
  <c r="G1036" i="5"/>
  <c r="H1036" i="5"/>
  <c r="I1036" i="5"/>
  <c r="J1036" i="5"/>
  <c r="K1036" i="5"/>
  <c r="L1036" i="5"/>
  <c r="M1036" i="5"/>
  <c r="AC1036" i="5" s="1"/>
  <c r="N1036" i="5"/>
  <c r="O1036" i="5"/>
  <c r="P1036" i="5"/>
  <c r="Q1036" i="5"/>
  <c r="R1036" i="5"/>
  <c r="S1036" i="5"/>
  <c r="T1036" i="5"/>
  <c r="U1036" i="5"/>
  <c r="V1036" i="5"/>
  <c r="W1036" i="5"/>
  <c r="X1036" i="5"/>
  <c r="AB1036" i="5"/>
  <c r="B1037" i="5"/>
  <c r="C1037" i="5"/>
  <c r="D1037" i="5"/>
  <c r="E1037" i="5"/>
  <c r="F1037" i="5"/>
  <c r="G1037" i="5"/>
  <c r="H1037" i="5"/>
  <c r="I1037" i="5"/>
  <c r="J1037" i="5"/>
  <c r="K1037" i="5"/>
  <c r="L1037" i="5"/>
  <c r="M1037" i="5"/>
  <c r="N1037" i="5"/>
  <c r="O1037" i="5"/>
  <c r="P1037" i="5"/>
  <c r="Q1037" i="5"/>
  <c r="R1037" i="5"/>
  <c r="S1037" i="5"/>
  <c r="T1037" i="5"/>
  <c r="U1037" i="5"/>
  <c r="V1037" i="5"/>
  <c r="W1037" i="5"/>
  <c r="X1037" i="5"/>
  <c r="AC1037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AC1038" i="5" s="1"/>
  <c r="N1038" i="5"/>
  <c r="O1038" i="5"/>
  <c r="P1038" i="5"/>
  <c r="Q1038" i="5"/>
  <c r="R1038" i="5"/>
  <c r="S1038" i="5"/>
  <c r="T1038" i="5"/>
  <c r="U1038" i="5"/>
  <c r="V1038" i="5"/>
  <c r="W1038" i="5"/>
  <c r="X1038" i="5"/>
  <c r="AB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AC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AC1040" i="5" s="1"/>
  <c r="N1040" i="5"/>
  <c r="O1040" i="5"/>
  <c r="P1040" i="5"/>
  <c r="Q1040" i="5"/>
  <c r="R1040" i="5"/>
  <c r="S1040" i="5"/>
  <c r="T1040" i="5"/>
  <c r="U1040" i="5"/>
  <c r="V1040" i="5"/>
  <c r="W1040" i="5"/>
  <c r="X1040" i="5"/>
  <c r="AB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AC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AC1042" i="5" s="1"/>
  <c r="N1042" i="5"/>
  <c r="O1042" i="5"/>
  <c r="P1042" i="5"/>
  <c r="Q1042" i="5"/>
  <c r="R1042" i="5"/>
  <c r="S1042" i="5"/>
  <c r="T1042" i="5"/>
  <c r="U1042" i="5"/>
  <c r="V1042" i="5"/>
  <c r="W1042" i="5"/>
  <c r="X1042" i="5"/>
  <c r="AB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AC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AC1044" i="5" s="1"/>
  <c r="N1044" i="5"/>
  <c r="O1044" i="5"/>
  <c r="P1044" i="5"/>
  <c r="Q1044" i="5"/>
  <c r="R1044" i="5"/>
  <c r="S1044" i="5"/>
  <c r="T1044" i="5"/>
  <c r="U1044" i="5"/>
  <c r="V1044" i="5"/>
  <c r="W1044" i="5"/>
  <c r="X1044" i="5"/>
  <c r="AB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AC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AC1046" i="5" s="1"/>
  <c r="N1046" i="5"/>
  <c r="O1046" i="5"/>
  <c r="P1046" i="5"/>
  <c r="Q1046" i="5"/>
  <c r="R1046" i="5"/>
  <c r="S1046" i="5"/>
  <c r="T1046" i="5"/>
  <c r="U1046" i="5"/>
  <c r="V1046" i="5"/>
  <c r="W1046" i="5"/>
  <c r="X1046" i="5"/>
  <c r="AB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AC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AC1048" i="5" s="1"/>
  <c r="N1048" i="5"/>
  <c r="O1048" i="5"/>
  <c r="P1048" i="5"/>
  <c r="Q1048" i="5"/>
  <c r="R1048" i="5"/>
  <c r="S1048" i="5"/>
  <c r="T1048" i="5"/>
  <c r="U1048" i="5"/>
  <c r="V1048" i="5"/>
  <c r="W1048" i="5"/>
  <c r="X1048" i="5"/>
  <c r="AB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AC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AC1050" i="5" s="1"/>
  <c r="N1050" i="5"/>
  <c r="O1050" i="5"/>
  <c r="P1050" i="5"/>
  <c r="Q1050" i="5"/>
  <c r="R1050" i="5"/>
  <c r="S1050" i="5"/>
  <c r="T1050" i="5"/>
  <c r="U1050" i="5"/>
  <c r="V1050" i="5"/>
  <c r="W1050" i="5"/>
  <c r="X1050" i="5"/>
  <c r="AB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AC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AC1052" i="5" s="1"/>
  <c r="N1052" i="5"/>
  <c r="O1052" i="5"/>
  <c r="P1052" i="5"/>
  <c r="Q1052" i="5"/>
  <c r="R1052" i="5"/>
  <c r="S1052" i="5"/>
  <c r="T1052" i="5"/>
  <c r="U1052" i="5"/>
  <c r="V1052" i="5"/>
  <c r="W1052" i="5"/>
  <c r="X1052" i="5"/>
  <c r="AB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AC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AC1054" i="5" s="1"/>
  <c r="N1054" i="5"/>
  <c r="O1054" i="5"/>
  <c r="P1054" i="5"/>
  <c r="Q1054" i="5"/>
  <c r="R1054" i="5"/>
  <c r="S1054" i="5"/>
  <c r="T1054" i="5"/>
  <c r="U1054" i="5"/>
  <c r="V1054" i="5"/>
  <c r="W1054" i="5"/>
  <c r="X1054" i="5"/>
  <c r="AB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AC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AC1056" i="5" s="1"/>
  <c r="N1056" i="5"/>
  <c r="O1056" i="5"/>
  <c r="P1056" i="5"/>
  <c r="Q1056" i="5"/>
  <c r="R1056" i="5"/>
  <c r="S1056" i="5"/>
  <c r="T1056" i="5"/>
  <c r="U1056" i="5"/>
  <c r="V1056" i="5"/>
  <c r="W1056" i="5"/>
  <c r="X1056" i="5"/>
  <c r="AB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AC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AC1058" i="5" s="1"/>
  <c r="N1058" i="5"/>
  <c r="O1058" i="5"/>
  <c r="P1058" i="5"/>
  <c r="Q1058" i="5"/>
  <c r="R1058" i="5"/>
  <c r="S1058" i="5"/>
  <c r="T1058" i="5"/>
  <c r="U1058" i="5"/>
  <c r="V1058" i="5"/>
  <c r="W1058" i="5"/>
  <c r="X1058" i="5"/>
  <c r="AB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AC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AC1060" i="5" s="1"/>
  <c r="N1060" i="5"/>
  <c r="O1060" i="5"/>
  <c r="P1060" i="5"/>
  <c r="Q1060" i="5"/>
  <c r="R1060" i="5"/>
  <c r="S1060" i="5"/>
  <c r="T1060" i="5"/>
  <c r="U1060" i="5"/>
  <c r="V1060" i="5"/>
  <c r="W1060" i="5"/>
  <c r="X1060" i="5"/>
  <c r="AB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AC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AC1062" i="5" s="1"/>
  <c r="N1062" i="5"/>
  <c r="O1062" i="5"/>
  <c r="P1062" i="5"/>
  <c r="Q1062" i="5"/>
  <c r="R1062" i="5"/>
  <c r="S1062" i="5"/>
  <c r="T1062" i="5"/>
  <c r="U1062" i="5"/>
  <c r="V1062" i="5"/>
  <c r="W1062" i="5"/>
  <c r="X1062" i="5"/>
  <c r="AB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AC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AC1064" i="5" s="1"/>
  <c r="N1064" i="5"/>
  <c r="O1064" i="5"/>
  <c r="P1064" i="5"/>
  <c r="Q1064" i="5"/>
  <c r="R1064" i="5"/>
  <c r="S1064" i="5"/>
  <c r="T1064" i="5"/>
  <c r="U1064" i="5"/>
  <c r="V1064" i="5"/>
  <c r="W1064" i="5"/>
  <c r="X1064" i="5"/>
  <c r="AB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AC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AC1066" i="5" s="1"/>
  <c r="N1066" i="5"/>
  <c r="O1066" i="5"/>
  <c r="P1066" i="5"/>
  <c r="Q1066" i="5"/>
  <c r="R1066" i="5"/>
  <c r="S1066" i="5"/>
  <c r="T1066" i="5"/>
  <c r="U1066" i="5"/>
  <c r="V1066" i="5"/>
  <c r="W1066" i="5"/>
  <c r="X1066" i="5"/>
  <c r="AB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AC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AC1068" i="5" s="1"/>
  <c r="N1068" i="5"/>
  <c r="O1068" i="5"/>
  <c r="P1068" i="5"/>
  <c r="Q1068" i="5"/>
  <c r="R1068" i="5"/>
  <c r="S1068" i="5"/>
  <c r="T1068" i="5"/>
  <c r="U1068" i="5"/>
  <c r="V1068" i="5"/>
  <c r="W1068" i="5"/>
  <c r="X1068" i="5"/>
  <c r="AB1068" i="5"/>
  <c r="B1070" i="5"/>
  <c r="C1070" i="5"/>
  <c r="D1070" i="5"/>
  <c r="E1070" i="5"/>
  <c r="F1070" i="5"/>
  <c r="G1070" i="5"/>
  <c r="H1070" i="5"/>
  <c r="I1070" i="5"/>
  <c r="J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B1071" i="5"/>
  <c r="C1071" i="5"/>
  <c r="D1071" i="5"/>
  <c r="E1071" i="5"/>
  <c r="F1071" i="5"/>
  <c r="G1071" i="5"/>
  <c r="H1071" i="5"/>
  <c r="I1071" i="5"/>
  <c r="J1071" i="5"/>
  <c r="L1071" i="5"/>
  <c r="M1071" i="5"/>
  <c r="N1071" i="5"/>
  <c r="O1071" i="5"/>
  <c r="P1071" i="5"/>
  <c r="Q1071" i="5"/>
  <c r="R1071" i="5"/>
  <c r="S1071" i="5"/>
  <c r="T1071" i="5"/>
  <c r="U1071" i="5"/>
  <c r="V1071" i="5"/>
  <c r="W1071" i="5"/>
  <c r="X1071" i="5"/>
  <c r="Y1071" i="5"/>
  <c r="Z1071" i="5"/>
  <c r="AA1071" i="5"/>
  <c r="B1072" i="5"/>
  <c r="C1072" i="5"/>
  <c r="D1072" i="5"/>
  <c r="E1072" i="5"/>
  <c r="F1072" i="5"/>
  <c r="G1072" i="5"/>
  <c r="H1072" i="5"/>
  <c r="I1072" i="5"/>
  <c r="J1072" i="5"/>
  <c r="L1072" i="5"/>
  <c r="M1072" i="5"/>
  <c r="N1072" i="5"/>
  <c r="O1072" i="5"/>
  <c r="P1072" i="5"/>
  <c r="Q1072" i="5"/>
  <c r="R1072" i="5"/>
  <c r="S1072" i="5"/>
  <c r="T1072" i="5"/>
  <c r="U1072" i="5"/>
  <c r="V1072" i="5"/>
  <c r="W1072" i="5"/>
  <c r="X1072" i="5"/>
  <c r="Z1072" i="5"/>
  <c r="AA1072" i="5"/>
  <c r="B1073" i="5"/>
  <c r="C1073" i="5"/>
  <c r="D1073" i="5"/>
  <c r="E1073" i="5"/>
  <c r="F1073" i="5"/>
  <c r="G1073" i="5"/>
  <c r="H1073" i="5"/>
  <c r="I1073" i="5"/>
  <c r="J1073" i="5"/>
  <c r="L1073" i="5"/>
  <c r="M1073" i="5"/>
  <c r="N1073" i="5"/>
  <c r="O1073" i="5"/>
  <c r="P1073" i="5"/>
  <c r="Q1073" i="5"/>
  <c r="R1073" i="5"/>
  <c r="S1073" i="5"/>
  <c r="T1073" i="5"/>
  <c r="U1073" i="5"/>
  <c r="V1073" i="5"/>
  <c r="W1073" i="5"/>
  <c r="X1073" i="5"/>
  <c r="AC1073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AC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AC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AC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AC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AC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AC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AC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AC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AC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AC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AC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AC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AC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AC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AC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AC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AC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AC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AC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AC1094" i="5"/>
  <c r="A1095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AC1095" i="5"/>
  <c r="A1096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AC1096" i="5"/>
  <c r="A1097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AC1097" i="5"/>
  <c r="A1098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AC1098" i="5"/>
  <c r="A1099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AC1099" i="5"/>
  <c r="A1100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AC1100" i="5"/>
  <c r="A1101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AC1101" i="5"/>
  <c r="A1102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AC1102" i="5"/>
  <c r="A1103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AC1103" i="5"/>
  <c r="A1104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AC1104" i="5"/>
  <c r="A1105" i="5"/>
  <c r="B1105" i="5"/>
  <c r="C1105" i="5"/>
  <c r="D1105" i="5"/>
  <c r="E1105" i="5"/>
  <c r="F1105" i="5"/>
  <c r="G1105" i="5"/>
  <c r="H1105" i="5"/>
  <c r="I1105" i="5"/>
  <c r="J1105" i="5"/>
  <c r="K1105" i="5"/>
  <c r="L1105" i="5"/>
  <c r="M1105" i="5"/>
  <c r="N1105" i="5"/>
  <c r="O1105" i="5"/>
  <c r="P1105" i="5"/>
  <c r="Q1105" i="5"/>
  <c r="R1105" i="5"/>
  <c r="S1105" i="5"/>
  <c r="T1105" i="5"/>
  <c r="U1105" i="5"/>
  <c r="V1105" i="5"/>
  <c r="W1105" i="5"/>
  <c r="X1105" i="5"/>
  <c r="AC1105" i="5"/>
  <c r="A1106" i="5"/>
  <c r="B1106" i="5"/>
  <c r="C1106" i="5"/>
  <c r="D1106" i="5"/>
  <c r="E1106" i="5"/>
  <c r="F1106" i="5"/>
  <c r="G1106" i="5"/>
  <c r="H1106" i="5"/>
  <c r="I1106" i="5"/>
  <c r="J1106" i="5"/>
  <c r="K1106" i="5"/>
  <c r="L1106" i="5"/>
  <c r="M1106" i="5"/>
  <c r="N1106" i="5"/>
  <c r="O1106" i="5"/>
  <c r="P1106" i="5"/>
  <c r="Q1106" i="5"/>
  <c r="R1106" i="5"/>
  <c r="S1106" i="5"/>
  <c r="T1106" i="5"/>
  <c r="U1106" i="5"/>
  <c r="V1106" i="5"/>
  <c r="W1106" i="5"/>
  <c r="X1106" i="5"/>
  <c r="AC1106" i="5"/>
  <c r="A1107" i="5"/>
  <c r="B1107" i="5"/>
  <c r="C1107" i="5"/>
  <c r="D1107" i="5"/>
  <c r="E1107" i="5"/>
  <c r="F1107" i="5"/>
  <c r="G1107" i="5"/>
  <c r="H1107" i="5"/>
  <c r="I1107" i="5"/>
  <c r="J1107" i="5"/>
  <c r="K1107" i="5"/>
  <c r="L1107" i="5"/>
  <c r="M1107" i="5"/>
  <c r="N1107" i="5"/>
  <c r="O1107" i="5"/>
  <c r="P1107" i="5"/>
  <c r="Q1107" i="5"/>
  <c r="R1107" i="5"/>
  <c r="S1107" i="5"/>
  <c r="T1107" i="5"/>
  <c r="U1107" i="5"/>
  <c r="V1107" i="5"/>
  <c r="W1107" i="5"/>
  <c r="X1107" i="5"/>
  <c r="AC1107" i="5"/>
  <c r="A1108" i="5"/>
  <c r="B1108" i="5"/>
  <c r="C1108" i="5"/>
  <c r="D1108" i="5"/>
  <c r="E1108" i="5"/>
  <c r="F1108" i="5"/>
  <c r="G1108" i="5"/>
  <c r="H1108" i="5"/>
  <c r="I1108" i="5"/>
  <c r="J1108" i="5"/>
  <c r="K1108" i="5"/>
  <c r="L1108" i="5"/>
  <c r="M1108" i="5"/>
  <c r="N1108" i="5"/>
  <c r="O1108" i="5"/>
  <c r="P1108" i="5"/>
  <c r="Q1108" i="5"/>
  <c r="R1108" i="5"/>
  <c r="S1108" i="5"/>
  <c r="T1108" i="5"/>
  <c r="U1108" i="5"/>
  <c r="V1108" i="5"/>
  <c r="W1108" i="5"/>
  <c r="X1108" i="5"/>
  <c r="AC1108" i="5"/>
  <c r="A1109" i="5"/>
  <c r="B1109" i="5"/>
  <c r="C1109" i="5"/>
  <c r="D1109" i="5"/>
  <c r="E1109" i="5"/>
  <c r="F1109" i="5"/>
  <c r="G1109" i="5"/>
  <c r="H1109" i="5"/>
  <c r="I1109" i="5"/>
  <c r="J1109" i="5"/>
  <c r="K1109" i="5"/>
  <c r="L1109" i="5"/>
  <c r="M1109" i="5"/>
  <c r="N1109" i="5"/>
  <c r="O1109" i="5"/>
  <c r="P1109" i="5"/>
  <c r="Q1109" i="5"/>
  <c r="R1109" i="5"/>
  <c r="S1109" i="5"/>
  <c r="T1109" i="5"/>
  <c r="U1109" i="5"/>
  <c r="V1109" i="5"/>
  <c r="W1109" i="5"/>
  <c r="X1109" i="5"/>
  <c r="AC1109" i="5"/>
  <c r="A1110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AC1110" i="5"/>
  <c r="A1111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AC1111" i="5"/>
  <c r="A1112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AC1112" i="5"/>
  <c r="A1113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AC1113" i="5"/>
  <c r="A1114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AC1114" i="5"/>
  <c r="A1115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AC1115" i="5"/>
  <c r="A1116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AC1116" i="5"/>
  <c r="A1117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AC1117" i="5"/>
  <c r="A1118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A1119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A1120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A1121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A1122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A1123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A1124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A1125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A1126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A1127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A1128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A1129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A1130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A1131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A1132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A1133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A1134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A1135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A1136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A1137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A1138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A1139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A1140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A1141" i="5"/>
  <c r="B1141" i="5"/>
  <c r="C1141" i="5"/>
  <c r="D1141" i="5"/>
  <c r="E1141" i="5"/>
  <c r="F1141" i="5"/>
  <c r="G1141" i="5"/>
  <c r="H1141" i="5"/>
  <c r="I1141" i="5"/>
  <c r="J1141" i="5"/>
  <c r="K1141" i="5"/>
  <c r="L1141" i="5"/>
  <c r="M1141" i="5"/>
  <c r="N1141" i="5"/>
  <c r="O1141" i="5"/>
  <c r="P1141" i="5"/>
  <c r="Q1141" i="5"/>
  <c r="R1141" i="5"/>
  <c r="S1141" i="5"/>
  <c r="T1141" i="5"/>
  <c r="U1141" i="5"/>
  <c r="V1141" i="5"/>
  <c r="W1141" i="5"/>
  <c r="X1141" i="5"/>
  <c r="A1142" i="5"/>
  <c r="B1142" i="5"/>
  <c r="C1142" i="5"/>
  <c r="D1142" i="5"/>
  <c r="E1142" i="5"/>
  <c r="F1142" i="5"/>
  <c r="G1142" i="5"/>
  <c r="H1142" i="5"/>
  <c r="I1142" i="5"/>
  <c r="J1142" i="5"/>
  <c r="K1142" i="5"/>
  <c r="L1142" i="5"/>
  <c r="M1142" i="5"/>
  <c r="N1142" i="5"/>
  <c r="O1142" i="5"/>
  <c r="P1142" i="5"/>
  <c r="Q1142" i="5"/>
  <c r="R1142" i="5"/>
  <c r="S1142" i="5"/>
  <c r="T1142" i="5"/>
  <c r="U1142" i="5"/>
  <c r="V1142" i="5"/>
  <c r="W1142" i="5"/>
  <c r="X1142" i="5"/>
  <c r="A1143" i="5"/>
  <c r="B1143" i="5"/>
  <c r="C1143" i="5"/>
  <c r="D1143" i="5"/>
  <c r="E1143" i="5"/>
  <c r="F1143" i="5"/>
  <c r="G1143" i="5"/>
  <c r="H1143" i="5"/>
  <c r="I1143" i="5"/>
  <c r="J1143" i="5"/>
  <c r="K1143" i="5"/>
  <c r="L1143" i="5"/>
  <c r="M1143" i="5"/>
  <c r="N1143" i="5"/>
  <c r="O1143" i="5"/>
  <c r="P1143" i="5"/>
  <c r="Q1143" i="5"/>
  <c r="R1143" i="5"/>
  <c r="S1143" i="5"/>
  <c r="T1143" i="5"/>
  <c r="U1143" i="5"/>
  <c r="V1143" i="5"/>
  <c r="W1143" i="5"/>
  <c r="X1143" i="5"/>
  <c r="A1144" i="5"/>
  <c r="B1144" i="5"/>
  <c r="C1144" i="5"/>
  <c r="D1144" i="5"/>
  <c r="E1144" i="5"/>
  <c r="F1144" i="5"/>
  <c r="G1144" i="5"/>
  <c r="H1144" i="5"/>
  <c r="I1144" i="5"/>
  <c r="J1144" i="5"/>
  <c r="K1144" i="5"/>
  <c r="L1144" i="5"/>
  <c r="M1144" i="5"/>
  <c r="N1144" i="5"/>
  <c r="O1144" i="5"/>
  <c r="P1144" i="5"/>
  <c r="Q1144" i="5"/>
  <c r="R1144" i="5"/>
  <c r="S1144" i="5"/>
  <c r="T1144" i="5"/>
  <c r="U1144" i="5"/>
  <c r="V1144" i="5"/>
  <c r="W1144" i="5"/>
  <c r="X1144" i="5"/>
  <c r="A1145" i="5"/>
  <c r="B1145" i="5"/>
  <c r="C1145" i="5"/>
  <c r="D1145" i="5"/>
  <c r="E1145" i="5"/>
  <c r="F1145" i="5"/>
  <c r="G1145" i="5"/>
  <c r="H1145" i="5"/>
  <c r="I1145" i="5"/>
  <c r="J1145" i="5"/>
  <c r="K1145" i="5"/>
  <c r="L1145" i="5"/>
  <c r="M1145" i="5"/>
  <c r="N1145" i="5"/>
  <c r="O1145" i="5"/>
  <c r="P1145" i="5"/>
  <c r="Q1145" i="5"/>
  <c r="R1145" i="5"/>
  <c r="S1145" i="5"/>
  <c r="T1145" i="5"/>
  <c r="U1145" i="5"/>
  <c r="V1145" i="5"/>
  <c r="W1145" i="5"/>
  <c r="X1145" i="5"/>
  <c r="A1146" i="5"/>
  <c r="B1146" i="5"/>
  <c r="C1146" i="5"/>
  <c r="D1146" i="5"/>
  <c r="E1146" i="5"/>
  <c r="F1146" i="5"/>
  <c r="G1146" i="5"/>
  <c r="H1146" i="5"/>
  <c r="I1146" i="5"/>
  <c r="J1146" i="5"/>
  <c r="K1146" i="5"/>
  <c r="L1146" i="5"/>
  <c r="M1146" i="5"/>
  <c r="N1146" i="5"/>
  <c r="O1146" i="5"/>
  <c r="P1146" i="5"/>
  <c r="Q1146" i="5"/>
  <c r="R1146" i="5"/>
  <c r="S1146" i="5"/>
  <c r="T1146" i="5"/>
  <c r="U1146" i="5"/>
  <c r="V1146" i="5"/>
  <c r="W1146" i="5"/>
  <c r="X1146" i="5"/>
  <c r="A1147" i="5"/>
  <c r="B1147" i="5"/>
  <c r="C1147" i="5"/>
  <c r="D1147" i="5"/>
  <c r="E1147" i="5"/>
  <c r="F1147" i="5"/>
  <c r="G1147" i="5"/>
  <c r="H1147" i="5"/>
  <c r="I1147" i="5"/>
  <c r="J1147" i="5"/>
  <c r="K1147" i="5"/>
  <c r="L1147" i="5"/>
  <c r="M1147" i="5"/>
  <c r="N1147" i="5"/>
  <c r="O1147" i="5"/>
  <c r="P1147" i="5"/>
  <c r="Q1147" i="5"/>
  <c r="R1147" i="5"/>
  <c r="S1147" i="5"/>
  <c r="T1147" i="5"/>
  <c r="U1147" i="5"/>
  <c r="V1147" i="5"/>
  <c r="W1147" i="5"/>
  <c r="X1147" i="5"/>
  <c r="A1148" i="5"/>
  <c r="B1148" i="5"/>
  <c r="C1148" i="5"/>
  <c r="D1148" i="5"/>
  <c r="E1148" i="5"/>
  <c r="F1148" i="5"/>
  <c r="G1148" i="5"/>
  <c r="H1148" i="5"/>
  <c r="I1148" i="5"/>
  <c r="J1148" i="5"/>
  <c r="K1148" i="5"/>
  <c r="L1148" i="5"/>
  <c r="M1148" i="5"/>
  <c r="N1148" i="5"/>
  <c r="O1148" i="5"/>
  <c r="P1148" i="5"/>
  <c r="Q1148" i="5"/>
  <c r="R1148" i="5"/>
  <c r="S1148" i="5"/>
  <c r="T1148" i="5"/>
  <c r="U1148" i="5"/>
  <c r="V1148" i="5"/>
  <c r="W1148" i="5"/>
  <c r="X1148" i="5"/>
  <c r="A1149" i="5"/>
  <c r="B1149" i="5"/>
  <c r="C1149" i="5"/>
  <c r="D1149" i="5"/>
  <c r="E1149" i="5"/>
  <c r="F1149" i="5"/>
  <c r="G1149" i="5"/>
  <c r="H1149" i="5"/>
  <c r="I1149" i="5"/>
  <c r="J1149" i="5"/>
  <c r="K1149" i="5"/>
  <c r="L1149" i="5"/>
  <c r="M1149" i="5"/>
  <c r="N1149" i="5"/>
  <c r="O1149" i="5"/>
  <c r="P1149" i="5"/>
  <c r="Q1149" i="5"/>
  <c r="R1149" i="5"/>
  <c r="S1149" i="5"/>
  <c r="T1149" i="5"/>
  <c r="U1149" i="5"/>
  <c r="V1149" i="5"/>
  <c r="W1149" i="5"/>
  <c r="X1149" i="5"/>
  <c r="A1150" i="5"/>
  <c r="B1150" i="5"/>
  <c r="C1150" i="5"/>
  <c r="D1150" i="5"/>
  <c r="E1150" i="5"/>
  <c r="F1150" i="5"/>
  <c r="G1150" i="5"/>
  <c r="H1150" i="5"/>
  <c r="I1150" i="5"/>
  <c r="J1150" i="5"/>
  <c r="K1150" i="5"/>
  <c r="L1150" i="5"/>
  <c r="M1150" i="5"/>
  <c r="N1150" i="5"/>
  <c r="O1150" i="5"/>
  <c r="P1150" i="5"/>
  <c r="Q1150" i="5"/>
  <c r="R1150" i="5"/>
  <c r="S1150" i="5"/>
  <c r="T1150" i="5"/>
  <c r="U1150" i="5"/>
  <c r="V1150" i="5"/>
  <c r="W1150" i="5"/>
  <c r="X1150" i="5"/>
  <c r="A1151" i="5"/>
  <c r="B1151" i="5"/>
  <c r="C1151" i="5"/>
  <c r="D1151" i="5"/>
  <c r="E1151" i="5"/>
  <c r="F1151" i="5"/>
  <c r="G1151" i="5"/>
  <c r="H1151" i="5"/>
  <c r="I1151" i="5"/>
  <c r="J1151" i="5"/>
  <c r="K1151" i="5"/>
  <c r="L1151" i="5"/>
  <c r="M1151" i="5"/>
  <c r="N1151" i="5"/>
  <c r="O1151" i="5"/>
  <c r="P1151" i="5"/>
  <c r="Q1151" i="5"/>
  <c r="R1151" i="5"/>
  <c r="S1151" i="5"/>
  <c r="T1151" i="5"/>
  <c r="U1151" i="5"/>
  <c r="V1151" i="5"/>
  <c r="W1151" i="5"/>
  <c r="X1151" i="5"/>
  <c r="A1152" i="5"/>
  <c r="B1152" i="5"/>
  <c r="C1152" i="5"/>
  <c r="D1152" i="5"/>
  <c r="E1152" i="5"/>
  <c r="F1152" i="5"/>
  <c r="G1152" i="5"/>
  <c r="H1152" i="5"/>
  <c r="I1152" i="5"/>
  <c r="J1152" i="5"/>
  <c r="K1152" i="5"/>
  <c r="L1152" i="5"/>
  <c r="M1152" i="5"/>
  <c r="N1152" i="5"/>
  <c r="O1152" i="5"/>
  <c r="P1152" i="5"/>
  <c r="Q1152" i="5"/>
  <c r="R1152" i="5"/>
  <c r="S1152" i="5"/>
  <c r="T1152" i="5"/>
  <c r="U1152" i="5"/>
  <c r="V1152" i="5"/>
  <c r="W1152" i="5"/>
  <c r="X1152" i="5"/>
  <c r="A1153" i="5"/>
  <c r="B1153" i="5"/>
  <c r="C1153" i="5"/>
  <c r="D1153" i="5"/>
  <c r="E1153" i="5"/>
  <c r="F1153" i="5"/>
  <c r="G1153" i="5"/>
  <c r="H1153" i="5"/>
  <c r="I1153" i="5"/>
  <c r="J1153" i="5"/>
  <c r="K1153" i="5"/>
  <c r="L1153" i="5"/>
  <c r="M1153" i="5"/>
  <c r="N1153" i="5"/>
  <c r="O1153" i="5"/>
  <c r="P1153" i="5"/>
  <c r="Q1153" i="5"/>
  <c r="R1153" i="5"/>
  <c r="S1153" i="5"/>
  <c r="T1153" i="5"/>
  <c r="U1153" i="5"/>
  <c r="V1153" i="5"/>
  <c r="W1153" i="5"/>
  <c r="X1153" i="5"/>
  <c r="A1154" i="5"/>
  <c r="B1154" i="5"/>
  <c r="C1154" i="5"/>
  <c r="D1154" i="5"/>
  <c r="E1154" i="5"/>
  <c r="F1154" i="5"/>
  <c r="G1154" i="5"/>
  <c r="H1154" i="5"/>
  <c r="I1154" i="5"/>
  <c r="J1154" i="5"/>
  <c r="K1154" i="5"/>
  <c r="L1154" i="5"/>
  <c r="M1154" i="5"/>
  <c r="N1154" i="5"/>
  <c r="O1154" i="5"/>
  <c r="P1154" i="5"/>
  <c r="Q1154" i="5"/>
  <c r="R1154" i="5"/>
  <c r="S1154" i="5"/>
  <c r="T1154" i="5"/>
  <c r="U1154" i="5"/>
  <c r="V1154" i="5"/>
  <c r="W1154" i="5"/>
  <c r="X1154" i="5"/>
  <c r="A1155" i="5"/>
  <c r="B1155" i="5"/>
  <c r="C1155" i="5"/>
  <c r="D1155" i="5"/>
  <c r="E1155" i="5"/>
  <c r="F1155" i="5"/>
  <c r="G1155" i="5"/>
  <c r="H1155" i="5"/>
  <c r="I1155" i="5"/>
  <c r="J1155" i="5"/>
  <c r="K1155" i="5"/>
  <c r="L1155" i="5"/>
  <c r="M1155" i="5"/>
  <c r="N1155" i="5"/>
  <c r="O1155" i="5"/>
  <c r="P1155" i="5"/>
  <c r="Q1155" i="5"/>
  <c r="R1155" i="5"/>
  <c r="S1155" i="5"/>
  <c r="T1155" i="5"/>
  <c r="U1155" i="5"/>
  <c r="V1155" i="5"/>
  <c r="W1155" i="5"/>
  <c r="X1155" i="5"/>
  <c r="A1156" i="5"/>
  <c r="B1156" i="5"/>
  <c r="C1156" i="5"/>
  <c r="D1156" i="5"/>
  <c r="E1156" i="5"/>
  <c r="F1156" i="5"/>
  <c r="G1156" i="5"/>
  <c r="H1156" i="5"/>
  <c r="I1156" i="5"/>
  <c r="J1156" i="5"/>
  <c r="K1156" i="5"/>
  <c r="L1156" i="5"/>
  <c r="M1156" i="5"/>
  <c r="N1156" i="5"/>
  <c r="O1156" i="5"/>
  <c r="P1156" i="5"/>
  <c r="Q1156" i="5"/>
  <c r="R1156" i="5"/>
  <c r="S1156" i="5"/>
  <c r="T1156" i="5"/>
  <c r="U1156" i="5"/>
  <c r="V1156" i="5"/>
  <c r="W1156" i="5"/>
  <c r="X1156" i="5"/>
  <c r="A1157" i="5"/>
  <c r="B1157" i="5"/>
  <c r="C1157" i="5"/>
  <c r="D1157" i="5"/>
  <c r="E1157" i="5"/>
  <c r="F1157" i="5"/>
  <c r="G1157" i="5"/>
  <c r="H1157" i="5"/>
  <c r="I1157" i="5"/>
  <c r="J1157" i="5"/>
  <c r="K1157" i="5"/>
  <c r="L1157" i="5"/>
  <c r="M1157" i="5"/>
  <c r="N1157" i="5"/>
  <c r="O1157" i="5"/>
  <c r="P1157" i="5"/>
  <c r="Q1157" i="5"/>
  <c r="R1157" i="5"/>
  <c r="S1157" i="5"/>
  <c r="T1157" i="5"/>
  <c r="U1157" i="5"/>
  <c r="V1157" i="5"/>
  <c r="W1157" i="5"/>
  <c r="X1157" i="5"/>
  <c r="E9" i="4"/>
  <c r="J12" i="4"/>
  <c r="J13" i="4"/>
  <c r="J14" i="4"/>
  <c r="J15" i="4"/>
  <c r="J16" i="4"/>
  <c r="J17" i="4"/>
  <c r="B18" i="4"/>
  <c r="C18" i="4"/>
  <c r="D18" i="4"/>
  <c r="E18" i="4"/>
  <c r="F18" i="4"/>
  <c r="G18" i="4"/>
  <c r="H18" i="4"/>
  <c r="I18" i="4"/>
  <c r="J18" i="4"/>
  <c r="B19" i="4"/>
  <c r="C19" i="4"/>
  <c r="D19" i="4"/>
  <c r="E19" i="4"/>
  <c r="F19" i="4"/>
  <c r="G19" i="4"/>
  <c r="H19" i="4"/>
  <c r="I19" i="4"/>
  <c r="J19" i="4"/>
  <c r="B20" i="4"/>
  <c r="C20" i="4"/>
  <c r="D20" i="4"/>
  <c r="E20" i="4"/>
  <c r="F20" i="4"/>
  <c r="G20" i="4"/>
  <c r="H20" i="4"/>
  <c r="I20" i="4"/>
  <c r="J20" i="4"/>
  <c r="B21" i="4"/>
  <c r="C21" i="4"/>
  <c r="D21" i="4"/>
  <c r="E21" i="4"/>
  <c r="F21" i="4"/>
  <c r="G21" i="4"/>
  <c r="H21" i="4"/>
  <c r="I21" i="4"/>
  <c r="J21" i="4"/>
  <c r="B22" i="4"/>
  <c r="C22" i="4"/>
  <c r="D22" i="4"/>
  <c r="E22" i="4"/>
  <c r="F22" i="4"/>
  <c r="G22" i="4"/>
  <c r="H22" i="4"/>
  <c r="I22" i="4"/>
  <c r="J22" i="4"/>
  <c r="B23" i="4"/>
  <c r="C23" i="4"/>
  <c r="D23" i="4"/>
  <c r="E23" i="4"/>
  <c r="F23" i="4"/>
  <c r="G23" i="4"/>
  <c r="H23" i="4"/>
  <c r="I23" i="4"/>
  <c r="J23" i="4"/>
  <c r="B24" i="4"/>
  <c r="C24" i="4"/>
  <c r="D24" i="4"/>
  <c r="E24" i="4"/>
  <c r="F24" i="4"/>
  <c r="G24" i="4"/>
  <c r="H24" i="4"/>
  <c r="I24" i="4"/>
  <c r="J24" i="4"/>
  <c r="B25" i="4"/>
  <c r="C25" i="4"/>
  <c r="D25" i="4"/>
  <c r="E25" i="4"/>
  <c r="F25" i="4"/>
  <c r="G25" i="4"/>
  <c r="H25" i="4"/>
  <c r="I25" i="4"/>
  <c r="J25" i="4"/>
  <c r="B26" i="4"/>
  <c r="C26" i="4"/>
  <c r="D26" i="4"/>
  <c r="E26" i="4"/>
  <c r="F26" i="4"/>
  <c r="G26" i="4"/>
  <c r="H26" i="4"/>
  <c r="I26" i="4"/>
  <c r="J26" i="4"/>
  <c r="B27" i="4"/>
  <c r="C27" i="4"/>
  <c r="D27" i="4"/>
  <c r="E27" i="4"/>
  <c r="F27" i="4"/>
  <c r="G27" i="4"/>
  <c r="H27" i="4"/>
  <c r="I27" i="4"/>
  <c r="J27" i="4"/>
  <c r="B28" i="4"/>
  <c r="C28" i="4"/>
  <c r="D28" i="4"/>
  <c r="E28" i="4"/>
  <c r="F28" i="4"/>
  <c r="G28" i="4"/>
  <c r="H28" i="4"/>
  <c r="I28" i="4"/>
  <c r="J28" i="4"/>
  <c r="B29" i="4"/>
  <c r="C29" i="4"/>
  <c r="D29" i="4"/>
  <c r="E29" i="4"/>
  <c r="F29" i="4"/>
  <c r="G29" i="4"/>
  <c r="H29" i="4"/>
  <c r="I29" i="4"/>
  <c r="J29" i="4"/>
  <c r="B30" i="4"/>
  <c r="C30" i="4"/>
  <c r="D30" i="4"/>
  <c r="E30" i="4"/>
  <c r="F30" i="4"/>
  <c r="G30" i="4"/>
  <c r="H30" i="4"/>
  <c r="I30" i="4"/>
  <c r="J30" i="4"/>
  <c r="B31" i="4"/>
  <c r="C31" i="4"/>
  <c r="D31" i="4"/>
  <c r="E31" i="4"/>
  <c r="F31" i="4"/>
  <c r="G31" i="4"/>
  <c r="H31" i="4"/>
  <c r="I31" i="4"/>
  <c r="J31" i="4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B1003" i="4"/>
  <c r="C1003" i="4"/>
  <c r="D1003" i="4"/>
  <c r="E1003" i="4"/>
  <c r="F1003" i="4"/>
  <c r="G1003" i="4"/>
  <c r="H1003" i="4"/>
  <c r="I1003" i="4"/>
  <c r="J1003" i="4"/>
  <c r="B1004" i="4"/>
  <c r="C1004" i="4"/>
  <c r="D1004" i="4"/>
  <c r="E1004" i="4"/>
  <c r="F1004" i="4"/>
  <c r="G1004" i="4"/>
  <c r="H1004" i="4"/>
  <c r="I1004" i="4"/>
  <c r="J1004" i="4"/>
  <c r="B1005" i="4"/>
  <c r="C1005" i="4"/>
  <c r="D1005" i="4"/>
  <c r="E1005" i="4"/>
  <c r="F1005" i="4"/>
  <c r="G1005" i="4"/>
  <c r="H1005" i="4"/>
  <c r="I1005" i="4"/>
  <c r="J1005" i="4"/>
  <c r="B1006" i="4"/>
  <c r="C1006" i="4"/>
  <c r="D1006" i="4"/>
  <c r="E1006" i="4"/>
  <c r="F1006" i="4"/>
  <c r="G1006" i="4"/>
  <c r="H1006" i="4"/>
  <c r="I1006" i="4"/>
  <c r="J1006" i="4"/>
  <c r="B1007" i="4"/>
  <c r="C1007" i="4"/>
  <c r="D1007" i="4"/>
  <c r="E1007" i="4"/>
  <c r="F1007" i="4"/>
  <c r="G1007" i="4"/>
  <c r="H1007" i="4"/>
  <c r="I1007" i="4"/>
  <c r="J1007" i="4"/>
  <c r="B1008" i="4"/>
  <c r="C1008" i="4"/>
  <c r="D1008" i="4"/>
  <c r="E1008" i="4"/>
  <c r="F1008" i="4"/>
  <c r="G1008" i="4"/>
  <c r="H1008" i="4"/>
  <c r="I1008" i="4"/>
  <c r="J1008" i="4"/>
  <c r="B1009" i="4"/>
  <c r="C1009" i="4"/>
  <c r="D1009" i="4"/>
  <c r="E1009" i="4"/>
  <c r="F1009" i="4"/>
  <c r="G1009" i="4"/>
  <c r="H1009" i="4"/>
  <c r="I1009" i="4"/>
  <c r="J1009" i="4"/>
  <c r="B1010" i="4"/>
  <c r="C1010" i="4"/>
  <c r="D1010" i="4"/>
  <c r="E1010" i="4"/>
  <c r="F1010" i="4"/>
  <c r="G1010" i="4"/>
  <c r="H1010" i="4"/>
  <c r="I1010" i="4"/>
  <c r="J1010" i="4"/>
  <c r="B1011" i="4"/>
  <c r="C1011" i="4"/>
  <c r="D1011" i="4"/>
  <c r="E1011" i="4"/>
  <c r="F1011" i="4"/>
  <c r="G1011" i="4"/>
  <c r="H1011" i="4"/>
  <c r="I1011" i="4"/>
  <c r="J1011" i="4"/>
  <c r="B1012" i="4"/>
  <c r="C1012" i="4"/>
  <c r="D1012" i="4"/>
  <c r="E1012" i="4"/>
  <c r="F1012" i="4"/>
  <c r="G1012" i="4"/>
  <c r="H1012" i="4"/>
  <c r="I1012" i="4"/>
  <c r="J1012" i="4"/>
  <c r="B1013" i="4"/>
  <c r="C1013" i="4"/>
  <c r="D1013" i="4"/>
  <c r="E1013" i="4"/>
  <c r="F1013" i="4"/>
  <c r="G1013" i="4"/>
  <c r="H1013" i="4"/>
  <c r="I1013" i="4"/>
  <c r="J1013" i="4"/>
  <c r="B1014" i="4"/>
  <c r="C1014" i="4"/>
  <c r="D1014" i="4"/>
  <c r="E1014" i="4"/>
  <c r="F1014" i="4"/>
  <c r="G1014" i="4"/>
  <c r="H1014" i="4"/>
  <c r="I1014" i="4"/>
  <c r="J1014" i="4"/>
  <c r="B1015" i="4"/>
  <c r="C1015" i="4"/>
  <c r="D1015" i="4"/>
  <c r="E1015" i="4"/>
  <c r="F1015" i="4"/>
  <c r="G1015" i="4"/>
  <c r="H1015" i="4"/>
  <c r="I1015" i="4"/>
  <c r="J1015" i="4"/>
  <c r="B1016" i="4"/>
  <c r="C1016" i="4"/>
  <c r="D1016" i="4"/>
  <c r="E1016" i="4"/>
  <c r="F1016" i="4"/>
  <c r="G1016" i="4"/>
  <c r="H1016" i="4"/>
  <c r="I1016" i="4"/>
  <c r="J1016" i="4"/>
  <c r="B1017" i="4"/>
  <c r="C1017" i="4"/>
  <c r="D1017" i="4"/>
  <c r="E1017" i="4"/>
  <c r="F1017" i="4"/>
  <c r="G1017" i="4"/>
  <c r="H1017" i="4"/>
  <c r="I1017" i="4"/>
  <c r="J1017" i="4"/>
  <c r="B1018" i="4"/>
  <c r="C1018" i="4"/>
  <c r="D1018" i="4"/>
  <c r="E1018" i="4"/>
  <c r="F1018" i="4"/>
  <c r="G1018" i="4"/>
  <c r="H1018" i="4"/>
  <c r="I1018" i="4"/>
  <c r="J1018" i="4"/>
  <c r="B1019" i="4"/>
  <c r="C1019" i="4"/>
  <c r="D1019" i="4"/>
  <c r="E1019" i="4"/>
  <c r="F1019" i="4"/>
  <c r="G1019" i="4"/>
  <c r="H1019" i="4"/>
  <c r="I1019" i="4"/>
  <c r="J1019" i="4"/>
  <c r="B1020" i="4"/>
  <c r="C1020" i="4"/>
  <c r="D1020" i="4"/>
  <c r="E1020" i="4"/>
  <c r="F1020" i="4"/>
  <c r="G1020" i="4"/>
  <c r="H1020" i="4"/>
  <c r="I1020" i="4"/>
  <c r="J1020" i="4"/>
  <c r="B1021" i="4"/>
  <c r="C1021" i="4"/>
  <c r="D1021" i="4"/>
  <c r="E1021" i="4"/>
  <c r="F1021" i="4"/>
  <c r="G1021" i="4"/>
  <c r="H1021" i="4"/>
  <c r="I1021" i="4"/>
  <c r="J1021" i="4"/>
  <c r="B1022" i="4"/>
  <c r="C1022" i="4"/>
  <c r="D1022" i="4"/>
  <c r="E1022" i="4"/>
  <c r="F1022" i="4"/>
  <c r="G1022" i="4"/>
  <c r="H1022" i="4"/>
  <c r="I1022" i="4"/>
  <c r="J1022" i="4"/>
  <c r="B1023" i="4"/>
  <c r="C1023" i="4"/>
  <c r="D1023" i="4"/>
  <c r="E1023" i="4"/>
  <c r="F1023" i="4"/>
  <c r="G1023" i="4"/>
  <c r="H1023" i="4"/>
  <c r="I1023" i="4"/>
  <c r="J1023" i="4"/>
  <c r="B1024" i="4"/>
  <c r="C1024" i="4"/>
  <c r="D1024" i="4"/>
  <c r="E1024" i="4"/>
  <c r="F1024" i="4"/>
  <c r="G1024" i="4"/>
  <c r="H1024" i="4"/>
  <c r="I1024" i="4"/>
  <c r="J1024" i="4"/>
  <c r="B1025" i="4"/>
  <c r="C1025" i="4"/>
  <c r="D1025" i="4"/>
  <c r="E1025" i="4"/>
  <c r="F1025" i="4"/>
  <c r="G1025" i="4"/>
  <c r="H1025" i="4"/>
  <c r="I1025" i="4"/>
  <c r="J1025" i="4"/>
  <c r="B1026" i="4"/>
  <c r="C1026" i="4"/>
  <c r="D1026" i="4"/>
  <c r="E1026" i="4"/>
  <c r="F1026" i="4"/>
  <c r="G1026" i="4"/>
  <c r="H1026" i="4"/>
  <c r="I1026" i="4"/>
  <c r="J1026" i="4"/>
  <c r="B1027" i="4"/>
  <c r="C1027" i="4"/>
  <c r="D1027" i="4"/>
  <c r="E1027" i="4"/>
  <c r="F1027" i="4"/>
  <c r="G1027" i="4"/>
  <c r="H1027" i="4"/>
  <c r="I1027" i="4"/>
  <c r="J1027" i="4"/>
  <c r="B1028" i="4"/>
  <c r="C1028" i="4"/>
  <c r="D1028" i="4"/>
  <c r="E1028" i="4"/>
  <c r="F1028" i="4"/>
  <c r="G1028" i="4"/>
  <c r="H1028" i="4"/>
  <c r="I1028" i="4"/>
  <c r="J1028" i="4"/>
  <c r="B1029" i="4"/>
  <c r="C1029" i="4"/>
  <c r="D1029" i="4"/>
  <c r="E1029" i="4"/>
  <c r="F1029" i="4"/>
  <c r="G1029" i="4"/>
  <c r="H1029" i="4"/>
  <c r="I1029" i="4"/>
  <c r="J1029" i="4"/>
  <c r="B1030" i="4"/>
  <c r="C1030" i="4"/>
  <c r="D1030" i="4"/>
  <c r="E1030" i="4"/>
  <c r="F1030" i="4"/>
  <c r="G1030" i="4"/>
  <c r="H1030" i="4"/>
  <c r="I1030" i="4"/>
  <c r="J1030" i="4"/>
  <c r="B1031" i="4"/>
  <c r="C1031" i="4"/>
  <c r="D1031" i="4"/>
  <c r="E1031" i="4"/>
  <c r="F1031" i="4"/>
  <c r="G1031" i="4"/>
  <c r="H1031" i="4"/>
  <c r="I1031" i="4"/>
  <c r="J1031" i="4"/>
  <c r="B1032" i="4"/>
  <c r="C1032" i="4"/>
  <c r="D1032" i="4"/>
  <c r="E1032" i="4"/>
  <c r="F1032" i="4"/>
  <c r="G1032" i="4"/>
  <c r="H1032" i="4"/>
  <c r="I1032" i="4"/>
  <c r="J1032" i="4"/>
  <c r="B1033" i="4"/>
  <c r="C1033" i="4"/>
  <c r="D1033" i="4"/>
  <c r="E1033" i="4"/>
  <c r="F1033" i="4"/>
  <c r="G1033" i="4"/>
  <c r="H1033" i="4"/>
  <c r="I1033" i="4"/>
  <c r="J1033" i="4"/>
  <c r="B1034" i="4"/>
  <c r="C1034" i="4"/>
  <c r="D1034" i="4"/>
  <c r="E1034" i="4"/>
  <c r="F1034" i="4"/>
  <c r="G1034" i="4"/>
  <c r="H1034" i="4"/>
  <c r="I1034" i="4"/>
  <c r="J1034" i="4"/>
  <c r="B1035" i="4"/>
  <c r="C1035" i="4"/>
  <c r="D1035" i="4"/>
  <c r="E1035" i="4"/>
  <c r="F1035" i="4"/>
  <c r="G1035" i="4"/>
  <c r="H1035" i="4"/>
  <c r="I1035" i="4"/>
  <c r="J1035" i="4"/>
  <c r="B1036" i="4"/>
  <c r="C1036" i="4"/>
  <c r="D1036" i="4"/>
  <c r="E1036" i="4"/>
  <c r="F1036" i="4"/>
  <c r="G1036" i="4"/>
  <c r="H1036" i="4"/>
  <c r="I1036" i="4"/>
  <c r="J1036" i="4"/>
  <c r="B1037" i="4"/>
  <c r="C1037" i="4"/>
  <c r="D1037" i="4"/>
  <c r="E1037" i="4"/>
  <c r="F1037" i="4"/>
  <c r="G1037" i="4"/>
  <c r="H1037" i="4"/>
  <c r="I1037" i="4"/>
  <c r="J1037" i="4"/>
  <c r="B1038" i="4"/>
  <c r="C1038" i="4"/>
  <c r="D1038" i="4"/>
  <c r="E1038" i="4"/>
  <c r="F1038" i="4"/>
  <c r="G1038" i="4"/>
  <c r="H1038" i="4"/>
  <c r="I1038" i="4"/>
  <c r="J1038" i="4"/>
  <c r="B1039" i="4"/>
  <c r="C1039" i="4"/>
  <c r="D1039" i="4"/>
  <c r="E1039" i="4"/>
  <c r="F1039" i="4"/>
  <c r="G1039" i="4"/>
  <c r="H1039" i="4"/>
  <c r="I1039" i="4"/>
  <c r="J1039" i="4"/>
  <c r="B1040" i="4"/>
  <c r="C1040" i="4"/>
  <c r="D1040" i="4"/>
  <c r="E1040" i="4"/>
  <c r="F1040" i="4"/>
  <c r="G1040" i="4"/>
  <c r="H1040" i="4"/>
  <c r="I1040" i="4"/>
  <c r="J1040" i="4"/>
  <c r="B1041" i="4"/>
  <c r="C1041" i="4"/>
  <c r="D1041" i="4"/>
  <c r="E1041" i="4"/>
  <c r="F1041" i="4"/>
  <c r="G1041" i="4"/>
  <c r="H1041" i="4"/>
  <c r="I1041" i="4"/>
  <c r="J1041" i="4"/>
  <c r="B1042" i="4"/>
  <c r="C1042" i="4"/>
  <c r="D1042" i="4"/>
  <c r="E1042" i="4"/>
  <c r="F1042" i="4"/>
  <c r="G1042" i="4"/>
  <c r="H1042" i="4"/>
  <c r="I1042" i="4"/>
  <c r="J1042" i="4"/>
  <c r="B1043" i="4"/>
  <c r="C1043" i="4"/>
  <c r="D1043" i="4"/>
  <c r="E1043" i="4"/>
  <c r="F1043" i="4"/>
  <c r="G1043" i="4"/>
  <c r="H1043" i="4"/>
  <c r="I1043" i="4"/>
  <c r="J1043" i="4"/>
  <c r="B1044" i="4"/>
  <c r="C1044" i="4"/>
  <c r="D1044" i="4"/>
  <c r="E1044" i="4"/>
  <c r="F1044" i="4"/>
  <c r="G1044" i="4"/>
  <c r="H1044" i="4"/>
  <c r="I1044" i="4"/>
  <c r="J1044" i="4"/>
  <c r="B1045" i="4"/>
  <c r="C1045" i="4"/>
  <c r="D1045" i="4"/>
  <c r="E1045" i="4"/>
  <c r="F1045" i="4"/>
  <c r="G1045" i="4"/>
  <c r="H1045" i="4"/>
  <c r="I1045" i="4"/>
  <c r="J1045" i="4"/>
  <c r="B1046" i="4"/>
  <c r="C1046" i="4"/>
  <c r="D1046" i="4"/>
  <c r="E1046" i="4"/>
  <c r="F1046" i="4"/>
  <c r="G1046" i="4"/>
  <c r="H1046" i="4"/>
  <c r="I1046" i="4"/>
  <c r="J1046" i="4"/>
  <c r="B1047" i="4"/>
  <c r="C1047" i="4"/>
  <c r="D1047" i="4"/>
  <c r="E1047" i="4"/>
  <c r="F1047" i="4"/>
  <c r="G1047" i="4"/>
  <c r="H1047" i="4"/>
  <c r="I1047" i="4"/>
  <c r="J1047" i="4"/>
  <c r="B1048" i="4"/>
  <c r="C1048" i="4"/>
  <c r="D1048" i="4"/>
  <c r="E1048" i="4"/>
  <c r="F1048" i="4"/>
  <c r="G1048" i="4"/>
  <c r="H1048" i="4"/>
  <c r="I1048" i="4"/>
  <c r="J1048" i="4"/>
  <c r="B1049" i="4"/>
  <c r="C1049" i="4"/>
  <c r="D1049" i="4"/>
  <c r="E1049" i="4"/>
  <c r="F1049" i="4"/>
  <c r="G1049" i="4"/>
  <c r="H1049" i="4"/>
  <c r="I1049" i="4"/>
  <c r="J1049" i="4"/>
  <c r="B1050" i="4"/>
  <c r="C1050" i="4"/>
  <c r="D1050" i="4"/>
  <c r="E1050" i="4"/>
  <c r="F1050" i="4"/>
  <c r="G1050" i="4"/>
  <c r="H1050" i="4"/>
  <c r="I1050" i="4"/>
  <c r="J1050" i="4"/>
  <c r="B1051" i="4"/>
  <c r="C1051" i="4"/>
  <c r="D1051" i="4"/>
  <c r="E1051" i="4"/>
  <c r="F1051" i="4"/>
  <c r="G1051" i="4"/>
  <c r="H1051" i="4"/>
  <c r="I1051" i="4"/>
  <c r="J1051" i="4"/>
  <c r="B1052" i="4"/>
  <c r="C1052" i="4"/>
  <c r="D1052" i="4"/>
  <c r="E1052" i="4"/>
  <c r="F1052" i="4"/>
  <c r="G1052" i="4"/>
  <c r="H1052" i="4"/>
  <c r="I1052" i="4"/>
  <c r="J1052" i="4"/>
  <c r="B1053" i="4"/>
  <c r="C1053" i="4"/>
  <c r="D1053" i="4"/>
  <c r="E1053" i="4"/>
  <c r="F1053" i="4"/>
  <c r="G1053" i="4"/>
  <c r="H1053" i="4"/>
  <c r="I1053" i="4"/>
  <c r="J1053" i="4"/>
  <c r="B1054" i="4"/>
  <c r="C1054" i="4"/>
  <c r="D1054" i="4"/>
  <c r="E1054" i="4"/>
  <c r="F1054" i="4"/>
  <c r="G1054" i="4"/>
  <c r="H1054" i="4"/>
  <c r="I1054" i="4"/>
  <c r="J1054" i="4"/>
  <c r="B1055" i="4"/>
  <c r="C1055" i="4"/>
  <c r="D1055" i="4"/>
  <c r="E1055" i="4"/>
  <c r="F1055" i="4"/>
  <c r="G1055" i="4"/>
  <c r="H1055" i="4"/>
  <c r="I1055" i="4"/>
  <c r="J1055" i="4"/>
  <c r="B1056" i="4"/>
  <c r="C1056" i="4"/>
  <c r="D1056" i="4"/>
  <c r="E1056" i="4"/>
  <c r="F1056" i="4"/>
  <c r="G1056" i="4"/>
  <c r="H1056" i="4"/>
  <c r="I1056" i="4"/>
  <c r="J1056" i="4"/>
  <c r="B1057" i="4"/>
  <c r="C1057" i="4"/>
  <c r="D1057" i="4"/>
  <c r="E1057" i="4"/>
  <c r="F1057" i="4"/>
  <c r="G1057" i="4"/>
  <c r="H1057" i="4"/>
  <c r="I1057" i="4"/>
  <c r="J1057" i="4"/>
  <c r="B1058" i="4"/>
  <c r="C1058" i="4"/>
  <c r="D1058" i="4"/>
  <c r="E1058" i="4"/>
  <c r="F1058" i="4"/>
  <c r="G1058" i="4"/>
  <c r="H1058" i="4"/>
  <c r="I1058" i="4"/>
  <c r="J1058" i="4"/>
  <c r="B1059" i="4"/>
  <c r="C1059" i="4"/>
  <c r="D1059" i="4"/>
  <c r="E1059" i="4"/>
  <c r="F1059" i="4"/>
  <c r="G1059" i="4"/>
  <c r="H1059" i="4"/>
  <c r="I1059" i="4"/>
  <c r="J1059" i="4"/>
  <c r="B1060" i="4"/>
  <c r="C1060" i="4"/>
  <c r="D1060" i="4"/>
  <c r="E1060" i="4"/>
  <c r="F1060" i="4"/>
  <c r="G1060" i="4"/>
  <c r="H1060" i="4"/>
  <c r="I1060" i="4"/>
  <c r="J1060" i="4"/>
  <c r="B1061" i="4"/>
  <c r="C1061" i="4"/>
  <c r="D1061" i="4"/>
  <c r="E1061" i="4"/>
  <c r="F1061" i="4"/>
  <c r="G1061" i="4"/>
  <c r="H1061" i="4"/>
  <c r="I1061" i="4"/>
  <c r="J1061" i="4"/>
  <c r="B1062" i="4"/>
  <c r="C1062" i="4"/>
  <c r="D1062" i="4"/>
  <c r="E1062" i="4"/>
  <c r="F1062" i="4"/>
  <c r="G1062" i="4"/>
  <c r="H1062" i="4"/>
  <c r="I1062" i="4"/>
  <c r="J1062" i="4"/>
  <c r="B1063" i="4"/>
  <c r="C1063" i="4"/>
  <c r="D1063" i="4"/>
  <c r="E1063" i="4"/>
  <c r="F1063" i="4"/>
  <c r="G1063" i="4"/>
  <c r="H1063" i="4"/>
  <c r="I1063" i="4"/>
  <c r="J1063" i="4"/>
  <c r="B1064" i="4"/>
  <c r="C1064" i="4"/>
  <c r="D1064" i="4"/>
  <c r="E1064" i="4"/>
  <c r="F1064" i="4"/>
  <c r="G1064" i="4"/>
  <c r="H1064" i="4"/>
  <c r="I1064" i="4"/>
  <c r="J1064" i="4"/>
  <c r="B1065" i="4"/>
  <c r="C1065" i="4"/>
  <c r="D1065" i="4"/>
  <c r="E1065" i="4"/>
  <c r="F1065" i="4"/>
  <c r="G1065" i="4"/>
  <c r="H1065" i="4"/>
  <c r="I1065" i="4"/>
  <c r="J1065" i="4"/>
  <c r="B1066" i="4"/>
  <c r="C1066" i="4"/>
  <c r="D1066" i="4"/>
  <c r="E1066" i="4"/>
  <c r="F1066" i="4"/>
  <c r="G1066" i="4"/>
  <c r="H1066" i="4"/>
  <c r="I1066" i="4"/>
  <c r="J1066" i="4"/>
  <c r="B1067" i="4"/>
  <c r="C1067" i="4"/>
  <c r="D1067" i="4"/>
  <c r="E1067" i="4"/>
  <c r="F1067" i="4"/>
  <c r="G1067" i="4"/>
  <c r="H1067" i="4"/>
  <c r="I1067" i="4"/>
  <c r="J1067" i="4"/>
  <c r="B1069" i="4"/>
  <c r="C1069" i="4"/>
  <c r="D1069" i="4"/>
  <c r="E1069" i="4"/>
  <c r="F1069" i="4"/>
  <c r="G1069" i="4"/>
  <c r="H1069" i="4"/>
  <c r="I1069" i="4"/>
  <c r="J1069" i="4"/>
  <c r="B1070" i="4"/>
  <c r="C1070" i="4"/>
  <c r="D1070" i="4"/>
  <c r="E1070" i="4"/>
  <c r="F1070" i="4"/>
  <c r="G1070" i="4"/>
  <c r="H1070" i="4"/>
  <c r="I1070" i="4"/>
  <c r="J1070" i="4"/>
  <c r="B1071" i="4"/>
  <c r="C1071" i="4"/>
  <c r="D1071" i="4"/>
  <c r="E1071" i="4"/>
  <c r="F1071" i="4"/>
  <c r="G1071" i="4"/>
  <c r="H1071" i="4"/>
  <c r="I1071" i="4"/>
  <c r="J1071" i="4"/>
  <c r="B1072" i="4"/>
  <c r="C1072" i="4"/>
  <c r="D1072" i="4"/>
  <c r="E1072" i="4"/>
  <c r="F1072" i="4"/>
  <c r="G1072" i="4"/>
  <c r="H1072" i="4"/>
  <c r="I1072" i="4"/>
  <c r="J1072" i="4"/>
  <c r="B1073" i="4"/>
  <c r="C1073" i="4"/>
  <c r="D1073" i="4"/>
  <c r="E1073" i="4"/>
  <c r="F1073" i="4"/>
  <c r="G1073" i="4"/>
  <c r="H1073" i="4"/>
  <c r="I1073" i="4"/>
  <c r="J1073" i="4"/>
  <c r="B1074" i="4"/>
  <c r="C1074" i="4"/>
  <c r="D1074" i="4"/>
  <c r="E1074" i="4"/>
  <c r="F1074" i="4"/>
  <c r="G1074" i="4"/>
  <c r="H1074" i="4"/>
  <c r="I1074" i="4"/>
  <c r="J1074" i="4"/>
  <c r="B1075" i="4"/>
  <c r="C1075" i="4"/>
  <c r="D1075" i="4"/>
  <c r="E1075" i="4"/>
  <c r="F1075" i="4"/>
  <c r="G1075" i="4"/>
  <c r="H1075" i="4"/>
  <c r="I1075" i="4"/>
  <c r="J1075" i="4"/>
  <c r="B1076" i="4"/>
  <c r="C1076" i="4"/>
  <c r="D1076" i="4"/>
  <c r="E1076" i="4"/>
  <c r="F1076" i="4"/>
  <c r="G1076" i="4"/>
  <c r="H1076" i="4"/>
  <c r="I1076" i="4"/>
  <c r="J1076" i="4"/>
  <c r="B1077" i="4"/>
  <c r="C1077" i="4"/>
  <c r="D1077" i="4"/>
  <c r="E1077" i="4"/>
  <c r="F1077" i="4"/>
  <c r="G1077" i="4"/>
  <c r="H1077" i="4"/>
  <c r="I1077" i="4"/>
  <c r="J1077" i="4"/>
  <c r="B1078" i="4"/>
  <c r="C1078" i="4"/>
  <c r="D1078" i="4"/>
  <c r="E1078" i="4"/>
  <c r="F1078" i="4"/>
  <c r="G1078" i="4"/>
  <c r="H1078" i="4"/>
  <c r="I1078" i="4"/>
  <c r="J1078" i="4"/>
  <c r="B1079" i="4"/>
  <c r="C1079" i="4"/>
  <c r="D1079" i="4"/>
  <c r="E1079" i="4"/>
  <c r="F1079" i="4"/>
  <c r="G1079" i="4"/>
  <c r="H1079" i="4"/>
  <c r="I1079" i="4"/>
  <c r="J1079" i="4"/>
  <c r="B1080" i="4"/>
  <c r="C1080" i="4"/>
  <c r="D1080" i="4"/>
  <c r="E1080" i="4"/>
  <c r="F1080" i="4"/>
  <c r="G1080" i="4"/>
  <c r="H1080" i="4"/>
  <c r="I1080" i="4"/>
  <c r="J1080" i="4"/>
  <c r="B1081" i="4"/>
  <c r="C1081" i="4"/>
  <c r="D1081" i="4"/>
  <c r="E1081" i="4"/>
  <c r="F1081" i="4"/>
  <c r="G1081" i="4"/>
  <c r="H1081" i="4"/>
  <c r="I1081" i="4"/>
  <c r="J1081" i="4"/>
  <c r="B1082" i="4"/>
  <c r="C1082" i="4"/>
  <c r="D1082" i="4"/>
  <c r="E1082" i="4"/>
  <c r="F1082" i="4"/>
  <c r="G1082" i="4"/>
  <c r="H1082" i="4"/>
  <c r="I1082" i="4"/>
  <c r="J1082" i="4"/>
  <c r="B1083" i="4"/>
  <c r="C1083" i="4"/>
  <c r="D1083" i="4"/>
  <c r="E1083" i="4"/>
  <c r="F1083" i="4"/>
  <c r="G1083" i="4"/>
  <c r="H1083" i="4"/>
  <c r="I1083" i="4"/>
  <c r="J1083" i="4"/>
  <c r="B1084" i="4"/>
  <c r="C1084" i="4"/>
  <c r="D1084" i="4"/>
  <c r="E1084" i="4"/>
  <c r="F1084" i="4"/>
  <c r="G1084" i="4"/>
  <c r="H1084" i="4"/>
  <c r="I1084" i="4"/>
  <c r="J1084" i="4"/>
  <c r="B1085" i="4"/>
  <c r="C1085" i="4"/>
  <c r="D1085" i="4"/>
  <c r="E1085" i="4"/>
  <c r="F1085" i="4"/>
  <c r="G1085" i="4"/>
  <c r="H1085" i="4"/>
  <c r="I1085" i="4"/>
  <c r="J1085" i="4"/>
  <c r="B1086" i="4"/>
  <c r="C1086" i="4"/>
  <c r="D1086" i="4"/>
  <c r="E1086" i="4"/>
  <c r="F1086" i="4"/>
  <c r="G1086" i="4"/>
  <c r="H1086" i="4"/>
  <c r="I1086" i="4"/>
  <c r="J1086" i="4"/>
  <c r="B1087" i="4"/>
  <c r="C1087" i="4"/>
  <c r="D1087" i="4"/>
  <c r="E1087" i="4"/>
  <c r="F1087" i="4"/>
  <c r="G1087" i="4"/>
  <c r="H1087" i="4"/>
  <c r="I1087" i="4"/>
  <c r="J1087" i="4"/>
  <c r="B1088" i="4"/>
  <c r="C1088" i="4"/>
  <c r="D1088" i="4"/>
  <c r="E1088" i="4"/>
  <c r="F1088" i="4"/>
  <c r="G1088" i="4"/>
  <c r="H1088" i="4"/>
  <c r="I1088" i="4"/>
  <c r="J1088" i="4"/>
  <c r="B1089" i="4"/>
  <c r="C1089" i="4"/>
  <c r="D1089" i="4"/>
  <c r="E1089" i="4"/>
  <c r="F1089" i="4"/>
  <c r="G1089" i="4"/>
  <c r="H1089" i="4"/>
  <c r="I1089" i="4"/>
  <c r="J1089" i="4"/>
  <c r="B1090" i="4"/>
  <c r="C1090" i="4"/>
  <c r="D1090" i="4"/>
  <c r="E1090" i="4"/>
  <c r="F1090" i="4"/>
  <c r="G1090" i="4"/>
  <c r="H1090" i="4"/>
  <c r="I1090" i="4"/>
  <c r="J1090" i="4"/>
  <c r="B1091" i="4"/>
  <c r="C1091" i="4"/>
  <c r="D1091" i="4"/>
  <c r="E1091" i="4"/>
  <c r="F1091" i="4"/>
  <c r="G1091" i="4"/>
  <c r="H1091" i="4"/>
  <c r="I1091" i="4"/>
  <c r="J1091" i="4"/>
  <c r="B1092" i="4"/>
  <c r="C1092" i="4"/>
  <c r="D1092" i="4"/>
  <c r="E1092" i="4"/>
  <c r="F1092" i="4"/>
  <c r="G1092" i="4"/>
  <c r="H1092" i="4"/>
  <c r="I1092" i="4"/>
  <c r="J1092" i="4"/>
  <c r="B1093" i="4"/>
  <c r="C1093" i="4"/>
  <c r="D1093" i="4"/>
  <c r="E1093" i="4"/>
  <c r="F1093" i="4"/>
  <c r="G1093" i="4"/>
  <c r="H1093" i="4"/>
  <c r="I1093" i="4"/>
  <c r="J1093" i="4"/>
  <c r="A1094" i="4"/>
  <c r="B1094" i="4"/>
  <c r="C1094" i="4"/>
  <c r="D1094" i="4"/>
  <c r="E1094" i="4"/>
  <c r="F1094" i="4"/>
  <c r="G1094" i="4"/>
  <c r="H1094" i="4"/>
  <c r="I1094" i="4"/>
  <c r="J1094" i="4"/>
  <c r="A1095" i="4"/>
  <c r="B1095" i="4"/>
  <c r="C1095" i="4"/>
  <c r="D1095" i="4"/>
  <c r="E1095" i="4"/>
  <c r="F1095" i="4"/>
  <c r="G1095" i="4"/>
  <c r="H1095" i="4"/>
  <c r="I1095" i="4"/>
  <c r="J1095" i="4"/>
  <c r="A1096" i="4"/>
  <c r="B1096" i="4"/>
  <c r="C1096" i="4"/>
  <c r="D1096" i="4"/>
  <c r="E1096" i="4"/>
  <c r="F1096" i="4"/>
  <c r="G1096" i="4"/>
  <c r="H1096" i="4"/>
  <c r="I1096" i="4"/>
  <c r="J1096" i="4"/>
  <c r="A1097" i="4"/>
  <c r="B1097" i="4"/>
  <c r="C1097" i="4"/>
  <c r="D1097" i="4"/>
  <c r="E1097" i="4"/>
  <c r="F1097" i="4"/>
  <c r="G1097" i="4"/>
  <c r="H1097" i="4"/>
  <c r="I1097" i="4"/>
  <c r="J1097" i="4"/>
  <c r="A1098" i="4"/>
  <c r="B1098" i="4"/>
  <c r="C1098" i="4"/>
  <c r="D1098" i="4"/>
  <c r="E1098" i="4"/>
  <c r="F1098" i="4"/>
  <c r="G1098" i="4"/>
  <c r="H1098" i="4"/>
  <c r="I1098" i="4"/>
  <c r="J1098" i="4"/>
  <c r="A1099" i="4"/>
  <c r="B1099" i="4"/>
  <c r="C1099" i="4"/>
  <c r="D1099" i="4"/>
  <c r="E1099" i="4"/>
  <c r="F1099" i="4"/>
  <c r="G1099" i="4"/>
  <c r="H1099" i="4"/>
  <c r="I1099" i="4"/>
  <c r="J1099" i="4"/>
  <c r="A1100" i="4"/>
  <c r="B1100" i="4"/>
  <c r="C1100" i="4"/>
  <c r="D1100" i="4"/>
  <c r="E1100" i="4"/>
  <c r="F1100" i="4"/>
  <c r="G1100" i="4"/>
  <c r="H1100" i="4"/>
  <c r="I1100" i="4"/>
  <c r="J1100" i="4"/>
  <c r="A1101" i="4"/>
  <c r="B1101" i="4"/>
  <c r="C1101" i="4"/>
  <c r="D1101" i="4"/>
  <c r="E1101" i="4"/>
  <c r="F1101" i="4"/>
  <c r="G1101" i="4"/>
  <c r="H1101" i="4"/>
  <c r="I1101" i="4"/>
  <c r="J1101" i="4"/>
  <c r="A1102" i="4"/>
  <c r="B1102" i="4"/>
  <c r="C1102" i="4"/>
  <c r="D1102" i="4"/>
  <c r="E1102" i="4"/>
  <c r="F1102" i="4"/>
  <c r="G1102" i="4"/>
  <c r="H1102" i="4"/>
  <c r="I1102" i="4"/>
  <c r="J1102" i="4"/>
  <c r="A1103" i="4"/>
  <c r="B1103" i="4"/>
  <c r="C1103" i="4"/>
  <c r="D1103" i="4"/>
  <c r="E1103" i="4"/>
  <c r="F1103" i="4"/>
  <c r="G1103" i="4"/>
  <c r="H1103" i="4"/>
  <c r="I1103" i="4"/>
  <c r="J1103" i="4"/>
  <c r="A1104" i="4"/>
  <c r="B1104" i="4"/>
  <c r="C1104" i="4"/>
  <c r="D1104" i="4"/>
  <c r="E1104" i="4"/>
  <c r="F1104" i="4"/>
  <c r="G1104" i="4"/>
  <c r="H1104" i="4"/>
  <c r="I1104" i="4"/>
  <c r="J1104" i="4"/>
  <c r="A1105" i="4"/>
  <c r="B1105" i="4"/>
  <c r="C1105" i="4"/>
  <c r="D1105" i="4"/>
  <c r="E1105" i="4"/>
  <c r="F1105" i="4"/>
  <c r="G1105" i="4"/>
  <c r="H1105" i="4"/>
  <c r="I1105" i="4"/>
  <c r="J1105" i="4"/>
  <c r="A1106" i="4"/>
  <c r="B1106" i="4"/>
  <c r="C1106" i="4"/>
  <c r="D1106" i="4"/>
  <c r="E1106" i="4"/>
  <c r="F1106" i="4"/>
  <c r="G1106" i="4"/>
  <c r="H1106" i="4"/>
  <c r="I1106" i="4"/>
  <c r="J1106" i="4"/>
  <c r="A1107" i="4"/>
  <c r="B1107" i="4"/>
  <c r="C1107" i="4"/>
  <c r="D1107" i="4"/>
  <c r="E1107" i="4"/>
  <c r="F1107" i="4"/>
  <c r="G1107" i="4"/>
  <c r="H1107" i="4"/>
  <c r="I1107" i="4"/>
  <c r="J1107" i="4"/>
  <c r="A1108" i="4"/>
  <c r="B1108" i="4"/>
  <c r="C1108" i="4"/>
  <c r="D1108" i="4"/>
  <c r="E1108" i="4"/>
  <c r="F1108" i="4"/>
  <c r="G1108" i="4"/>
  <c r="H1108" i="4"/>
  <c r="I1108" i="4"/>
  <c r="J1108" i="4"/>
  <c r="A1109" i="4"/>
  <c r="B1109" i="4"/>
  <c r="C1109" i="4"/>
  <c r="D1109" i="4"/>
  <c r="E1109" i="4"/>
  <c r="F1109" i="4"/>
  <c r="G1109" i="4"/>
  <c r="H1109" i="4"/>
  <c r="I1109" i="4"/>
  <c r="J1109" i="4"/>
  <c r="A1110" i="4"/>
  <c r="B1110" i="4"/>
  <c r="C1110" i="4"/>
  <c r="D1110" i="4"/>
  <c r="E1110" i="4"/>
  <c r="F1110" i="4"/>
  <c r="G1110" i="4"/>
  <c r="H1110" i="4"/>
  <c r="I1110" i="4"/>
  <c r="J1110" i="4"/>
  <c r="A1111" i="4"/>
  <c r="B1111" i="4"/>
  <c r="C1111" i="4"/>
  <c r="D1111" i="4"/>
  <c r="E1111" i="4"/>
  <c r="F1111" i="4"/>
  <c r="G1111" i="4"/>
  <c r="H1111" i="4"/>
  <c r="I1111" i="4"/>
  <c r="J1111" i="4"/>
  <c r="A1112" i="4"/>
  <c r="B1112" i="4"/>
  <c r="C1112" i="4"/>
  <c r="D1112" i="4"/>
  <c r="E1112" i="4"/>
  <c r="F1112" i="4"/>
  <c r="G1112" i="4"/>
  <c r="H1112" i="4"/>
  <c r="I1112" i="4"/>
  <c r="J1112" i="4"/>
  <c r="A1113" i="4"/>
  <c r="B1113" i="4"/>
  <c r="C1113" i="4"/>
  <c r="D1113" i="4"/>
  <c r="E1113" i="4"/>
  <c r="F1113" i="4"/>
  <c r="G1113" i="4"/>
  <c r="H1113" i="4"/>
  <c r="I1113" i="4"/>
  <c r="J1113" i="4"/>
  <c r="A1114" i="4"/>
  <c r="B1114" i="4"/>
  <c r="C1114" i="4"/>
  <c r="D1114" i="4"/>
  <c r="E1114" i="4"/>
  <c r="F1114" i="4"/>
  <c r="G1114" i="4"/>
  <c r="H1114" i="4"/>
  <c r="I1114" i="4"/>
  <c r="J1114" i="4"/>
  <c r="A1115" i="4"/>
  <c r="B1115" i="4"/>
  <c r="C1115" i="4"/>
  <c r="D1115" i="4"/>
  <c r="E1115" i="4"/>
  <c r="F1115" i="4"/>
  <c r="G1115" i="4"/>
  <c r="H1115" i="4"/>
  <c r="I1115" i="4"/>
  <c r="J1115" i="4"/>
  <c r="A1116" i="4"/>
  <c r="B1116" i="4"/>
  <c r="C1116" i="4"/>
  <c r="D1116" i="4"/>
  <c r="E1116" i="4"/>
  <c r="F1116" i="4"/>
  <c r="G1116" i="4"/>
  <c r="H1116" i="4"/>
  <c r="I1116" i="4"/>
  <c r="J1116" i="4"/>
  <c r="A1117" i="4"/>
  <c r="B1117" i="4"/>
  <c r="C1117" i="4"/>
  <c r="D1117" i="4"/>
  <c r="E1117" i="4"/>
  <c r="F1117" i="4"/>
  <c r="G1117" i="4"/>
  <c r="H1117" i="4"/>
  <c r="I1117" i="4"/>
  <c r="J1117" i="4"/>
  <c r="A1118" i="4"/>
  <c r="B1118" i="4"/>
  <c r="C1118" i="4"/>
  <c r="D1118" i="4"/>
  <c r="E1118" i="4"/>
  <c r="F1118" i="4"/>
  <c r="G1118" i="4"/>
  <c r="H1118" i="4"/>
  <c r="I1118" i="4"/>
  <c r="J1118" i="4"/>
  <c r="A1119" i="4"/>
  <c r="B1119" i="4"/>
  <c r="C1119" i="4"/>
  <c r="D1119" i="4"/>
  <c r="E1119" i="4"/>
  <c r="F1119" i="4"/>
  <c r="G1119" i="4"/>
  <c r="H1119" i="4"/>
  <c r="I1119" i="4"/>
  <c r="J1119" i="4"/>
  <c r="A1120" i="4"/>
  <c r="B1120" i="4"/>
  <c r="C1120" i="4"/>
  <c r="D1120" i="4"/>
  <c r="E1120" i="4"/>
  <c r="F1120" i="4"/>
  <c r="G1120" i="4"/>
  <c r="H1120" i="4"/>
  <c r="I1120" i="4"/>
  <c r="J1120" i="4"/>
  <c r="A1121" i="4"/>
  <c r="B1121" i="4"/>
  <c r="C1121" i="4"/>
  <c r="D1121" i="4"/>
  <c r="E1121" i="4"/>
  <c r="F1121" i="4"/>
  <c r="G1121" i="4"/>
  <c r="H1121" i="4"/>
  <c r="I1121" i="4"/>
  <c r="J1121" i="4"/>
  <c r="A1122" i="4"/>
  <c r="B1122" i="4"/>
  <c r="C1122" i="4"/>
  <c r="D1122" i="4"/>
  <c r="E1122" i="4"/>
  <c r="F1122" i="4"/>
  <c r="G1122" i="4"/>
  <c r="H1122" i="4"/>
  <c r="I1122" i="4"/>
  <c r="J1122" i="4"/>
  <c r="A1123" i="4"/>
  <c r="B1123" i="4"/>
  <c r="C1123" i="4"/>
  <c r="D1123" i="4"/>
  <c r="E1123" i="4"/>
  <c r="F1123" i="4"/>
  <c r="G1123" i="4"/>
  <c r="H1123" i="4"/>
  <c r="I1123" i="4"/>
  <c r="J1123" i="4"/>
  <c r="A1124" i="4"/>
  <c r="B1124" i="4"/>
  <c r="C1124" i="4"/>
  <c r="D1124" i="4"/>
  <c r="E1124" i="4"/>
  <c r="F1124" i="4"/>
  <c r="G1124" i="4"/>
  <c r="H1124" i="4"/>
  <c r="I1124" i="4"/>
  <c r="J1124" i="4"/>
  <c r="A1125" i="4"/>
  <c r="B1125" i="4"/>
  <c r="C1125" i="4"/>
  <c r="D1125" i="4"/>
  <c r="E1125" i="4"/>
  <c r="F1125" i="4"/>
  <c r="G1125" i="4"/>
  <c r="H1125" i="4"/>
  <c r="I1125" i="4"/>
  <c r="J1125" i="4"/>
  <c r="A1126" i="4"/>
  <c r="B1126" i="4"/>
  <c r="C1126" i="4"/>
  <c r="D1126" i="4"/>
  <c r="E1126" i="4"/>
  <c r="F1126" i="4"/>
  <c r="G1126" i="4"/>
  <c r="H1126" i="4"/>
  <c r="I1126" i="4"/>
  <c r="J1126" i="4"/>
  <c r="A1127" i="4"/>
  <c r="B1127" i="4"/>
  <c r="C1127" i="4"/>
  <c r="D1127" i="4"/>
  <c r="E1127" i="4"/>
  <c r="F1127" i="4"/>
  <c r="G1127" i="4"/>
  <c r="H1127" i="4"/>
  <c r="I1127" i="4"/>
  <c r="J1127" i="4"/>
  <c r="A1128" i="4"/>
  <c r="B1128" i="4"/>
  <c r="C1128" i="4"/>
  <c r="D1128" i="4"/>
  <c r="E1128" i="4"/>
  <c r="F1128" i="4"/>
  <c r="G1128" i="4"/>
  <c r="H1128" i="4"/>
  <c r="I1128" i="4"/>
  <c r="J1128" i="4"/>
  <c r="A1129" i="4"/>
  <c r="B1129" i="4"/>
  <c r="C1129" i="4"/>
  <c r="D1129" i="4"/>
  <c r="E1129" i="4"/>
  <c r="F1129" i="4"/>
  <c r="G1129" i="4"/>
  <c r="H1129" i="4"/>
  <c r="I1129" i="4"/>
  <c r="J1129" i="4"/>
  <c r="A1130" i="4"/>
  <c r="B1130" i="4"/>
  <c r="C1130" i="4"/>
  <c r="D1130" i="4"/>
  <c r="E1130" i="4"/>
  <c r="F1130" i="4"/>
  <c r="G1130" i="4"/>
  <c r="H1130" i="4"/>
  <c r="I1130" i="4"/>
  <c r="J1130" i="4"/>
  <c r="A1131" i="4"/>
  <c r="B1131" i="4"/>
  <c r="C1131" i="4"/>
  <c r="D1131" i="4"/>
  <c r="E1131" i="4"/>
  <c r="F1131" i="4"/>
  <c r="G1131" i="4"/>
  <c r="H1131" i="4"/>
  <c r="I1131" i="4"/>
  <c r="J1131" i="4"/>
  <c r="A1132" i="4"/>
  <c r="B1132" i="4"/>
  <c r="C1132" i="4"/>
  <c r="D1132" i="4"/>
  <c r="E1132" i="4"/>
  <c r="F1132" i="4"/>
  <c r="G1132" i="4"/>
  <c r="H1132" i="4"/>
  <c r="I1132" i="4"/>
  <c r="J1132" i="4"/>
  <c r="A1133" i="4"/>
  <c r="B1133" i="4"/>
  <c r="C1133" i="4"/>
  <c r="D1133" i="4"/>
  <c r="E1133" i="4"/>
  <c r="F1133" i="4"/>
  <c r="G1133" i="4"/>
  <c r="H1133" i="4"/>
  <c r="I1133" i="4"/>
  <c r="J1133" i="4"/>
  <c r="A1134" i="4"/>
  <c r="B1134" i="4"/>
  <c r="C1134" i="4"/>
  <c r="D1134" i="4"/>
  <c r="E1134" i="4"/>
  <c r="F1134" i="4"/>
  <c r="G1134" i="4"/>
  <c r="H1134" i="4"/>
  <c r="I1134" i="4"/>
  <c r="J1134" i="4"/>
  <c r="A1135" i="4"/>
  <c r="B1135" i="4"/>
  <c r="C1135" i="4"/>
  <c r="D1135" i="4"/>
  <c r="E1135" i="4"/>
  <c r="F1135" i="4"/>
  <c r="G1135" i="4"/>
  <c r="H1135" i="4"/>
  <c r="I1135" i="4"/>
  <c r="J1135" i="4"/>
  <c r="A1136" i="4"/>
  <c r="B1136" i="4"/>
  <c r="C1136" i="4"/>
  <c r="D1136" i="4"/>
  <c r="E1136" i="4"/>
  <c r="F1136" i="4"/>
  <c r="G1136" i="4"/>
  <c r="H1136" i="4"/>
  <c r="I1136" i="4"/>
  <c r="J1136" i="4"/>
  <c r="A1137" i="4"/>
  <c r="B1137" i="4"/>
  <c r="C1137" i="4"/>
  <c r="D1137" i="4"/>
  <c r="E1137" i="4"/>
  <c r="F1137" i="4"/>
  <c r="G1137" i="4"/>
  <c r="H1137" i="4"/>
  <c r="I1137" i="4"/>
  <c r="J1137" i="4"/>
  <c r="A1138" i="4"/>
  <c r="B1138" i="4"/>
  <c r="C1138" i="4"/>
  <c r="D1138" i="4"/>
  <c r="E1138" i="4"/>
  <c r="F1138" i="4"/>
  <c r="G1138" i="4"/>
  <c r="H1138" i="4"/>
  <c r="I1138" i="4"/>
  <c r="J1138" i="4"/>
  <c r="A1139" i="4"/>
  <c r="B1139" i="4"/>
  <c r="C1139" i="4"/>
  <c r="D1139" i="4"/>
  <c r="E1139" i="4"/>
  <c r="F1139" i="4"/>
  <c r="G1139" i="4"/>
  <c r="H1139" i="4"/>
  <c r="I1139" i="4"/>
  <c r="J1139" i="4"/>
  <c r="A1140" i="4"/>
  <c r="B1140" i="4"/>
  <c r="C1140" i="4"/>
  <c r="D1140" i="4"/>
  <c r="E1140" i="4"/>
  <c r="F1140" i="4"/>
  <c r="G1140" i="4"/>
  <c r="H1140" i="4"/>
  <c r="I1140" i="4"/>
  <c r="J1140" i="4"/>
  <c r="A1141" i="4"/>
  <c r="B1141" i="4"/>
  <c r="C1141" i="4"/>
  <c r="D1141" i="4"/>
  <c r="E1141" i="4"/>
  <c r="F1141" i="4"/>
  <c r="G1141" i="4"/>
  <c r="H1141" i="4"/>
  <c r="I1141" i="4"/>
  <c r="J1141" i="4"/>
  <c r="A1142" i="4"/>
  <c r="B1142" i="4"/>
  <c r="C1142" i="4"/>
  <c r="D1142" i="4"/>
  <c r="E1142" i="4"/>
  <c r="F1142" i="4"/>
  <c r="G1142" i="4"/>
  <c r="H1142" i="4"/>
  <c r="I1142" i="4"/>
  <c r="J1142" i="4"/>
  <c r="A1143" i="4"/>
  <c r="B1143" i="4"/>
  <c r="C1143" i="4"/>
  <c r="D1143" i="4"/>
  <c r="E1143" i="4"/>
  <c r="F1143" i="4"/>
  <c r="G1143" i="4"/>
  <c r="H1143" i="4"/>
  <c r="I1143" i="4"/>
  <c r="J1143" i="4"/>
  <c r="A1144" i="4"/>
  <c r="B1144" i="4"/>
  <c r="C1144" i="4"/>
  <c r="D1144" i="4"/>
  <c r="E1144" i="4"/>
  <c r="F1144" i="4"/>
  <c r="G1144" i="4"/>
  <c r="H1144" i="4"/>
  <c r="I1144" i="4"/>
  <c r="J1144" i="4"/>
  <c r="A1145" i="4"/>
  <c r="B1145" i="4"/>
  <c r="C1145" i="4"/>
  <c r="D1145" i="4"/>
  <c r="E1145" i="4"/>
  <c r="F1145" i="4"/>
  <c r="G1145" i="4"/>
  <c r="H1145" i="4"/>
  <c r="I1145" i="4"/>
  <c r="J1145" i="4"/>
  <c r="A1146" i="4"/>
  <c r="B1146" i="4"/>
  <c r="C1146" i="4"/>
  <c r="D1146" i="4"/>
  <c r="E1146" i="4"/>
  <c r="F1146" i="4"/>
  <c r="G1146" i="4"/>
  <c r="H1146" i="4"/>
  <c r="I1146" i="4"/>
  <c r="J1146" i="4"/>
  <c r="A1147" i="4"/>
  <c r="B1147" i="4"/>
  <c r="C1147" i="4"/>
  <c r="D1147" i="4"/>
  <c r="E1147" i="4"/>
  <c r="F1147" i="4"/>
  <c r="G1147" i="4"/>
  <c r="H1147" i="4"/>
  <c r="I1147" i="4"/>
  <c r="J1147" i="4"/>
  <c r="A1148" i="4"/>
  <c r="B1148" i="4"/>
  <c r="C1148" i="4"/>
  <c r="D1148" i="4"/>
  <c r="E1148" i="4"/>
  <c r="F1148" i="4"/>
  <c r="G1148" i="4"/>
  <c r="H1148" i="4"/>
  <c r="I1148" i="4"/>
  <c r="J1148" i="4"/>
  <c r="A1149" i="4"/>
  <c r="B1149" i="4"/>
  <c r="C1149" i="4"/>
  <c r="D1149" i="4"/>
  <c r="E1149" i="4"/>
  <c r="F1149" i="4"/>
  <c r="G1149" i="4"/>
  <c r="H1149" i="4"/>
  <c r="I1149" i="4"/>
  <c r="J1149" i="4"/>
  <c r="A1150" i="4"/>
  <c r="B1150" i="4"/>
  <c r="C1150" i="4"/>
  <c r="D1150" i="4"/>
  <c r="E1150" i="4"/>
  <c r="F1150" i="4"/>
  <c r="G1150" i="4"/>
  <c r="H1150" i="4"/>
  <c r="I1150" i="4"/>
  <c r="J1150" i="4"/>
  <c r="A1151" i="4"/>
  <c r="B1151" i="4"/>
  <c r="C1151" i="4"/>
  <c r="D1151" i="4"/>
  <c r="E1151" i="4"/>
  <c r="F1151" i="4"/>
  <c r="G1151" i="4"/>
  <c r="H1151" i="4"/>
  <c r="I1151" i="4"/>
  <c r="J1151" i="4"/>
  <c r="A1152" i="4"/>
  <c r="B1152" i="4"/>
  <c r="C1152" i="4"/>
  <c r="D1152" i="4"/>
  <c r="E1152" i="4"/>
  <c r="F1152" i="4"/>
  <c r="G1152" i="4"/>
  <c r="H1152" i="4"/>
  <c r="I1152" i="4"/>
  <c r="J1152" i="4"/>
  <c r="A1153" i="4"/>
  <c r="B1153" i="4"/>
  <c r="C1153" i="4"/>
  <c r="D1153" i="4"/>
  <c r="E1153" i="4"/>
  <c r="F1153" i="4"/>
  <c r="G1153" i="4"/>
  <c r="H1153" i="4"/>
  <c r="I1153" i="4"/>
  <c r="J1153" i="4"/>
  <c r="A1154" i="4"/>
  <c r="B1154" i="4"/>
  <c r="C1154" i="4"/>
  <c r="D1154" i="4"/>
  <c r="E1154" i="4"/>
  <c r="F1154" i="4"/>
  <c r="G1154" i="4"/>
  <c r="H1154" i="4"/>
  <c r="I1154" i="4"/>
  <c r="J1154" i="4"/>
  <c r="A1155" i="4"/>
  <c r="B1155" i="4"/>
  <c r="C1155" i="4"/>
  <c r="D1155" i="4"/>
  <c r="E1155" i="4"/>
  <c r="F1155" i="4"/>
  <c r="G1155" i="4"/>
  <c r="H1155" i="4"/>
  <c r="I1155" i="4"/>
  <c r="J1155" i="4"/>
  <c r="A1156" i="4"/>
  <c r="B1156" i="4"/>
  <c r="C1156" i="4"/>
  <c r="D1156" i="4"/>
  <c r="E1156" i="4"/>
  <c r="F1156" i="4"/>
  <c r="G1156" i="4"/>
  <c r="H1156" i="4"/>
  <c r="I1156" i="4"/>
  <c r="J1156" i="4"/>
  <c r="D9" i="3"/>
  <c r="B18" i="3"/>
  <c r="C18" i="3"/>
  <c r="D18" i="3"/>
  <c r="E18" i="3"/>
  <c r="F18" i="3"/>
  <c r="G18" i="3"/>
  <c r="H18" i="3"/>
  <c r="I18" i="3"/>
  <c r="J18" i="3"/>
  <c r="K18" i="3"/>
  <c r="B19" i="3"/>
  <c r="C19" i="3"/>
  <c r="D19" i="3"/>
  <c r="E19" i="3"/>
  <c r="F19" i="3"/>
  <c r="G19" i="3"/>
  <c r="H19" i="3"/>
  <c r="I19" i="3"/>
  <c r="J19" i="3"/>
  <c r="K19" i="3"/>
  <c r="B20" i="3"/>
  <c r="C20" i="3"/>
  <c r="D20" i="3"/>
  <c r="E20" i="3"/>
  <c r="F20" i="3"/>
  <c r="G20" i="3"/>
  <c r="H20" i="3"/>
  <c r="I20" i="3"/>
  <c r="J20" i="3"/>
  <c r="K20" i="3"/>
  <c r="B21" i="3"/>
  <c r="C21" i="3"/>
  <c r="D21" i="3"/>
  <c r="E21" i="3"/>
  <c r="F21" i="3"/>
  <c r="G21" i="3"/>
  <c r="H21" i="3"/>
  <c r="I21" i="3"/>
  <c r="J21" i="3"/>
  <c r="K21" i="3"/>
  <c r="B22" i="3"/>
  <c r="C22" i="3"/>
  <c r="D22" i="3"/>
  <c r="E22" i="3"/>
  <c r="F22" i="3"/>
  <c r="G22" i="3"/>
  <c r="H22" i="3"/>
  <c r="I22" i="3"/>
  <c r="J22" i="3"/>
  <c r="K22" i="3"/>
  <c r="B23" i="3"/>
  <c r="C23" i="3"/>
  <c r="D23" i="3"/>
  <c r="E23" i="3"/>
  <c r="F23" i="3"/>
  <c r="G23" i="3"/>
  <c r="H23" i="3"/>
  <c r="I23" i="3"/>
  <c r="J23" i="3"/>
  <c r="K23" i="3"/>
  <c r="B24" i="3"/>
  <c r="C24" i="3"/>
  <c r="D24" i="3"/>
  <c r="E24" i="3"/>
  <c r="F24" i="3"/>
  <c r="G24" i="3"/>
  <c r="H24" i="3"/>
  <c r="I24" i="3"/>
  <c r="J24" i="3"/>
  <c r="K24" i="3"/>
  <c r="B25" i="3"/>
  <c r="C25" i="3"/>
  <c r="D25" i="3"/>
  <c r="E25" i="3"/>
  <c r="F25" i="3"/>
  <c r="G25" i="3"/>
  <c r="H25" i="3"/>
  <c r="I25" i="3"/>
  <c r="J25" i="3"/>
  <c r="K25" i="3"/>
  <c r="B26" i="3"/>
  <c r="C26" i="3"/>
  <c r="D26" i="3"/>
  <c r="E26" i="3"/>
  <c r="F26" i="3"/>
  <c r="G26" i="3"/>
  <c r="H26" i="3"/>
  <c r="I26" i="3"/>
  <c r="J26" i="3"/>
  <c r="K26" i="3"/>
  <c r="B27" i="3"/>
  <c r="C27" i="3"/>
  <c r="D27" i="3"/>
  <c r="E27" i="3"/>
  <c r="F27" i="3"/>
  <c r="G27" i="3"/>
  <c r="H27" i="3"/>
  <c r="I27" i="3"/>
  <c r="J27" i="3"/>
  <c r="K27" i="3"/>
  <c r="B28" i="3"/>
  <c r="C28" i="3"/>
  <c r="D28" i="3"/>
  <c r="E28" i="3"/>
  <c r="F28" i="3"/>
  <c r="G28" i="3"/>
  <c r="H28" i="3"/>
  <c r="I28" i="3"/>
  <c r="J28" i="3"/>
  <c r="K28" i="3"/>
  <c r="B29" i="3"/>
  <c r="C29" i="3"/>
  <c r="D29" i="3"/>
  <c r="E29" i="3"/>
  <c r="F29" i="3"/>
  <c r="G29" i="3"/>
  <c r="H29" i="3"/>
  <c r="I29" i="3"/>
  <c r="J29" i="3"/>
  <c r="K29" i="3"/>
  <c r="B30" i="3"/>
  <c r="C30" i="3"/>
  <c r="D30" i="3"/>
  <c r="E30" i="3"/>
  <c r="F30" i="3"/>
  <c r="G30" i="3"/>
  <c r="H30" i="3"/>
  <c r="I30" i="3"/>
  <c r="J30" i="3"/>
  <c r="K30" i="3"/>
  <c r="B31" i="3"/>
  <c r="C31" i="3"/>
  <c r="D31" i="3"/>
  <c r="E31" i="3"/>
  <c r="F31" i="3"/>
  <c r="G31" i="3"/>
  <c r="H31" i="3"/>
  <c r="I31" i="3"/>
  <c r="J31" i="3"/>
  <c r="K31" i="3"/>
  <c r="B32" i="3"/>
  <c r="C32" i="3"/>
  <c r="D32" i="3"/>
  <c r="E32" i="3"/>
  <c r="F32" i="3"/>
  <c r="G32" i="3"/>
  <c r="H32" i="3"/>
  <c r="I32" i="3"/>
  <c r="J32" i="3"/>
  <c r="K32" i="3"/>
  <c r="B33" i="3"/>
  <c r="C33" i="3"/>
  <c r="D33" i="3"/>
  <c r="E33" i="3"/>
  <c r="F33" i="3"/>
  <c r="G33" i="3"/>
  <c r="H33" i="3"/>
  <c r="I33" i="3"/>
  <c r="J33" i="3"/>
  <c r="K33" i="3"/>
  <c r="B34" i="3"/>
  <c r="C34" i="3"/>
  <c r="D34" i="3"/>
  <c r="E34" i="3"/>
  <c r="F34" i="3"/>
  <c r="G34" i="3"/>
  <c r="H34" i="3"/>
  <c r="I34" i="3"/>
  <c r="J34" i="3"/>
  <c r="K34" i="3"/>
  <c r="B35" i="3"/>
  <c r="C35" i="3"/>
  <c r="D35" i="3"/>
  <c r="E35" i="3"/>
  <c r="F35" i="3"/>
  <c r="G35" i="3"/>
  <c r="H35" i="3"/>
  <c r="I35" i="3"/>
  <c r="J35" i="3"/>
  <c r="K35" i="3"/>
  <c r="B36" i="3"/>
  <c r="C36" i="3"/>
  <c r="D36" i="3"/>
  <c r="E36" i="3"/>
  <c r="F36" i="3"/>
  <c r="G36" i="3"/>
  <c r="H36" i="3"/>
  <c r="I36" i="3"/>
  <c r="J36" i="3"/>
  <c r="K36" i="3"/>
  <c r="B37" i="3"/>
  <c r="C37" i="3"/>
  <c r="D37" i="3"/>
  <c r="E37" i="3"/>
  <c r="F37" i="3"/>
  <c r="G37" i="3"/>
  <c r="H37" i="3"/>
  <c r="I37" i="3"/>
  <c r="J37" i="3"/>
  <c r="K37" i="3"/>
  <c r="B38" i="3"/>
  <c r="C38" i="3"/>
  <c r="D38" i="3"/>
  <c r="E38" i="3"/>
  <c r="F38" i="3"/>
  <c r="G38" i="3"/>
  <c r="H38" i="3"/>
  <c r="I38" i="3"/>
  <c r="J38" i="3"/>
  <c r="K38" i="3"/>
  <c r="B39" i="3"/>
  <c r="C39" i="3"/>
  <c r="D39" i="3"/>
  <c r="E39" i="3"/>
  <c r="F39" i="3"/>
  <c r="G39" i="3"/>
  <c r="H39" i="3"/>
  <c r="I39" i="3"/>
  <c r="J39" i="3"/>
  <c r="K39" i="3"/>
  <c r="B40" i="3"/>
  <c r="C40" i="3"/>
  <c r="D40" i="3"/>
  <c r="E40" i="3"/>
  <c r="F40" i="3"/>
  <c r="G40" i="3"/>
  <c r="H40" i="3"/>
  <c r="I40" i="3"/>
  <c r="J40" i="3"/>
  <c r="K40" i="3"/>
  <c r="B41" i="3"/>
  <c r="C41" i="3"/>
  <c r="D41" i="3"/>
  <c r="E41" i="3"/>
  <c r="F41" i="3"/>
  <c r="G41" i="3"/>
  <c r="H41" i="3"/>
  <c r="I41" i="3"/>
  <c r="J41" i="3"/>
  <c r="K41" i="3"/>
  <c r="B42" i="3"/>
  <c r="C42" i="3"/>
  <c r="D42" i="3"/>
  <c r="E42" i="3"/>
  <c r="F42" i="3"/>
  <c r="G42" i="3"/>
  <c r="H42" i="3"/>
  <c r="I42" i="3"/>
  <c r="J42" i="3"/>
  <c r="K42" i="3"/>
  <c r="B43" i="3"/>
  <c r="C43" i="3"/>
  <c r="D43" i="3"/>
  <c r="E43" i="3"/>
  <c r="F43" i="3"/>
  <c r="G43" i="3"/>
  <c r="H43" i="3"/>
  <c r="I43" i="3"/>
  <c r="J43" i="3"/>
  <c r="K43" i="3"/>
  <c r="B44" i="3"/>
  <c r="C44" i="3"/>
  <c r="D44" i="3"/>
  <c r="E44" i="3"/>
  <c r="F44" i="3"/>
  <c r="G44" i="3"/>
  <c r="H44" i="3"/>
  <c r="I44" i="3"/>
  <c r="J44" i="3"/>
  <c r="K44" i="3"/>
  <c r="B45" i="3"/>
  <c r="C45" i="3"/>
  <c r="D45" i="3"/>
  <c r="E45" i="3"/>
  <c r="F45" i="3"/>
  <c r="G45" i="3"/>
  <c r="H45" i="3"/>
  <c r="I45" i="3"/>
  <c r="J45" i="3"/>
  <c r="K45" i="3"/>
  <c r="B46" i="3"/>
  <c r="C46" i="3"/>
  <c r="D46" i="3"/>
  <c r="E46" i="3"/>
  <c r="F46" i="3"/>
  <c r="G46" i="3"/>
  <c r="H46" i="3"/>
  <c r="I46" i="3"/>
  <c r="J46" i="3"/>
  <c r="K46" i="3"/>
  <c r="B47" i="3"/>
  <c r="C47" i="3"/>
  <c r="D47" i="3"/>
  <c r="E47" i="3"/>
  <c r="F47" i="3"/>
  <c r="G47" i="3"/>
  <c r="H47" i="3"/>
  <c r="I47" i="3"/>
  <c r="J47" i="3"/>
  <c r="K47" i="3"/>
  <c r="B48" i="3"/>
  <c r="C48" i="3"/>
  <c r="D48" i="3"/>
  <c r="E48" i="3"/>
  <c r="F48" i="3"/>
  <c r="G48" i="3"/>
  <c r="H48" i="3"/>
  <c r="I48" i="3"/>
  <c r="J48" i="3"/>
  <c r="K48" i="3"/>
  <c r="B49" i="3"/>
  <c r="C49" i="3"/>
  <c r="D49" i="3"/>
  <c r="E49" i="3"/>
  <c r="F49" i="3"/>
  <c r="G49" i="3"/>
  <c r="H49" i="3"/>
  <c r="I49" i="3"/>
  <c r="J49" i="3"/>
  <c r="K49" i="3"/>
  <c r="B50" i="3"/>
  <c r="C50" i="3"/>
  <c r="D50" i="3"/>
  <c r="E50" i="3"/>
  <c r="F50" i="3"/>
  <c r="G50" i="3"/>
  <c r="H50" i="3"/>
  <c r="I50" i="3"/>
  <c r="J50" i="3"/>
  <c r="K50" i="3"/>
  <c r="B51" i="3"/>
  <c r="C51" i="3"/>
  <c r="D51" i="3"/>
  <c r="E51" i="3"/>
  <c r="F51" i="3"/>
  <c r="G51" i="3"/>
  <c r="H51" i="3"/>
  <c r="I51" i="3"/>
  <c r="J51" i="3"/>
  <c r="K51" i="3"/>
  <c r="B52" i="3"/>
  <c r="C52" i="3"/>
  <c r="D52" i="3"/>
  <c r="E52" i="3"/>
  <c r="F52" i="3"/>
  <c r="G52" i="3"/>
  <c r="H52" i="3"/>
  <c r="I52" i="3"/>
  <c r="J52" i="3"/>
  <c r="K52" i="3"/>
  <c r="B53" i="3"/>
  <c r="C53" i="3"/>
  <c r="D53" i="3"/>
  <c r="E53" i="3"/>
  <c r="F53" i="3"/>
  <c r="G53" i="3"/>
  <c r="H53" i="3"/>
  <c r="I53" i="3"/>
  <c r="J53" i="3"/>
  <c r="K53" i="3"/>
  <c r="B54" i="3"/>
  <c r="C54" i="3"/>
  <c r="D54" i="3"/>
  <c r="E54" i="3"/>
  <c r="F54" i="3"/>
  <c r="G54" i="3"/>
  <c r="H54" i="3"/>
  <c r="I54" i="3"/>
  <c r="J54" i="3"/>
  <c r="K54" i="3"/>
  <c r="B55" i="3"/>
  <c r="C55" i="3"/>
  <c r="D55" i="3"/>
  <c r="E55" i="3"/>
  <c r="F55" i="3"/>
  <c r="G55" i="3"/>
  <c r="H55" i="3"/>
  <c r="I55" i="3"/>
  <c r="J55" i="3"/>
  <c r="K55" i="3"/>
  <c r="B56" i="3"/>
  <c r="C56" i="3"/>
  <c r="D56" i="3"/>
  <c r="E56" i="3"/>
  <c r="F56" i="3"/>
  <c r="G56" i="3"/>
  <c r="H56" i="3"/>
  <c r="I56" i="3"/>
  <c r="J56" i="3"/>
  <c r="K56" i="3"/>
  <c r="B57" i="3"/>
  <c r="C57" i="3"/>
  <c r="D57" i="3"/>
  <c r="E57" i="3"/>
  <c r="F57" i="3"/>
  <c r="G57" i="3"/>
  <c r="H57" i="3"/>
  <c r="I57" i="3"/>
  <c r="J57" i="3"/>
  <c r="K57" i="3"/>
  <c r="B58" i="3"/>
  <c r="C58" i="3"/>
  <c r="D58" i="3"/>
  <c r="E58" i="3"/>
  <c r="F58" i="3"/>
  <c r="G58" i="3"/>
  <c r="H58" i="3"/>
  <c r="I58" i="3"/>
  <c r="J58" i="3"/>
  <c r="K58" i="3"/>
  <c r="B59" i="3"/>
  <c r="C59" i="3"/>
  <c r="D59" i="3"/>
  <c r="E59" i="3"/>
  <c r="F59" i="3"/>
  <c r="G59" i="3"/>
  <c r="H59" i="3"/>
  <c r="I59" i="3"/>
  <c r="J59" i="3"/>
  <c r="K59" i="3"/>
  <c r="B60" i="3"/>
  <c r="C60" i="3"/>
  <c r="D60" i="3"/>
  <c r="E60" i="3"/>
  <c r="F60" i="3"/>
  <c r="G60" i="3"/>
  <c r="H60" i="3"/>
  <c r="I60" i="3"/>
  <c r="J60" i="3"/>
  <c r="K60" i="3"/>
  <c r="B61" i="3"/>
  <c r="C61" i="3"/>
  <c r="D61" i="3"/>
  <c r="E61" i="3"/>
  <c r="F61" i="3"/>
  <c r="G61" i="3"/>
  <c r="H61" i="3"/>
  <c r="I61" i="3"/>
  <c r="J61" i="3"/>
  <c r="K61" i="3"/>
  <c r="B62" i="3"/>
  <c r="C62" i="3"/>
  <c r="D62" i="3"/>
  <c r="E62" i="3"/>
  <c r="F62" i="3"/>
  <c r="G62" i="3"/>
  <c r="H62" i="3"/>
  <c r="I62" i="3"/>
  <c r="J62" i="3"/>
  <c r="K62" i="3"/>
  <c r="B63" i="3"/>
  <c r="C63" i="3"/>
  <c r="D63" i="3"/>
  <c r="E63" i="3"/>
  <c r="F63" i="3"/>
  <c r="G63" i="3"/>
  <c r="H63" i="3"/>
  <c r="I63" i="3"/>
  <c r="J63" i="3"/>
  <c r="K63" i="3"/>
  <c r="B64" i="3"/>
  <c r="C64" i="3"/>
  <c r="D64" i="3"/>
  <c r="E64" i="3"/>
  <c r="F64" i="3"/>
  <c r="G64" i="3"/>
  <c r="H64" i="3"/>
  <c r="I64" i="3"/>
  <c r="J64" i="3"/>
  <c r="K64" i="3"/>
  <c r="B65" i="3"/>
  <c r="C65" i="3"/>
  <c r="D65" i="3"/>
  <c r="E65" i="3"/>
  <c r="F65" i="3"/>
  <c r="G65" i="3"/>
  <c r="H65" i="3"/>
  <c r="I65" i="3"/>
  <c r="J65" i="3"/>
  <c r="K65" i="3"/>
  <c r="B66" i="3"/>
  <c r="C66" i="3"/>
  <c r="D66" i="3"/>
  <c r="E66" i="3"/>
  <c r="F66" i="3"/>
  <c r="G66" i="3"/>
  <c r="H66" i="3"/>
  <c r="I66" i="3"/>
  <c r="J66" i="3"/>
  <c r="K66" i="3"/>
  <c r="B67" i="3"/>
  <c r="C67" i="3"/>
  <c r="D67" i="3"/>
  <c r="E67" i="3"/>
  <c r="F67" i="3"/>
  <c r="G67" i="3"/>
  <c r="H67" i="3"/>
  <c r="I67" i="3"/>
  <c r="J67" i="3"/>
  <c r="K67" i="3"/>
  <c r="B68" i="3"/>
  <c r="C68" i="3"/>
  <c r="D68" i="3"/>
  <c r="E68" i="3"/>
  <c r="F68" i="3"/>
  <c r="G68" i="3"/>
  <c r="H68" i="3"/>
  <c r="I68" i="3"/>
  <c r="J68" i="3"/>
  <c r="K68" i="3"/>
  <c r="B69" i="3"/>
  <c r="C69" i="3"/>
  <c r="D69" i="3"/>
  <c r="E69" i="3"/>
  <c r="F69" i="3"/>
  <c r="G69" i="3"/>
  <c r="H69" i="3"/>
  <c r="I69" i="3"/>
  <c r="J69" i="3"/>
  <c r="K69" i="3"/>
  <c r="B70" i="3"/>
  <c r="C70" i="3"/>
  <c r="D70" i="3"/>
  <c r="E70" i="3"/>
  <c r="F70" i="3"/>
  <c r="G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B72" i="3"/>
  <c r="C72" i="3"/>
  <c r="D72" i="3"/>
  <c r="E72" i="3"/>
  <c r="F72" i="3"/>
  <c r="G72" i="3"/>
  <c r="H72" i="3"/>
  <c r="I72" i="3"/>
  <c r="J72" i="3"/>
  <c r="K72" i="3"/>
  <c r="B73" i="3"/>
  <c r="C73" i="3"/>
  <c r="D73" i="3"/>
  <c r="E73" i="3"/>
  <c r="F73" i="3"/>
  <c r="G73" i="3"/>
  <c r="H73" i="3"/>
  <c r="I73" i="3"/>
  <c r="J73" i="3"/>
  <c r="K73" i="3"/>
  <c r="B74" i="3"/>
  <c r="C74" i="3"/>
  <c r="D74" i="3"/>
  <c r="E74" i="3"/>
  <c r="F74" i="3"/>
  <c r="G74" i="3"/>
  <c r="H74" i="3"/>
  <c r="I74" i="3"/>
  <c r="J74" i="3"/>
  <c r="K74" i="3"/>
  <c r="B75" i="3"/>
  <c r="C75" i="3"/>
  <c r="D75" i="3"/>
  <c r="E75" i="3"/>
  <c r="F75" i="3"/>
  <c r="G75" i="3"/>
  <c r="H75" i="3"/>
  <c r="I75" i="3"/>
  <c r="J75" i="3"/>
  <c r="K75" i="3"/>
  <c r="B76" i="3"/>
  <c r="C76" i="3"/>
  <c r="D76" i="3"/>
  <c r="E76" i="3"/>
  <c r="F76" i="3"/>
  <c r="G76" i="3"/>
  <c r="H76" i="3"/>
  <c r="I76" i="3"/>
  <c r="J76" i="3"/>
  <c r="K76" i="3"/>
  <c r="B77" i="3"/>
  <c r="C77" i="3"/>
  <c r="D77" i="3"/>
  <c r="E77" i="3"/>
  <c r="F77" i="3"/>
  <c r="G77" i="3"/>
  <c r="H77" i="3"/>
  <c r="I77" i="3"/>
  <c r="J77" i="3"/>
  <c r="K77" i="3"/>
  <c r="B78" i="3"/>
  <c r="C78" i="3"/>
  <c r="D78" i="3"/>
  <c r="E78" i="3"/>
  <c r="F78" i="3"/>
  <c r="G78" i="3"/>
  <c r="H78" i="3"/>
  <c r="I78" i="3"/>
  <c r="J78" i="3"/>
  <c r="K78" i="3"/>
  <c r="B79" i="3"/>
  <c r="C79" i="3"/>
  <c r="D79" i="3"/>
  <c r="E79" i="3"/>
  <c r="F79" i="3"/>
  <c r="G79" i="3"/>
  <c r="H79" i="3"/>
  <c r="I79" i="3"/>
  <c r="J79" i="3"/>
  <c r="K79" i="3"/>
  <c r="B80" i="3"/>
  <c r="C80" i="3"/>
  <c r="D80" i="3"/>
  <c r="E80" i="3"/>
  <c r="F80" i="3"/>
  <c r="G80" i="3"/>
  <c r="H80" i="3"/>
  <c r="I80" i="3"/>
  <c r="J80" i="3"/>
  <c r="K80" i="3"/>
  <c r="B81" i="3"/>
  <c r="C81" i="3"/>
  <c r="D81" i="3"/>
  <c r="E81" i="3"/>
  <c r="F81" i="3"/>
  <c r="G81" i="3"/>
  <c r="H81" i="3"/>
  <c r="I81" i="3"/>
  <c r="J81" i="3"/>
  <c r="K81" i="3"/>
  <c r="B82" i="3"/>
  <c r="C82" i="3"/>
  <c r="D82" i="3"/>
  <c r="E82" i="3"/>
  <c r="F82" i="3"/>
  <c r="G82" i="3"/>
  <c r="H82" i="3"/>
  <c r="I82" i="3"/>
  <c r="J82" i="3"/>
  <c r="K82" i="3"/>
  <c r="B83" i="3"/>
  <c r="C83" i="3"/>
  <c r="D83" i="3"/>
  <c r="E83" i="3"/>
  <c r="F83" i="3"/>
  <c r="G83" i="3"/>
  <c r="H83" i="3"/>
  <c r="I83" i="3"/>
  <c r="J83" i="3"/>
  <c r="K83" i="3"/>
  <c r="B84" i="3"/>
  <c r="C84" i="3"/>
  <c r="D84" i="3"/>
  <c r="E84" i="3"/>
  <c r="F84" i="3"/>
  <c r="G84" i="3"/>
  <c r="H84" i="3"/>
  <c r="I84" i="3"/>
  <c r="J84" i="3"/>
  <c r="K84" i="3"/>
  <c r="B85" i="3"/>
  <c r="C85" i="3"/>
  <c r="D85" i="3"/>
  <c r="E85" i="3"/>
  <c r="F85" i="3"/>
  <c r="G85" i="3"/>
  <c r="H85" i="3"/>
  <c r="I85" i="3"/>
  <c r="J85" i="3"/>
  <c r="K85" i="3"/>
  <c r="B86" i="3"/>
  <c r="C86" i="3"/>
  <c r="D86" i="3"/>
  <c r="E86" i="3"/>
  <c r="F86" i="3"/>
  <c r="G86" i="3"/>
  <c r="H86" i="3"/>
  <c r="I86" i="3"/>
  <c r="J86" i="3"/>
  <c r="K86" i="3"/>
  <c r="B87" i="3"/>
  <c r="C87" i="3"/>
  <c r="D87" i="3"/>
  <c r="E87" i="3"/>
  <c r="F87" i="3"/>
  <c r="G87" i="3"/>
  <c r="H87" i="3"/>
  <c r="I87" i="3"/>
  <c r="J87" i="3"/>
  <c r="K87" i="3"/>
  <c r="B88" i="3"/>
  <c r="C88" i="3"/>
  <c r="D88" i="3"/>
  <c r="E88" i="3"/>
  <c r="F88" i="3"/>
  <c r="G88" i="3"/>
  <c r="H88" i="3"/>
  <c r="I88" i="3"/>
  <c r="J88" i="3"/>
  <c r="K88" i="3"/>
  <c r="B89" i="3"/>
  <c r="C89" i="3"/>
  <c r="D89" i="3"/>
  <c r="E89" i="3"/>
  <c r="F89" i="3"/>
  <c r="G89" i="3"/>
  <c r="H89" i="3"/>
  <c r="I89" i="3"/>
  <c r="J89" i="3"/>
  <c r="K89" i="3"/>
  <c r="B90" i="3"/>
  <c r="C90" i="3"/>
  <c r="D90" i="3"/>
  <c r="E90" i="3"/>
  <c r="F90" i="3"/>
  <c r="G90" i="3"/>
  <c r="H90" i="3"/>
  <c r="I90" i="3"/>
  <c r="J90" i="3"/>
  <c r="K90" i="3"/>
  <c r="B91" i="3"/>
  <c r="C91" i="3"/>
  <c r="D91" i="3"/>
  <c r="E91" i="3"/>
  <c r="F91" i="3"/>
  <c r="G91" i="3"/>
  <c r="H91" i="3"/>
  <c r="I91" i="3"/>
  <c r="J91" i="3"/>
  <c r="K91" i="3"/>
  <c r="B92" i="3"/>
  <c r="C92" i="3"/>
  <c r="D92" i="3"/>
  <c r="E92" i="3"/>
  <c r="F92" i="3"/>
  <c r="G92" i="3"/>
  <c r="H92" i="3"/>
  <c r="I92" i="3"/>
  <c r="J92" i="3"/>
  <c r="K92" i="3"/>
  <c r="B93" i="3"/>
  <c r="C93" i="3"/>
  <c r="D93" i="3"/>
  <c r="E93" i="3"/>
  <c r="F93" i="3"/>
  <c r="G93" i="3"/>
  <c r="H93" i="3"/>
  <c r="I93" i="3"/>
  <c r="J93" i="3"/>
  <c r="K93" i="3"/>
  <c r="B94" i="3"/>
  <c r="C94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B96" i="3"/>
  <c r="C96" i="3"/>
  <c r="D96" i="3"/>
  <c r="E96" i="3"/>
  <c r="F96" i="3"/>
  <c r="G96" i="3"/>
  <c r="H96" i="3"/>
  <c r="I96" i="3"/>
  <c r="J96" i="3"/>
  <c r="K96" i="3"/>
  <c r="B97" i="3"/>
  <c r="C97" i="3"/>
  <c r="D97" i="3"/>
  <c r="E97" i="3"/>
  <c r="F97" i="3"/>
  <c r="G97" i="3"/>
  <c r="H97" i="3"/>
  <c r="I97" i="3"/>
  <c r="J97" i="3"/>
  <c r="K97" i="3"/>
  <c r="B98" i="3"/>
  <c r="C98" i="3"/>
  <c r="D98" i="3"/>
  <c r="E98" i="3"/>
  <c r="F98" i="3"/>
  <c r="G98" i="3"/>
  <c r="H98" i="3"/>
  <c r="I98" i="3"/>
  <c r="J98" i="3"/>
  <c r="K98" i="3"/>
  <c r="B99" i="3"/>
  <c r="C99" i="3"/>
  <c r="D99" i="3"/>
  <c r="E99" i="3"/>
  <c r="F99" i="3"/>
  <c r="G99" i="3"/>
  <c r="H99" i="3"/>
  <c r="I99" i="3"/>
  <c r="J99" i="3"/>
  <c r="K99" i="3"/>
  <c r="B100" i="3"/>
  <c r="C100" i="3"/>
  <c r="D100" i="3"/>
  <c r="E100" i="3"/>
  <c r="F100" i="3"/>
  <c r="G100" i="3"/>
  <c r="H100" i="3"/>
  <c r="I100" i="3"/>
  <c r="J100" i="3"/>
  <c r="K100" i="3"/>
  <c r="B101" i="3"/>
  <c r="C101" i="3"/>
  <c r="D101" i="3"/>
  <c r="E101" i="3"/>
  <c r="F101" i="3"/>
  <c r="G101" i="3"/>
  <c r="H101" i="3"/>
  <c r="I101" i="3"/>
  <c r="J101" i="3"/>
  <c r="K101" i="3"/>
  <c r="B102" i="3"/>
  <c r="C102" i="3"/>
  <c r="D102" i="3"/>
  <c r="E102" i="3"/>
  <c r="F102" i="3"/>
  <c r="G102" i="3"/>
  <c r="H102" i="3"/>
  <c r="I102" i="3"/>
  <c r="J102" i="3"/>
  <c r="K102" i="3"/>
  <c r="B103" i="3"/>
  <c r="C103" i="3"/>
  <c r="D103" i="3"/>
  <c r="E103" i="3"/>
  <c r="F103" i="3"/>
  <c r="G103" i="3"/>
  <c r="H103" i="3"/>
  <c r="I103" i="3"/>
  <c r="J103" i="3"/>
  <c r="K103" i="3"/>
  <c r="B104" i="3"/>
  <c r="C104" i="3"/>
  <c r="D104" i="3"/>
  <c r="E104" i="3"/>
  <c r="F104" i="3"/>
  <c r="G104" i="3"/>
  <c r="H104" i="3"/>
  <c r="I104" i="3"/>
  <c r="J104" i="3"/>
  <c r="K104" i="3"/>
  <c r="B105" i="3"/>
  <c r="C105" i="3"/>
  <c r="D105" i="3"/>
  <c r="E105" i="3"/>
  <c r="F105" i="3"/>
  <c r="G105" i="3"/>
  <c r="H105" i="3"/>
  <c r="I105" i="3"/>
  <c r="J105" i="3"/>
  <c r="K105" i="3"/>
  <c r="B106" i="3"/>
  <c r="C106" i="3"/>
  <c r="D106" i="3"/>
  <c r="E106" i="3"/>
  <c r="F106" i="3"/>
  <c r="G106" i="3"/>
  <c r="H106" i="3"/>
  <c r="I106" i="3"/>
  <c r="J106" i="3"/>
  <c r="K106" i="3"/>
  <c r="B107" i="3"/>
  <c r="C107" i="3"/>
  <c r="D107" i="3"/>
  <c r="E107" i="3"/>
  <c r="F107" i="3"/>
  <c r="G107" i="3"/>
  <c r="H107" i="3"/>
  <c r="I107" i="3"/>
  <c r="J107" i="3"/>
  <c r="K107" i="3"/>
  <c r="B108" i="3"/>
  <c r="C108" i="3"/>
  <c r="D108" i="3"/>
  <c r="E108" i="3"/>
  <c r="F108" i="3"/>
  <c r="G108" i="3"/>
  <c r="H108" i="3"/>
  <c r="I108" i="3"/>
  <c r="J108" i="3"/>
  <c r="K108" i="3"/>
  <c r="B109" i="3"/>
  <c r="C109" i="3"/>
  <c r="D109" i="3"/>
  <c r="E109" i="3"/>
  <c r="F109" i="3"/>
  <c r="G109" i="3"/>
  <c r="H109" i="3"/>
  <c r="I109" i="3"/>
  <c r="J109" i="3"/>
  <c r="K109" i="3"/>
  <c r="B110" i="3"/>
  <c r="C110" i="3"/>
  <c r="D110" i="3"/>
  <c r="E110" i="3"/>
  <c r="F110" i="3"/>
  <c r="G110" i="3"/>
  <c r="H110" i="3"/>
  <c r="I110" i="3"/>
  <c r="J110" i="3"/>
  <c r="K110" i="3"/>
  <c r="B111" i="3"/>
  <c r="C111" i="3"/>
  <c r="D111" i="3"/>
  <c r="E111" i="3"/>
  <c r="F111" i="3"/>
  <c r="G111" i="3"/>
  <c r="H111" i="3"/>
  <c r="I111" i="3"/>
  <c r="J111" i="3"/>
  <c r="K111" i="3"/>
  <c r="B112" i="3"/>
  <c r="C112" i="3"/>
  <c r="D112" i="3"/>
  <c r="E112" i="3"/>
  <c r="F112" i="3"/>
  <c r="G112" i="3"/>
  <c r="H112" i="3"/>
  <c r="I112" i="3"/>
  <c r="J112" i="3"/>
  <c r="K112" i="3"/>
  <c r="B113" i="3"/>
  <c r="C113" i="3"/>
  <c r="D113" i="3"/>
  <c r="E113" i="3"/>
  <c r="F113" i="3"/>
  <c r="G113" i="3"/>
  <c r="H113" i="3"/>
  <c r="I113" i="3"/>
  <c r="J113" i="3"/>
  <c r="K113" i="3"/>
  <c r="B114" i="3"/>
  <c r="C114" i="3"/>
  <c r="D114" i="3"/>
  <c r="E114" i="3"/>
  <c r="F114" i="3"/>
  <c r="G114" i="3"/>
  <c r="H114" i="3"/>
  <c r="I114" i="3"/>
  <c r="J114" i="3"/>
  <c r="K114" i="3"/>
  <c r="B115" i="3"/>
  <c r="C115" i="3"/>
  <c r="D115" i="3"/>
  <c r="E115" i="3"/>
  <c r="F115" i="3"/>
  <c r="G115" i="3"/>
  <c r="H115" i="3"/>
  <c r="I115" i="3"/>
  <c r="J115" i="3"/>
  <c r="K115" i="3"/>
  <c r="B116" i="3"/>
  <c r="C116" i="3"/>
  <c r="D116" i="3"/>
  <c r="E116" i="3"/>
  <c r="F116" i="3"/>
  <c r="G116" i="3"/>
  <c r="H116" i="3"/>
  <c r="I116" i="3"/>
  <c r="J116" i="3"/>
  <c r="K116" i="3"/>
  <c r="B117" i="3"/>
  <c r="C117" i="3"/>
  <c r="D117" i="3"/>
  <c r="E117" i="3"/>
  <c r="F117" i="3"/>
  <c r="G117" i="3"/>
  <c r="H117" i="3"/>
  <c r="I117" i="3"/>
  <c r="J117" i="3"/>
  <c r="K117" i="3"/>
  <c r="B118" i="3"/>
  <c r="C118" i="3"/>
  <c r="D118" i="3"/>
  <c r="E118" i="3"/>
  <c r="F118" i="3"/>
  <c r="G118" i="3"/>
  <c r="H118" i="3"/>
  <c r="I118" i="3"/>
  <c r="J118" i="3"/>
  <c r="K118" i="3"/>
  <c r="B119" i="3"/>
  <c r="C119" i="3"/>
  <c r="D119" i="3"/>
  <c r="E119" i="3"/>
  <c r="F119" i="3"/>
  <c r="G119" i="3"/>
  <c r="H119" i="3"/>
  <c r="I119" i="3"/>
  <c r="J119" i="3"/>
  <c r="K119" i="3"/>
  <c r="B120" i="3"/>
  <c r="C120" i="3"/>
  <c r="D120" i="3"/>
  <c r="E120" i="3"/>
  <c r="F120" i="3"/>
  <c r="G120" i="3"/>
  <c r="H120" i="3"/>
  <c r="I120" i="3"/>
  <c r="J120" i="3"/>
  <c r="K120" i="3"/>
  <c r="B121" i="3"/>
  <c r="C121" i="3"/>
  <c r="D121" i="3"/>
  <c r="E121" i="3"/>
  <c r="F121" i="3"/>
  <c r="G121" i="3"/>
  <c r="H121" i="3"/>
  <c r="I121" i="3"/>
  <c r="J121" i="3"/>
  <c r="K121" i="3"/>
  <c r="B122" i="3"/>
  <c r="C122" i="3"/>
  <c r="D122" i="3"/>
  <c r="E122" i="3"/>
  <c r="F122" i="3"/>
  <c r="G122" i="3"/>
  <c r="H122" i="3"/>
  <c r="I122" i="3"/>
  <c r="J122" i="3"/>
  <c r="K122" i="3"/>
  <c r="B123" i="3"/>
  <c r="C123" i="3"/>
  <c r="D123" i="3"/>
  <c r="E123" i="3"/>
  <c r="F123" i="3"/>
  <c r="G123" i="3"/>
  <c r="H123" i="3"/>
  <c r="I123" i="3"/>
  <c r="J123" i="3"/>
  <c r="K123" i="3"/>
  <c r="B124" i="3"/>
  <c r="C124" i="3"/>
  <c r="D124" i="3"/>
  <c r="E124" i="3"/>
  <c r="F124" i="3"/>
  <c r="G124" i="3"/>
  <c r="H124" i="3"/>
  <c r="I124" i="3"/>
  <c r="J124" i="3"/>
  <c r="K124" i="3"/>
  <c r="B125" i="3"/>
  <c r="C125" i="3"/>
  <c r="D125" i="3"/>
  <c r="E125" i="3"/>
  <c r="F125" i="3"/>
  <c r="G125" i="3"/>
  <c r="H125" i="3"/>
  <c r="I125" i="3"/>
  <c r="J125" i="3"/>
  <c r="K125" i="3"/>
  <c r="B126" i="3"/>
  <c r="C126" i="3"/>
  <c r="D126" i="3"/>
  <c r="E126" i="3"/>
  <c r="F126" i="3"/>
  <c r="G126" i="3"/>
  <c r="H126" i="3"/>
  <c r="I126" i="3"/>
  <c r="J126" i="3"/>
  <c r="K126" i="3"/>
  <c r="B127" i="3"/>
  <c r="C127" i="3"/>
  <c r="D127" i="3"/>
  <c r="E127" i="3"/>
  <c r="F127" i="3"/>
  <c r="G127" i="3"/>
  <c r="H127" i="3"/>
  <c r="I127" i="3"/>
  <c r="J127" i="3"/>
  <c r="K127" i="3"/>
  <c r="B128" i="3"/>
  <c r="C128" i="3"/>
  <c r="D128" i="3"/>
  <c r="E128" i="3"/>
  <c r="F128" i="3"/>
  <c r="G128" i="3"/>
  <c r="H128" i="3"/>
  <c r="I128" i="3"/>
  <c r="J128" i="3"/>
  <c r="K128" i="3"/>
  <c r="B129" i="3"/>
  <c r="C129" i="3"/>
  <c r="D129" i="3"/>
  <c r="E129" i="3"/>
  <c r="F129" i="3"/>
  <c r="G129" i="3"/>
  <c r="H129" i="3"/>
  <c r="I129" i="3"/>
  <c r="J129" i="3"/>
  <c r="K129" i="3"/>
  <c r="B130" i="3"/>
  <c r="C130" i="3"/>
  <c r="D130" i="3"/>
  <c r="E130" i="3"/>
  <c r="F130" i="3"/>
  <c r="G130" i="3"/>
  <c r="H130" i="3"/>
  <c r="I130" i="3"/>
  <c r="J130" i="3"/>
  <c r="K130" i="3"/>
  <c r="B131" i="3"/>
  <c r="C131" i="3"/>
  <c r="D131" i="3"/>
  <c r="E131" i="3"/>
  <c r="F131" i="3"/>
  <c r="G131" i="3"/>
  <c r="H131" i="3"/>
  <c r="I131" i="3"/>
  <c r="J131" i="3"/>
  <c r="K131" i="3"/>
  <c r="B132" i="3"/>
  <c r="C132" i="3"/>
  <c r="D132" i="3"/>
  <c r="E132" i="3"/>
  <c r="F132" i="3"/>
  <c r="G132" i="3"/>
  <c r="H132" i="3"/>
  <c r="I132" i="3"/>
  <c r="J132" i="3"/>
  <c r="K132" i="3"/>
  <c r="B133" i="3"/>
  <c r="C133" i="3"/>
  <c r="D133" i="3"/>
  <c r="E133" i="3"/>
  <c r="F133" i="3"/>
  <c r="G133" i="3"/>
  <c r="H133" i="3"/>
  <c r="I133" i="3"/>
  <c r="J133" i="3"/>
  <c r="K133" i="3"/>
  <c r="B134" i="3"/>
  <c r="C134" i="3"/>
  <c r="D134" i="3"/>
  <c r="E134" i="3"/>
  <c r="F134" i="3"/>
  <c r="G134" i="3"/>
  <c r="H134" i="3"/>
  <c r="I134" i="3"/>
  <c r="J134" i="3"/>
  <c r="K134" i="3"/>
  <c r="B135" i="3"/>
  <c r="C135" i="3"/>
  <c r="D135" i="3"/>
  <c r="E135" i="3"/>
  <c r="F135" i="3"/>
  <c r="G135" i="3"/>
  <c r="H135" i="3"/>
  <c r="I135" i="3"/>
  <c r="J135" i="3"/>
  <c r="K135" i="3"/>
  <c r="B136" i="3"/>
  <c r="C136" i="3"/>
  <c r="D136" i="3"/>
  <c r="E136" i="3"/>
  <c r="F136" i="3"/>
  <c r="G136" i="3"/>
  <c r="H136" i="3"/>
  <c r="I136" i="3"/>
  <c r="J136" i="3"/>
  <c r="K136" i="3"/>
  <c r="B137" i="3"/>
  <c r="C137" i="3"/>
  <c r="D137" i="3"/>
  <c r="E137" i="3"/>
  <c r="F137" i="3"/>
  <c r="G137" i="3"/>
  <c r="H137" i="3"/>
  <c r="I137" i="3"/>
  <c r="J137" i="3"/>
  <c r="K137" i="3"/>
  <c r="B138" i="3"/>
  <c r="C138" i="3"/>
  <c r="D138" i="3"/>
  <c r="E138" i="3"/>
  <c r="F138" i="3"/>
  <c r="G138" i="3"/>
  <c r="H138" i="3"/>
  <c r="I138" i="3"/>
  <c r="J138" i="3"/>
  <c r="K138" i="3"/>
  <c r="B139" i="3"/>
  <c r="C139" i="3"/>
  <c r="D139" i="3"/>
  <c r="E139" i="3"/>
  <c r="F139" i="3"/>
  <c r="G139" i="3"/>
  <c r="H139" i="3"/>
  <c r="I139" i="3"/>
  <c r="J139" i="3"/>
  <c r="K139" i="3"/>
  <c r="B140" i="3"/>
  <c r="C140" i="3"/>
  <c r="D140" i="3"/>
  <c r="E140" i="3"/>
  <c r="F140" i="3"/>
  <c r="G140" i="3"/>
  <c r="H140" i="3"/>
  <c r="I140" i="3"/>
  <c r="J140" i="3"/>
  <c r="K140" i="3"/>
  <c r="B141" i="3"/>
  <c r="C141" i="3"/>
  <c r="D141" i="3"/>
  <c r="E141" i="3"/>
  <c r="F141" i="3"/>
  <c r="G141" i="3"/>
  <c r="H141" i="3"/>
  <c r="I141" i="3"/>
  <c r="J141" i="3"/>
  <c r="K141" i="3"/>
  <c r="B142" i="3"/>
  <c r="C142" i="3"/>
  <c r="D142" i="3"/>
  <c r="E142" i="3"/>
  <c r="F142" i="3"/>
  <c r="G142" i="3"/>
  <c r="H142" i="3"/>
  <c r="I142" i="3"/>
  <c r="J142" i="3"/>
  <c r="K142" i="3"/>
  <c r="B143" i="3"/>
  <c r="C143" i="3"/>
  <c r="D143" i="3"/>
  <c r="E143" i="3"/>
  <c r="F143" i="3"/>
  <c r="G143" i="3"/>
  <c r="H143" i="3"/>
  <c r="I143" i="3"/>
  <c r="J143" i="3"/>
  <c r="K143" i="3"/>
  <c r="B144" i="3"/>
  <c r="C144" i="3"/>
  <c r="D144" i="3"/>
  <c r="E144" i="3"/>
  <c r="F144" i="3"/>
  <c r="G144" i="3"/>
  <c r="H144" i="3"/>
  <c r="I144" i="3"/>
  <c r="J144" i="3"/>
  <c r="K144" i="3"/>
  <c r="B145" i="3"/>
  <c r="C145" i="3"/>
  <c r="D145" i="3"/>
  <c r="E145" i="3"/>
  <c r="F145" i="3"/>
  <c r="G145" i="3"/>
  <c r="H145" i="3"/>
  <c r="I145" i="3"/>
  <c r="J145" i="3"/>
  <c r="K145" i="3"/>
  <c r="B146" i="3"/>
  <c r="C146" i="3"/>
  <c r="D146" i="3"/>
  <c r="E146" i="3"/>
  <c r="F146" i="3"/>
  <c r="G146" i="3"/>
  <c r="H146" i="3"/>
  <c r="I146" i="3"/>
  <c r="J146" i="3"/>
  <c r="K146" i="3"/>
  <c r="B147" i="3"/>
  <c r="C147" i="3"/>
  <c r="D147" i="3"/>
  <c r="E147" i="3"/>
  <c r="F147" i="3"/>
  <c r="G147" i="3"/>
  <c r="H147" i="3"/>
  <c r="I147" i="3"/>
  <c r="J147" i="3"/>
  <c r="K147" i="3"/>
  <c r="B148" i="3"/>
  <c r="C148" i="3"/>
  <c r="D148" i="3"/>
  <c r="E148" i="3"/>
  <c r="F148" i="3"/>
  <c r="G148" i="3"/>
  <c r="H148" i="3"/>
  <c r="I148" i="3"/>
  <c r="J148" i="3"/>
  <c r="K148" i="3"/>
  <c r="B149" i="3"/>
  <c r="C149" i="3"/>
  <c r="D149" i="3"/>
  <c r="E149" i="3"/>
  <c r="F149" i="3"/>
  <c r="G149" i="3"/>
  <c r="H149" i="3"/>
  <c r="I149" i="3"/>
  <c r="J149" i="3"/>
  <c r="K149" i="3"/>
  <c r="B150" i="3"/>
  <c r="C150" i="3"/>
  <c r="D150" i="3"/>
  <c r="E150" i="3"/>
  <c r="F150" i="3"/>
  <c r="G150" i="3"/>
  <c r="H150" i="3"/>
  <c r="I150" i="3"/>
  <c r="J150" i="3"/>
  <c r="K150" i="3"/>
  <c r="B151" i="3"/>
  <c r="C151" i="3"/>
  <c r="D151" i="3"/>
  <c r="E151" i="3"/>
  <c r="F151" i="3"/>
  <c r="G151" i="3"/>
  <c r="H151" i="3"/>
  <c r="I151" i="3"/>
  <c r="J151" i="3"/>
  <c r="K151" i="3"/>
  <c r="B152" i="3"/>
  <c r="C152" i="3"/>
  <c r="D152" i="3"/>
  <c r="E152" i="3"/>
  <c r="F152" i="3"/>
  <c r="G152" i="3"/>
  <c r="H152" i="3"/>
  <c r="I152" i="3"/>
  <c r="J152" i="3"/>
  <c r="K152" i="3"/>
  <c r="B153" i="3"/>
  <c r="C153" i="3"/>
  <c r="D153" i="3"/>
  <c r="E153" i="3"/>
  <c r="F153" i="3"/>
  <c r="G153" i="3"/>
  <c r="H153" i="3"/>
  <c r="I153" i="3"/>
  <c r="J153" i="3"/>
  <c r="K153" i="3"/>
  <c r="B154" i="3"/>
  <c r="C154" i="3"/>
  <c r="D154" i="3"/>
  <c r="E154" i="3"/>
  <c r="F154" i="3"/>
  <c r="G154" i="3"/>
  <c r="H154" i="3"/>
  <c r="I154" i="3"/>
  <c r="J154" i="3"/>
  <c r="K154" i="3"/>
  <c r="B155" i="3"/>
  <c r="C155" i="3"/>
  <c r="D155" i="3"/>
  <c r="E155" i="3"/>
  <c r="F155" i="3"/>
  <c r="G155" i="3"/>
  <c r="H155" i="3"/>
  <c r="I155" i="3"/>
  <c r="J155" i="3"/>
  <c r="K155" i="3"/>
  <c r="B156" i="3"/>
  <c r="C156" i="3"/>
  <c r="D156" i="3"/>
  <c r="E156" i="3"/>
  <c r="F156" i="3"/>
  <c r="G156" i="3"/>
  <c r="H156" i="3"/>
  <c r="I156" i="3"/>
  <c r="J156" i="3"/>
  <c r="K156" i="3"/>
  <c r="B157" i="3"/>
  <c r="C157" i="3"/>
  <c r="D157" i="3"/>
  <c r="E157" i="3"/>
  <c r="F157" i="3"/>
  <c r="G157" i="3"/>
  <c r="H157" i="3"/>
  <c r="I157" i="3"/>
  <c r="J157" i="3"/>
  <c r="K157" i="3"/>
  <c r="B158" i="3"/>
  <c r="C158" i="3"/>
  <c r="D158" i="3"/>
  <c r="E158" i="3"/>
  <c r="F158" i="3"/>
  <c r="G158" i="3"/>
  <c r="H158" i="3"/>
  <c r="I158" i="3"/>
  <c r="J158" i="3"/>
  <c r="K158" i="3"/>
  <c r="B159" i="3"/>
  <c r="C159" i="3"/>
  <c r="D159" i="3"/>
  <c r="E159" i="3"/>
  <c r="F159" i="3"/>
  <c r="G159" i="3"/>
  <c r="H159" i="3"/>
  <c r="I159" i="3"/>
  <c r="J159" i="3"/>
  <c r="K159" i="3"/>
  <c r="B160" i="3"/>
  <c r="C160" i="3"/>
  <c r="D160" i="3"/>
  <c r="E160" i="3"/>
  <c r="F160" i="3"/>
  <c r="G160" i="3"/>
  <c r="H160" i="3"/>
  <c r="I160" i="3"/>
  <c r="J160" i="3"/>
  <c r="K160" i="3"/>
  <c r="B161" i="3"/>
  <c r="C161" i="3"/>
  <c r="D161" i="3"/>
  <c r="E161" i="3"/>
  <c r="F161" i="3"/>
  <c r="G161" i="3"/>
  <c r="H161" i="3"/>
  <c r="I161" i="3"/>
  <c r="J161" i="3"/>
  <c r="K161" i="3"/>
  <c r="B162" i="3"/>
  <c r="C162" i="3"/>
  <c r="D162" i="3"/>
  <c r="E162" i="3"/>
  <c r="F162" i="3"/>
  <c r="G162" i="3"/>
  <c r="H162" i="3"/>
  <c r="I162" i="3"/>
  <c r="J162" i="3"/>
  <c r="K162" i="3"/>
  <c r="B163" i="3"/>
  <c r="C163" i="3"/>
  <c r="D163" i="3"/>
  <c r="E163" i="3"/>
  <c r="F163" i="3"/>
  <c r="G163" i="3"/>
  <c r="H163" i="3"/>
  <c r="I163" i="3"/>
  <c r="J163" i="3"/>
  <c r="K163" i="3"/>
  <c r="B164" i="3"/>
  <c r="C164" i="3"/>
  <c r="D164" i="3"/>
  <c r="E164" i="3"/>
  <c r="F164" i="3"/>
  <c r="G164" i="3"/>
  <c r="H164" i="3"/>
  <c r="I164" i="3"/>
  <c r="J164" i="3"/>
  <c r="K164" i="3"/>
  <c r="B165" i="3"/>
  <c r="C165" i="3"/>
  <c r="D165" i="3"/>
  <c r="E165" i="3"/>
  <c r="F165" i="3"/>
  <c r="G165" i="3"/>
  <c r="H165" i="3"/>
  <c r="I165" i="3"/>
  <c r="J165" i="3"/>
  <c r="K165" i="3"/>
  <c r="B166" i="3"/>
  <c r="C166" i="3"/>
  <c r="D166" i="3"/>
  <c r="E166" i="3"/>
  <c r="F166" i="3"/>
  <c r="G166" i="3"/>
  <c r="H166" i="3"/>
  <c r="I166" i="3"/>
  <c r="J166" i="3"/>
  <c r="K166" i="3"/>
  <c r="B167" i="3"/>
  <c r="C167" i="3"/>
  <c r="D167" i="3"/>
  <c r="E167" i="3"/>
  <c r="F167" i="3"/>
  <c r="G167" i="3"/>
  <c r="H167" i="3"/>
  <c r="I167" i="3"/>
  <c r="J167" i="3"/>
  <c r="K167" i="3"/>
  <c r="B168" i="3"/>
  <c r="C168" i="3"/>
  <c r="D168" i="3"/>
  <c r="E168" i="3"/>
  <c r="F168" i="3"/>
  <c r="G168" i="3"/>
  <c r="H168" i="3"/>
  <c r="I168" i="3"/>
  <c r="J168" i="3"/>
  <c r="K168" i="3"/>
  <c r="B169" i="3"/>
  <c r="C169" i="3"/>
  <c r="D169" i="3"/>
  <c r="E169" i="3"/>
  <c r="F169" i="3"/>
  <c r="G169" i="3"/>
  <c r="H169" i="3"/>
  <c r="I169" i="3"/>
  <c r="J169" i="3"/>
  <c r="K169" i="3"/>
  <c r="B170" i="3"/>
  <c r="C170" i="3"/>
  <c r="D170" i="3"/>
  <c r="E170" i="3"/>
  <c r="F170" i="3"/>
  <c r="G170" i="3"/>
  <c r="H170" i="3"/>
  <c r="I170" i="3"/>
  <c r="J170" i="3"/>
  <c r="K170" i="3"/>
  <c r="B171" i="3"/>
  <c r="C171" i="3"/>
  <c r="D171" i="3"/>
  <c r="E171" i="3"/>
  <c r="F171" i="3"/>
  <c r="G171" i="3"/>
  <c r="H171" i="3"/>
  <c r="I171" i="3"/>
  <c r="J171" i="3"/>
  <c r="K171" i="3"/>
  <c r="B172" i="3"/>
  <c r="C172" i="3"/>
  <c r="D172" i="3"/>
  <c r="E172" i="3"/>
  <c r="F172" i="3"/>
  <c r="G172" i="3"/>
  <c r="H172" i="3"/>
  <c r="I172" i="3"/>
  <c r="J172" i="3"/>
  <c r="K172" i="3"/>
  <c r="B173" i="3"/>
  <c r="C173" i="3"/>
  <c r="D173" i="3"/>
  <c r="E173" i="3"/>
  <c r="F173" i="3"/>
  <c r="G173" i="3"/>
  <c r="H173" i="3"/>
  <c r="I173" i="3"/>
  <c r="J173" i="3"/>
  <c r="K173" i="3"/>
  <c r="B174" i="3"/>
  <c r="C174" i="3"/>
  <c r="D174" i="3"/>
  <c r="E174" i="3"/>
  <c r="F174" i="3"/>
  <c r="G174" i="3"/>
  <c r="H174" i="3"/>
  <c r="I174" i="3"/>
  <c r="J174" i="3"/>
  <c r="K174" i="3"/>
  <c r="B175" i="3"/>
  <c r="C175" i="3"/>
  <c r="D175" i="3"/>
  <c r="E175" i="3"/>
  <c r="F175" i="3"/>
  <c r="G175" i="3"/>
  <c r="H175" i="3"/>
  <c r="I175" i="3"/>
  <c r="J175" i="3"/>
  <c r="K175" i="3"/>
  <c r="B176" i="3"/>
  <c r="C176" i="3"/>
  <c r="D176" i="3"/>
  <c r="E176" i="3"/>
  <c r="F176" i="3"/>
  <c r="G176" i="3"/>
  <c r="H176" i="3"/>
  <c r="I176" i="3"/>
  <c r="J176" i="3"/>
  <c r="K176" i="3"/>
  <c r="B177" i="3"/>
  <c r="C177" i="3"/>
  <c r="D177" i="3"/>
  <c r="E177" i="3"/>
  <c r="F177" i="3"/>
  <c r="G177" i="3"/>
  <c r="H177" i="3"/>
  <c r="I177" i="3"/>
  <c r="J177" i="3"/>
  <c r="K177" i="3"/>
  <c r="B178" i="3"/>
  <c r="C178" i="3"/>
  <c r="D178" i="3"/>
  <c r="E178" i="3"/>
  <c r="F178" i="3"/>
  <c r="G178" i="3"/>
  <c r="H178" i="3"/>
  <c r="I178" i="3"/>
  <c r="J178" i="3"/>
  <c r="K178" i="3"/>
  <c r="B179" i="3"/>
  <c r="C179" i="3"/>
  <c r="D179" i="3"/>
  <c r="E179" i="3"/>
  <c r="F179" i="3"/>
  <c r="G179" i="3"/>
  <c r="H179" i="3"/>
  <c r="I179" i="3"/>
  <c r="J179" i="3"/>
  <c r="K179" i="3"/>
  <c r="B180" i="3"/>
  <c r="C180" i="3"/>
  <c r="D180" i="3"/>
  <c r="E180" i="3"/>
  <c r="F180" i="3"/>
  <c r="G180" i="3"/>
  <c r="H180" i="3"/>
  <c r="I180" i="3"/>
  <c r="J180" i="3"/>
  <c r="K180" i="3"/>
  <c r="B181" i="3"/>
  <c r="C181" i="3"/>
  <c r="D181" i="3"/>
  <c r="E181" i="3"/>
  <c r="F181" i="3"/>
  <c r="G181" i="3"/>
  <c r="H181" i="3"/>
  <c r="I181" i="3"/>
  <c r="J181" i="3"/>
  <c r="K181" i="3"/>
  <c r="B182" i="3"/>
  <c r="C182" i="3"/>
  <c r="D182" i="3"/>
  <c r="E182" i="3"/>
  <c r="F182" i="3"/>
  <c r="G182" i="3"/>
  <c r="H182" i="3"/>
  <c r="I182" i="3"/>
  <c r="J182" i="3"/>
  <c r="K182" i="3"/>
  <c r="B183" i="3"/>
  <c r="C183" i="3"/>
  <c r="D183" i="3"/>
  <c r="E183" i="3"/>
  <c r="F183" i="3"/>
  <c r="G183" i="3"/>
  <c r="H183" i="3"/>
  <c r="I183" i="3"/>
  <c r="J183" i="3"/>
  <c r="K183" i="3"/>
  <c r="B184" i="3"/>
  <c r="C184" i="3"/>
  <c r="D184" i="3"/>
  <c r="E184" i="3"/>
  <c r="F184" i="3"/>
  <c r="G184" i="3"/>
  <c r="H184" i="3"/>
  <c r="I184" i="3"/>
  <c r="J184" i="3"/>
  <c r="K184" i="3"/>
  <c r="B185" i="3"/>
  <c r="C185" i="3"/>
  <c r="D185" i="3"/>
  <c r="E185" i="3"/>
  <c r="F185" i="3"/>
  <c r="G185" i="3"/>
  <c r="H185" i="3"/>
  <c r="I185" i="3"/>
  <c r="J185" i="3"/>
  <c r="K185" i="3"/>
  <c r="B186" i="3"/>
  <c r="C186" i="3"/>
  <c r="D186" i="3"/>
  <c r="E186" i="3"/>
  <c r="F186" i="3"/>
  <c r="G186" i="3"/>
  <c r="H186" i="3"/>
  <c r="I186" i="3"/>
  <c r="J186" i="3"/>
  <c r="K186" i="3"/>
  <c r="B187" i="3"/>
  <c r="C187" i="3"/>
  <c r="D187" i="3"/>
  <c r="E187" i="3"/>
  <c r="F187" i="3"/>
  <c r="G187" i="3"/>
  <c r="H187" i="3"/>
  <c r="I187" i="3"/>
  <c r="J187" i="3"/>
  <c r="K187" i="3"/>
  <c r="B188" i="3"/>
  <c r="C188" i="3"/>
  <c r="D188" i="3"/>
  <c r="E188" i="3"/>
  <c r="F188" i="3"/>
  <c r="G188" i="3"/>
  <c r="H188" i="3"/>
  <c r="I188" i="3"/>
  <c r="J188" i="3"/>
  <c r="K188" i="3"/>
  <c r="B189" i="3"/>
  <c r="C189" i="3"/>
  <c r="D189" i="3"/>
  <c r="E189" i="3"/>
  <c r="F189" i="3"/>
  <c r="G189" i="3"/>
  <c r="H189" i="3"/>
  <c r="I189" i="3"/>
  <c r="J189" i="3"/>
  <c r="K189" i="3"/>
  <c r="B190" i="3"/>
  <c r="C190" i="3"/>
  <c r="D190" i="3"/>
  <c r="E190" i="3"/>
  <c r="F190" i="3"/>
  <c r="G190" i="3"/>
  <c r="H190" i="3"/>
  <c r="I190" i="3"/>
  <c r="J190" i="3"/>
  <c r="K190" i="3"/>
  <c r="B191" i="3"/>
  <c r="C191" i="3"/>
  <c r="D191" i="3"/>
  <c r="E191" i="3"/>
  <c r="F191" i="3"/>
  <c r="G191" i="3"/>
  <c r="H191" i="3"/>
  <c r="I191" i="3"/>
  <c r="J191" i="3"/>
  <c r="K191" i="3"/>
  <c r="B192" i="3"/>
  <c r="C192" i="3"/>
  <c r="D192" i="3"/>
  <c r="E192" i="3"/>
  <c r="F192" i="3"/>
  <c r="G192" i="3"/>
  <c r="H192" i="3"/>
  <c r="I192" i="3"/>
  <c r="J192" i="3"/>
  <c r="K192" i="3"/>
  <c r="B193" i="3"/>
  <c r="C193" i="3"/>
  <c r="D193" i="3"/>
  <c r="E193" i="3"/>
  <c r="F193" i="3"/>
  <c r="G193" i="3"/>
  <c r="H193" i="3"/>
  <c r="I193" i="3"/>
  <c r="J193" i="3"/>
  <c r="K193" i="3"/>
  <c r="B194" i="3"/>
  <c r="C194" i="3"/>
  <c r="D194" i="3"/>
  <c r="E194" i="3"/>
  <c r="F194" i="3"/>
  <c r="G194" i="3"/>
  <c r="H194" i="3"/>
  <c r="I194" i="3"/>
  <c r="J194" i="3"/>
  <c r="K194" i="3"/>
  <c r="B195" i="3"/>
  <c r="C195" i="3"/>
  <c r="D195" i="3"/>
  <c r="E195" i="3"/>
  <c r="F195" i="3"/>
  <c r="G195" i="3"/>
  <c r="H195" i="3"/>
  <c r="I195" i="3"/>
  <c r="J195" i="3"/>
  <c r="K195" i="3"/>
  <c r="B196" i="3"/>
  <c r="C196" i="3"/>
  <c r="D196" i="3"/>
  <c r="E196" i="3"/>
  <c r="F196" i="3"/>
  <c r="G196" i="3"/>
  <c r="H196" i="3"/>
  <c r="I196" i="3"/>
  <c r="J196" i="3"/>
  <c r="K196" i="3"/>
  <c r="B197" i="3"/>
  <c r="C197" i="3"/>
  <c r="D197" i="3"/>
  <c r="E197" i="3"/>
  <c r="F197" i="3"/>
  <c r="G197" i="3"/>
  <c r="H197" i="3"/>
  <c r="I197" i="3"/>
  <c r="J197" i="3"/>
  <c r="K197" i="3"/>
  <c r="B198" i="3"/>
  <c r="C198" i="3"/>
  <c r="D198" i="3"/>
  <c r="E198" i="3"/>
  <c r="F198" i="3"/>
  <c r="G198" i="3"/>
  <c r="H198" i="3"/>
  <c r="I198" i="3"/>
  <c r="J198" i="3"/>
  <c r="K198" i="3"/>
  <c r="B199" i="3"/>
  <c r="C199" i="3"/>
  <c r="D199" i="3"/>
  <c r="E199" i="3"/>
  <c r="F199" i="3"/>
  <c r="G199" i="3"/>
  <c r="H199" i="3"/>
  <c r="I199" i="3"/>
  <c r="J199" i="3"/>
  <c r="K199" i="3"/>
  <c r="B200" i="3"/>
  <c r="C200" i="3"/>
  <c r="D200" i="3"/>
  <c r="E200" i="3"/>
  <c r="F200" i="3"/>
  <c r="G200" i="3"/>
  <c r="H200" i="3"/>
  <c r="I200" i="3"/>
  <c r="J200" i="3"/>
  <c r="K200" i="3"/>
  <c r="B201" i="3"/>
  <c r="C201" i="3"/>
  <c r="D201" i="3"/>
  <c r="E201" i="3"/>
  <c r="F201" i="3"/>
  <c r="G201" i="3"/>
  <c r="H201" i="3"/>
  <c r="I201" i="3"/>
  <c r="J201" i="3"/>
  <c r="K201" i="3"/>
  <c r="B202" i="3"/>
  <c r="C202" i="3"/>
  <c r="D202" i="3"/>
  <c r="E202" i="3"/>
  <c r="F202" i="3"/>
  <c r="G202" i="3"/>
  <c r="H202" i="3"/>
  <c r="I202" i="3"/>
  <c r="J202" i="3"/>
  <c r="K202" i="3"/>
  <c r="B203" i="3"/>
  <c r="C203" i="3"/>
  <c r="D203" i="3"/>
  <c r="E203" i="3"/>
  <c r="F203" i="3"/>
  <c r="G203" i="3"/>
  <c r="H203" i="3"/>
  <c r="I203" i="3"/>
  <c r="J203" i="3"/>
  <c r="K203" i="3"/>
  <c r="B204" i="3"/>
  <c r="C204" i="3"/>
  <c r="D204" i="3"/>
  <c r="E204" i="3"/>
  <c r="F204" i="3"/>
  <c r="G204" i="3"/>
  <c r="H204" i="3"/>
  <c r="I204" i="3"/>
  <c r="J204" i="3"/>
  <c r="K204" i="3"/>
  <c r="B205" i="3"/>
  <c r="C205" i="3"/>
  <c r="D205" i="3"/>
  <c r="E205" i="3"/>
  <c r="F205" i="3"/>
  <c r="G205" i="3"/>
  <c r="H205" i="3"/>
  <c r="I205" i="3"/>
  <c r="J205" i="3"/>
  <c r="K205" i="3"/>
  <c r="B206" i="3"/>
  <c r="C206" i="3"/>
  <c r="D206" i="3"/>
  <c r="E206" i="3"/>
  <c r="F206" i="3"/>
  <c r="G206" i="3"/>
  <c r="H206" i="3"/>
  <c r="I206" i="3"/>
  <c r="J206" i="3"/>
  <c r="K206" i="3"/>
  <c r="B207" i="3"/>
  <c r="C207" i="3"/>
  <c r="D207" i="3"/>
  <c r="E207" i="3"/>
  <c r="F207" i="3"/>
  <c r="G207" i="3"/>
  <c r="H207" i="3"/>
  <c r="I207" i="3"/>
  <c r="J207" i="3"/>
  <c r="K207" i="3"/>
  <c r="B208" i="3"/>
  <c r="C208" i="3"/>
  <c r="D208" i="3"/>
  <c r="E208" i="3"/>
  <c r="F208" i="3"/>
  <c r="G208" i="3"/>
  <c r="H208" i="3"/>
  <c r="I208" i="3"/>
  <c r="J208" i="3"/>
  <c r="K208" i="3"/>
  <c r="B209" i="3"/>
  <c r="C209" i="3"/>
  <c r="D209" i="3"/>
  <c r="E209" i="3"/>
  <c r="F209" i="3"/>
  <c r="G209" i="3"/>
  <c r="H209" i="3"/>
  <c r="I209" i="3"/>
  <c r="J209" i="3"/>
  <c r="K209" i="3"/>
  <c r="B210" i="3"/>
  <c r="C210" i="3"/>
  <c r="D210" i="3"/>
  <c r="E210" i="3"/>
  <c r="F210" i="3"/>
  <c r="G210" i="3"/>
  <c r="H210" i="3"/>
  <c r="I210" i="3"/>
  <c r="J210" i="3"/>
  <c r="K210" i="3"/>
  <c r="B211" i="3"/>
  <c r="C211" i="3"/>
  <c r="D211" i="3"/>
  <c r="E211" i="3"/>
  <c r="F211" i="3"/>
  <c r="G211" i="3"/>
  <c r="H211" i="3"/>
  <c r="I211" i="3"/>
  <c r="J211" i="3"/>
  <c r="K211" i="3"/>
  <c r="B212" i="3"/>
  <c r="C212" i="3"/>
  <c r="D212" i="3"/>
  <c r="E212" i="3"/>
  <c r="F212" i="3"/>
  <c r="G212" i="3"/>
  <c r="H212" i="3"/>
  <c r="I212" i="3"/>
  <c r="J212" i="3"/>
  <c r="K212" i="3"/>
  <c r="B213" i="3"/>
  <c r="C213" i="3"/>
  <c r="D213" i="3"/>
  <c r="E213" i="3"/>
  <c r="F213" i="3"/>
  <c r="G213" i="3"/>
  <c r="H213" i="3"/>
  <c r="I213" i="3"/>
  <c r="J213" i="3"/>
  <c r="K213" i="3"/>
  <c r="B214" i="3"/>
  <c r="C214" i="3"/>
  <c r="D214" i="3"/>
  <c r="E214" i="3"/>
  <c r="F214" i="3"/>
  <c r="G214" i="3"/>
  <c r="H214" i="3"/>
  <c r="I214" i="3"/>
  <c r="J214" i="3"/>
  <c r="K214" i="3"/>
  <c r="B215" i="3"/>
  <c r="C215" i="3"/>
  <c r="D215" i="3"/>
  <c r="E215" i="3"/>
  <c r="F215" i="3"/>
  <c r="G215" i="3"/>
  <c r="H215" i="3"/>
  <c r="I215" i="3"/>
  <c r="J215" i="3"/>
  <c r="K215" i="3"/>
  <c r="B216" i="3"/>
  <c r="C216" i="3"/>
  <c r="D216" i="3"/>
  <c r="E216" i="3"/>
  <c r="F216" i="3"/>
  <c r="G216" i="3"/>
  <c r="H216" i="3"/>
  <c r="I216" i="3"/>
  <c r="J216" i="3"/>
  <c r="K216" i="3"/>
  <c r="B217" i="3"/>
  <c r="C217" i="3"/>
  <c r="D217" i="3"/>
  <c r="E217" i="3"/>
  <c r="F217" i="3"/>
  <c r="G217" i="3"/>
  <c r="H217" i="3"/>
  <c r="I217" i="3"/>
  <c r="J217" i="3"/>
  <c r="K217" i="3"/>
  <c r="B218" i="3"/>
  <c r="C218" i="3"/>
  <c r="D218" i="3"/>
  <c r="E218" i="3"/>
  <c r="F218" i="3"/>
  <c r="G218" i="3"/>
  <c r="H218" i="3"/>
  <c r="I218" i="3"/>
  <c r="J218" i="3"/>
  <c r="K218" i="3"/>
  <c r="B219" i="3"/>
  <c r="C219" i="3"/>
  <c r="D219" i="3"/>
  <c r="E219" i="3"/>
  <c r="F219" i="3"/>
  <c r="G219" i="3"/>
  <c r="H219" i="3"/>
  <c r="I219" i="3"/>
  <c r="J219" i="3"/>
  <c r="K219" i="3"/>
  <c r="B220" i="3"/>
  <c r="C220" i="3"/>
  <c r="D220" i="3"/>
  <c r="E220" i="3"/>
  <c r="F220" i="3"/>
  <c r="G220" i="3"/>
  <c r="H220" i="3"/>
  <c r="I220" i="3"/>
  <c r="J220" i="3"/>
  <c r="K220" i="3"/>
  <c r="B221" i="3"/>
  <c r="C221" i="3"/>
  <c r="D221" i="3"/>
  <c r="E221" i="3"/>
  <c r="F221" i="3"/>
  <c r="G221" i="3"/>
  <c r="H221" i="3"/>
  <c r="I221" i="3"/>
  <c r="J221" i="3"/>
  <c r="K221" i="3"/>
  <c r="B222" i="3"/>
  <c r="C222" i="3"/>
  <c r="D222" i="3"/>
  <c r="E222" i="3"/>
  <c r="F222" i="3"/>
  <c r="G222" i="3"/>
  <c r="H222" i="3"/>
  <c r="I222" i="3"/>
  <c r="J222" i="3"/>
  <c r="K222" i="3"/>
  <c r="B223" i="3"/>
  <c r="C223" i="3"/>
  <c r="D223" i="3"/>
  <c r="E223" i="3"/>
  <c r="F223" i="3"/>
  <c r="G223" i="3"/>
  <c r="H223" i="3"/>
  <c r="I223" i="3"/>
  <c r="J223" i="3"/>
  <c r="K223" i="3"/>
  <c r="B224" i="3"/>
  <c r="C224" i="3"/>
  <c r="D224" i="3"/>
  <c r="E224" i="3"/>
  <c r="F224" i="3"/>
  <c r="G224" i="3"/>
  <c r="H224" i="3"/>
  <c r="I224" i="3"/>
  <c r="J224" i="3"/>
  <c r="K224" i="3"/>
  <c r="B225" i="3"/>
  <c r="C225" i="3"/>
  <c r="D225" i="3"/>
  <c r="E225" i="3"/>
  <c r="F225" i="3"/>
  <c r="G225" i="3"/>
  <c r="H225" i="3"/>
  <c r="I225" i="3"/>
  <c r="J225" i="3"/>
  <c r="K225" i="3"/>
  <c r="B226" i="3"/>
  <c r="C226" i="3"/>
  <c r="D226" i="3"/>
  <c r="E226" i="3"/>
  <c r="F226" i="3"/>
  <c r="G226" i="3"/>
  <c r="H226" i="3"/>
  <c r="I226" i="3"/>
  <c r="J226" i="3"/>
  <c r="K226" i="3"/>
  <c r="B227" i="3"/>
  <c r="C227" i="3"/>
  <c r="D227" i="3"/>
  <c r="E227" i="3"/>
  <c r="F227" i="3"/>
  <c r="G227" i="3"/>
  <c r="H227" i="3"/>
  <c r="I227" i="3"/>
  <c r="J227" i="3"/>
  <c r="K227" i="3"/>
  <c r="B228" i="3"/>
  <c r="C228" i="3"/>
  <c r="D228" i="3"/>
  <c r="E228" i="3"/>
  <c r="F228" i="3"/>
  <c r="G228" i="3"/>
  <c r="H228" i="3"/>
  <c r="I228" i="3"/>
  <c r="J228" i="3"/>
  <c r="K228" i="3"/>
  <c r="B229" i="3"/>
  <c r="C229" i="3"/>
  <c r="D229" i="3"/>
  <c r="E229" i="3"/>
  <c r="F229" i="3"/>
  <c r="G229" i="3"/>
  <c r="H229" i="3"/>
  <c r="I229" i="3"/>
  <c r="J229" i="3"/>
  <c r="K229" i="3"/>
  <c r="B230" i="3"/>
  <c r="C230" i="3"/>
  <c r="D230" i="3"/>
  <c r="E230" i="3"/>
  <c r="F230" i="3"/>
  <c r="G230" i="3"/>
  <c r="H230" i="3"/>
  <c r="I230" i="3"/>
  <c r="J230" i="3"/>
  <c r="K230" i="3"/>
  <c r="B231" i="3"/>
  <c r="C231" i="3"/>
  <c r="D231" i="3"/>
  <c r="E231" i="3"/>
  <c r="F231" i="3"/>
  <c r="G231" i="3"/>
  <c r="H231" i="3"/>
  <c r="I231" i="3"/>
  <c r="J231" i="3"/>
  <c r="K231" i="3"/>
  <c r="B232" i="3"/>
  <c r="C232" i="3"/>
  <c r="D232" i="3"/>
  <c r="E232" i="3"/>
  <c r="F232" i="3"/>
  <c r="G232" i="3"/>
  <c r="H232" i="3"/>
  <c r="I232" i="3"/>
  <c r="J232" i="3"/>
  <c r="K232" i="3"/>
  <c r="B233" i="3"/>
  <c r="C233" i="3"/>
  <c r="D233" i="3"/>
  <c r="E233" i="3"/>
  <c r="F233" i="3"/>
  <c r="G233" i="3"/>
  <c r="H233" i="3"/>
  <c r="I233" i="3"/>
  <c r="J233" i="3"/>
  <c r="K233" i="3"/>
  <c r="B234" i="3"/>
  <c r="C234" i="3"/>
  <c r="D234" i="3"/>
  <c r="E234" i="3"/>
  <c r="F234" i="3"/>
  <c r="G234" i="3"/>
  <c r="H234" i="3"/>
  <c r="I234" i="3"/>
  <c r="J234" i="3"/>
  <c r="K234" i="3"/>
  <c r="B235" i="3"/>
  <c r="C235" i="3"/>
  <c r="D235" i="3"/>
  <c r="E235" i="3"/>
  <c r="F235" i="3"/>
  <c r="G235" i="3"/>
  <c r="H235" i="3"/>
  <c r="I235" i="3"/>
  <c r="J235" i="3"/>
  <c r="K235" i="3"/>
  <c r="B236" i="3"/>
  <c r="C236" i="3"/>
  <c r="D236" i="3"/>
  <c r="E236" i="3"/>
  <c r="F236" i="3"/>
  <c r="G236" i="3"/>
  <c r="H236" i="3"/>
  <c r="I236" i="3"/>
  <c r="J236" i="3"/>
  <c r="K236" i="3"/>
  <c r="B237" i="3"/>
  <c r="C237" i="3"/>
  <c r="D237" i="3"/>
  <c r="E237" i="3"/>
  <c r="F237" i="3"/>
  <c r="G237" i="3"/>
  <c r="H237" i="3"/>
  <c r="I237" i="3"/>
  <c r="J237" i="3"/>
  <c r="K237" i="3"/>
  <c r="B238" i="3"/>
  <c r="C238" i="3"/>
  <c r="D238" i="3"/>
  <c r="E238" i="3"/>
  <c r="F238" i="3"/>
  <c r="G238" i="3"/>
  <c r="H238" i="3"/>
  <c r="I238" i="3"/>
  <c r="J238" i="3"/>
  <c r="K238" i="3"/>
  <c r="B239" i="3"/>
  <c r="C239" i="3"/>
  <c r="D239" i="3"/>
  <c r="E239" i="3"/>
  <c r="F239" i="3"/>
  <c r="G239" i="3"/>
  <c r="H239" i="3"/>
  <c r="I239" i="3"/>
  <c r="J239" i="3"/>
  <c r="K239" i="3"/>
  <c r="B240" i="3"/>
  <c r="C240" i="3"/>
  <c r="D240" i="3"/>
  <c r="E240" i="3"/>
  <c r="F240" i="3"/>
  <c r="G240" i="3"/>
  <c r="H240" i="3"/>
  <c r="I240" i="3"/>
  <c r="J240" i="3"/>
  <c r="K240" i="3"/>
  <c r="B241" i="3"/>
  <c r="C241" i="3"/>
  <c r="D241" i="3"/>
  <c r="E241" i="3"/>
  <c r="F241" i="3"/>
  <c r="G241" i="3"/>
  <c r="H241" i="3"/>
  <c r="I241" i="3"/>
  <c r="J241" i="3"/>
  <c r="K241" i="3"/>
  <c r="B242" i="3"/>
  <c r="C242" i="3"/>
  <c r="D242" i="3"/>
  <c r="E242" i="3"/>
  <c r="F242" i="3"/>
  <c r="G242" i="3"/>
  <c r="H242" i="3"/>
  <c r="I242" i="3"/>
  <c r="J242" i="3"/>
  <c r="K242" i="3"/>
  <c r="B243" i="3"/>
  <c r="C243" i="3"/>
  <c r="D243" i="3"/>
  <c r="E243" i="3"/>
  <c r="F243" i="3"/>
  <c r="G243" i="3"/>
  <c r="H243" i="3"/>
  <c r="I243" i="3"/>
  <c r="J243" i="3"/>
  <c r="K243" i="3"/>
  <c r="B244" i="3"/>
  <c r="C244" i="3"/>
  <c r="D244" i="3"/>
  <c r="E244" i="3"/>
  <c r="F244" i="3"/>
  <c r="G244" i="3"/>
  <c r="H244" i="3"/>
  <c r="I244" i="3"/>
  <c r="J244" i="3"/>
  <c r="K244" i="3"/>
  <c r="B245" i="3"/>
  <c r="C245" i="3"/>
  <c r="D245" i="3"/>
  <c r="E245" i="3"/>
  <c r="F245" i="3"/>
  <c r="G245" i="3"/>
  <c r="H245" i="3"/>
  <c r="I245" i="3"/>
  <c r="J245" i="3"/>
  <c r="K245" i="3"/>
  <c r="B246" i="3"/>
  <c r="C246" i="3"/>
  <c r="D246" i="3"/>
  <c r="E246" i="3"/>
  <c r="F246" i="3"/>
  <c r="G246" i="3"/>
  <c r="H246" i="3"/>
  <c r="I246" i="3"/>
  <c r="J246" i="3"/>
  <c r="K246" i="3"/>
  <c r="B247" i="3"/>
  <c r="C247" i="3"/>
  <c r="D247" i="3"/>
  <c r="E247" i="3"/>
  <c r="F247" i="3"/>
  <c r="G247" i="3"/>
  <c r="H247" i="3"/>
  <c r="I247" i="3"/>
  <c r="J247" i="3"/>
  <c r="K247" i="3"/>
  <c r="B248" i="3"/>
  <c r="C248" i="3"/>
  <c r="D248" i="3"/>
  <c r="E248" i="3"/>
  <c r="F248" i="3"/>
  <c r="G248" i="3"/>
  <c r="H248" i="3"/>
  <c r="I248" i="3"/>
  <c r="J248" i="3"/>
  <c r="K248" i="3"/>
  <c r="B249" i="3"/>
  <c r="C249" i="3"/>
  <c r="D249" i="3"/>
  <c r="E249" i="3"/>
  <c r="F249" i="3"/>
  <c r="G249" i="3"/>
  <c r="H249" i="3"/>
  <c r="I249" i="3"/>
  <c r="J249" i="3"/>
  <c r="K249" i="3"/>
  <c r="B250" i="3"/>
  <c r="C250" i="3"/>
  <c r="D250" i="3"/>
  <c r="E250" i="3"/>
  <c r="F250" i="3"/>
  <c r="G250" i="3"/>
  <c r="H250" i="3"/>
  <c r="I250" i="3"/>
  <c r="J250" i="3"/>
  <c r="K250" i="3"/>
  <c r="B251" i="3"/>
  <c r="C251" i="3"/>
  <c r="D251" i="3"/>
  <c r="E251" i="3"/>
  <c r="F251" i="3"/>
  <c r="G251" i="3"/>
  <c r="H251" i="3"/>
  <c r="I251" i="3"/>
  <c r="J251" i="3"/>
  <c r="K251" i="3"/>
  <c r="B252" i="3"/>
  <c r="C252" i="3"/>
  <c r="D252" i="3"/>
  <c r="E252" i="3"/>
  <c r="F252" i="3"/>
  <c r="G252" i="3"/>
  <c r="H252" i="3"/>
  <c r="I252" i="3"/>
  <c r="J252" i="3"/>
  <c r="K252" i="3"/>
  <c r="B253" i="3"/>
  <c r="C253" i="3"/>
  <c r="D253" i="3"/>
  <c r="E253" i="3"/>
  <c r="F253" i="3"/>
  <c r="G253" i="3"/>
  <c r="H253" i="3"/>
  <c r="I253" i="3"/>
  <c r="J253" i="3"/>
  <c r="K253" i="3"/>
  <c r="B254" i="3"/>
  <c r="C254" i="3"/>
  <c r="D254" i="3"/>
  <c r="E254" i="3"/>
  <c r="F254" i="3"/>
  <c r="G254" i="3"/>
  <c r="H254" i="3"/>
  <c r="I254" i="3"/>
  <c r="J254" i="3"/>
  <c r="K254" i="3"/>
  <c r="B255" i="3"/>
  <c r="C255" i="3"/>
  <c r="D255" i="3"/>
  <c r="E255" i="3"/>
  <c r="F255" i="3"/>
  <c r="G255" i="3"/>
  <c r="H255" i="3"/>
  <c r="I255" i="3"/>
  <c r="J255" i="3"/>
  <c r="K255" i="3"/>
  <c r="B256" i="3"/>
  <c r="C256" i="3"/>
  <c r="D256" i="3"/>
  <c r="E256" i="3"/>
  <c r="F256" i="3"/>
  <c r="G256" i="3"/>
  <c r="H256" i="3"/>
  <c r="I256" i="3"/>
  <c r="J256" i="3"/>
  <c r="K256" i="3"/>
  <c r="B257" i="3"/>
  <c r="C257" i="3"/>
  <c r="D257" i="3"/>
  <c r="E257" i="3"/>
  <c r="F257" i="3"/>
  <c r="G257" i="3"/>
  <c r="H257" i="3"/>
  <c r="I257" i="3"/>
  <c r="J257" i="3"/>
  <c r="K257" i="3"/>
  <c r="B258" i="3"/>
  <c r="C258" i="3"/>
  <c r="D258" i="3"/>
  <c r="E258" i="3"/>
  <c r="F258" i="3"/>
  <c r="G258" i="3"/>
  <c r="H258" i="3"/>
  <c r="I258" i="3"/>
  <c r="J258" i="3"/>
  <c r="K258" i="3"/>
  <c r="B259" i="3"/>
  <c r="C259" i="3"/>
  <c r="D259" i="3"/>
  <c r="E259" i="3"/>
  <c r="F259" i="3"/>
  <c r="G259" i="3"/>
  <c r="H259" i="3"/>
  <c r="I259" i="3"/>
  <c r="J259" i="3"/>
  <c r="K259" i="3"/>
  <c r="B260" i="3"/>
  <c r="C260" i="3"/>
  <c r="D260" i="3"/>
  <c r="E260" i="3"/>
  <c r="F260" i="3"/>
  <c r="G260" i="3"/>
  <c r="H260" i="3"/>
  <c r="I260" i="3"/>
  <c r="J260" i="3"/>
  <c r="K260" i="3"/>
  <c r="B261" i="3"/>
  <c r="C261" i="3"/>
  <c r="D261" i="3"/>
  <c r="E261" i="3"/>
  <c r="F261" i="3"/>
  <c r="G261" i="3"/>
  <c r="H261" i="3"/>
  <c r="I261" i="3"/>
  <c r="J261" i="3"/>
  <c r="K261" i="3"/>
  <c r="B262" i="3"/>
  <c r="C262" i="3"/>
  <c r="D262" i="3"/>
  <c r="E262" i="3"/>
  <c r="F262" i="3"/>
  <c r="G262" i="3"/>
  <c r="H262" i="3"/>
  <c r="I262" i="3"/>
  <c r="J262" i="3"/>
  <c r="K262" i="3"/>
  <c r="B263" i="3"/>
  <c r="C263" i="3"/>
  <c r="D263" i="3"/>
  <c r="E263" i="3"/>
  <c r="F263" i="3"/>
  <c r="G263" i="3"/>
  <c r="H263" i="3"/>
  <c r="I263" i="3"/>
  <c r="J263" i="3"/>
  <c r="K263" i="3"/>
  <c r="B264" i="3"/>
  <c r="C264" i="3"/>
  <c r="D264" i="3"/>
  <c r="E264" i="3"/>
  <c r="F264" i="3"/>
  <c r="G264" i="3"/>
  <c r="H264" i="3"/>
  <c r="I264" i="3"/>
  <c r="J264" i="3"/>
  <c r="K264" i="3"/>
  <c r="B265" i="3"/>
  <c r="C265" i="3"/>
  <c r="D265" i="3"/>
  <c r="E265" i="3"/>
  <c r="F265" i="3"/>
  <c r="G265" i="3"/>
  <c r="H265" i="3"/>
  <c r="I265" i="3"/>
  <c r="J265" i="3"/>
  <c r="K265" i="3"/>
  <c r="B266" i="3"/>
  <c r="C266" i="3"/>
  <c r="D266" i="3"/>
  <c r="E266" i="3"/>
  <c r="F266" i="3"/>
  <c r="G266" i="3"/>
  <c r="H266" i="3"/>
  <c r="I266" i="3"/>
  <c r="J266" i="3"/>
  <c r="K266" i="3"/>
  <c r="B267" i="3"/>
  <c r="C267" i="3"/>
  <c r="D267" i="3"/>
  <c r="E267" i="3"/>
  <c r="F267" i="3"/>
  <c r="G267" i="3"/>
  <c r="H267" i="3"/>
  <c r="I267" i="3"/>
  <c r="J267" i="3"/>
  <c r="K267" i="3"/>
  <c r="B268" i="3"/>
  <c r="C268" i="3"/>
  <c r="D268" i="3"/>
  <c r="E268" i="3"/>
  <c r="F268" i="3"/>
  <c r="G268" i="3"/>
  <c r="H268" i="3"/>
  <c r="I268" i="3"/>
  <c r="J268" i="3"/>
  <c r="K268" i="3"/>
  <c r="B269" i="3"/>
  <c r="C269" i="3"/>
  <c r="D269" i="3"/>
  <c r="E269" i="3"/>
  <c r="F269" i="3"/>
  <c r="G269" i="3"/>
  <c r="H269" i="3"/>
  <c r="I269" i="3"/>
  <c r="J269" i="3"/>
  <c r="K269" i="3"/>
  <c r="B270" i="3"/>
  <c r="C270" i="3"/>
  <c r="D270" i="3"/>
  <c r="E270" i="3"/>
  <c r="F270" i="3"/>
  <c r="G270" i="3"/>
  <c r="H270" i="3"/>
  <c r="I270" i="3"/>
  <c r="J270" i="3"/>
  <c r="K270" i="3"/>
  <c r="B271" i="3"/>
  <c r="C271" i="3"/>
  <c r="D271" i="3"/>
  <c r="E271" i="3"/>
  <c r="F271" i="3"/>
  <c r="G271" i="3"/>
  <c r="H271" i="3"/>
  <c r="I271" i="3"/>
  <c r="J271" i="3"/>
  <c r="K271" i="3"/>
  <c r="B272" i="3"/>
  <c r="C272" i="3"/>
  <c r="D272" i="3"/>
  <c r="E272" i="3"/>
  <c r="F272" i="3"/>
  <c r="G272" i="3"/>
  <c r="H272" i="3"/>
  <c r="I272" i="3"/>
  <c r="J272" i="3"/>
  <c r="K272" i="3"/>
  <c r="B273" i="3"/>
  <c r="C273" i="3"/>
  <c r="D273" i="3"/>
  <c r="E273" i="3"/>
  <c r="F273" i="3"/>
  <c r="G273" i="3"/>
  <c r="H273" i="3"/>
  <c r="I273" i="3"/>
  <c r="J273" i="3"/>
  <c r="K273" i="3"/>
  <c r="B274" i="3"/>
  <c r="C274" i="3"/>
  <c r="D274" i="3"/>
  <c r="E274" i="3"/>
  <c r="F274" i="3"/>
  <c r="G274" i="3"/>
  <c r="H274" i="3"/>
  <c r="I274" i="3"/>
  <c r="J274" i="3"/>
  <c r="K274" i="3"/>
  <c r="B275" i="3"/>
  <c r="C275" i="3"/>
  <c r="D275" i="3"/>
  <c r="E275" i="3"/>
  <c r="F275" i="3"/>
  <c r="G275" i="3"/>
  <c r="H275" i="3"/>
  <c r="I275" i="3"/>
  <c r="J275" i="3"/>
  <c r="K275" i="3"/>
  <c r="B276" i="3"/>
  <c r="C276" i="3"/>
  <c r="D276" i="3"/>
  <c r="E276" i="3"/>
  <c r="F276" i="3"/>
  <c r="G276" i="3"/>
  <c r="H276" i="3"/>
  <c r="I276" i="3"/>
  <c r="J276" i="3"/>
  <c r="K276" i="3"/>
  <c r="B277" i="3"/>
  <c r="C277" i="3"/>
  <c r="D277" i="3"/>
  <c r="E277" i="3"/>
  <c r="F277" i="3"/>
  <c r="G277" i="3"/>
  <c r="H277" i="3"/>
  <c r="I277" i="3"/>
  <c r="J277" i="3"/>
  <c r="K277" i="3"/>
  <c r="B278" i="3"/>
  <c r="C278" i="3"/>
  <c r="D278" i="3"/>
  <c r="E278" i="3"/>
  <c r="F278" i="3"/>
  <c r="G278" i="3"/>
  <c r="H278" i="3"/>
  <c r="I278" i="3"/>
  <c r="J278" i="3"/>
  <c r="K278" i="3"/>
  <c r="B279" i="3"/>
  <c r="C279" i="3"/>
  <c r="D279" i="3"/>
  <c r="E279" i="3"/>
  <c r="F279" i="3"/>
  <c r="G279" i="3"/>
  <c r="H279" i="3"/>
  <c r="I279" i="3"/>
  <c r="J279" i="3"/>
  <c r="K279" i="3"/>
  <c r="B280" i="3"/>
  <c r="C280" i="3"/>
  <c r="D280" i="3"/>
  <c r="E280" i="3"/>
  <c r="F280" i="3"/>
  <c r="G280" i="3"/>
  <c r="H280" i="3"/>
  <c r="I280" i="3"/>
  <c r="J280" i="3"/>
  <c r="K280" i="3"/>
  <c r="B281" i="3"/>
  <c r="C281" i="3"/>
  <c r="D281" i="3"/>
  <c r="E281" i="3"/>
  <c r="F281" i="3"/>
  <c r="G281" i="3"/>
  <c r="H281" i="3"/>
  <c r="I281" i="3"/>
  <c r="J281" i="3"/>
  <c r="K281" i="3"/>
  <c r="B282" i="3"/>
  <c r="C282" i="3"/>
  <c r="D282" i="3"/>
  <c r="E282" i="3"/>
  <c r="F282" i="3"/>
  <c r="G282" i="3"/>
  <c r="H282" i="3"/>
  <c r="I282" i="3"/>
  <c r="J282" i="3"/>
  <c r="K282" i="3"/>
  <c r="B283" i="3"/>
  <c r="C283" i="3"/>
  <c r="D283" i="3"/>
  <c r="E283" i="3"/>
  <c r="F283" i="3"/>
  <c r="G283" i="3"/>
  <c r="H283" i="3"/>
  <c r="I283" i="3"/>
  <c r="J283" i="3"/>
  <c r="K283" i="3"/>
  <c r="B284" i="3"/>
  <c r="C284" i="3"/>
  <c r="D284" i="3"/>
  <c r="E284" i="3"/>
  <c r="F284" i="3"/>
  <c r="G284" i="3"/>
  <c r="H284" i="3"/>
  <c r="I284" i="3"/>
  <c r="J284" i="3"/>
  <c r="K284" i="3"/>
  <c r="B285" i="3"/>
  <c r="C285" i="3"/>
  <c r="D285" i="3"/>
  <c r="E285" i="3"/>
  <c r="F285" i="3"/>
  <c r="G285" i="3"/>
  <c r="H285" i="3"/>
  <c r="I285" i="3"/>
  <c r="J285" i="3"/>
  <c r="K285" i="3"/>
  <c r="B286" i="3"/>
  <c r="C286" i="3"/>
  <c r="D286" i="3"/>
  <c r="E286" i="3"/>
  <c r="F286" i="3"/>
  <c r="G286" i="3"/>
  <c r="H286" i="3"/>
  <c r="I286" i="3"/>
  <c r="J286" i="3"/>
  <c r="K286" i="3"/>
  <c r="B287" i="3"/>
  <c r="C287" i="3"/>
  <c r="D287" i="3"/>
  <c r="E287" i="3"/>
  <c r="F287" i="3"/>
  <c r="G287" i="3"/>
  <c r="H287" i="3"/>
  <c r="I287" i="3"/>
  <c r="J287" i="3"/>
  <c r="K287" i="3"/>
  <c r="B288" i="3"/>
  <c r="C288" i="3"/>
  <c r="D288" i="3"/>
  <c r="E288" i="3"/>
  <c r="F288" i="3"/>
  <c r="G288" i="3"/>
  <c r="H288" i="3"/>
  <c r="I288" i="3"/>
  <c r="J288" i="3"/>
  <c r="K288" i="3"/>
  <c r="B289" i="3"/>
  <c r="C289" i="3"/>
  <c r="D289" i="3"/>
  <c r="E289" i="3"/>
  <c r="F289" i="3"/>
  <c r="G289" i="3"/>
  <c r="H289" i="3"/>
  <c r="I289" i="3"/>
  <c r="J289" i="3"/>
  <c r="K289" i="3"/>
  <c r="B290" i="3"/>
  <c r="C290" i="3"/>
  <c r="D290" i="3"/>
  <c r="E290" i="3"/>
  <c r="F290" i="3"/>
  <c r="G290" i="3"/>
  <c r="H290" i="3"/>
  <c r="I290" i="3"/>
  <c r="J290" i="3"/>
  <c r="K290" i="3"/>
  <c r="B291" i="3"/>
  <c r="C291" i="3"/>
  <c r="D291" i="3"/>
  <c r="E291" i="3"/>
  <c r="F291" i="3"/>
  <c r="G291" i="3"/>
  <c r="H291" i="3"/>
  <c r="I291" i="3"/>
  <c r="J291" i="3"/>
  <c r="K291" i="3"/>
  <c r="B292" i="3"/>
  <c r="C292" i="3"/>
  <c r="D292" i="3"/>
  <c r="E292" i="3"/>
  <c r="F292" i="3"/>
  <c r="G292" i="3"/>
  <c r="H292" i="3"/>
  <c r="I292" i="3"/>
  <c r="J292" i="3"/>
  <c r="K292" i="3"/>
  <c r="B293" i="3"/>
  <c r="C293" i="3"/>
  <c r="D293" i="3"/>
  <c r="E293" i="3"/>
  <c r="F293" i="3"/>
  <c r="G293" i="3"/>
  <c r="H293" i="3"/>
  <c r="I293" i="3"/>
  <c r="J293" i="3"/>
  <c r="K293" i="3"/>
  <c r="B294" i="3"/>
  <c r="C294" i="3"/>
  <c r="D294" i="3"/>
  <c r="E294" i="3"/>
  <c r="F294" i="3"/>
  <c r="G294" i="3"/>
  <c r="H294" i="3"/>
  <c r="I294" i="3"/>
  <c r="J294" i="3"/>
  <c r="K294" i="3"/>
  <c r="B295" i="3"/>
  <c r="C295" i="3"/>
  <c r="D295" i="3"/>
  <c r="E295" i="3"/>
  <c r="F295" i="3"/>
  <c r="G295" i="3"/>
  <c r="H295" i="3"/>
  <c r="I295" i="3"/>
  <c r="J295" i="3"/>
  <c r="K295" i="3"/>
  <c r="B296" i="3"/>
  <c r="C296" i="3"/>
  <c r="D296" i="3"/>
  <c r="E296" i="3"/>
  <c r="F296" i="3"/>
  <c r="G296" i="3"/>
  <c r="H296" i="3"/>
  <c r="I296" i="3"/>
  <c r="J296" i="3"/>
  <c r="K296" i="3"/>
  <c r="B297" i="3"/>
  <c r="C297" i="3"/>
  <c r="D297" i="3"/>
  <c r="E297" i="3"/>
  <c r="F297" i="3"/>
  <c r="G297" i="3"/>
  <c r="H297" i="3"/>
  <c r="I297" i="3"/>
  <c r="J297" i="3"/>
  <c r="K297" i="3"/>
  <c r="B298" i="3"/>
  <c r="C298" i="3"/>
  <c r="D298" i="3"/>
  <c r="E298" i="3"/>
  <c r="F298" i="3"/>
  <c r="G298" i="3"/>
  <c r="H298" i="3"/>
  <c r="I298" i="3"/>
  <c r="J298" i="3"/>
  <c r="K298" i="3"/>
  <c r="B299" i="3"/>
  <c r="C299" i="3"/>
  <c r="D299" i="3"/>
  <c r="E299" i="3"/>
  <c r="F299" i="3"/>
  <c r="G299" i="3"/>
  <c r="H299" i="3"/>
  <c r="I299" i="3"/>
  <c r="J299" i="3"/>
  <c r="K299" i="3"/>
  <c r="B300" i="3"/>
  <c r="C300" i="3"/>
  <c r="D300" i="3"/>
  <c r="E300" i="3"/>
  <c r="F300" i="3"/>
  <c r="G300" i="3"/>
  <c r="H300" i="3"/>
  <c r="I300" i="3"/>
  <c r="J300" i="3"/>
  <c r="K300" i="3"/>
  <c r="B301" i="3"/>
  <c r="C301" i="3"/>
  <c r="D301" i="3"/>
  <c r="E301" i="3"/>
  <c r="F301" i="3"/>
  <c r="G301" i="3"/>
  <c r="H301" i="3"/>
  <c r="I301" i="3"/>
  <c r="J301" i="3"/>
  <c r="K301" i="3"/>
  <c r="B302" i="3"/>
  <c r="C302" i="3"/>
  <c r="D302" i="3"/>
  <c r="E302" i="3"/>
  <c r="F302" i="3"/>
  <c r="G302" i="3"/>
  <c r="H302" i="3"/>
  <c r="I302" i="3"/>
  <c r="J302" i="3"/>
  <c r="K302" i="3"/>
  <c r="B303" i="3"/>
  <c r="C303" i="3"/>
  <c r="D303" i="3"/>
  <c r="E303" i="3"/>
  <c r="F303" i="3"/>
  <c r="G303" i="3"/>
  <c r="H303" i="3"/>
  <c r="I303" i="3"/>
  <c r="J303" i="3"/>
  <c r="K303" i="3"/>
  <c r="B304" i="3"/>
  <c r="C304" i="3"/>
  <c r="D304" i="3"/>
  <c r="E304" i="3"/>
  <c r="F304" i="3"/>
  <c r="G304" i="3"/>
  <c r="H304" i="3"/>
  <c r="I304" i="3"/>
  <c r="J304" i="3"/>
  <c r="K304" i="3"/>
  <c r="B305" i="3"/>
  <c r="C305" i="3"/>
  <c r="D305" i="3"/>
  <c r="E305" i="3"/>
  <c r="F305" i="3"/>
  <c r="G305" i="3"/>
  <c r="H305" i="3"/>
  <c r="I305" i="3"/>
  <c r="J305" i="3"/>
  <c r="K305" i="3"/>
  <c r="B306" i="3"/>
  <c r="C306" i="3"/>
  <c r="D306" i="3"/>
  <c r="E306" i="3"/>
  <c r="F306" i="3"/>
  <c r="G306" i="3"/>
  <c r="H306" i="3"/>
  <c r="I306" i="3"/>
  <c r="J306" i="3"/>
  <c r="K306" i="3"/>
  <c r="B307" i="3"/>
  <c r="C307" i="3"/>
  <c r="D307" i="3"/>
  <c r="E307" i="3"/>
  <c r="F307" i="3"/>
  <c r="G307" i="3"/>
  <c r="H307" i="3"/>
  <c r="I307" i="3"/>
  <c r="J307" i="3"/>
  <c r="K307" i="3"/>
  <c r="B308" i="3"/>
  <c r="C308" i="3"/>
  <c r="D308" i="3"/>
  <c r="E308" i="3"/>
  <c r="F308" i="3"/>
  <c r="G308" i="3"/>
  <c r="H308" i="3"/>
  <c r="I308" i="3"/>
  <c r="J308" i="3"/>
  <c r="K308" i="3"/>
  <c r="B309" i="3"/>
  <c r="C309" i="3"/>
  <c r="D309" i="3"/>
  <c r="E309" i="3"/>
  <c r="F309" i="3"/>
  <c r="G309" i="3"/>
  <c r="H309" i="3"/>
  <c r="I309" i="3"/>
  <c r="J309" i="3"/>
  <c r="K309" i="3"/>
  <c r="B310" i="3"/>
  <c r="C310" i="3"/>
  <c r="D310" i="3"/>
  <c r="E310" i="3"/>
  <c r="F310" i="3"/>
  <c r="G310" i="3"/>
  <c r="H310" i="3"/>
  <c r="I310" i="3"/>
  <c r="J310" i="3"/>
  <c r="K310" i="3"/>
  <c r="B311" i="3"/>
  <c r="C311" i="3"/>
  <c r="D311" i="3"/>
  <c r="E311" i="3"/>
  <c r="F311" i="3"/>
  <c r="G311" i="3"/>
  <c r="H311" i="3"/>
  <c r="I311" i="3"/>
  <c r="J311" i="3"/>
  <c r="K311" i="3"/>
  <c r="B312" i="3"/>
  <c r="C312" i="3"/>
  <c r="D312" i="3"/>
  <c r="E312" i="3"/>
  <c r="F312" i="3"/>
  <c r="G312" i="3"/>
  <c r="H312" i="3"/>
  <c r="I312" i="3"/>
  <c r="J312" i="3"/>
  <c r="K312" i="3"/>
  <c r="B313" i="3"/>
  <c r="C313" i="3"/>
  <c r="D313" i="3"/>
  <c r="E313" i="3"/>
  <c r="F313" i="3"/>
  <c r="G313" i="3"/>
  <c r="H313" i="3"/>
  <c r="I313" i="3"/>
  <c r="J313" i="3"/>
  <c r="K313" i="3"/>
  <c r="B314" i="3"/>
  <c r="C314" i="3"/>
  <c r="D314" i="3"/>
  <c r="E314" i="3"/>
  <c r="F314" i="3"/>
  <c r="G314" i="3"/>
  <c r="H314" i="3"/>
  <c r="I314" i="3"/>
  <c r="J314" i="3"/>
  <c r="K314" i="3"/>
  <c r="B315" i="3"/>
  <c r="C315" i="3"/>
  <c r="D315" i="3"/>
  <c r="E315" i="3"/>
  <c r="F315" i="3"/>
  <c r="G315" i="3"/>
  <c r="H315" i="3"/>
  <c r="I315" i="3"/>
  <c r="J315" i="3"/>
  <c r="K315" i="3"/>
  <c r="B316" i="3"/>
  <c r="C316" i="3"/>
  <c r="D316" i="3"/>
  <c r="E316" i="3"/>
  <c r="F316" i="3"/>
  <c r="G316" i="3"/>
  <c r="H316" i="3"/>
  <c r="I316" i="3"/>
  <c r="J316" i="3"/>
  <c r="K316" i="3"/>
  <c r="B317" i="3"/>
  <c r="C317" i="3"/>
  <c r="D317" i="3"/>
  <c r="E317" i="3"/>
  <c r="F317" i="3"/>
  <c r="G317" i="3"/>
  <c r="H317" i="3"/>
  <c r="I317" i="3"/>
  <c r="J317" i="3"/>
  <c r="K317" i="3"/>
  <c r="B318" i="3"/>
  <c r="C318" i="3"/>
  <c r="D318" i="3"/>
  <c r="E318" i="3"/>
  <c r="F318" i="3"/>
  <c r="G318" i="3"/>
  <c r="H318" i="3"/>
  <c r="I318" i="3"/>
  <c r="J318" i="3"/>
  <c r="K318" i="3"/>
  <c r="B319" i="3"/>
  <c r="C319" i="3"/>
  <c r="D319" i="3"/>
  <c r="E319" i="3"/>
  <c r="F319" i="3"/>
  <c r="G319" i="3"/>
  <c r="H319" i="3"/>
  <c r="I319" i="3"/>
  <c r="J319" i="3"/>
  <c r="K319" i="3"/>
  <c r="B320" i="3"/>
  <c r="C320" i="3"/>
  <c r="D320" i="3"/>
  <c r="E320" i="3"/>
  <c r="F320" i="3"/>
  <c r="G320" i="3"/>
  <c r="H320" i="3"/>
  <c r="I320" i="3"/>
  <c r="J320" i="3"/>
  <c r="K320" i="3"/>
  <c r="B321" i="3"/>
  <c r="C321" i="3"/>
  <c r="D321" i="3"/>
  <c r="E321" i="3"/>
  <c r="F321" i="3"/>
  <c r="G321" i="3"/>
  <c r="H321" i="3"/>
  <c r="I321" i="3"/>
  <c r="J321" i="3"/>
  <c r="K321" i="3"/>
  <c r="B322" i="3"/>
  <c r="C322" i="3"/>
  <c r="D322" i="3"/>
  <c r="E322" i="3"/>
  <c r="F322" i="3"/>
  <c r="G322" i="3"/>
  <c r="H322" i="3"/>
  <c r="I322" i="3"/>
  <c r="J322" i="3"/>
  <c r="K322" i="3"/>
  <c r="B323" i="3"/>
  <c r="C323" i="3"/>
  <c r="D323" i="3"/>
  <c r="E323" i="3"/>
  <c r="F323" i="3"/>
  <c r="G323" i="3"/>
  <c r="H323" i="3"/>
  <c r="I323" i="3"/>
  <c r="J323" i="3"/>
  <c r="K323" i="3"/>
  <c r="B324" i="3"/>
  <c r="C324" i="3"/>
  <c r="D324" i="3"/>
  <c r="E324" i="3"/>
  <c r="F324" i="3"/>
  <c r="G324" i="3"/>
  <c r="H324" i="3"/>
  <c r="I324" i="3"/>
  <c r="J324" i="3"/>
  <c r="K324" i="3"/>
  <c r="B325" i="3"/>
  <c r="C325" i="3"/>
  <c r="D325" i="3"/>
  <c r="E325" i="3"/>
  <c r="F325" i="3"/>
  <c r="G325" i="3"/>
  <c r="H325" i="3"/>
  <c r="I325" i="3"/>
  <c r="J325" i="3"/>
  <c r="K325" i="3"/>
  <c r="B326" i="3"/>
  <c r="C326" i="3"/>
  <c r="D326" i="3"/>
  <c r="E326" i="3"/>
  <c r="F326" i="3"/>
  <c r="G326" i="3"/>
  <c r="H326" i="3"/>
  <c r="I326" i="3"/>
  <c r="J326" i="3"/>
  <c r="K326" i="3"/>
  <c r="B327" i="3"/>
  <c r="C327" i="3"/>
  <c r="D327" i="3"/>
  <c r="E327" i="3"/>
  <c r="F327" i="3"/>
  <c r="G327" i="3"/>
  <c r="H327" i="3"/>
  <c r="I327" i="3"/>
  <c r="J327" i="3"/>
  <c r="K327" i="3"/>
  <c r="B328" i="3"/>
  <c r="C328" i="3"/>
  <c r="D328" i="3"/>
  <c r="E328" i="3"/>
  <c r="F328" i="3"/>
  <c r="G328" i="3"/>
  <c r="H328" i="3"/>
  <c r="I328" i="3"/>
  <c r="J328" i="3"/>
  <c r="K328" i="3"/>
  <c r="B329" i="3"/>
  <c r="C329" i="3"/>
  <c r="D329" i="3"/>
  <c r="E329" i="3"/>
  <c r="F329" i="3"/>
  <c r="G329" i="3"/>
  <c r="H329" i="3"/>
  <c r="I329" i="3"/>
  <c r="J329" i="3"/>
  <c r="K329" i="3"/>
  <c r="B330" i="3"/>
  <c r="C330" i="3"/>
  <c r="D330" i="3"/>
  <c r="E330" i="3"/>
  <c r="F330" i="3"/>
  <c r="G330" i="3"/>
  <c r="H330" i="3"/>
  <c r="I330" i="3"/>
  <c r="J330" i="3"/>
  <c r="K330" i="3"/>
  <c r="B331" i="3"/>
  <c r="C331" i="3"/>
  <c r="D331" i="3"/>
  <c r="E331" i="3"/>
  <c r="F331" i="3"/>
  <c r="G331" i="3"/>
  <c r="H331" i="3"/>
  <c r="I331" i="3"/>
  <c r="J331" i="3"/>
  <c r="K331" i="3"/>
  <c r="B332" i="3"/>
  <c r="C332" i="3"/>
  <c r="D332" i="3"/>
  <c r="E332" i="3"/>
  <c r="F332" i="3"/>
  <c r="G332" i="3"/>
  <c r="H332" i="3"/>
  <c r="I332" i="3"/>
  <c r="J332" i="3"/>
  <c r="K332" i="3"/>
  <c r="B333" i="3"/>
  <c r="C333" i="3"/>
  <c r="D333" i="3"/>
  <c r="E333" i="3"/>
  <c r="F333" i="3"/>
  <c r="G333" i="3"/>
  <c r="H333" i="3"/>
  <c r="I333" i="3"/>
  <c r="J333" i="3"/>
  <c r="K333" i="3"/>
  <c r="B334" i="3"/>
  <c r="C334" i="3"/>
  <c r="D334" i="3"/>
  <c r="E334" i="3"/>
  <c r="F334" i="3"/>
  <c r="G334" i="3"/>
  <c r="H334" i="3"/>
  <c r="I334" i="3"/>
  <c r="J334" i="3"/>
  <c r="K334" i="3"/>
  <c r="B335" i="3"/>
  <c r="C335" i="3"/>
  <c r="D335" i="3"/>
  <c r="E335" i="3"/>
  <c r="F335" i="3"/>
  <c r="G335" i="3"/>
  <c r="H335" i="3"/>
  <c r="I335" i="3"/>
  <c r="J335" i="3"/>
  <c r="K335" i="3"/>
  <c r="B336" i="3"/>
  <c r="C336" i="3"/>
  <c r="D336" i="3"/>
  <c r="E336" i="3"/>
  <c r="F336" i="3"/>
  <c r="G336" i="3"/>
  <c r="H336" i="3"/>
  <c r="I336" i="3"/>
  <c r="J336" i="3"/>
  <c r="K336" i="3"/>
  <c r="B337" i="3"/>
  <c r="C337" i="3"/>
  <c r="D337" i="3"/>
  <c r="E337" i="3"/>
  <c r="F337" i="3"/>
  <c r="G337" i="3"/>
  <c r="H337" i="3"/>
  <c r="I337" i="3"/>
  <c r="J337" i="3"/>
  <c r="K337" i="3"/>
  <c r="B338" i="3"/>
  <c r="C338" i="3"/>
  <c r="D338" i="3"/>
  <c r="E338" i="3"/>
  <c r="F338" i="3"/>
  <c r="G338" i="3"/>
  <c r="H338" i="3"/>
  <c r="I338" i="3"/>
  <c r="J338" i="3"/>
  <c r="K338" i="3"/>
  <c r="B339" i="3"/>
  <c r="C339" i="3"/>
  <c r="D339" i="3"/>
  <c r="E339" i="3"/>
  <c r="F339" i="3"/>
  <c r="G339" i="3"/>
  <c r="H339" i="3"/>
  <c r="I339" i="3"/>
  <c r="J339" i="3"/>
  <c r="K339" i="3"/>
  <c r="B340" i="3"/>
  <c r="C340" i="3"/>
  <c r="D340" i="3"/>
  <c r="E340" i="3"/>
  <c r="F340" i="3"/>
  <c r="G340" i="3"/>
  <c r="H340" i="3"/>
  <c r="I340" i="3"/>
  <c r="J340" i="3"/>
  <c r="K340" i="3"/>
  <c r="B341" i="3"/>
  <c r="C341" i="3"/>
  <c r="D341" i="3"/>
  <c r="E341" i="3"/>
  <c r="F341" i="3"/>
  <c r="G341" i="3"/>
  <c r="H341" i="3"/>
  <c r="I341" i="3"/>
  <c r="J341" i="3"/>
  <c r="K341" i="3"/>
  <c r="B342" i="3"/>
  <c r="C342" i="3"/>
  <c r="D342" i="3"/>
  <c r="E342" i="3"/>
  <c r="F342" i="3"/>
  <c r="G342" i="3"/>
  <c r="H342" i="3"/>
  <c r="I342" i="3"/>
  <c r="J342" i="3"/>
  <c r="K342" i="3"/>
  <c r="B343" i="3"/>
  <c r="C343" i="3"/>
  <c r="D343" i="3"/>
  <c r="E343" i="3"/>
  <c r="F343" i="3"/>
  <c r="G343" i="3"/>
  <c r="H343" i="3"/>
  <c r="I343" i="3"/>
  <c r="J343" i="3"/>
  <c r="K343" i="3"/>
  <c r="B344" i="3"/>
  <c r="C344" i="3"/>
  <c r="D344" i="3"/>
  <c r="E344" i="3"/>
  <c r="F344" i="3"/>
  <c r="G344" i="3"/>
  <c r="H344" i="3"/>
  <c r="I344" i="3"/>
  <c r="J344" i="3"/>
  <c r="K344" i="3"/>
  <c r="B345" i="3"/>
  <c r="C345" i="3"/>
  <c r="D345" i="3"/>
  <c r="E345" i="3"/>
  <c r="F345" i="3"/>
  <c r="G345" i="3"/>
  <c r="H345" i="3"/>
  <c r="I345" i="3"/>
  <c r="J345" i="3"/>
  <c r="K345" i="3"/>
  <c r="B346" i="3"/>
  <c r="C346" i="3"/>
  <c r="D346" i="3"/>
  <c r="E346" i="3"/>
  <c r="F346" i="3"/>
  <c r="G346" i="3"/>
  <c r="H346" i="3"/>
  <c r="I346" i="3"/>
  <c r="J346" i="3"/>
  <c r="K346" i="3"/>
  <c r="B347" i="3"/>
  <c r="C347" i="3"/>
  <c r="D347" i="3"/>
  <c r="E347" i="3"/>
  <c r="F347" i="3"/>
  <c r="G347" i="3"/>
  <c r="H347" i="3"/>
  <c r="I347" i="3"/>
  <c r="J347" i="3"/>
  <c r="K347" i="3"/>
  <c r="B348" i="3"/>
  <c r="C348" i="3"/>
  <c r="D348" i="3"/>
  <c r="E348" i="3"/>
  <c r="F348" i="3"/>
  <c r="G348" i="3"/>
  <c r="H348" i="3"/>
  <c r="I348" i="3"/>
  <c r="J348" i="3"/>
  <c r="K348" i="3"/>
  <c r="B349" i="3"/>
  <c r="C349" i="3"/>
  <c r="D349" i="3"/>
  <c r="E349" i="3"/>
  <c r="F349" i="3"/>
  <c r="G349" i="3"/>
  <c r="H349" i="3"/>
  <c r="I349" i="3"/>
  <c r="J349" i="3"/>
  <c r="K349" i="3"/>
  <c r="B350" i="3"/>
  <c r="C350" i="3"/>
  <c r="D350" i="3"/>
  <c r="E350" i="3"/>
  <c r="F350" i="3"/>
  <c r="G350" i="3"/>
  <c r="H350" i="3"/>
  <c r="I350" i="3"/>
  <c r="J350" i="3"/>
  <c r="K350" i="3"/>
  <c r="B351" i="3"/>
  <c r="C351" i="3"/>
  <c r="D351" i="3"/>
  <c r="E351" i="3"/>
  <c r="F351" i="3"/>
  <c r="G351" i="3"/>
  <c r="H351" i="3"/>
  <c r="I351" i="3"/>
  <c r="J351" i="3"/>
  <c r="K351" i="3"/>
  <c r="B352" i="3"/>
  <c r="C352" i="3"/>
  <c r="D352" i="3"/>
  <c r="E352" i="3"/>
  <c r="F352" i="3"/>
  <c r="G352" i="3"/>
  <c r="H352" i="3"/>
  <c r="I352" i="3"/>
  <c r="J352" i="3"/>
  <c r="K352" i="3"/>
  <c r="B353" i="3"/>
  <c r="C353" i="3"/>
  <c r="D353" i="3"/>
  <c r="E353" i="3"/>
  <c r="F353" i="3"/>
  <c r="G353" i="3"/>
  <c r="H353" i="3"/>
  <c r="I353" i="3"/>
  <c r="J353" i="3"/>
  <c r="K353" i="3"/>
  <c r="B354" i="3"/>
  <c r="C354" i="3"/>
  <c r="D354" i="3"/>
  <c r="E354" i="3"/>
  <c r="F354" i="3"/>
  <c r="G354" i="3"/>
  <c r="H354" i="3"/>
  <c r="I354" i="3"/>
  <c r="J354" i="3"/>
  <c r="K354" i="3"/>
  <c r="B355" i="3"/>
  <c r="C355" i="3"/>
  <c r="D355" i="3"/>
  <c r="E355" i="3"/>
  <c r="F355" i="3"/>
  <c r="G355" i="3"/>
  <c r="H355" i="3"/>
  <c r="I355" i="3"/>
  <c r="J355" i="3"/>
  <c r="K355" i="3"/>
  <c r="B356" i="3"/>
  <c r="C356" i="3"/>
  <c r="D356" i="3"/>
  <c r="E356" i="3"/>
  <c r="F356" i="3"/>
  <c r="G356" i="3"/>
  <c r="H356" i="3"/>
  <c r="I356" i="3"/>
  <c r="J356" i="3"/>
  <c r="K356" i="3"/>
  <c r="B357" i="3"/>
  <c r="C357" i="3"/>
  <c r="D357" i="3"/>
  <c r="E357" i="3"/>
  <c r="F357" i="3"/>
  <c r="G357" i="3"/>
  <c r="H357" i="3"/>
  <c r="I357" i="3"/>
  <c r="J357" i="3"/>
  <c r="K357" i="3"/>
  <c r="B358" i="3"/>
  <c r="C358" i="3"/>
  <c r="D358" i="3"/>
  <c r="E358" i="3"/>
  <c r="F358" i="3"/>
  <c r="G358" i="3"/>
  <c r="H358" i="3"/>
  <c r="I358" i="3"/>
  <c r="J358" i="3"/>
  <c r="K358" i="3"/>
  <c r="B359" i="3"/>
  <c r="C359" i="3"/>
  <c r="D359" i="3"/>
  <c r="E359" i="3"/>
  <c r="F359" i="3"/>
  <c r="G359" i="3"/>
  <c r="H359" i="3"/>
  <c r="I359" i="3"/>
  <c r="J359" i="3"/>
  <c r="K359" i="3"/>
  <c r="B360" i="3"/>
  <c r="C360" i="3"/>
  <c r="D360" i="3"/>
  <c r="E360" i="3"/>
  <c r="F360" i="3"/>
  <c r="G360" i="3"/>
  <c r="H360" i="3"/>
  <c r="I360" i="3"/>
  <c r="J360" i="3"/>
  <c r="K360" i="3"/>
  <c r="B361" i="3"/>
  <c r="C361" i="3"/>
  <c r="D361" i="3"/>
  <c r="E361" i="3"/>
  <c r="F361" i="3"/>
  <c r="G361" i="3"/>
  <c r="H361" i="3"/>
  <c r="I361" i="3"/>
  <c r="J361" i="3"/>
  <c r="K361" i="3"/>
  <c r="B362" i="3"/>
  <c r="C362" i="3"/>
  <c r="D362" i="3"/>
  <c r="E362" i="3"/>
  <c r="F362" i="3"/>
  <c r="G362" i="3"/>
  <c r="H362" i="3"/>
  <c r="I362" i="3"/>
  <c r="J362" i="3"/>
  <c r="K362" i="3"/>
  <c r="B363" i="3"/>
  <c r="C363" i="3"/>
  <c r="D363" i="3"/>
  <c r="E363" i="3"/>
  <c r="F363" i="3"/>
  <c r="G363" i="3"/>
  <c r="H363" i="3"/>
  <c r="I363" i="3"/>
  <c r="J363" i="3"/>
  <c r="K363" i="3"/>
  <c r="B364" i="3"/>
  <c r="C364" i="3"/>
  <c r="D364" i="3"/>
  <c r="E364" i="3"/>
  <c r="F364" i="3"/>
  <c r="G364" i="3"/>
  <c r="H364" i="3"/>
  <c r="I364" i="3"/>
  <c r="J364" i="3"/>
  <c r="K364" i="3"/>
  <c r="B365" i="3"/>
  <c r="C365" i="3"/>
  <c r="D365" i="3"/>
  <c r="E365" i="3"/>
  <c r="F365" i="3"/>
  <c r="G365" i="3"/>
  <c r="H365" i="3"/>
  <c r="I365" i="3"/>
  <c r="J365" i="3"/>
  <c r="K365" i="3"/>
  <c r="B366" i="3"/>
  <c r="C366" i="3"/>
  <c r="D366" i="3"/>
  <c r="E366" i="3"/>
  <c r="F366" i="3"/>
  <c r="G366" i="3"/>
  <c r="H366" i="3"/>
  <c r="I366" i="3"/>
  <c r="J366" i="3"/>
  <c r="K366" i="3"/>
  <c r="B367" i="3"/>
  <c r="C367" i="3"/>
  <c r="D367" i="3"/>
  <c r="E367" i="3"/>
  <c r="F367" i="3"/>
  <c r="G367" i="3"/>
  <c r="H367" i="3"/>
  <c r="I367" i="3"/>
  <c r="J367" i="3"/>
  <c r="K367" i="3"/>
  <c r="B368" i="3"/>
  <c r="C368" i="3"/>
  <c r="D368" i="3"/>
  <c r="E368" i="3"/>
  <c r="F368" i="3"/>
  <c r="G368" i="3"/>
  <c r="H368" i="3"/>
  <c r="I368" i="3"/>
  <c r="J368" i="3"/>
  <c r="K368" i="3"/>
  <c r="B369" i="3"/>
  <c r="C369" i="3"/>
  <c r="D369" i="3"/>
  <c r="E369" i="3"/>
  <c r="F369" i="3"/>
  <c r="G369" i="3"/>
  <c r="H369" i="3"/>
  <c r="I369" i="3"/>
  <c r="J369" i="3"/>
  <c r="K369" i="3"/>
  <c r="B370" i="3"/>
  <c r="C370" i="3"/>
  <c r="D370" i="3"/>
  <c r="E370" i="3"/>
  <c r="F370" i="3"/>
  <c r="G370" i="3"/>
  <c r="H370" i="3"/>
  <c r="I370" i="3"/>
  <c r="J370" i="3"/>
  <c r="K370" i="3"/>
  <c r="B371" i="3"/>
  <c r="C371" i="3"/>
  <c r="D371" i="3"/>
  <c r="E371" i="3"/>
  <c r="F371" i="3"/>
  <c r="G371" i="3"/>
  <c r="H371" i="3"/>
  <c r="I371" i="3"/>
  <c r="J371" i="3"/>
  <c r="K371" i="3"/>
  <c r="B372" i="3"/>
  <c r="C372" i="3"/>
  <c r="D372" i="3"/>
  <c r="E372" i="3"/>
  <c r="F372" i="3"/>
  <c r="G372" i="3"/>
  <c r="H372" i="3"/>
  <c r="I372" i="3"/>
  <c r="J372" i="3"/>
  <c r="K372" i="3"/>
  <c r="B373" i="3"/>
  <c r="C373" i="3"/>
  <c r="D373" i="3"/>
  <c r="E373" i="3"/>
  <c r="F373" i="3"/>
  <c r="G373" i="3"/>
  <c r="H373" i="3"/>
  <c r="I373" i="3"/>
  <c r="J373" i="3"/>
  <c r="K373" i="3"/>
  <c r="B374" i="3"/>
  <c r="C374" i="3"/>
  <c r="D374" i="3"/>
  <c r="E374" i="3"/>
  <c r="F374" i="3"/>
  <c r="G374" i="3"/>
  <c r="H374" i="3"/>
  <c r="I374" i="3"/>
  <c r="J374" i="3"/>
  <c r="K374" i="3"/>
  <c r="B375" i="3"/>
  <c r="C375" i="3"/>
  <c r="D375" i="3"/>
  <c r="E375" i="3"/>
  <c r="F375" i="3"/>
  <c r="G375" i="3"/>
  <c r="H375" i="3"/>
  <c r="I375" i="3"/>
  <c r="J375" i="3"/>
  <c r="K375" i="3"/>
  <c r="B376" i="3"/>
  <c r="C376" i="3"/>
  <c r="D376" i="3"/>
  <c r="E376" i="3"/>
  <c r="F376" i="3"/>
  <c r="G376" i="3"/>
  <c r="H376" i="3"/>
  <c r="I376" i="3"/>
  <c r="J376" i="3"/>
  <c r="K376" i="3"/>
  <c r="B377" i="3"/>
  <c r="C377" i="3"/>
  <c r="D377" i="3"/>
  <c r="E377" i="3"/>
  <c r="F377" i="3"/>
  <c r="G377" i="3"/>
  <c r="H377" i="3"/>
  <c r="I377" i="3"/>
  <c r="J377" i="3"/>
  <c r="K377" i="3"/>
  <c r="B378" i="3"/>
  <c r="C378" i="3"/>
  <c r="D378" i="3"/>
  <c r="E378" i="3"/>
  <c r="F378" i="3"/>
  <c r="G378" i="3"/>
  <c r="H378" i="3"/>
  <c r="I378" i="3"/>
  <c r="J378" i="3"/>
  <c r="K378" i="3"/>
  <c r="B379" i="3"/>
  <c r="C379" i="3"/>
  <c r="D379" i="3"/>
  <c r="E379" i="3"/>
  <c r="F379" i="3"/>
  <c r="G379" i="3"/>
  <c r="H379" i="3"/>
  <c r="I379" i="3"/>
  <c r="J379" i="3"/>
  <c r="K379" i="3"/>
  <c r="B380" i="3"/>
  <c r="C380" i="3"/>
  <c r="D380" i="3"/>
  <c r="E380" i="3"/>
  <c r="F380" i="3"/>
  <c r="G380" i="3"/>
  <c r="H380" i="3"/>
  <c r="I380" i="3"/>
  <c r="J380" i="3"/>
  <c r="K380" i="3"/>
  <c r="B381" i="3"/>
  <c r="C381" i="3"/>
  <c r="D381" i="3"/>
  <c r="E381" i="3"/>
  <c r="F381" i="3"/>
  <c r="G381" i="3"/>
  <c r="H381" i="3"/>
  <c r="I381" i="3"/>
  <c r="J381" i="3"/>
  <c r="K381" i="3"/>
  <c r="B382" i="3"/>
  <c r="C382" i="3"/>
  <c r="D382" i="3"/>
  <c r="E382" i="3"/>
  <c r="F382" i="3"/>
  <c r="G382" i="3"/>
  <c r="H382" i="3"/>
  <c r="I382" i="3"/>
  <c r="J382" i="3"/>
  <c r="K382" i="3"/>
  <c r="B383" i="3"/>
  <c r="C383" i="3"/>
  <c r="D383" i="3"/>
  <c r="E383" i="3"/>
  <c r="F383" i="3"/>
  <c r="G383" i="3"/>
  <c r="H383" i="3"/>
  <c r="I383" i="3"/>
  <c r="J383" i="3"/>
  <c r="K383" i="3"/>
  <c r="B384" i="3"/>
  <c r="C384" i="3"/>
  <c r="D384" i="3"/>
  <c r="E384" i="3"/>
  <c r="F384" i="3"/>
  <c r="G384" i="3"/>
  <c r="H384" i="3"/>
  <c r="I384" i="3"/>
  <c r="J384" i="3"/>
  <c r="K384" i="3"/>
  <c r="B385" i="3"/>
  <c r="C385" i="3"/>
  <c r="D385" i="3"/>
  <c r="E385" i="3"/>
  <c r="F385" i="3"/>
  <c r="G385" i="3"/>
  <c r="H385" i="3"/>
  <c r="I385" i="3"/>
  <c r="J385" i="3"/>
  <c r="K385" i="3"/>
  <c r="B386" i="3"/>
  <c r="C386" i="3"/>
  <c r="D386" i="3"/>
  <c r="E386" i="3"/>
  <c r="F386" i="3"/>
  <c r="G386" i="3"/>
  <c r="H386" i="3"/>
  <c r="I386" i="3"/>
  <c r="J386" i="3"/>
  <c r="K386" i="3"/>
  <c r="B387" i="3"/>
  <c r="C387" i="3"/>
  <c r="D387" i="3"/>
  <c r="E387" i="3"/>
  <c r="F387" i="3"/>
  <c r="G387" i="3"/>
  <c r="H387" i="3"/>
  <c r="I387" i="3"/>
  <c r="J387" i="3"/>
  <c r="K387" i="3"/>
  <c r="B388" i="3"/>
  <c r="C388" i="3"/>
  <c r="D388" i="3"/>
  <c r="E388" i="3"/>
  <c r="F388" i="3"/>
  <c r="G388" i="3"/>
  <c r="H388" i="3"/>
  <c r="I388" i="3"/>
  <c r="J388" i="3"/>
  <c r="K388" i="3"/>
  <c r="B389" i="3"/>
  <c r="C389" i="3"/>
  <c r="D389" i="3"/>
  <c r="E389" i="3"/>
  <c r="F389" i="3"/>
  <c r="G389" i="3"/>
  <c r="H389" i="3"/>
  <c r="I389" i="3"/>
  <c r="J389" i="3"/>
  <c r="K389" i="3"/>
  <c r="B390" i="3"/>
  <c r="C390" i="3"/>
  <c r="D390" i="3"/>
  <c r="E390" i="3"/>
  <c r="F390" i="3"/>
  <c r="G390" i="3"/>
  <c r="H390" i="3"/>
  <c r="I390" i="3"/>
  <c r="J390" i="3"/>
  <c r="K390" i="3"/>
  <c r="B391" i="3"/>
  <c r="C391" i="3"/>
  <c r="D391" i="3"/>
  <c r="E391" i="3"/>
  <c r="F391" i="3"/>
  <c r="G391" i="3"/>
  <c r="H391" i="3"/>
  <c r="I391" i="3"/>
  <c r="J391" i="3"/>
  <c r="K391" i="3"/>
  <c r="B392" i="3"/>
  <c r="C392" i="3"/>
  <c r="D392" i="3"/>
  <c r="E392" i="3"/>
  <c r="F392" i="3"/>
  <c r="G392" i="3"/>
  <c r="H392" i="3"/>
  <c r="I392" i="3"/>
  <c r="J392" i="3"/>
  <c r="K392" i="3"/>
  <c r="B393" i="3"/>
  <c r="C393" i="3"/>
  <c r="D393" i="3"/>
  <c r="E393" i="3"/>
  <c r="F393" i="3"/>
  <c r="G393" i="3"/>
  <c r="H393" i="3"/>
  <c r="I393" i="3"/>
  <c r="J393" i="3"/>
  <c r="K393" i="3"/>
  <c r="B394" i="3"/>
  <c r="C394" i="3"/>
  <c r="D394" i="3"/>
  <c r="E394" i="3"/>
  <c r="F394" i="3"/>
  <c r="G394" i="3"/>
  <c r="H394" i="3"/>
  <c r="I394" i="3"/>
  <c r="J394" i="3"/>
  <c r="K394" i="3"/>
  <c r="B395" i="3"/>
  <c r="C395" i="3"/>
  <c r="D395" i="3"/>
  <c r="E395" i="3"/>
  <c r="F395" i="3"/>
  <c r="G395" i="3"/>
  <c r="H395" i="3"/>
  <c r="I395" i="3"/>
  <c r="J395" i="3"/>
  <c r="K395" i="3"/>
  <c r="B396" i="3"/>
  <c r="C396" i="3"/>
  <c r="D396" i="3"/>
  <c r="E396" i="3"/>
  <c r="F396" i="3"/>
  <c r="G396" i="3"/>
  <c r="H396" i="3"/>
  <c r="I396" i="3"/>
  <c r="J396" i="3"/>
  <c r="K396" i="3"/>
  <c r="B397" i="3"/>
  <c r="C397" i="3"/>
  <c r="D397" i="3"/>
  <c r="E397" i="3"/>
  <c r="F397" i="3"/>
  <c r="G397" i="3"/>
  <c r="H397" i="3"/>
  <c r="I397" i="3"/>
  <c r="J397" i="3"/>
  <c r="K397" i="3"/>
  <c r="B398" i="3"/>
  <c r="C398" i="3"/>
  <c r="D398" i="3"/>
  <c r="E398" i="3"/>
  <c r="F398" i="3"/>
  <c r="G398" i="3"/>
  <c r="H398" i="3"/>
  <c r="I398" i="3"/>
  <c r="J398" i="3"/>
  <c r="K398" i="3"/>
  <c r="B399" i="3"/>
  <c r="C399" i="3"/>
  <c r="D399" i="3"/>
  <c r="E399" i="3"/>
  <c r="F399" i="3"/>
  <c r="G399" i="3"/>
  <c r="H399" i="3"/>
  <c r="I399" i="3"/>
  <c r="J399" i="3"/>
  <c r="K399" i="3"/>
  <c r="B400" i="3"/>
  <c r="C400" i="3"/>
  <c r="D400" i="3"/>
  <c r="E400" i="3"/>
  <c r="F400" i="3"/>
  <c r="G400" i="3"/>
  <c r="H400" i="3"/>
  <c r="I400" i="3"/>
  <c r="J400" i="3"/>
  <c r="K400" i="3"/>
  <c r="B401" i="3"/>
  <c r="C401" i="3"/>
  <c r="D401" i="3"/>
  <c r="E401" i="3"/>
  <c r="F401" i="3"/>
  <c r="G401" i="3"/>
  <c r="H401" i="3"/>
  <c r="I401" i="3"/>
  <c r="J401" i="3"/>
  <c r="K401" i="3"/>
  <c r="B402" i="3"/>
  <c r="C402" i="3"/>
  <c r="D402" i="3"/>
  <c r="E402" i="3"/>
  <c r="F402" i="3"/>
  <c r="G402" i="3"/>
  <c r="H402" i="3"/>
  <c r="I402" i="3"/>
  <c r="J402" i="3"/>
  <c r="K402" i="3"/>
  <c r="B403" i="3"/>
  <c r="C403" i="3"/>
  <c r="D403" i="3"/>
  <c r="E403" i="3"/>
  <c r="F403" i="3"/>
  <c r="G403" i="3"/>
  <c r="H403" i="3"/>
  <c r="I403" i="3"/>
  <c r="J403" i="3"/>
  <c r="K403" i="3"/>
  <c r="B404" i="3"/>
  <c r="C404" i="3"/>
  <c r="D404" i="3"/>
  <c r="E404" i="3"/>
  <c r="F404" i="3"/>
  <c r="G404" i="3"/>
  <c r="H404" i="3"/>
  <c r="I404" i="3"/>
  <c r="J404" i="3"/>
  <c r="K404" i="3"/>
  <c r="B405" i="3"/>
  <c r="C405" i="3"/>
  <c r="D405" i="3"/>
  <c r="E405" i="3"/>
  <c r="F405" i="3"/>
  <c r="G405" i="3"/>
  <c r="H405" i="3"/>
  <c r="I405" i="3"/>
  <c r="J405" i="3"/>
  <c r="K405" i="3"/>
  <c r="B406" i="3"/>
  <c r="C406" i="3"/>
  <c r="D406" i="3"/>
  <c r="E406" i="3"/>
  <c r="F406" i="3"/>
  <c r="G406" i="3"/>
  <c r="H406" i="3"/>
  <c r="I406" i="3"/>
  <c r="J406" i="3"/>
  <c r="K406" i="3"/>
  <c r="B407" i="3"/>
  <c r="C407" i="3"/>
  <c r="D407" i="3"/>
  <c r="E407" i="3"/>
  <c r="F407" i="3"/>
  <c r="G407" i="3"/>
  <c r="H407" i="3"/>
  <c r="I407" i="3"/>
  <c r="J407" i="3"/>
  <c r="K407" i="3"/>
  <c r="B408" i="3"/>
  <c r="C408" i="3"/>
  <c r="D408" i="3"/>
  <c r="E408" i="3"/>
  <c r="F408" i="3"/>
  <c r="G408" i="3"/>
  <c r="H408" i="3"/>
  <c r="I408" i="3"/>
  <c r="J408" i="3"/>
  <c r="K408" i="3"/>
  <c r="B409" i="3"/>
  <c r="C409" i="3"/>
  <c r="D409" i="3"/>
  <c r="E409" i="3"/>
  <c r="F409" i="3"/>
  <c r="G409" i="3"/>
  <c r="H409" i="3"/>
  <c r="I409" i="3"/>
  <c r="J409" i="3"/>
  <c r="K409" i="3"/>
  <c r="B410" i="3"/>
  <c r="C410" i="3"/>
  <c r="D410" i="3"/>
  <c r="E410" i="3"/>
  <c r="F410" i="3"/>
  <c r="G410" i="3"/>
  <c r="H410" i="3"/>
  <c r="I410" i="3"/>
  <c r="J410" i="3"/>
  <c r="K410" i="3"/>
  <c r="B411" i="3"/>
  <c r="C411" i="3"/>
  <c r="D411" i="3"/>
  <c r="E411" i="3"/>
  <c r="F411" i="3"/>
  <c r="G411" i="3"/>
  <c r="H411" i="3"/>
  <c r="I411" i="3"/>
  <c r="J411" i="3"/>
  <c r="K411" i="3"/>
  <c r="B412" i="3"/>
  <c r="C412" i="3"/>
  <c r="D412" i="3"/>
  <c r="E412" i="3"/>
  <c r="F412" i="3"/>
  <c r="G412" i="3"/>
  <c r="H412" i="3"/>
  <c r="I412" i="3"/>
  <c r="J412" i="3"/>
  <c r="K412" i="3"/>
  <c r="B413" i="3"/>
  <c r="C413" i="3"/>
  <c r="D413" i="3"/>
  <c r="E413" i="3"/>
  <c r="F413" i="3"/>
  <c r="G413" i="3"/>
  <c r="H413" i="3"/>
  <c r="I413" i="3"/>
  <c r="J413" i="3"/>
  <c r="K413" i="3"/>
  <c r="B414" i="3"/>
  <c r="C414" i="3"/>
  <c r="D414" i="3"/>
  <c r="E414" i="3"/>
  <c r="F414" i="3"/>
  <c r="G414" i="3"/>
  <c r="H414" i="3"/>
  <c r="I414" i="3"/>
  <c r="J414" i="3"/>
  <c r="K414" i="3"/>
  <c r="B415" i="3"/>
  <c r="C415" i="3"/>
  <c r="D415" i="3"/>
  <c r="E415" i="3"/>
  <c r="F415" i="3"/>
  <c r="G415" i="3"/>
  <c r="H415" i="3"/>
  <c r="I415" i="3"/>
  <c r="J415" i="3"/>
  <c r="K415" i="3"/>
  <c r="B416" i="3"/>
  <c r="C416" i="3"/>
  <c r="D416" i="3"/>
  <c r="E416" i="3"/>
  <c r="F416" i="3"/>
  <c r="G416" i="3"/>
  <c r="H416" i="3"/>
  <c r="I416" i="3"/>
  <c r="J416" i="3"/>
  <c r="K416" i="3"/>
  <c r="B417" i="3"/>
  <c r="C417" i="3"/>
  <c r="D417" i="3"/>
  <c r="E417" i="3"/>
  <c r="F417" i="3"/>
  <c r="G417" i="3"/>
  <c r="H417" i="3"/>
  <c r="I417" i="3"/>
  <c r="J417" i="3"/>
  <c r="K417" i="3"/>
  <c r="B418" i="3"/>
  <c r="C418" i="3"/>
  <c r="D418" i="3"/>
  <c r="E418" i="3"/>
  <c r="F418" i="3"/>
  <c r="G418" i="3"/>
  <c r="H418" i="3"/>
  <c r="I418" i="3"/>
  <c r="J418" i="3"/>
  <c r="K418" i="3"/>
  <c r="B419" i="3"/>
  <c r="C419" i="3"/>
  <c r="D419" i="3"/>
  <c r="E419" i="3"/>
  <c r="F419" i="3"/>
  <c r="G419" i="3"/>
  <c r="H419" i="3"/>
  <c r="I419" i="3"/>
  <c r="J419" i="3"/>
  <c r="K419" i="3"/>
  <c r="B420" i="3"/>
  <c r="C420" i="3"/>
  <c r="D420" i="3"/>
  <c r="E420" i="3"/>
  <c r="F420" i="3"/>
  <c r="G420" i="3"/>
  <c r="H420" i="3"/>
  <c r="I420" i="3"/>
  <c r="J420" i="3"/>
  <c r="K420" i="3"/>
  <c r="B421" i="3"/>
  <c r="C421" i="3"/>
  <c r="D421" i="3"/>
  <c r="E421" i="3"/>
  <c r="F421" i="3"/>
  <c r="G421" i="3"/>
  <c r="H421" i="3"/>
  <c r="I421" i="3"/>
  <c r="J421" i="3"/>
  <c r="K421" i="3"/>
  <c r="B422" i="3"/>
  <c r="C422" i="3"/>
  <c r="D422" i="3"/>
  <c r="E422" i="3"/>
  <c r="F422" i="3"/>
  <c r="G422" i="3"/>
  <c r="H422" i="3"/>
  <c r="I422" i="3"/>
  <c r="J422" i="3"/>
  <c r="K422" i="3"/>
  <c r="B423" i="3"/>
  <c r="C423" i="3"/>
  <c r="D423" i="3"/>
  <c r="E423" i="3"/>
  <c r="F423" i="3"/>
  <c r="G423" i="3"/>
  <c r="H423" i="3"/>
  <c r="I423" i="3"/>
  <c r="J423" i="3"/>
  <c r="K423" i="3"/>
  <c r="B424" i="3"/>
  <c r="C424" i="3"/>
  <c r="D424" i="3"/>
  <c r="E424" i="3"/>
  <c r="F424" i="3"/>
  <c r="G424" i="3"/>
  <c r="H424" i="3"/>
  <c r="I424" i="3"/>
  <c r="J424" i="3"/>
  <c r="K424" i="3"/>
  <c r="B425" i="3"/>
  <c r="C425" i="3"/>
  <c r="D425" i="3"/>
  <c r="E425" i="3"/>
  <c r="F425" i="3"/>
  <c r="G425" i="3"/>
  <c r="H425" i="3"/>
  <c r="I425" i="3"/>
  <c r="J425" i="3"/>
  <c r="K425" i="3"/>
  <c r="B426" i="3"/>
  <c r="C426" i="3"/>
  <c r="D426" i="3"/>
  <c r="E426" i="3"/>
  <c r="F426" i="3"/>
  <c r="G426" i="3"/>
  <c r="H426" i="3"/>
  <c r="I426" i="3"/>
  <c r="J426" i="3"/>
  <c r="K426" i="3"/>
  <c r="B427" i="3"/>
  <c r="C427" i="3"/>
  <c r="D427" i="3"/>
  <c r="E427" i="3"/>
  <c r="F427" i="3"/>
  <c r="G427" i="3"/>
  <c r="H427" i="3"/>
  <c r="I427" i="3"/>
  <c r="J427" i="3"/>
  <c r="K427" i="3"/>
  <c r="B428" i="3"/>
  <c r="C428" i="3"/>
  <c r="D428" i="3"/>
  <c r="E428" i="3"/>
  <c r="F428" i="3"/>
  <c r="G428" i="3"/>
  <c r="H428" i="3"/>
  <c r="I428" i="3"/>
  <c r="J428" i="3"/>
  <c r="K428" i="3"/>
  <c r="B429" i="3"/>
  <c r="C429" i="3"/>
  <c r="D429" i="3"/>
  <c r="E429" i="3"/>
  <c r="F429" i="3"/>
  <c r="G429" i="3"/>
  <c r="H429" i="3"/>
  <c r="I429" i="3"/>
  <c r="J429" i="3"/>
  <c r="K429" i="3"/>
  <c r="B430" i="3"/>
  <c r="C430" i="3"/>
  <c r="D430" i="3"/>
  <c r="E430" i="3"/>
  <c r="F430" i="3"/>
  <c r="G430" i="3"/>
  <c r="H430" i="3"/>
  <c r="I430" i="3"/>
  <c r="J430" i="3"/>
  <c r="K430" i="3"/>
  <c r="B431" i="3"/>
  <c r="C431" i="3"/>
  <c r="D431" i="3"/>
  <c r="E431" i="3"/>
  <c r="F431" i="3"/>
  <c r="G431" i="3"/>
  <c r="H431" i="3"/>
  <c r="I431" i="3"/>
  <c r="J431" i="3"/>
  <c r="K431" i="3"/>
  <c r="B432" i="3"/>
  <c r="C432" i="3"/>
  <c r="D432" i="3"/>
  <c r="E432" i="3"/>
  <c r="F432" i="3"/>
  <c r="G432" i="3"/>
  <c r="H432" i="3"/>
  <c r="I432" i="3"/>
  <c r="J432" i="3"/>
  <c r="K432" i="3"/>
  <c r="B433" i="3"/>
  <c r="C433" i="3"/>
  <c r="D433" i="3"/>
  <c r="E433" i="3"/>
  <c r="F433" i="3"/>
  <c r="G433" i="3"/>
  <c r="H433" i="3"/>
  <c r="I433" i="3"/>
  <c r="J433" i="3"/>
  <c r="K433" i="3"/>
  <c r="B434" i="3"/>
  <c r="C434" i="3"/>
  <c r="D434" i="3"/>
  <c r="E434" i="3"/>
  <c r="F434" i="3"/>
  <c r="G434" i="3"/>
  <c r="H434" i="3"/>
  <c r="I434" i="3"/>
  <c r="J434" i="3"/>
  <c r="K434" i="3"/>
  <c r="B435" i="3"/>
  <c r="C435" i="3"/>
  <c r="D435" i="3"/>
  <c r="E435" i="3"/>
  <c r="F435" i="3"/>
  <c r="G435" i="3"/>
  <c r="H435" i="3"/>
  <c r="I435" i="3"/>
  <c r="J435" i="3"/>
  <c r="K435" i="3"/>
  <c r="B436" i="3"/>
  <c r="C436" i="3"/>
  <c r="D436" i="3"/>
  <c r="E436" i="3"/>
  <c r="F436" i="3"/>
  <c r="G436" i="3"/>
  <c r="H436" i="3"/>
  <c r="I436" i="3"/>
  <c r="J436" i="3"/>
  <c r="K436" i="3"/>
  <c r="B437" i="3"/>
  <c r="C437" i="3"/>
  <c r="D437" i="3"/>
  <c r="E437" i="3"/>
  <c r="F437" i="3"/>
  <c r="G437" i="3"/>
  <c r="H437" i="3"/>
  <c r="I437" i="3"/>
  <c r="J437" i="3"/>
  <c r="K437" i="3"/>
  <c r="B438" i="3"/>
  <c r="C438" i="3"/>
  <c r="D438" i="3"/>
  <c r="E438" i="3"/>
  <c r="F438" i="3"/>
  <c r="G438" i="3"/>
  <c r="H438" i="3"/>
  <c r="I438" i="3"/>
  <c r="J438" i="3"/>
  <c r="K438" i="3"/>
  <c r="B439" i="3"/>
  <c r="C439" i="3"/>
  <c r="D439" i="3"/>
  <c r="E439" i="3"/>
  <c r="F439" i="3"/>
  <c r="G439" i="3"/>
  <c r="H439" i="3"/>
  <c r="I439" i="3"/>
  <c r="J439" i="3"/>
  <c r="K439" i="3"/>
  <c r="B440" i="3"/>
  <c r="C440" i="3"/>
  <c r="D440" i="3"/>
  <c r="E440" i="3"/>
  <c r="F440" i="3"/>
  <c r="G440" i="3"/>
  <c r="H440" i="3"/>
  <c r="I440" i="3"/>
  <c r="J440" i="3"/>
  <c r="K440" i="3"/>
  <c r="B441" i="3"/>
  <c r="C441" i="3"/>
  <c r="D441" i="3"/>
  <c r="E441" i="3"/>
  <c r="F441" i="3"/>
  <c r="G441" i="3"/>
  <c r="H441" i="3"/>
  <c r="I441" i="3"/>
  <c r="J441" i="3"/>
  <c r="K441" i="3"/>
  <c r="B442" i="3"/>
  <c r="C442" i="3"/>
  <c r="D442" i="3"/>
  <c r="E442" i="3"/>
  <c r="F442" i="3"/>
  <c r="G442" i="3"/>
  <c r="H442" i="3"/>
  <c r="I442" i="3"/>
  <c r="J442" i="3"/>
  <c r="K442" i="3"/>
  <c r="B443" i="3"/>
  <c r="C443" i="3"/>
  <c r="D443" i="3"/>
  <c r="E443" i="3"/>
  <c r="F443" i="3"/>
  <c r="G443" i="3"/>
  <c r="H443" i="3"/>
  <c r="I443" i="3"/>
  <c r="J443" i="3"/>
  <c r="K443" i="3"/>
  <c r="B444" i="3"/>
  <c r="C444" i="3"/>
  <c r="D444" i="3"/>
  <c r="E444" i="3"/>
  <c r="F444" i="3"/>
  <c r="G444" i="3"/>
  <c r="H444" i="3"/>
  <c r="I444" i="3"/>
  <c r="J444" i="3"/>
  <c r="K444" i="3"/>
  <c r="B445" i="3"/>
  <c r="C445" i="3"/>
  <c r="D445" i="3"/>
  <c r="E445" i="3"/>
  <c r="F445" i="3"/>
  <c r="G445" i="3"/>
  <c r="H445" i="3"/>
  <c r="I445" i="3"/>
  <c r="J445" i="3"/>
  <c r="K445" i="3"/>
  <c r="B446" i="3"/>
  <c r="C446" i="3"/>
  <c r="D446" i="3"/>
  <c r="E446" i="3"/>
  <c r="F446" i="3"/>
  <c r="G446" i="3"/>
  <c r="H446" i="3"/>
  <c r="I446" i="3"/>
  <c r="J446" i="3"/>
  <c r="K446" i="3"/>
  <c r="B447" i="3"/>
  <c r="C447" i="3"/>
  <c r="D447" i="3"/>
  <c r="E447" i="3"/>
  <c r="F447" i="3"/>
  <c r="G447" i="3"/>
  <c r="H447" i="3"/>
  <c r="I447" i="3"/>
  <c r="J447" i="3"/>
  <c r="K447" i="3"/>
  <c r="B448" i="3"/>
  <c r="C448" i="3"/>
  <c r="D448" i="3"/>
  <c r="E448" i="3"/>
  <c r="F448" i="3"/>
  <c r="G448" i="3"/>
  <c r="H448" i="3"/>
  <c r="I448" i="3"/>
  <c r="J448" i="3"/>
  <c r="K448" i="3"/>
  <c r="B449" i="3"/>
  <c r="C449" i="3"/>
  <c r="D449" i="3"/>
  <c r="E449" i="3"/>
  <c r="F449" i="3"/>
  <c r="G449" i="3"/>
  <c r="H449" i="3"/>
  <c r="I449" i="3"/>
  <c r="J449" i="3"/>
  <c r="K449" i="3"/>
  <c r="B450" i="3"/>
  <c r="C450" i="3"/>
  <c r="D450" i="3"/>
  <c r="E450" i="3"/>
  <c r="F450" i="3"/>
  <c r="G450" i="3"/>
  <c r="H450" i="3"/>
  <c r="I450" i="3"/>
  <c r="J450" i="3"/>
  <c r="K450" i="3"/>
  <c r="B451" i="3"/>
  <c r="C451" i="3"/>
  <c r="D451" i="3"/>
  <c r="E451" i="3"/>
  <c r="F451" i="3"/>
  <c r="G451" i="3"/>
  <c r="H451" i="3"/>
  <c r="I451" i="3"/>
  <c r="J451" i="3"/>
  <c r="K451" i="3"/>
  <c r="B452" i="3"/>
  <c r="C452" i="3"/>
  <c r="D452" i="3"/>
  <c r="E452" i="3"/>
  <c r="F452" i="3"/>
  <c r="G452" i="3"/>
  <c r="H452" i="3"/>
  <c r="I452" i="3"/>
  <c r="J452" i="3"/>
  <c r="K452" i="3"/>
  <c r="B453" i="3"/>
  <c r="C453" i="3"/>
  <c r="D453" i="3"/>
  <c r="E453" i="3"/>
  <c r="F453" i="3"/>
  <c r="G453" i="3"/>
  <c r="H453" i="3"/>
  <c r="I453" i="3"/>
  <c r="J453" i="3"/>
  <c r="K453" i="3"/>
  <c r="B454" i="3"/>
  <c r="C454" i="3"/>
  <c r="D454" i="3"/>
  <c r="E454" i="3"/>
  <c r="F454" i="3"/>
  <c r="G454" i="3"/>
  <c r="H454" i="3"/>
  <c r="I454" i="3"/>
  <c r="J454" i="3"/>
  <c r="K454" i="3"/>
  <c r="B455" i="3"/>
  <c r="C455" i="3"/>
  <c r="D455" i="3"/>
  <c r="E455" i="3"/>
  <c r="F455" i="3"/>
  <c r="G455" i="3"/>
  <c r="H455" i="3"/>
  <c r="I455" i="3"/>
  <c r="J455" i="3"/>
  <c r="K455" i="3"/>
  <c r="B456" i="3"/>
  <c r="C456" i="3"/>
  <c r="D456" i="3"/>
  <c r="E456" i="3"/>
  <c r="F456" i="3"/>
  <c r="G456" i="3"/>
  <c r="H456" i="3"/>
  <c r="I456" i="3"/>
  <c r="J456" i="3"/>
  <c r="K456" i="3"/>
  <c r="B457" i="3"/>
  <c r="C457" i="3"/>
  <c r="D457" i="3"/>
  <c r="E457" i="3"/>
  <c r="F457" i="3"/>
  <c r="G457" i="3"/>
  <c r="H457" i="3"/>
  <c r="I457" i="3"/>
  <c r="J457" i="3"/>
  <c r="K457" i="3"/>
  <c r="B458" i="3"/>
  <c r="C458" i="3"/>
  <c r="D458" i="3"/>
  <c r="E458" i="3"/>
  <c r="F458" i="3"/>
  <c r="G458" i="3"/>
  <c r="H458" i="3"/>
  <c r="I458" i="3"/>
  <c r="J458" i="3"/>
  <c r="K458" i="3"/>
  <c r="B459" i="3"/>
  <c r="C459" i="3"/>
  <c r="D459" i="3"/>
  <c r="E459" i="3"/>
  <c r="F459" i="3"/>
  <c r="G459" i="3"/>
  <c r="H459" i="3"/>
  <c r="I459" i="3"/>
  <c r="J459" i="3"/>
  <c r="K459" i="3"/>
  <c r="B460" i="3"/>
  <c r="C460" i="3"/>
  <c r="D460" i="3"/>
  <c r="E460" i="3"/>
  <c r="F460" i="3"/>
  <c r="G460" i="3"/>
  <c r="H460" i="3"/>
  <c r="I460" i="3"/>
  <c r="J460" i="3"/>
  <c r="K460" i="3"/>
  <c r="B461" i="3"/>
  <c r="C461" i="3"/>
  <c r="D461" i="3"/>
  <c r="E461" i="3"/>
  <c r="F461" i="3"/>
  <c r="G461" i="3"/>
  <c r="H461" i="3"/>
  <c r="I461" i="3"/>
  <c r="J461" i="3"/>
  <c r="K461" i="3"/>
  <c r="B462" i="3"/>
  <c r="C462" i="3"/>
  <c r="D462" i="3"/>
  <c r="E462" i="3"/>
  <c r="F462" i="3"/>
  <c r="G462" i="3"/>
  <c r="H462" i="3"/>
  <c r="I462" i="3"/>
  <c r="J462" i="3"/>
  <c r="K462" i="3"/>
  <c r="B463" i="3"/>
  <c r="C463" i="3"/>
  <c r="D463" i="3"/>
  <c r="E463" i="3"/>
  <c r="F463" i="3"/>
  <c r="G463" i="3"/>
  <c r="H463" i="3"/>
  <c r="I463" i="3"/>
  <c r="J463" i="3"/>
  <c r="K463" i="3"/>
  <c r="B464" i="3"/>
  <c r="C464" i="3"/>
  <c r="D464" i="3"/>
  <c r="E464" i="3"/>
  <c r="F464" i="3"/>
  <c r="G464" i="3"/>
  <c r="H464" i="3"/>
  <c r="I464" i="3"/>
  <c r="J464" i="3"/>
  <c r="K464" i="3"/>
  <c r="B465" i="3"/>
  <c r="C465" i="3"/>
  <c r="D465" i="3"/>
  <c r="E465" i="3"/>
  <c r="F465" i="3"/>
  <c r="G465" i="3"/>
  <c r="H465" i="3"/>
  <c r="I465" i="3"/>
  <c r="J465" i="3"/>
  <c r="K465" i="3"/>
  <c r="B466" i="3"/>
  <c r="C466" i="3"/>
  <c r="D466" i="3"/>
  <c r="E466" i="3"/>
  <c r="F466" i="3"/>
  <c r="G466" i="3"/>
  <c r="H466" i="3"/>
  <c r="I466" i="3"/>
  <c r="J466" i="3"/>
  <c r="K466" i="3"/>
  <c r="B467" i="3"/>
  <c r="C467" i="3"/>
  <c r="D467" i="3"/>
  <c r="E467" i="3"/>
  <c r="F467" i="3"/>
  <c r="G467" i="3"/>
  <c r="H467" i="3"/>
  <c r="I467" i="3"/>
  <c r="J467" i="3"/>
  <c r="K467" i="3"/>
  <c r="B468" i="3"/>
  <c r="C468" i="3"/>
  <c r="D468" i="3"/>
  <c r="E468" i="3"/>
  <c r="F468" i="3"/>
  <c r="G468" i="3"/>
  <c r="H468" i="3"/>
  <c r="I468" i="3"/>
  <c r="J468" i="3"/>
  <c r="K468" i="3"/>
  <c r="B469" i="3"/>
  <c r="C469" i="3"/>
  <c r="D469" i="3"/>
  <c r="E469" i="3"/>
  <c r="F469" i="3"/>
  <c r="G469" i="3"/>
  <c r="H469" i="3"/>
  <c r="I469" i="3"/>
  <c r="J469" i="3"/>
  <c r="K469" i="3"/>
  <c r="B470" i="3"/>
  <c r="C470" i="3"/>
  <c r="D470" i="3"/>
  <c r="E470" i="3"/>
  <c r="F470" i="3"/>
  <c r="G470" i="3"/>
  <c r="H470" i="3"/>
  <c r="I470" i="3"/>
  <c r="J470" i="3"/>
  <c r="K470" i="3"/>
  <c r="B471" i="3"/>
  <c r="C471" i="3"/>
  <c r="D471" i="3"/>
  <c r="E471" i="3"/>
  <c r="F471" i="3"/>
  <c r="G471" i="3"/>
  <c r="H471" i="3"/>
  <c r="I471" i="3"/>
  <c r="J471" i="3"/>
  <c r="K471" i="3"/>
  <c r="B472" i="3"/>
  <c r="C472" i="3"/>
  <c r="D472" i="3"/>
  <c r="E472" i="3"/>
  <c r="F472" i="3"/>
  <c r="G472" i="3"/>
  <c r="H472" i="3"/>
  <c r="I472" i="3"/>
  <c r="J472" i="3"/>
  <c r="K472" i="3"/>
  <c r="B473" i="3"/>
  <c r="C473" i="3"/>
  <c r="D473" i="3"/>
  <c r="E473" i="3"/>
  <c r="F473" i="3"/>
  <c r="G473" i="3"/>
  <c r="H473" i="3"/>
  <c r="I473" i="3"/>
  <c r="J473" i="3"/>
  <c r="K473" i="3"/>
  <c r="B474" i="3"/>
  <c r="C474" i="3"/>
  <c r="D474" i="3"/>
  <c r="E474" i="3"/>
  <c r="F474" i="3"/>
  <c r="G474" i="3"/>
  <c r="H474" i="3"/>
  <c r="I474" i="3"/>
  <c r="J474" i="3"/>
  <c r="K474" i="3"/>
  <c r="B475" i="3"/>
  <c r="C475" i="3"/>
  <c r="D475" i="3"/>
  <c r="E475" i="3"/>
  <c r="F475" i="3"/>
  <c r="G475" i="3"/>
  <c r="H475" i="3"/>
  <c r="I475" i="3"/>
  <c r="J475" i="3"/>
  <c r="K475" i="3"/>
  <c r="B476" i="3"/>
  <c r="C476" i="3"/>
  <c r="D476" i="3"/>
  <c r="E476" i="3"/>
  <c r="F476" i="3"/>
  <c r="G476" i="3"/>
  <c r="H476" i="3"/>
  <c r="I476" i="3"/>
  <c r="J476" i="3"/>
  <c r="K476" i="3"/>
  <c r="B477" i="3"/>
  <c r="C477" i="3"/>
  <c r="D477" i="3"/>
  <c r="E477" i="3"/>
  <c r="F477" i="3"/>
  <c r="G477" i="3"/>
  <c r="H477" i="3"/>
  <c r="I477" i="3"/>
  <c r="J477" i="3"/>
  <c r="K477" i="3"/>
  <c r="B478" i="3"/>
  <c r="C478" i="3"/>
  <c r="D478" i="3"/>
  <c r="E478" i="3"/>
  <c r="F478" i="3"/>
  <c r="G478" i="3"/>
  <c r="H478" i="3"/>
  <c r="I478" i="3"/>
  <c r="J478" i="3"/>
  <c r="K478" i="3"/>
  <c r="B479" i="3"/>
  <c r="C479" i="3"/>
  <c r="D479" i="3"/>
  <c r="E479" i="3"/>
  <c r="F479" i="3"/>
  <c r="G479" i="3"/>
  <c r="H479" i="3"/>
  <c r="I479" i="3"/>
  <c r="J479" i="3"/>
  <c r="K479" i="3"/>
  <c r="B480" i="3"/>
  <c r="C480" i="3"/>
  <c r="D480" i="3"/>
  <c r="E480" i="3"/>
  <c r="F480" i="3"/>
  <c r="G480" i="3"/>
  <c r="H480" i="3"/>
  <c r="I480" i="3"/>
  <c r="J480" i="3"/>
  <c r="K480" i="3"/>
  <c r="B481" i="3"/>
  <c r="C481" i="3"/>
  <c r="D481" i="3"/>
  <c r="E481" i="3"/>
  <c r="F481" i="3"/>
  <c r="G481" i="3"/>
  <c r="H481" i="3"/>
  <c r="I481" i="3"/>
  <c r="J481" i="3"/>
  <c r="K481" i="3"/>
  <c r="B482" i="3"/>
  <c r="C482" i="3"/>
  <c r="D482" i="3"/>
  <c r="E482" i="3"/>
  <c r="F482" i="3"/>
  <c r="G482" i="3"/>
  <c r="H482" i="3"/>
  <c r="I482" i="3"/>
  <c r="J482" i="3"/>
  <c r="K482" i="3"/>
  <c r="B483" i="3"/>
  <c r="C483" i="3"/>
  <c r="D483" i="3"/>
  <c r="E483" i="3"/>
  <c r="F483" i="3"/>
  <c r="G483" i="3"/>
  <c r="H483" i="3"/>
  <c r="I483" i="3"/>
  <c r="J483" i="3"/>
  <c r="K483" i="3"/>
  <c r="B484" i="3"/>
  <c r="C484" i="3"/>
  <c r="D484" i="3"/>
  <c r="E484" i="3"/>
  <c r="F484" i="3"/>
  <c r="G484" i="3"/>
  <c r="H484" i="3"/>
  <c r="I484" i="3"/>
  <c r="J484" i="3"/>
  <c r="K484" i="3"/>
  <c r="B485" i="3"/>
  <c r="C485" i="3"/>
  <c r="D485" i="3"/>
  <c r="E485" i="3"/>
  <c r="F485" i="3"/>
  <c r="G485" i="3"/>
  <c r="H485" i="3"/>
  <c r="I485" i="3"/>
  <c r="J485" i="3"/>
  <c r="K485" i="3"/>
  <c r="B486" i="3"/>
  <c r="C486" i="3"/>
  <c r="D486" i="3"/>
  <c r="E486" i="3"/>
  <c r="F486" i="3"/>
  <c r="G486" i="3"/>
  <c r="H486" i="3"/>
  <c r="I486" i="3"/>
  <c r="J486" i="3"/>
  <c r="K486" i="3"/>
  <c r="B487" i="3"/>
  <c r="C487" i="3"/>
  <c r="D487" i="3"/>
  <c r="E487" i="3"/>
  <c r="F487" i="3"/>
  <c r="G487" i="3"/>
  <c r="H487" i="3"/>
  <c r="I487" i="3"/>
  <c r="J487" i="3"/>
  <c r="K487" i="3"/>
  <c r="B488" i="3"/>
  <c r="C488" i="3"/>
  <c r="D488" i="3"/>
  <c r="E488" i="3"/>
  <c r="F488" i="3"/>
  <c r="G488" i="3"/>
  <c r="H488" i="3"/>
  <c r="I488" i="3"/>
  <c r="J488" i="3"/>
  <c r="K488" i="3"/>
  <c r="B489" i="3"/>
  <c r="C489" i="3"/>
  <c r="D489" i="3"/>
  <c r="E489" i="3"/>
  <c r="F489" i="3"/>
  <c r="G489" i="3"/>
  <c r="H489" i="3"/>
  <c r="I489" i="3"/>
  <c r="J489" i="3"/>
  <c r="K489" i="3"/>
  <c r="B490" i="3"/>
  <c r="C490" i="3"/>
  <c r="D490" i="3"/>
  <c r="E490" i="3"/>
  <c r="F490" i="3"/>
  <c r="G490" i="3"/>
  <c r="H490" i="3"/>
  <c r="I490" i="3"/>
  <c r="J490" i="3"/>
  <c r="K490" i="3"/>
  <c r="B491" i="3"/>
  <c r="C491" i="3"/>
  <c r="D491" i="3"/>
  <c r="E491" i="3"/>
  <c r="F491" i="3"/>
  <c r="G491" i="3"/>
  <c r="H491" i="3"/>
  <c r="I491" i="3"/>
  <c r="J491" i="3"/>
  <c r="K491" i="3"/>
  <c r="B492" i="3"/>
  <c r="C492" i="3"/>
  <c r="D492" i="3"/>
  <c r="E492" i="3"/>
  <c r="F492" i="3"/>
  <c r="G492" i="3"/>
  <c r="H492" i="3"/>
  <c r="I492" i="3"/>
  <c r="J492" i="3"/>
  <c r="K492" i="3"/>
  <c r="B493" i="3"/>
  <c r="C493" i="3"/>
  <c r="D493" i="3"/>
  <c r="E493" i="3"/>
  <c r="F493" i="3"/>
  <c r="G493" i="3"/>
  <c r="H493" i="3"/>
  <c r="I493" i="3"/>
  <c r="J493" i="3"/>
  <c r="K493" i="3"/>
  <c r="B494" i="3"/>
  <c r="C494" i="3"/>
  <c r="D494" i="3"/>
  <c r="E494" i="3"/>
  <c r="F494" i="3"/>
  <c r="G494" i="3"/>
  <c r="H494" i="3"/>
  <c r="I494" i="3"/>
  <c r="J494" i="3"/>
  <c r="K494" i="3"/>
  <c r="B495" i="3"/>
  <c r="C495" i="3"/>
  <c r="D495" i="3"/>
  <c r="E495" i="3"/>
  <c r="F495" i="3"/>
  <c r="G495" i="3"/>
  <c r="H495" i="3"/>
  <c r="I495" i="3"/>
  <c r="J495" i="3"/>
  <c r="K495" i="3"/>
  <c r="B496" i="3"/>
  <c r="C496" i="3"/>
  <c r="D496" i="3"/>
  <c r="E496" i="3"/>
  <c r="F496" i="3"/>
  <c r="G496" i="3"/>
  <c r="H496" i="3"/>
  <c r="I496" i="3"/>
  <c r="J496" i="3"/>
  <c r="K496" i="3"/>
  <c r="B497" i="3"/>
  <c r="C497" i="3"/>
  <c r="D497" i="3"/>
  <c r="E497" i="3"/>
  <c r="F497" i="3"/>
  <c r="G497" i="3"/>
  <c r="H497" i="3"/>
  <c r="I497" i="3"/>
  <c r="J497" i="3"/>
  <c r="K497" i="3"/>
  <c r="B498" i="3"/>
  <c r="C498" i="3"/>
  <c r="D498" i="3"/>
  <c r="E498" i="3"/>
  <c r="F498" i="3"/>
  <c r="G498" i="3"/>
  <c r="H498" i="3"/>
  <c r="I498" i="3"/>
  <c r="J498" i="3"/>
  <c r="K498" i="3"/>
  <c r="B499" i="3"/>
  <c r="C499" i="3"/>
  <c r="D499" i="3"/>
  <c r="E499" i="3"/>
  <c r="F499" i="3"/>
  <c r="G499" i="3"/>
  <c r="H499" i="3"/>
  <c r="I499" i="3"/>
  <c r="J499" i="3"/>
  <c r="K499" i="3"/>
  <c r="B500" i="3"/>
  <c r="C500" i="3"/>
  <c r="D500" i="3"/>
  <c r="E500" i="3"/>
  <c r="F500" i="3"/>
  <c r="G500" i="3"/>
  <c r="H500" i="3"/>
  <c r="I500" i="3"/>
  <c r="J500" i="3"/>
  <c r="K500" i="3"/>
  <c r="B501" i="3"/>
  <c r="C501" i="3"/>
  <c r="D501" i="3"/>
  <c r="E501" i="3"/>
  <c r="F501" i="3"/>
  <c r="G501" i="3"/>
  <c r="H501" i="3"/>
  <c r="I501" i="3"/>
  <c r="J501" i="3"/>
  <c r="K501" i="3"/>
  <c r="B502" i="3"/>
  <c r="C502" i="3"/>
  <c r="D502" i="3"/>
  <c r="E502" i="3"/>
  <c r="F502" i="3"/>
  <c r="G502" i="3"/>
  <c r="H502" i="3"/>
  <c r="I502" i="3"/>
  <c r="J502" i="3"/>
  <c r="K502" i="3"/>
  <c r="B503" i="3"/>
  <c r="C503" i="3"/>
  <c r="D503" i="3"/>
  <c r="E503" i="3"/>
  <c r="F503" i="3"/>
  <c r="G503" i="3"/>
  <c r="H503" i="3"/>
  <c r="I503" i="3"/>
  <c r="J503" i="3"/>
  <c r="K503" i="3"/>
  <c r="B504" i="3"/>
  <c r="C504" i="3"/>
  <c r="D504" i="3"/>
  <c r="E504" i="3"/>
  <c r="F504" i="3"/>
  <c r="G504" i="3"/>
  <c r="H504" i="3"/>
  <c r="I504" i="3"/>
  <c r="J504" i="3"/>
  <c r="K504" i="3"/>
  <c r="B505" i="3"/>
  <c r="C505" i="3"/>
  <c r="D505" i="3"/>
  <c r="E505" i="3"/>
  <c r="F505" i="3"/>
  <c r="G505" i="3"/>
  <c r="H505" i="3"/>
  <c r="I505" i="3"/>
  <c r="J505" i="3"/>
  <c r="K505" i="3"/>
  <c r="B506" i="3"/>
  <c r="C506" i="3"/>
  <c r="D506" i="3"/>
  <c r="E506" i="3"/>
  <c r="F506" i="3"/>
  <c r="G506" i="3"/>
  <c r="H506" i="3"/>
  <c r="I506" i="3"/>
  <c r="J506" i="3"/>
  <c r="K506" i="3"/>
  <c r="B507" i="3"/>
  <c r="C507" i="3"/>
  <c r="D507" i="3"/>
  <c r="E507" i="3"/>
  <c r="F507" i="3"/>
  <c r="G507" i="3"/>
  <c r="H507" i="3"/>
  <c r="I507" i="3"/>
  <c r="J507" i="3"/>
  <c r="K507" i="3"/>
  <c r="B508" i="3"/>
  <c r="C508" i="3"/>
  <c r="D508" i="3"/>
  <c r="E508" i="3"/>
  <c r="F508" i="3"/>
  <c r="G508" i="3"/>
  <c r="H508" i="3"/>
  <c r="I508" i="3"/>
  <c r="J508" i="3"/>
  <c r="K508" i="3"/>
  <c r="B509" i="3"/>
  <c r="C509" i="3"/>
  <c r="D509" i="3"/>
  <c r="E509" i="3"/>
  <c r="F509" i="3"/>
  <c r="G509" i="3"/>
  <c r="H509" i="3"/>
  <c r="I509" i="3"/>
  <c r="J509" i="3"/>
  <c r="K509" i="3"/>
  <c r="B510" i="3"/>
  <c r="C510" i="3"/>
  <c r="D510" i="3"/>
  <c r="E510" i="3"/>
  <c r="F510" i="3"/>
  <c r="G510" i="3"/>
  <c r="H510" i="3"/>
  <c r="I510" i="3"/>
  <c r="J510" i="3"/>
  <c r="K510" i="3"/>
  <c r="B511" i="3"/>
  <c r="C511" i="3"/>
  <c r="D511" i="3"/>
  <c r="E511" i="3"/>
  <c r="F511" i="3"/>
  <c r="G511" i="3"/>
  <c r="H511" i="3"/>
  <c r="I511" i="3"/>
  <c r="J511" i="3"/>
  <c r="K511" i="3"/>
  <c r="B512" i="3"/>
  <c r="C512" i="3"/>
  <c r="D512" i="3"/>
  <c r="E512" i="3"/>
  <c r="F512" i="3"/>
  <c r="G512" i="3"/>
  <c r="H512" i="3"/>
  <c r="I512" i="3"/>
  <c r="J512" i="3"/>
  <c r="K512" i="3"/>
  <c r="B513" i="3"/>
  <c r="C513" i="3"/>
  <c r="D513" i="3"/>
  <c r="E513" i="3"/>
  <c r="F513" i="3"/>
  <c r="G513" i="3"/>
  <c r="H513" i="3"/>
  <c r="I513" i="3"/>
  <c r="J513" i="3"/>
  <c r="K513" i="3"/>
  <c r="B514" i="3"/>
  <c r="C514" i="3"/>
  <c r="D514" i="3"/>
  <c r="E514" i="3"/>
  <c r="F514" i="3"/>
  <c r="G514" i="3"/>
  <c r="H514" i="3"/>
  <c r="I514" i="3"/>
  <c r="J514" i="3"/>
  <c r="K514" i="3"/>
  <c r="B515" i="3"/>
  <c r="C515" i="3"/>
  <c r="D515" i="3"/>
  <c r="E515" i="3"/>
  <c r="F515" i="3"/>
  <c r="G515" i="3"/>
  <c r="H515" i="3"/>
  <c r="I515" i="3"/>
  <c r="J515" i="3"/>
  <c r="K515" i="3"/>
  <c r="B516" i="3"/>
  <c r="C516" i="3"/>
  <c r="D516" i="3"/>
  <c r="E516" i="3"/>
  <c r="F516" i="3"/>
  <c r="G516" i="3"/>
  <c r="H516" i="3"/>
  <c r="I516" i="3"/>
  <c r="J516" i="3"/>
  <c r="K516" i="3"/>
  <c r="B517" i="3"/>
  <c r="C517" i="3"/>
  <c r="D517" i="3"/>
  <c r="E517" i="3"/>
  <c r="F517" i="3"/>
  <c r="G517" i="3"/>
  <c r="H517" i="3"/>
  <c r="I517" i="3"/>
  <c r="J517" i="3"/>
  <c r="K517" i="3"/>
  <c r="B518" i="3"/>
  <c r="C518" i="3"/>
  <c r="D518" i="3"/>
  <c r="E518" i="3"/>
  <c r="F518" i="3"/>
  <c r="G518" i="3"/>
  <c r="H518" i="3"/>
  <c r="I518" i="3"/>
  <c r="J518" i="3"/>
  <c r="K518" i="3"/>
  <c r="B519" i="3"/>
  <c r="C519" i="3"/>
  <c r="D519" i="3"/>
  <c r="E519" i="3"/>
  <c r="F519" i="3"/>
  <c r="G519" i="3"/>
  <c r="H519" i="3"/>
  <c r="I519" i="3"/>
  <c r="J519" i="3"/>
  <c r="K519" i="3"/>
  <c r="B520" i="3"/>
  <c r="C520" i="3"/>
  <c r="D520" i="3"/>
  <c r="E520" i="3"/>
  <c r="F520" i="3"/>
  <c r="G520" i="3"/>
  <c r="H520" i="3"/>
  <c r="I520" i="3"/>
  <c r="J520" i="3"/>
  <c r="K520" i="3"/>
  <c r="B521" i="3"/>
  <c r="C521" i="3"/>
  <c r="D521" i="3"/>
  <c r="E521" i="3"/>
  <c r="F521" i="3"/>
  <c r="G521" i="3"/>
  <c r="H521" i="3"/>
  <c r="I521" i="3"/>
  <c r="J521" i="3"/>
  <c r="K521" i="3"/>
  <c r="B522" i="3"/>
  <c r="C522" i="3"/>
  <c r="D522" i="3"/>
  <c r="E522" i="3"/>
  <c r="F522" i="3"/>
  <c r="G522" i="3"/>
  <c r="H522" i="3"/>
  <c r="I522" i="3"/>
  <c r="J522" i="3"/>
  <c r="K522" i="3"/>
  <c r="B523" i="3"/>
  <c r="C523" i="3"/>
  <c r="D523" i="3"/>
  <c r="E523" i="3"/>
  <c r="F523" i="3"/>
  <c r="G523" i="3"/>
  <c r="H523" i="3"/>
  <c r="I523" i="3"/>
  <c r="J523" i="3"/>
  <c r="K523" i="3"/>
  <c r="B524" i="3"/>
  <c r="C524" i="3"/>
  <c r="D524" i="3"/>
  <c r="E524" i="3"/>
  <c r="F524" i="3"/>
  <c r="G524" i="3"/>
  <c r="H524" i="3"/>
  <c r="I524" i="3"/>
  <c r="J524" i="3"/>
  <c r="K524" i="3"/>
  <c r="B525" i="3"/>
  <c r="C525" i="3"/>
  <c r="D525" i="3"/>
  <c r="E525" i="3"/>
  <c r="F525" i="3"/>
  <c r="G525" i="3"/>
  <c r="H525" i="3"/>
  <c r="I525" i="3"/>
  <c r="J525" i="3"/>
  <c r="K525" i="3"/>
  <c r="B526" i="3"/>
  <c r="C526" i="3"/>
  <c r="D526" i="3"/>
  <c r="E526" i="3"/>
  <c r="F526" i="3"/>
  <c r="G526" i="3"/>
  <c r="H526" i="3"/>
  <c r="I526" i="3"/>
  <c r="J526" i="3"/>
  <c r="K526" i="3"/>
  <c r="B527" i="3"/>
  <c r="C527" i="3"/>
  <c r="D527" i="3"/>
  <c r="E527" i="3"/>
  <c r="F527" i="3"/>
  <c r="G527" i="3"/>
  <c r="H527" i="3"/>
  <c r="I527" i="3"/>
  <c r="J527" i="3"/>
  <c r="K527" i="3"/>
  <c r="B528" i="3"/>
  <c r="C528" i="3"/>
  <c r="D528" i="3"/>
  <c r="E528" i="3"/>
  <c r="F528" i="3"/>
  <c r="G528" i="3"/>
  <c r="H528" i="3"/>
  <c r="I528" i="3"/>
  <c r="J528" i="3"/>
  <c r="K528" i="3"/>
  <c r="B529" i="3"/>
  <c r="C529" i="3"/>
  <c r="D529" i="3"/>
  <c r="E529" i="3"/>
  <c r="F529" i="3"/>
  <c r="G529" i="3"/>
  <c r="H529" i="3"/>
  <c r="I529" i="3"/>
  <c r="J529" i="3"/>
  <c r="K529" i="3"/>
  <c r="B530" i="3"/>
  <c r="C530" i="3"/>
  <c r="D530" i="3"/>
  <c r="E530" i="3"/>
  <c r="F530" i="3"/>
  <c r="G530" i="3"/>
  <c r="H530" i="3"/>
  <c r="I530" i="3"/>
  <c r="J530" i="3"/>
  <c r="K530" i="3"/>
  <c r="B531" i="3"/>
  <c r="C531" i="3"/>
  <c r="D531" i="3"/>
  <c r="E531" i="3"/>
  <c r="F531" i="3"/>
  <c r="G531" i="3"/>
  <c r="H531" i="3"/>
  <c r="I531" i="3"/>
  <c r="J531" i="3"/>
  <c r="K531" i="3"/>
  <c r="B532" i="3"/>
  <c r="C532" i="3"/>
  <c r="D532" i="3"/>
  <c r="E532" i="3"/>
  <c r="F532" i="3"/>
  <c r="G532" i="3"/>
  <c r="H532" i="3"/>
  <c r="I532" i="3"/>
  <c r="J532" i="3"/>
  <c r="K532" i="3"/>
  <c r="B533" i="3"/>
  <c r="C533" i="3"/>
  <c r="D533" i="3"/>
  <c r="E533" i="3"/>
  <c r="F533" i="3"/>
  <c r="G533" i="3"/>
  <c r="H533" i="3"/>
  <c r="I533" i="3"/>
  <c r="J533" i="3"/>
  <c r="K533" i="3"/>
  <c r="B534" i="3"/>
  <c r="C534" i="3"/>
  <c r="D534" i="3"/>
  <c r="E534" i="3"/>
  <c r="F534" i="3"/>
  <c r="G534" i="3"/>
  <c r="H534" i="3"/>
  <c r="I534" i="3"/>
  <c r="J534" i="3"/>
  <c r="K534" i="3"/>
  <c r="B535" i="3"/>
  <c r="C535" i="3"/>
  <c r="D535" i="3"/>
  <c r="E535" i="3"/>
  <c r="F535" i="3"/>
  <c r="G535" i="3"/>
  <c r="H535" i="3"/>
  <c r="I535" i="3"/>
  <c r="J535" i="3"/>
  <c r="K535" i="3"/>
  <c r="B536" i="3"/>
  <c r="C536" i="3"/>
  <c r="D536" i="3"/>
  <c r="E536" i="3"/>
  <c r="F536" i="3"/>
  <c r="G536" i="3"/>
  <c r="H536" i="3"/>
  <c r="I536" i="3"/>
  <c r="J536" i="3"/>
  <c r="K536" i="3"/>
  <c r="B537" i="3"/>
  <c r="C537" i="3"/>
  <c r="D537" i="3"/>
  <c r="E537" i="3"/>
  <c r="F537" i="3"/>
  <c r="G537" i="3"/>
  <c r="H537" i="3"/>
  <c r="I537" i="3"/>
  <c r="J537" i="3"/>
  <c r="K537" i="3"/>
  <c r="B538" i="3"/>
  <c r="C538" i="3"/>
  <c r="D538" i="3"/>
  <c r="E538" i="3"/>
  <c r="F538" i="3"/>
  <c r="G538" i="3"/>
  <c r="H538" i="3"/>
  <c r="I538" i="3"/>
  <c r="J538" i="3"/>
  <c r="K538" i="3"/>
  <c r="B539" i="3"/>
  <c r="C539" i="3"/>
  <c r="D539" i="3"/>
  <c r="E539" i="3"/>
  <c r="F539" i="3"/>
  <c r="G539" i="3"/>
  <c r="H539" i="3"/>
  <c r="I539" i="3"/>
  <c r="J539" i="3"/>
  <c r="K539" i="3"/>
  <c r="B540" i="3"/>
  <c r="C540" i="3"/>
  <c r="D540" i="3"/>
  <c r="E540" i="3"/>
  <c r="F540" i="3"/>
  <c r="G540" i="3"/>
  <c r="H540" i="3"/>
  <c r="I540" i="3"/>
  <c r="J540" i="3"/>
  <c r="K540" i="3"/>
  <c r="B541" i="3"/>
  <c r="C541" i="3"/>
  <c r="D541" i="3"/>
  <c r="E541" i="3"/>
  <c r="F541" i="3"/>
  <c r="G541" i="3"/>
  <c r="H541" i="3"/>
  <c r="I541" i="3"/>
  <c r="J541" i="3"/>
  <c r="K541" i="3"/>
  <c r="B542" i="3"/>
  <c r="C542" i="3"/>
  <c r="D542" i="3"/>
  <c r="E542" i="3"/>
  <c r="F542" i="3"/>
  <c r="G542" i="3"/>
  <c r="H542" i="3"/>
  <c r="I542" i="3"/>
  <c r="J542" i="3"/>
  <c r="K542" i="3"/>
  <c r="B543" i="3"/>
  <c r="C543" i="3"/>
  <c r="D543" i="3"/>
  <c r="E543" i="3"/>
  <c r="F543" i="3"/>
  <c r="G543" i="3"/>
  <c r="H543" i="3"/>
  <c r="I543" i="3"/>
  <c r="J543" i="3"/>
  <c r="K543" i="3"/>
  <c r="B544" i="3"/>
  <c r="C544" i="3"/>
  <c r="D544" i="3"/>
  <c r="E544" i="3"/>
  <c r="F544" i="3"/>
  <c r="G544" i="3"/>
  <c r="H544" i="3"/>
  <c r="I544" i="3"/>
  <c r="J544" i="3"/>
  <c r="K544" i="3"/>
  <c r="B545" i="3"/>
  <c r="C545" i="3"/>
  <c r="D545" i="3"/>
  <c r="E545" i="3"/>
  <c r="F545" i="3"/>
  <c r="G545" i="3"/>
  <c r="H545" i="3"/>
  <c r="I545" i="3"/>
  <c r="J545" i="3"/>
  <c r="K545" i="3"/>
  <c r="B546" i="3"/>
  <c r="C546" i="3"/>
  <c r="D546" i="3"/>
  <c r="E546" i="3"/>
  <c r="F546" i="3"/>
  <c r="G546" i="3"/>
  <c r="H546" i="3"/>
  <c r="I546" i="3"/>
  <c r="J546" i="3"/>
  <c r="K546" i="3"/>
  <c r="B547" i="3"/>
  <c r="C547" i="3"/>
  <c r="D547" i="3"/>
  <c r="E547" i="3"/>
  <c r="F547" i="3"/>
  <c r="G547" i="3"/>
  <c r="H547" i="3"/>
  <c r="I547" i="3"/>
  <c r="J547" i="3"/>
  <c r="K547" i="3"/>
  <c r="B548" i="3"/>
  <c r="C548" i="3"/>
  <c r="D548" i="3"/>
  <c r="E548" i="3"/>
  <c r="F548" i="3"/>
  <c r="G548" i="3"/>
  <c r="H548" i="3"/>
  <c r="I548" i="3"/>
  <c r="J548" i="3"/>
  <c r="K548" i="3"/>
  <c r="B549" i="3"/>
  <c r="C549" i="3"/>
  <c r="D549" i="3"/>
  <c r="E549" i="3"/>
  <c r="F549" i="3"/>
  <c r="G549" i="3"/>
  <c r="H549" i="3"/>
  <c r="I549" i="3"/>
  <c r="J549" i="3"/>
  <c r="K549" i="3"/>
  <c r="B550" i="3"/>
  <c r="C550" i="3"/>
  <c r="D550" i="3"/>
  <c r="E550" i="3"/>
  <c r="F550" i="3"/>
  <c r="G550" i="3"/>
  <c r="H550" i="3"/>
  <c r="I550" i="3"/>
  <c r="J550" i="3"/>
  <c r="K550" i="3"/>
  <c r="B551" i="3"/>
  <c r="C551" i="3"/>
  <c r="D551" i="3"/>
  <c r="E551" i="3"/>
  <c r="F551" i="3"/>
  <c r="G551" i="3"/>
  <c r="H551" i="3"/>
  <c r="I551" i="3"/>
  <c r="J551" i="3"/>
  <c r="K551" i="3"/>
  <c r="B552" i="3"/>
  <c r="C552" i="3"/>
  <c r="D552" i="3"/>
  <c r="E552" i="3"/>
  <c r="F552" i="3"/>
  <c r="G552" i="3"/>
  <c r="H552" i="3"/>
  <c r="I552" i="3"/>
  <c r="J552" i="3"/>
  <c r="K552" i="3"/>
  <c r="B553" i="3"/>
  <c r="C553" i="3"/>
  <c r="D553" i="3"/>
  <c r="E553" i="3"/>
  <c r="F553" i="3"/>
  <c r="G553" i="3"/>
  <c r="H553" i="3"/>
  <c r="I553" i="3"/>
  <c r="J553" i="3"/>
  <c r="K553" i="3"/>
  <c r="B554" i="3"/>
  <c r="C554" i="3"/>
  <c r="D554" i="3"/>
  <c r="E554" i="3"/>
  <c r="F554" i="3"/>
  <c r="G554" i="3"/>
  <c r="H554" i="3"/>
  <c r="I554" i="3"/>
  <c r="J554" i="3"/>
  <c r="K554" i="3"/>
  <c r="B555" i="3"/>
  <c r="C555" i="3"/>
  <c r="D555" i="3"/>
  <c r="E555" i="3"/>
  <c r="F555" i="3"/>
  <c r="G555" i="3"/>
  <c r="H555" i="3"/>
  <c r="I555" i="3"/>
  <c r="J555" i="3"/>
  <c r="K555" i="3"/>
  <c r="B556" i="3"/>
  <c r="C556" i="3"/>
  <c r="D556" i="3"/>
  <c r="E556" i="3"/>
  <c r="F556" i="3"/>
  <c r="G556" i="3"/>
  <c r="H556" i="3"/>
  <c r="I556" i="3"/>
  <c r="J556" i="3"/>
  <c r="K556" i="3"/>
  <c r="B557" i="3"/>
  <c r="C557" i="3"/>
  <c r="D557" i="3"/>
  <c r="E557" i="3"/>
  <c r="F557" i="3"/>
  <c r="G557" i="3"/>
  <c r="H557" i="3"/>
  <c r="I557" i="3"/>
  <c r="J557" i="3"/>
  <c r="K557" i="3"/>
  <c r="B558" i="3"/>
  <c r="C558" i="3"/>
  <c r="D558" i="3"/>
  <c r="E558" i="3"/>
  <c r="F558" i="3"/>
  <c r="G558" i="3"/>
  <c r="H558" i="3"/>
  <c r="I558" i="3"/>
  <c r="J558" i="3"/>
  <c r="K558" i="3"/>
  <c r="B559" i="3"/>
  <c r="C559" i="3"/>
  <c r="D559" i="3"/>
  <c r="E559" i="3"/>
  <c r="F559" i="3"/>
  <c r="G559" i="3"/>
  <c r="H559" i="3"/>
  <c r="I559" i="3"/>
  <c r="J559" i="3"/>
  <c r="K559" i="3"/>
  <c r="B560" i="3"/>
  <c r="C560" i="3"/>
  <c r="D560" i="3"/>
  <c r="E560" i="3"/>
  <c r="F560" i="3"/>
  <c r="G560" i="3"/>
  <c r="H560" i="3"/>
  <c r="I560" i="3"/>
  <c r="J560" i="3"/>
  <c r="K560" i="3"/>
  <c r="B561" i="3"/>
  <c r="C561" i="3"/>
  <c r="D561" i="3"/>
  <c r="E561" i="3"/>
  <c r="F561" i="3"/>
  <c r="G561" i="3"/>
  <c r="H561" i="3"/>
  <c r="I561" i="3"/>
  <c r="J561" i="3"/>
  <c r="K561" i="3"/>
  <c r="B562" i="3"/>
  <c r="C562" i="3"/>
  <c r="D562" i="3"/>
  <c r="E562" i="3"/>
  <c r="F562" i="3"/>
  <c r="G562" i="3"/>
  <c r="H562" i="3"/>
  <c r="I562" i="3"/>
  <c r="J562" i="3"/>
  <c r="K562" i="3"/>
  <c r="B563" i="3"/>
  <c r="C563" i="3"/>
  <c r="D563" i="3"/>
  <c r="E563" i="3"/>
  <c r="F563" i="3"/>
  <c r="G563" i="3"/>
  <c r="H563" i="3"/>
  <c r="I563" i="3"/>
  <c r="J563" i="3"/>
  <c r="K563" i="3"/>
  <c r="B564" i="3"/>
  <c r="C564" i="3"/>
  <c r="D564" i="3"/>
  <c r="E564" i="3"/>
  <c r="F564" i="3"/>
  <c r="G564" i="3"/>
  <c r="H564" i="3"/>
  <c r="I564" i="3"/>
  <c r="J564" i="3"/>
  <c r="K564" i="3"/>
  <c r="B565" i="3"/>
  <c r="C565" i="3"/>
  <c r="D565" i="3"/>
  <c r="E565" i="3"/>
  <c r="F565" i="3"/>
  <c r="G565" i="3"/>
  <c r="H565" i="3"/>
  <c r="I565" i="3"/>
  <c r="J565" i="3"/>
  <c r="K565" i="3"/>
  <c r="B566" i="3"/>
  <c r="C566" i="3"/>
  <c r="D566" i="3"/>
  <c r="E566" i="3"/>
  <c r="F566" i="3"/>
  <c r="G566" i="3"/>
  <c r="H566" i="3"/>
  <c r="I566" i="3"/>
  <c r="J566" i="3"/>
  <c r="K566" i="3"/>
  <c r="B567" i="3"/>
  <c r="C567" i="3"/>
  <c r="D567" i="3"/>
  <c r="E567" i="3"/>
  <c r="F567" i="3"/>
  <c r="G567" i="3"/>
  <c r="H567" i="3"/>
  <c r="I567" i="3"/>
  <c r="J567" i="3"/>
  <c r="K567" i="3"/>
  <c r="B568" i="3"/>
  <c r="C568" i="3"/>
  <c r="D568" i="3"/>
  <c r="E568" i="3"/>
  <c r="F568" i="3"/>
  <c r="G568" i="3"/>
  <c r="H568" i="3"/>
  <c r="I568" i="3"/>
  <c r="J568" i="3"/>
  <c r="K568" i="3"/>
  <c r="B569" i="3"/>
  <c r="C569" i="3"/>
  <c r="D569" i="3"/>
  <c r="E569" i="3"/>
  <c r="F569" i="3"/>
  <c r="G569" i="3"/>
  <c r="H569" i="3"/>
  <c r="I569" i="3"/>
  <c r="J569" i="3"/>
  <c r="K569" i="3"/>
  <c r="B570" i="3"/>
  <c r="C570" i="3"/>
  <c r="D570" i="3"/>
  <c r="E570" i="3"/>
  <c r="F570" i="3"/>
  <c r="G570" i="3"/>
  <c r="H570" i="3"/>
  <c r="I570" i="3"/>
  <c r="J570" i="3"/>
  <c r="K570" i="3"/>
  <c r="B571" i="3"/>
  <c r="C571" i="3"/>
  <c r="D571" i="3"/>
  <c r="E571" i="3"/>
  <c r="F571" i="3"/>
  <c r="G571" i="3"/>
  <c r="H571" i="3"/>
  <c r="I571" i="3"/>
  <c r="J571" i="3"/>
  <c r="K571" i="3"/>
  <c r="B572" i="3"/>
  <c r="C572" i="3"/>
  <c r="D572" i="3"/>
  <c r="E572" i="3"/>
  <c r="F572" i="3"/>
  <c r="G572" i="3"/>
  <c r="H572" i="3"/>
  <c r="I572" i="3"/>
  <c r="J572" i="3"/>
  <c r="K572" i="3"/>
  <c r="B573" i="3"/>
  <c r="C573" i="3"/>
  <c r="D573" i="3"/>
  <c r="E573" i="3"/>
  <c r="F573" i="3"/>
  <c r="G573" i="3"/>
  <c r="H573" i="3"/>
  <c r="I573" i="3"/>
  <c r="J573" i="3"/>
  <c r="K573" i="3"/>
  <c r="B574" i="3"/>
  <c r="C574" i="3"/>
  <c r="D574" i="3"/>
  <c r="E574" i="3"/>
  <c r="F574" i="3"/>
  <c r="G574" i="3"/>
  <c r="H574" i="3"/>
  <c r="I574" i="3"/>
  <c r="J574" i="3"/>
  <c r="K574" i="3"/>
  <c r="B575" i="3"/>
  <c r="C575" i="3"/>
  <c r="D575" i="3"/>
  <c r="E575" i="3"/>
  <c r="F575" i="3"/>
  <c r="G575" i="3"/>
  <c r="H575" i="3"/>
  <c r="I575" i="3"/>
  <c r="J575" i="3"/>
  <c r="K575" i="3"/>
  <c r="B576" i="3"/>
  <c r="C576" i="3"/>
  <c r="D576" i="3"/>
  <c r="E576" i="3"/>
  <c r="F576" i="3"/>
  <c r="G576" i="3"/>
  <c r="H576" i="3"/>
  <c r="I576" i="3"/>
  <c r="J576" i="3"/>
  <c r="K576" i="3"/>
  <c r="B577" i="3"/>
  <c r="C577" i="3"/>
  <c r="D577" i="3"/>
  <c r="E577" i="3"/>
  <c r="F577" i="3"/>
  <c r="G577" i="3"/>
  <c r="H577" i="3"/>
  <c r="I577" i="3"/>
  <c r="J577" i="3"/>
  <c r="K577" i="3"/>
  <c r="B578" i="3"/>
  <c r="C578" i="3"/>
  <c r="D578" i="3"/>
  <c r="E578" i="3"/>
  <c r="F578" i="3"/>
  <c r="G578" i="3"/>
  <c r="H578" i="3"/>
  <c r="I578" i="3"/>
  <c r="J578" i="3"/>
  <c r="K578" i="3"/>
  <c r="B579" i="3"/>
  <c r="C579" i="3"/>
  <c r="D579" i="3"/>
  <c r="E579" i="3"/>
  <c r="F579" i="3"/>
  <c r="G579" i="3"/>
  <c r="H579" i="3"/>
  <c r="I579" i="3"/>
  <c r="J579" i="3"/>
  <c r="K579" i="3"/>
  <c r="B580" i="3"/>
  <c r="C580" i="3"/>
  <c r="D580" i="3"/>
  <c r="E580" i="3"/>
  <c r="F580" i="3"/>
  <c r="G580" i="3"/>
  <c r="H580" i="3"/>
  <c r="I580" i="3"/>
  <c r="J580" i="3"/>
  <c r="K580" i="3"/>
  <c r="B581" i="3"/>
  <c r="C581" i="3"/>
  <c r="D581" i="3"/>
  <c r="E581" i="3"/>
  <c r="F581" i="3"/>
  <c r="G581" i="3"/>
  <c r="H581" i="3"/>
  <c r="I581" i="3"/>
  <c r="J581" i="3"/>
  <c r="K581" i="3"/>
  <c r="B582" i="3"/>
  <c r="C582" i="3"/>
  <c r="D582" i="3"/>
  <c r="E582" i="3"/>
  <c r="F582" i="3"/>
  <c r="G582" i="3"/>
  <c r="H582" i="3"/>
  <c r="I582" i="3"/>
  <c r="J582" i="3"/>
  <c r="K582" i="3"/>
  <c r="B583" i="3"/>
  <c r="C583" i="3"/>
  <c r="D583" i="3"/>
  <c r="E583" i="3"/>
  <c r="F583" i="3"/>
  <c r="G583" i="3"/>
  <c r="H583" i="3"/>
  <c r="I583" i="3"/>
  <c r="J583" i="3"/>
  <c r="K583" i="3"/>
  <c r="B584" i="3"/>
  <c r="C584" i="3"/>
  <c r="D584" i="3"/>
  <c r="E584" i="3"/>
  <c r="F584" i="3"/>
  <c r="G584" i="3"/>
  <c r="H584" i="3"/>
  <c r="I584" i="3"/>
  <c r="J584" i="3"/>
  <c r="K584" i="3"/>
  <c r="B585" i="3"/>
  <c r="C585" i="3"/>
  <c r="D585" i="3"/>
  <c r="E585" i="3"/>
  <c r="F585" i="3"/>
  <c r="G585" i="3"/>
  <c r="H585" i="3"/>
  <c r="I585" i="3"/>
  <c r="J585" i="3"/>
  <c r="K585" i="3"/>
  <c r="B586" i="3"/>
  <c r="C586" i="3"/>
  <c r="D586" i="3"/>
  <c r="E586" i="3"/>
  <c r="F586" i="3"/>
  <c r="G586" i="3"/>
  <c r="H586" i="3"/>
  <c r="I586" i="3"/>
  <c r="J586" i="3"/>
  <c r="K586" i="3"/>
  <c r="B587" i="3"/>
  <c r="C587" i="3"/>
  <c r="D587" i="3"/>
  <c r="E587" i="3"/>
  <c r="F587" i="3"/>
  <c r="G587" i="3"/>
  <c r="H587" i="3"/>
  <c r="I587" i="3"/>
  <c r="J587" i="3"/>
  <c r="K587" i="3"/>
  <c r="B588" i="3"/>
  <c r="C588" i="3"/>
  <c r="D588" i="3"/>
  <c r="E588" i="3"/>
  <c r="F588" i="3"/>
  <c r="G588" i="3"/>
  <c r="H588" i="3"/>
  <c r="I588" i="3"/>
  <c r="J588" i="3"/>
  <c r="K588" i="3"/>
  <c r="B589" i="3"/>
  <c r="C589" i="3"/>
  <c r="D589" i="3"/>
  <c r="E589" i="3"/>
  <c r="F589" i="3"/>
  <c r="G589" i="3"/>
  <c r="H589" i="3"/>
  <c r="I589" i="3"/>
  <c r="J589" i="3"/>
  <c r="K589" i="3"/>
  <c r="B590" i="3"/>
  <c r="C590" i="3"/>
  <c r="D590" i="3"/>
  <c r="E590" i="3"/>
  <c r="F590" i="3"/>
  <c r="G590" i="3"/>
  <c r="H590" i="3"/>
  <c r="I590" i="3"/>
  <c r="J590" i="3"/>
  <c r="K590" i="3"/>
  <c r="B591" i="3"/>
  <c r="C591" i="3"/>
  <c r="D591" i="3"/>
  <c r="E591" i="3"/>
  <c r="F591" i="3"/>
  <c r="G591" i="3"/>
  <c r="H591" i="3"/>
  <c r="I591" i="3"/>
  <c r="J591" i="3"/>
  <c r="K591" i="3"/>
  <c r="B592" i="3"/>
  <c r="C592" i="3"/>
  <c r="D592" i="3"/>
  <c r="E592" i="3"/>
  <c r="F592" i="3"/>
  <c r="G592" i="3"/>
  <c r="H592" i="3"/>
  <c r="I592" i="3"/>
  <c r="J592" i="3"/>
  <c r="K592" i="3"/>
  <c r="B593" i="3"/>
  <c r="C593" i="3"/>
  <c r="D593" i="3"/>
  <c r="E593" i="3"/>
  <c r="F593" i="3"/>
  <c r="G593" i="3"/>
  <c r="H593" i="3"/>
  <c r="I593" i="3"/>
  <c r="J593" i="3"/>
  <c r="K593" i="3"/>
  <c r="B594" i="3"/>
  <c r="C594" i="3"/>
  <c r="D594" i="3"/>
  <c r="E594" i="3"/>
  <c r="F594" i="3"/>
  <c r="G594" i="3"/>
  <c r="H594" i="3"/>
  <c r="I594" i="3"/>
  <c r="J594" i="3"/>
  <c r="K594" i="3"/>
  <c r="B595" i="3"/>
  <c r="C595" i="3"/>
  <c r="D595" i="3"/>
  <c r="E595" i="3"/>
  <c r="F595" i="3"/>
  <c r="G595" i="3"/>
  <c r="H595" i="3"/>
  <c r="I595" i="3"/>
  <c r="J595" i="3"/>
  <c r="K595" i="3"/>
  <c r="B596" i="3"/>
  <c r="C596" i="3"/>
  <c r="D596" i="3"/>
  <c r="E596" i="3"/>
  <c r="F596" i="3"/>
  <c r="G596" i="3"/>
  <c r="H596" i="3"/>
  <c r="I596" i="3"/>
  <c r="J596" i="3"/>
  <c r="K596" i="3"/>
  <c r="B597" i="3"/>
  <c r="C597" i="3"/>
  <c r="D597" i="3"/>
  <c r="E597" i="3"/>
  <c r="F597" i="3"/>
  <c r="G597" i="3"/>
  <c r="H597" i="3"/>
  <c r="I597" i="3"/>
  <c r="J597" i="3"/>
  <c r="K597" i="3"/>
  <c r="B598" i="3"/>
  <c r="C598" i="3"/>
  <c r="D598" i="3"/>
  <c r="E598" i="3"/>
  <c r="F598" i="3"/>
  <c r="G598" i="3"/>
  <c r="H598" i="3"/>
  <c r="I598" i="3"/>
  <c r="J598" i="3"/>
  <c r="K598" i="3"/>
  <c r="B599" i="3"/>
  <c r="C599" i="3"/>
  <c r="D599" i="3"/>
  <c r="E599" i="3"/>
  <c r="F599" i="3"/>
  <c r="G599" i="3"/>
  <c r="H599" i="3"/>
  <c r="I599" i="3"/>
  <c r="J599" i="3"/>
  <c r="K599" i="3"/>
  <c r="B600" i="3"/>
  <c r="C600" i="3"/>
  <c r="D600" i="3"/>
  <c r="E600" i="3"/>
  <c r="F600" i="3"/>
  <c r="G600" i="3"/>
  <c r="H600" i="3"/>
  <c r="I600" i="3"/>
  <c r="J600" i="3"/>
  <c r="K600" i="3"/>
  <c r="B601" i="3"/>
  <c r="C601" i="3"/>
  <c r="D601" i="3"/>
  <c r="E601" i="3"/>
  <c r="F601" i="3"/>
  <c r="G601" i="3"/>
  <c r="H601" i="3"/>
  <c r="I601" i="3"/>
  <c r="J601" i="3"/>
  <c r="K601" i="3"/>
  <c r="B602" i="3"/>
  <c r="C602" i="3"/>
  <c r="D602" i="3"/>
  <c r="E602" i="3"/>
  <c r="F602" i="3"/>
  <c r="G602" i="3"/>
  <c r="H602" i="3"/>
  <c r="I602" i="3"/>
  <c r="J602" i="3"/>
  <c r="K602" i="3"/>
  <c r="B603" i="3"/>
  <c r="C603" i="3"/>
  <c r="D603" i="3"/>
  <c r="E603" i="3"/>
  <c r="F603" i="3"/>
  <c r="G603" i="3"/>
  <c r="H603" i="3"/>
  <c r="I603" i="3"/>
  <c r="J603" i="3"/>
  <c r="K603" i="3"/>
  <c r="B604" i="3"/>
  <c r="C604" i="3"/>
  <c r="D604" i="3"/>
  <c r="E604" i="3"/>
  <c r="F604" i="3"/>
  <c r="G604" i="3"/>
  <c r="H604" i="3"/>
  <c r="I604" i="3"/>
  <c r="J604" i="3"/>
  <c r="K604" i="3"/>
  <c r="B605" i="3"/>
  <c r="C605" i="3"/>
  <c r="D605" i="3"/>
  <c r="E605" i="3"/>
  <c r="F605" i="3"/>
  <c r="G605" i="3"/>
  <c r="H605" i="3"/>
  <c r="I605" i="3"/>
  <c r="J605" i="3"/>
  <c r="K605" i="3"/>
  <c r="B606" i="3"/>
  <c r="C606" i="3"/>
  <c r="D606" i="3"/>
  <c r="E606" i="3"/>
  <c r="F606" i="3"/>
  <c r="G606" i="3"/>
  <c r="H606" i="3"/>
  <c r="I606" i="3"/>
  <c r="J606" i="3"/>
  <c r="K606" i="3"/>
  <c r="B607" i="3"/>
  <c r="C607" i="3"/>
  <c r="D607" i="3"/>
  <c r="E607" i="3"/>
  <c r="F607" i="3"/>
  <c r="G607" i="3"/>
  <c r="H607" i="3"/>
  <c r="I607" i="3"/>
  <c r="J607" i="3"/>
  <c r="K607" i="3"/>
  <c r="B608" i="3"/>
  <c r="C608" i="3"/>
  <c r="D608" i="3"/>
  <c r="E608" i="3"/>
  <c r="F608" i="3"/>
  <c r="G608" i="3"/>
  <c r="H608" i="3"/>
  <c r="I608" i="3"/>
  <c r="J608" i="3"/>
  <c r="K608" i="3"/>
  <c r="B609" i="3"/>
  <c r="C609" i="3"/>
  <c r="D609" i="3"/>
  <c r="E609" i="3"/>
  <c r="F609" i="3"/>
  <c r="G609" i="3"/>
  <c r="H609" i="3"/>
  <c r="I609" i="3"/>
  <c r="J609" i="3"/>
  <c r="K609" i="3"/>
  <c r="B610" i="3"/>
  <c r="C610" i="3"/>
  <c r="D610" i="3"/>
  <c r="E610" i="3"/>
  <c r="F610" i="3"/>
  <c r="G610" i="3"/>
  <c r="H610" i="3"/>
  <c r="I610" i="3"/>
  <c r="J610" i="3"/>
  <c r="K610" i="3"/>
  <c r="B611" i="3"/>
  <c r="C611" i="3"/>
  <c r="D611" i="3"/>
  <c r="E611" i="3"/>
  <c r="F611" i="3"/>
  <c r="G611" i="3"/>
  <c r="H611" i="3"/>
  <c r="I611" i="3"/>
  <c r="J611" i="3"/>
  <c r="K611" i="3"/>
  <c r="B612" i="3"/>
  <c r="C612" i="3"/>
  <c r="D612" i="3"/>
  <c r="E612" i="3"/>
  <c r="F612" i="3"/>
  <c r="G612" i="3"/>
  <c r="H612" i="3"/>
  <c r="I612" i="3"/>
  <c r="J612" i="3"/>
  <c r="K612" i="3"/>
  <c r="B613" i="3"/>
  <c r="C613" i="3"/>
  <c r="D613" i="3"/>
  <c r="E613" i="3"/>
  <c r="F613" i="3"/>
  <c r="G613" i="3"/>
  <c r="H613" i="3"/>
  <c r="I613" i="3"/>
  <c r="J613" i="3"/>
  <c r="K613" i="3"/>
  <c r="B614" i="3"/>
  <c r="C614" i="3"/>
  <c r="D614" i="3"/>
  <c r="E614" i="3"/>
  <c r="F614" i="3"/>
  <c r="G614" i="3"/>
  <c r="H614" i="3"/>
  <c r="I614" i="3"/>
  <c r="J614" i="3"/>
  <c r="K614" i="3"/>
  <c r="B615" i="3"/>
  <c r="C615" i="3"/>
  <c r="D615" i="3"/>
  <c r="E615" i="3"/>
  <c r="F615" i="3"/>
  <c r="G615" i="3"/>
  <c r="H615" i="3"/>
  <c r="I615" i="3"/>
  <c r="J615" i="3"/>
  <c r="K615" i="3"/>
  <c r="B616" i="3"/>
  <c r="C616" i="3"/>
  <c r="D616" i="3"/>
  <c r="E616" i="3"/>
  <c r="F616" i="3"/>
  <c r="G616" i="3"/>
  <c r="H616" i="3"/>
  <c r="I616" i="3"/>
  <c r="J616" i="3"/>
  <c r="K616" i="3"/>
  <c r="B617" i="3"/>
  <c r="C617" i="3"/>
  <c r="D617" i="3"/>
  <c r="E617" i="3"/>
  <c r="F617" i="3"/>
  <c r="G617" i="3"/>
  <c r="H617" i="3"/>
  <c r="I617" i="3"/>
  <c r="J617" i="3"/>
  <c r="K617" i="3"/>
  <c r="B618" i="3"/>
  <c r="C618" i="3"/>
  <c r="D618" i="3"/>
  <c r="E618" i="3"/>
  <c r="F618" i="3"/>
  <c r="G618" i="3"/>
  <c r="H618" i="3"/>
  <c r="I618" i="3"/>
  <c r="J618" i="3"/>
  <c r="K618" i="3"/>
  <c r="B619" i="3"/>
  <c r="C619" i="3"/>
  <c r="D619" i="3"/>
  <c r="E619" i="3"/>
  <c r="F619" i="3"/>
  <c r="G619" i="3"/>
  <c r="H619" i="3"/>
  <c r="I619" i="3"/>
  <c r="J619" i="3"/>
  <c r="K619" i="3"/>
  <c r="B620" i="3"/>
  <c r="C620" i="3"/>
  <c r="D620" i="3"/>
  <c r="E620" i="3"/>
  <c r="F620" i="3"/>
  <c r="G620" i="3"/>
  <c r="H620" i="3"/>
  <c r="I620" i="3"/>
  <c r="J620" i="3"/>
  <c r="K620" i="3"/>
  <c r="B621" i="3"/>
  <c r="C621" i="3"/>
  <c r="D621" i="3"/>
  <c r="E621" i="3"/>
  <c r="F621" i="3"/>
  <c r="G621" i="3"/>
  <c r="H621" i="3"/>
  <c r="I621" i="3"/>
  <c r="J621" i="3"/>
  <c r="K621" i="3"/>
  <c r="B622" i="3"/>
  <c r="C622" i="3"/>
  <c r="D622" i="3"/>
  <c r="E622" i="3"/>
  <c r="F622" i="3"/>
  <c r="G622" i="3"/>
  <c r="H622" i="3"/>
  <c r="I622" i="3"/>
  <c r="J622" i="3"/>
  <c r="K622" i="3"/>
  <c r="B623" i="3"/>
  <c r="C623" i="3"/>
  <c r="D623" i="3"/>
  <c r="E623" i="3"/>
  <c r="F623" i="3"/>
  <c r="G623" i="3"/>
  <c r="H623" i="3"/>
  <c r="I623" i="3"/>
  <c r="J623" i="3"/>
  <c r="K623" i="3"/>
  <c r="B624" i="3"/>
  <c r="C624" i="3"/>
  <c r="D624" i="3"/>
  <c r="E624" i="3"/>
  <c r="F624" i="3"/>
  <c r="G624" i="3"/>
  <c r="H624" i="3"/>
  <c r="I624" i="3"/>
  <c r="J624" i="3"/>
  <c r="K624" i="3"/>
  <c r="B625" i="3"/>
  <c r="C625" i="3"/>
  <c r="D625" i="3"/>
  <c r="E625" i="3"/>
  <c r="F625" i="3"/>
  <c r="G625" i="3"/>
  <c r="H625" i="3"/>
  <c r="I625" i="3"/>
  <c r="J625" i="3"/>
  <c r="K625" i="3"/>
  <c r="B626" i="3"/>
  <c r="C626" i="3"/>
  <c r="D626" i="3"/>
  <c r="E626" i="3"/>
  <c r="F626" i="3"/>
  <c r="G626" i="3"/>
  <c r="H626" i="3"/>
  <c r="I626" i="3"/>
  <c r="J626" i="3"/>
  <c r="K626" i="3"/>
  <c r="B627" i="3"/>
  <c r="C627" i="3"/>
  <c r="D627" i="3"/>
  <c r="E627" i="3"/>
  <c r="F627" i="3"/>
  <c r="G627" i="3"/>
  <c r="H627" i="3"/>
  <c r="I627" i="3"/>
  <c r="J627" i="3"/>
  <c r="K627" i="3"/>
  <c r="B628" i="3"/>
  <c r="C628" i="3"/>
  <c r="D628" i="3"/>
  <c r="E628" i="3"/>
  <c r="F628" i="3"/>
  <c r="G628" i="3"/>
  <c r="H628" i="3"/>
  <c r="I628" i="3"/>
  <c r="J628" i="3"/>
  <c r="K628" i="3"/>
  <c r="B629" i="3"/>
  <c r="C629" i="3"/>
  <c r="D629" i="3"/>
  <c r="E629" i="3"/>
  <c r="F629" i="3"/>
  <c r="G629" i="3"/>
  <c r="H629" i="3"/>
  <c r="I629" i="3"/>
  <c r="J629" i="3"/>
  <c r="K629" i="3"/>
  <c r="B630" i="3"/>
  <c r="C630" i="3"/>
  <c r="D630" i="3"/>
  <c r="E630" i="3"/>
  <c r="F630" i="3"/>
  <c r="G630" i="3"/>
  <c r="H630" i="3"/>
  <c r="I630" i="3"/>
  <c r="J630" i="3"/>
  <c r="K630" i="3"/>
  <c r="B631" i="3"/>
  <c r="C631" i="3"/>
  <c r="D631" i="3"/>
  <c r="E631" i="3"/>
  <c r="F631" i="3"/>
  <c r="G631" i="3"/>
  <c r="H631" i="3"/>
  <c r="I631" i="3"/>
  <c r="J631" i="3"/>
  <c r="K631" i="3"/>
  <c r="B632" i="3"/>
  <c r="C632" i="3"/>
  <c r="D632" i="3"/>
  <c r="E632" i="3"/>
  <c r="F632" i="3"/>
  <c r="G632" i="3"/>
  <c r="H632" i="3"/>
  <c r="I632" i="3"/>
  <c r="J632" i="3"/>
  <c r="K632" i="3"/>
  <c r="B633" i="3"/>
  <c r="C633" i="3"/>
  <c r="D633" i="3"/>
  <c r="E633" i="3"/>
  <c r="F633" i="3"/>
  <c r="G633" i="3"/>
  <c r="H633" i="3"/>
  <c r="I633" i="3"/>
  <c r="J633" i="3"/>
  <c r="K633" i="3"/>
  <c r="B634" i="3"/>
  <c r="C634" i="3"/>
  <c r="D634" i="3"/>
  <c r="E634" i="3"/>
  <c r="F634" i="3"/>
  <c r="G634" i="3"/>
  <c r="H634" i="3"/>
  <c r="I634" i="3"/>
  <c r="J634" i="3"/>
  <c r="K634" i="3"/>
  <c r="B635" i="3"/>
  <c r="C635" i="3"/>
  <c r="D635" i="3"/>
  <c r="E635" i="3"/>
  <c r="F635" i="3"/>
  <c r="G635" i="3"/>
  <c r="H635" i="3"/>
  <c r="I635" i="3"/>
  <c r="J635" i="3"/>
  <c r="K635" i="3"/>
  <c r="B636" i="3"/>
  <c r="C636" i="3"/>
  <c r="D636" i="3"/>
  <c r="E636" i="3"/>
  <c r="F636" i="3"/>
  <c r="G636" i="3"/>
  <c r="H636" i="3"/>
  <c r="I636" i="3"/>
  <c r="J636" i="3"/>
  <c r="K636" i="3"/>
  <c r="B637" i="3"/>
  <c r="C637" i="3"/>
  <c r="D637" i="3"/>
  <c r="E637" i="3"/>
  <c r="F637" i="3"/>
  <c r="G637" i="3"/>
  <c r="H637" i="3"/>
  <c r="I637" i="3"/>
  <c r="J637" i="3"/>
  <c r="K637" i="3"/>
  <c r="B638" i="3"/>
  <c r="C638" i="3"/>
  <c r="D638" i="3"/>
  <c r="E638" i="3"/>
  <c r="F638" i="3"/>
  <c r="G638" i="3"/>
  <c r="H638" i="3"/>
  <c r="I638" i="3"/>
  <c r="J638" i="3"/>
  <c r="K638" i="3"/>
  <c r="B639" i="3"/>
  <c r="C639" i="3"/>
  <c r="D639" i="3"/>
  <c r="E639" i="3"/>
  <c r="F639" i="3"/>
  <c r="G639" i="3"/>
  <c r="H639" i="3"/>
  <c r="I639" i="3"/>
  <c r="J639" i="3"/>
  <c r="K639" i="3"/>
  <c r="B640" i="3"/>
  <c r="C640" i="3"/>
  <c r="D640" i="3"/>
  <c r="E640" i="3"/>
  <c r="F640" i="3"/>
  <c r="G640" i="3"/>
  <c r="H640" i="3"/>
  <c r="I640" i="3"/>
  <c r="J640" i="3"/>
  <c r="K640" i="3"/>
  <c r="B641" i="3"/>
  <c r="C641" i="3"/>
  <c r="D641" i="3"/>
  <c r="E641" i="3"/>
  <c r="F641" i="3"/>
  <c r="G641" i="3"/>
  <c r="H641" i="3"/>
  <c r="I641" i="3"/>
  <c r="J641" i="3"/>
  <c r="K641" i="3"/>
  <c r="B642" i="3"/>
  <c r="C642" i="3"/>
  <c r="D642" i="3"/>
  <c r="E642" i="3"/>
  <c r="F642" i="3"/>
  <c r="G642" i="3"/>
  <c r="H642" i="3"/>
  <c r="I642" i="3"/>
  <c r="J642" i="3"/>
  <c r="K642" i="3"/>
  <c r="B643" i="3"/>
  <c r="C643" i="3"/>
  <c r="D643" i="3"/>
  <c r="E643" i="3"/>
  <c r="F643" i="3"/>
  <c r="G643" i="3"/>
  <c r="H643" i="3"/>
  <c r="I643" i="3"/>
  <c r="J643" i="3"/>
  <c r="K643" i="3"/>
  <c r="B644" i="3"/>
  <c r="C644" i="3"/>
  <c r="D644" i="3"/>
  <c r="E644" i="3"/>
  <c r="F644" i="3"/>
  <c r="G644" i="3"/>
  <c r="H644" i="3"/>
  <c r="I644" i="3"/>
  <c r="J644" i="3"/>
  <c r="K644" i="3"/>
  <c r="B645" i="3"/>
  <c r="C645" i="3"/>
  <c r="D645" i="3"/>
  <c r="E645" i="3"/>
  <c r="F645" i="3"/>
  <c r="G645" i="3"/>
  <c r="H645" i="3"/>
  <c r="I645" i="3"/>
  <c r="J645" i="3"/>
  <c r="K645" i="3"/>
  <c r="B646" i="3"/>
  <c r="C646" i="3"/>
  <c r="D646" i="3"/>
  <c r="E646" i="3"/>
  <c r="F646" i="3"/>
  <c r="G646" i="3"/>
  <c r="H646" i="3"/>
  <c r="I646" i="3"/>
  <c r="J646" i="3"/>
  <c r="K646" i="3"/>
  <c r="B647" i="3"/>
  <c r="C647" i="3"/>
  <c r="D647" i="3"/>
  <c r="E647" i="3"/>
  <c r="F647" i="3"/>
  <c r="G647" i="3"/>
  <c r="H647" i="3"/>
  <c r="I647" i="3"/>
  <c r="J647" i="3"/>
  <c r="K647" i="3"/>
  <c r="B648" i="3"/>
  <c r="C648" i="3"/>
  <c r="D648" i="3"/>
  <c r="E648" i="3"/>
  <c r="F648" i="3"/>
  <c r="G648" i="3"/>
  <c r="H648" i="3"/>
  <c r="I648" i="3"/>
  <c r="J648" i="3"/>
  <c r="K648" i="3"/>
  <c r="B649" i="3"/>
  <c r="C649" i="3"/>
  <c r="D649" i="3"/>
  <c r="E649" i="3"/>
  <c r="F649" i="3"/>
  <c r="G649" i="3"/>
  <c r="H649" i="3"/>
  <c r="I649" i="3"/>
  <c r="J649" i="3"/>
  <c r="K649" i="3"/>
  <c r="B650" i="3"/>
  <c r="C650" i="3"/>
  <c r="D650" i="3"/>
  <c r="E650" i="3"/>
  <c r="F650" i="3"/>
  <c r="G650" i="3"/>
  <c r="H650" i="3"/>
  <c r="I650" i="3"/>
  <c r="J650" i="3"/>
  <c r="K650" i="3"/>
  <c r="B651" i="3"/>
  <c r="C651" i="3"/>
  <c r="D651" i="3"/>
  <c r="E651" i="3"/>
  <c r="F651" i="3"/>
  <c r="G651" i="3"/>
  <c r="H651" i="3"/>
  <c r="I651" i="3"/>
  <c r="J651" i="3"/>
  <c r="K651" i="3"/>
  <c r="B652" i="3"/>
  <c r="C652" i="3"/>
  <c r="D652" i="3"/>
  <c r="E652" i="3"/>
  <c r="F652" i="3"/>
  <c r="G652" i="3"/>
  <c r="H652" i="3"/>
  <c r="I652" i="3"/>
  <c r="J652" i="3"/>
  <c r="K652" i="3"/>
  <c r="B653" i="3"/>
  <c r="C653" i="3"/>
  <c r="D653" i="3"/>
  <c r="E653" i="3"/>
  <c r="F653" i="3"/>
  <c r="G653" i="3"/>
  <c r="H653" i="3"/>
  <c r="I653" i="3"/>
  <c r="J653" i="3"/>
  <c r="K653" i="3"/>
  <c r="B654" i="3"/>
  <c r="C654" i="3"/>
  <c r="D654" i="3"/>
  <c r="E654" i="3"/>
  <c r="F654" i="3"/>
  <c r="G654" i="3"/>
  <c r="H654" i="3"/>
  <c r="I654" i="3"/>
  <c r="J654" i="3"/>
  <c r="K654" i="3"/>
  <c r="B655" i="3"/>
  <c r="C655" i="3"/>
  <c r="D655" i="3"/>
  <c r="E655" i="3"/>
  <c r="F655" i="3"/>
  <c r="G655" i="3"/>
  <c r="H655" i="3"/>
  <c r="I655" i="3"/>
  <c r="J655" i="3"/>
  <c r="K655" i="3"/>
  <c r="B656" i="3"/>
  <c r="C656" i="3"/>
  <c r="D656" i="3"/>
  <c r="E656" i="3"/>
  <c r="F656" i="3"/>
  <c r="G656" i="3"/>
  <c r="H656" i="3"/>
  <c r="I656" i="3"/>
  <c r="J656" i="3"/>
  <c r="K656" i="3"/>
  <c r="B657" i="3"/>
  <c r="C657" i="3"/>
  <c r="D657" i="3"/>
  <c r="E657" i="3"/>
  <c r="F657" i="3"/>
  <c r="G657" i="3"/>
  <c r="H657" i="3"/>
  <c r="I657" i="3"/>
  <c r="J657" i="3"/>
  <c r="K657" i="3"/>
  <c r="B658" i="3"/>
  <c r="C658" i="3"/>
  <c r="D658" i="3"/>
  <c r="E658" i="3"/>
  <c r="F658" i="3"/>
  <c r="G658" i="3"/>
  <c r="H658" i="3"/>
  <c r="I658" i="3"/>
  <c r="J658" i="3"/>
  <c r="K658" i="3"/>
  <c r="B659" i="3"/>
  <c r="C659" i="3"/>
  <c r="D659" i="3"/>
  <c r="E659" i="3"/>
  <c r="F659" i="3"/>
  <c r="G659" i="3"/>
  <c r="H659" i="3"/>
  <c r="I659" i="3"/>
  <c r="J659" i="3"/>
  <c r="K659" i="3"/>
  <c r="B660" i="3"/>
  <c r="C660" i="3"/>
  <c r="D660" i="3"/>
  <c r="E660" i="3"/>
  <c r="F660" i="3"/>
  <c r="G660" i="3"/>
  <c r="H660" i="3"/>
  <c r="I660" i="3"/>
  <c r="J660" i="3"/>
  <c r="K660" i="3"/>
  <c r="B661" i="3"/>
  <c r="C661" i="3"/>
  <c r="D661" i="3"/>
  <c r="E661" i="3"/>
  <c r="F661" i="3"/>
  <c r="G661" i="3"/>
  <c r="H661" i="3"/>
  <c r="I661" i="3"/>
  <c r="J661" i="3"/>
  <c r="K661" i="3"/>
  <c r="B662" i="3"/>
  <c r="C662" i="3"/>
  <c r="D662" i="3"/>
  <c r="E662" i="3"/>
  <c r="F662" i="3"/>
  <c r="G662" i="3"/>
  <c r="H662" i="3"/>
  <c r="I662" i="3"/>
  <c r="J662" i="3"/>
  <c r="K662" i="3"/>
  <c r="B663" i="3"/>
  <c r="C663" i="3"/>
  <c r="D663" i="3"/>
  <c r="E663" i="3"/>
  <c r="F663" i="3"/>
  <c r="G663" i="3"/>
  <c r="H663" i="3"/>
  <c r="I663" i="3"/>
  <c r="J663" i="3"/>
  <c r="K663" i="3"/>
  <c r="B664" i="3"/>
  <c r="C664" i="3"/>
  <c r="D664" i="3"/>
  <c r="E664" i="3"/>
  <c r="F664" i="3"/>
  <c r="G664" i="3"/>
  <c r="H664" i="3"/>
  <c r="I664" i="3"/>
  <c r="J664" i="3"/>
  <c r="K664" i="3"/>
  <c r="B665" i="3"/>
  <c r="C665" i="3"/>
  <c r="D665" i="3"/>
  <c r="E665" i="3"/>
  <c r="F665" i="3"/>
  <c r="G665" i="3"/>
  <c r="H665" i="3"/>
  <c r="I665" i="3"/>
  <c r="J665" i="3"/>
  <c r="K665" i="3"/>
  <c r="B666" i="3"/>
  <c r="C666" i="3"/>
  <c r="D666" i="3"/>
  <c r="E666" i="3"/>
  <c r="F666" i="3"/>
  <c r="G666" i="3"/>
  <c r="H666" i="3"/>
  <c r="I666" i="3"/>
  <c r="J666" i="3"/>
  <c r="K666" i="3"/>
  <c r="B667" i="3"/>
  <c r="C667" i="3"/>
  <c r="D667" i="3"/>
  <c r="E667" i="3"/>
  <c r="F667" i="3"/>
  <c r="G667" i="3"/>
  <c r="H667" i="3"/>
  <c r="I667" i="3"/>
  <c r="J667" i="3"/>
  <c r="K667" i="3"/>
  <c r="B668" i="3"/>
  <c r="C668" i="3"/>
  <c r="D668" i="3"/>
  <c r="E668" i="3"/>
  <c r="F668" i="3"/>
  <c r="G668" i="3"/>
  <c r="H668" i="3"/>
  <c r="I668" i="3"/>
  <c r="J668" i="3"/>
  <c r="K668" i="3"/>
  <c r="B669" i="3"/>
  <c r="C669" i="3"/>
  <c r="D669" i="3"/>
  <c r="E669" i="3"/>
  <c r="F669" i="3"/>
  <c r="G669" i="3"/>
  <c r="H669" i="3"/>
  <c r="I669" i="3"/>
  <c r="J669" i="3"/>
  <c r="K669" i="3"/>
  <c r="B670" i="3"/>
  <c r="C670" i="3"/>
  <c r="D670" i="3"/>
  <c r="E670" i="3"/>
  <c r="F670" i="3"/>
  <c r="G670" i="3"/>
  <c r="H670" i="3"/>
  <c r="I670" i="3"/>
  <c r="J670" i="3"/>
  <c r="K670" i="3"/>
  <c r="B671" i="3"/>
  <c r="C671" i="3"/>
  <c r="D671" i="3"/>
  <c r="E671" i="3"/>
  <c r="F671" i="3"/>
  <c r="G671" i="3"/>
  <c r="H671" i="3"/>
  <c r="I671" i="3"/>
  <c r="J671" i="3"/>
  <c r="K671" i="3"/>
  <c r="B672" i="3"/>
  <c r="C672" i="3"/>
  <c r="D672" i="3"/>
  <c r="E672" i="3"/>
  <c r="F672" i="3"/>
  <c r="G672" i="3"/>
  <c r="H672" i="3"/>
  <c r="I672" i="3"/>
  <c r="J672" i="3"/>
  <c r="K672" i="3"/>
  <c r="B673" i="3"/>
  <c r="C673" i="3"/>
  <c r="D673" i="3"/>
  <c r="E673" i="3"/>
  <c r="F673" i="3"/>
  <c r="G673" i="3"/>
  <c r="H673" i="3"/>
  <c r="I673" i="3"/>
  <c r="J673" i="3"/>
  <c r="K673" i="3"/>
  <c r="B674" i="3"/>
  <c r="C674" i="3"/>
  <c r="D674" i="3"/>
  <c r="E674" i="3"/>
  <c r="F674" i="3"/>
  <c r="G674" i="3"/>
  <c r="H674" i="3"/>
  <c r="I674" i="3"/>
  <c r="J674" i="3"/>
  <c r="K674" i="3"/>
  <c r="B675" i="3"/>
  <c r="C675" i="3"/>
  <c r="D675" i="3"/>
  <c r="E675" i="3"/>
  <c r="F675" i="3"/>
  <c r="G675" i="3"/>
  <c r="H675" i="3"/>
  <c r="I675" i="3"/>
  <c r="J675" i="3"/>
  <c r="K675" i="3"/>
  <c r="B676" i="3"/>
  <c r="C676" i="3"/>
  <c r="D676" i="3"/>
  <c r="E676" i="3"/>
  <c r="F676" i="3"/>
  <c r="G676" i="3"/>
  <c r="H676" i="3"/>
  <c r="I676" i="3"/>
  <c r="J676" i="3"/>
  <c r="K676" i="3"/>
  <c r="B677" i="3"/>
  <c r="C677" i="3"/>
  <c r="D677" i="3"/>
  <c r="E677" i="3"/>
  <c r="F677" i="3"/>
  <c r="G677" i="3"/>
  <c r="H677" i="3"/>
  <c r="I677" i="3"/>
  <c r="J677" i="3"/>
  <c r="K677" i="3"/>
  <c r="B678" i="3"/>
  <c r="C678" i="3"/>
  <c r="D678" i="3"/>
  <c r="E678" i="3"/>
  <c r="F678" i="3"/>
  <c r="G678" i="3"/>
  <c r="H678" i="3"/>
  <c r="I678" i="3"/>
  <c r="J678" i="3"/>
  <c r="K678" i="3"/>
  <c r="B679" i="3"/>
  <c r="C679" i="3"/>
  <c r="D679" i="3"/>
  <c r="E679" i="3"/>
  <c r="F679" i="3"/>
  <c r="G679" i="3"/>
  <c r="H679" i="3"/>
  <c r="I679" i="3"/>
  <c r="J679" i="3"/>
  <c r="K679" i="3"/>
  <c r="B680" i="3"/>
  <c r="C680" i="3"/>
  <c r="D680" i="3"/>
  <c r="E680" i="3"/>
  <c r="F680" i="3"/>
  <c r="G680" i="3"/>
  <c r="H680" i="3"/>
  <c r="I680" i="3"/>
  <c r="J680" i="3"/>
  <c r="K680" i="3"/>
  <c r="B681" i="3"/>
  <c r="C681" i="3"/>
  <c r="D681" i="3"/>
  <c r="E681" i="3"/>
  <c r="F681" i="3"/>
  <c r="G681" i="3"/>
  <c r="H681" i="3"/>
  <c r="I681" i="3"/>
  <c r="J681" i="3"/>
  <c r="K681" i="3"/>
  <c r="B682" i="3"/>
  <c r="C682" i="3"/>
  <c r="D682" i="3"/>
  <c r="E682" i="3"/>
  <c r="F682" i="3"/>
  <c r="G682" i="3"/>
  <c r="H682" i="3"/>
  <c r="I682" i="3"/>
  <c r="J682" i="3"/>
  <c r="K682" i="3"/>
  <c r="B683" i="3"/>
  <c r="C683" i="3"/>
  <c r="D683" i="3"/>
  <c r="E683" i="3"/>
  <c r="F683" i="3"/>
  <c r="G683" i="3"/>
  <c r="H683" i="3"/>
  <c r="I683" i="3"/>
  <c r="J683" i="3"/>
  <c r="K683" i="3"/>
  <c r="B684" i="3"/>
  <c r="C684" i="3"/>
  <c r="D684" i="3"/>
  <c r="E684" i="3"/>
  <c r="F684" i="3"/>
  <c r="G684" i="3"/>
  <c r="H684" i="3"/>
  <c r="I684" i="3"/>
  <c r="J684" i="3"/>
  <c r="K684" i="3"/>
  <c r="B685" i="3"/>
  <c r="C685" i="3"/>
  <c r="D685" i="3"/>
  <c r="E685" i="3"/>
  <c r="F685" i="3"/>
  <c r="G685" i="3"/>
  <c r="H685" i="3"/>
  <c r="I685" i="3"/>
  <c r="J685" i="3"/>
  <c r="K685" i="3"/>
  <c r="B686" i="3"/>
  <c r="C686" i="3"/>
  <c r="D686" i="3"/>
  <c r="E686" i="3"/>
  <c r="F686" i="3"/>
  <c r="G686" i="3"/>
  <c r="H686" i="3"/>
  <c r="I686" i="3"/>
  <c r="J686" i="3"/>
  <c r="K686" i="3"/>
  <c r="B687" i="3"/>
  <c r="C687" i="3"/>
  <c r="D687" i="3"/>
  <c r="E687" i="3"/>
  <c r="F687" i="3"/>
  <c r="G687" i="3"/>
  <c r="H687" i="3"/>
  <c r="I687" i="3"/>
  <c r="J687" i="3"/>
  <c r="K687" i="3"/>
  <c r="B688" i="3"/>
  <c r="C688" i="3"/>
  <c r="D688" i="3"/>
  <c r="E688" i="3"/>
  <c r="F688" i="3"/>
  <c r="G688" i="3"/>
  <c r="H688" i="3"/>
  <c r="I688" i="3"/>
  <c r="J688" i="3"/>
  <c r="K688" i="3"/>
  <c r="B689" i="3"/>
  <c r="C689" i="3"/>
  <c r="D689" i="3"/>
  <c r="E689" i="3"/>
  <c r="F689" i="3"/>
  <c r="G689" i="3"/>
  <c r="H689" i="3"/>
  <c r="I689" i="3"/>
  <c r="J689" i="3"/>
  <c r="K689" i="3"/>
  <c r="B690" i="3"/>
  <c r="C690" i="3"/>
  <c r="D690" i="3"/>
  <c r="E690" i="3"/>
  <c r="F690" i="3"/>
  <c r="G690" i="3"/>
  <c r="H690" i="3"/>
  <c r="I690" i="3"/>
  <c r="J690" i="3"/>
  <c r="K690" i="3"/>
  <c r="B691" i="3"/>
  <c r="C691" i="3"/>
  <c r="D691" i="3"/>
  <c r="E691" i="3"/>
  <c r="F691" i="3"/>
  <c r="G691" i="3"/>
  <c r="H691" i="3"/>
  <c r="I691" i="3"/>
  <c r="J691" i="3"/>
  <c r="K691" i="3"/>
  <c r="B692" i="3"/>
  <c r="C692" i="3"/>
  <c r="D692" i="3"/>
  <c r="E692" i="3"/>
  <c r="F692" i="3"/>
  <c r="G692" i="3"/>
  <c r="H692" i="3"/>
  <c r="I692" i="3"/>
  <c r="J692" i="3"/>
  <c r="K692" i="3"/>
  <c r="B693" i="3"/>
  <c r="C693" i="3"/>
  <c r="D693" i="3"/>
  <c r="E693" i="3"/>
  <c r="F693" i="3"/>
  <c r="G693" i="3"/>
  <c r="H693" i="3"/>
  <c r="I693" i="3"/>
  <c r="J693" i="3"/>
  <c r="K693" i="3"/>
  <c r="B694" i="3"/>
  <c r="C694" i="3"/>
  <c r="D694" i="3"/>
  <c r="E694" i="3"/>
  <c r="F694" i="3"/>
  <c r="G694" i="3"/>
  <c r="H694" i="3"/>
  <c r="I694" i="3"/>
  <c r="J694" i="3"/>
  <c r="K694" i="3"/>
  <c r="B695" i="3"/>
  <c r="C695" i="3"/>
  <c r="D695" i="3"/>
  <c r="E695" i="3"/>
  <c r="F695" i="3"/>
  <c r="G695" i="3"/>
  <c r="H695" i="3"/>
  <c r="I695" i="3"/>
  <c r="J695" i="3"/>
  <c r="K695" i="3"/>
  <c r="B696" i="3"/>
  <c r="C696" i="3"/>
  <c r="D696" i="3"/>
  <c r="E696" i="3"/>
  <c r="F696" i="3"/>
  <c r="G696" i="3"/>
  <c r="H696" i="3"/>
  <c r="I696" i="3"/>
  <c r="J696" i="3"/>
  <c r="K696" i="3"/>
  <c r="B697" i="3"/>
  <c r="C697" i="3"/>
  <c r="D697" i="3"/>
  <c r="E697" i="3"/>
  <c r="F697" i="3"/>
  <c r="G697" i="3"/>
  <c r="H697" i="3"/>
  <c r="I697" i="3"/>
  <c r="J697" i="3"/>
  <c r="K697" i="3"/>
  <c r="B698" i="3"/>
  <c r="C698" i="3"/>
  <c r="D698" i="3"/>
  <c r="E698" i="3"/>
  <c r="F698" i="3"/>
  <c r="G698" i="3"/>
  <c r="H698" i="3"/>
  <c r="I698" i="3"/>
  <c r="J698" i="3"/>
  <c r="K698" i="3"/>
  <c r="B699" i="3"/>
  <c r="C699" i="3"/>
  <c r="D699" i="3"/>
  <c r="E699" i="3"/>
  <c r="F699" i="3"/>
  <c r="G699" i="3"/>
  <c r="H699" i="3"/>
  <c r="I699" i="3"/>
  <c r="J699" i="3"/>
  <c r="K699" i="3"/>
  <c r="B700" i="3"/>
  <c r="C700" i="3"/>
  <c r="D700" i="3"/>
  <c r="E700" i="3"/>
  <c r="F700" i="3"/>
  <c r="G700" i="3"/>
  <c r="H700" i="3"/>
  <c r="I700" i="3"/>
  <c r="J700" i="3"/>
  <c r="K700" i="3"/>
  <c r="B701" i="3"/>
  <c r="C701" i="3"/>
  <c r="D701" i="3"/>
  <c r="E701" i="3"/>
  <c r="F701" i="3"/>
  <c r="G701" i="3"/>
  <c r="H701" i="3"/>
  <c r="I701" i="3"/>
  <c r="J701" i="3"/>
  <c r="K701" i="3"/>
  <c r="B702" i="3"/>
  <c r="C702" i="3"/>
  <c r="D702" i="3"/>
  <c r="E702" i="3"/>
  <c r="F702" i="3"/>
  <c r="G702" i="3"/>
  <c r="H702" i="3"/>
  <c r="I702" i="3"/>
  <c r="J702" i="3"/>
  <c r="K702" i="3"/>
  <c r="B703" i="3"/>
  <c r="C703" i="3"/>
  <c r="D703" i="3"/>
  <c r="E703" i="3"/>
  <c r="F703" i="3"/>
  <c r="G703" i="3"/>
  <c r="H703" i="3"/>
  <c r="I703" i="3"/>
  <c r="J703" i="3"/>
  <c r="K703" i="3"/>
  <c r="B704" i="3"/>
  <c r="C704" i="3"/>
  <c r="D704" i="3"/>
  <c r="E704" i="3"/>
  <c r="F704" i="3"/>
  <c r="G704" i="3"/>
  <c r="H704" i="3"/>
  <c r="I704" i="3"/>
  <c r="J704" i="3"/>
  <c r="K704" i="3"/>
  <c r="B705" i="3"/>
  <c r="C705" i="3"/>
  <c r="D705" i="3"/>
  <c r="E705" i="3"/>
  <c r="F705" i="3"/>
  <c r="G705" i="3"/>
  <c r="H705" i="3"/>
  <c r="I705" i="3"/>
  <c r="J705" i="3"/>
  <c r="K705" i="3"/>
  <c r="B706" i="3"/>
  <c r="C706" i="3"/>
  <c r="D706" i="3"/>
  <c r="E706" i="3"/>
  <c r="F706" i="3"/>
  <c r="G706" i="3"/>
  <c r="H706" i="3"/>
  <c r="I706" i="3"/>
  <c r="J706" i="3"/>
  <c r="K706" i="3"/>
  <c r="B707" i="3"/>
  <c r="C707" i="3"/>
  <c r="D707" i="3"/>
  <c r="E707" i="3"/>
  <c r="F707" i="3"/>
  <c r="G707" i="3"/>
  <c r="H707" i="3"/>
  <c r="I707" i="3"/>
  <c r="J707" i="3"/>
  <c r="K707" i="3"/>
  <c r="B708" i="3"/>
  <c r="C708" i="3"/>
  <c r="D708" i="3"/>
  <c r="E708" i="3"/>
  <c r="F708" i="3"/>
  <c r="G708" i="3"/>
  <c r="H708" i="3"/>
  <c r="I708" i="3"/>
  <c r="J708" i="3"/>
  <c r="K708" i="3"/>
  <c r="B709" i="3"/>
  <c r="C709" i="3"/>
  <c r="D709" i="3"/>
  <c r="E709" i="3"/>
  <c r="F709" i="3"/>
  <c r="G709" i="3"/>
  <c r="H709" i="3"/>
  <c r="I709" i="3"/>
  <c r="J709" i="3"/>
  <c r="K709" i="3"/>
  <c r="B710" i="3"/>
  <c r="C710" i="3"/>
  <c r="D710" i="3"/>
  <c r="E710" i="3"/>
  <c r="F710" i="3"/>
  <c r="G710" i="3"/>
  <c r="H710" i="3"/>
  <c r="I710" i="3"/>
  <c r="J710" i="3"/>
  <c r="K710" i="3"/>
  <c r="B711" i="3"/>
  <c r="C711" i="3"/>
  <c r="D711" i="3"/>
  <c r="E711" i="3"/>
  <c r="F711" i="3"/>
  <c r="G711" i="3"/>
  <c r="H711" i="3"/>
  <c r="I711" i="3"/>
  <c r="J711" i="3"/>
  <c r="K711" i="3"/>
  <c r="B712" i="3"/>
  <c r="C712" i="3"/>
  <c r="D712" i="3"/>
  <c r="E712" i="3"/>
  <c r="F712" i="3"/>
  <c r="G712" i="3"/>
  <c r="H712" i="3"/>
  <c r="I712" i="3"/>
  <c r="J712" i="3"/>
  <c r="K712" i="3"/>
  <c r="B713" i="3"/>
  <c r="C713" i="3"/>
  <c r="D713" i="3"/>
  <c r="E713" i="3"/>
  <c r="F713" i="3"/>
  <c r="G713" i="3"/>
  <c r="H713" i="3"/>
  <c r="I713" i="3"/>
  <c r="J713" i="3"/>
  <c r="K713" i="3"/>
  <c r="B714" i="3"/>
  <c r="C714" i="3"/>
  <c r="D714" i="3"/>
  <c r="E714" i="3"/>
  <c r="F714" i="3"/>
  <c r="G714" i="3"/>
  <c r="H714" i="3"/>
  <c r="I714" i="3"/>
  <c r="J714" i="3"/>
  <c r="K714" i="3"/>
  <c r="B715" i="3"/>
  <c r="C715" i="3"/>
  <c r="D715" i="3"/>
  <c r="E715" i="3"/>
  <c r="F715" i="3"/>
  <c r="G715" i="3"/>
  <c r="H715" i="3"/>
  <c r="I715" i="3"/>
  <c r="J715" i="3"/>
  <c r="K715" i="3"/>
  <c r="B716" i="3"/>
  <c r="C716" i="3"/>
  <c r="D716" i="3"/>
  <c r="E716" i="3"/>
  <c r="F716" i="3"/>
  <c r="G716" i="3"/>
  <c r="H716" i="3"/>
  <c r="I716" i="3"/>
  <c r="J716" i="3"/>
  <c r="K716" i="3"/>
  <c r="B717" i="3"/>
  <c r="C717" i="3"/>
  <c r="D717" i="3"/>
  <c r="E717" i="3"/>
  <c r="F717" i="3"/>
  <c r="G717" i="3"/>
  <c r="H717" i="3"/>
  <c r="I717" i="3"/>
  <c r="J717" i="3"/>
  <c r="K717" i="3"/>
  <c r="B718" i="3"/>
  <c r="C718" i="3"/>
  <c r="D718" i="3"/>
  <c r="E718" i="3"/>
  <c r="F718" i="3"/>
  <c r="G718" i="3"/>
  <c r="H718" i="3"/>
  <c r="I718" i="3"/>
  <c r="J718" i="3"/>
  <c r="K718" i="3"/>
  <c r="B719" i="3"/>
  <c r="C719" i="3"/>
  <c r="D719" i="3"/>
  <c r="E719" i="3"/>
  <c r="F719" i="3"/>
  <c r="G719" i="3"/>
  <c r="H719" i="3"/>
  <c r="I719" i="3"/>
  <c r="J719" i="3"/>
  <c r="K719" i="3"/>
  <c r="B720" i="3"/>
  <c r="C720" i="3"/>
  <c r="D720" i="3"/>
  <c r="E720" i="3"/>
  <c r="F720" i="3"/>
  <c r="G720" i="3"/>
  <c r="H720" i="3"/>
  <c r="I720" i="3"/>
  <c r="J720" i="3"/>
  <c r="K720" i="3"/>
  <c r="B721" i="3"/>
  <c r="C721" i="3"/>
  <c r="D721" i="3"/>
  <c r="E721" i="3"/>
  <c r="F721" i="3"/>
  <c r="G721" i="3"/>
  <c r="H721" i="3"/>
  <c r="I721" i="3"/>
  <c r="J721" i="3"/>
  <c r="K721" i="3"/>
  <c r="B722" i="3"/>
  <c r="C722" i="3"/>
  <c r="D722" i="3"/>
  <c r="E722" i="3"/>
  <c r="F722" i="3"/>
  <c r="G722" i="3"/>
  <c r="H722" i="3"/>
  <c r="I722" i="3"/>
  <c r="J722" i="3"/>
  <c r="K722" i="3"/>
  <c r="B723" i="3"/>
  <c r="C723" i="3"/>
  <c r="D723" i="3"/>
  <c r="E723" i="3"/>
  <c r="F723" i="3"/>
  <c r="G723" i="3"/>
  <c r="H723" i="3"/>
  <c r="I723" i="3"/>
  <c r="J723" i="3"/>
  <c r="K723" i="3"/>
  <c r="B724" i="3"/>
  <c r="C724" i="3"/>
  <c r="D724" i="3"/>
  <c r="E724" i="3"/>
  <c r="F724" i="3"/>
  <c r="G724" i="3"/>
  <c r="H724" i="3"/>
  <c r="I724" i="3"/>
  <c r="J724" i="3"/>
  <c r="K724" i="3"/>
  <c r="B725" i="3"/>
  <c r="C725" i="3"/>
  <c r="D725" i="3"/>
  <c r="E725" i="3"/>
  <c r="F725" i="3"/>
  <c r="G725" i="3"/>
  <c r="H725" i="3"/>
  <c r="I725" i="3"/>
  <c r="J725" i="3"/>
  <c r="K725" i="3"/>
  <c r="B726" i="3"/>
  <c r="C726" i="3"/>
  <c r="D726" i="3"/>
  <c r="E726" i="3"/>
  <c r="F726" i="3"/>
  <c r="G726" i="3"/>
  <c r="H726" i="3"/>
  <c r="I726" i="3"/>
  <c r="J726" i="3"/>
  <c r="K726" i="3"/>
  <c r="B727" i="3"/>
  <c r="C727" i="3"/>
  <c r="D727" i="3"/>
  <c r="E727" i="3"/>
  <c r="F727" i="3"/>
  <c r="G727" i="3"/>
  <c r="H727" i="3"/>
  <c r="I727" i="3"/>
  <c r="J727" i="3"/>
  <c r="K727" i="3"/>
  <c r="B728" i="3"/>
  <c r="C728" i="3"/>
  <c r="D728" i="3"/>
  <c r="E728" i="3"/>
  <c r="F728" i="3"/>
  <c r="G728" i="3"/>
  <c r="H728" i="3"/>
  <c r="I728" i="3"/>
  <c r="J728" i="3"/>
  <c r="K728" i="3"/>
  <c r="B729" i="3"/>
  <c r="C729" i="3"/>
  <c r="D729" i="3"/>
  <c r="E729" i="3"/>
  <c r="F729" i="3"/>
  <c r="G729" i="3"/>
  <c r="H729" i="3"/>
  <c r="I729" i="3"/>
  <c r="J729" i="3"/>
  <c r="K729" i="3"/>
  <c r="B730" i="3"/>
  <c r="C730" i="3"/>
  <c r="D730" i="3"/>
  <c r="E730" i="3"/>
  <c r="F730" i="3"/>
  <c r="G730" i="3"/>
  <c r="H730" i="3"/>
  <c r="I730" i="3"/>
  <c r="J730" i="3"/>
  <c r="K730" i="3"/>
  <c r="B731" i="3"/>
  <c r="C731" i="3"/>
  <c r="D731" i="3"/>
  <c r="E731" i="3"/>
  <c r="F731" i="3"/>
  <c r="G731" i="3"/>
  <c r="H731" i="3"/>
  <c r="I731" i="3"/>
  <c r="J731" i="3"/>
  <c r="K731" i="3"/>
  <c r="B732" i="3"/>
  <c r="C732" i="3"/>
  <c r="D732" i="3"/>
  <c r="E732" i="3"/>
  <c r="F732" i="3"/>
  <c r="G732" i="3"/>
  <c r="H732" i="3"/>
  <c r="I732" i="3"/>
  <c r="J732" i="3"/>
  <c r="K732" i="3"/>
  <c r="B733" i="3"/>
  <c r="C733" i="3"/>
  <c r="D733" i="3"/>
  <c r="E733" i="3"/>
  <c r="F733" i="3"/>
  <c r="G733" i="3"/>
  <c r="H733" i="3"/>
  <c r="I733" i="3"/>
  <c r="J733" i="3"/>
  <c r="K733" i="3"/>
  <c r="B734" i="3"/>
  <c r="C734" i="3"/>
  <c r="D734" i="3"/>
  <c r="E734" i="3"/>
  <c r="F734" i="3"/>
  <c r="G734" i="3"/>
  <c r="H734" i="3"/>
  <c r="I734" i="3"/>
  <c r="J734" i="3"/>
  <c r="K734" i="3"/>
  <c r="B735" i="3"/>
  <c r="C735" i="3"/>
  <c r="D735" i="3"/>
  <c r="E735" i="3"/>
  <c r="F735" i="3"/>
  <c r="G735" i="3"/>
  <c r="H735" i="3"/>
  <c r="I735" i="3"/>
  <c r="J735" i="3"/>
  <c r="K735" i="3"/>
  <c r="B736" i="3"/>
  <c r="C736" i="3"/>
  <c r="D736" i="3"/>
  <c r="E736" i="3"/>
  <c r="F736" i="3"/>
  <c r="G736" i="3"/>
  <c r="H736" i="3"/>
  <c r="I736" i="3"/>
  <c r="J736" i="3"/>
  <c r="K736" i="3"/>
  <c r="B737" i="3"/>
  <c r="C737" i="3"/>
  <c r="D737" i="3"/>
  <c r="E737" i="3"/>
  <c r="F737" i="3"/>
  <c r="G737" i="3"/>
  <c r="H737" i="3"/>
  <c r="I737" i="3"/>
  <c r="J737" i="3"/>
  <c r="K737" i="3"/>
  <c r="B738" i="3"/>
  <c r="C738" i="3"/>
  <c r="D738" i="3"/>
  <c r="E738" i="3"/>
  <c r="F738" i="3"/>
  <c r="G738" i="3"/>
  <c r="H738" i="3"/>
  <c r="I738" i="3"/>
  <c r="J738" i="3"/>
  <c r="K738" i="3"/>
  <c r="B739" i="3"/>
  <c r="C739" i="3"/>
  <c r="D739" i="3"/>
  <c r="E739" i="3"/>
  <c r="F739" i="3"/>
  <c r="G739" i="3"/>
  <c r="H739" i="3"/>
  <c r="I739" i="3"/>
  <c r="J739" i="3"/>
  <c r="K739" i="3"/>
  <c r="B740" i="3"/>
  <c r="C740" i="3"/>
  <c r="D740" i="3"/>
  <c r="E740" i="3"/>
  <c r="F740" i="3"/>
  <c r="G740" i="3"/>
  <c r="H740" i="3"/>
  <c r="I740" i="3"/>
  <c r="J740" i="3"/>
  <c r="K740" i="3"/>
  <c r="B741" i="3"/>
  <c r="C741" i="3"/>
  <c r="D741" i="3"/>
  <c r="E741" i="3"/>
  <c r="F741" i="3"/>
  <c r="G741" i="3"/>
  <c r="H741" i="3"/>
  <c r="I741" i="3"/>
  <c r="J741" i="3"/>
  <c r="K741" i="3"/>
  <c r="B742" i="3"/>
  <c r="C742" i="3"/>
  <c r="D742" i="3"/>
  <c r="E742" i="3"/>
  <c r="F742" i="3"/>
  <c r="G742" i="3"/>
  <c r="H742" i="3"/>
  <c r="I742" i="3"/>
  <c r="J742" i="3"/>
  <c r="K742" i="3"/>
  <c r="B743" i="3"/>
  <c r="C743" i="3"/>
  <c r="D743" i="3"/>
  <c r="E743" i="3"/>
  <c r="F743" i="3"/>
  <c r="G743" i="3"/>
  <c r="H743" i="3"/>
  <c r="I743" i="3"/>
  <c r="J743" i="3"/>
  <c r="K743" i="3"/>
  <c r="B744" i="3"/>
  <c r="C744" i="3"/>
  <c r="D744" i="3"/>
  <c r="E744" i="3"/>
  <c r="F744" i="3"/>
  <c r="G744" i="3"/>
  <c r="H744" i="3"/>
  <c r="I744" i="3"/>
  <c r="J744" i="3"/>
  <c r="K744" i="3"/>
  <c r="B745" i="3"/>
  <c r="C745" i="3"/>
  <c r="D745" i="3"/>
  <c r="E745" i="3"/>
  <c r="F745" i="3"/>
  <c r="G745" i="3"/>
  <c r="H745" i="3"/>
  <c r="I745" i="3"/>
  <c r="J745" i="3"/>
  <c r="K745" i="3"/>
  <c r="B746" i="3"/>
  <c r="C746" i="3"/>
  <c r="D746" i="3"/>
  <c r="E746" i="3"/>
  <c r="F746" i="3"/>
  <c r="G746" i="3"/>
  <c r="H746" i="3"/>
  <c r="I746" i="3"/>
  <c r="J746" i="3"/>
  <c r="K746" i="3"/>
  <c r="B747" i="3"/>
  <c r="C747" i="3"/>
  <c r="D747" i="3"/>
  <c r="E747" i="3"/>
  <c r="F747" i="3"/>
  <c r="G747" i="3"/>
  <c r="H747" i="3"/>
  <c r="I747" i="3"/>
  <c r="J747" i="3"/>
  <c r="K747" i="3"/>
  <c r="B748" i="3"/>
  <c r="C748" i="3"/>
  <c r="D748" i="3"/>
  <c r="E748" i="3"/>
  <c r="F748" i="3"/>
  <c r="G748" i="3"/>
  <c r="H748" i="3"/>
  <c r="I748" i="3"/>
  <c r="J748" i="3"/>
  <c r="K748" i="3"/>
  <c r="B749" i="3"/>
  <c r="C749" i="3"/>
  <c r="D749" i="3"/>
  <c r="E749" i="3"/>
  <c r="F749" i="3"/>
  <c r="G749" i="3"/>
  <c r="H749" i="3"/>
  <c r="I749" i="3"/>
  <c r="J749" i="3"/>
  <c r="K749" i="3"/>
  <c r="B750" i="3"/>
  <c r="C750" i="3"/>
  <c r="D750" i="3"/>
  <c r="E750" i="3"/>
  <c r="F750" i="3"/>
  <c r="G750" i="3"/>
  <c r="H750" i="3"/>
  <c r="I750" i="3"/>
  <c r="J750" i="3"/>
  <c r="K750" i="3"/>
  <c r="B751" i="3"/>
  <c r="C751" i="3"/>
  <c r="D751" i="3"/>
  <c r="E751" i="3"/>
  <c r="F751" i="3"/>
  <c r="G751" i="3"/>
  <c r="H751" i="3"/>
  <c r="I751" i="3"/>
  <c r="J751" i="3"/>
  <c r="K751" i="3"/>
  <c r="B752" i="3"/>
  <c r="C752" i="3"/>
  <c r="D752" i="3"/>
  <c r="E752" i="3"/>
  <c r="F752" i="3"/>
  <c r="G752" i="3"/>
  <c r="H752" i="3"/>
  <c r="I752" i="3"/>
  <c r="J752" i="3"/>
  <c r="K752" i="3"/>
  <c r="B753" i="3"/>
  <c r="C753" i="3"/>
  <c r="D753" i="3"/>
  <c r="E753" i="3"/>
  <c r="F753" i="3"/>
  <c r="G753" i="3"/>
  <c r="H753" i="3"/>
  <c r="I753" i="3"/>
  <c r="J753" i="3"/>
  <c r="K753" i="3"/>
  <c r="B754" i="3"/>
  <c r="C754" i="3"/>
  <c r="D754" i="3"/>
  <c r="E754" i="3"/>
  <c r="F754" i="3"/>
  <c r="G754" i="3"/>
  <c r="H754" i="3"/>
  <c r="I754" i="3"/>
  <c r="J754" i="3"/>
  <c r="K754" i="3"/>
  <c r="B755" i="3"/>
  <c r="C755" i="3"/>
  <c r="D755" i="3"/>
  <c r="E755" i="3"/>
  <c r="F755" i="3"/>
  <c r="G755" i="3"/>
  <c r="H755" i="3"/>
  <c r="I755" i="3"/>
  <c r="J755" i="3"/>
  <c r="K755" i="3"/>
  <c r="B756" i="3"/>
  <c r="C756" i="3"/>
  <c r="D756" i="3"/>
  <c r="E756" i="3"/>
  <c r="F756" i="3"/>
  <c r="G756" i="3"/>
  <c r="H756" i="3"/>
  <c r="I756" i="3"/>
  <c r="J756" i="3"/>
  <c r="K756" i="3"/>
  <c r="B757" i="3"/>
  <c r="C757" i="3"/>
  <c r="D757" i="3"/>
  <c r="E757" i="3"/>
  <c r="F757" i="3"/>
  <c r="G757" i="3"/>
  <c r="H757" i="3"/>
  <c r="I757" i="3"/>
  <c r="J757" i="3"/>
  <c r="K757" i="3"/>
  <c r="B758" i="3"/>
  <c r="C758" i="3"/>
  <c r="D758" i="3"/>
  <c r="E758" i="3"/>
  <c r="F758" i="3"/>
  <c r="G758" i="3"/>
  <c r="H758" i="3"/>
  <c r="I758" i="3"/>
  <c r="J758" i="3"/>
  <c r="K758" i="3"/>
  <c r="B759" i="3"/>
  <c r="C759" i="3"/>
  <c r="D759" i="3"/>
  <c r="E759" i="3"/>
  <c r="F759" i="3"/>
  <c r="G759" i="3"/>
  <c r="H759" i="3"/>
  <c r="I759" i="3"/>
  <c r="J759" i="3"/>
  <c r="K759" i="3"/>
  <c r="B760" i="3"/>
  <c r="C760" i="3"/>
  <c r="D760" i="3"/>
  <c r="E760" i="3"/>
  <c r="F760" i="3"/>
  <c r="G760" i="3"/>
  <c r="H760" i="3"/>
  <c r="I760" i="3"/>
  <c r="J760" i="3"/>
  <c r="K760" i="3"/>
  <c r="B761" i="3"/>
  <c r="C761" i="3"/>
  <c r="D761" i="3"/>
  <c r="E761" i="3"/>
  <c r="F761" i="3"/>
  <c r="G761" i="3"/>
  <c r="H761" i="3"/>
  <c r="I761" i="3"/>
  <c r="J761" i="3"/>
  <c r="K761" i="3"/>
  <c r="B762" i="3"/>
  <c r="C762" i="3"/>
  <c r="D762" i="3"/>
  <c r="E762" i="3"/>
  <c r="F762" i="3"/>
  <c r="G762" i="3"/>
  <c r="H762" i="3"/>
  <c r="I762" i="3"/>
  <c r="J762" i="3"/>
  <c r="K762" i="3"/>
  <c r="B763" i="3"/>
  <c r="C763" i="3"/>
  <c r="D763" i="3"/>
  <c r="E763" i="3"/>
  <c r="F763" i="3"/>
  <c r="G763" i="3"/>
  <c r="H763" i="3"/>
  <c r="I763" i="3"/>
  <c r="J763" i="3"/>
  <c r="K763" i="3"/>
  <c r="B764" i="3"/>
  <c r="C764" i="3"/>
  <c r="D764" i="3"/>
  <c r="E764" i="3"/>
  <c r="F764" i="3"/>
  <c r="G764" i="3"/>
  <c r="H764" i="3"/>
  <c r="I764" i="3"/>
  <c r="J764" i="3"/>
  <c r="K764" i="3"/>
  <c r="B765" i="3"/>
  <c r="C765" i="3"/>
  <c r="D765" i="3"/>
  <c r="E765" i="3"/>
  <c r="F765" i="3"/>
  <c r="G765" i="3"/>
  <c r="H765" i="3"/>
  <c r="I765" i="3"/>
  <c r="J765" i="3"/>
  <c r="K765" i="3"/>
  <c r="B766" i="3"/>
  <c r="C766" i="3"/>
  <c r="D766" i="3"/>
  <c r="E766" i="3"/>
  <c r="F766" i="3"/>
  <c r="G766" i="3"/>
  <c r="H766" i="3"/>
  <c r="I766" i="3"/>
  <c r="J766" i="3"/>
  <c r="K766" i="3"/>
  <c r="B767" i="3"/>
  <c r="C767" i="3"/>
  <c r="D767" i="3"/>
  <c r="E767" i="3"/>
  <c r="F767" i="3"/>
  <c r="G767" i="3"/>
  <c r="H767" i="3"/>
  <c r="I767" i="3"/>
  <c r="J767" i="3"/>
  <c r="K767" i="3"/>
  <c r="B768" i="3"/>
  <c r="C768" i="3"/>
  <c r="D768" i="3"/>
  <c r="E768" i="3"/>
  <c r="F768" i="3"/>
  <c r="G768" i="3"/>
  <c r="H768" i="3"/>
  <c r="I768" i="3"/>
  <c r="J768" i="3"/>
  <c r="K768" i="3"/>
  <c r="B769" i="3"/>
  <c r="C769" i="3"/>
  <c r="D769" i="3"/>
  <c r="E769" i="3"/>
  <c r="F769" i="3"/>
  <c r="G769" i="3"/>
  <c r="H769" i="3"/>
  <c r="I769" i="3"/>
  <c r="J769" i="3"/>
  <c r="K769" i="3"/>
  <c r="B770" i="3"/>
  <c r="C770" i="3"/>
  <c r="D770" i="3"/>
  <c r="E770" i="3"/>
  <c r="F770" i="3"/>
  <c r="G770" i="3"/>
  <c r="H770" i="3"/>
  <c r="I770" i="3"/>
  <c r="J770" i="3"/>
  <c r="K770" i="3"/>
  <c r="B771" i="3"/>
  <c r="C771" i="3"/>
  <c r="D771" i="3"/>
  <c r="E771" i="3"/>
  <c r="F771" i="3"/>
  <c r="G771" i="3"/>
  <c r="H771" i="3"/>
  <c r="I771" i="3"/>
  <c r="J771" i="3"/>
  <c r="K771" i="3"/>
  <c r="B772" i="3"/>
  <c r="C772" i="3"/>
  <c r="D772" i="3"/>
  <c r="E772" i="3"/>
  <c r="F772" i="3"/>
  <c r="G772" i="3"/>
  <c r="H772" i="3"/>
  <c r="I772" i="3"/>
  <c r="J772" i="3"/>
  <c r="K772" i="3"/>
  <c r="B773" i="3"/>
  <c r="C773" i="3"/>
  <c r="D773" i="3"/>
  <c r="E773" i="3"/>
  <c r="F773" i="3"/>
  <c r="G773" i="3"/>
  <c r="H773" i="3"/>
  <c r="I773" i="3"/>
  <c r="J773" i="3"/>
  <c r="K773" i="3"/>
  <c r="B774" i="3"/>
  <c r="C774" i="3"/>
  <c r="D774" i="3"/>
  <c r="E774" i="3"/>
  <c r="F774" i="3"/>
  <c r="G774" i="3"/>
  <c r="H774" i="3"/>
  <c r="I774" i="3"/>
  <c r="J774" i="3"/>
  <c r="K774" i="3"/>
  <c r="B775" i="3"/>
  <c r="C775" i="3"/>
  <c r="D775" i="3"/>
  <c r="E775" i="3"/>
  <c r="F775" i="3"/>
  <c r="G775" i="3"/>
  <c r="H775" i="3"/>
  <c r="I775" i="3"/>
  <c r="J775" i="3"/>
  <c r="K775" i="3"/>
  <c r="B776" i="3"/>
  <c r="C776" i="3"/>
  <c r="D776" i="3"/>
  <c r="E776" i="3"/>
  <c r="F776" i="3"/>
  <c r="G776" i="3"/>
  <c r="H776" i="3"/>
  <c r="I776" i="3"/>
  <c r="J776" i="3"/>
  <c r="K776" i="3"/>
  <c r="B777" i="3"/>
  <c r="C777" i="3"/>
  <c r="D777" i="3"/>
  <c r="E777" i="3"/>
  <c r="F777" i="3"/>
  <c r="G777" i="3"/>
  <c r="H777" i="3"/>
  <c r="I777" i="3"/>
  <c r="J777" i="3"/>
  <c r="K777" i="3"/>
  <c r="B778" i="3"/>
  <c r="C778" i="3"/>
  <c r="D778" i="3"/>
  <c r="E778" i="3"/>
  <c r="F778" i="3"/>
  <c r="G778" i="3"/>
  <c r="H778" i="3"/>
  <c r="I778" i="3"/>
  <c r="J778" i="3"/>
  <c r="K778" i="3"/>
  <c r="B779" i="3"/>
  <c r="C779" i="3"/>
  <c r="D779" i="3"/>
  <c r="E779" i="3"/>
  <c r="F779" i="3"/>
  <c r="G779" i="3"/>
  <c r="H779" i="3"/>
  <c r="I779" i="3"/>
  <c r="J779" i="3"/>
  <c r="K779" i="3"/>
  <c r="B780" i="3"/>
  <c r="C780" i="3"/>
  <c r="D780" i="3"/>
  <c r="E780" i="3"/>
  <c r="F780" i="3"/>
  <c r="G780" i="3"/>
  <c r="H780" i="3"/>
  <c r="I780" i="3"/>
  <c r="J780" i="3"/>
  <c r="K780" i="3"/>
  <c r="B781" i="3"/>
  <c r="C781" i="3"/>
  <c r="D781" i="3"/>
  <c r="E781" i="3"/>
  <c r="F781" i="3"/>
  <c r="G781" i="3"/>
  <c r="H781" i="3"/>
  <c r="I781" i="3"/>
  <c r="J781" i="3"/>
  <c r="K781" i="3"/>
  <c r="B782" i="3"/>
  <c r="C782" i="3"/>
  <c r="D782" i="3"/>
  <c r="E782" i="3"/>
  <c r="F782" i="3"/>
  <c r="G782" i="3"/>
  <c r="H782" i="3"/>
  <c r="I782" i="3"/>
  <c r="J782" i="3"/>
  <c r="K782" i="3"/>
  <c r="B783" i="3"/>
  <c r="C783" i="3"/>
  <c r="D783" i="3"/>
  <c r="E783" i="3"/>
  <c r="F783" i="3"/>
  <c r="G783" i="3"/>
  <c r="H783" i="3"/>
  <c r="I783" i="3"/>
  <c r="J783" i="3"/>
  <c r="K783" i="3"/>
  <c r="B784" i="3"/>
  <c r="C784" i="3"/>
  <c r="D784" i="3"/>
  <c r="E784" i="3"/>
  <c r="F784" i="3"/>
  <c r="G784" i="3"/>
  <c r="H784" i="3"/>
  <c r="I784" i="3"/>
  <c r="J784" i="3"/>
  <c r="K784" i="3"/>
  <c r="B785" i="3"/>
  <c r="C785" i="3"/>
  <c r="D785" i="3"/>
  <c r="E785" i="3"/>
  <c r="F785" i="3"/>
  <c r="G785" i="3"/>
  <c r="H785" i="3"/>
  <c r="I785" i="3"/>
  <c r="J785" i="3"/>
  <c r="K785" i="3"/>
  <c r="B786" i="3"/>
  <c r="C786" i="3"/>
  <c r="D786" i="3"/>
  <c r="E786" i="3"/>
  <c r="F786" i="3"/>
  <c r="G786" i="3"/>
  <c r="H786" i="3"/>
  <c r="I786" i="3"/>
  <c r="J786" i="3"/>
  <c r="K786" i="3"/>
  <c r="B787" i="3"/>
  <c r="C787" i="3"/>
  <c r="D787" i="3"/>
  <c r="E787" i="3"/>
  <c r="F787" i="3"/>
  <c r="G787" i="3"/>
  <c r="H787" i="3"/>
  <c r="I787" i="3"/>
  <c r="J787" i="3"/>
  <c r="K787" i="3"/>
  <c r="B788" i="3"/>
  <c r="C788" i="3"/>
  <c r="D788" i="3"/>
  <c r="E788" i="3"/>
  <c r="F788" i="3"/>
  <c r="G788" i="3"/>
  <c r="H788" i="3"/>
  <c r="I788" i="3"/>
  <c r="J788" i="3"/>
  <c r="K788" i="3"/>
  <c r="B789" i="3"/>
  <c r="C789" i="3"/>
  <c r="D789" i="3"/>
  <c r="E789" i="3"/>
  <c r="F789" i="3"/>
  <c r="G789" i="3"/>
  <c r="H789" i="3"/>
  <c r="I789" i="3"/>
  <c r="J789" i="3"/>
  <c r="K789" i="3"/>
  <c r="B790" i="3"/>
  <c r="C790" i="3"/>
  <c r="D790" i="3"/>
  <c r="E790" i="3"/>
  <c r="F790" i="3"/>
  <c r="G790" i="3"/>
  <c r="H790" i="3"/>
  <c r="I790" i="3"/>
  <c r="J790" i="3"/>
  <c r="K790" i="3"/>
  <c r="B791" i="3"/>
  <c r="C791" i="3"/>
  <c r="D791" i="3"/>
  <c r="E791" i="3"/>
  <c r="F791" i="3"/>
  <c r="G791" i="3"/>
  <c r="H791" i="3"/>
  <c r="I791" i="3"/>
  <c r="J791" i="3"/>
  <c r="K791" i="3"/>
  <c r="B792" i="3"/>
  <c r="C792" i="3"/>
  <c r="D792" i="3"/>
  <c r="E792" i="3"/>
  <c r="F792" i="3"/>
  <c r="G792" i="3"/>
  <c r="H792" i="3"/>
  <c r="I792" i="3"/>
  <c r="J792" i="3"/>
  <c r="K792" i="3"/>
  <c r="B793" i="3"/>
  <c r="C793" i="3"/>
  <c r="D793" i="3"/>
  <c r="E793" i="3"/>
  <c r="F793" i="3"/>
  <c r="G793" i="3"/>
  <c r="H793" i="3"/>
  <c r="I793" i="3"/>
  <c r="J793" i="3"/>
  <c r="K793" i="3"/>
  <c r="B794" i="3"/>
  <c r="C794" i="3"/>
  <c r="D794" i="3"/>
  <c r="E794" i="3"/>
  <c r="F794" i="3"/>
  <c r="G794" i="3"/>
  <c r="H794" i="3"/>
  <c r="I794" i="3"/>
  <c r="J794" i="3"/>
  <c r="K794" i="3"/>
  <c r="B795" i="3"/>
  <c r="C795" i="3"/>
  <c r="D795" i="3"/>
  <c r="E795" i="3"/>
  <c r="F795" i="3"/>
  <c r="G795" i="3"/>
  <c r="H795" i="3"/>
  <c r="I795" i="3"/>
  <c r="J795" i="3"/>
  <c r="K795" i="3"/>
  <c r="B796" i="3"/>
  <c r="C796" i="3"/>
  <c r="D796" i="3"/>
  <c r="E796" i="3"/>
  <c r="F796" i="3"/>
  <c r="G796" i="3"/>
  <c r="H796" i="3"/>
  <c r="I796" i="3"/>
  <c r="J796" i="3"/>
  <c r="K796" i="3"/>
  <c r="B797" i="3"/>
  <c r="C797" i="3"/>
  <c r="D797" i="3"/>
  <c r="E797" i="3"/>
  <c r="F797" i="3"/>
  <c r="G797" i="3"/>
  <c r="H797" i="3"/>
  <c r="I797" i="3"/>
  <c r="J797" i="3"/>
  <c r="K797" i="3"/>
  <c r="B798" i="3"/>
  <c r="C798" i="3"/>
  <c r="D798" i="3"/>
  <c r="E798" i="3"/>
  <c r="F798" i="3"/>
  <c r="G798" i="3"/>
  <c r="H798" i="3"/>
  <c r="I798" i="3"/>
  <c r="J798" i="3"/>
  <c r="K798" i="3"/>
  <c r="B799" i="3"/>
  <c r="C799" i="3"/>
  <c r="D799" i="3"/>
  <c r="E799" i="3"/>
  <c r="F799" i="3"/>
  <c r="G799" i="3"/>
  <c r="H799" i="3"/>
  <c r="I799" i="3"/>
  <c r="J799" i="3"/>
  <c r="K799" i="3"/>
  <c r="B800" i="3"/>
  <c r="C800" i="3"/>
  <c r="D800" i="3"/>
  <c r="E800" i="3"/>
  <c r="F800" i="3"/>
  <c r="G800" i="3"/>
  <c r="H800" i="3"/>
  <c r="I800" i="3"/>
  <c r="J800" i="3"/>
  <c r="K800" i="3"/>
  <c r="B801" i="3"/>
  <c r="C801" i="3"/>
  <c r="D801" i="3"/>
  <c r="E801" i="3"/>
  <c r="F801" i="3"/>
  <c r="G801" i="3"/>
  <c r="H801" i="3"/>
  <c r="I801" i="3"/>
  <c r="J801" i="3"/>
  <c r="K801" i="3"/>
  <c r="B802" i="3"/>
  <c r="C802" i="3"/>
  <c r="D802" i="3"/>
  <c r="E802" i="3"/>
  <c r="F802" i="3"/>
  <c r="G802" i="3"/>
  <c r="H802" i="3"/>
  <c r="I802" i="3"/>
  <c r="J802" i="3"/>
  <c r="K802" i="3"/>
  <c r="B803" i="3"/>
  <c r="C803" i="3"/>
  <c r="D803" i="3"/>
  <c r="E803" i="3"/>
  <c r="F803" i="3"/>
  <c r="G803" i="3"/>
  <c r="H803" i="3"/>
  <c r="I803" i="3"/>
  <c r="J803" i="3"/>
  <c r="K803" i="3"/>
  <c r="B804" i="3"/>
  <c r="C804" i="3"/>
  <c r="D804" i="3"/>
  <c r="E804" i="3"/>
  <c r="F804" i="3"/>
  <c r="G804" i="3"/>
  <c r="H804" i="3"/>
  <c r="I804" i="3"/>
  <c r="J804" i="3"/>
  <c r="K804" i="3"/>
  <c r="B805" i="3"/>
  <c r="C805" i="3"/>
  <c r="D805" i="3"/>
  <c r="E805" i="3"/>
  <c r="F805" i="3"/>
  <c r="G805" i="3"/>
  <c r="H805" i="3"/>
  <c r="I805" i="3"/>
  <c r="J805" i="3"/>
  <c r="K805" i="3"/>
  <c r="B806" i="3"/>
  <c r="C806" i="3"/>
  <c r="D806" i="3"/>
  <c r="E806" i="3"/>
  <c r="F806" i="3"/>
  <c r="G806" i="3"/>
  <c r="H806" i="3"/>
  <c r="I806" i="3"/>
  <c r="J806" i="3"/>
  <c r="K806" i="3"/>
  <c r="B807" i="3"/>
  <c r="C807" i="3"/>
  <c r="D807" i="3"/>
  <c r="E807" i="3"/>
  <c r="F807" i="3"/>
  <c r="G807" i="3"/>
  <c r="H807" i="3"/>
  <c r="I807" i="3"/>
  <c r="J807" i="3"/>
  <c r="K807" i="3"/>
  <c r="B808" i="3"/>
  <c r="C808" i="3"/>
  <c r="D808" i="3"/>
  <c r="E808" i="3"/>
  <c r="F808" i="3"/>
  <c r="G808" i="3"/>
  <c r="H808" i="3"/>
  <c r="I808" i="3"/>
  <c r="J808" i="3"/>
  <c r="K808" i="3"/>
  <c r="B809" i="3"/>
  <c r="C809" i="3"/>
  <c r="D809" i="3"/>
  <c r="E809" i="3"/>
  <c r="F809" i="3"/>
  <c r="G809" i="3"/>
  <c r="H809" i="3"/>
  <c r="I809" i="3"/>
  <c r="J809" i="3"/>
  <c r="K809" i="3"/>
  <c r="B810" i="3"/>
  <c r="C810" i="3"/>
  <c r="D810" i="3"/>
  <c r="E810" i="3"/>
  <c r="F810" i="3"/>
  <c r="G810" i="3"/>
  <c r="H810" i="3"/>
  <c r="I810" i="3"/>
  <c r="J810" i="3"/>
  <c r="K810" i="3"/>
  <c r="B811" i="3"/>
  <c r="C811" i="3"/>
  <c r="D811" i="3"/>
  <c r="E811" i="3"/>
  <c r="F811" i="3"/>
  <c r="G811" i="3"/>
  <c r="H811" i="3"/>
  <c r="I811" i="3"/>
  <c r="J811" i="3"/>
  <c r="K811" i="3"/>
  <c r="B812" i="3"/>
  <c r="C812" i="3"/>
  <c r="D812" i="3"/>
  <c r="E812" i="3"/>
  <c r="F812" i="3"/>
  <c r="G812" i="3"/>
  <c r="H812" i="3"/>
  <c r="I812" i="3"/>
  <c r="J812" i="3"/>
  <c r="K812" i="3"/>
  <c r="B813" i="3"/>
  <c r="C813" i="3"/>
  <c r="D813" i="3"/>
  <c r="E813" i="3"/>
  <c r="F813" i="3"/>
  <c r="G813" i="3"/>
  <c r="H813" i="3"/>
  <c r="I813" i="3"/>
  <c r="J813" i="3"/>
  <c r="K813" i="3"/>
  <c r="B814" i="3"/>
  <c r="C814" i="3"/>
  <c r="D814" i="3"/>
  <c r="E814" i="3"/>
  <c r="F814" i="3"/>
  <c r="G814" i="3"/>
  <c r="H814" i="3"/>
  <c r="I814" i="3"/>
  <c r="J814" i="3"/>
  <c r="K814" i="3"/>
  <c r="B815" i="3"/>
  <c r="C815" i="3"/>
  <c r="D815" i="3"/>
  <c r="E815" i="3"/>
  <c r="F815" i="3"/>
  <c r="G815" i="3"/>
  <c r="H815" i="3"/>
  <c r="I815" i="3"/>
  <c r="J815" i="3"/>
  <c r="K815" i="3"/>
  <c r="B816" i="3"/>
  <c r="C816" i="3"/>
  <c r="D816" i="3"/>
  <c r="E816" i="3"/>
  <c r="F816" i="3"/>
  <c r="G816" i="3"/>
  <c r="H816" i="3"/>
  <c r="I816" i="3"/>
  <c r="J816" i="3"/>
  <c r="K816" i="3"/>
  <c r="B817" i="3"/>
  <c r="C817" i="3"/>
  <c r="D817" i="3"/>
  <c r="E817" i="3"/>
  <c r="F817" i="3"/>
  <c r="G817" i="3"/>
  <c r="H817" i="3"/>
  <c r="I817" i="3"/>
  <c r="J817" i="3"/>
  <c r="K817" i="3"/>
  <c r="B818" i="3"/>
  <c r="C818" i="3"/>
  <c r="D818" i="3"/>
  <c r="E818" i="3"/>
  <c r="F818" i="3"/>
  <c r="G818" i="3"/>
  <c r="H818" i="3"/>
  <c r="I818" i="3"/>
  <c r="J818" i="3"/>
  <c r="K818" i="3"/>
  <c r="B819" i="3"/>
  <c r="C819" i="3"/>
  <c r="D819" i="3"/>
  <c r="E819" i="3"/>
  <c r="F819" i="3"/>
  <c r="G819" i="3"/>
  <c r="H819" i="3"/>
  <c r="I819" i="3"/>
  <c r="J819" i="3"/>
  <c r="K819" i="3"/>
  <c r="B820" i="3"/>
  <c r="C820" i="3"/>
  <c r="D820" i="3"/>
  <c r="E820" i="3"/>
  <c r="F820" i="3"/>
  <c r="G820" i="3"/>
  <c r="H820" i="3"/>
  <c r="I820" i="3"/>
  <c r="J820" i="3"/>
  <c r="K820" i="3"/>
  <c r="B821" i="3"/>
  <c r="C821" i="3"/>
  <c r="D821" i="3"/>
  <c r="E821" i="3"/>
  <c r="F821" i="3"/>
  <c r="G821" i="3"/>
  <c r="H821" i="3"/>
  <c r="I821" i="3"/>
  <c r="J821" i="3"/>
  <c r="K821" i="3"/>
  <c r="B822" i="3"/>
  <c r="C822" i="3"/>
  <c r="D822" i="3"/>
  <c r="E822" i="3"/>
  <c r="F822" i="3"/>
  <c r="G822" i="3"/>
  <c r="H822" i="3"/>
  <c r="I822" i="3"/>
  <c r="J822" i="3"/>
  <c r="K822" i="3"/>
  <c r="B823" i="3"/>
  <c r="C823" i="3"/>
  <c r="D823" i="3"/>
  <c r="E823" i="3"/>
  <c r="F823" i="3"/>
  <c r="G823" i="3"/>
  <c r="H823" i="3"/>
  <c r="I823" i="3"/>
  <c r="J823" i="3"/>
  <c r="K823" i="3"/>
  <c r="B824" i="3"/>
  <c r="C824" i="3"/>
  <c r="D824" i="3"/>
  <c r="E824" i="3"/>
  <c r="F824" i="3"/>
  <c r="G824" i="3"/>
  <c r="H824" i="3"/>
  <c r="I824" i="3"/>
  <c r="J824" i="3"/>
  <c r="K824" i="3"/>
  <c r="B825" i="3"/>
  <c r="C825" i="3"/>
  <c r="D825" i="3"/>
  <c r="E825" i="3"/>
  <c r="F825" i="3"/>
  <c r="G825" i="3"/>
  <c r="H825" i="3"/>
  <c r="I825" i="3"/>
  <c r="J825" i="3"/>
  <c r="K825" i="3"/>
  <c r="B826" i="3"/>
  <c r="C826" i="3"/>
  <c r="D826" i="3"/>
  <c r="E826" i="3"/>
  <c r="F826" i="3"/>
  <c r="G826" i="3"/>
  <c r="H826" i="3"/>
  <c r="I826" i="3"/>
  <c r="J826" i="3"/>
  <c r="K826" i="3"/>
  <c r="B827" i="3"/>
  <c r="C827" i="3"/>
  <c r="D827" i="3"/>
  <c r="E827" i="3"/>
  <c r="F827" i="3"/>
  <c r="G827" i="3"/>
  <c r="H827" i="3"/>
  <c r="I827" i="3"/>
  <c r="J827" i="3"/>
  <c r="K827" i="3"/>
  <c r="B828" i="3"/>
  <c r="C828" i="3"/>
  <c r="D828" i="3"/>
  <c r="E828" i="3"/>
  <c r="F828" i="3"/>
  <c r="G828" i="3"/>
  <c r="H828" i="3"/>
  <c r="I828" i="3"/>
  <c r="J828" i="3"/>
  <c r="K828" i="3"/>
  <c r="B829" i="3"/>
  <c r="C829" i="3"/>
  <c r="D829" i="3"/>
  <c r="E829" i="3"/>
  <c r="F829" i="3"/>
  <c r="G829" i="3"/>
  <c r="H829" i="3"/>
  <c r="I829" i="3"/>
  <c r="J829" i="3"/>
  <c r="K829" i="3"/>
  <c r="B830" i="3"/>
  <c r="C830" i="3"/>
  <c r="D830" i="3"/>
  <c r="E830" i="3"/>
  <c r="F830" i="3"/>
  <c r="G830" i="3"/>
  <c r="H830" i="3"/>
  <c r="I830" i="3"/>
  <c r="J830" i="3"/>
  <c r="K830" i="3"/>
  <c r="B831" i="3"/>
  <c r="C831" i="3"/>
  <c r="D831" i="3"/>
  <c r="E831" i="3"/>
  <c r="F831" i="3"/>
  <c r="G831" i="3"/>
  <c r="H831" i="3"/>
  <c r="I831" i="3"/>
  <c r="J831" i="3"/>
  <c r="K831" i="3"/>
  <c r="B832" i="3"/>
  <c r="C832" i="3"/>
  <c r="D832" i="3"/>
  <c r="E832" i="3"/>
  <c r="F832" i="3"/>
  <c r="G832" i="3"/>
  <c r="H832" i="3"/>
  <c r="I832" i="3"/>
  <c r="J832" i="3"/>
  <c r="K832" i="3"/>
  <c r="B833" i="3"/>
  <c r="C833" i="3"/>
  <c r="D833" i="3"/>
  <c r="E833" i="3"/>
  <c r="F833" i="3"/>
  <c r="G833" i="3"/>
  <c r="H833" i="3"/>
  <c r="I833" i="3"/>
  <c r="J833" i="3"/>
  <c r="K833" i="3"/>
  <c r="B834" i="3"/>
  <c r="C834" i="3"/>
  <c r="D834" i="3"/>
  <c r="E834" i="3"/>
  <c r="F834" i="3"/>
  <c r="G834" i="3"/>
  <c r="H834" i="3"/>
  <c r="I834" i="3"/>
  <c r="J834" i="3"/>
  <c r="K834" i="3"/>
  <c r="B835" i="3"/>
  <c r="C835" i="3"/>
  <c r="D835" i="3"/>
  <c r="E835" i="3"/>
  <c r="F835" i="3"/>
  <c r="G835" i="3"/>
  <c r="H835" i="3"/>
  <c r="I835" i="3"/>
  <c r="J835" i="3"/>
  <c r="K835" i="3"/>
  <c r="B836" i="3"/>
  <c r="C836" i="3"/>
  <c r="D836" i="3"/>
  <c r="E836" i="3"/>
  <c r="F836" i="3"/>
  <c r="G836" i="3"/>
  <c r="H836" i="3"/>
  <c r="I836" i="3"/>
  <c r="J836" i="3"/>
  <c r="K836" i="3"/>
  <c r="B837" i="3"/>
  <c r="C837" i="3"/>
  <c r="D837" i="3"/>
  <c r="E837" i="3"/>
  <c r="F837" i="3"/>
  <c r="G837" i="3"/>
  <c r="H837" i="3"/>
  <c r="I837" i="3"/>
  <c r="J837" i="3"/>
  <c r="K837" i="3"/>
  <c r="B838" i="3"/>
  <c r="C838" i="3"/>
  <c r="D838" i="3"/>
  <c r="E838" i="3"/>
  <c r="F838" i="3"/>
  <c r="G838" i="3"/>
  <c r="H838" i="3"/>
  <c r="I838" i="3"/>
  <c r="J838" i="3"/>
  <c r="K838" i="3"/>
  <c r="B839" i="3"/>
  <c r="C839" i="3"/>
  <c r="D839" i="3"/>
  <c r="E839" i="3"/>
  <c r="F839" i="3"/>
  <c r="G839" i="3"/>
  <c r="H839" i="3"/>
  <c r="I839" i="3"/>
  <c r="J839" i="3"/>
  <c r="K839" i="3"/>
  <c r="B840" i="3"/>
  <c r="C840" i="3"/>
  <c r="D840" i="3"/>
  <c r="E840" i="3"/>
  <c r="F840" i="3"/>
  <c r="G840" i="3"/>
  <c r="H840" i="3"/>
  <c r="I840" i="3"/>
  <c r="J840" i="3"/>
  <c r="K840" i="3"/>
  <c r="B841" i="3"/>
  <c r="C841" i="3"/>
  <c r="D841" i="3"/>
  <c r="E841" i="3"/>
  <c r="F841" i="3"/>
  <c r="G841" i="3"/>
  <c r="H841" i="3"/>
  <c r="I841" i="3"/>
  <c r="J841" i="3"/>
  <c r="K841" i="3"/>
  <c r="B842" i="3"/>
  <c r="C842" i="3"/>
  <c r="D842" i="3"/>
  <c r="E842" i="3"/>
  <c r="F842" i="3"/>
  <c r="G842" i="3"/>
  <c r="H842" i="3"/>
  <c r="I842" i="3"/>
  <c r="J842" i="3"/>
  <c r="K842" i="3"/>
  <c r="B843" i="3"/>
  <c r="C843" i="3"/>
  <c r="D843" i="3"/>
  <c r="E843" i="3"/>
  <c r="F843" i="3"/>
  <c r="G843" i="3"/>
  <c r="H843" i="3"/>
  <c r="I843" i="3"/>
  <c r="J843" i="3"/>
  <c r="K843" i="3"/>
  <c r="B844" i="3"/>
  <c r="C844" i="3"/>
  <c r="D844" i="3"/>
  <c r="E844" i="3"/>
  <c r="F844" i="3"/>
  <c r="G844" i="3"/>
  <c r="H844" i="3"/>
  <c r="I844" i="3"/>
  <c r="J844" i="3"/>
  <c r="K844" i="3"/>
  <c r="B845" i="3"/>
  <c r="C845" i="3"/>
  <c r="D845" i="3"/>
  <c r="E845" i="3"/>
  <c r="F845" i="3"/>
  <c r="G845" i="3"/>
  <c r="H845" i="3"/>
  <c r="I845" i="3"/>
  <c r="J845" i="3"/>
  <c r="K845" i="3"/>
  <c r="B846" i="3"/>
  <c r="C846" i="3"/>
  <c r="D846" i="3"/>
  <c r="E846" i="3"/>
  <c r="F846" i="3"/>
  <c r="G846" i="3"/>
  <c r="H846" i="3"/>
  <c r="I846" i="3"/>
  <c r="J846" i="3"/>
  <c r="K846" i="3"/>
  <c r="B847" i="3"/>
  <c r="C847" i="3"/>
  <c r="D847" i="3"/>
  <c r="E847" i="3"/>
  <c r="F847" i="3"/>
  <c r="G847" i="3"/>
  <c r="H847" i="3"/>
  <c r="I847" i="3"/>
  <c r="J847" i="3"/>
  <c r="K847" i="3"/>
  <c r="B848" i="3"/>
  <c r="C848" i="3"/>
  <c r="D848" i="3"/>
  <c r="E848" i="3"/>
  <c r="F848" i="3"/>
  <c r="G848" i="3"/>
  <c r="H848" i="3"/>
  <c r="I848" i="3"/>
  <c r="J848" i="3"/>
  <c r="K848" i="3"/>
  <c r="B849" i="3"/>
  <c r="C849" i="3"/>
  <c r="D849" i="3"/>
  <c r="E849" i="3"/>
  <c r="F849" i="3"/>
  <c r="G849" i="3"/>
  <c r="H849" i="3"/>
  <c r="I849" i="3"/>
  <c r="J849" i="3"/>
  <c r="K849" i="3"/>
  <c r="B850" i="3"/>
  <c r="C850" i="3"/>
  <c r="D850" i="3"/>
  <c r="E850" i="3"/>
  <c r="F850" i="3"/>
  <c r="G850" i="3"/>
  <c r="H850" i="3"/>
  <c r="I850" i="3"/>
  <c r="J850" i="3"/>
  <c r="K850" i="3"/>
  <c r="B851" i="3"/>
  <c r="C851" i="3"/>
  <c r="D851" i="3"/>
  <c r="E851" i="3"/>
  <c r="F851" i="3"/>
  <c r="G851" i="3"/>
  <c r="H851" i="3"/>
  <c r="I851" i="3"/>
  <c r="J851" i="3"/>
  <c r="K851" i="3"/>
  <c r="B852" i="3"/>
  <c r="C852" i="3"/>
  <c r="D852" i="3"/>
  <c r="E852" i="3"/>
  <c r="F852" i="3"/>
  <c r="G852" i="3"/>
  <c r="H852" i="3"/>
  <c r="I852" i="3"/>
  <c r="J852" i="3"/>
  <c r="K852" i="3"/>
  <c r="B853" i="3"/>
  <c r="C853" i="3"/>
  <c r="D853" i="3"/>
  <c r="E853" i="3"/>
  <c r="F853" i="3"/>
  <c r="G853" i="3"/>
  <c r="H853" i="3"/>
  <c r="I853" i="3"/>
  <c r="J853" i="3"/>
  <c r="K853" i="3"/>
  <c r="B854" i="3"/>
  <c r="C854" i="3"/>
  <c r="D854" i="3"/>
  <c r="E854" i="3"/>
  <c r="F854" i="3"/>
  <c r="G854" i="3"/>
  <c r="H854" i="3"/>
  <c r="I854" i="3"/>
  <c r="J854" i="3"/>
  <c r="K854" i="3"/>
  <c r="B855" i="3"/>
  <c r="C855" i="3"/>
  <c r="D855" i="3"/>
  <c r="E855" i="3"/>
  <c r="F855" i="3"/>
  <c r="G855" i="3"/>
  <c r="H855" i="3"/>
  <c r="I855" i="3"/>
  <c r="J855" i="3"/>
  <c r="K855" i="3"/>
  <c r="B856" i="3"/>
  <c r="C856" i="3"/>
  <c r="D856" i="3"/>
  <c r="E856" i="3"/>
  <c r="F856" i="3"/>
  <c r="G856" i="3"/>
  <c r="H856" i="3"/>
  <c r="I856" i="3"/>
  <c r="J856" i="3"/>
  <c r="K856" i="3"/>
  <c r="B857" i="3"/>
  <c r="C857" i="3"/>
  <c r="D857" i="3"/>
  <c r="E857" i="3"/>
  <c r="F857" i="3"/>
  <c r="G857" i="3"/>
  <c r="H857" i="3"/>
  <c r="I857" i="3"/>
  <c r="J857" i="3"/>
  <c r="K857" i="3"/>
  <c r="B858" i="3"/>
  <c r="C858" i="3"/>
  <c r="D858" i="3"/>
  <c r="E858" i="3"/>
  <c r="F858" i="3"/>
  <c r="G858" i="3"/>
  <c r="H858" i="3"/>
  <c r="I858" i="3"/>
  <c r="J858" i="3"/>
  <c r="K858" i="3"/>
  <c r="B859" i="3"/>
  <c r="C859" i="3"/>
  <c r="D859" i="3"/>
  <c r="E859" i="3"/>
  <c r="F859" i="3"/>
  <c r="G859" i="3"/>
  <c r="H859" i="3"/>
  <c r="I859" i="3"/>
  <c r="J859" i="3"/>
  <c r="K859" i="3"/>
  <c r="B860" i="3"/>
  <c r="C860" i="3"/>
  <c r="D860" i="3"/>
  <c r="E860" i="3"/>
  <c r="F860" i="3"/>
  <c r="G860" i="3"/>
  <c r="H860" i="3"/>
  <c r="I860" i="3"/>
  <c r="J860" i="3"/>
  <c r="K860" i="3"/>
  <c r="B861" i="3"/>
  <c r="C861" i="3"/>
  <c r="D861" i="3"/>
  <c r="E861" i="3"/>
  <c r="F861" i="3"/>
  <c r="G861" i="3"/>
  <c r="H861" i="3"/>
  <c r="I861" i="3"/>
  <c r="J861" i="3"/>
  <c r="K861" i="3"/>
  <c r="B862" i="3"/>
  <c r="C862" i="3"/>
  <c r="D862" i="3"/>
  <c r="E862" i="3"/>
  <c r="F862" i="3"/>
  <c r="G862" i="3"/>
  <c r="H862" i="3"/>
  <c r="I862" i="3"/>
  <c r="J862" i="3"/>
  <c r="K862" i="3"/>
  <c r="B863" i="3"/>
  <c r="C863" i="3"/>
  <c r="D863" i="3"/>
  <c r="E863" i="3"/>
  <c r="F863" i="3"/>
  <c r="G863" i="3"/>
  <c r="H863" i="3"/>
  <c r="I863" i="3"/>
  <c r="J863" i="3"/>
  <c r="K863" i="3"/>
  <c r="B864" i="3"/>
  <c r="C864" i="3"/>
  <c r="D864" i="3"/>
  <c r="E864" i="3"/>
  <c r="F864" i="3"/>
  <c r="G864" i="3"/>
  <c r="H864" i="3"/>
  <c r="I864" i="3"/>
  <c r="J864" i="3"/>
  <c r="K864" i="3"/>
  <c r="B865" i="3"/>
  <c r="C865" i="3"/>
  <c r="D865" i="3"/>
  <c r="E865" i="3"/>
  <c r="F865" i="3"/>
  <c r="G865" i="3"/>
  <c r="H865" i="3"/>
  <c r="I865" i="3"/>
  <c r="J865" i="3"/>
  <c r="K865" i="3"/>
  <c r="B866" i="3"/>
  <c r="C866" i="3"/>
  <c r="D866" i="3"/>
  <c r="E866" i="3"/>
  <c r="F866" i="3"/>
  <c r="G866" i="3"/>
  <c r="H866" i="3"/>
  <c r="I866" i="3"/>
  <c r="J866" i="3"/>
  <c r="K866" i="3"/>
  <c r="B867" i="3"/>
  <c r="C867" i="3"/>
  <c r="D867" i="3"/>
  <c r="E867" i="3"/>
  <c r="F867" i="3"/>
  <c r="G867" i="3"/>
  <c r="H867" i="3"/>
  <c r="I867" i="3"/>
  <c r="J867" i="3"/>
  <c r="K867" i="3"/>
  <c r="B868" i="3"/>
  <c r="C868" i="3"/>
  <c r="D868" i="3"/>
  <c r="E868" i="3"/>
  <c r="F868" i="3"/>
  <c r="G868" i="3"/>
  <c r="H868" i="3"/>
  <c r="I868" i="3"/>
  <c r="J868" i="3"/>
  <c r="K868" i="3"/>
  <c r="B869" i="3"/>
  <c r="C869" i="3"/>
  <c r="D869" i="3"/>
  <c r="E869" i="3"/>
  <c r="F869" i="3"/>
  <c r="G869" i="3"/>
  <c r="H869" i="3"/>
  <c r="I869" i="3"/>
  <c r="J869" i="3"/>
  <c r="K869" i="3"/>
  <c r="B870" i="3"/>
  <c r="C870" i="3"/>
  <c r="D870" i="3"/>
  <c r="E870" i="3"/>
  <c r="F870" i="3"/>
  <c r="G870" i="3"/>
  <c r="H870" i="3"/>
  <c r="I870" i="3"/>
  <c r="J870" i="3"/>
  <c r="K870" i="3"/>
  <c r="B871" i="3"/>
  <c r="C871" i="3"/>
  <c r="D871" i="3"/>
  <c r="E871" i="3"/>
  <c r="F871" i="3"/>
  <c r="G871" i="3"/>
  <c r="H871" i="3"/>
  <c r="I871" i="3"/>
  <c r="J871" i="3"/>
  <c r="K871" i="3"/>
  <c r="B872" i="3"/>
  <c r="C872" i="3"/>
  <c r="D872" i="3"/>
  <c r="E872" i="3"/>
  <c r="F872" i="3"/>
  <c r="G872" i="3"/>
  <c r="H872" i="3"/>
  <c r="I872" i="3"/>
  <c r="J872" i="3"/>
  <c r="K872" i="3"/>
  <c r="B873" i="3"/>
  <c r="C873" i="3"/>
  <c r="D873" i="3"/>
  <c r="E873" i="3"/>
  <c r="F873" i="3"/>
  <c r="G873" i="3"/>
  <c r="H873" i="3"/>
  <c r="I873" i="3"/>
  <c r="J873" i="3"/>
  <c r="K873" i="3"/>
  <c r="B874" i="3"/>
  <c r="C874" i="3"/>
  <c r="D874" i="3"/>
  <c r="E874" i="3"/>
  <c r="F874" i="3"/>
  <c r="G874" i="3"/>
  <c r="H874" i="3"/>
  <c r="I874" i="3"/>
  <c r="J874" i="3"/>
  <c r="K874" i="3"/>
  <c r="B875" i="3"/>
  <c r="C875" i="3"/>
  <c r="D875" i="3"/>
  <c r="E875" i="3"/>
  <c r="F875" i="3"/>
  <c r="G875" i="3"/>
  <c r="H875" i="3"/>
  <c r="I875" i="3"/>
  <c r="J875" i="3"/>
  <c r="K875" i="3"/>
  <c r="B876" i="3"/>
  <c r="C876" i="3"/>
  <c r="D876" i="3"/>
  <c r="E876" i="3"/>
  <c r="F876" i="3"/>
  <c r="G876" i="3"/>
  <c r="H876" i="3"/>
  <c r="I876" i="3"/>
  <c r="J876" i="3"/>
  <c r="K876" i="3"/>
  <c r="B877" i="3"/>
  <c r="C877" i="3"/>
  <c r="D877" i="3"/>
  <c r="E877" i="3"/>
  <c r="F877" i="3"/>
  <c r="G877" i="3"/>
  <c r="H877" i="3"/>
  <c r="I877" i="3"/>
  <c r="J877" i="3"/>
  <c r="K877" i="3"/>
  <c r="B878" i="3"/>
  <c r="C878" i="3"/>
  <c r="D878" i="3"/>
  <c r="E878" i="3"/>
  <c r="F878" i="3"/>
  <c r="G878" i="3"/>
  <c r="H878" i="3"/>
  <c r="I878" i="3"/>
  <c r="J878" i="3"/>
  <c r="K878" i="3"/>
  <c r="B879" i="3"/>
  <c r="C879" i="3"/>
  <c r="D879" i="3"/>
  <c r="E879" i="3"/>
  <c r="F879" i="3"/>
  <c r="G879" i="3"/>
  <c r="H879" i="3"/>
  <c r="I879" i="3"/>
  <c r="J879" i="3"/>
  <c r="K879" i="3"/>
  <c r="B880" i="3"/>
  <c r="C880" i="3"/>
  <c r="D880" i="3"/>
  <c r="E880" i="3"/>
  <c r="F880" i="3"/>
  <c r="G880" i="3"/>
  <c r="H880" i="3"/>
  <c r="I880" i="3"/>
  <c r="J880" i="3"/>
  <c r="K880" i="3"/>
  <c r="B881" i="3"/>
  <c r="C881" i="3"/>
  <c r="D881" i="3"/>
  <c r="E881" i="3"/>
  <c r="F881" i="3"/>
  <c r="G881" i="3"/>
  <c r="H881" i="3"/>
  <c r="I881" i="3"/>
  <c r="J881" i="3"/>
  <c r="K881" i="3"/>
  <c r="B882" i="3"/>
  <c r="C882" i="3"/>
  <c r="D882" i="3"/>
  <c r="E882" i="3"/>
  <c r="F882" i="3"/>
  <c r="G882" i="3"/>
  <c r="H882" i="3"/>
  <c r="I882" i="3"/>
  <c r="J882" i="3"/>
  <c r="K882" i="3"/>
  <c r="B883" i="3"/>
  <c r="C883" i="3"/>
  <c r="D883" i="3"/>
  <c r="E883" i="3"/>
  <c r="F883" i="3"/>
  <c r="G883" i="3"/>
  <c r="H883" i="3"/>
  <c r="I883" i="3"/>
  <c r="J883" i="3"/>
  <c r="K883" i="3"/>
  <c r="B884" i="3"/>
  <c r="C884" i="3"/>
  <c r="D884" i="3"/>
  <c r="E884" i="3"/>
  <c r="F884" i="3"/>
  <c r="G884" i="3"/>
  <c r="H884" i="3"/>
  <c r="I884" i="3"/>
  <c r="J884" i="3"/>
  <c r="K884" i="3"/>
  <c r="B885" i="3"/>
  <c r="C885" i="3"/>
  <c r="D885" i="3"/>
  <c r="E885" i="3"/>
  <c r="F885" i="3"/>
  <c r="G885" i="3"/>
  <c r="H885" i="3"/>
  <c r="I885" i="3"/>
  <c r="J885" i="3"/>
  <c r="K885" i="3"/>
  <c r="B886" i="3"/>
  <c r="C886" i="3"/>
  <c r="D886" i="3"/>
  <c r="E886" i="3"/>
  <c r="F886" i="3"/>
  <c r="G886" i="3"/>
  <c r="H886" i="3"/>
  <c r="I886" i="3"/>
  <c r="J886" i="3"/>
  <c r="K886" i="3"/>
  <c r="B887" i="3"/>
  <c r="C887" i="3"/>
  <c r="D887" i="3"/>
  <c r="E887" i="3"/>
  <c r="F887" i="3"/>
  <c r="G887" i="3"/>
  <c r="H887" i="3"/>
  <c r="I887" i="3"/>
  <c r="J887" i="3"/>
  <c r="K887" i="3"/>
  <c r="B888" i="3"/>
  <c r="C888" i="3"/>
  <c r="D888" i="3"/>
  <c r="E888" i="3"/>
  <c r="F888" i="3"/>
  <c r="G888" i="3"/>
  <c r="H888" i="3"/>
  <c r="I888" i="3"/>
  <c r="J888" i="3"/>
  <c r="K888" i="3"/>
  <c r="B889" i="3"/>
  <c r="C889" i="3"/>
  <c r="D889" i="3"/>
  <c r="E889" i="3"/>
  <c r="F889" i="3"/>
  <c r="G889" i="3"/>
  <c r="H889" i="3"/>
  <c r="I889" i="3"/>
  <c r="J889" i="3"/>
  <c r="K889" i="3"/>
  <c r="B890" i="3"/>
  <c r="C890" i="3"/>
  <c r="D890" i="3"/>
  <c r="E890" i="3"/>
  <c r="F890" i="3"/>
  <c r="G890" i="3"/>
  <c r="H890" i="3"/>
  <c r="I890" i="3"/>
  <c r="J890" i="3"/>
  <c r="K890" i="3"/>
  <c r="B891" i="3"/>
  <c r="C891" i="3"/>
  <c r="D891" i="3"/>
  <c r="E891" i="3"/>
  <c r="F891" i="3"/>
  <c r="G891" i="3"/>
  <c r="H891" i="3"/>
  <c r="I891" i="3"/>
  <c r="J891" i="3"/>
  <c r="K891" i="3"/>
  <c r="B892" i="3"/>
  <c r="C892" i="3"/>
  <c r="D892" i="3"/>
  <c r="E892" i="3"/>
  <c r="F892" i="3"/>
  <c r="G892" i="3"/>
  <c r="H892" i="3"/>
  <c r="I892" i="3"/>
  <c r="J892" i="3"/>
  <c r="K892" i="3"/>
  <c r="B893" i="3"/>
  <c r="C893" i="3"/>
  <c r="D893" i="3"/>
  <c r="E893" i="3"/>
  <c r="F893" i="3"/>
  <c r="G893" i="3"/>
  <c r="H893" i="3"/>
  <c r="I893" i="3"/>
  <c r="J893" i="3"/>
  <c r="K893" i="3"/>
  <c r="B894" i="3"/>
  <c r="C894" i="3"/>
  <c r="D894" i="3"/>
  <c r="E894" i="3"/>
  <c r="F894" i="3"/>
  <c r="G894" i="3"/>
  <c r="H894" i="3"/>
  <c r="I894" i="3"/>
  <c r="J894" i="3"/>
  <c r="K894" i="3"/>
  <c r="B895" i="3"/>
  <c r="C895" i="3"/>
  <c r="D895" i="3"/>
  <c r="E895" i="3"/>
  <c r="F895" i="3"/>
  <c r="G895" i="3"/>
  <c r="H895" i="3"/>
  <c r="I895" i="3"/>
  <c r="J895" i="3"/>
  <c r="K895" i="3"/>
  <c r="B896" i="3"/>
  <c r="C896" i="3"/>
  <c r="D896" i="3"/>
  <c r="E896" i="3"/>
  <c r="F896" i="3"/>
  <c r="G896" i="3"/>
  <c r="H896" i="3"/>
  <c r="I896" i="3"/>
  <c r="J896" i="3"/>
  <c r="K896" i="3"/>
  <c r="B897" i="3"/>
  <c r="C897" i="3"/>
  <c r="D897" i="3"/>
  <c r="E897" i="3"/>
  <c r="F897" i="3"/>
  <c r="G897" i="3"/>
  <c r="H897" i="3"/>
  <c r="I897" i="3"/>
  <c r="J897" i="3"/>
  <c r="K897" i="3"/>
  <c r="B898" i="3"/>
  <c r="C898" i="3"/>
  <c r="D898" i="3"/>
  <c r="E898" i="3"/>
  <c r="F898" i="3"/>
  <c r="G898" i="3"/>
  <c r="H898" i="3"/>
  <c r="I898" i="3"/>
  <c r="J898" i="3"/>
  <c r="K898" i="3"/>
  <c r="B899" i="3"/>
  <c r="C899" i="3"/>
  <c r="D899" i="3"/>
  <c r="E899" i="3"/>
  <c r="F899" i="3"/>
  <c r="G899" i="3"/>
  <c r="H899" i="3"/>
  <c r="I899" i="3"/>
  <c r="J899" i="3"/>
  <c r="K899" i="3"/>
  <c r="B900" i="3"/>
  <c r="C900" i="3"/>
  <c r="D900" i="3"/>
  <c r="E900" i="3"/>
  <c r="F900" i="3"/>
  <c r="G900" i="3"/>
  <c r="H900" i="3"/>
  <c r="I900" i="3"/>
  <c r="J900" i="3"/>
  <c r="K900" i="3"/>
  <c r="B901" i="3"/>
  <c r="C901" i="3"/>
  <c r="D901" i="3"/>
  <c r="E901" i="3"/>
  <c r="F901" i="3"/>
  <c r="G901" i="3"/>
  <c r="H901" i="3"/>
  <c r="I901" i="3"/>
  <c r="J901" i="3"/>
  <c r="K901" i="3"/>
  <c r="B902" i="3"/>
  <c r="C902" i="3"/>
  <c r="D902" i="3"/>
  <c r="E902" i="3"/>
  <c r="F902" i="3"/>
  <c r="G902" i="3"/>
  <c r="H902" i="3"/>
  <c r="I902" i="3"/>
  <c r="J902" i="3"/>
  <c r="K902" i="3"/>
  <c r="B903" i="3"/>
  <c r="C903" i="3"/>
  <c r="D903" i="3"/>
  <c r="E903" i="3"/>
  <c r="F903" i="3"/>
  <c r="G903" i="3"/>
  <c r="H903" i="3"/>
  <c r="I903" i="3"/>
  <c r="J903" i="3"/>
  <c r="K903" i="3"/>
  <c r="B904" i="3"/>
  <c r="C904" i="3"/>
  <c r="D904" i="3"/>
  <c r="E904" i="3"/>
  <c r="F904" i="3"/>
  <c r="G904" i="3"/>
  <c r="H904" i="3"/>
  <c r="I904" i="3"/>
  <c r="J904" i="3"/>
  <c r="K904" i="3"/>
  <c r="B905" i="3"/>
  <c r="C905" i="3"/>
  <c r="D905" i="3"/>
  <c r="E905" i="3"/>
  <c r="F905" i="3"/>
  <c r="G905" i="3"/>
  <c r="H905" i="3"/>
  <c r="I905" i="3"/>
  <c r="J905" i="3"/>
  <c r="K905" i="3"/>
  <c r="B906" i="3"/>
  <c r="C906" i="3"/>
  <c r="D906" i="3"/>
  <c r="E906" i="3"/>
  <c r="F906" i="3"/>
  <c r="G906" i="3"/>
  <c r="H906" i="3"/>
  <c r="I906" i="3"/>
  <c r="J906" i="3"/>
  <c r="K906" i="3"/>
  <c r="B907" i="3"/>
  <c r="C907" i="3"/>
  <c r="D907" i="3"/>
  <c r="E907" i="3"/>
  <c r="F907" i="3"/>
  <c r="G907" i="3"/>
  <c r="H907" i="3"/>
  <c r="I907" i="3"/>
  <c r="J907" i="3"/>
  <c r="K907" i="3"/>
  <c r="B908" i="3"/>
  <c r="C908" i="3"/>
  <c r="D908" i="3"/>
  <c r="E908" i="3"/>
  <c r="F908" i="3"/>
  <c r="G908" i="3"/>
  <c r="H908" i="3"/>
  <c r="I908" i="3"/>
  <c r="J908" i="3"/>
  <c r="K908" i="3"/>
  <c r="B909" i="3"/>
  <c r="C909" i="3"/>
  <c r="D909" i="3"/>
  <c r="E909" i="3"/>
  <c r="F909" i="3"/>
  <c r="G909" i="3"/>
  <c r="H909" i="3"/>
  <c r="I909" i="3"/>
  <c r="J909" i="3"/>
  <c r="K909" i="3"/>
  <c r="B910" i="3"/>
  <c r="C910" i="3"/>
  <c r="D910" i="3"/>
  <c r="E910" i="3"/>
  <c r="F910" i="3"/>
  <c r="G910" i="3"/>
  <c r="H910" i="3"/>
  <c r="I910" i="3"/>
  <c r="J910" i="3"/>
  <c r="K910" i="3"/>
  <c r="B911" i="3"/>
  <c r="C911" i="3"/>
  <c r="D911" i="3"/>
  <c r="E911" i="3"/>
  <c r="F911" i="3"/>
  <c r="G911" i="3"/>
  <c r="H911" i="3"/>
  <c r="I911" i="3"/>
  <c r="J911" i="3"/>
  <c r="K911" i="3"/>
  <c r="B912" i="3"/>
  <c r="C912" i="3"/>
  <c r="D912" i="3"/>
  <c r="E912" i="3"/>
  <c r="F912" i="3"/>
  <c r="G912" i="3"/>
  <c r="H912" i="3"/>
  <c r="I912" i="3"/>
  <c r="J912" i="3"/>
  <c r="K912" i="3"/>
  <c r="B913" i="3"/>
  <c r="C913" i="3"/>
  <c r="D913" i="3"/>
  <c r="E913" i="3"/>
  <c r="F913" i="3"/>
  <c r="G913" i="3"/>
  <c r="H913" i="3"/>
  <c r="I913" i="3"/>
  <c r="J913" i="3"/>
  <c r="K913" i="3"/>
  <c r="B914" i="3"/>
  <c r="C914" i="3"/>
  <c r="D914" i="3"/>
  <c r="E914" i="3"/>
  <c r="F914" i="3"/>
  <c r="G914" i="3"/>
  <c r="H914" i="3"/>
  <c r="I914" i="3"/>
  <c r="J914" i="3"/>
  <c r="K914" i="3"/>
  <c r="B915" i="3"/>
  <c r="C915" i="3"/>
  <c r="D915" i="3"/>
  <c r="E915" i="3"/>
  <c r="F915" i="3"/>
  <c r="G915" i="3"/>
  <c r="H915" i="3"/>
  <c r="I915" i="3"/>
  <c r="J915" i="3"/>
  <c r="K915" i="3"/>
  <c r="B916" i="3"/>
  <c r="C916" i="3"/>
  <c r="D916" i="3"/>
  <c r="E916" i="3"/>
  <c r="F916" i="3"/>
  <c r="G916" i="3"/>
  <c r="H916" i="3"/>
  <c r="I916" i="3"/>
  <c r="J916" i="3"/>
  <c r="K916" i="3"/>
  <c r="B917" i="3"/>
  <c r="C917" i="3"/>
  <c r="D917" i="3"/>
  <c r="E917" i="3"/>
  <c r="F917" i="3"/>
  <c r="G917" i="3"/>
  <c r="H917" i="3"/>
  <c r="I917" i="3"/>
  <c r="J917" i="3"/>
  <c r="K917" i="3"/>
  <c r="B918" i="3"/>
  <c r="C918" i="3"/>
  <c r="D918" i="3"/>
  <c r="E918" i="3"/>
  <c r="F918" i="3"/>
  <c r="G918" i="3"/>
  <c r="H918" i="3"/>
  <c r="I918" i="3"/>
  <c r="J918" i="3"/>
  <c r="K918" i="3"/>
  <c r="B919" i="3"/>
  <c r="C919" i="3"/>
  <c r="D919" i="3"/>
  <c r="E919" i="3"/>
  <c r="F919" i="3"/>
  <c r="G919" i="3"/>
  <c r="H919" i="3"/>
  <c r="I919" i="3"/>
  <c r="J919" i="3"/>
  <c r="K919" i="3"/>
  <c r="B920" i="3"/>
  <c r="C920" i="3"/>
  <c r="D920" i="3"/>
  <c r="E920" i="3"/>
  <c r="F920" i="3"/>
  <c r="G920" i="3"/>
  <c r="H920" i="3"/>
  <c r="I920" i="3"/>
  <c r="J920" i="3"/>
  <c r="K920" i="3"/>
  <c r="B921" i="3"/>
  <c r="C921" i="3"/>
  <c r="D921" i="3"/>
  <c r="E921" i="3"/>
  <c r="F921" i="3"/>
  <c r="G921" i="3"/>
  <c r="H921" i="3"/>
  <c r="I921" i="3"/>
  <c r="J921" i="3"/>
  <c r="K921" i="3"/>
  <c r="B922" i="3"/>
  <c r="C922" i="3"/>
  <c r="D922" i="3"/>
  <c r="E922" i="3"/>
  <c r="F922" i="3"/>
  <c r="G922" i="3"/>
  <c r="H922" i="3"/>
  <c r="I922" i="3"/>
  <c r="J922" i="3"/>
  <c r="K922" i="3"/>
  <c r="B923" i="3"/>
  <c r="C923" i="3"/>
  <c r="D923" i="3"/>
  <c r="E923" i="3"/>
  <c r="F923" i="3"/>
  <c r="G923" i="3"/>
  <c r="H923" i="3"/>
  <c r="I923" i="3"/>
  <c r="J923" i="3"/>
  <c r="K923" i="3"/>
  <c r="B924" i="3"/>
  <c r="C924" i="3"/>
  <c r="D924" i="3"/>
  <c r="E924" i="3"/>
  <c r="F924" i="3"/>
  <c r="G924" i="3"/>
  <c r="H924" i="3"/>
  <c r="I924" i="3"/>
  <c r="J924" i="3"/>
  <c r="K924" i="3"/>
  <c r="B925" i="3"/>
  <c r="C925" i="3"/>
  <c r="D925" i="3"/>
  <c r="E925" i="3"/>
  <c r="F925" i="3"/>
  <c r="G925" i="3"/>
  <c r="H925" i="3"/>
  <c r="I925" i="3"/>
  <c r="J925" i="3"/>
  <c r="K925" i="3"/>
  <c r="B926" i="3"/>
  <c r="C926" i="3"/>
  <c r="D926" i="3"/>
  <c r="E926" i="3"/>
  <c r="F926" i="3"/>
  <c r="G926" i="3"/>
  <c r="H926" i="3"/>
  <c r="I926" i="3"/>
  <c r="J926" i="3"/>
  <c r="K926" i="3"/>
  <c r="B927" i="3"/>
  <c r="C927" i="3"/>
  <c r="D927" i="3"/>
  <c r="E927" i="3"/>
  <c r="F927" i="3"/>
  <c r="G927" i="3"/>
  <c r="H927" i="3"/>
  <c r="I927" i="3"/>
  <c r="J927" i="3"/>
  <c r="K927" i="3"/>
  <c r="B928" i="3"/>
  <c r="C928" i="3"/>
  <c r="D928" i="3"/>
  <c r="E928" i="3"/>
  <c r="F928" i="3"/>
  <c r="G928" i="3"/>
  <c r="H928" i="3"/>
  <c r="I928" i="3"/>
  <c r="J928" i="3"/>
  <c r="K928" i="3"/>
  <c r="B929" i="3"/>
  <c r="C929" i="3"/>
  <c r="D929" i="3"/>
  <c r="E929" i="3"/>
  <c r="F929" i="3"/>
  <c r="G929" i="3"/>
  <c r="H929" i="3"/>
  <c r="I929" i="3"/>
  <c r="J929" i="3"/>
  <c r="K929" i="3"/>
  <c r="B930" i="3"/>
  <c r="C930" i="3"/>
  <c r="D930" i="3"/>
  <c r="E930" i="3"/>
  <c r="F930" i="3"/>
  <c r="G930" i="3"/>
  <c r="H930" i="3"/>
  <c r="I930" i="3"/>
  <c r="J930" i="3"/>
  <c r="K930" i="3"/>
  <c r="B931" i="3"/>
  <c r="C931" i="3"/>
  <c r="D931" i="3"/>
  <c r="E931" i="3"/>
  <c r="F931" i="3"/>
  <c r="G931" i="3"/>
  <c r="H931" i="3"/>
  <c r="I931" i="3"/>
  <c r="J931" i="3"/>
  <c r="K931" i="3"/>
  <c r="B932" i="3"/>
  <c r="C932" i="3"/>
  <c r="D932" i="3"/>
  <c r="E932" i="3"/>
  <c r="F932" i="3"/>
  <c r="G932" i="3"/>
  <c r="H932" i="3"/>
  <c r="I932" i="3"/>
  <c r="J932" i="3"/>
  <c r="K932" i="3"/>
  <c r="B933" i="3"/>
  <c r="C933" i="3"/>
  <c r="D933" i="3"/>
  <c r="E933" i="3"/>
  <c r="F933" i="3"/>
  <c r="G933" i="3"/>
  <c r="H933" i="3"/>
  <c r="I933" i="3"/>
  <c r="J933" i="3"/>
  <c r="K933" i="3"/>
  <c r="B934" i="3"/>
  <c r="C934" i="3"/>
  <c r="D934" i="3"/>
  <c r="E934" i="3"/>
  <c r="F934" i="3"/>
  <c r="G934" i="3"/>
  <c r="H934" i="3"/>
  <c r="I934" i="3"/>
  <c r="J934" i="3"/>
  <c r="K934" i="3"/>
  <c r="B935" i="3"/>
  <c r="C935" i="3"/>
  <c r="D935" i="3"/>
  <c r="E935" i="3"/>
  <c r="F935" i="3"/>
  <c r="G935" i="3"/>
  <c r="H935" i="3"/>
  <c r="I935" i="3"/>
  <c r="J935" i="3"/>
  <c r="K935" i="3"/>
  <c r="B936" i="3"/>
  <c r="C936" i="3"/>
  <c r="D936" i="3"/>
  <c r="E936" i="3"/>
  <c r="F936" i="3"/>
  <c r="G936" i="3"/>
  <c r="H936" i="3"/>
  <c r="I936" i="3"/>
  <c r="J936" i="3"/>
  <c r="K936" i="3"/>
  <c r="B937" i="3"/>
  <c r="C937" i="3"/>
  <c r="D937" i="3"/>
  <c r="E937" i="3"/>
  <c r="F937" i="3"/>
  <c r="G937" i="3"/>
  <c r="H937" i="3"/>
  <c r="I937" i="3"/>
  <c r="J937" i="3"/>
  <c r="K937" i="3"/>
  <c r="B938" i="3"/>
  <c r="C938" i="3"/>
  <c r="D938" i="3"/>
  <c r="E938" i="3"/>
  <c r="F938" i="3"/>
  <c r="G938" i="3"/>
  <c r="H938" i="3"/>
  <c r="I938" i="3"/>
  <c r="J938" i="3"/>
  <c r="K938" i="3"/>
  <c r="B939" i="3"/>
  <c r="C939" i="3"/>
  <c r="D939" i="3"/>
  <c r="E939" i="3"/>
  <c r="F939" i="3"/>
  <c r="G939" i="3"/>
  <c r="H939" i="3"/>
  <c r="I939" i="3"/>
  <c r="J939" i="3"/>
  <c r="K939" i="3"/>
  <c r="B940" i="3"/>
  <c r="C940" i="3"/>
  <c r="D940" i="3"/>
  <c r="E940" i="3"/>
  <c r="F940" i="3"/>
  <c r="G940" i="3"/>
  <c r="H940" i="3"/>
  <c r="I940" i="3"/>
  <c r="J940" i="3"/>
  <c r="K940" i="3"/>
  <c r="B941" i="3"/>
  <c r="C941" i="3"/>
  <c r="D941" i="3"/>
  <c r="E941" i="3"/>
  <c r="F941" i="3"/>
  <c r="G941" i="3"/>
  <c r="H941" i="3"/>
  <c r="I941" i="3"/>
  <c r="J941" i="3"/>
  <c r="K941" i="3"/>
  <c r="B942" i="3"/>
  <c r="C942" i="3"/>
  <c r="D942" i="3"/>
  <c r="E942" i="3"/>
  <c r="F942" i="3"/>
  <c r="G942" i="3"/>
  <c r="H942" i="3"/>
  <c r="I942" i="3"/>
  <c r="J942" i="3"/>
  <c r="K942" i="3"/>
  <c r="B943" i="3"/>
  <c r="C943" i="3"/>
  <c r="D943" i="3"/>
  <c r="E943" i="3"/>
  <c r="F943" i="3"/>
  <c r="G943" i="3"/>
  <c r="H943" i="3"/>
  <c r="I943" i="3"/>
  <c r="J943" i="3"/>
  <c r="K943" i="3"/>
  <c r="B944" i="3"/>
  <c r="C944" i="3"/>
  <c r="D944" i="3"/>
  <c r="E944" i="3"/>
  <c r="F944" i="3"/>
  <c r="G944" i="3"/>
  <c r="H944" i="3"/>
  <c r="I944" i="3"/>
  <c r="J944" i="3"/>
  <c r="K944" i="3"/>
  <c r="B945" i="3"/>
  <c r="C945" i="3"/>
  <c r="D945" i="3"/>
  <c r="E945" i="3"/>
  <c r="F945" i="3"/>
  <c r="G945" i="3"/>
  <c r="H945" i="3"/>
  <c r="I945" i="3"/>
  <c r="J945" i="3"/>
  <c r="K945" i="3"/>
  <c r="B946" i="3"/>
  <c r="C946" i="3"/>
  <c r="D946" i="3"/>
  <c r="E946" i="3"/>
  <c r="F946" i="3"/>
  <c r="G946" i="3"/>
  <c r="H946" i="3"/>
  <c r="I946" i="3"/>
  <c r="J946" i="3"/>
  <c r="K946" i="3"/>
  <c r="B947" i="3"/>
  <c r="C947" i="3"/>
  <c r="D947" i="3"/>
  <c r="E947" i="3"/>
  <c r="F947" i="3"/>
  <c r="G947" i="3"/>
  <c r="H947" i="3"/>
  <c r="I947" i="3"/>
  <c r="J947" i="3"/>
  <c r="K947" i="3"/>
  <c r="B948" i="3"/>
  <c r="C948" i="3"/>
  <c r="D948" i="3"/>
  <c r="E948" i="3"/>
  <c r="F948" i="3"/>
  <c r="G948" i="3"/>
  <c r="H948" i="3"/>
  <c r="I948" i="3"/>
  <c r="J948" i="3"/>
  <c r="K948" i="3"/>
  <c r="B949" i="3"/>
  <c r="C949" i="3"/>
  <c r="D949" i="3"/>
  <c r="E949" i="3"/>
  <c r="F949" i="3"/>
  <c r="G949" i="3"/>
  <c r="H949" i="3"/>
  <c r="I949" i="3"/>
  <c r="J949" i="3"/>
  <c r="K949" i="3"/>
  <c r="B950" i="3"/>
  <c r="C950" i="3"/>
  <c r="D950" i="3"/>
  <c r="E950" i="3"/>
  <c r="F950" i="3"/>
  <c r="G950" i="3"/>
  <c r="H950" i="3"/>
  <c r="I950" i="3"/>
  <c r="J950" i="3"/>
  <c r="K950" i="3"/>
  <c r="B951" i="3"/>
  <c r="C951" i="3"/>
  <c r="D951" i="3"/>
  <c r="E951" i="3"/>
  <c r="F951" i="3"/>
  <c r="G951" i="3"/>
  <c r="H951" i="3"/>
  <c r="I951" i="3"/>
  <c r="J951" i="3"/>
  <c r="K951" i="3"/>
  <c r="B952" i="3"/>
  <c r="C952" i="3"/>
  <c r="D952" i="3"/>
  <c r="E952" i="3"/>
  <c r="F952" i="3"/>
  <c r="G952" i="3"/>
  <c r="H952" i="3"/>
  <c r="I952" i="3"/>
  <c r="J952" i="3"/>
  <c r="K952" i="3"/>
  <c r="B953" i="3"/>
  <c r="C953" i="3"/>
  <c r="D953" i="3"/>
  <c r="E953" i="3"/>
  <c r="F953" i="3"/>
  <c r="G953" i="3"/>
  <c r="H953" i="3"/>
  <c r="I953" i="3"/>
  <c r="J953" i="3"/>
  <c r="K953" i="3"/>
  <c r="B954" i="3"/>
  <c r="C954" i="3"/>
  <c r="D954" i="3"/>
  <c r="E954" i="3"/>
  <c r="F954" i="3"/>
  <c r="G954" i="3"/>
  <c r="H954" i="3"/>
  <c r="I954" i="3"/>
  <c r="J954" i="3"/>
  <c r="K954" i="3"/>
  <c r="B955" i="3"/>
  <c r="C955" i="3"/>
  <c r="D955" i="3"/>
  <c r="E955" i="3"/>
  <c r="F955" i="3"/>
  <c r="G955" i="3"/>
  <c r="H955" i="3"/>
  <c r="I955" i="3"/>
  <c r="J955" i="3"/>
  <c r="K955" i="3"/>
  <c r="B956" i="3"/>
  <c r="C956" i="3"/>
  <c r="D956" i="3"/>
  <c r="E956" i="3"/>
  <c r="F956" i="3"/>
  <c r="G956" i="3"/>
  <c r="H956" i="3"/>
  <c r="I956" i="3"/>
  <c r="J956" i="3"/>
  <c r="K956" i="3"/>
  <c r="B957" i="3"/>
  <c r="C957" i="3"/>
  <c r="D957" i="3"/>
  <c r="E957" i="3"/>
  <c r="F957" i="3"/>
  <c r="G957" i="3"/>
  <c r="H957" i="3"/>
  <c r="I957" i="3"/>
  <c r="J957" i="3"/>
  <c r="K957" i="3"/>
  <c r="B958" i="3"/>
  <c r="C958" i="3"/>
  <c r="D958" i="3"/>
  <c r="E958" i="3"/>
  <c r="F958" i="3"/>
  <c r="G958" i="3"/>
  <c r="H958" i="3"/>
  <c r="I958" i="3"/>
  <c r="J958" i="3"/>
  <c r="K958" i="3"/>
  <c r="B959" i="3"/>
  <c r="C959" i="3"/>
  <c r="D959" i="3"/>
  <c r="E959" i="3"/>
  <c r="F959" i="3"/>
  <c r="G959" i="3"/>
  <c r="H959" i="3"/>
  <c r="I959" i="3"/>
  <c r="J959" i="3"/>
  <c r="K959" i="3"/>
  <c r="B960" i="3"/>
  <c r="C960" i="3"/>
  <c r="D960" i="3"/>
  <c r="E960" i="3"/>
  <c r="F960" i="3"/>
  <c r="G960" i="3"/>
  <c r="H960" i="3"/>
  <c r="I960" i="3"/>
  <c r="J960" i="3"/>
  <c r="K960" i="3"/>
  <c r="B961" i="3"/>
  <c r="C961" i="3"/>
  <c r="D961" i="3"/>
  <c r="E961" i="3"/>
  <c r="F961" i="3"/>
  <c r="G961" i="3"/>
  <c r="H961" i="3"/>
  <c r="I961" i="3"/>
  <c r="J961" i="3"/>
  <c r="K961" i="3"/>
  <c r="B962" i="3"/>
  <c r="C962" i="3"/>
  <c r="D962" i="3"/>
  <c r="E962" i="3"/>
  <c r="F962" i="3"/>
  <c r="G962" i="3"/>
  <c r="H962" i="3"/>
  <c r="I962" i="3"/>
  <c r="J962" i="3"/>
  <c r="K962" i="3"/>
  <c r="B963" i="3"/>
  <c r="C963" i="3"/>
  <c r="D963" i="3"/>
  <c r="E963" i="3"/>
  <c r="F963" i="3"/>
  <c r="G963" i="3"/>
  <c r="H963" i="3"/>
  <c r="I963" i="3"/>
  <c r="J963" i="3"/>
  <c r="K963" i="3"/>
  <c r="B964" i="3"/>
  <c r="C964" i="3"/>
  <c r="D964" i="3"/>
  <c r="E964" i="3"/>
  <c r="F964" i="3"/>
  <c r="G964" i="3"/>
  <c r="H964" i="3"/>
  <c r="I964" i="3"/>
  <c r="J964" i="3"/>
  <c r="K964" i="3"/>
  <c r="B965" i="3"/>
  <c r="C965" i="3"/>
  <c r="D965" i="3"/>
  <c r="E965" i="3"/>
  <c r="F965" i="3"/>
  <c r="G965" i="3"/>
  <c r="H965" i="3"/>
  <c r="I965" i="3"/>
  <c r="J965" i="3"/>
  <c r="K965" i="3"/>
  <c r="B966" i="3"/>
  <c r="C966" i="3"/>
  <c r="D966" i="3"/>
  <c r="E966" i="3"/>
  <c r="F966" i="3"/>
  <c r="G966" i="3"/>
  <c r="H966" i="3"/>
  <c r="I966" i="3"/>
  <c r="J966" i="3"/>
  <c r="K966" i="3"/>
  <c r="B967" i="3"/>
  <c r="C967" i="3"/>
  <c r="D967" i="3"/>
  <c r="E967" i="3"/>
  <c r="F967" i="3"/>
  <c r="G967" i="3"/>
  <c r="H967" i="3"/>
  <c r="I967" i="3"/>
  <c r="J967" i="3"/>
  <c r="K967" i="3"/>
  <c r="B968" i="3"/>
  <c r="C968" i="3"/>
  <c r="D968" i="3"/>
  <c r="E968" i="3"/>
  <c r="F968" i="3"/>
  <c r="G968" i="3"/>
  <c r="H968" i="3"/>
  <c r="I968" i="3"/>
  <c r="J968" i="3"/>
  <c r="K968" i="3"/>
  <c r="B969" i="3"/>
  <c r="C969" i="3"/>
  <c r="D969" i="3"/>
  <c r="E969" i="3"/>
  <c r="F969" i="3"/>
  <c r="G969" i="3"/>
  <c r="H969" i="3"/>
  <c r="I969" i="3"/>
  <c r="J969" i="3"/>
  <c r="K969" i="3"/>
  <c r="B970" i="3"/>
  <c r="C970" i="3"/>
  <c r="D970" i="3"/>
  <c r="E970" i="3"/>
  <c r="F970" i="3"/>
  <c r="G970" i="3"/>
  <c r="H970" i="3"/>
  <c r="I970" i="3"/>
  <c r="J970" i="3"/>
  <c r="K970" i="3"/>
  <c r="B971" i="3"/>
  <c r="C971" i="3"/>
  <c r="D971" i="3"/>
  <c r="E971" i="3"/>
  <c r="F971" i="3"/>
  <c r="G971" i="3"/>
  <c r="H971" i="3"/>
  <c r="I971" i="3"/>
  <c r="J971" i="3"/>
  <c r="K971" i="3"/>
  <c r="B972" i="3"/>
  <c r="C972" i="3"/>
  <c r="D972" i="3"/>
  <c r="E972" i="3"/>
  <c r="F972" i="3"/>
  <c r="G972" i="3"/>
  <c r="H972" i="3"/>
  <c r="I972" i="3"/>
  <c r="J972" i="3"/>
  <c r="K972" i="3"/>
  <c r="B973" i="3"/>
  <c r="C973" i="3"/>
  <c r="D973" i="3"/>
  <c r="E973" i="3"/>
  <c r="F973" i="3"/>
  <c r="G973" i="3"/>
  <c r="H973" i="3"/>
  <c r="I973" i="3"/>
  <c r="J973" i="3"/>
  <c r="K973" i="3"/>
  <c r="B974" i="3"/>
  <c r="C974" i="3"/>
  <c r="D974" i="3"/>
  <c r="E974" i="3"/>
  <c r="F974" i="3"/>
  <c r="G974" i="3"/>
  <c r="H974" i="3"/>
  <c r="I974" i="3"/>
  <c r="J974" i="3"/>
  <c r="K974" i="3"/>
  <c r="B975" i="3"/>
  <c r="C975" i="3"/>
  <c r="D975" i="3"/>
  <c r="E975" i="3"/>
  <c r="F975" i="3"/>
  <c r="G975" i="3"/>
  <c r="H975" i="3"/>
  <c r="I975" i="3"/>
  <c r="J975" i="3"/>
  <c r="K975" i="3"/>
  <c r="B976" i="3"/>
  <c r="C976" i="3"/>
  <c r="D976" i="3"/>
  <c r="E976" i="3"/>
  <c r="F976" i="3"/>
  <c r="G976" i="3"/>
  <c r="H976" i="3"/>
  <c r="I976" i="3"/>
  <c r="J976" i="3"/>
  <c r="K976" i="3"/>
  <c r="B977" i="3"/>
  <c r="C977" i="3"/>
  <c r="D977" i="3"/>
  <c r="E977" i="3"/>
  <c r="F977" i="3"/>
  <c r="G977" i="3"/>
  <c r="H977" i="3"/>
  <c r="I977" i="3"/>
  <c r="J977" i="3"/>
  <c r="K977" i="3"/>
  <c r="B978" i="3"/>
  <c r="C978" i="3"/>
  <c r="D978" i="3"/>
  <c r="E978" i="3"/>
  <c r="F978" i="3"/>
  <c r="G978" i="3"/>
  <c r="H978" i="3"/>
  <c r="I978" i="3"/>
  <c r="J978" i="3"/>
  <c r="K978" i="3"/>
  <c r="B979" i="3"/>
  <c r="C979" i="3"/>
  <c r="D979" i="3"/>
  <c r="E979" i="3"/>
  <c r="F979" i="3"/>
  <c r="G979" i="3"/>
  <c r="H979" i="3"/>
  <c r="I979" i="3"/>
  <c r="J979" i="3"/>
  <c r="K979" i="3"/>
  <c r="B980" i="3"/>
  <c r="C980" i="3"/>
  <c r="D980" i="3"/>
  <c r="E980" i="3"/>
  <c r="F980" i="3"/>
  <c r="G980" i="3"/>
  <c r="H980" i="3"/>
  <c r="I980" i="3"/>
  <c r="J980" i="3"/>
  <c r="K980" i="3"/>
  <c r="B981" i="3"/>
  <c r="C981" i="3"/>
  <c r="D981" i="3"/>
  <c r="E981" i="3"/>
  <c r="F981" i="3"/>
  <c r="G981" i="3"/>
  <c r="H981" i="3"/>
  <c r="I981" i="3"/>
  <c r="J981" i="3"/>
  <c r="K981" i="3"/>
  <c r="B982" i="3"/>
  <c r="C982" i="3"/>
  <c r="D982" i="3"/>
  <c r="E982" i="3"/>
  <c r="F982" i="3"/>
  <c r="G982" i="3"/>
  <c r="H982" i="3"/>
  <c r="I982" i="3"/>
  <c r="J982" i="3"/>
  <c r="K982" i="3"/>
  <c r="B983" i="3"/>
  <c r="C983" i="3"/>
  <c r="D983" i="3"/>
  <c r="E983" i="3"/>
  <c r="F983" i="3"/>
  <c r="G983" i="3"/>
  <c r="H983" i="3"/>
  <c r="I983" i="3"/>
  <c r="J983" i="3"/>
  <c r="K983" i="3"/>
  <c r="B984" i="3"/>
  <c r="C984" i="3"/>
  <c r="D984" i="3"/>
  <c r="E984" i="3"/>
  <c r="F984" i="3"/>
  <c r="G984" i="3"/>
  <c r="H984" i="3"/>
  <c r="I984" i="3"/>
  <c r="J984" i="3"/>
  <c r="K984" i="3"/>
  <c r="B985" i="3"/>
  <c r="C985" i="3"/>
  <c r="D985" i="3"/>
  <c r="E985" i="3"/>
  <c r="F985" i="3"/>
  <c r="G985" i="3"/>
  <c r="H985" i="3"/>
  <c r="I985" i="3"/>
  <c r="J985" i="3"/>
  <c r="K985" i="3"/>
  <c r="B986" i="3"/>
  <c r="C986" i="3"/>
  <c r="D986" i="3"/>
  <c r="E986" i="3"/>
  <c r="F986" i="3"/>
  <c r="G986" i="3"/>
  <c r="H986" i="3"/>
  <c r="I986" i="3"/>
  <c r="J986" i="3"/>
  <c r="K986" i="3"/>
  <c r="B987" i="3"/>
  <c r="C987" i="3"/>
  <c r="D987" i="3"/>
  <c r="E987" i="3"/>
  <c r="F987" i="3"/>
  <c r="G987" i="3"/>
  <c r="H987" i="3"/>
  <c r="I987" i="3"/>
  <c r="J987" i="3"/>
  <c r="K987" i="3"/>
  <c r="B988" i="3"/>
  <c r="C988" i="3"/>
  <c r="D988" i="3"/>
  <c r="E988" i="3"/>
  <c r="F988" i="3"/>
  <c r="G988" i="3"/>
  <c r="H988" i="3"/>
  <c r="I988" i="3"/>
  <c r="J988" i="3"/>
  <c r="K988" i="3"/>
  <c r="B989" i="3"/>
  <c r="C989" i="3"/>
  <c r="D989" i="3"/>
  <c r="E989" i="3"/>
  <c r="F989" i="3"/>
  <c r="G989" i="3"/>
  <c r="H989" i="3"/>
  <c r="I989" i="3"/>
  <c r="J989" i="3"/>
  <c r="K989" i="3"/>
  <c r="B990" i="3"/>
  <c r="C990" i="3"/>
  <c r="D990" i="3"/>
  <c r="E990" i="3"/>
  <c r="F990" i="3"/>
  <c r="G990" i="3"/>
  <c r="H990" i="3"/>
  <c r="I990" i="3"/>
  <c r="J990" i="3"/>
  <c r="K990" i="3"/>
  <c r="B991" i="3"/>
  <c r="C991" i="3"/>
  <c r="D991" i="3"/>
  <c r="E991" i="3"/>
  <c r="F991" i="3"/>
  <c r="G991" i="3"/>
  <c r="H991" i="3"/>
  <c r="I991" i="3"/>
  <c r="J991" i="3"/>
  <c r="K991" i="3"/>
  <c r="B992" i="3"/>
  <c r="C992" i="3"/>
  <c r="D992" i="3"/>
  <c r="E992" i="3"/>
  <c r="F992" i="3"/>
  <c r="G992" i="3"/>
  <c r="H992" i="3"/>
  <c r="I992" i="3"/>
  <c r="J992" i="3"/>
  <c r="K992" i="3"/>
  <c r="B993" i="3"/>
  <c r="C993" i="3"/>
  <c r="D993" i="3"/>
  <c r="E993" i="3"/>
  <c r="F993" i="3"/>
  <c r="G993" i="3"/>
  <c r="H993" i="3"/>
  <c r="I993" i="3"/>
  <c r="J993" i="3"/>
  <c r="K993" i="3"/>
  <c r="B994" i="3"/>
  <c r="C994" i="3"/>
  <c r="D994" i="3"/>
  <c r="E994" i="3"/>
  <c r="F994" i="3"/>
  <c r="G994" i="3"/>
  <c r="H994" i="3"/>
  <c r="I994" i="3"/>
  <c r="J994" i="3"/>
  <c r="K994" i="3"/>
  <c r="B995" i="3"/>
  <c r="C995" i="3"/>
  <c r="D995" i="3"/>
  <c r="E995" i="3"/>
  <c r="F995" i="3"/>
  <c r="G995" i="3"/>
  <c r="H995" i="3"/>
  <c r="I995" i="3"/>
  <c r="J995" i="3"/>
  <c r="K995" i="3"/>
  <c r="B996" i="3"/>
  <c r="C996" i="3"/>
  <c r="D996" i="3"/>
  <c r="E996" i="3"/>
  <c r="F996" i="3"/>
  <c r="G996" i="3"/>
  <c r="H996" i="3"/>
  <c r="I996" i="3"/>
  <c r="J996" i="3"/>
  <c r="K996" i="3"/>
  <c r="B997" i="3"/>
  <c r="C997" i="3"/>
  <c r="D997" i="3"/>
  <c r="E997" i="3"/>
  <c r="F997" i="3"/>
  <c r="G997" i="3"/>
  <c r="H997" i="3"/>
  <c r="I997" i="3"/>
  <c r="J997" i="3"/>
  <c r="K997" i="3"/>
  <c r="B998" i="3"/>
  <c r="C998" i="3"/>
  <c r="D998" i="3"/>
  <c r="E998" i="3"/>
  <c r="F998" i="3"/>
  <c r="G998" i="3"/>
  <c r="H998" i="3"/>
  <c r="I998" i="3"/>
  <c r="J998" i="3"/>
  <c r="K998" i="3"/>
  <c r="B999" i="3"/>
  <c r="C999" i="3"/>
  <c r="D999" i="3"/>
  <c r="E999" i="3"/>
  <c r="F999" i="3"/>
  <c r="G999" i="3"/>
  <c r="H999" i="3"/>
  <c r="I999" i="3"/>
  <c r="J999" i="3"/>
  <c r="K999" i="3"/>
  <c r="B1000" i="3"/>
  <c r="C1000" i="3"/>
  <c r="D1000" i="3"/>
  <c r="E1000" i="3"/>
  <c r="F1000" i="3"/>
  <c r="G1000" i="3"/>
  <c r="H1000" i="3"/>
  <c r="I1000" i="3"/>
  <c r="J1000" i="3"/>
  <c r="K1000" i="3"/>
  <c r="B1001" i="3"/>
  <c r="C1001" i="3"/>
  <c r="D1001" i="3"/>
  <c r="E1001" i="3"/>
  <c r="F1001" i="3"/>
  <c r="G1001" i="3"/>
  <c r="H1001" i="3"/>
  <c r="I1001" i="3"/>
  <c r="J1001" i="3"/>
  <c r="K1001" i="3"/>
  <c r="B1002" i="3"/>
  <c r="C1002" i="3"/>
  <c r="D1002" i="3"/>
  <c r="E1002" i="3"/>
  <c r="F1002" i="3"/>
  <c r="G1002" i="3"/>
  <c r="H1002" i="3"/>
  <c r="I1002" i="3"/>
  <c r="J1002" i="3"/>
  <c r="K1002" i="3"/>
  <c r="B1003" i="3"/>
  <c r="C1003" i="3"/>
  <c r="D1003" i="3"/>
  <c r="E1003" i="3"/>
  <c r="F1003" i="3"/>
  <c r="G1003" i="3"/>
  <c r="H1003" i="3"/>
  <c r="I1003" i="3"/>
  <c r="J1003" i="3"/>
  <c r="K1003" i="3"/>
  <c r="B1004" i="3"/>
  <c r="C1004" i="3"/>
  <c r="D1004" i="3"/>
  <c r="E1004" i="3"/>
  <c r="F1004" i="3"/>
  <c r="G1004" i="3"/>
  <c r="H1004" i="3"/>
  <c r="I1004" i="3"/>
  <c r="J1004" i="3"/>
  <c r="K1004" i="3"/>
  <c r="B1005" i="3"/>
  <c r="C1005" i="3"/>
  <c r="D1005" i="3"/>
  <c r="E1005" i="3"/>
  <c r="F1005" i="3"/>
  <c r="G1005" i="3"/>
  <c r="H1005" i="3"/>
  <c r="I1005" i="3"/>
  <c r="J1005" i="3"/>
  <c r="K1005" i="3"/>
  <c r="B1006" i="3"/>
  <c r="C1006" i="3"/>
  <c r="D1006" i="3"/>
  <c r="E1006" i="3"/>
  <c r="F1006" i="3"/>
  <c r="G1006" i="3"/>
  <c r="H1006" i="3"/>
  <c r="I1006" i="3"/>
  <c r="J1006" i="3"/>
  <c r="K1006" i="3"/>
  <c r="B1007" i="3"/>
  <c r="C1007" i="3"/>
  <c r="D1007" i="3"/>
  <c r="E1007" i="3"/>
  <c r="F1007" i="3"/>
  <c r="G1007" i="3"/>
  <c r="H1007" i="3"/>
  <c r="I1007" i="3"/>
  <c r="J1007" i="3"/>
  <c r="K1007" i="3"/>
  <c r="B1008" i="3"/>
  <c r="C1008" i="3"/>
  <c r="D1008" i="3"/>
  <c r="E1008" i="3"/>
  <c r="F1008" i="3"/>
  <c r="G1008" i="3"/>
  <c r="H1008" i="3"/>
  <c r="I1008" i="3"/>
  <c r="J1008" i="3"/>
  <c r="K1008" i="3"/>
  <c r="B1009" i="3"/>
  <c r="C1009" i="3"/>
  <c r="D1009" i="3"/>
  <c r="E1009" i="3"/>
  <c r="F1009" i="3"/>
  <c r="G1009" i="3"/>
  <c r="H1009" i="3"/>
  <c r="I1009" i="3"/>
  <c r="J1009" i="3"/>
  <c r="K1009" i="3"/>
  <c r="B1010" i="3"/>
  <c r="C1010" i="3"/>
  <c r="D1010" i="3"/>
  <c r="E1010" i="3"/>
  <c r="F1010" i="3"/>
  <c r="G1010" i="3"/>
  <c r="H1010" i="3"/>
  <c r="I1010" i="3"/>
  <c r="J1010" i="3"/>
  <c r="K1010" i="3"/>
  <c r="B1011" i="3"/>
  <c r="C1011" i="3"/>
  <c r="D1011" i="3"/>
  <c r="E1011" i="3"/>
  <c r="F1011" i="3"/>
  <c r="G1011" i="3"/>
  <c r="H1011" i="3"/>
  <c r="I1011" i="3"/>
  <c r="J1011" i="3"/>
  <c r="K1011" i="3"/>
  <c r="B1012" i="3"/>
  <c r="C1012" i="3"/>
  <c r="D1012" i="3"/>
  <c r="E1012" i="3"/>
  <c r="F1012" i="3"/>
  <c r="G1012" i="3"/>
  <c r="H1012" i="3"/>
  <c r="I1012" i="3"/>
  <c r="J1012" i="3"/>
  <c r="K1012" i="3"/>
  <c r="B1013" i="3"/>
  <c r="C1013" i="3"/>
  <c r="D1013" i="3"/>
  <c r="E1013" i="3"/>
  <c r="F1013" i="3"/>
  <c r="G1013" i="3"/>
  <c r="H1013" i="3"/>
  <c r="I1013" i="3"/>
  <c r="J1013" i="3"/>
  <c r="K1013" i="3"/>
  <c r="B1014" i="3"/>
  <c r="C1014" i="3"/>
  <c r="D1014" i="3"/>
  <c r="E1014" i="3"/>
  <c r="F1014" i="3"/>
  <c r="G1014" i="3"/>
  <c r="H1014" i="3"/>
  <c r="I1014" i="3"/>
  <c r="J1014" i="3"/>
  <c r="K1014" i="3"/>
  <c r="B1015" i="3"/>
  <c r="C1015" i="3"/>
  <c r="D1015" i="3"/>
  <c r="E1015" i="3"/>
  <c r="F1015" i="3"/>
  <c r="G1015" i="3"/>
  <c r="H1015" i="3"/>
  <c r="I1015" i="3"/>
  <c r="J1015" i="3"/>
  <c r="K1015" i="3"/>
  <c r="B1016" i="3"/>
  <c r="C1016" i="3"/>
  <c r="D1016" i="3"/>
  <c r="E1016" i="3"/>
  <c r="F1016" i="3"/>
  <c r="G1016" i="3"/>
  <c r="H1016" i="3"/>
  <c r="I1016" i="3"/>
  <c r="J1016" i="3"/>
  <c r="K1016" i="3"/>
  <c r="B1017" i="3"/>
  <c r="C1017" i="3"/>
  <c r="D1017" i="3"/>
  <c r="E1017" i="3"/>
  <c r="F1017" i="3"/>
  <c r="G1017" i="3"/>
  <c r="H1017" i="3"/>
  <c r="I1017" i="3"/>
  <c r="J1017" i="3"/>
  <c r="K1017" i="3"/>
  <c r="B1018" i="3"/>
  <c r="C1018" i="3"/>
  <c r="D1018" i="3"/>
  <c r="E1018" i="3"/>
  <c r="F1018" i="3"/>
  <c r="G1018" i="3"/>
  <c r="H1018" i="3"/>
  <c r="I1018" i="3"/>
  <c r="J1018" i="3"/>
  <c r="K1018" i="3"/>
  <c r="B1019" i="3"/>
  <c r="C1019" i="3"/>
  <c r="D1019" i="3"/>
  <c r="E1019" i="3"/>
  <c r="F1019" i="3"/>
  <c r="G1019" i="3"/>
  <c r="H1019" i="3"/>
  <c r="I1019" i="3"/>
  <c r="J1019" i="3"/>
  <c r="K1019" i="3"/>
  <c r="B1020" i="3"/>
  <c r="C1020" i="3"/>
  <c r="D1020" i="3"/>
  <c r="E1020" i="3"/>
  <c r="F1020" i="3"/>
  <c r="G1020" i="3"/>
  <c r="H1020" i="3"/>
  <c r="I1020" i="3"/>
  <c r="J1020" i="3"/>
  <c r="K1020" i="3"/>
  <c r="B1021" i="3"/>
  <c r="C1021" i="3"/>
  <c r="D1021" i="3"/>
  <c r="E1021" i="3"/>
  <c r="F1021" i="3"/>
  <c r="G1021" i="3"/>
  <c r="H1021" i="3"/>
  <c r="I1021" i="3"/>
  <c r="J1021" i="3"/>
  <c r="K1021" i="3"/>
  <c r="B1022" i="3"/>
  <c r="C1022" i="3"/>
  <c r="D1022" i="3"/>
  <c r="E1022" i="3"/>
  <c r="F1022" i="3"/>
  <c r="G1022" i="3"/>
  <c r="H1022" i="3"/>
  <c r="I1022" i="3"/>
  <c r="J1022" i="3"/>
  <c r="K1022" i="3"/>
  <c r="B1023" i="3"/>
  <c r="C1023" i="3"/>
  <c r="D1023" i="3"/>
  <c r="E1023" i="3"/>
  <c r="F1023" i="3"/>
  <c r="G1023" i="3"/>
  <c r="H1023" i="3"/>
  <c r="I1023" i="3"/>
  <c r="J1023" i="3"/>
  <c r="K1023" i="3"/>
  <c r="B1024" i="3"/>
  <c r="C1024" i="3"/>
  <c r="D1024" i="3"/>
  <c r="E1024" i="3"/>
  <c r="F1024" i="3"/>
  <c r="G1024" i="3"/>
  <c r="H1024" i="3"/>
  <c r="I1024" i="3"/>
  <c r="J1024" i="3"/>
  <c r="K1024" i="3"/>
  <c r="B1025" i="3"/>
  <c r="C1025" i="3"/>
  <c r="D1025" i="3"/>
  <c r="E1025" i="3"/>
  <c r="F1025" i="3"/>
  <c r="G1025" i="3"/>
  <c r="H1025" i="3"/>
  <c r="I1025" i="3"/>
  <c r="J1025" i="3"/>
  <c r="K1025" i="3"/>
  <c r="B1026" i="3"/>
  <c r="C1026" i="3"/>
  <c r="D1026" i="3"/>
  <c r="E1026" i="3"/>
  <c r="F1026" i="3"/>
  <c r="G1026" i="3"/>
  <c r="H1026" i="3"/>
  <c r="I1026" i="3"/>
  <c r="J1026" i="3"/>
  <c r="K1026" i="3"/>
  <c r="B1027" i="3"/>
  <c r="C1027" i="3"/>
  <c r="D1027" i="3"/>
  <c r="E1027" i="3"/>
  <c r="F1027" i="3"/>
  <c r="G1027" i="3"/>
  <c r="H1027" i="3"/>
  <c r="I1027" i="3"/>
  <c r="J1027" i="3"/>
  <c r="K1027" i="3"/>
  <c r="B1028" i="3"/>
  <c r="C1028" i="3"/>
  <c r="D1028" i="3"/>
  <c r="E1028" i="3"/>
  <c r="F1028" i="3"/>
  <c r="G1028" i="3"/>
  <c r="H1028" i="3"/>
  <c r="I1028" i="3"/>
  <c r="J1028" i="3"/>
  <c r="K1028" i="3"/>
  <c r="B1029" i="3"/>
  <c r="C1029" i="3"/>
  <c r="D1029" i="3"/>
  <c r="E1029" i="3"/>
  <c r="F1029" i="3"/>
  <c r="G1029" i="3"/>
  <c r="H1029" i="3"/>
  <c r="I1029" i="3"/>
  <c r="J1029" i="3"/>
  <c r="K1029" i="3"/>
  <c r="B1030" i="3"/>
  <c r="C1030" i="3"/>
  <c r="D1030" i="3"/>
  <c r="E1030" i="3"/>
  <c r="F1030" i="3"/>
  <c r="G1030" i="3"/>
  <c r="H1030" i="3"/>
  <c r="I1030" i="3"/>
  <c r="J1030" i="3"/>
  <c r="K1030" i="3"/>
  <c r="B1031" i="3"/>
  <c r="C1031" i="3"/>
  <c r="D1031" i="3"/>
  <c r="E1031" i="3"/>
  <c r="F1031" i="3"/>
  <c r="G1031" i="3"/>
  <c r="H1031" i="3"/>
  <c r="I1031" i="3"/>
  <c r="J1031" i="3"/>
  <c r="K1031" i="3"/>
  <c r="B1032" i="3"/>
  <c r="C1032" i="3"/>
  <c r="D1032" i="3"/>
  <c r="E1032" i="3"/>
  <c r="F1032" i="3"/>
  <c r="G1032" i="3"/>
  <c r="H1032" i="3"/>
  <c r="I1032" i="3"/>
  <c r="J1032" i="3"/>
  <c r="K1032" i="3"/>
  <c r="B1033" i="3"/>
  <c r="C1033" i="3"/>
  <c r="D1033" i="3"/>
  <c r="E1033" i="3"/>
  <c r="F1033" i="3"/>
  <c r="G1033" i="3"/>
  <c r="H1033" i="3"/>
  <c r="I1033" i="3"/>
  <c r="J1033" i="3"/>
  <c r="K1033" i="3"/>
  <c r="B1034" i="3"/>
  <c r="C1034" i="3"/>
  <c r="D1034" i="3"/>
  <c r="E1034" i="3"/>
  <c r="F1034" i="3"/>
  <c r="G1034" i="3"/>
  <c r="H1034" i="3"/>
  <c r="I1034" i="3"/>
  <c r="J1034" i="3"/>
  <c r="K1034" i="3"/>
  <c r="B1035" i="3"/>
  <c r="C1035" i="3"/>
  <c r="D1035" i="3"/>
  <c r="E1035" i="3"/>
  <c r="F1035" i="3"/>
  <c r="G1035" i="3"/>
  <c r="H1035" i="3"/>
  <c r="I1035" i="3"/>
  <c r="J1035" i="3"/>
  <c r="K1035" i="3"/>
  <c r="B1036" i="3"/>
  <c r="C1036" i="3"/>
  <c r="D1036" i="3"/>
  <c r="E1036" i="3"/>
  <c r="F1036" i="3"/>
  <c r="G1036" i="3"/>
  <c r="H1036" i="3"/>
  <c r="I1036" i="3"/>
  <c r="J1036" i="3"/>
  <c r="K1036" i="3"/>
  <c r="B1037" i="3"/>
  <c r="C1037" i="3"/>
  <c r="D1037" i="3"/>
  <c r="E1037" i="3"/>
  <c r="F1037" i="3"/>
  <c r="G1037" i="3"/>
  <c r="H1037" i="3"/>
  <c r="I1037" i="3"/>
  <c r="J1037" i="3"/>
  <c r="K1037" i="3"/>
  <c r="B1038" i="3"/>
  <c r="C1038" i="3"/>
  <c r="D1038" i="3"/>
  <c r="E1038" i="3"/>
  <c r="F1038" i="3"/>
  <c r="G1038" i="3"/>
  <c r="H1038" i="3"/>
  <c r="I1038" i="3"/>
  <c r="J1038" i="3"/>
  <c r="K1038" i="3"/>
  <c r="B1039" i="3"/>
  <c r="C1039" i="3"/>
  <c r="D1039" i="3"/>
  <c r="E1039" i="3"/>
  <c r="F1039" i="3"/>
  <c r="G1039" i="3"/>
  <c r="H1039" i="3"/>
  <c r="I1039" i="3"/>
  <c r="J1039" i="3"/>
  <c r="K1039" i="3"/>
  <c r="B1040" i="3"/>
  <c r="C1040" i="3"/>
  <c r="D1040" i="3"/>
  <c r="E1040" i="3"/>
  <c r="F1040" i="3"/>
  <c r="G1040" i="3"/>
  <c r="H1040" i="3"/>
  <c r="I1040" i="3"/>
  <c r="J1040" i="3"/>
  <c r="K1040" i="3"/>
  <c r="B1041" i="3"/>
  <c r="C1041" i="3"/>
  <c r="D1041" i="3"/>
  <c r="E1041" i="3"/>
  <c r="F1041" i="3"/>
  <c r="G1041" i="3"/>
  <c r="H1041" i="3"/>
  <c r="I1041" i="3"/>
  <c r="J1041" i="3"/>
  <c r="K1041" i="3"/>
  <c r="B1042" i="3"/>
  <c r="C1042" i="3"/>
  <c r="D1042" i="3"/>
  <c r="E1042" i="3"/>
  <c r="F1042" i="3"/>
  <c r="G1042" i="3"/>
  <c r="H1042" i="3"/>
  <c r="I1042" i="3"/>
  <c r="J1042" i="3"/>
  <c r="K1042" i="3"/>
  <c r="B1043" i="3"/>
  <c r="C1043" i="3"/>
  <c r="D1043" i="3"/>
  <c r="E1043" i="3"/>
  <c r="F1043" i="3"/>
  <c r="G1043" i="3"/>
  <c r="H1043" i="3"/>
  <c r="I1043" i="3"/>
  <c r="J1043" i="3"/>
  <c r="K1043" i="3"/>
  <c r="B1044" i="3"/>
  <c r="C1044" i="3"/>
  <c r="D1044" i="3"/>
  <c r="E1044" i="3"/>
  <c r="F1044" i="3"/>
  <c r="G1044" i="3"/>
  <c r="H1044" i="3"/>
  <c r="I1044" i="3"/>
  <c r="J1044" i="3"/>
  <c r="K1044" i="3"/>
  <c r="B1045" i="3"/>
  <c r="C1045" i="3"/>
  <c r="D1045" i="3"/>
  <c r="E1045" i="3"/>
  <c r="F1045" i="3"/>
  <c r="G1045" i="3"/>
  <c r="H1045" i="3"/>
  <c r="I1045" i="3"/>
  <c r="J1045" i="3"/>
  <c r="K1045" i="3"/>
  <c r="B1046" i="3"/>
  <c r="C1046" i="3"/>
  <c r="D1046" i="3"/>
  <c r="E1046" i="3"/>
  <c r="F1046" i="3"/>
  <c r="G1046" i="3"/>
  <c r="H1046" i="3"/>
  <c r="I1046" i="3"/>
  <c r="J1046" i="3"/>
  <c r="K1046" i="3"/>
  <c r="B1047" i="3"/>
  <c r="C1047" i="3"/>
  <c r="D1047" i="3"/>
  <c r="E1047" i="3"/>
  <c r="F1047" i="3"/>
  <c r="G1047" i="3"/>
  <c r="H1047" i="3"/>
  <c r="I1047" i="3"/>
  <c r="J1047" i="3"/>
  <c r="K1047" i="3"/>
  <c r="B1048" i="3"/>
  <c r="C1048" i="3"/>
  <c r="D1048" i="3"/>
  <c r="E1048" i="3"/>
  <c r="F1048" i="3"/>
  <c r="G1048" i="3"/>
  <c r="H1048" i="3"/>
  <c r="I1048" i="3"/>
  <c r="J1048" i="3"/>
  <c r="K1048" i="3"/>
  <c r="B1049" i="3"/>
  <c r="C1049" i="3"/>
  <c r="D1049" i="3"/>
  <c r="E1049" i="3"/>
  <c r="F1049" i="3"/>
  <c r="G1049" i="3"/>
  <c r="H1049" i="3"/>
  <c r="I1049" i="3"/>
  <c r="J1049" i="3"/>
  <c r="K1049" i="3"/>
  <c r="B1050" i="3"/>
  <c r="C1050" i="3"/>
  <c r="D1050" i="3"/>
  <c r="E1050" i="3"/>
  <c r="F1050" i="3"/>
  <c r="G1050" i="3"/>
  <c r="H1050" i="3"/>
  <c r="I1050" i="3"/>
  <c r="J1050" i="3"/>
  <c r="K1050" i="3"/>
  <c r="B1051" i="3"/>
  <c r="C1051" i="3"/>
  <c r="D1051" i="3"/>
  <c r="E1051" i="3"/>
  <c r="F1051" i="3"/>
  <c r="G1051" i="3"/>
  <c r="H1051" i="3"/>
  <c r="I1051" i="3"/>
  <c r="J1051" i="3"/>
  <c r="K1051" i="3"/>
  <c r="B1052" i="3"/>
  <c r="C1052" i="3"/>
  <c r="D1052" i="3"/>
  <c r="E1052" i="3"/>
  <c r="F1052" i="3"/>
  <c r="G1052" i="3"/>
  <c r="H1052" i="3"/>
  <c r="I1052" i="3"/>
  <c r="J1052" i="3"/>
  <c r="K1052" i="3"/>
  <c r="B1053" i="3"/>
  <c r="C1053" i="3"/>
  <c r="D1053" i="3"/>
  <c r="E1053" i="3"/>
  <c r="F1053" i="3"/>
  <c r="G1053" i="3"/>
  <c r="H1053" i="3"/>
  <c r="I1053" i="3"/>
  <c r="J1053" i="3"/>
  <c r="K1053" i="3"/>
  <c r="B1054" i="3"/>
  <c r="C1054" i="3"/>
  <c r="D1054" i="3"/>
  <c r="E1054" i="3"/>
  <c r="F1054" i="3"/>
  <c r="G1054" i="3"/>
  <c r="H1054" i="3"/>
  <c r="I1054" i="3"/>
  <c r="J1054" i="3"/>
  <c r="K1054" i="3"/>
  <c r="B1055" i="3"/>
  <c r="C1055" i="3"/>
  <c r="D1055" i="3"/>
  <c r="E1055" i="3"/>
  <c r="F1055" i="3"/>
  <c r="G1055" i="3"/>
  <c r="H1055" i="3"/>
  <c r="I1055" i="3"/>
  <c r="J1055" i="3"/>
  <c r="K1055" i="3"/>
  <c r="B1056" i="3"/>
  <c r="C1056" i="3"/>
  <c r="D1056" i="3"/>
  <c r="E1056" i="3"/>
  <c r="F1056" i="3"/>
  <c r="G1056" i="3"/>
  <c r="H1056" i="3"/>
  <c r="I1056" i="3"/>
  <c r="J1056" i="3"/>
  <c r="K1056" i="3"/>
  <c r="B1057" i="3"/>
  <c r="C1057" i="3"/>
  <c r="D1057" i="3"/>
  <c r="E1057" i="3"/>
  <c r="F1057" i="3"/>
  <c r="G1057" i="3"/>
  <c r="H1057" i="3"/>
  <c r="I1057" i="3"/>
  <c r="J1057" i="3"/>
  <c r="K1057" i="3"/>
  <c r="B1058" i="3"/>
  <c r="C1058" i="3"/>
  <c r="D1058" i="3"/>
  <c r="E1058" i="3"/>
  <c r="F1058" i="3"/>
  <c r="G1058" i="3"/>
  <c r="H1058" i="3"/>
  <c r="I1058" i="3"/>
  <c r="J1058" i="3"/>
  <c r="K1058" i="3"/>
  <c r="B1059" i="3"/>
  <c r="C1059" i="3"/>
  <c r="D1059" i="3"/>
  <c r="E1059" i="3"/>
  <c r="F1059" i="3"/>
  <c r="G1059" i="3"/>
  <c r="H1059" i="3"/>
  <c r="I1059" i="3"/>
  <c r="J1059" i="3"/>
  <c r="K1059" i="3"/>
  <c r="B1060" i="3"/>
  <c r="C1060" i="3"/>
  <c r="D1060" i="3"/>
  <c r="E1060" i="3"/>
  <c r="F1060" i="3"/>
  <c r="G1060" i="3"/>
  <c r="H1060" i="3"/>
  <c r="I1060" i="3"/>
  <c r="J1060" i="3"/>
  <c r="K1060" i="3"/>
  <c r="B1061" i="3"/>
  <c r="C1061" i="3"/>
  <c r="D1061" i="3"/>
  <c r="E1061" i="3"/>
  <c r="F1061" i="3"/>
  <c r="G1061" i="3"/>
  <c r="H1061" i="3"/>
  <c r="I1061" i="3"/>
  <c r="J1061" i="3"/>
  <c r="K1061" i="3"/>
  <c r="B1062" i="3"/>
  <c r="C1062" i="3"/>
  <c r="D1062" i="3"/>
  <c r="E1062" i="3"/>
  <c r="F1062" i="3"/>
  <c r="G1062" i="3"/>
  <c r="H1062" i="3"/>
  <c r="I1062" i="3"/>
  <c r="J1062" i="3"/>
  <c r="K1062" i="3"/>
  <c r="B1063" i="3"/>
  <c r="C1063" i="3"/>
  <c r="D1063" i="3"/>
  <c r="E1063" i="3"/>
  <c r="F1063" i="3"/>
  <c r="G1063" i="3"/>
  <c r="H1063" i="3"/>
  <c r="I1063" i="3"/>
  <c r="J1063" i="3"/>
  <c r="K1063" i="3"/>
  <c r="B1064" i="3"/>
  <c r="C1064" i="3"/>
  <c r="D1064" i="3"/>
  <c r="E1064" i="3"/>
  <c r="F1064" i="3"/>
  <c r="G1064" i="3"/>
  <c r="H1064" i="3"/>
  <c r="I1064" i="3"/>
  <c r="J1064" i="3"/>
  <c r="K1064" i="3"/>
  <c r="B1065" i="3"/>
  <c r="C1065" i="3"/>
  <c r="D1065" i="3"/>
  <c r="E1065" i="3"/>
  <c r="F1065" i="3"/>
  <c r="G1065" i="3"/>
  <c r="H1065" i="3"/>
  <c r="I1065" i="3"/>
  <c r="J1065" i="3"/>
  <c r="K1065" i="3"/>
  <c r="B1066" i="3"/>
  <c r="C1066" i="3"/>
  <c r="D1066" i="3"/>
  <c r="E1066" i="3"/>
  <c r="F1066" i="3"/>
  <c r="G1066" i="3"/>
  <c r="H1066" i="3"/>
  <c r="I1066" i="3"/>
  <c r="J1066" i="3"/>
  <c r="K1066" i="3"/>
  <c r="B1067" i="3"/>
  <c r="C1067" i="3"/>
  <c r="D1067" i="3"/>
  <c r="E1067" i="3"/>
  <c r="F1067" i="3"/>
  <c r="G1067" i="3"/>
  <c r="H1067" i="3"/>
  <c r="I1067" i="3"/>
  <c r="J1067" i="3"/>
  <c r="K1067" i="3"/>
  <c r="B1069" i="3"/>
  <c r="C1069" i="3"/>
  <c r="E1069" i="3"/>
  <c r="F1069" i="3"/>
  <c r="G1069" i="3"/>
  <c r="H1069" i="3"/>
  <c r="I1069" i="3"/>
  <c r="J1069" i="3"/>
  <c r="K1069" i="3"/>
  <c r="B1070" i="3"/>
  <c r="C1070" i="3"/>
  <c r="E1070" i="3"/>
  <c r="F1070" i="3"/>
  <c r="G1070" i="3"/>
  <c r="H1070" i="3"/>
  <c r="I1070" i="3"/>
  <c r="J1070" i="3"/>
  <c r="K1070" i="3"/>
  <c r="B1071" i="3"/>
  <c r="C1071" i="3"/>
  <c r="E1071" i="3"/>
  <c r="F1071" i="3"/>
  <c r="G1071" i="3"/>
  <c r="H1071" i="3"/>
  <c r="I1071" i="3"/>
  <c r="J1071" i="3"/>
  <c r="K1071" i="3"/>
  <c r="B1072" i="3"/>
  <c r="C1072" i="3"/>
  <c r="E1072" i="3"/>
  <c r="F1072" i="3"/>
  <c r="G1072" i="3"/>
  <c r="H1072" i="3"/>
  <c r="I1072" i="3"/>
  <c r="J1072" i="3"/>
  <c r="K1072" i="3"/>
  <c r="B1073" i="3"/>
  <c r="C1073" i="3"/>
  <c r="E1073" i="3"/>
  <c r="F1073" i="3"/>
  <c r="G1073" i="3"/>
  <c r="H1073" i="3"/>
  <c r="I1073" i="3"/>
  <c r="J1073" i="3"/>
  <c r="K1073" i="3"/>
  <c r="B1074" i="3"/>
  <c r="C1074" i="3"/>
  <c r="E1074" i="3"/>
  <c r="F1074" i="3"/>
  <c r="G1074" i="3"/>
  <c r="H1074" i="3"/>
  <c r="I1074" i="3"/>
  <c r="J1074" i="3"/>
  <c r="K1074" i="3"/>
  <c r="B1075" i="3"/>
  <c r="C1075" i="3"/>
  <c r="E1075" i="3"/>
  <c r="F1075" i="3"/>
  <c r="G1075" i="3"/>
  <c r="H1075" i="3"/>
  <c r="I1075" i="3"/>
  <c r="J1075" i="3"/>
  <c r="K1075" i="3"/>
  <c r="B1076" i="3"/>
  <c r="C1076" i="3"/>
  <c r="E1076" i="3"/>
  <c r="F1076" i="3"/>
  <c r="G1076" i="3"/>
  <c r="H1076" i="3"/>
  <c r="I1076" i="3"/>
  <c r="J1076" i="3"/>
  <c r="K1076" i="3"/>
  <c r="B1077" i="3"/>
  <c r="C1077" i="3"/>
  <c r="E1077" i="3"/>
  <c r="F1077" i="3"/>
  <c r="G1077" i="3"/>
  <c r="H1077" i="3"/>
  <c r="I1077" i="3"/>
  <c r="J1077" i="3"/>
  <c r="K1077" i="3"/>
  <c r="B1078" i="3"/>
  <c r="C1078" i="3"/>
  <c r="E1078" i="3"/>
  <c r="F1078" i="3"/>
  <c r="G1078" i="3"/>
  <c r="H1078" i="3"/>
  <c r="I1078" i="3"/>
  <c r="J1078" i="3"/>
  <c r="K1078" i="3"/>
  <c r="B1079" i="3"/>
  <c r="C1079" i="3"/>
  <c r="E1079" i="3"/>
  <c r="F1079" i="3"/>
  <c r="G1079" i="3"/>
  <c r="H1079" i="3"/>
  <c r="I1079" i="3"/>
  <c r="J1079" i="3"/>
  <c r="K1079" i="3"/>
  <c r="B1080" i="3"/>
  <c r="C1080" i="3"/>
  <c r="E1080" i="3"/>
  <c r="F1080" i="3"/>
  <c r="G1080" i="3"/>
  <c r="H1080" i="3"/>
  <c r="I1080" i="3"/>
  <c r="J1080" i="3"/>
  <c r="K1080" i="3"/>
  <c r="B1081" i="3"/>
  <c r="C1081" i="3"/>
  <c r="E1081" i="3"/>
  <c r="F1081" i="3"/>
  <c r="G1081" i="3"/>
  <c r="H1081" i="3"/>
  <c r="I1081" i="3"/>
  <c r="J1081" i="3"/>
  <c r="K1081" i="3"/>
  <c r="B1082" i="3"/>
  <c r="C1082" i="3"/>
  <c r="E1082" i="3"/>
  <c r="F1082" i="3"/>
  <c r="G1082" i="3"/>
  <c r="H1082" i="3"/>
  <c r="I1082" i="3"/>
  <c r="J1082" i="3"/>
  <c r="K1082" i="3"/>
  <c r="B1083" i="3"/>
  <c r="C1083" i="3"/>
  <c r="E1083" i="3"/>
  <c r="F1083" i="3"/>
  <c r="G1083" i="3"/>
  <c r="H1083" i="3"/>
  <c r="I1083" i="3"/>
  <c r="J1083" i="3"/>
  <c r="K1083" i="3"/>
  <c r="B1084" i="3"/>
  <c r="C1084" i="3"/>
  <c r="E1084" i="3"/>
  <c r="F1084" i="3"/>
  <c r="G1084" i="3"/>
  <c r="H1084" i="3"/>
  <c r="I1084" i="3"/>
  <c r="J1084" i="3"/>
  <c r="K1084" i="3"/>
  <c r="B1085" i="3"/>
  <c r="C1085" i="3"/>
  <c r="E1085" i="3"/>
  <c r="F1085" i="3"/>
  <c r="G1085" i="3"/>
  <c r="H1085" i="3"/>
  <c r="I1085" i="3"/>
  <c r="J1085" i="3"/>
  <c r="K1085" i="3"/>
  <c r="B1086" i="3"/>
  <c r="C1086" i="3"/>
  <c r="E1086" i="3"/>
  <c r="F1086" i="3"/>
  <c r="G1086" i="3"/>
  <c r="H1086" i="3"/>
  <c r="I1086" i="3"/>
  <c r="J1086" i="3"/>
  <c r="K1086" i="3"/>
  <c r="B1087" i="3"/>
  <c r="C1087" i="3"/>
  <c r="E1087" i="3"/>
  <c r="F1087" i="3"/>
  <c r="G1087" i="3"/>
  <c r="H1087" i="3"/>
  <c r="I1087" i="3"/>
  <c r="J1087" i="3"/>
  <c r="K1087" i="3"/>
  <c r="B1088" i="3"/>
  <c r="C1088" i="3"/>
  <c r="E1088" i="3"/>
  <c r="F1088" i="3"/>
  <c r="G1088" i="3"/>
  <c r="H1088" i="3"/>
  <c r="I1088" i="3"/>
  <c r="J1088" i="3"/>
  <c r="K1088" i="3"/>
  <c r="B1089" i="3"/>
  <c r="C1089" i="3"/>
  <c r="E1089" i="3"/>
  <c r="F1089" i="3"/>
  <c r="G1089" i="3"/>
  <c r="H1089" i="3"/>
  <c r="I1089" i="3"/>
  <c r="J1089" i="3"/>
  <c r="K1089" i="3"/>
  <c r="B1090" i="3"/>
  <c r="C1090" i="3"/>
  <c r="E1090" i="3"/>
  <c r="F1090" i="3"/>
  <c r="G1090" i="3"/>
  <c r="H1090" i="3"/>
  <c r="I1090" i="3"/>
  <c r="J1090" i="3"/>
  <c r="K1090" i="3"/>
  <c r="B1091" i="3"/>
  <c r="C1091" i="3"/>
  <c r="E1091" i="3"/>
  <c r="F1091" i="3"/>
  <c r="G1091" i="3"/>
  <c r="H1091" i="3"/>
  <c r="I1091" i="3"/>
  <c r="J1091" i="3"/>
  <c r="K1091" i="3"/>
  <c r="B1092" i="3"/>
  <c r="C1092" i="3"/>
  <c r="E1092" i="3"/>
  <c r="F1092" i="3"/>
  <c r="G1092" i="3"/>
  <c r="H1092" i="3"/>
  <c r="I1092" i="3"/>
  <c r="J1092" i="3"/>
  <c r="K1092" i="3"/>
  <c r="B1093" i="3"/>
  <c r="C1093" i="3"/>
  <c r="E1093" i="3"/>
  <c r="F1093" i="3"/>
  <c r="G1093" i="3"/>
  <c r="H1093" i="3"/>
  <c r="I1093" i="3"/>
  <c r="J1093" i="3"/>
  <c r="K1093" i="3"/>
  <c r="A1094" i="3"/>
  <c r="B1094" i="3"/>
  <c r="C1094" i="3"/>
  <c r="E1094" i="3"/>
  <c r="F1094" i="3"/>
  <c r="G1094" i="3"/>
  <c r="H1094" i="3"/>
  <c r="I1094" i="3"/>
  <c r="J1094" i="3"/>
  <c r="K1094" i="3"/>
  <c r="A1095" i="3"/>
  <c r="B1095" i="3"/>
  <c r="C1095" i="3"/>
  <c r="E1095" i="3"/>
  <c r="F1095" i="3"/>
  <c r="G1095" i="3"/>
  <c r="H1095" i="3"/>
  <c r="I1095" i="3"/>
  <c r="J1095" i="3"/>
  <c r="K1095" i="3"/>
  <c r="A1096" i="3"/>
  <c r="B1096" i="3"/>
  <c r="C1096" i="3"/>
  <c r="E1096" i="3"/>
  <c r="F1096" i="3"/>
  <c r="G1096" i="3"/>
  <c r="H1096" i="3"/>
  <c r="I1096" i="3"/>
  <c r="J1096" i="3"/>
  <c r="K1096" i="3"/>
  <c r="A1097" i="3"/>
  <c r="B1097" i="3"/>
  <c r="C1097" i="3"/>
  <c r="E1097" i="3"/>
  <c r="F1097" i="3"/>
  <c r="G1097" i="3"/>
  <c r="H1097" i="3"/>
  <c r="I1097" i="3"/>
  <c r="J1097" i="3"/>
  <c r="K1097" i="3"/>
  <c r="A1098" i="3"/>
  <c r="B1098" i="3"/>
  <c r="C1098" i="3"/>
  <c r="E1098" i="3"/>
  <c r="F1098" i="3"/>
  <c r="G1098" i="3"/>
  <c r="H1098" i="3"/>
  <c r="I1098" i="3"/>
  <c r="J1098" i="3"/>
  <c r="K1098" i="3"/>
  <c r="A1099" i="3"/>
  <c r="B1099" i="3"/>
  <c r="C1099" i="3"/>
  <c r="E1099" i="3"/>
  <c r="F1099" i="3"/>
  <c r="G1099" i="3"/>
  <c r="H1099" i="3"/>
  <c r="I1099" i="3"/>
  <c r="J1099" i="3"/>
  <c r="K1099" i="3"/>
  <c r="A1100" i="3"/>
  <c r="B1100" i="3"/>
  <c r="C1100" i="3"/>
  <c r="E1100" i="3"/>
  <c r="F1100" i="3"/>
  <c r="G1100" i="3"/>
  <c r="H1100" i="3"/>
  <c r="I1100" i="3"/>
  <c r="J1100" i="3"/>
  <c r="K1100" i="3"/>
  <c r="A1101" i="3"/>
  <c r="B1101" i="3"/>
  <c r="C1101" i="3"/>
  <c r="E1101" i="3"/>
  <c r="F1101" i="3"/>
  <c r="G1101" i="3"/>
  <c r="H1101" i="3"/>
  <c r="I1101" i="3"/>
  <c r="J1101" i="3"/>
  <c r="K1101" i="3"/>
  <c r="A1102" i="3"/>
  <c r="B1102" i="3"/>
  <c r="C1102" i="3"/>
  <c r="E1102" i="3"/>
  <c r="F1102" i="3"/>
  <c r="G1102" i="3"/>
  <c r="H1102" i="3"/>
  <c r="I1102" i="3"/>
  <c r="J1102" i="3"/>
  <c r="K1102" i="3"/>
  <c r="A1103" i="3"/>
  <c r="B1103" i="3"/>
  <c r="C1103" i="3"/>
  <c r="E1103" i="3"/>
  <c r="F1103" i="3"/>
  <c r="G1103" i="3"/>
  <c r="H1103" i="3"/>
  <c r="I1103" i="3"/>
  <c r="J1103" i="3"/>
  <c r="K1103" i="3"/>
  <c r="A1104" i="3"/>
  <c r="B1104" i="3"/>
  <c r="C1104" i="3"/>
  <c r="E1104" i="3"/>
  <c r="F1104" i="3"/>
  <c r="G1104" i="3"/>
  <c r="H1104" i="3"/>
  <c r="I1104" i="3"/>
  <c r="J1104" i="3"/>
  <c r="K1104" i="3"/>
  <c r="A1105" i="3"/>
  <c r="B1105" i="3"/>
  <c r="C1105" i="3"/>
  <c r="E1105" i="3"/>
  <c r="F1105" i="3"/>
  <c r="G1105" i="3"/>
  <c r="H1105" i="3"/>
  <c r="I1105" i="3"/>
  <c r="J1105" i="3"/>
  <c r="K1105" i="3"/>
  <c r="A1106" i="3"/>
  <c r="B1106" i="3"/>
  <c r="C1106" i="3"/>
  <c r="E1106" i="3"/>
  <c r="F1106" i="3"/>
  <c r="G1106" i="3"/>
  <c r="H1106" i="3"/>
  <c r="I1106" i="3"/>
  <c r="J1106" i="3"/>
  <c r="K1106" i="3"/>
  <c r="A1107" i="3"/>
  <c r="B1107" i="3"/>
  <c r="C1107" i="3"/>
  <c r="E1107" i="3"/>
  <c r="F1107" i="3"/>
  <c r="G1107" i="3"/>
  <c r="H1107" i="3"/>
  <c r="I1107" i="3"/>
  <c r="J1107" i="3"/>
  <c r="K1107" i="3"/>
  <c r="A1108" i="3"/>
  <c r="B1108" i="3"/>
  <c r="C1108" i="3"/>
  <c r="E1108" i="3"/>
  <c r="F1108" i="3"/>
  <c r="G1108" i="3"/>
  <c r="H1108" i="3"/>
  <c r="I1108" i="3"/>
  <c r="J1108" i="3"/>
  <c r="K1108" i="3"/>
  <c r="A1109" i="3"/>
  <c r="B1109" i="3"/>
  <c r="C1109" i="3"/>
  <c r="E1109" i="3"/>
  <c r="F1109" i="3"/>
  <c r="G1109" i="3"/>
  <c r="H1109" i="3"/>
  <c r="I1109" i="3"/>
  <c r="J1109" i="3"/>
  <c r="K1109" i="3"/>
  <c r="A1110" i="3"/>
  <c r="B1110" i="3"/>
  <c r="C1110" i="3"/>
  <c r="E1110" i="3"/>
  <c r="F1110" i="3"/>
  <c r="G1110" i="3"/>
  <c r="H1110" i="3"/>
  <c r="I1110" i="3"/>
  <c r="J1110" i="3"/>
  <c r="K1110" i="3"/>
  <c r="A1111" i="3"/>
  <c r="B1111" i="3"/>
  <c r="C1111" i="3"/>
  <c r="E1111" i="3"/>
  <c r="F1111" i="3"/>
  <c r="G1111" i="3"/>
  <c r="H1111" i="3"/>
  <c r="I1111" i="3"/>
  <c r="J1111" i="3"/>
  <c r="K1111" i="3"/>
  <c r="A1112" i="3"/>
  <c r="B1112" i="3"/>
  <c r="C1112" i="3"/>
  <c r="E1112" i="3"/>
  <c r="F1112" i="3"/>
  <c r="G1112" i="3"/>
  <c r="H1112" i="3"/>
  <c r="I1112" i="3"/>
  <c r="J1112" i="3"/>
  <c r="K1112" i="3"/>
  <c r="A1113" i="3"/>
  <c r="B1113" i="3"/>
  <c r="C1113" i="3"/>
  <c r="E1113" i="3"/>
  <c r="F1113" i="3"/>
  <c r="G1113" i="3"/>
  <c r="H1113" i="3"/>
  <c r="I1113" i="3"/>
  <c r="J1113" i="3"/>
  <c r="K1113" i="3"/>
  <c r="A1114" i="3"/>
  <c r="B1114" i="3"/>
  <c r="C1114" i="3"/>
  <c r="E1114" i="3"/>
  <c r="F1114" i="3"/>
  <c r="G1114" i="3"/>
  <c r="H1114" i="3"/>
  <c r="I1114" i="3"/>
  <c r="J1114" i="3"/>
  <c r="K1114" i="3"/>
  <c r="A1115" i="3"/>
  <c r="B1115" i="3"/>
  <c r="C1115" i="3"/>
  <c r="E1115" i="3"/>
  <c r="F1115" i="3"/>
  <c r="G1115" i="3"/>
  <c r="H1115" i="3"/>
  <c r="I1115" i="3"/>
  <c r="J1115" i="3"/>
  <c r="K1115" i="3"/>
  <c r="A1116" i="3"/>
  <c r="B1116" i="3"/>
  <c r="C1116" i="3"/>
  <c r="E1116" i="3"/>
  <c r="F1116" i="3"/>
  <c r="G1116" i="3"/>
  <c r="H1116" i="3"/>
  <c r="I1116" i="3"/>
  <c r="J1116" i="3"/>
  <c r="K1116" i="3"/>
  <c r="A1117" i="3"/>
  <c r="B1117" i="3"/>
  <c r="C1117" i="3"/>
  <c r="E1117" i="3"/>
  <c r="F1117" i="3"/>
  <c r="G1117" i="3"/>
  <c r="H1117" i="3"/>
  <c r="I1117" i="3"/>
  <c r="J1117" i="3"/>
  <c r="K1117" i="3"/>
  <c r="A1118" i="3"/>
  <c r="B1118" i="3"/>
  <c r="C1118" i="3"/>
  <c r="E1118" i="3"/>
  <c r="F1118" i="3"/>
  <c r="G1118" i="3"/>
  <c r="H1118" i="3"/>
  <c r="I1118" i="3"/>
  <c r="J1118" i="3"/>
  <c r="K1118" i="3"/>
  <c r="A1119" i="3"/>
  <c r="B1119" i="3"/>
  <c r="C1119" i="3"/>
  <c r="E1119" i="3"/>
  <c r="F1119" i="3"/>
  <c r="G1119" i="3"/>
  <c r="H1119" i="3"/>
  <c r="I1119" i="3"/>
  <c r="J1119" i="3"/>
  <c r="K1119" i="3"/>
  <c r="A1120" i="3"/>
  <c r="B1120" i="3"/>
  <c r="C1120" i="3"/>
  <c r="E1120" i="3"/>
  <c r="F1120" i="3"/>
  <c r="G1120" i="3"/>
  <c r="H1120" i="3"/>
  <c r="I1120" i="3"/>
  <c r="J1120" i="3"/>
  <c r="K1120" i="3"/>
  <c r="A1121" i="3"/>
  <c r="B1121" i="3"/>
  <c r="C1121" i="3"/>
  <c r="E1121" i="3"/>
  <c r="F1121" i="3"/>
  <c r="G1121" i="3"/>
  <c r="H1121" i="3"/>
  <c r="I1121" i="3"/>
  <c r="J1121" i="3"/>
  <c r="K1121" i="3"/>
  <c r="A1122" i="3"/>
  <c r="B1122" i="3"/>
  <c r="C1122" i="3"/>
  <c r="E1122" i="3"/>
  <c r="F1122" i="3"/>
  <c r="G1122" i="3"/>
  <c r="H1122" i="3"/>
  <c r="I1122" i="3"/>
  <c r="J1122" i="3"/>
  <c r="K1122" i="3"/>
  <c r="A1123" i="3"/>
  <c r="B1123" i="3"/>
  <c r="C1123" i="3"/>
  <c r="E1123" i="3"/>
  <c r="F1123" i="3"/>
  <c r="G1123" i="3"/>
  <c r="H1123" i="3"/>
  <c r="I1123" i="3"/>
  <c r="J1123" i="3"/>
  <c r="K1123" i="3"/>
  <c r="A1124" i="3"/>
  <c r="B1124" i="3"/>
  <c r="C1124" i="3"/>
  <c r="E1124" i="3"/>
  <c r="F1124" i="3"/>
  <c r="G1124" i="3"/>
  <c r="H1124" i="3"/>
  <c r="I1124" i="3"/>
  <c r="J1124" i="3"/>
  <c r="K1124" i="3"/>
  <c r="A1125" i="3"/>
  <c r="B1125" i="3"/>
  <c r="C1125" i="3"/>
  <c r="E1125" i="3"/>
  <c r="F1125" i="3"/>
  <c r="G1125" i="3"/>
  <c r="H1125" i="3"/>
  <c r="I1125" i="3"/>
  <c r="J1125" i="3"/>
  <c r="K1125" i="3"/>
  <c r="A1126" i="3"/>
  <c r="B1126" i="3"/>
  <c r="C1126" i="3"/>
  <c r="E1126" i="3"/>
  <c r="F1126" i="3"/>
  <c r="G1126" i="3"/>
  <c r="H1126" i="3"/>
  <c r="I1126" i="3"/>
  <c r="J1126" i="3"/>
  <c r="K1126" i="3"/>
  <c r="A1127" i="3"/>
  <c r="B1127" i="3"/>
  <c r="C1127" i="3"/>
  <c r="E1127" i="3"/>
  <c r="F1127" i="3"/>
  <c r="G1127" i="3"/>
  <c r="H1127" i="3"/>
  <c r="I1127" i="3"/>
  <c r="J1127" i="3"/>
  <c r="K1127" i="3"/>
  <c r="A1128" i="3"/>
  <c r="B1128" i="3"/>
  <c r="C1128" i="3"/>
  <c r="E1128" i="3"/>
  <c r="F1128" i="3"/>
  <c r="G1128" i="3"/>
  <c r="H1128" i="3"/>
  <c r="I1128" i="3"/>
  <c r="J1128" i="3"/>
  <c r="K1128" i="3"/>
  <c r="A1129" i="3"/>
  <c r="B1129" i="3"/>
  <c r="C1129" i="3"/>
  <c r="E1129" i="3"/>
  <c r="F1129" i="3"/>
  <c r="G1129" i="3"/>
  <c r="H1129" i="3"/>
  <c r="I1129" i="3"/>
  <c r="J1129" i="3"/>
  <c r="K1129" i="3"/>
  <c r="A1130" i="3"/>
  <c r="B1130" i="3"/>
  <c r="C1130" i="3"/>
  <c r="E1130" i="3"/>
  <c r="F1130" i="3"/>
  <c r="G1130" i="3"/>
  <c r="H1130" i="3"/>
  <c r="I1130" i="3"/>
  <c r="J1130" i="3"/>
  <c r="K1130" i="3"/>
  <c r="A1131" i="3"/>
  <c r="B1131" i="3"/>
  <c r="C1131" i="3"/>
  <c r="E1131" i="3"/>
  <c r="F1131" i="3"/>
  <c r="G1131" i="3"/>
  <c r="H1131" i="3"/>
  <c r="I1131" i="3"/>
  <c r="J1131" i="3"/>
  <c r="K1131" i="3"/>
  <c r="A1132" i="3"/>
  <c r="B1132" i="3"/>
  <c r="C1132" i="3"/>
  <c r="E1132" i="3"/>
  <c r="F1132" i="3"/>
  <c r="G1132" i="3"/>
  <c r="H1132" i="3"/>
  <c r="I1132" i="3"/>
  <c r="J1132" i="3"/>
  <c r="K1132" i="3"/>
  <c r="A1133" i="3"/>
  <c r="B1133" i="3"/>
  <c r="C1133" i="3"/>
  <c r="E1133" i="3"/>
  <c r="F1133" i="3"/>
  <c r="G1133" i="3"/>
  <c r="H1133" i="3"/>
  <c r="I1133" i="3"/>
  <c r="J1133" i="3"/>
  <c r="K1133" i="3"/>
  <c r="A1134" i="3"/>
  <c r="B1134" i="3"/>
  <c r="C1134" i="3"/>
  <c r="E1134" i="3"/>
  <c r="F1134" i="3"/>
  <c r="G1134" i="3"/>
  <c r="H1134" i="3"/>
  <c r="I1134" i="3"/>
  <c r="J1134" i="3"/>
  <c r="K1134" i="3"/>
  <c r="A1135" i="3"/>
  <c r="B1135" i="3"/>
  <c r="C1135" i="3"/>
  <c r="E1135" i="3"/>
  <c r="F1135" i="3"/>
  <c r="G1135" i="3"/>
  <c r="H1135" i="3"/>
  <c r="I1135" i="3"/>
  <c r="J1135" i="3"/>
  <c r="K1135" i="3"/>
  <c r="A1136" i="3"/>
  <c r="B1136" i="3"/>
  <c r="C1136" i="3"/>
  <c r="E1136" i="3"/>
  <c r="F1136" i="3"/>
  <c r="G1136" i="3"/>
  <c r="H1136" i="3"/>
  <c r="I1136" i="3"/>
  <c r="J1136" i="3"/>
  <c r="K1136" i="3"/>
  <c r="A1137" i="3"/>
  <c r="B1137" i="3"/>
  <c r="C1137" i="3"/>
  <c r="E1137" i="3"/>
  <c r="F1137" i="3"/>
  <c r="G1137" i="3"/>
  <c r="H1137" i="3"/>
  <c r="I1137" i="3"/>
  <c r="J1137" i="3"/>
  <c r="K1137" i="3"/>
  <c r="A1138" i="3"/>
  <c r="B1138" i="3"/>
  <c r="C1138" i="3"/>
  <c r="E1138" i="3"/>
  <c r="F1138" i="3"/>
  <c r="G1138" i="3"/>
  <c r="H1138" i="3"/>
  <c r="I1138" i="3"/>
  <c r="J1138" i="3"/>
  <c r="K1138" i="3"/>
  <c r="A1139" i="3"/>
  <c r="B1139" i="3"/>
  <c r="C1139" i="3"/>
  <c r="E1139" i="3"/>
  <c r="F1139" i="3"/>
  <c r="G1139" i="3"/>
  <c r="H1139" i="3"/>
  <c r="I1139" i="3"/>
  <c r="J1139" i="3"/>
  <c r="K1139" i="3"/>
  <c r="A1140" i="3"/>
  <c r="B1140" i="3"/>
  <c r="C1140" i="3"/>
  <c r="E1140" i="3"/>
  <c r="F1140" i="3"/>
  <c r="G1140" i="3"/>
  <c r="H1140" i="3"/>
  <c r="I1140" i="3"/>
  <c r="J1140" i="3"/>
  <c r="K1140" i="3"/>
  <c r="A1141" i="3"/>
  <c r="B1141" i="3"/>
  <c r="C1141" i="3"/>
  <c r="E1141" i="3"/>
  <c r="F1141" i="3"/>
  <c r="G1141" i="3"/>
  <c r="H1141" i="3"/>
  <c r="I1141" i="3"/>
  <c r="J1141" i="3"/>
  <c r="K1141" i="3"/>
  <c r="A1142" i="3"/>
  <c r="B1142" i="3"/>
  <c r="C1142" i="3"/>
  <c r="E1142" i="3"/>
  <c r="F1142" i="3"/>
  <c r="G1142" i="3"/>
  <c r="H1142" i="3"/>
  <c r="I1142" i="3"/>
  <c r="J1142" i="3"/>
  <c r="K1142" i="3"/>
  <c r="A1143" i="3"/>
  <c r="B1143" i="3"/>
  <c r="C1143" i="3"/>
  <c r="E1143" i="3"/>
  <c r="F1143" i="3"/>
  <c r="G1143" i="3"/>
  <c r="H1143" i="3"/>
  <c r="I1143" i="3"/>
  <c r="J1143" i="3"/>
  <c r="K1143" i="3"/>
  <c r="A1144" i="3"/>
  <c r="B1144" i="3"/>
  <c r="C1144" i="3"/>
  <c r="E1144" i="3"/>
  <c r="F1144" i="3"/>
  <c r="G1144" i="3"/>
  <c r="H1144" i="3"/>
  <c r="I1144" i="3"/>
  <c r="J1144" i="3"/>
  <c r="K1144" i="3"/>
  <c r="A1145" i="3"/>
  <c r="B1145" i="3"/>
  <c r="C1145" i="3"/>
  <c r="E1145" i="3"/>
  <c r="F1145" i="3"/>
  <c r="G1145" i="3"/>
  <c r="H1145" i="3"/>
  <c r="I1145" i="3"/>
  <c r="J1145" i="3"/>
  <c r="K1145" i="3"/>
  <c r="A1146" i="3"/>
  <c r="B1146" i="3"/>
  <c r="C1146" i="3"/>
  <c r="E1146" i="3"/>
  <c r="F1146" i="3"/>
  <c r="G1146" i="3"/>
  <c r="H1146" i="3"/>
  <c r="I1146" i="3"/>
  <c r="J1146" i="3"/>
  <c r="K1146" i="3"/>
  <c r="A1147" i="3"/>
  <c r="B1147" i="3"/>
  <c r="C1147" i="3"/>
  <c r="E1147" i="3"/>
  <c r="F1147" i="3"/>
  <c r="G1147" i="3"/>
  <c r="H1147" i="3"/>
  <c r="I1147" i="3"/>
  <c r="J1147" i="3"/>
  <c r="K1147" i="3"/>
  <c r="A1148" i="3"/>
  <c r="B1148" i="3"/>
  <c r="C1148" i="3"/>
  <c r="E1148" i="3"/>
  <c r="F1148" i="3"/>
  <c r="G1148" i="3"/>
  <c r="H1148" i="3"/>
  <c r="I1148" i="3"/>
  <c r="J1148" i="3"/>
  <c r="K1148" i="3"/>
  <c r="A1149" i="3"/>
  <c r="B1149" i="3"/>
  <c r="C1149" i="3"/>
  <c r="E1149" i="3"/>
  <c r="F1149" i="3"/>
  <c r="G1149" i="3"/>
  <c r="H1149" i="3"/>
  <c r="I1149" i="3"/>
  <c r="J1149" i="3"/>
  <c r="K1149" i="3"/>
  <c r="A1150" i="3"/>
  <c r="B1150" i="3"/>
  <c r="C1150" i="3"/>
  <c r="E1150" i="3"/>
  <c r="F1150" i="3"/>
  <c r="G1150" i="3"/>
  <c r="H1150" i="3"/>
  <c r="I1150" i="3"/>
  <c r="J1150" i="3"/>
  <c r="K1150" i="3"/>
  <c r="A1151" i="3"/>
  <c r="B1151" i="3"/>
  <c r="C1151" i="3"/>
  <c r="E1151" i="3"/>
  <c r="F1151" i="3"/>
  <c r="G1151" i="3"/>
  <c r="H1151" i="3"/>
  <c r="I1151" i="3"/>
  <c r="J1151" i="3"/>
  <c r="K1151" i="3"/>
  <c r="A1152" i="3"/>
  <c r="B1152" i="3"/>
  <c r="C1152" i="3"/>
  <c r="E1152" i="3"/>
  <c r="F1152" i="3"/>
  <c r="G1152" i="3"/>
  <c r="H1152" i="3"/>
  <c r="I1152" i="3"/>
  <c r="J1152" i="3"/>
  <c r="K1152" i="3"/>
  <c r="A1153" i="3"/>
  <c r="B1153" i="3"/>
  <c r="C1153" i="3"/>
  <c r="E1153" i="3"/>
  <c r="F1153" i="3"/>
  <c r="G1153" i="3"/>
  <c r="H1153" i="3"/>
  <c r="I1153" i="3"/>
  <c r="J1153" i="3"/>
  <c r="K1153" i="3"/>
  <c r="A1154" i="3"/>
  <c r="B1154" i="3"/>
  <c r="C1154" i="3"/>
  <c r="E1154" i="3"/>
  <c r="F1154" i="3"/>
  <c r="G1154" i="3"/>
  <c r="H1154" i="3"/>
  <c r="I1154" i="3"/>
  <c r="J1154" i="3"/>
  <c r="K1154" i="3"/>
  <c r="A1155" i="3"/>
  <c r="B1155" i="3"/>
  <c r="C1155" i="3"/>
  <c r="E1155" i="3"/>
  <c r="F1155" i="3"/>
  <c r="G1155" i="3"/>
  <c r="H1155" i="3"/>
  <c r="I1155" i="3"/>
  <c r="J1155" i="3"/>
  <c r="K1155" i="3"/>
  <c r="A1156" i="3"/>
  <c r="B1156" i="3"/>
  <c r="C1156" i="3"/>
  <c r="E1156" i="3"/>
  <c r="F1156" i="3"/>
  <c r="G1156" i="3"/>
  <c r="H1156" i="3"/>
  <c r="I1156" i="3"/>
  <c r="J1156" i="3"/>
  <c r="K1156" i="3"/>
  <c r="C9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B1025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B1026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B1027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B1028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B1029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B1030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B1031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B1032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B1033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B1034" i="2"/>
  <c r="C1034" i="2"/>
  <c r="D1034" i="2"/>
  <c r="E1034" i="2"/>
  <c r="F1034" i="2"/>
  <c r="G1034" i="2"/>
  <c r="H1034" i="2"/>
  <c r="I1034" i="2"/>
  <c r="J1034" i="2"/>
  <c r="K1034" i="2"/>
  <c r="L1034" i="2"/>
  <c r="M1034" i="2"/>
  <c r="N1034" i="2"/>
  <c r="O1034" i="2"/>
  <c r="B1035" i="2"/>
  <c r="C1035" i="2"/>
  <c r="D1035" i="2"/>
  <c r="E1035" i="2"/>
  <c r="F1035" i="2"/>
  <c r="G1035" i="2"/>
  <c r="H1035" i="2"/>
  <c r="I1035" i="2"/>
  <c r="J1035" i="2"/>
  <c r="K1035" i="2"/>
  <c r="L1035" i="2"/>
  <c r="M1035" i="2"/>
  <c r="N1035" i="2"/>
  <c r="O1035" i="2"/>
  <c r="B1036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B1037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B1038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B1039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B1040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B1041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B1042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B1043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B1044" i="2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B1046" i="2"/>
  <c r="C1046" i="2"/>
  <c r="D1046" i="2"/>
  <c r="E1046" i="2"/>
  <c r="F1046" i="2"/>
  <c r="G1046" i="2"/>
  <c r="H1046" i="2"/>
  <c r="I1046" i="2"/>
  <c r="J1046" i="2"/>
  <c r="K1046" i="2"/>
  <c r="L1046" i="2"/>
  <c r="M1046" i="2"/>
  <c r="N1046" i="2"/>
  <c r="O1046" i="2"/>
  <c r="B1047" i="2"/>
  <c r="C1047" i="2"/>
  <c r="D1047" i="2"/>
  <c r="E1047" i="2"/>
  <c r="F1047" i="2"/>
  <c r="G1047" i="2"/>
  <c r="H1047" i="2"/>
  <c r="I1047" i="2"/>
  <c r="J1047" i="2"/>
  <c r="K1047" i="2"/>
  <c r="L1047" i="2"/>
  <c r="M1047" i="2"/>
  <c r="N1047" i="2"/>
  <c r="O1047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B1055" i="2"/>
  <c r="C1055" i="2"/>
  <c r="D1055" i="2"/>
  <c r="E1055" i="2"/>
  <c r="F1055" i="2"/>
  <c r="G1055" i="2"/>
  <c r="H1055" i="2"/>
  <c r="I1055" i="2"/>
  <c r="J1055" i="2"/>
  <c r="K1055" i="2"/>
  <c r="L1055" i="2"/>
  <c r="M1055" i="2"/>
  <c r="N1055" i="2"/>
  <c r="O1055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B1057" i="2"/>
  <c r="C1057" i="2"/>
  <c r="D1057" i="2"/>
  <c r="E1057" i="2"/>
  <c r="F1057" i="2"/>
  <c r="G1057" i="2"/>
  <c r="H1057" i="2"/>
  <c r="I1057" i="2"/>
  <c r="J1057" i="2"/>
  <c r="K1057" i="2"/>
  <c r="L1057" i="2"/>
  <c r="M1057" i="2"/>
  <c r="N1057" i="2"/>
  <c r="O1057" i="2"/>
  <c r="B1058" i="2"/>
  <c r="C1058" i="2"/>
  <c r="D1058" i="2"/>
  <c r="E1058" i="2"/>
  <c r="F1058" i="2"/>
  <c r="G1058" i="2"/>
  <c r="H1058" i="2"/>
  <c r="I1058" i="2"/>
  <c r="J1058" i="2"/>
  <c r="K1058" i="2"/>
  <c r="L1058" i="2"/>
  <c r="M1058" i="2"/>
  <c r="N1058" i="2"/>
  <c r="O1058" i="2"/>
  <c r="B1059" i="2"/>
  <c r="C1059" i="2"/>
  <c r="D1059" i="2"/>
  <c r="E1059" i="2"/>
  <c r="F1059" i="2"/>
  <c r="G1059" i="2"/>
  <c r="H1059" i="2"/>
  <c r="I1059" i="2"/>
  <c r="J1059" i="2"/>
  <c r="K1059" i="2"/>
  <c r="L1059" i="2"/>
  <c r="M1059" i="2"/>
  <c r="N1059" i="2"/>
  <c r="O1059" i="2"/>
  <c r="B1060" i="2"/>
  <c r="C1060" i="2"/>
  <c r="D1060" i="2"/>
  <c r="E1060" i="2"/>
  <c r="F1060" i="2"/>
  <c r="G1060" i="2"/>
  <c r="H1060" i="2"/>
  <c r="I1060" i="2"/>
  <c r="J1060" i="2"/>
  <c r="K1060" i="2"/>
  <c r="L1060" i="2"/>
  <c r="M1060" i="2"/>
  <c r="N1060" i="2"/>
  <c r="O1060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B1062" i="2"/>
  <c r="C1062" i="2"/>
  <c r="D1062" i="2"/>
  <c r="E1062" i="2"/>
  <c r="F1062" i="2"/>
  <c r="G1062" i="2"/>
  <c r="H1062" i="2"/>
  <c r="I1062" i="2"/>
  <c r="J1062" i="2"/>
  <c r="K1062" i="2"/>
  <c r="L1062" i="2"/>
  <c r="M1062" i="2"/>
  <c r="N1062" i="2"/>
  <c r="O1062" i="2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B1071" i="2"/>
  <c r="C1071" i="2"/>
  <c r="D1071" i="2"/>
  <c r="E1071" i="2"/>
  <c r="F1071" i="2"/>
  <c r="G1071" i="2"/>
  <c r="H1071" i="2"/>
  <c r="I1071" i="2"/>
  <c r="J1071" i="2"/>
  <c r="K1071" i="2"/>
  <c r="L1071" i="2"/>
  <c r="M1071" i="2"/>
  <c r="N1071" i="2"/>
  <c r="O1071" i="2"/>
  <c r="B1072" i="2"/>
  <c r="C1072" i="2"/>
  <c r="D1072" i="2"/>
  <c r="E1072" i="2"/>
  <c r="F1072" i="2"/>
  <c r="G1072" i="2"/>
  <c r="H1072" i="2"/>
  <c r="I1072" i="2"/>
  <c r="J1072" i="2"/>
  <c r="K1072" i="2"/>
  <c r="L1072" i="2"/>
  <c r="M1072" i="2"/>
  <c r="N1072" i="2"/>
  <c r="O1072" i="2"/>
  <c r="B1073" i="2"/>
  <c r="C1073" i="2"/>
  <c r="D1073" i="2"/>
  <c r="E1073" i="2"/>
  <c r="F1073" i="2"/>
  <c r="G1073" i="2"/>
  <c r="H1073" i="2"/>
  <c r="I1073" i="2"/>
  <c r="J1073" i="2"/>
  <c r="K1073" i="2"/>
  <c r="L1073" i="2"/>
  <c r="M1073" i="2"/>
  <c r="N1073" i="2"/>
  <c r="O1073" i="2"/>
  <c r="B1074" i="2"/>
  <c r="C1074" i="2"/>
  <c r="D1074" i="2"/>
  <c r="E1074" i="2"/>
  <c r="F1074" i="2"/>
  <c r="G1074" i="2"/>
  <c r="H1074" i="2"/>
  <c r="I1074" i="2"/>
  <c r="J1074" i="2"/>
  <c r="K1074" i="2"/>
  <c r="L1074" i="2"/>
  <c r="M1074" i="2"/>
  <c r="N1074" i="2"/>
  <c r="O1074" i="2"/>
  <c r="B1075" i="2"/>
  <c r="C1075" i="2"/>
  <c r="D1075" i="2"/>
  <c r="E1075" i="2"/>
  <c r="F1075" i="2"/>
  <c r="G1075" i="2"/>
  <c r="H1075" i="2"/>
  <c r="I1075" i="2"/>
  <c r="J1075" i="2"/>
  <c r="K1075" i="2"/>
  <c r="L1075" i="2"/>
  <c r="M1075" i="2"/>
  <c r="N1075" i="2"/>
  <c r="O1075" i="2"/>
  <c r="B1076" i="2"/>
  <c r="C1076" i="2"/>
  <c r="D1076" i="2"/>
  <c r="E1076" i="2"/>
  <c r="F1076" i="2"/>
  <c r="G1076" i="2"/>
  <c r="H1076" i="2"/>
  <c r="I1076" i="2"/>
  <c r="J1076" i="2"/>
  <c r="K1076" i="2"/>
  <c r="L1076" i="2"/>
  <c r="M1076" i="2"/>
  <c r="N1076" i="2"/>
  <c r="O1076" i="2"/>
  <c r="B1077" i="2"/>
  <c r="C1077" i="2"/>
  <c r="D1077" i="2"/>
  <c r="E1077" i="2"/>
  <c r="F1077" i="2"/>
  <c r="G1077" i="2"/>
  <c r="H1077" i="2"/>
  <c r="I1077" i="2"/>
  <c r="J1077" i="2"/>
  <c r="K1077" i="2"/>
  <c r="L1077" i="2"/>
  <c r="M1077" i="2"/>
  <c r="N1077" i="2"/>
  <c r="O1077" i="2"/>
  <c r="B1078" i="2"/>
  <c r="C1078" i="2"/>
  <c r="D1078" i="2"/>
  <c r="E1078" i="2"/>
  <c r="F1078" i="2"/>
  <c r="G1078" i="2"/>
  <c r="H1078" i="2"/>
  <c r="I1078" i="2"/>
  <c r="J1078" i="2"/>
  <c r="K1078" i="2"/>
  <c r="L1078" i="2"/>
  <c r="M1078" i="2"/>
  <c r="N1078" i="2"/>
  <c r="O1078" i="2"/>
  <c r="B1079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B1080" i="2"/>
  <c r="C1080" i="2"/>
  <c r="D1080" i="2"/>
  <c r="E1080" i="2"/>
  <c r="F1080" i="2"/>
  <c r="G1080" i="2"/>
  <c r="H1080" i="2"/>
  <c r="I1080" i="2"/>
  <c r="J1080" i="2"/>
  <c r="K1080" i="2"/>
  <c r="L1080" i="2"/>
  <c r="M1080" i="2"/>
  <c r="N1080" i="2"/>
  <c r="O1080" i="2"/>
  <c r="B1081" i="2"/>
  <c r="C1081" i="2"/>
  <c r="D1081" i="2"/>
  <c r="E1081" i="2"/>
  <c r="F1081" i="2"/>
  <c r="G1081" i="2"/>
  <c r="H1081" i="2"/>
  <c r="I1081" i="2"/>
  <c r="J1081" i="2"/>
  <c r="K1081" i="2"/>
  <c r="L1081" i="2"/>
  <c r="M1081" i="2"/>
  <c r="N1081" i="2"/>
  <c r="O1081" i="2"/>
  <c r="B1082" i="2"/>
  <c r="C1082" i="2"/>
  <c r="D1082" i="2"/>
  <c r="E1082" i="2"/>
  <c r="F1082" i="2"/>
  <c r="G1082" i="2"/>
  <c r="H1082" i="2"/>
  <c r="I1082" i="2"/>
  <c r="J1082" i="2"/>
  <c r="K1082" i="2"/>
  <c r="L1082" i="2"/>
  <c r="M1082" i="2"/>
  <c r="N1082" i="2"/>
  <c r="O1082" i="2"/>
  <c r="B1083" i="2"/>
  <c r="C1083" i="2"/>
  <c r="D1083" i="2"/>
  <c r="E1083" i="2"/>
  <c r="F1083" i="2"/>
  <c r="G1083" i="2"/>
  <c r="H1083" i="2"/>
  <c r="I1083" i="2"/>
  <c r="J1083" i="2"/>
  <c r="K1083" i="2"/>
  <c r="L1083" i="2"/>
  <c r="M1083" i="2"/>
  <c r="N1083" i="2"/>
  <c r="O1083" i="2"/>
  <c r="B1084" i="2"/>
  <c r="C1084" i="2"/>
  <c r="D1084" i="2"/>
  <c r="E1084" i="2"/>
  <c r="F1084" i="2"/>
  <c r="G1084" i="2"/>
  <c r="H1084" i="2"/>
  <c r="I1084" i="2"/>
  <c r="J1084" i="2"/>
  <c r="K1084" i="2"/>
  <c r="L1084" i="2"/>
  <c r="M1084" i="2"/>
  <c r="N1084" i="2"/>
  <c r="O1084" i="2"/>
  <c r="B1085" i="2"/>
  <c r="C1085" i="2"/>
  <c r="D1085" i="2"/>
  <c r="E1085" i="2"/>
  <c r="F1085" i="2"/>
  <c r="G1085" i="2"/>
  <c r="H1085" i="2"/>
  <c r="I1085" i="2"/>
  <c r="J1085" i="2"/>
  <c r="K1085" i="2"/>
  <c r="L1085" i="2"/>
  <c r="M1085" i="2"/>
  <c r="N1085" i="2"/>
  <c r="O1085" i="2"/>
  <c r="B1086" i="2"/>
  <c r="C1086" i="2"/>
  <c r="D1086" i="2"/>
  <c r="E1086" i="2"/>
  <c r="F1086" i="2"/>
  <c r="G1086" i="2"/>
  <c r="H1086" i="2"/>
  <c r="I1086" i="2"/>
  <c r="J1086" i="2"/>
  <c r="K1086" i="2"/>
  <c r="L1086" i="2"/>
  <c r="M1086" i="2"/>
  <c r="N1086" i="2"/>
  <c r="O1086" i="2"/>
  <c r="B1087" i="2"/>
  <c r="C1087" i="2"/>
  <c r="D1087" i="2"/>
  <c r="E1087" i="2"/>
  <c r="F1087" i="2"/>
  <c r="G1087" i="2"/>
  <c r="H1087" i="2"/>
  <c r="I1087" i="2"/>
  <c r="J1087" i="2"/>
  <c r="K1087" i="2"/>
  <c r="L1087" i="2"/>
  <c r="M1087" i="2"/>
  <c r="N1087" i="2"/>
  <c r="O1087" i="2"/>
  <c r="B1088" i="2"/>
  <c r="C1088" i="2"/>
  <c r="D1088" i="2"/>
  <c r="E1088" i="2"/>
  <c r="F1088" i="2"/>
  <c r="G1088" i="2"/>
  <c r="H1088" i="2"/>
  <c r="I1088" i="2"/>
  <c r="J1088" i="2"/>
  <c r="K1088" i="2"/>
  <c r="L1088" i="2"/>
  <c r="M1088" i="2"/>
  <c r="N1088" i="2"/>
  <c r="O1088" i="2"/>
  <c r="B1089" i="2"/>
  <c r="C1089" i="2"/>
  <c r="D1089" i="2"/>
  <c r="E1089" i="2"/>
  <c r="F1089" i="2"/>
  <c r="G1089" i="2"/>
  <c r="H1089" i="2"/>
  <c r="I1089" i="2"/>
  <c r="J1089" i="2"/>
  <c r="K1089" i="2"/>
  <c r="L1089" i="2"/>
  <c r="M1089" i="2"/>
  <c r="N1089" i="2"/>
  <c r="O1089" i="2"/>
  <c r="B1090" i="2"/>
  <c r="C1090" i="2"/>
  <c r="D1090" i="2"/>
  <c r="E1090" i="2"/>
  <c r="F1090" i="2"/>
  <c r="G1090" i="2"/>
  <c r="H1090" i="2"/>
  <c r="I1090" i="2"/>
  <c r="J1090" i="2"/>
  <c r="K1090" i="2"/>
  <c r="L1090" i="2"/>
  <c r="M1090" i="2"/>
  <c r="N1090" i="2"/>
  <c r="O1090" i="2"/>
  <c r="B1091" i="2"/>
  <c r="C1091" i="2"/>
  <c r="D1091" i="2"/>
  <c r="E1091" i="2"/>
  <c r="F1091" i="2"/>
  <c r="G1091" i="2"/>
  <c r="H1091" i="2"/>
  <c r="I1091" i="2"/>
  <c r="J1091" i="2"/>
  <c r="K1091" i="2"/>
  <c r="L1091" i="2"/>
  <c r="M1091" i="2"/>
  <c r="N1091" i="2"/>
  <c r="O1091" i="2"/>
  <c r="B1092" i="2"/>
  <c r="C1092" i="2"/>
  <c r="D1092" i="2"/>
  <c r="E1092" i="2"/>
  <c r="F1092" i="2"/>
  <c r="G1092" i="2"/>
  <c r="H1092" i="2"/>
  <c r="I1092" i="2"/>
  <c r="J1092" i="2"/>
  <c r="K1092" i="2"/>
  <c r="L1092" i="2"/>
  <c r="M1092" i="2"/>
  <c r="N1092" i="2"/>
  <c r="O1092" i="2"/>
  <c r="B1093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B1094" i="2"/>
  <c r="C1094" i="2"/>
  <c r="D1094" i="2"/>
  <c r="E1094" i="2"/>
  <c r="F1094" i="2"/>
  <c r="G1094" i="2"/>
  <c r="H1094" i="2"/>
  <c r="I1094" i="2"/>
  <c r="J1094" i="2"/>
  <c r="K1094" i="2"/>
  <c r="L1094" i="2"/>
  <c r="M1094" i="2"/>
  <c r="N1094" i="2"/>
  <c r="O1094" i="2"/>
  <c r="B1095" i="2"/>
  <c r="C1095" i="2"/>
  <c r="D1095" i="2"/>
  <c r="E1095" i="2"/>
  <c r="F1095" i="2"/>
  <c r="G1095" i="2"/>
  <c r="H1095" i="2"/>
  <c r="I1095" i="2"/>
  <c r="J1095" i="2"/>
  <c r="K1095" i="2"/>
  <c r="L1095" i="2"/>
  <c r="M1095" i="2"/>
  <c r="N1095" i="2"/>
  <c r="O1095" i="2"/>
  <c r="B1096" i="2"/>
  <c r="C1096" i="2"/>
  <c r="D1096" i="2"/>
  <c r="E1096" i="2"/>
  <c r="F1096" i="2"/>
  <c r="G1096" i="2"/>
  <c r="H1096" i="2"/>
  <c r="I1096" i="2"/>
  <c r="J1096" i="2"/>
  <c r="K1096" i="2"/>
  <c r="L1096" i="2"/>
  <c r="M1096" i="2"/>
  <c r="N1096" i="2"/>
  <c r="O1096" i="2"/>
  <c r="B1097" i="2"/>
  <c r="C1097" i="2"/>
  <c r="D1097" i="2"/>
  <c r="E1097" i="2"/>
  <c r="F1097" i="2"/>
  <c r="G1097" i="2"/>
  <c r="H1097" i="2"/>
  <c r="I1097" i="2"/>
  <c r="J1097" i="2"/>
  <c r="K1097" i="2"/>
  <c r="L1097" i="2"/>
  <c r="M1097" i="2"/>
  <c r="N1097" i="2"/>
  <c r="O1097" i="2"/>
  <c r="B1098" i="2"/>
  <c r="C1098" i="2"/>
  <c r="D1098" i="2"/>
  <c r="E1098" i="2"/>
  <c r="F1098" i="2"/>
  <c r="G1098" i="2"/>
  <c r="H1098" i="2"/>
  <c r="I1098" i="2"/>
  <c r="J1098" i="2"/>
  <c r="K1098" i="2"/>
  <c r="L1098" i="2"/>
  <c r="M1098" i="2"/>
  <c r="N1098" i="2"/>
  <c r="O1098" i="2"/>
  <c r="B1099" i="2"/>
  <c r="C1099" i="2"/>
  <c r="D1099" i="2"/>
  <c r="E1099" i="2"/>
  <c r="F1099" i="2"/>
  <c r="G1099" i="2"/>
  <c r="H1099" i="2"/>
  <c r="I1099" i="2"/>
  <c r="J1099" i="2"/>
  <c r="K1099" i="2"/>
  <c r="L1099" i="2"/>
  <c r="M1099" i="2"/>
  <c r="N1099" i="2"/>
  <c r="O1099" i="2"/>
  <c r="B1100" i="2"/>
  <c r="C1100" i="2"/>
  <c r="D1100" i="2"/>
  <c r="E1100" i="2"/>
  <c r="F1100" i="2"/>
  <c r="G1100" i="2"/>
  <c r="H1100" i="2"/>
  <c r="I1100" i="2"/>
  <c r="J1100" i="2"/>
  <c r="K1100" i="2"/>
  <c r="L1100" i="2"/>
  <c r="M1100" i="2"/>
  <c r="N1100" i="2"/>
  <c r="O1100" i="2"/>
  <c r="B1101" i="2"/>
  <c r="C1101" i="2"/>
  <c r="D1101" i="2"/>
  <c r="E1101" i="2"/>
  <c r="F1101" i="2"/>
  <c r="G1101" i="2"/>
  <c r="H1101" i="2"/>
  <c r="I1101" i="2"/>
  <c r="J1101" i="2"/>
  <c r="K1101" i="2"/>
  <c r="L1101" i="2"/>
  <c r="M1101" i="2"/>
  <c r="N1101" i="2"/>
  <c r="O1101" i="2"/>
  <c r="B1102" i="2"/>
  <c r="C1102" i="2"/>
  <c r="D1102" i="2"/>
  <c r="E1102" i="2"/>
  <c r="F1102" i="2"/>
  <c r="G1102" i="2"/>
  <c r="H1102" i="2"/>
  <c r="I1102" i="2"/>
  <c r="J1102" i="2"/>
  <c r="K1102" i="2"/>
  <c r="L1102" i="2"/>
  <c r="M1102" i="2"/>
  <c r="N1102" i="2"/>
  <c r="O1102" i="2"/>
  <c r="B1103" i="2"/>
  <c r="C1103" i="2"/>
  <c r="D1103" i="2"/>
  <c r="E1103" i="2"/>
  <c r="F1103" i="2"/>
  <c r="G1103" i="2"/>
  <c r="H1103" i="2"/>
  <c r="I1103" i="2"/>
  <c r="J1103" i="2"/>
  <c r="K1103" i="2"/>
  <c r="L1103" i="2"/>
  <c r="M1103" i="2"/>
  <c r="N1103" i="2"/>
  <c r="O1103" i="2"/>
  <c r="B1104" i="2"/>
  <c r="C1104" i="2"/>
  <c r="D1104" i="2"/>
  <c r="E1104" i="2"/>
  <c r="F1104" i="2"/>
  <c r="G1104" i="2"/>
  <c r="H1104" i="2"/>
  <c r="I1104" i="2"/>
  <c r="J1104" i="2"/>
  <c r="K1104" i="2"/>
  <c r="L1104" i="2"/>
  <c r="M1104" i="2"/>
  <c r="N1104" i="2"/>
  <c r="O1104" i="2"/>
  <c r="B1105" i="2"/>
  <c r="C1105" i="2"/>
  <c r="D1105" i="2"/>
  <c r="E1105" i="2"/>
  <c r="F1105" i="2"/>
  <c r="G1105" i="2"/>
  <c r="H1105" i="2"/>
  <c r="I1105" i="2"/>
  <c r="J1105" i="2"/>
  <c r="K1105" i="2"/>
  <c r="L1105" i="2"/>
  <c r="M1105" i="2"/>
  <c r="N1105" i="2"/>
  <c r="O1105" i="2"/>
  <c r="B1106" i="2"/>
  <c r="C1106" i="2"/>
  <c r="D1106" i="2"/>
  <c r="E1106" i="2"/>
  <c r="F1106" i="2"/>
  <c r="G1106" i="2"/>
  <c r="H1106" i="2"/>
  <c r="I1106" i="2"/>
  <c r="J1106" i="2"/>
  <c r="K1106" i="2"/>
  <c r="L1106" i="2"/>
  <c r="M1106" i="2"/>
  <c r="N1106" i="2"/>
  <c r="O1106" i="2"/>
  <c r="B1107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B1108" i="2"/>
  <c r="C1108" i="2"/>
  <c r="D1108" i="2"/>
  <c r="E1108" i="2"/>
  <c r="F1108" i="2"/>
  <c r="G1108" i="2"/>
  <c r="H1108" i="2"/>
  <c r="I1108" i="2"/>
  <c r="J1108" i="2"/>
  <c r="K1108" i="2"/>
  <c r="L1108" i="2"/>
  <c r="M1108" i="2"/>
  <c r="N1108" i="2"/>
  <c r="O1108" i="2"/>
  <c r="B1109" i="2"/>
  <c r="C1109" i="2"/>
  <c r="D1109" i="2"/>
  <c r="E1109" i="2"/>
  <c r="F1109" i="2"/>
  <c r="G1109" i="2"/>
  <c r="H1109" i="2"/>
  <c r="I1109" i="2"/>
  <c r="J1109" i="2"/>
  <c r="K1109" i="2"/>
  <c r="L1109" i="2"/>
  <c r="M1109" i="2"/>
  <c r="N1109" i="2"/>
  <c r="O1109" i="2"/>
  <c r="B1110" i="2"/>
  <c r="C1110" i="2"/>
  <c r="D1110" i="2"/>
  <c r="E1110" i="2"/>
  <c r="F1110" i="2"/>
  <c r="G1110" i="2"/>
  <c r="H1110" i="2"/>
  <c r="I1110" i="2"/>
  <c r="J1110" i="2"/>
  <c r="K1110" i="2"/>
  <c r="L1110" i="2"/>
  <c r="M1110" i="2"/>
  <c r="N1110" i="2"/>
  <c r="O1110" i="2"/>
  <c r="B1111" i="2"/>
  <c r="C1111" i="2"/>
  <c r="D1111" i="2"/>
  <c r="E1111" i="2"/>
  <c r="F1111" i="2"/>
  <c r="G1111" i="2"/>
  <c r="H1111" i="2"/>
  <c r="I1111" i="2"/>
  <c r="J1111" i="2"/>
  <c r="K1111" i="2"/>
  <c r="L1111" i="2"/>
  <c r="M1111" i="2"/>
  <c r="N1111" i="2"/>
  <c r="O1111" i="2"/>
  <c r="B1112" i="2"/>
  <c r="C1112" i="2"/>
  <c r="D1112" i="2"/>
  <c r="E1112" i="2"/>
  <c r="F1112" i="2"/>
  <c r="G1112" i="2"/>
  <c r="H1112" i="2"/>
  <c r="I1112" i="2"/>
  <c r="J1112" i="2"/>
  <c r="K1112" i="2"/>
  <c r="L1112" i="2"/>
  <c r="M1112" i="2"/>
  <c r="N1112" i="2"/>
  <c r="O1112" i="2"/>
  <c r="B1113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B1114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B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B1116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B1117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B1118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B1119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B1120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B1121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B1122" i="2"/>
  <c r="C1122" i="2"/>
  <c r="D1122" i="2"/>
  <c r="E1122" i="2"/>
  <c r="F1122" i="2"/>
  <c r="G1122" i="2"/>
  <c r="H1122" i="2"/>
  <c r="I1122" i="2"/>
  <c r="J1122" i="2"/>
  <c r="K1122" i="2"/>
  <c r="L1122" i="2"/>
  <c r="M1122" i="2"/>
  <c r="N1122" i="2"/>
  <c r="O1122" i="2"/>
  <c r="B1123" i="2"/>
  <c r="C1123" i="2"/>
  <c r="D1123" i="2"/>
  <c r="E1123" i="2"/>
  <c r="F1123" i="2"/>
  <c r="G1123" i="2"/>
  <c r="H1123" i="2"/>
  <c r="I1123" i="2"/>
  <c r="J1123" i="2"/>
  <c r="K1123" i="2"/>
  <c r="L1123" i="2"/>
  <c r="M1123" i="2"/>
  <c r="N1123" i="2"/>
  <c r="O1123" i="2"/>
  <c r="B1124" i="2"/>
  <c r="C1124" i="2"/>
  <c r="D1124" i="2"/>
  <c r="E1124" i="2"/>
  <c r="F1124" i="2"/>
  <c r="G1124" i="2"/>
  <c r="H1124" i="2"/>
  <c r="I1124" i="2"/>
  <c r="J1124" i="2"/>
  <c r="K1124" i="2"/>
  <c r="L1124" i="2"/>
  <c r="M1124" i="2"/>
  <c r="N1124" i="2"/>
  <c r="O1124" i="2"/>
  <c r="B1125" i="2"/>
  <c r="C1125" i="2"/>
  <c r="D1125" i="2"/>
  <c r="E1125" i="2"/>
  <c r="F1125" i="2"/>
  <c r="G1125" i="2"/>
  <c r="H1125" i="2"/>
  <c r="I1125" i="2"/>
  <c r="J1125" i="2"/>
  <c r="K1125" i="2"/>
  <c r="L1125" i="2"/>
  <c r="M1125" i="2"/>
  <c r="N1125" i="2"/>
  <c r="O1125" i="2"/>
  <c r="B1126" i="2"/>
  <c r="C1126" i="2"/>
  <c r="D1126" i="2"/>
  <c r="E1126" i="2"/>
  <c r="F1126" i="2"/>
  <c r="G1126" i="2"/>
  <c r="H1126" i="2"/>
  <c r="I1126" i="2"/>
  <c r="J1126" i="2"/>
  <c r="K1126" i="2"/>
  <c r="L1126" i="2"/>
  <c r="M1126" i="2"/>
  <c r="N1126" i="2"/>
  <c r="O1126" i="2"/>
  <c r="B1127" i="2"/>
  <c r="C1127" i="2"/>
  <c r="D1127" i="2"/>
  <c r="E1127" i="2"/>
  <c r="F1127" i="2"/>
  <c r="G1127" i="2"/>
  <c r="H1127" i="2"/>
  <c r="I1127" i="2"/>
  <c r="J1127" i="2"/>
  <c r="K1127" i="2"/>
  <c r="L1127" i="2"/>
  <c r="M1127" i="2"/>
  <c r="N1127" i="2"/>
  <c r="O1127" i="2"/>
  <c r="B1128" i="2"/>
  <c r="C1128" i="2"/>
  <c r="D1128" i="2"/>
  <c r="E1128" i="2"/>
  <c r="F1128" i="2"/>
  <c r="G1128" i="2"/>
  <c r="H1128" i="2"/>
  <c r="I1128" i="2"/>
  <c r="J1128" i="2"/>
  <c r="K1128" i="2"/>
  <c r="L1128" i="2"/>
  <c r="M1128" i="2"/>
  <c r="N1128" i="2"/>
  <c r="O1128" i="2"/>
  <c r="B1129" i="2"/>
  <c r="C1129" i="2"/>
  <c r="D1129" i="2"/>
  <c r="E1129" i="2"/>
  <c r="F1129" i="2"/>
  <c r="G1129" i="2"/>
  <c r="H1129" i="2"/>
  <c r="I1129" i="2"/>
  <c r="J1129" i="2"/>
  <c r="K1129" i="2"/>
  <c r="L1129" i="2"/>
  <c r="M1129" i="2"/>
  <c r="N1129" i="2"/>
  <c r="O1129" i="2"/>
  <c r="B1130" i="2"/>
  <c r="C1130" i="2"/>
  <c r="D1130" i="2"/>
  <c r="E1130" i="2"/>
  <c r="F1130" i="2"/>
  <c r="G1130" i="2"/>
  <c r="H1130" i="2"/>
  <c r="I1130" i="2"/>
  <c r="J1130" i="2"/>
  <c r="K1130" i="2"/>
  <c r="L1130" i="2"/>
  <c r="M1130" i="2"/>
  <c r="N1130" i="2"/>
  <c r="O1130" i="2"/>
  <c r="B1131" i="2"/>
  <c r="C1131" i="2"/>
  <c r="D1131" i="2"/>
  <c r="E1131" i="2"/>
  <c r="F1131" i="2"/>
  <c r="G1131" i="2"/>
  <c r="H1131" i="2"/>
  <c r="I1131" i="2"/>
  <c r="J1131" i="2"/>
  <c r="K1131" i="2"/>
  <c r="L1131" i="2"/>
  <c r="M1131" i="2"/>
  <c r="N1131" i="2"/>
  <c r="O1131" i="2"/>
  <c r="B1132" i="2"/>
  <c r="C1132" i="2"/>
  <c r="D1132" i="2"/>
  <c r="E1132" i="2"/>
  <c r="F1132" i="2"/>
  <c r="G1132" i="2"/>
  <c r="H1132" i="2"/>
  <c r="I1132" i="2"/>
  <c r="J1132" i="2"/>
  <c r="K1132" i="2"/>
  <c r="L1132" i="2"/>
  <c r="M1132" i="2"/>
  <c r="N1132" i="2"/>
  <c r="O1132" i="2"/>
  <c r="B1133" i="2"/>
  <c r="C1133" i="2"/>
  <c r="D1133" i="2"/>
  <c r="E1133" i="2"/>
  <c r="F1133" i="2"/>
  <c r="G1133" i="2"/>
  <c r="H1133" i="2"/>
  <c r="I1133" i="2"/>
  <c r="J1133" i="2"/>
  <c r="K1133" i="2"/>
  <c r="L1133" i="2"/>
  <c r="M1133" i="2"/>
  <c r="N1133" i="2"/>
  <c r="O1133" i="2"/>
  <c r="B1134" i="2"/>
  <c r="C1134" i="2"/>
  <c r="D1134" i="2"/>
  <c r="E1134" i="2"/>
  <c r="F1134" i="2"/>
  <c r="G1134" i="2"/>
  <c r="H1134" i="2"/>
  <c r="I1134" i="2"/>
  <c r="J1134" i="2"/>
  <c r="K1134" i="2"/>
  <c r="L1134" i="2"/>
  <c r="M1134" i="2"/>
  <c r="N1134" i="2"/>
  <c r="O1134" i="2"/>
  <c r="B1135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B1136" i="2"/>
  <c r="C1136" i="2"/>
  <c r="D1136" i="2"/>
  <c r="E1136" i="2"/>
  <c r="F1136" i="2"/>
  <c r="G1136" i="2"/>
  <c r="H1136" i="2"/>
  <c r="I1136" i="2"/>
  <c r="J1136" i="2"/>
  <c r="K1136" i="2"/>
  <c r="L1136" i="2"/>
  <c r="M1136" i="2"/>
  <c r="N1136" i="2"/>
  <c r="O1136" i="2"/>
  <c r="B1137" i="2"/>
  <c r="C1137" i="2"/>
  <c r="D1137" i="2"/>
  <c r="E1137" i="2"/>
  <c r="F1137" i="2"/>
  <c r="G1137" i="2"/>
  <c r="H1137" i="2"/>
  <c r="I1137" i="2"/>
  <c r="J1137" i="2"/>
  <c r="K1137" i="2"/>
  <c r="L1137" i="2"/>
  <c r="M1137" i="2"/>
  <c r="N1137" i="2"/>
  <c r="O1137" i="2"/>
  <c r="B1138" i="2"/>
  <c r="C1138" i="2"/>
  <c r="D1138" i="2"/>
  <c r="E1138" i="2"/>
  <c r="F1138" i="2"/>
  <c r="G1138" i="2"/>
  <c r="H1138" i="2"/>
  <c r="I1138" i="2"/>
  <c r="J1138" i="2"/>
  <c r="K1138" i="2"/>
  <c r="L1138" i="2"/>
  <c r="M1138" i="2"/>
  <c r="N1138" i="2"/>
  <c r="O1138" i="2"/>
  <c r="B1139" i="2"/>
  <c r="C1139" i="2"/>
  <c r="D1139" i="2"/>
  <c r="E1139" i="2"/>
  <c r="F1139" i="2"/>
  <c r="G1139" i="2"/>
  <c r="H1139" i="2"/>
  <c r="I1139" i="2"/>
  <c r="J1139" i="2"/>
  <c r="K1139" i="2"/>
  <c r="L1139" i="2"/>
  <c r="M1139" i="2"/>
  <c r="N1139" i="2"/>
  <c r="O1139" i="2"/>
  <c r="B1140" i="2"/>
  <c r="C1140" i="2"/>
  <c r="D1140" i="2"/>
  <c r="E1140" i="2"/>
  <c r="F1140" i="2"/>
  <c r="G1140" i="2"/>
  <c r="H1140" i="2"/>
  <c r="I1140" i="2"/>
  <c r="J1140" i="2"/>
  <c r="K1140" i="2"/>
  <c r="L1140" i="2"/>
  <c r="M1140" i="2"/>
  <c r="N1140" i="2"/>
  <c r="O1140" i="2"/>
  <c r="B1141" i="2"/>
  <c r="C1141" i="2"/>
  <c r="D1141" i="2"/>
  <c r="E1141" i="2"/>
  <c r="F1141" i="2"/>
  <c r="G1141" i="2"/>
  <c r="H1141" i="2"/>
  <c r="I1141" i="2"/>
  <c r="J1141" i="2"/>
  <c r="K1141" i="2"/>
  <c r="L1141" i="2"/>
  <c r="M1141" i="2"/>
  <c r="N1141" i="2"/>
  <c r="O1141" i="2"/>
  <c r="B1142" i="2"/>
  <c r="C1142" i="2"/>
  <c r="D1142" i="2"/>
  <c r="E1142" i="2"/>
  <c r="F1142" i="2"/>
  <c r="G1142" i="2"/>
  <c r="H1142" i="2"/>
  <c r="I1142" i="2"/>
  <c r="J1142" i="2"/>
  <c r="K1142" i="2"/>
  <c r="L1142" i="2"/>
  <c r="M1142" i="2"/>
  <c r="N1142" i="2"/>
  <c r="O1142" i="2"/>
  <c r="B1143" i="2"/>
  <c r="C1143" i="2"/>
  <c r="D1143" i="2"/>
  <c r="E1143" i="2"/>
  <c r="F1143" i="2"/>
  <c r="G1143" i="2"/>
  <c r="H1143" i="2"/>
  <c r="I1143" i="2"/>
  <c r="J1143" i="2"/>
  <c r="K1143" i="2"/>
  <c r="L1143" i="2"/>
  <c r="M1143" i="2"/>
  <c r="N1143" i="2"/>
  <c r="O1143" i="2"/>
  <c r="B1144" i="2"/>
  <c r="C1144" i="2"/>
  <c r="D1144" i="2"/>
  <c r="E1144" i="2"/>
  <c r="F1144" i="2"/>
  <c r="G1144" i="2"/>
  <c r="H1144" i="2"/>
  <c r="I1144" i="2"/>
  <c r="J1144" i="2"/>
  <c r="K1144" i="2"/>
  <c r="L1144" i="2"/>
  <c r="M1144" i="2"/>
  <c r="N1144" i="2"/>
  <c r="O1144" i="2"/>
  <c r="B1145" i="2"/>
  <c r="C1145" i="2"/>
  <c r="D1145" i="2"/>
  <c r="E1145" i="2"/>
  <c r="F1145" i="2"/>
  <c r="G1145" i="2"/>
  <c r="H1145" i="2"/>
  <c r="I1145" i="2"/>
  <c r="J1145" i="2"/>
  <c r="K1145" i="2"/>
  <c r="L1145" i="2"/>
  <c r="M1145" i="2"/>
  <c r="N1145" i="2"/>
  <c r="O1145" i="2"/>
  <c r="B1146" i="2"/>
  <c r="C1146" i="2"/>
  <c r="D1146" i="2"/>
  <c r="E1146" i="2"/>
  <c r="F1146" i="2"/>
  <c r="G1146" i="2"/>
  <c r="H1146" i="2"/>
  <c r="I1146" i="2"/>
  <c r="J1146" i="2"/>
  <c r="K1146" i="2"/>
  <c r="L1146" i="2"/>
  <c r="M1146" i="2"/>
  <c r="N1146" i="2"/>
  <c r="O1146" i="2"/>
  <c r="B1147" i="2"/>
  <c r="C1147" i="2"/>
  <c r="D1147" i="2"/>
  <c r="E1147" i="2"/>
  <c r="F1147" i="2"/>
  <c r="G1147" i="2"/>
  <c r="H1147" i="2"/>
  <c r="I1147" i="2"/>
  <c r="J1147" i="2"/>
  <c r="K1147" i="2"/>
  <c r="L1147" i="2"/>
  <c r="M1147" i="2"/>
  <c r="N1147" i="2"/>
  <c r="O1147" i="2"/>
  <c r="B1148" i="2"/>
  <c r="C1148" i="2"/>
  <c r="D1148" i="2"/>
  <c r="E1148" i="2"/>
  <c r="F1148" i="2"/>
  <c r="G1148" i="2"/>
  <c r="H1148" i="2"/>
  <c r="I1148" i="2"/>
  <c r="J1148" i="2"/>
  <c r="K1148" i="2"/>
  <c r="L1148" i="2"/>
  <c r="M1148" i="2"/>
  <c r="N1148" i="2"/>
  <c r="O1148" i="2"/>
  <c r="B1149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B1150" i="2"/>
  <c r="C1150" i="2"/>
  <c r="D1150" i="2"/>
  <c r="E1150" i="2"/>
  <c r="F1150" i="2"/>
  <c r="G1150" i="2"/>
  <c r="H1150" i="2"/>
  <c r="I1150" i="2"/>
  <c r="J1150" i="2"/>
  <c r="K1150" i="2"/>
  <c r="L1150" i="2"/>
  <c r="M1150" i="2"/>
  <c r="N1150" i="2"/>
  <c r="O1150" i="2"/>
  <c r="B1151" i="2"/>
  <c r="C1151" i="2"/>
  <c r="D1151" i="2"/>
  <c r="E1151" i="2"/>
  <c r="F1151" i="2"/>
  <c r="G1151" i="2"/>
  <c r="H1151" i="2"/>
  <c r="I1151" i="2"/>
  <c r="J1151" i="2"/>
  <c r="K1151" i="2"/>
  <c r="L1151" i="2"/>
  <c r="M1151" i="2"/>
  <c r="N1151" i="2"/>
  <c r="O1151" i="2"/>
  <c r="B1152" i="2"/>
  <c r="C1152" i="2"/>
  <c r="D1152" i="2"/>
  <c r="E1152" i="2"/>
  <c r="F1152" i="2"/>
  <c r="G1152" i="2"/>
  <c r="H1152" i="2"/>
  <c r="I1152" i="2"/>
  <c r="J1152" i="2"/>
  <c r="K1152" i="2"/>
  <c r="L1152" i="2"/>
  <c r="M1152" i="2"/>
  <c r="N1152" i="2"/>
  <c r="O1152" i="2"/>
  <c r="B1153" i="2"/>
  <c r="C1153" i="2"/>
  <c r="D1153" i="2"/>
  <c r="E1153" i="2"/>
  <c r="F1153" i="2"/>
  <c r="G1153" i="2"/>
  <c r="H1153" i="2"/>
  <c r="I1153" i="2"/>
  <c r="J1153" i="2"/>
  <c r="K1153" i="2"/>
  <c r="L1153" i="2"/>
  <c r="M1153" i="2"/>
  <c r="N1153" i="2"/>
  <c r="O1153" i="2"/>
  <c r="B1154" i="2"/>
  <c r="C1154" i="2"/>
  <c r="D1154" i="2"/>
  <c r="E1154" i="2"/>
  <c r="F1154" i="2"/>
  <c r="G1154" i="2"/>
  <c r="H1154" i="2"/>
  <c r="I1154" i="2"/>
  <c r="J1154" i="2"/>
  <c r="K1154" i="2"/>
  <c r="L1154" i="2"/>
  <c r="M1154" i="2"/>
  <c r="N1154" i="2"/>
  <c r="O1154" i="2"/>
  <c r="B1155" i="2"/>
  <c r="C1155" i="2"/>
  <c r="D1155" i="2"/>
  <c r="E1155" i="2"/>
  <c r="F1155" i="2"/>
  <c r="G1155" i="2"/>
  <c r="H1155" i="2"/>
  <c r="I1155" i="2"/>
  <c r="J1155" i="2"/>
  <c r="K1155" i="2"/>
  <c r="L1155" i="2"/>
  <c r="M1155" i="2"/>
  <c r="N1155" i="2"/>
  <c r="O1155" i="2"/>
  <c r="B1156" i="2"/>
  <c r="C1156" i="2"/>
  <c r="D1156" i="2"/>
  <c r="E1156" i="2"/>
  <c r="F1156" i="2"/>
  <c r="G1156" i="2"/>
  <c r="H1156" i="2"/>
  <c r="I1156" i="2"/>
  <c r="J1156" i="2"/>
  <c r="K1156" i="2"/>
  <c r="L1156" i="2"/>
  <c r="M1156" i="2"/>
  <c r="N1156" i="2"/>
  <c r="O1156" i="2"/>
  <c r="B1157" i="2"/>
  <c r="C1157" i="2"/>
  <c r="D1157" i="2"/>
  <c r="E1157" i="2"/>
  <c r="F1157" i="2"/>
  <c r="G1157" i="2"/>
  <c r="H1157" i="2"/>
  <c r="I1157" i="2"/>
  <c r="J1157" i="2"/>
  <c r="K1157" i="2"/>
  <c r="L1157" i="2"/>
  <c r="M1157" i="2"/>
  <c r="N1157" i="2"/>
  <c r="O1157" i="2"/>
  <c r="B1158" i="2"/>
  <c r="C1158" i="2"/>
  <c r="D1158" i="2"/>
  <c r="E1158" i="2"/>
  <c r="F1158" i="2"/>
  <c r="G1158" i="2"/>
  <c r="H1158" i="2"/>
  <c r="I1158" i="2"/>
  <c r="J1158" i="2"/>
  <c r="K1158" i="2"/>
  <c r="L1158" i="2"/>
  <c r="M1158" i="2"/>
  <c r="N1158" i="2"/>
  <c r="O1158" i="2"/>
  <c r="AB786" i="5" l="1"/>
  <c r="AB782" i="5"/>
  <c r="AB778" i="5"/>
  <c r="AB774" i="5"/>
  <c r="AB770" i="5"/>
  <c r="AB766" i="5"/>
  <c r="AB762" i="5"/>
  <c r="AB758" i="5"/>
  <c r="AB787" i="5"/>
  <c r="AB783" i="5"/>
  <c r="AB779" i="5"/>
  <c r="AB775" i="5"/>
  <c r="AB771" i="5"/>
  <c r="AB767" i="5"/>
  <c r="AB763" i="5"/>
  <c r="AB759" i="5"/>
  <c r="AB755" i="5"/>
  <c r="AB1067" i="5"/>
  <c r="AB1065" i="5"/>
  <c r="AB1063" i="5"/>
  <c r="AB1061" i="5"/>
  <c r="AB1059" i="5"/>
  <c r="AB1057" i="5"/>
  <c r="AB1055" i="5"/>
  <c r="AB1053" i="5"/>
  <c r="AB1051" i="5"/>
  <c r="AB1049" i="5"/>
  <c r="AB1047" i="5"/>
  <c r="AB1045" i="5"/>
  <c r="AB1043" i="5"/>
  <c r="AB1041" i="5"/>
  <c r="AB1039" i="5"/>
  <c r="AB1037" i="5"/>
  <c r="AB1035" i="5"/>
  <c r="AB1033" i="5"/>
  <c r="AB1031" i="5"/>
  <c r="AB1029" i="5"/>
  <c r="AB1027" i="5"/>
  <c r="AB1025" i="5"/>
  <c r="AB1023" i="5"/>
  <c r="AB1021" i="5"/>
  <c r="AB1019" i="5"/>
  <c r="AB1017" i="5"/>
  <c r="AB1015" i="5"/>
  <c r="AB1013" i="5"/>
  <c r="AB1011" i="5"/>
  <c r="AB1009" i="5"/>
  <c r="AB1007" i="5"/>
  <c r="AB1005" i="5"/>
  <c r="AB1003" i="5"/>
  <c r="AB1001" i="5"/>
  <c r="AB999" i="5"/>
  <c r="AB997" i="5"/>
  <c r="AB995" i="5"/>
  <c r="AB993" i="5"/>
  <c r="AB991" i="5"/>
  <c r="AB989" i="5"/>
  <c r="AB987" i="5"/>
  <c r="AB985" i="5"/>
  <c r="AB983" i="5"/>
  <c r="AB981" i="5"/>
  <c r="AB979" i="5"/>
  <c r="AB977" i="5"/>
  <c r="AB975" i="5"/>
  <c r="AB973" i="5"/>
  <c r="AB971" i="5"/>
  <c r="AB969" i="5"/>
  <c r="AB967" i="5"/>
  <c r="AB965" i="5"/>
  <c r="AB963" i="5"/>
  <c r="AB961" i="5"/>
  <c r="AB959" i="5"/>
  <c r="AB957" i="5"/>
  <c r="AB955" i="5"/>
  <c r="AB953" i="5"/>
  <c r="AB951" i="5"/>
  <c r="AB949" i="5"/>
  <c r="AB947" i="5"/>
  <c r="AB945" i="5"/>
  <c r="AB943" i="5"/>
  <c r="AB941" i="5"/>
  <c r="AB939" i="5"/>
  <c r="AB937" i="5"/>
  <c r="AB935" i="5"/>
  <c r="AB933" i="5"/>
  <c r="AB931" i="5"/>
  <c r="AB929" i="5"/>
  <c r="AB927" i="5"/>
  <c r="AB925" i="5"/>
  <c r="AB923" i="5"/>
  <c r="AB921" i="5"/>
  <c r="AB919" i="5"/>
  <c r="AB917" i="5"/>
  <c r="AB915" i="5"/>
  <c r="AB913" i="5"/>
  <c r="AB911" i="5"/>
  <c r="AB909" i="5"/>
  <c r="AB907" i="5"/>
  <c r="AB905" i="5"/>
  <c r="AB903" i="5"/>
  <c r="AB901" i="5"/>
  <c r="AB899" i="5"/>
  <c r="AB897" i="5"/>
  <c r="AB895" i="5"/>
  <c r="AB893" i="5"/>
  <c r="AB891" i="5"/>
  <c r="AB889" i="5"/>
  <c r="AB887" i="5"/>
  <c r="AB885" i="5"/>
  <c r="AB883" i="5"/>
  <c r="AB881" i="5"/>
  <c r="AB879" i="5"/>
  <c r="AB877" i="5"/>
  <c r="AB875" i="5"/>
  <c r="AB873" i="5"/>
  <c r="AB871" i="5"/>
  <c r="AB869" i="5"/>
  <c r="AB867" i="5"/>
  <c r="AB865" i="5"/>
  <c r="AB863" i="5"/>
  <c r="AB861" i="5"/>
  <c r="AB859" i="5"/>
  <c r="AB857" i="5"/>
  <c r="AB855" i="5"/>
  <c r="AB853" i="5"/>
  <c r="AB851" i="5"/>
  <c r="AB849" i="5"/>
  <c r="AB847" i="5"/>
  <c r="AB845" i="5"/>
  <c r="AB843" i="5"/>
  <c r="AB841" i="5"/>
  <c r="AB839" i="5"/>
  <c r="AB837" i="5"/>
  <c r="AB835" i="5"/>
  <c r="AB833" i="5"/>
  <c r="AB831" i="5"/>
  <c r="AB829" i="5"/>
  <c r="AB827" i="5"/>
  <c r="AB825" i="5"/>
  <c r="AB823" i="5"/>
  <c r="AB821" i="5"/>
  <c r="AB819" i="5"/>
  <c r="AB817" i="5"/>
  <c r="AB815" i="5"/>
  <c r="AB813" i="5"/>
  <c r="AB811" i="5"/>
  <c r="AB809" i="5"/>
  <c r="AB807" i="5"/>
  <c r="AB805" i="5"/>
  <c r="AB803" i="5"/>
  <c r="AB801" i="5"/>
  <c r="AB799" i="5"/>
  <c r="AB797" i="5"/>
  <c r="AB795" i="5"/>
  <c r="AB793" i="5"/>
  <c r="AB791" i="5"/>
  <c r="AB789" i="5"/>
  <c r="AB784" i="5"/>
  <c r="AB780" i="5"/>
  <c r="AB776" i="5"/>
  <c r="AB772" i="5"/>
  <c r="AB768" i="5"/>
  <c r="AB764" i="5"/>
  <c r="AB760" i="5"/>
  <c r="AB756" i="5"/>
  <c r="AC785" i="5"/>
  <c r="AB785" i="5"/>
  <c r="AC781" i="5"/>
  <c r="AB781" i="5"/>
  <c r="AC777" i="5"/>
  <c r="AB777" i="5"/>
  <c r="AC773" i="5"/>
  <c r="AB773" i="5"/>
  <c r="AC769" i="5"/>
  <c r="AB769" i="5"/>
  <c r="AC765" i="5"/>
  <c r="AB765" i="5"/>
  <c r="AB761" i="5"/>
  <c r="AB757" i="5"/>
  <c r="AB692" i="5"/>
  <c r="AC687" i="5"/>
  <c r="AB687" i="5"/>
  <c r="AB684" i="5"/>
  <c r="AC679" i="5"/>
  <c r="AB679" i="5"/>
  <c r="AB676" i="5"/>
  <c r="AC671" i="5"/>
  <c r="AB671" i="5"/>
  <c r="AB668" i="5"/>
  <c r="AC663" i="5"/>
  <c r="AB663" i="5"/>
  <c r="AB660" i="5"/>
  <c r="AC655" i="5"/>
  <c r="AB655" i="5"/>
  <c r="AB652" i="5"/>
  <c r="AC647" i="5"/>
  <c r="AB647" i="5"/>
  <c r="AB644" i="5"/>
  <c r="AC639" i="5"/>
  <c r="AB639" i="5"/>
  <c r="AB636" i="5"/>
  <c r="AC631" i="5"/>
  <c r="AB631" i="5"/>
  <c r="AB627" i="5"/>
  <c r="AB623" i="5"/>
  <c r="AB609" i="5"/>
  <c r="AB605" i="5"/>
  <c r="AB753" i="5"/>
  <c r="AB751" i="5"/>
  <c r="AB749" i="5"/>
  <c r="AB747" i="5"/>
  <c r="AB745" i="5"/>
  <c r="AB743" i="5"/>
  <c r="AB741" i="5"/>
  <c r="AB739" i="5"/>
  <c r="AB737" i="5"/>
  <c r="AB735" i="5"/>
  <c r="AB733" i="5"/>
  <c r="AB693" i="5"/>
  <c r="AB685" i="5"/>
  <c r="AB677" i="5"/>
  <c r="AB669" i="5"/>
  <c r="AB661" i="5"/>
  <c r="AB653" i="5"/>
  <c r="AB645" i="5"/>
  <c r="AB637" i="5"/>
  <c r="AB601" i="5"/>
  <c r="AC788" i="5"/>
  <c r="AC786" i="5"/>
  <c r="AC784" i="5"/>
  <c r="AC782" i="5"/>
  <c r="AC780" i="5"/>
  <c r="AC778" i="5"/>
  <c r="AC776" i="5"/>
  <c r="AC774" i="5"/>
  <c r="AC772" i="5"/>
  <c r="AC770" i="5"/>
  <c r="AC768" i="5"/>
  <c r="AC766" i="5"/>
  <c r="AC764" i="5"/>
  <c r="AC762" i="5"/>
  <c r="AC760" i="5"/>
  <c r="AC758" i="5"/>
  <c r="AC756" i="5"/>
  <c r="AC754" i="5"/>
  <c r="AC752" i="5"/>
  <c r="AC750" i="5"/>
  <c r="AC748" i="5"/>
  <c r="AC746" i="5"/>
  <c r="AC744" i="5"/>
  <c r="AC742" i="5"/>
  <c r="AC740" i="5"/>
  <c r="AC738" i="5"/>
  <c r="AC736" i="5"/>
  <c r="AC734" i="5"/>
  <c r="AC732" i="5"/>
  <c r="AC730" i="5"/>
  <c r="AC728" i="5"/>
  <c r="AC726" i="5"/>
  <c r="AC724" i="5"/>
  <c r="AC722" i="5"/>
  <c r="AC720" i="5"/>
  <c r="AC718" i="5"/>
  <c r="AC716" i="5"/>
  <c r="AC714" i="5"/>
  <c r="AC712" i="5"/>
  <c r="AC710" i="5"/>
  <c r="AC708" i="5"/>
  <c r="AC706" i="5"/>
  <c r="AC704" i="5"/>
  <c r="AC702" i="5"/>
  <c r="AC700" i="5"/>
  <c r="AC691" i="5"/>
  <c r="AB691" i="5"/>
  <c r="AB688" i="5"/>
  <c r="AC683" i="5"/>
  <c r="AB683" i="5"/>
  <c r="AB680" i="5"/>
  <c r="AC675" i="5"/>
  <c r="AC1125" i="5" s="1"/>
  <c r="AB675" i="5"/>
  <c r="AB672" i="5"/>
  <c r="AC667" i="5"/>
  <c r="AB667" i="5"/>
  <c r="AB664" i="5"/>
  <c r="AC659" i="5"/>
  <c r="AB659" i="5"/>
  <c r="AB656" i="5"/>
  <c r="AC651" i="5"/>
  <c r="AC1123" i="5" s="1"/>
  <c r="AB651" i="5"/>
  <c r="AB648" i="5"/>
  <c r="AC643" i="5"/>
  <c r="AB643" i="5"/>
  <c r="AB640" i="5"/>
  <c r="AC635" i="5"/>
  <c r="AB635" i="5"/>
  <c r="AB632" i="5"/>
  <c r="AB629" i="5"/>
  <c r="AB625" i="5"/>
  <c r="AB621" i="5"/>
  <c r="AB611" i="5"/>
  <c r="AB689" i="5"/>
  <c r="AB681" i="5"/>
  <c r="AB673" i="5"/>
  <c r="AB1125" i="5" s="1"/>
  <c r="AB665" i="5"/>
  <c r="AB657" i="5"/>
  <c r="AB649" i="5"/>
  <c r="AB641" i="5"/>
  <c r="AB633" i="5"/>
  <c r="AB617" i="5"/>
  <c r="AB613" i="5"/>
  <c r="AB603" i="5"/>
  <c r="AB731" i="5"/>
  <c r="AB729" i="5"/>
  <c r="AB727" i="5"/>
  <c r="AB725" i="5"/>
  <c r="AB723" i="5"/>
  <c r="AB721" i="5"/>
  <c r="AB719" i="5"/>
  <c r="AB717" i="5"/>
  <c r="AB715" i="5"/>
  <c r="AB713" i="5"/>
  <c r="AB711" i="5"/>
  <c r="AB709" i="5"/>
  <c r="AB707" i="5"/>
  <c r="AB705" i="5"/>
  <c r="AB703" i="5"/>
  <c r="AB701" i="5"/>
  <c r="AB699" i="5"/>
  <c r="AB697" i="5"/>
  <c r="AB695" i="5"/>
  <c r="AB1126" i="5" s="1"/>
  <c r="AC616" i="5"/>
  <c r="AC608" i="5"/>
  <c r="AC600" i="5"/>
  <c r="AC1118" i="5" s="1"/>
  <c r="AB598" i="5"/>
  <c r="AB596" i="5"/>
  <c r="AB594" i="5"/>
  <c r="AB592" i="5"/>
  <c r="AB590" i="5"/>
  <c r="AB588" i="5"/>
  <c r="AB586" i="5"/>
  <c r="AB584" i="5"/>
  <c r="AB582" i="5"/>
  <c r="AB580" i="5"/>
  <c r="AB578" i="5"/>
  <c r="AB576" i="5"/>
  <c r="AB574" i="5"/>
  <c r="AB572" i="5"/>
  <c r="AB570" i="5"/>
  <c r="AB568" i="5"/>
  <c r="AB566" i="5"/>
  <c r="AB564" i="5"/>
  <c r="AB562" i="5"/>
  <c r="AB560" i="5"/>
  <c r="AB558" i="5"/>
  <c r="AB556" i="5"/>
  <c r="AB554" i="5"/>
  <c r="AB552" i="5"/>
  <c r="AB550" i="5"/>
  <c r="AB548" i="5"/>
  <c r="AB546" i="5"/>
  <c r="AB544" i="5"/>
  <c r="AB542" i="5"/>
  <c r="AB540" i="5"/>
  <c r="AB538" i="5"/>
  <c r="AB536" i="5"/>
  <c r="AB534" i="5"/>
  <c r="AB532" i="5"/>
  <c r="AB530" i="5"/>
  <c r="AB528" i="5"/>
  <c r="AB526" i="5"/>
  <c r="AB524" i="5"/>
  <c r="AB522" i="5"/>
  <c r="AB520" i="5"/>
  <c r="AB518" i="5"/>
  <c r="AB516" i="5"/>
  <c r="AB514" i="5"/>
  <c r="AB512" i="5"/>
  <c r="AB510" i="5"/>
  <c r="AB508" i="5"/>
  <c r="AB506" i="5"/>
  <c r="AB504" i="5"/>
  <c r="AB502" i="5"/>
  <c r="AB500" i="5"/>
  <c r="AB498" i="5"/>
  <c r="AB496" i="5"/>
  <c r="AB494" i="5"/>
  <c r="AB492" i="5"/>
  <c r="AB490" i="5"/>
  <c r="AB488" i="5"/>
  <c r="AB486" i="5"/>
  <c r="AB484" i="5"/>
  <c r="AB482" i="5"/>
  <c r="AB480" i="5"/>
  <c r="AB478" i="5"/>
  <c r="AB476" i="5"/>
  <c r="AB474" i="5"/>
  <c r="AB472" i="5"/>
  <c r="AB470" i="5"/>
  <c r="AB468" i="5"/>
  <c r="AB466" i="5"/>
  <c r="AB464" i="5"/>
  <c r="AB462" i="5"/>
  <c r="AB460" i="5"/>
  <c r="AB458" i="5"/>
  <c r="AB456" i="5"/>
  <c r="AB454" i="5"/>
  <c r="AB452" i="5"/>
  <c r="AB450" i="5"/>
  <c r="AB448" i="5"/>
  <c r="AB446" i="5"/>
  <c r="AB444" i="5"/>
  <c r="AB442" i="5"/>
  <c r="AB440" i="5"/>
  <c r="AB438" i="5"/>
  <c r="AB436" i="5"/>
  <c r="AB434" i="5"/>
  <c r="AB432" i="5"/>
  <c r="AB430" i="5"/>
  <c r="AB428" i="5"/>
  <c r="AB426" i="5"/>
  <c r="AB424" i="5"/>
  <c r="AB422" i="5"/>
  <c r="AB420" i="5"/>
  <c r="AB418" i="5"/>
  <c r="AB416" i="5"/>
  <c r="AB414" i="5"/>
  <c r="AB412" i="5"/>
  <c r="AB410" i="5"/>
  <c r="AB408" i="5"/>
  <c r="AB406" i="5"/>
  <c r="AB404" i="5"/>
  <c r="AB402" i="5"/>
  <c r="AB400" i="5"/>
  <c r="AB398" i="5"/>
  <c r="AB396" i="5"/>
  <c r="AB394" i="5"/>
  <c r="AB392" i="5"/>
  <c r="AB390" i="5"/>
  <c r="AC620" i="5"/>
  <c r="AC612" i="5"/>
  <c r="AC604" i="5"/>
  <c r="AC614" i="5"/>
  <c r="AC606" i="5"/>
  <c r="AB388" i="5"/>
  <c r="AB386" i="5"/>
  <c r="AB384" i="5"/>
  <c r="AB382" i="5"/>
  <c r="AB380" i="5"/>
  <c r="AB378" i="5"/>
  <c r="AB376" i="5"/>
  <c r="AB374" i="5"/>
  <c r="AB1100" i="5" s="1"/>
  <c r="AB372" i="5"/>
  <c r="AB370" i="5"/>
  <c r="AB368" i="5"/>
  <c r="AB366" i="5"/>
  <c r="AB364" i="5"/>
  <c r="AB362" i="5"/>
  <c r="AB360" i="5"/>
  <c r="AB358" i="5"/>
  <c r="AB356" i="5"/>
  <c r="AB354" i="5"/>
  <c r="AB352" i="5"/>
  <c r="AB350" i="5"/>
  <c r="AB1098" i="5" s="1"/>
  <c r="AB348" i="5"/>
  <c r="AB346" i="5"/>
  <c r="AB344" i="5"/>
  <c r="AB342" i="5"/>
  <c r="AB340" i="5"/>
  <c r="AB338" i="5"/>
  <c r="AB336" i="5"/>
  <c r="AB334" i="5"/>
  <c r="AB332" i="5"/>
  <c r="AB330" i="5"/>
  <c r="AB328" i="5"/>
  <c r="AB326" i="5"/>
  <c r="AB1096" i="5" s="1"/>
  <c r="AB324" i="5"/>
  <c r="AB322" i="5"/>
  <c r="AB320" i="5"/>
  <c r="AB318" i="5"/>
  <c r="AB316" i="5"/>
  <c r="AB314" i="5"/>
  <c r="AB312" i="5"/>
  <c r="AB310" i="5"/>
  <c r="AB308" i="5"/>
  <c r="AB306" i="5"/>
  <c r="AB304" i="5"/>
  <c r="AB302" i="5"/>
  <c r="AB1094" i="5" s="1"/>
  <c r="AB300" i="5"/>
  <c r="AB298" i="5"/>
  <c r="AB296" i="5"/>
  <c r="AB294" i="5"/>
  <c r="AB292" i="5"/>
  <c r="AB290" i="5"/>
  <c r="AB288" i="5"/>
  <c r="AB286" i="5"/>
  <c r="AB284" i="5"/>
  <c r="AB282" i="5"/>
  <c r="AB280" i="5"/>
  <c r="AB278" i="5"/>
  <c r="AB276" i="5"/>
  <c r="AB274" i="5"/>
  <c r="AB272" i="5"/>
  <c r="AB270" i="5"/>
  <c r="AB268" i="5"/>
  <c r="AB266" i="5"/>
  <c r="AB1091" i="5" s="1"/>
  <c r="AB264" i="5"/>
  <c r="AB262" i="5"/>
  <c r="AB260" i="5"/>
  <c r="AB258" i="5"/>
  <c r="AB256" i="5"/>
  <c r="AB254" i="5"/>
  <c r="AB252" i="5"/>
  <c r="AB250" i="5"/>
  <c r="AB248" i="5"/>
  <c r="AB246" i="5"/>
  <c r="AB244" i="5"/>
  <c r="AB242" i="5"/>
  <c r="AB1089" i="5" s="1"/>
  <c r="AB240" i="5"/>
  <c r="AB238" i="5"/>
  <c r="AB236" i="5"/>
  <c r="AB234" i="5"/>
  <c r="AB232" i="5"/>
  <c r="AB230" i="5"/>
  <c r="AB228" i="5"/>
  <c r="AB226" i="5"/>
  <c r="AB224" i="5"/>
  <c r="AB222" i="5"/>
  <c r="AB220" i="5"/>
  <c r="AB60" i="5"/>
  <c r="AB56" i="5"/>
  <c r="AB52" i="5"/>
  <c r="AB46" i="5"/>
  <c r="AB42" i="5"/>
  <c r="AC38" i="5"/>
  <c r="AC1072" i="5" s="1"/>
  <c r="AC36" i="5"/>
  <c r="AC32" i="5"/>
  <c r="AC28" i="5"/>
  <c r="AC24" i="5"/>
  <c r="AB57" i="5"/>
  <c r="AB53" i="5"/>
  <c r="AB49" i="5"/>
  <c r="AB45" i="5"/>
  <c r="AB41" i="5"/>
  <c r="AC31" i="5"/>
  <c r="AC27" i="5"/>
  <c r="AC23" i="5"/>
  <c r="AC1070" i="5" s="1"/>
  <c r="AB218" i="5"/>
  <c r="AB216" i="5"/>
  <c r="AB214" i="5"/>
  <c r="AB212" i="5"/>
  <c r="AB210" i="5"/>
  <c r="AB208" i="5"/>
  <c r="AB206" i="5"/>
  <c r="AB204" i="5"/>
  <c r="AB202" i="5"/>
  <c r="AB200" i="5"/>
  <c r="AB198" i="5"/>
  <c r="AB196" i="5"/>
  <c r="AB194" i="5"/>
  <c r="AB192" i="5"/>
  <c r="AB190" i="5"/>
  <c r="AB188" i="5"/>
  <c r="AB186" i="5"/>
  <c r="AB184" i="5"/>
  <c r="AB182" i="5"/>
  <c r="AB180" i="5"/>
  <c r="AB178" i="5"/>
  <c r="AB176" i="5"/>
  <c r="AB174" i="5"/>
  <c r="AB172" i="5"/>
  <c r="AB170" i="5"/>
  <c r="AB168" i="5"/>
  <c r="AB166" i="5"/>
  <c r="AB164" i="5"/>
  <c r="AB162" i="5"/>
  <c r="AB160" i="5"/>
  <c r="AB158" i="5"/>
  <c r="AB156" i="5"/>
  <c r="AB154" i="5"/>
  <c r="AB152" i="5"/>
  <c r="AB150" i="5"/>
  <c r="AB148" i="5"/>
  <c r="AB146" i="5"/>
  <c r="AB144" i="5"/>
  <c r="AB142" i="5"/>
  <c r="AB140" i="5"/>
  <c r="AB138" i="5"/>
  <c r="AB136" i="5"/>
  <c r="AB134" i="5"/>
  <c r="AB132" i="5"/>
  <c r="AB130" i="5"/>
  <c r="AB128" i="5"/>
  <c r="AB126" i="5"/>
  <c r="AB124" i="5"/>
  <c r="AB122" i="5"/>
  <c r="AB120" i="5"/>
  <c r="AB118" i="5"/>
  <c r="AB116" i="5"/>
  <c r="AB114" i="5"/>
  <c r="AB112" i="5"/>
  <c r="AB110" i="5"/>
  <c r="AB108" i="5"/>
  <c r="AB106" i="5"/>
  <c r="AB104" i="5"/>
  <c r="AB102" i="5"/>
  <c r="AB100" i="5"/>
  <c r="AB98" i="5"/>
  <c r="AB96" i="5"/>
  <c r="AB94" i="5"/>
  <c r="AB92" i="5"/>
  <c r="AB90" i="5"/>
  <c r="AB88" i="5"/>
  <c r="AB86" i="5"/>
  <c r="AB84" i="5"/>
  <c r="AB82" i="5"/>
  <c r="AB80" i="5"/>
  <c r="AB78" i="5"/>
  <c r="AB76" i="5"/>
  <c r="AB74" i="5"/>
  <c r="AB72" i="5"/>
  <c r="AB70" i="5"/>
  <c r="AB68" i="5"/>
  <c r="AB66" i="5"/>
  <c r="AB64" i="5"/>
  <c r="AB62" i="5"/>
  <c r="AB58" i="5"/>
  <c r="AB54" i="5"/>
  <c r="AB50" i="5"/>
  <c r="AB48" i="5"/>
  <c r="AB44" i="5"/>
  <c r="AB40" i="5"/>
  <c r="AC61" i="5"/>
  <c r="AC1074" i="5" s="1"/>
  <c r="AB59" i="5"/>
  <c r="AB55" i="5"/>
  <c r="AB51" i="5"/>
  <c r="AB47" i="5"/>
  <c r="AB43" i="5"/>
  <c r="AB39" i="5"/>
  <c r="AB37" i="5"/>
  <c r="AB35" i="5"/>
  <c r="AB1071" i="5" s="1"/>
  <c r="AC33" i="5"/>
  <c r="AC29" i="5"/>
  <c r="AC25" i="5"/>
  <c r="AB21" i="5"/>
  <c r="AB19" i="5"/>
  <c r="AB1157" i="5"/>
  <c r="AB1156" i="5"/>
  <c r="AB1155" i="5"/>
  <c r="AB1154" i="5"/>
  <c r="AB1153" i="5"/>
  <c r="AB1152" i="5"/>
  <c r="AB1151" i="5"/>
  <c r="AB1150" i="5"/>
  <c r="AB1149" i="5"/>
  <c r="AB1148" i="5"/>
  <c r="AB1147" i="5"/>
  <c r="AB1146" i="5"/>
  <c r="AB1145" i="5"/>
  <c r="AB1144" i="5"/>
  <c r="AB1143" i="5"/>
  <c r="AB1142" i="5"/>
  <c r="AB1141" i="5"/>
  <c r="AB1140" i="5"/>
  <c r="AB1139" i="5"/>
  <c r="AB1138" i="5"/>
  <c r="AB1137" i="5"/>
  <c r="AB1136" i="5"/>
  <c r="AB1135" i="5"/>
  <c r="AB1134" i="5"/>
  <c r="AB1133" i="5"/>
  <c r="AB1132" i="5"/>
  <c r="AB1131" i="5"/>
  <c r="AB1130" i="5"/>
  <c r="AB1129" i="5"/>
  <c r="AB1128" i="5"/>
  <c r="AB1127" i="5"/>
  <c r="AC1157" i="5"/>
  <c r="AC1156" i="5"/>
  <c r="AC1155" i="5"/>
  <c r="AC1154" i="5"/>
  <c r="AC1153" i="5"/>
  <c r="AC1152" i="5"/>
  <c r="AC1151" i="5"/>
  <c r="AC1150" i="5"/>
  <c r="AC1149" i="5"/>
  <c r="AC1148" i="5"/>
  <c r="AC1147" i="5"/>
  <c r="AC1146" i="5"/>
  <c r="AC1145" i="5"/>
  <c r="AC1144" i="5"/>
  <c r="AC1143" i="5"/>
  <c r="AC1142" i="5"/>
  <c r="AC1141" i="5"/>
  <c r="AC1140" i="5"/>
  <c r="AC1139" i="5"/>
  <c r="AC1138" i="5"/>
  <c r="AC1137" i="5"/>
  <c r="AC1136" i="5"/>
  <c r="AC1135" i="5"/>
  <c r="AC1134" i="5"/>
  <c r="AC1133" i="5"/>
  <c r="AC1132" i="5"/>
  <c r="AC1131" i="5"/>
  <c r="AC1130" i="5"/>
  <c r="AC1129" i="5"/>
  <c r="AC1128" i="5"/>
  <c r="AC1127" i="5"/>
  <c r="AC1126" i="5"/>
  <c r="AB630" i="5"/>
  <c r="AB628" i="5"/>
  <c r="AB626" i="5"/>
  <c r="AB624" i="5"/>
  <c r="AB622" i="5"/>
  <c r="AB620" i="5"/>
  <c r="AB618" i="5"/>
  <c r="AB616" i="5"/>
  <c r="AB614" i="5"/>
  <c r="AB612" i="5"/>
  <c r="AB610" i="5"/>
  <c r="AB608" i="5"/>
  <c r="AB606" i="5"/>
  <c r="AB604" i="5"/>
  <c r="AB602" i="5"/>
  <c r="AB600" i="5"/>
  <c r="AB1118" i="5" s="1"/>
  <c r="S1056" i="6"/>
  <c r="S1156" i="6" s="1"/>
  <c r="Q1156" i="6"/>
  <c r="L1156" i="6"/>
  <c r="S1044" i="6"/>
  <c r="S1155" i="6" s="1"/>
  <c r="Q1155" i="6"/>
  <c r="L1155" i="6"/>
  <c r="S1032" i="6"/>
  <c r="S1154" i="6" s="1"/>
  <c r="Q1154" i="6"/>
  <c r="L1154" i="6"/>
  <c r="S1028" i="6"/>
  <c r="S1153" i="6" s="1"/>
  <c r="Q1153" i="6"/>
  <c r="AC629" i="5"/>
  <c r="AC627" i="5"/>
  <c r="AC625" i="5"/>
  <c r="AC623" i="5"/>
  <c r="AC621" i="5"/>
  <c r="AC619" i="5"/>
  <c r="AC617" i="5"/>
  <c r="AC615" i="5"/>
  <c r="AC613" i="5"/>
  <c r="AC1120" i="5" s="1"/>
  <c r="AC611" i="5"/>
  <c r="AC609" i="5"/>
  <c r="AC607" i="5"/>
  <c r="AC605" i="5"/>
  <c r="AC603" i="5"/>
  <c r="AC601" i="5"/>
  <c r="L1027" i="6"/>
  <c r="L1023" i="6"/>
  <c r="L1025" i="6"/>
  <c r="L1021" i="6"/>
  <c r="L1153" i="6" s="1"/>
  <c r="L800" i="6"/>
  <c r="L798" i="6"/>
  <c r="L1134" i="6" s="1"/>
  <c r="L744" i="6"/>
  <c r="L740" i="6"/>
  <c r="L736" i="6"/>
  <c r="L746" i="6"/>
  <c r="L742" i="6"/>
  <c r="L738" i="6"/>
  <c r="L734" i="6"/>
  <c r="L640" i="6"/>
  <c r="L636" i="6"/>
  <c r="L632" i="6"/>
  <c r="L628" i="6"/>
  <c r="L624" i="6"/>
  <c r="L620" i="6"/>
  <c r="L616" i="6"/>
  <c r="L612" i="6"/>
  <c r="L608" i="6"/>
  <c r="L604" i="6"/>
  <c r="L600" i="6"/>
  <c r="S31" i="6"/>
  <c r="S27" i="6"/>
  <c r="S1070" i="6" s="1"/>
  <c r="L638" i="6"/>
  <c r="L634" i="6"/>
  <c r="L630" i="6"/>
  <c r="L626" i="6"/>
  <c r="L622" i="6"/>
  <c r="L618" i="6"/>
  <c r="L614" i="6"/>
  <c r="L610" i="6"/>
  <c r="L606" i="6"/>
  <c r="L602" i="6"/>
  <c r="S20" i="6"/>
  <c r="S1069" i="6" s="1"/>
  <c r="AB1103" i="5" l="1"/>
  <c r="AB1105" i="5"/>
  <c r="AB1107" i="5"/>
  <c r="AB1109" i="5"/>
  <c r="AB1111" i="5"/>
  <c r="AB1113" i="5"/>
  <c r="AB1115" i="5"/>
  <c r="AB1117" i="5"/>
  <c r="AB1119" i="5"/>
  <c r="AC1071" i="5"/>
  <c r="AB1072" i="5"/>
  <c r="AB1075" i="5"/>
  <c r="AB1077" i="5"/>
  <c r="AB1079" i="5"/>
  <c r="AB1081" i="5"/>
  <c r="AB1083" i="5"/>
  <c r="AB1085" i="5"/>
  <c r="AB1087" i="5"/>
  <c r="AB1088" i="5"/>
  <c r="AB1090" i="5"/>
  <c r="AB1092" i="5"/>
  <c r="AB1124" i="5"/>
  <c r="AC1122" i="5"/>
  <c r="AC1119" i="5"/>
  <c r="AC1121" i="5"/>
  <c r="AB1102" i="5"/>
  <c r="AB1104" i="5"/>
  <c r="AB1106" i="5"/>
  <c r="AB1108" i="5"/>
  <c r="AB1110" i="5"/>
  <c r="AB1112" i="5"/>
  <c r="AB1114" i="5"/>
  <c r="AB1116" i="5"/>
  <c r="AB1123" i="5"/>
  <c r="AB1122" i="5"/>
  <c r="AC1124" i="5"/>
  <c r="AB1120" i="5"/>
  <c r="AB1070" i="5"/>
  <c r="AB1074" i="5"/>
  <c r="AB1076" i="5"/>
  <c r="AB1078" i="5"/>
  <c r="AB1080" i="5"/>
  <c r="AB1082" i="5"/>
  <c r="AB1084" i="5"/>
  <c r="AB1086" i="5"/>
  <c r="AB1073" i="5"/>
  <c r="AB1093" i="5"/>
  <c r="AB1095" i="5"/>
  <c r="AB1097" i="5"/>
  <c r="AB1099" i="5"/>
  <c r="AB1101" i="5"/>
  <c r="L1119" i="6"/>
  <c r="L1121" i="6"/>
  <c r="L1129" i="6"/>
  <c r="L1130" i="6"/>
  <c r="AB1121" i="5"/>
  <c r="L1118" i="6"/>
  <c r="L1120" i="6"/>
</calcChain>
</file>

<file path=xl/sharedStrings.xml><?xml version="1.0" encoding="utf-8"?>
<sst xmlns="http://schemas.openxmlformats.org/spreadsheetml/2006/main" count="254" uniqueCount="102">
  <si>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</si>
  <si>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</si>
  <si>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</si>
  <si>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</si>
  <si>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</si>
  <si>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</si>
  <si>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</si>
  <si>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</si>
  <si>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</si>
  <si>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</si>
  <si>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</si>
  <si>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</si>
  <si>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</si>
  <si>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</si>
  <si>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</si>
  <si>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</si>
  <si>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</si>
  <si>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</si>
  <si>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</si>
  <si>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</si>
  <si>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</si>
  <si>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</si>
  <si>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</si>
  <si>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</si>
  <si>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>HIGH</t>
  </si>
  <si>
    <t>LOW</t>
  </si>
  <si>
    <t xml:space="preserve"> </t>
  </si>
  <si>
    <t>June 03, 2013 - LISA GORMAN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</si>
  <si>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</si>
  <si>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</si>
  <si>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</si>
  <si>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</si>
  <si>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</si>
  <si>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</si>
  <si>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</si>
  <si>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</si>
  <si>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</si>
  <si>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</si>
  <si>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</si>
  <si>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</si>
  <si>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</si>
  <si>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</si>
  <si>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</si>
  <si>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</si>
  <si>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</si>
  <si>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</si>
  <si>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</si>
  <si>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</si>
  <si>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</si>
  <si>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</si>
  <si>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</si>
  <si>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</si>
  <si>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</si>
  <si>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</si>
  <si>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</si>
  <si>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</si>
  <si>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</si>
  <si>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</si>
  <si>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</si>
  <si>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</si>
  <si>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</si>
  <si>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</si>
  <si>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</si>
  <si>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</si>
  <si>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</si>
  <si>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</si>
  <si>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</si>
  <si>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</si>
  <si>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</si>
  <si>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</si>
  <si>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</si>
  <si>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</si>
  <si>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</si>
  <si>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</si>
  <si>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</si>
  <si>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</si>
  <si>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</si>
  <si>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</si>
  <si>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</si>
  <si>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</si>
  <si>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</si>
  <si>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</si>
  <si>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</si>
  <si>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</si>
  <si>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</si>
  <si>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</si>
  <si>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</si>
  <si>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</si>
  <si>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</si>
  <si>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</si>
  <si>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</si>
  <si>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</si>
  <si>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</si>
  <si>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</si>
  <si>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</si>
  <si>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</si>
  <si>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17</t>
  </si>
  <si>
    <t>Tab 2 of 6</t>
  </si>
  <si>
    <t>Tab 3 of 6</t>
  </si>
  <si>
    <t>Tab 4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</si>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</sst>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0" x14ac:knownFonts="1">
    <font>
      <sz val="12"/>
      <name val="Helv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u val="singleAccounting"/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sz val="12"/>
      <color theme="3"/>
      <name val="Arial"/>
      <family val="2"/>
    </font>
    <font>
      <b/>
      <sz val="12"/>
      <color theme="3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2">
    <xf numFmtId="164" fontId="0" fillId="0" borderId="0">
      <alignment horizontal="left" wrapText="1"/>
    </xf>
    <xf numFmtId="44" fontId="4" fillId="0" borderId="0" applyFont="0" applyFill="0" applyBorder="0" applyAlignment="0" applyProtection="0"/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" fillId="0" borderId="0"/>
  </cellStyleXfs>
  <cellXfs count="118">
    <xf numFmtId="164" fontId="0" fillId="0" borderId="0" xfId="0">
      <alignment horizontal="left" wrapText="1"/>
    </xf>
    <xf numFmtId="165" fontId="0" fillId="0" borderId="0" xfId="0" applyNumberFormat="1" applyAlignment="1"/>
    <xf numFmtId="165" fontId="2" fillId="0" borderId="1" xfId="0" quotePrefix="1" applyNumberFormat="1" applyFont="1" applyBorder="1" applyAlignment="1">
      <alignment horizontal="left"/>
    </xf>
    <xf numFmtId="165" fontId="2" fillId="0" borderId="3" xfId="0" quotePrefix="1" applyNumberFormat="1" applyFont="1" applyBorder="1" applyAlignment="1">
      <alignment horizontal="left"/>
    </xf>
    <xf numFmtId="165" fontId="3" fillId="0" borderId="4" xfId="0" applyNumberFormat="1" applyFont="1" applyBorder="1" applyAlignment="1"/>
    <xf numFmtId="165" fontId="2" fillId="0" borderId="1" xfId="0" applyNumberFormat="1" applyFont="1" applyBorder="1" applyAlignment="1"/>
    <xf numFmtId="165" fontId="2" fillId="0" borderId="3" xfId="0" applyNumberFormat="1" applyFont="1" applyBorder="1" applyAlignment="1"/>
    <xf numFmtId="165" fontId="3" fillId="0" borderId="4" xfId="0" quotePrefix="1" applyNumberFormat="1" applyFont="1" applyBorder="1" applyAlignment="1">
      <alignment horizontal="left"/>
    </xf>
    <xf numFmtId="0" fontId="4" fillId="0" borderId="0" xfId="21"/>
    <xf numFmtId="166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166" fontId="5" fillId="0" borderId="0" xfId="1" applyNumberFormat="1" applyFont="1" applyAlignment="1">
      <alignment horizontal="center"/>
    </xf>
    <xf numFmtId="165" fontId="5" fillId="0" borderId="0" xfId="0" applyNumberFormat="1" applyFont="1" applyAlignment="1"/>
    <xf numFmtId="17" fontId="5" fillId="0" borderId="0" xfId="0" applyNumberFormat="1" applyFont="1" applyAlignment="1">
      <alignment horizontal="center"/>
    </xf>
    <xf numFmtId="166" fontId="5" fillId="0" borderId="0" xfId="21" applyNumberFormat="1" applyFont="1" applyAlignment="1">
      <alignment horizontal="center"/>
    </xf>
    <xf numFmtId="44" fontId="6" fillId="0" borderId="0" xfId="1" applyFont="1" applyAlignment="1">
      <alignment horizontal="center"/>
    </xf>
    <xf numFmtId="0" fontId="7" fillId="0" borderId="0" xfId="21" applyFont="1" applyAlignment="1">
      <alignment horizontal="center"/>
    </xf>
    <xf numFmtId="165" fontId="8" fillId="0" borderId="0" xfId="0" quotePrefix="1" applyNumberFormat="1" applyFont="1" applyFill="1" applyAlignment="1">
      <alignment horizontal="center"/>
    </xf>
    <xf numFmtId="165" fontId="8" fillId="0" borderId="0" xfId="0" applyNumberFormat="1" applyFont="1" applyFill="1" applyAlignment="1">
      <alignment horizontal="center"/>
    </xf>
    <xf numFmtId="165" fontId="8" fillId="2" borderId="0" xfId="0" quotePrefix="1" applyNumberFormat="1" applyFont="1" applyFill="1" applyAlignment="1">
      <alignment horizontal="center"/>
    </xf>
    <xf numFmtId="165" fontId="8" fillId="3" borderId="0" xfId="0" quotePrefix="1" applyNumberFormat="1" applyFont="1" applyFill="1" applyAlignment="1">
      <alignment horizontal="center"/>
    </xf>
    <xf numFmtId="165" fontId="8" fillId="4" borderId="0" xfId="0" quotePrefix="1" applyNumberFormat="1" applyFont="1" applyFill="1" applyAlignment="1">
      <alignment horizontal="center"/>
    </xf>
    <xf numFmtId="0" fontId="4" fillId="0" borderId="0" xfId="21" applyFill="1"/>
    <xf numFmtId="165" fontId="8" fillId="2" borderId="0" xfId="0" quotePrefix="1" applyNumberFormat="1" applyFont="1" applyFill="1" applyAlignment="1">
      <alignment horizontal="center" vertical="center" wrapText="1"/>
    </xf>
    <xf numFmtId="165" fontId="8" fillId="3" borderId="0" xfId="0" quotePrefix="1" applyNumberFormat="1" applyFont="1" applyFill="1" applyAlignment="1">
      <alignment horizontal="center" vertical="center" wrapText="1"/>
    </xf>
    <xf numFmtId="165" fontId="8" fillId="4" borderId="0" xfId="0" quotePrefix="1" applyNumberFormat="1" applyFont="1" applyFill="1" applyAlignment="1">
      <alignment horizontal="center" vertical="center" wrapText="1"/>
    </xf>
    <xf numFmtId="0" fontId="9" fillId="0" borderId="0" xfId="21" applyFont="1"/>
    <xf numFmtId="10" fontId="8" fillId="7" borderId="0" xfId="21" quotePrefix="1" applyNumberFormat="1" applyFont="1" applyFill="1" applyAlignment="1">
      <alignment horizontal="center"/>
    </xf>
    <xf numFmtId="15" fontId="8" fillId="7" borderId="0" xfId="21" applyNumberFormat="1" applyFont="1" applyFill="1" applyAlignment="1">
      <alignment horizontal="left"/>
    </xf>
    <xf numFmtId="15" fontId="8" fillId="0" borderId="0" xfId="21" quotePrefix="1" applyNumberFormat="1" applyFont="1" applyAlignment="1">
      <alignment horizontal="left"/>
    </xf>
    <xf numFmtId="0" fontId="4" fillId="0" borderId="0" xfId="21" applyAlignment="1">
      <alignment horizontal="center"/>
    </xf>
    <xf numFmtId="17" fontId="1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5" fillId="0" borderId="0" xfId="0" applyNumberFormat="1" applyFont="1" applyAlignment="1">
      <alignment horizontal="center"/>
    </xf>
    <xf numFmtId="8" fontId="4" fillId="0" borderId="0" xfId="21" applyNumberFormat="1"/>
    <xf numFmtId="0" fontId="4" fillId="0" borderId="0" xfId="21" applyAlignment="1">
      <alignment horizontal="center" wrapText="1"/>
    </xf>
    <xf numFmtId="0" fontId="8" fillId="0" borderId="0" xfId="21" applyFont="1" applyAlignment="1">
      <alignment horizontal="center" wrapText="1"/>
    </xf>
    <xf numFmtId="0" fontId="7" fillId="0" borderId="0" xfId="21" applyFont="1" applyAlignment="1">
      <alignment horizontal="center" wrapText="1"/>
    </xf>
    <xf numFmtId="0" fontId="8" fillId="0" borderId="0" xfId="21" quotePrefix="1" applyFont="1" applyAlignment="1">
      <alignment horizontal="center" wrapText="1"/>
    </xf>
    <xf numFmtId="10" fontId="11" fillId="7" borderId="0" xfId="21" applyNumberFormat="1" applyFont="1" applyFill="1" applyAlignment="1">
      <alignment horizontal="center"/>
    </xf>
    <xf numFmtId="0" fontId="8" fillId="7" borderId="0" xfId="21" applyFont="1" applyFill="1" applyAlignment="1">
      <alignment horizontal="center"/>
    </xf>
    <xf numFmtId="166" fontId="8" fillId="0" borderId="0" xfId="21" applyNumberFormat="1" applyFont="1" applyFill="1" applyAlignment="1">
      <alignment horizontal="center"/>
    </xf>
    <xf numFmtId="15" fontId="8" fillId="0" borderId="0" xfId="21" applyNumberFormat="1" applyFont="1" applyAlignment="1">
      <alignment horizontal="left"/>
    </xf>
    <xf numFmtId="8" fontId="5" fillId="0" borderId="0" xfId="21" applyNumberFormat="1" applyFont="1" applyAlignment="1">
      <alignment horizontal="center"/>
    </xf>
    <xf numFmtId="166" fontId="5" fillId="6" borderId="0" xfId="21" applyNumberFormat="1" applyFont="1" applyFill="1" applyAlignment="1">
      <alignment horizontal="center"/>
    </xf>
    <xf numFmtId="166" fontId="5" fillId="8" borderId="0" xfId="21" applyNumberFormat="1" applyFont="1" applyFill="1" applyAlignment="1">
      <alignment horizontal="center"/>
    </xf>
    <xf numFmtId="15" fontId="8" fillId="0" borderId="0" xfId="21" applyNumberFormat="1" applyFont="1" applyFill="1" applyAlignment="1">
      <alignment horizontal="left"/>
    </xf>
    <xf numFmtId="0" fontId="4" fillId="0" borderId="0" xfId="21" applyFill="1" applyAlignment="1">
      <alignment horizontal="center"/>
    </xf>
    <xf numFmtId="168" fontId="5" fillId="0" borderId="0" xfId="21" applyNumberFormat="1" applyFont="1" applyAlignment="1">
      <alignment horizontal="center"/>
    </xf>
    <xf numFmtId="166" fontId="5" fillId="3" borderId="0" xfId="21" applyNumberFormat="1" applyFont="1" applyFill="1" applyAlignment="1">
      <alignment horizontal="center"/>
    </xf>
    <xf numFmtId="168" fontId="4" fillId="0" borderId="0" xfId="21" applyNumberFormat="1"/>
    <xf numFmtId="166" fontId="4" fillId="0" borderId="0" xfId="21" applyNumberFormat="1"/>
    <xf numFmtId="166" fontId="8" fillId="5" borderId="0" xfId="21" applyNumberFormat="1" applyFont="1" applyFill="1" applyAlignment="1">
      <alignment horizontal="center"/>
    </xf>
    <xf numFmtId="168" fontId="5" fillId="0" borderId="0" xfId="21" applyNumberFormat="1" applyFont="1"/>
    <xf numFmtId="166" fontId="5" fillId="0" borderId="0" xfId="21" applyNumberFormat="1" applyFont="1"/>
    <xf numFmtId="168" fontId="14" fillId="0" borderId="0" xfId="21" applyNumberFormat="1" applyFont="1" applyAlignment="1">
      <alignment horizontal="center"/>
    </xf>
    <xf numFmtId="169" fontId="5" fillId="0" borderId="0" xfId="21" applyNumberFormat="1" applyFont="1" applyAlignment="1">
      <alignment horizontal="center"/>
    </xf>
    <xf numFmtId="169" fontId="5" fillId="5" borderId="0" xfId="21" applyNumberFormat="1" applyFont="1" applyFill="1" applyAlignment="1">
      <alignment horizontal="center"/>
    </xf>
    <xf numFmtId="166" fontId="5" fillId="5" borderId="0" xfId="21" applyNumberFormat="1" applyFont="1" applyFill="1" applyAlignment="1">
      <alignment horizontal="center"/>
    </xf>
    <xf numFmtId="166" fontId="15" fillId="6" borderId="0" xfId="21" applyNumberFormat="1" applyFont="1" applyFill="1" applyAlignment="1">
      <alignment horizontal="center"/>
    </xf>
    <xf numFmtId="166" fontId="15" fillId="3" borderId="0" xfId="21" applyNumberFormat="1" applyFont="1" applyFill="1" applyAlignment="1">
      <alignment horizontal="center"/>
    </xf>
    <xf numFmtId="168" fontId="15" fillId="0" borderId="0" xfId="21" applyNumberFormat="1" applyFont="1" applyAlignment="1">
      <alignment horizontal="center"/>
    </xf>
    <xf numFmtId="166" fontId="15" fillId="0" borderId="0" xfId="21" applyNumberFormat="1" applyFont="1" applyAlignment="1">
      <alignment horizontal="center"/>
    </xf>
    <xf numFmtId="169" fontId="15" fillId="0" borderId="0" xfId="21" applyNumberFormat="1" applyFont="1" applyAlignment="1">
      <alignment horizontal="center"/>
    </xf>
    <xf numFmtId="166" fontId="16" fillId="5" borderId="0" xfId="21" applyNumberFormat="1" applyFont="1" applyFill="1" applyAlignment="1">
      <alignment horizontal="center"/>
    </xf>
    <xf numFmtId="0" fontId="8" fillId="6" borderId="0" xfId="21" applyFont="1" applyFill="1" applyAlignment="1">
      <alignment horizontal="center" wrapText="1"/>
    </xf>
    <xf numFmtId="0" fontId="8" fillId="3" borderId="0" xfId="21" applyFont="1" applyFill="1" applyAlignment="1">
      <alignment horizontal="center" wrapText="1"/>
    </xf>
    <xf numFmtId="0" fontId="8" fillId="5" borderId="0" xfId="21" applyFont="1" applyFill="1" applyAlignment="1">
      <alignment horizontal="center" wrapText="1"/>
    </xf>
    <xf numFmtId="0" fontId="8" fillId="6" borderId="0" xfId="21" quotePrefix="1" applyFont="1" applyFill="1" applyAlignment="1">
      <alignment horizontal="center" wrapText="1"/>
    </xf>
    <xf numFmtId="0" fontId="8" fillId="2" borderId="0" xfId="21" quotePrefix="1" applyFont="1" applyFill="1" applyAlignment="1">
      <alignment horizontal="center" wrapText="1"/>
    </xf>
    <xf numFmtId="0" fontId="8" fillId="3" borderId="0" xfId="21" quotePrefix="1" applyFont="1" applyFill="1" applyAlignment="1">
      <alignment horizontal="center" wrapText="1"/>
    </xf>
    <xf numFmtId="0" fontId="8" fillId="0" borderId="0" xfId="21" applyFont="1" applyAlignment="1">
      <alignment horizontal="center"/>
    </xf>
    <xf numFmtId="10" fontId="8" fillId="0" borderId="0" xfId="21" applyNumberFormat="1" applyFont="1" applyFill="1" applyAlignment="1">
      <alignment horizontal="center"/>
    </xf>
    <xf numFmtId="0" fontId="8" fillId="0" borderId="0" xfId="21" applyFont="1" applyFill="1" applyAlignment="1">
      <alignment horizontal="center"/>
    </xf>
    <xf numFmtId="10" fontId="8" fillId="7" borderId="0" xfId="21" applyNumberFormat="1" applyFont="1" applyFill="1" applyAlignment="1">
      <alignment horizontal="center"/>
    </xf>
    <xf numFmtId="0" fontId="8" fillId="0" borderId="0" xfId="21" quotePrefix="1" applyFont="1" applyAlignment="1">
      <alignment horizontal="center"/>
    </xf>
    <xf numFmtId="1" fontId="5" fillId="0" borderId="0" xfId="21" applyNumberFormat="1" applyFont="1" applyAlignment="1">
      <alignment horizontal="center"/>
    </xf>
    <xf numFmtId="1" fontId="4" fillId="0" borderId="0" xfId="21" applyNumberFormat="1" applyAlignment="1">
      <alignment horizontal="center"/>
    </xf>
    <xf numFmtId="1" fontId="5" fillId="9" borderId="0" xfId="21" applyNumberFormat="1" applyFont="1" applyFill="1" applyAlignment="1">
      <alignment horizontal="center"/>
    </xf>
    <xf numFmtId="1" fontId="5" fillId="0" borderId="0" xfId="21" applyNumberFormat="1" applyFont="1" applyFill="1" applyAlignment="1">
      <alignment horizontal="center"/>
    </xf>
    <xf numFmtId="3" fontId="5" fillId="0" borderId="0" xfId="21" applyNumberFormat="1" applyFont="1" applyAlignment="1">
      <alignment horizontal="center"/>
    </xf>
    <xf numFmtId="3" fontId="5" fillId="0" borderId="0" xfId="21" applyNumberFormat="1" applyFont="1" applyFill="1" applyAlignment="1">
      <alignment horizontal="center"/>
    </xf>
    <xf numFmtId="3" fontId="5" fillId="9" borderId="0" xfId="21" applyNumberFormat="1" applyFont="1" applyFill="1" applyAlignment="1">
      <alignment horizontal="center"/>
    </xf>
    <xf numFmtId="170" fontId="8" fillId="5" borderId="0" xfId="21" applyNumberFormat="1" applyFont="1" applyFill="1" applyAlignment="1">
      <alignment horizontal="center"/>
    </xf>
    <xf numFmtId="3" fontId="5" fillId="5" borderId="0" xfId="21" applyNumberFormat="1" applyFont="1" applyFill="1" applyAlignment="1">
      <alignment horizontal="center"/>
    </xf>
    <xf numFmtId="3" fontId="5" fillId="0" borderId="0" xfId="0" applyNumberFormat="1" applyFont="1" applyAlignment="1">
      <alignment horizontal="center"/>
    </xf>
    <xf numFmtId="1" fontId="5" fillId="0" borderId="0" xfId="0" applyNumberFormat="1" applyFont="1" applyAlignment="1"/>
    <xf numFmtId="1" fontId="8" fillId="5" borderId="0" xfId="21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5" fillId="0" borderId="0" xfId="0" applyNumberFormat="1" applyFont="1" applyAlignment="1">
      <alignment horizontal="center"/>
    </xf>
    <xf numFmtId="1" fontId="5" fillId="5" borderId="0" xfId="21" applyNumberFormat="1" applyFont="1" applyFill="1" applyAlignment="1">
      <alignment horizontal="center"/>
    </xf>
    <xf numFmtId="0" fontId="7" fillId="5" borderId="0" xfId="21" applyFont="1" applyFill="1" applyAlignment="1">
      <alignment horizontal="center" wrapText="1"/>
    </xf>
    <xf numFmtId="0" fontId="8" fillId="2" borderId="0" xfId="21" applyFont="1" applyFill="1" applyAlignment="1">
      <alignment horizontal="center" wrapText="1"/>
    </xf>
    <xf numFmtId="0" fontId="5" fillId="0" borderId="0" xfId="21" applyFont="1" applyAlignment="1">
      <alignment horizontal="center" wrapText="1"/>
    </xf>
    <xf numFmtId="0" fontId="8" fillId="0" borderId="0" xfId="21" quotePrefix="1" applyFont="1" applyFill="1" applyAlignment="1">
      <alignment horizontal="center"/>
    </xf>
    <xf numFmtId="0" fontId="8" fillId="0" borderId="0" xfId="21" applyFont="1" applyFill="1" applyAlignment="1"/>
    <xf numFmtId="0" fontId="8" fillId="4" borderId="0" xfId="21" applyFont="1" applyFill="1" applyAlignment="1">
      <alignment horizontal="center"/>
    </xf>
    <xf numFmtId="0" fontId="8" fillId="6" borderId="0" xfId="21" quotePrefix="1" applyFont="1" applyFill="1" applyAlignment="1">
      <alignment horizontal="center"/>
    </xf>
    <xf numFmtId="0" fontId="8" fillId="0" borderId="0" xfId="21" applyFont="1"/>
    <xf numFmtId="165" fontId="0" fillId="0" borderId="0" xfId="0" applyNumberFormat="1" applyFill="1" applyAlignment="1"/>
    <xf numFmtId="0" fontId="10" fillId="0" borderId="0" xfId="21" applyFont="1" applyFill="1"/>
    <xf numFmtId="165" fontId="3" fillId="0" borderId="0" xfId="0" applyNumberFormat="1" applyFont="1" applyAlignment="1">
      <alignment horizontal="left"/>
    </xf>
    <xf numFmtId="165" fontId="2" fillId="0" borderId="2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165" fontId="8" fillId="6" borderId="0" xfId="0" quotePrefix="1" applyNumberFormat="1" applyFont="1" applyFill="1" applyAlignment="1">
      <alignment horizontal="center"/>
    </xf>
    <xf numFmtId="0" fontId="8" fillId="0" borderId="0" xfId="21" applyFont="1" applyAlignment="1">
      <alignment horizontal="center"/>
    </xf>
    <xf numFmtId="0" fontId="8" fillId="5" borderId="0" xfId="21" quotePrefix="1" applyFont="1" applyFill="1" applyAlignment="1">
      <alignment horizontal="center"/>
    </xf>
    <xf numFmtId="0" fontId="8" fillId="5" borderId="0" xfId="21" applyFont="1" applyFill="1" applyAlignment="1">
      <alignment horizontal="center"/>
    </xf>
    <xf numFmtId="0" fontId="8" fillId="6" borderId="0" xfId="21" applyFont="1" applyFill="1" applyAlignment="1">
      <alignment horizontal="center"/>
    </xf>
    <xf numFmtId="0" fontId="8" fillId="6" borderId="0" xfId="21" quotePrefix="1" applyFont="1" applyFill="1" applyAlignment="1">
      <alignment horizontal="center"/>
    </xf>
    <xf numFmtId="0" fontId="19" fillId="6" borderId="7" xfId="21" quotePrefix="1" applyFont="1" applyFill="1" applyBorder="1" applyAlignment="1">
      <alignment horizontal="center"/>
    </xf>
    <xf numFmtId="0" fontId="19" fillId="6" borderId="6" xfId="21" quotePrefix="1" applyFont="1" applyFill="1" applyBorder="1" applyAlignment="1">
      <alignment horizontal="center"/>
    </xf>
    <xf numFmtId="0" fontId="19" fillId="6" borderId="5" xfId="21" quotePrefix="1" applyFont="1" applyFill="1" applyBorder="1" applyAlignment="1">
      <alignment horizontal="center"/>
    </xf>
    <xf numFmtId="0" fontId="8" fillId="0" borderId="0" xfId="21" quotePrefix="1" applyFont="1" applyFill="1" applyAlignment="1">
      <alignment horizontal="center"/>
    </xf>
    <xf numFmtId="0" fontId="8" fillId="4" borderId="0" xfId="21" quotePrefix="1" applyFont="1" applyFill="1" applyAlignment="1">
      <alignment horizontal="center"/>
    </xf>
    <xf numFmtId="0" fontId="8" fillId="4" borderId="0" xfId="21" applyFont="1" applyFill="1" applyAlignment="1">
      <alignment horizontal="center"/>
    </xf>
  </cellXfs>
  <cellStyles count="22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_060415 RAP Fuel Price Forecast Template - Case 1 (Historical Spread)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2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3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4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5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7</xdr:row>
          <xdr:rowOff>85725</xdr:rowOff>
        </xdr:from>
        <xdr:to>
          <xdr:col>7</xdr:col>
          <xdr:colOff>104775</xdr:colOff>
          <xdr:row>8</xdr:row>
          <xdr:rowOff>171450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114300</xdr:rowOff>
        </xdr:from>
        <xdr:to>
          <xdr:col>8</xdr:col>
          <xdr:colOff>295275</xdr:colOff>
          <xdr:row>9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7</xdr:row>
          <xdr:rowOff>180975</xdr:rowOff>
        </xdr:from>
        <xdr:to>
          <xdr:col>8</xdr:col>
          <xdr:colOff>342900</xdr:colOff>
          <xdr:row>9</xdr:row>
          <xdr:rowOff>85725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476250</xdr:colOff>
          <xdr:row>7</xdr:row>
          <xdr:rowOff>180975</xdr:rowOff>
        </xdr:from>
        <xdr:to>
          <xdr:col>9</xdr:col>
          <xdr:colOff>609600</xdr:colOff>
          <xdr:row>9</xdr:row>
          <xdr:rowOff>85725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7</xdr:row>
          <xdr:rowOff>85725</xdr:rowOff>
        </xdr:from>
        <xdr:to>
          <xdr:col>8</xdr:col>
          <xdr:colOff>600075</xdr:colOff>
          <xdr:row>8</xdr:row>
          <xdr:rowOff>171450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7</xdr:row>
          <xdr:rowOff>180975</xdr:rowOff>
        </xdr:from>
        <xdr:to>
          <xdr:col>12</xdr:col>
          <xdr:colOff>323850</xdr:colOff>
          <xdr:row>9</xdr:row>
          <xdr:rowOff>66675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3.zip\2013\6.%20June\130603%202013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_Setup_"/>
      <sheetName val="PIRA - LONG TERM OIL BACKUP"/>
      <sheetName val="PIRA - LONG TERM GAS BACKUP"/>
      <sheetName val="OIL &amp; GAS SEASONALITY"/>
      <sheetName val="DISTILLATE &amp; RESIDUAL FUEL OIL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workbookViewId="0">
      <selection sqref="A1:A6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102" t="s">
        <v>91</v>
      </c>
    </row>
    <row r="2" spans="1:3" x14ac:dyDescent="0.25">
      <c r="A2" s="102" t="s">
        <v>92</v>
      </c>
    </row>
    <row r="3" spans="1:3" x14ac:dyDescent="0.25">
      <c r="A3" s="102" t="s">
        <v>93</v>
      </c>
    </row>
    <row r="4" spans="1:3" x14ac:dyDescent="0.25">
      <c r="A4" s="102" t="s">
        <v>94</v>
      </c>
    </row>
    <row r="5" spans="1:3" s="100" customFormat="1" x14ac:dyDescent="0.25">
      <c r="A5" s="102" t="s">
        <v>96</v>
      </c>
    </row>
    <row r="6" spans="1:3" s="100" customFormat="1" x14ac:dyDescent="0.25">
      <c r="A6" s="102" t="s">
        <v>95</v>
      </c>
    </row>
    <row r="7" spans="1:3" s="100" customFormat="1" x14ac:dyDescent="0.25"/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03">
        <v>2</v>
      </c>
    </row>
    <row r="10" spans="1:3" x14ac:dyDescent="0.25">
      <c r="B10" s="6" t="s">
        <v>8</v>
      </c>
      <c r="C10" s="105"/>
    </row>
    <row r="11" spans="1:3" x14ac:dyDescent="0.25">
      <c r="B11" s="5" t="s">
        <v>7</v>
      </c>
      <c r="C11" s="104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03">
        <v>2</v>
      </c>
    </row>
    <row r="16" spans="1:3" x14ac:dyDescent="0.25">
      <c r="B16" s="6" t="s">
        <v>8</v>
      </c>
      <c r="C16" s="105"/>
    </row>
    <row r="17" spans="2:3" x14ac:dyDescent="0.25">
      <c r="B17" s="5" t="s">
        <v>7</v>
      </c>
      <c r="C17" s="104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03">
        <v>2</v>
      </c>
    </row>
    <row r="22" spans="2:3" x14ac:dyDescent="0.25">
      <c r="B22" s="6" t="s">
        <v>8</v>
      </c>
      <c r="C22" s="105"/>
    </row>
    <row r="23" spans="2:3" x14ac:dyDescent="0.25">
      <c r="B23" s="5" t="s">
        <v>7</v>
      </c>
      <c r="C23" s="104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03">
        <v>1</v>
      </c>
    </row>
    <row r="28" spans="2:3" x14ac:dyDescent="0.25">
      <c r="B28" s="2" t="s">
        <v>4</v>
      </c>
      <c r="C28" s="104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03">
        <v>2</v>
      </c>
    </row>
    <row r="33" spans="2:3" x14ac:dyDescent="0.25">
      <c r="B33" s="6" t="s">
        <v>8</v>
      </c>
      <c r="C33" s="105"/>
    </row>
    <row r="34" spans="2:3" x14ac:dyDescent="0.25">
      <c r="B34" s="5" t="s">
        <v>7</v>
      </c>
      <c r="C34" s="104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03">
        <v>1</v>
      </c>
    </row>
    <row r="39" spans="2:3" x14ac:dyDescent="0.25">
      <c r="B39" s="2" t="s">
        <v>4</v>
      </c>
      <c r="C39" s="104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03">
        <v>1</v>
      </c>
    </row>
    <row r="43" spans="2:3" x14ac:dyDescent="0.25">
      <c r="B43" s="2" t="s">
        <v>0</v>
      </c>
      <c r="C43" s="104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58"/>
  <sheetViews>
    <sheetView zoomScale="70" workbookViewId="0">
      <pane xSplit="1" ySplit="13" topLeftCell="B14" activePane="bottomRight" state="frozen"/>
      <selection activeCell="A6" sqref="A6"/>
      <selection pane="topRight" activeCell="A6" sqref="A6"/>
      <selection pane="bottomLeft" activeCell="A6" sqref="A6"/>
      <selection pane="bottomRight" activeCell="D38" sqref="D38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102" t="s">
        <v>91</v>
      </c>
    </row>
    <row r="2" spans="1:19" ht="15.75" x14ac:dyDescent="0.25">
      <c r="A2" s="102" t="s">
        <v>92</v>
      </c>
    </row>
    <row r="3" spans="1:19" ht="15.75" x14ac:dyDescent="0.25">
      <c r="A3" s="102" t="s">
        <v>93</v>
      </c>
    </row>
    <row r="4" spans="1:19" ht="15.75" x14ac:dyDescent="0.25">
      <c r="A4" s="102" t="s">
        <v>94</v>
      </c>
    </row>
    <row r="5" spans="1:19" ht="15.75" x14ac:dyDescent="0.25">
      <c r="A5" s="102" t="s">
        <v>96</v>
      </c>
    </row>
    <row r="6" spans="1:19" ht="15.75" x14ac:dyDescent="0.25">
      <c r="A6" s="102" t="s">
        <v>97</v>
      </c>
    </row>
    <row r="7" spans="1:19" s="22" customFormat="1" ht="20.25" x14ac:dyDescent="0.3">
      <c r="A7" s="101"/>
    </row>
    <row r="8" spans="1:19" ht="18" x14ac:dyDescent="0.25">
      <c r="A8" s="29" t="s">
        <v>27</v>
      </c>
      <c r="B8" s="29"/>
      <c r="H8" s="26" t="s">
        <v>26</v>
      </c>
    </row>
    <row r="9" spans="1:19" ht="18" x14ac:dyDescent="0.25">
      <c r="A9" s="29"/>
      <c r="B9" s="28" t="s">
        <v>25</v>
      </c>
      <c r="C9" s="27">
        <f>1-0.149</f>
        <v>0.85099999999999998</v>
      </c>
      <c r="D9" s="28" t="s">
        <v>24</v>
      </c>
      <c r="E9" s="27">
        <v>1.149</v>
      </c>
      <c r="H9" s="26"/>
      <c r="P9" s="107"/>
      <c r="Q9" s="107"/>
      <c r="R9" s="107"/>
      <c r="S9" s="107"/>
    </row>
    <row r="10" spans="1:19" ht="15.75" x14ac:dyDescent="0.25">
      <c r="B10" s="106" t="s">
        <v>23</v>
      </c>
      <c r="C10" s="106"/>
      <c r="D10" s="106"/>
      <c r="E10" s="108" t="s">
        <v>22</v>
      </c>
      <c r="F10" s="108"/>
      <c r="G10" s="109"/>
      <c r="H10" s="110" t="s">
        <v>21</v>
      </c>
      <c r="I10" s="110"/>
      <c r="J10" s="110"/>
      <c r="K10" s="110"/>
      <c r="L10" s="109" t="s">
        <v>20</v>
      </c>
      <c r="M10" s="109"/>
      <c r="N10" s="109"/>
      <c r="O10" s="109"/>
      <c r="P10" s="107"/>
      <c r="Q10" s="107"/>
      <c r="R10" s="107"/>
      <c r="S10" s="107"/>
    </row>
    <row r="11" spans="1:19" ht="63" x14ac:dyDescent="0.25">
      <c r="B11" s="25" t="s">
        <v>19</v>
      </c>
      <c r="C11" s="24" t="s">
        <v>17</v>
      </c>
      <c r="D11" s="23" t="s">
        <v>16</v>
      </c>
      <c r="E11" s="25" t="s">
        <v>19</v>
      </c>
      <c r="F11" s="24" t="s">
        <v>17</v>
      </c>
      <c r="G11" s="23" t="s">
        <v>16</v>
      </c>
      <c r="H11" s="25" t="s">
        <v>19</v>
      </c>
      <c r="I11" s="25" t="s">
        <v>18</v>
      </c>
      <c r="J11" s="24" t="s">
        <v>17</v>
      </c>
      <c r="K11" s="23" t="s">
        <v>16</v>
      </c>
      <c r="L11" s="25" t="s">
        <v>19</v>
      </c>
      <c r="M11" s="25" t="s">
        <v>18</v>
      </c>
      <c r="N11" s="24" t="s">
        <v>17</v>
      </c>
      <c r="O11" s="23" t="s">
        <v>16</v>
      </c>
      <c r="P11" s="22"/>
      <c r="Q11" s="18"/>
      <c r="R11" s="18"/>
      <c r="S11" s="18"/>
    </row>
    <row r="12" spans="1:19" ht="13.5" customHeight="1" x14ac:dyDescent="0.25">
      <c r="B12" s="21"/>
      <c r="C12" s="20"/>
      <c r="D12" s="19"/>
      <c r="E12" s="21"/>
      <c r="F12" s="20"/>
      <c r="G12" s="19"/>
      <c r="H12" s="21"/>
      <c r="I12" s="21"/>
      <c r="J12" s="20"/>
      <c r="K12" s="19"/>
      <c r="L12" s="21"/>
      <c r="M12" s="21"/>
      <c r="N12" s="20"/>
      <c r="O12" s="19"/>
      <c r="P12" s="18"/>
      <c r="Q12" s="17"/>
      <c r="R12" s="17"/>
      <c r="S12" s="17"/>
    </row>
    <row r="13" spans="1:19" ht="20.25" x14ac:dyDescent="0.55000000000000004">
      <c r="A13" s="16" t="s">
        <v>15</v>
      </c>
      <c r="B13" s="15" t="s">
        <v>14</v>
      </c>
      <c r="C13" s="15" t="s">
        <v>14</v>
      </c>
      <c r="D13" s="15" t="s">
        <v>14</v>
      </c>
      <c r="E13" s="15" t="s">
        <v>14</v>
      </c>
      <c r="F13" s="15" t="s">
        <v>14</v>
      </c>
      <c r="G13" s="15" t="s">
        <v>14</v>
      </c>
      <c r="H13" s="15" t="s">
        <v>14</v>
      </c>
      <c r="I13" s="15" t="s">
        <v>14</v>
      </c>
      <c r="J13" s="15" t="s">
        <v>14</v>
      </c>
      <c r="K13" s="15" t="s">
        <v>14</v>
      </c>
      <c r="L13" s="15" t="s">
        <v>14</v>
      </c>
      <c r="M13" s="15" t="s">
        <v>14</v>
      </c>
      <c r="N13" s="15" t="s">
        <v>14</v>
      </c>
      <c r="O13" s="15" t="s">
        <v>14</v>
      </c>
      <c r="P13" s="15"/>
      <c r="Q13" s="15"/>
      <c r="R13" s="15"/>
      <c r="S13" s="15"/>
    </row>
    <row r="14" spans="1:19" ht="15" x14ac:dyDescent="0.2">
      <c r="A14" s="13">
        <v>41275</v>
      </c>
      <c r="B14" s="9">
        <f>2.2699 * CHOOSE(CONTROL!$C$32, $C$9, 100%, $E$9)</f>
        <v>2.2698999999999998</v>
      </c>
      <c r="C14" s="9">
        <f>2.2008 * CHOOSE(CONTROL!$C$32, $C$9, 100%, $E$9)</f>
        <v>2.2008000000000001</v>
      </c>
      <c r="D14" s="9">
        <f>2.2354 * CHOOSE(CONTROL!$C$32, $C$9, 100%, $E$9)</f>
        <v>2.2353999999999998</v>
      </c>
      <c r="E14" s="11">
        <f>3.5217 * CHOOSE(CONTROL!$C$32, $C$9, 100%, $E$9)</f>
        <v>3.5217000000000001</v>
      </c>
      <c r="F14" s="11">
        <f>3.0912 * CHOOSE(CONTROL!$C$32, $C$9, 100%, $E$9)</f>
        <v>3.0912000000000002</v>
      </c>
      <c r="G14" s="11">
        <f>3.1027 * CHOOSE(CONTROL!$C$32, $C$9, 100%, $E$9)</f>
        <v>3.1027</v>
      </c>
      <c r="H14" s="11">
        <f>5.79 * CHOOSE(CONTROL!$C$32, $C$9, 100%, $E$9)</f>
        <v>5.79</v>
      </c>
      <c r="I14" s="11">
        <f>5.8015 * CHOOSE(CONTROL!$C$32, $C$9, 100%, $E$9)</f>
        <v>5.8014999999999999</v>
      </c>
      <c r="J14" s="11">
        <f>5.79 * CHOOSE(CONTROL!$C$32, $C$9, 100%, $E$9)</f>
        <v>5.79</v>
      </c>
      <c r="K14" s="11">
        <f>5.8015 * CHOOSE(CONTROL!$C$32, $C$9, 100%, $E$9)</f>
        <v>5.8014999999999999</v>
      </c>
      <c r="L14" s="11">
        <f>3.5217 * CHOOSE(CONTROL!$C$32, $C$9, 100%, $E$9)</f>
        <v>3.5217000000000001</v>
      </c>
      <c r="M14" s="11">
        <f>3.5333 * CHOOSE(CONTROL!$C$32, $C$9, 100%, $E$9)</f>
        <v>3.5333000000000001</v>
      </c>
      <c r="N14" s="11">
        <f>3.5217 * CHOOSE(CONTROL!$C$32, $C$9, 100%, $E$9)</f>
        <v>3.5217000000000001</v>
      </c>
      <c r="O14" s="11">
        <f>3.5333 * CHOOSE(CONTROL!$C$32, $C$9, 100%, $E$9)</f>
        <v>3.5333000000000001</v>
      </c>
      <c r="P14" s="14"/>
      <c r="Q14" s="11"/>
      <c r="R14" s="11"/>
    </row>
    <row r="15" spans="1:19" ht="15" x14ac:dyDescent="0.2">
      <c r="A15" s="13">
        <v>41306</v>
      </c>
      <c r="B15" s="9">
        <f>2.2758 * CHOOSE(CONTROL!$C$32, $C$9, 100%, $E$9)</f>
        <v>2.2757999999999998</v>
      </c>
      <c r="C15" s="9">
        <f>2.2117 * CHOOSE(CONTROL!$C$32, $C$9, 100%, $E$9)</f>
        <v>2.2117</v>
      </c>
      <c r="D15" s="9">
        <f>2.2463 * CHOOSE(CONTROL!$C$32, $C$9, 100%, $E$9)</f>
        <v>2.2463000000000002</v>
      </c>
      <c r="E15" s="11">
        <f>3.4548 * CHOOSE(CONTROL!$C$32, $C$9, 100%, $E$9)</f>
        <v>3.4548000000000001</v>
      </c>
      <c r="F15" s="11">
        <f>3.0912 * CHOOSE(CONTROL!$C$32, $C$9, 100%, $E$9)</f>
        <v>3.0912000000000002</v>
      </c>
      <c r="G15" s="11">
        <f>3.1027 * CHOOSE(CONTROL!$C$32, $C$9, 100%, $E$9)</f>
        <v>3.1027</v>
      </c>
      <c r="H15" s="11">
        <f>5.79 * CHOOSE(CONTROL!$C$32, $C$9, 100%, $E$9)</f>
        <v>5.79</v>
      </c>
      <c r="I15" s="11">
        <f>5.8015 * CHOOSE(CONTROL!$C$32, $C$9, 100%, $E$9)</f>
        <v>5.8014999999999999</v>
      </c>
      <c r="J15" s="11">
        <f>5.79 * CHOOSE(CONTROL!$C$32, $C$9, 100%, $E$9)</f>
        <v>5.79</v>
      </c>
      <c r="K15" s="11">
        <f>5.8015 * CHOOSE(CONTROL!$C$32, $C$9, 100%, $E$9)</f>
        <v>5.8014999999999999</v>
      </c>
      <c r="L15" s="11">
        <f>3.4548 * CHOOSE(CONTROL!$C$32, $C$9, 100%, $E$9)</f>
        <v>3.4548000000000001</v>
      </c>
      <c r="M15" s="11">
        <f>3.4663 * CHOOSE(CONTROL!$C$32, $C$9, 100%, $E$9)</f>
        <v>3.4662999999999999</v>
      </c>
      <c r="N15" s="11">
        <f>3.4548 * CHOOSE(CONTROL!$C$32, $C$9, 100%, $E$9)</f>
        <v>3.4548000000000001</v>
      </c>
      <c r="O15" s="11">
        <f>3.4663 * CHOOSE(CONTROL!$C$32, $C$9, 100%, $E$9)</f>
        <v>3.4662999999999999</v>
      </c>
      <c r="P15" s="14"/>
      <c r="Q15" s="11"/>
      <c r="R15" s="11"/>
    </row>
    <row r="16" spans="1:19" ht="15" x14ac:dyDescent="0.2">
      <c r="A16" s="13">
        <v>41334</v>
      </c>
      <c r="B16" s="9">
        <f>2.2895 * CHOOSE(CONTROL!$C$32, $C$9, 100%, $E$9)</f>
        <v>2.2894999999999999</v>
      </c>
      <c r="C16" s="9">
        <f>2.2178 * CHOOSE(CONTROL!$C$32, $C$9, 100%, $E$9)</f>
        <v>2.2178</v>
      </c>
      <c r="D16" s="9">
        <f>2.2524 * CHOOSE(CONTROL!$C$32, $C$9, 100%, $E$9)</f>
        <v>2.2524000000000002</v>
      </c>
      <c r="E16" s="11">
        <f>3.4548 * CHOOSE(CONTROL!$C$32, $C$9, 100%, $E$9)</f>
        <v>3.4548000000000001</v>
      </c>
      <c r="F16" s="11">
        <f>3.0866 * CHOOSE(CONTROL!$C$32, $C$9, 100%, $E$9)</f>
        <v>3.0865999999999998</v>
      </c>
      <c r="G16" s="11">
        <f>3.0981 * CHOOSE(CONTROL!$C$32, $C$9, 100%, $E$9)</f>
        <v>3.0981000000000001</v>
      </c>
      <c r="H16" s="11">
        <f>5.79 * CHOOSE(CONTROL!$C$32, $C$9, 100%, $E$9)</f>
        <v>5.79</v>
      </c>
      <c r="I16" s="11">
        <f>5.8015 * CHOOSE(CONTROL!$C$32, $C$9, 100%, $E$9)</f>
        <v>5.8014999999999999</v>
      </c>
      <c r="J16" s="11">
        <f>5.79 * CHOOSE(CONTROL!$C$32, $C$9, 100%, $E$9)</f>
        <v>5.79</v>
      </c>
      <c r="K16" s="11">
        <f>5.8015 * CHOOSE(CONTROL!$C$32, $C$9, 100%, $E$9)</f>
        <v>5.8014999999999999</v>
      </c>
      <c r="L16" s="11">
        <f>3.4548 * CHOOSE(CONTROL!$C$32, $C$9, 100%, $E$9)</f>
        <v>3.4548000000000001</v>
      </c>
      <c r="M16" s="11">
        <f>3.4663 * CHOOSE(CONTROL!$C$32, $C$9, 100%, $E$9)</f>
        <v>3.4662999999999999</v>
      </c>
      <c r="N16" s="11">
        <f>3.4548 * CHOOSE(CONTROL!$C$32, $C$9, 100%, $E$9)</f>
        <v>3.4548000000000001</v>
      </c>
      <c r="O16" s="11">
        <f>3.4663 * CHOOSE(CONTROL!$C$32, $C$9, 100%, $E$9)</f>
        <v>3.4662999999999999</v>
      </c>
      <c r="P16" s="14"/>
      <c r="Q16" s="11"/>
      <c r="R16" s="11"/>
    </row>
    <row r="17" spans="1:18" ht="15" x14ac:dyDescent="0.2">
      <c r="A17" s="13">
        <v>41365</v>
      </c>
      <c r="B17" s="9">
        <f>2.2879 * CHOOSE(CONTROL!$C$32, $C$9, 100%, $E$9)</f>
        <v>2.2879</v>
      </c>
      <c r="C17" s="9">
        <f>2.1959 * CHOOSE(CONTROL!$C$32, $C$9, 100%, $E$9)</f>
        <v>2.1959</v>
      </c>
      <c r="D17" s="9">
        <f>2.2305 * CHOOSE(CONTROL!$C$32, $C$9, 100%, $E$9)</f>
        <v>2.2305000000000001</v>
      </c>
      <c r="E17" s="11">
        <f>3.4508 * CHOOSE(CONTROL!$C$32, $C$9, 100%, $E$9)</f>
        <v>3.4508000000000001</v>
      </c>
      <c r="F17" s="11">
        <f>3.0772 * CHOOSE(CONTROL!$C$32, $C$9, 100%, $E$9)</f>
        <v>3.0771999999999999</v>
      </c>
      <c r="G17" s="11">
        <f>3.0887 * CHOOSE(CONTROL!$C$32, $C$9, 100%, $E$9)</f>
        <v>3.0886999999999998</v>
      </c>
      <c r="H17" s="11">
        <f>5.829 * CHOOSE(CONTROL!$C$32, $C$9, 100%, $E$9)</f>
        <v>5.8289999999999997</v>
      </c>
      <c r="I17" s="11">
        <f>5.8405 * CHOOSE(CONTROL!$C$32, $C$9, 100%, $E$9)</f>
        <v>5.8404999999999996</v>
      </c>
      <c r="J17" s="11">
        <f>5.829 * CHOOSE(CONTROL!$C$32, $C$9, 100%, $E$9)</f>
        <v>5.8289999999999997</v>
      </c>
      <c r="K17" s="11">
        <f>5.8405 * CHOOSE(CONTROL!$C$32, $C$9, 100%, $E$9)</f>
        <v>5.8404999999999996</v>
      </c>
      <c r="L17" s="11">
        <f>3.4508 * CHOOSE(CONTROL!$C$32, $C$9, 100%, $E$9)</f>
        <v>3.4508000000000001</v>
      </c>
      <c r="M17" s="11">
        <f>3.4623 * CHOOSE(CONTROL!$C$32, $C$9, 100%, $E$9)</f>
        <v>3.4622999999999999</v>
      </c>
      <c r="N17" s="11">
        <f>3.4508 * CHOOSE(CONTROL!$C$32, $C$9, 100%, $E$9)</f>
        <v>3.4508000000000001</v>
      </c>
      <c r="O17" s="11">
        <f>3.4623 * CHOOSE(CONTROL!$C$32, $C$9, 100%, $E$9)</f>
        <v>3.4622999999999999</v>
      </c>
      <c r="P17" s="14"/>
      <c r="Q17" s="11"/>
      <c r="R17" s="11"/>
    </row>
    <row r="18" spans="1:18" ht="15" x14ac:dyDescent="0.2">
      <c r="A18" s="13">
        <v>41395</v>
      </c>
      <c r="B18" s="9">
        <f>2.2947 * CHOOSE(CONTROL!$C$32, $C$9, 100%, $E$9)</f>
        <v>2.2947000000000002</v>
      </c>
      <c r="C18" s="9">
        <f>2.19 * CHOOSE(CONTROL!$C$32, $C$9, 100%, $E$9)</f>
        <v>2.19</v>
      </c>
      <c r="D18" s="9">
        <f>2.2354 * CHOOSE(CONTROL!$C$32, $C$9, 100%, $E$9)</f>
        <v>2.2353999999999998</v>
      </c>
      <c r="E18" s="11">
        <f>3.4702 * CHOOSE(CONTROL!$C$32, $C$9, 100%, $E$9)</f>
        <v>3.4702000000000002</v>
      </c>
      <c r="F18" s="11">
        <f>3.084 * CHOOSE(CONTROL!$C$32, $C$9, 100%, $E$9)</f>
        <v>3.0840000000000001</v>
      </c>
      <c r="G18" s="11">
        <f>3.0991 * CHOOSE(CONTROL!$C$32, $C$9, 100%, $E$9)</f>
        <v>3.0991</v>
      </c>
      <c r="H18" s="11">
        <f>5.829 * CHOOSE(CONTROL!$C$32, $C$9, 100%, $E$9)</f>
        <v>5.8289999999999997</v>
      </c>
      <c r="I18" s="11">
        <f>5.8441 * CHOOSE(CONTROL!$C$32, $C$9, 100%, $E$9)</f>
        <v>5.8441000000000001</v>
      </c>
      <c r="J18" s="11">
        <f>5.829 * CHOOSE(CONTROL!$C$32, $C$9, 100%, $E$9)</f>
        <v>5.8289999999999997</v>
      </c>
      <c r="K18" s="11">
        <f>5.8441 * CHOOSE(CONTROL!$C$32, $C$9, 100%, $E$9)</f>
        <v>5.8441000000000001</v>
      </c>
      <c r="L18" s="11">
        <f>3.4702 * CHOOSE(CONTROL!$C$32, $C$9, 100%, $E$9)</f>
        <v>3.4702000000000002</v>
      </c>
      <c r="M18" s="11">
        <f>3.4852 * CHOOSE(CONTROL!$C$32, $C$9, 100%, $E$9)</f>
        <v>3.4851999999999999</v>
      </c>
      <c r="N18" s="11">
        <f>3.4702 * CHOOSE(CONTROL!$C$32, $C$9, 100%, $E$9)</f>
        <v>3.4702000000000002</v>
      </c>
      <c r="O18" s="11">
        <f>3.4852 * CHOOSE(CONTROL!$C$32, $C$9, 100%, $E$9)</f>
        <v>3.4851999999999999</v>
      </c>
      <c r="P18" s="14"/>
      <c r="Q18" s="11"/>
      <c r="R18" s="11"/>
    </row>
    <row r="19" spans="1:18" ht="15" x14ac:dyDescent="0.2">
      <c r="A19" s="13">
        <v>41426</v>
      </c>
      <c r="B19" s="9">
        <f>2.296 * CHOOSE(CONTROL!$C$32, $C$9, 100%, $E$9)</f>
        <v>2.2959999999999998</v>
      </c>
      <c r="C19" s="9">
        <f>2.1989 * CHOOSE(CONTROL!$C$32, $C$9, 100%, $E$9)</f>
        <v>2.1989000000000001</v>
      </c>
      <c r="D19" s="9">
        <f>2.2443 * CHOOSE(CONTROL!$C$32, $C$9, 100%, $E$9)</f>
        <v>2.2443</v>
      </c>
      <c r="E19" s="11">
        <f>3.4782 * CHOOSE(CONTROL!$C$32, $C$9, 100%, $E$9)</f>
        <v>3.4782000000000002</v>
      </c>
      <c r="F19" s="11">
        <f>3.109 * CHOOSE(CONTROL!$C$32, $C$9, 100%, $E$9)</f>
        <v>3.109</v>
      </c>
      <c r="G19" s="11">
        <f>3.1241 * CHOOSE(CONTROL!$C$32, $C$9, 100%, $E$9)</f>
        <v>3.1240999999999999</v>
      </c>
      <c r="H19" s="11">
        <f>5.829 * CHOOSE(CONTROL!$C$32, $C$9, 100%, $E$9)</f>
        <v>5.8289999999999997</v>
      </c>
      <c r="I19" s="11">
        <f>5.8441 * CHOOSE(CONTROL!$C$32, $C$9, 100%, $E$9)</f>
        <v>5.8441000000000001</v>
      </c>
      <c r="J19" s="11">
        <f>5.829 * CHOOSE(CONTROL!$C$32, $C$9, 100%, $E$9)</f>
        <v>5.8289999999999997</v>
      </c>
      <c r="K19" s="11">
        <f>5.8441 * CHOOSE(CONTROL!$C$32, $C$9, 100%, $E$9)</f>
        <v>5.8441000000000001</v>
      </c>
      <c r="L19" s="11">
        <f>3.4782 * CHOOSE(CONTROL!$C$32, $C$9, 100%, $E$9)</f>
        <v>3.4782000000000002</v>
      </c>
      <c r="M19" s="11">
        <f>3.4933 * CHOOSE(CONTROL!$C$32, $C$9, 100%, $E$9)</f>
        <v>3.4933000000000001</v>
      </c>
      <c r="N19" s="11">
        <f>3.4782 * CHOOSE(CONTROL!$C$32, $C$9, 100%, $E$9)</f>
        <v>3.4782000000000002</v>
      </c>
      <c r="O19" s="11">
        <f>3.4933 * CHOOSE(CONTROL!$C$32, $C$9, 100%, $E$9)</f>
        <v>3.4933000000000001</v>
      </c>
      <c r="P19" s="14"/>
      <c r="Q19" s="11"/>
      <c r="R19" s="11"/>
    </row>
    <row r="20" spans="1:18" ht="15" x14ac:dyDescent="0.2">
      <c r="A20" s="13">
        <v>41456</v>
      </c>
      <c r="B20" s="9">
        <f>2.3 * CHOOSE(CONTROL!$C$32, $C$9, 100%, $E$9)</f>
        <v>2.2999999999999998</v>
      </c>
      <c r="C20" s="9">
        <f>2.2233 * CHOOSE(CONTROL!$C$32, $C$9, 100%, $E$9)</f>
        <v>2.2233000000000001</v>
      </c>
      <c r="D20" s="9">
        <f>2.2687 * CHOOSE(CONTROL!$C$32, $C$9, 100%, $E$9)</f>
        <v>2.2686999999999999</v>
      </c>
      <c r="E20" s="11">
        <f>3.4973 * CHOOSE(CONTROL!$C$32, $C$9, 100%, $E$9)</f>
        <v>3.4973000000000001</v>
      </c>
      <c r="F20" s="11">
        <f>3.1418 * CHOOSE(CONTROL!$C$32, $C$9, 100%, $E$9)</f>
        <v>3.1417999999999999</v>
      </c>
      <c r="G20" s="11">
        <f>3.1569 * CHOOSE(CONTROL!$C$32, $C$9, 100%, $E$9)</f>
        <v>3.1568999999999998</v>
      </c>
      <c r="H20" s="11">
        <f>5.8411 * CHOOSE(CONTROL!$C$32, $C$9, 100%, $E$9)</f>
        <v>5.8411</v>
      </c>
      <c r="I20" s="11">
        <f>5.8562 * CHOOSE(CONTROL!$C$32, $C$9, 100%, $E$9)</f>
        <v>5.8562000000000003</v>
      </c>
      <c r="J20" s="11">
        <f>5.8411 * CHOOSE(CONTROL!$C$32, $C$9, 100%, $E$9)</f>
        <v>5.8411</v>
      </c>
      <c r="K20" s="11">
        <f>5.8562 * CHOOSE(CONTROL!$C$32, $C$9, 100%, $E$9)</f>
        <v>5.8562000000000003</v>
      </c>
      <c r="L20" s="11">
        <f>3.4973 * CHOOSE(CONTROL!$C$32, $C$9, 100%, $E$9)</f>
        <v>3.4973000000000001</v>
      </c>
      <c r="M20" s="11">
        <f>3.5123 * CHOOSE(CONTROL!$C$32, $C$9, 100%, $E$9)</f>
        <v>3.5123000000000002</v>
      </c>
      <c r="N20" s="11">
        <f>3.4973 * CHOOSE(CONTROL!$C$32, $C$9, 100%, $E$9)</f>
        <v>3.4973000000000001</v>
      </c>
      <c r="O20" s="11">
        <f>3.5123 * CHOOSE(CONTROL!$C$32, $C$9, 100%, $E$9)</f>
        <v>3.5123000000000002</v>
      </c>
      <c r="P20" s="14"/>
      <c r="Q20" s="11"/>
      <c r="R20" s="11"/>
    </row>
    <row r="21" spans="1:18" ht="15" x14ac:dyDescent="0.2">
      <c r="A21" s="13">
        <v>41487</v>
      </c>
      <c r="B21" s="9">
        <f>2.3085 * CHOOSE(CONTROL!$C$32, $C$9, 100%, $E$9)</f>
        <v>2.3085</v>
      </c>
      <c r="C21" s="9">
        <f>2.2521 * CHOOSE(CONTROL!$C$32, $C$9, 100%, $E$9)</f>
        <v>2.2521</v>
      </c>
      <c r="D21" s="9">
        <f>2.2975 * CHOOSE(CONTROL!$C$32, $C$9, 100%, $E$9)</f>
        <v>2.2974999999999999</v>
      </c>
      <c r="E21" s="11">
        <f>3.499 * CHOOSE(CONTROL!$C$32, $C$9, 100%, $E$9)</f>
        <v>3.4990000000000001</v>
      </c>
      <c r="F21" s="11">
        <f>3.1759 * CHOOSE(CONTROL!$C$32, $C$9, 100%, $E$9)</f>
        <v>3.1758999999999999</v>
      </c>
      <c r="G21" s="11">
        <f>3.191 * CHOOSE(CONTROL!$C$32, $C$9, 100%, $E$9)</f>
        <v>3.1909999999999998</v>
      </c>
      <c r="H21" s="11">
        <f>5.8533 * CHOOSE(CONTROL!$C$32, $C$9, 100%, $E$9)</f>
        <v>5.8532999999999999</v>
      </c>
      <c r="I21" s="11">
        <f>5.8684 * CHOOSE(CONTROL!$C$32, $C$9, 100%, $E$9)</f>
        <v>5.8684000000000003</v>
      </c>
      <c r="J21" s="11">
        <f>5.8533 * CHOOSE(CONTROL!$C$32, $C$9, 100%, $E$9)</f>
        <v>5.8532999999999999</v>
      </c>
      <c r="K21" s="11">
        <f>5.8684 * CHOOSE(CONTROL!$C$32, $C$9, 100%, $E$9)</f>
        <v>5.8684000000000003</v>
      </c>
      <c r="L21" s="11">
        <f>3.499 * CHOOSE(CONTROL!$C$32, $C$9, 100%, $E$9)</f>
        <v>3.4990000000000001</v>
      </c>
      <c r="M21" s="11">
        <f>3.5141 * CHOOSE(CONTROL!$C$32, $C$9, 100%, $E$9)</f>
        <v>3.5141</v>
      </c>
      <c r="N21" s="11">
        <f>3.499 * CHOOSE(CONTROL!$C$32, $C$9, 100%, $E$9)</f>
        <v>3.4990000000000001</v>
      </c>
      <c r="O21" s="11">
        <f>3.5141 * CHOOSE(CONTROL!$C$32, $C$9, 100%, $E$9)</f>
        <v>3.5141</v>
      </c>
      <c r="P21" s="14"/>
      <c r="Q21" s="11"/>
      <c r="R21" s="11"/>
    </row>
    <row r="22" spans="1:18" ht="15" x14ac:dyDescent="0.2">
      <c r="A22" s="13">
        <v>41518</v>
      </c>
      <c r="B22" s="9">
        <f>2.3073 * CHOOSE(CONTROL!$C$32, $C$9, 100%, $E$9)</f>
        <v>2.3073000000000001</v>
      </c>
      <c r="C22" s="9">
        <f>2.2458 * CHOOSE(CONTROL!$C$32, $C$9, 100%, $E$9)</f>
        <v>2.2458</v>
      </c>
      <c r="D22" s="9">
        <f>2.2912 * CHOOSE(CONTROL!$C$32, $C$9, 100%, $E$9)</f>
        <v>2.2911999999999999</v>
      </c>
      <c r="E22" s="11">
        <f>3.4957 * CHOOSE(CONTROL!$C$32, $C$9, 100%, $E$9)</f>
        <v>3.4956999999999998</v>
      </c>
      <c r="F22" s="11">
        <f>3.1918 * CHOOSE(CONTROL!$C$32, $C$9, 100%, $E$9)</f>
        <v>3.1918000000000002</v>
      </c>
      <c r="G22" s="11">
        <f>3.2069 * CHOOSE(CONTROL!$C$32, $C$9, 100%, $E$9)</f>
        <v>3.2069000000000001</v>
      </c>
      <c r="H22" s="11">
        <f>5.8655 * CHOOSE(CONTROL!$C$32, $C$9, 100%, $E$9)</f>
        <v>5.8654999999999999</v>
      </c>
      <c r="I22" s="11">
        <f>5.8806 * CHOOSE(CONTROL!$C$32, $C$9, 100%, $E$9)</f>
        <v>5.8806000000000003</v>
      </c>
      <c r="J22" s="11">
        <f>5.8655 * CHOOSE(CONTROL!$C$32, $C$9, 100%, $E$9)</f>
        <v>5.8654999999999999</v>
      </c>
      <c r="K22" s="11">
        <f>5.8806 * CHOOSE(CONTROL!$C$32, $C$9, 100%, $E$9)</f>
        <v>5.8806000000000003</v>
      </c>
      <c r="L22" s="11">
        <f>3.4957 * CHOOSE(CONTROL!$C$32, $C$9, 100%, $E$9)</f>
        <v>3.4956999999999998</v>
      </c>
      <c r="M22" s="11">
        <f>3.5107 * CHOOSE(CONTROL!$C$32, $C$9, 100%, $E$9)</f>
        <v>3.5106999999999999</v>
      </c>
      <c r="N22" s="11">
        <f>3.4957 * CHOOSE(CONTROL!$C$32, $C$9, 100%, $E$9)</f>
        <v>3.4956999999999998</v>
      </c>
      <c r="O22" s="11">
        <f>3.5107 * CHOOSE(CONTROL!$C$32, $C$9, 100%, $E$9)</f>
        <v>3.5106999999999999</v>
      </c>
      <c r="P22" s="14"/>
      <c r="Q22" s="11"/>
      <c r="R22" s="11"/>
    </row>
    <row r="23" spans="1:18" ht="15" x14ac:dyDescent="0.2">
      <c r="A23" s="13">
        <v>41548</v>
      </c>
      <c r="B23" s="9">
        <f>2.3058 * CHOOSE(CONTROL!$C$32, $C$9, 100%, $E$9)</f>
        <v>2.3058000000000001</v>
      </c>
      <c r="C23" s="9">
        <f>2.2367 * CHOOSE(CONTROL!$C$32, $C$9, 100%, $E$9)</f>
        <v>2.2366999999999999</v>
      </c>
      <c r="D23" s="9">
        <f>2.2712 * CHOOSE(CONTROL!$C$32, $C$9, 100%, $E$9)</f>
        <v>2.2711999999999999</v>
      </c>
      <c r="E23" s="11">
        <f>3.5106 * CHOOSE(CONTROL!$C$32, $C$9, 100%, $E$9)</f>
        <v>3.5106000000000002</v>
      </c>
      <c r="F23" s="11">
        <f>3.2177 * CHOOSE(CONTROL!$C$32, $C$9, 100%, $E$9)</f>
        <v>3.2176999999999998</v>
      </c>
      <c r="G23" s="11">
        <f>3.2293 * CHOOSE(CONTROL!$C$32, $C$9, 100%, $E$9)</f>
        <v>3.2292999999999998</v>
      </c>
      <c r="H23" s="11">
        <f>5.8777 * CHOOSE(CONTROL!$C$32, $C$9, 100%, $E$9)</f>
        <v>5.8776999999999999</v>
      </c>
      <c r="I23" s="11">
        <f>5.8893 * CHOOSE(CONTROL!$C$32, $C$9, 100%, $E$9)</f>
        <v>5.8893000000000004</v>
      </c>
      <c r="J23" s="11">
        <f>5.8777 * CHOOSE(CONTROL!$C$32, $C$9, 100%, $E$9)</f>
        <v>5.8776999999999999</v>
      </c>
      <c r="K23" s="11">
        <f>5.8893 * CHOOSE(CONTROL!$C$32, $C$9, 100%, $E$9)</f>
        <v>5.8893000000000004</v>
      </c>
      <c r="L23" s="11">
        <f>3.5106 * CHOOSE(CONTROL!$C$32, $C$9, 100%, $E$9)</f>
        <v>3.5106000000000002</v>
      </c>
      <c r="M23" s="11">
        <f>3.5221 * CHOOSE(CONTROL!$C$32, $C$9, 100%, $E$9)</f>
        <v>3.5221</v>
      </c>
      <c r="N23" s="11">
        <f>3.5106 * CHOOSE(CONTROL!$C$32, $C$9, 100%, $E$9)</f>
        <v>3.5106000000000002</v>
      </c>
      <c r="O23" s="11">
        <f>3.5221 * CHOOSE(CONTROL!$C$32, $C$9, 100%, $E$9)</f>
        <v>3.5221</v>
      </c>
      <c r="P23" s="14"/>
      <c r="Q23" s="11"/>
      <c r="R23" s="11"/>
    </row>
    <row r="24" spans="1:18" ht="15" x14ac:dyDescent="0.2">
      <c r="A24" s="13">
        <v>41579</v>
      </c>
      <c r="B24" s="9">
        <f>2.3113 * CHOOSE(CONTROL!$C$32, $C$9, 100%, $E$9)</f>
        <v>2.3113000000000001</v>
      </c>
      <c r="C24" s="9">
        <f>2.2472 * CHOOSE(CONTROL!$C$32, $C$9, 100%, $E$9)</f>
        <v>2.2471999999999999</v>
      </c>
      <c r="D24" s="9">
        <f>2.2818 * CHOOSE(CONTROL!$C$32, $C$9, 100%, $E$9)</f>
        <v>2.2818000000000001</v>
      </c>
      <c r="E24" s="11">
        <f>3.5106 * CHOOSE(CONTROL!$C$32, $C$9, 100%, $E$9)</f>
        <v>3.5106000000000002</v>
      </c>
      <c r="F24" s="11">
        <f>3.245 * CHOOSE(CONTROL!$C$32, $C$9, 100%, $E$9)</f>
        <v>3.2450000000000001</v>
      </c>
      <c r="G24" s="11">
        <f>3.2565 * CHOOSE(CONTROL!$C$32, $C$9, 100%, $E$9)</f>
        <v>3.2565</v>
      </c>
      <c r="H24" s="11">
        <f>5.89 * CHOOSE(CONTROL!$C$32, $C$9, 100%, $E$9)</f>
        <v>5.89</v>
      </c>
      <c r="I24" s="11">
        <f>5.9015 * CHOOSE(CONTROL!$C$32, $C$9, 100%, $E$9)</f>
        <v>5.9015000000000004</v>
      </c>
      <c r="J24" s="11">
        <f>5.89 * CHOOSE(CONTROL!$C$32, $C$9, 100%, $E$9)</f>
        <v>5.89</v>
      </c>
      <c r="K24" s="11">
        <f>5.9015 * CHOOSE(CONTROL!$C$32, $C$9, 100%, $E$9)</f>
        <v>5.9015000000000004</v>
      </c>
      <c r="L24" s="11">
        <f>3.5106 * CHOOSE(CONTROL!$C$32, $C$9, 100%, $E$9)</f>
        <v>3.5106000000000002</v>
      </c>
      <c r="M24" s="11">
        <f>3.5221 * CHOOSE(CONTROL!$C$32, $C$9, 100%, $E$9)</f>
        <v>3.5221</v>
      </c>
      <c r="N24" s="11">
        <f>3.5106 * CHOOSE(CONTROL!$C$32, $C$9, 100%, $E$9)</f>
        <v>3.5106000000000002</v>
      </c>
      <c r="O24" s="11">
        <f>3.5221 * CHOOSE(CONTROL!$C$32, $C$9, 100%, $E$9)</f>
        <v>3.5221</v>
      </c>
      <c r="P24" s="14"/>
      <c r="Q24" s="11"/>
      <c r="R24" s="11"/>
    </row>
    <row r="25" spans="1:18" ht="15" x14ac:dyDescent="0.2">
      <c r="A25" s="13">
        <v>41609</v>
      </c>
      <c r="B25" s="9">
        <f>2.3131 * CHOOSE(CONTROL!$C$32, $C$9, 100%, $E$9)</f>
        <v>2.3130999999999999</v>
      </c>
      <c r="C25" s="9">
        <f>2.2592 * CHOOSE(CONTROL!$C$32, $C$9, 100%, $E$9)</f>
        <v>2.2591999999999999</v>
      </c>
      <c r="D25" s="9">
        <f>2.2938 * CHOOSE(CONTROL!$C$32, $C$9, 100%, $E$9)</f>
        <v>2.2938000000000001</v>
      </c>
      <c r="E25" s="11">
        <f>3.5079 * CHOOSE(CONTROL!$C$32, $C$9, 100%, $E$9)</f>
        <v>3.5078999999999998</v>
      </c>
      <c r="F25" s="11">
        <f>3.2814 * CHOOSE(CONTROL!$C$32, $C$9, 100%, $E$9)</f>
        <v>3.2814000000000001</v>
      </c>
      <c r="G25" s="11">
        <f>3.2929 * CHOOSE(CONTROL!$C$32, $C$9, 100%, $E$9)</f>
        <v>3.2928999999999999</v>
      </c>
      <c r="H25" s="11">
        <f>5.9022 * CHOOSE(CONTROL!$C$32, $C$9, 100%, $E$9)</f>
        <v>5.9021999999999997</v>
      </c>
      <c r="I25" s="11">
        <f>5.9138 * CHOOSE(CONTROL!$C$32, $C$9, 100%, $E$9)</f>
        <v>5.9138000000000002</v>
      </c>
      <c r="J25" s="11">
        <f>5.9022 * CHOOSE(CONTROL!$C$32, $C$9, 100%, $E$9)</f>
        <v>5.9021999999999997</v>
      </c>
      <c r="K25" s="11">
        <f>5.9138 * CHOOSE(CONTROL!$C$32, $C$9, 100%, $E$9)</f>
        <v>5.9138000000000002</v>
      </c>
      <c r="L25" s="11">
        <f>3.5079 * CHOOSE(CONTROL!$C$32, $C$9, 100%, $E$9)</f>
        <v>3.5078999999999998</v>
      </c>
      <c r="M25" s="11">
        <f>3.5194 * CHOOSE(CONTROL!$C$32, $C$9, 100%, $E$9)</f>
        <v>3.5194000000000001</v>
      </c>
      <c r="N25" s="11">
        <f>3.5079 * CHOOSE(CONTROL!$C$32, $C$9, 100%, $E$9)</f>
        <v>3.5078999999999998</v>
      </c>
      <c r="O25" s="11">
        <f>3.5194 * CHOOSE(CONTROL!$C$32, $C$9, 100%, $E$9)</f>
        <v>3.5194000000000001</v>
      </c>
      <c r="P25" s="14"/>
      <c r="Q25" s="11"/>
      <c r="R25" s="11"/>
    </row>
    <row r="26" spans="1:18" ht="15" x14ac:dyDescent="0.2">
      <c r="A26" s="13">
        <v>41640</v>
      </c>
      <c r="B26" s="9">
        <f>2.326 * CHOOSE(CONTROL!$C$32, $C$9, 100%, $E$9)</f>
        <v>2.3260000000000001</v>
      </c>
      <c r="C26" s="9">
        <f>2.2882 * CHOOSE(CONTROL!$C$32, $C$9, 100%, $E$9)</f>
        <v>2.2881999999999998</v>
      </c>
      <c r="D26" s="9">
        <f>2.3228 * CHOOSE(CONTROL!$C$32, $C$9, 100%, $E$9)</f>
        <v>2.3228</v>
      </c>
      <c r="E26" s="11">
        <f>3.4998 * CHOOSE(CONTROL!$C$32, $C$9, 100%, $E$9)</f>
        <v>3.4998</v>
      </c>
      <c r="F26" s="11">
        <f>3.2737 * CHOOSE(CONTROL!$C$32, $C$9, 100%, $E$9)</f>
        <v>3.2736999999999998</v>
      </c>
      <c r="G26" s="11">
        <f>3.2853 * CHOOSE(CONTROL!$C$32, $C$9, 100%, $E$9)</f>
        <v>3.2852999999999999</v>
      </c>
      <c r="H26" s="11">
        <f>5.9145 * CHOOSE(CONTROL!$C$32, $C$9, 100%, $E$9)</f>
        <v>5.9145000000000003</v>
      </c>
      <c r="I26" s="11">
        <f>5.9261 * CHOOSE(CONTROL!$C$32, $C$9, 100%, $E$9)</f>
        <v>5.9260999999999999</v>
      </c>
      <c r="J26" s="11">
        <f>5.9145 * CHOOSE(CONTROL!$C$32, $C$9, 100%, $E$9)</f>
        <v>5.9145000000000003</v>
      </c>
      <c r="K26" s="11">
        <f>5.9261 * CHOOSE(CONTROL!$C$32, $C$9, 100%, $E$9)</f>
        <v>5.9260999999999999</v>
      </c>
      <c r="L26" s="11">
        <f>3.4998 * CHOOSE(CONTROL!$C$32, $C$9, 100%, $E$9)</f>
        <v>3.4998</v>
      </c>
      <c r="M26" s="11">
        <f>3.5113 * CHOOSE(CONTROL!$C$32, $C$9, 100%, $E$9)</f>
        <v>3.5112999999999999</v>
      </c>
      <c r="N26" s="11">
        <f>3.4998 * CHOOSE(CONTROL!$C$32, $C$9, 100%, $E$9)</f>
        <v>3.4998</v>
      </c>
      <c r="O26" s="11">
        <f>3.5113 * CHOOSE(CONTROL!$C$32, $C$9, 100%, $E$9)</f>
        <v>3.5112999999999999</v>
      </c>
      <c r="P26" s="14"/>
      <c r="Q26" s="11"/>
      <c r="R26" s="11"/>
    </row>
    <row r="27" spans="1:18" ht="15" x14ac:dyDescent="0.2">
      <c r="A27" s="13">
        <v>41671</v>
      </c>
      <c r="B27" s="9">
        <f>2.338 * CHOOSE(CONTROL!$C$32, $C$9, 100%, $E$9)</f>
        <v>2.3380000000000001</v>
      </c>
      <c r="C27" s="9">
        <f>2.3077 * CHOOSE(CONTROL!$C$32, $C$9, 100%, $E$9)</f>
        <v>2.3077000000000001</v>
      </c>
      <c r="D27" s="9">
        <f>2.3423 * CHOOSE(CONTROL!$C$32, $C$9, 100%, $E$9)</f>
        <v>2.3422999999999998</v>
      </c>
      <c r="E27" s="11">
        <f>3.5012 * CHOOSE(CONTROL!$C$32, $C$9, 100%, $E$9)</f>
        <v>3.5011999999999999</v>
      </c>
      <c r="F27" s="11">
        <f>3.2886 * CHOOSE(CONTROL!$C$32, $C$9, 100%, $E$9)</f>
        <v>3.2886000000000002</v>
      </c>
      <c r="G27" s="11">
        <f>3.3001 * CHOOSE(CONTROL!$C$32, $C$9, 100%, $E$9)</f>
        <v>3.3001</v>
      </c>
      <c r="H27" s="11">
        <f>5.9269 * CHOOSE(CONTROL!$C$32, $C$9, 100%, $E$9)</f>
        <v>5.9268999999999998</v>
      </c>
      <c r="I27" s="11">
        <f>5.9384 * CHOOSE(CONTROL!$C$32, $C$9, 100%, $E$9)</f>
        <v>5.9383999999999997</v>
      </c>
      <c r="J27" s="11">
        <f>5.9269 * CHOOSE(CONTROL!$C$32, $C$9, 100%, $E$9)</f>
        <v>5.9268999999999998</v>
      </c>
      <c r="K27" s="11">
        <f>5.9384 * CHOOSE(CONTROL!$C$32, $C$9, 100%, $E$9)</f>
        <v>5.9383999999999997</v>
      </c>
      <c r="L27" s="11">
        <f>3.5012 * CHOOSE(CONTROL!$C$32, $C$9, 100%, $E$9)</f>
        <v>3.5011999999999999</v>
      </c>
      <c r="M27" s="11">
        <f>3.5127 * CHOOSE(CONTROL!$C$32, $C$9, 100%, $E$9)</f>
        <v>3.5127000000000002</v>
      </c>
      <c r="N27" s="11">
        <f>3.5012 * CHOOSE(CONTROL!$C$32, $C$9, 100%, $E$9)</f>
        <v>3.5011999999999999</v>
      </c>
      <c r="O27" s="11">
        <f>3.5127 * CHOOSE(CONTROL!$C$32, $C$9, 100%, $E$9)</f>
        <v>3.5127000000000002</v>
      </c>
      <c r="P27" s="14"/>
      <c r="Q27" s="11"/>
      <c r="R27" s="11"/>
    </row>
    <row r="28" spans="1:18" ht="15" x14ac:dyDescent="0.2">
      <c r="A28" s="13">
        <v>41699</v>
      </c>
      <c r="B28" s="9">
        <f>2.3423 * CHOOSE(CONTROL!$C$32, $C$9, 100%, $E$9)</f>
        <v>2.3422999999999998</v>
      </c>
      <c r="C28" s="9">
        <f>2.3166 * CHOOSE(CONTROL!$C$32, $C$9, 100%, $E$9)</f>
        <v>2.3166000000000002</v>
      </c>
      <c r="D28" s="9">
        <f>2.3512 * CHOOSE(CONTROL!$C$32, $C$9, 100%, $E$9)</f>
        <v>2.3512</v>
      </c>
      <c r="E28" s="11">
        <f>3.4055 * CHOOSE(CONTROL!$C$32, $C$9, 100%, $E$9)</f>
        <v>3.4055</v>
      </c>
      <c r="F28" s="11">
        <f>3.2949 * CHOOSE(CONTROL!$C$32, $C$9, 100%, $E$9)</f>
        <v>3.2949000000000002</v>
      </c>
      <c r="G28" s="11">
        <f>3.3064 * CHOOSE(CONTROL!$C$32, $C$9, 100%, $E$9)</f>
        <v>3.3064</v>
      </c>
      <c r="H28" s="11">
        <f>5.9392 * CHOOSE(CONTROL!$C$32, $C$9, 100%, $E$9)</f>
        <v>5.9391999999999996</v>
      </c>
      <c r="I28" s="11">
        <f>5.9507 * CHOOSE(CONTROL!$C$32, $C$9, 100%, $E$9)</f>
        <v>5.9507000000000003</v>
      </c>
      <c r="J28" s="11">
        <f>5.9392 * CHOOSE(CONTROL!$C$32, $C$9, 100%, $E$9)</f>
        <v>5.9391999999999996</v>
      </c>
      <c r="K28" s="11">
        <f>5.9507 * CHOOSE(CONTROL!$C$32, $C$9, 100%, $E$9)</f>
        <v>5.9507000000000003</v>
      </c>
      <c r="L28" s="11">
        <f>3.4055 * CHOOSE(CONTROL!$C$32, $C$9, 100%, $E$9)</f>
        <v>3.4055</v>
      </c>
      <c r="M28" s="11">
        <f>3.417 * CHOOSE(CONTROL!$C$32, $C$9, 100%, $E$9)</f>
        <v>3.4169999999999998</v>
      </c>
      <c r="N28" s="11">
        <f>3.4055 * CHOOSE(CONTROL!$C$32, $C$9, 100%, $E$9)</f>
        <v>3.4055</v>
      </c>
      <c r="O28" s="11">
        <f>3.417 * CHOOSE(CONTROL!$C$32, $C$9, 100%, $E$9)</f>
        <v>3.4169999999999998</v>
      </c>
      <c r="P28" s="14"/>
      <c r="Q28" s="11"/>
      <c r="R28" s="11"/>
    </row>
    <row r="29" spans="1:18" ht="15" x14ac:dyDescent="0.2">
      <c r="A29" s="13">
        <v>41730</v>
      </c>
      <c r="B29" s="9">
        <f>2.3408 * CHOOSE(CONTROL!$C$32, $C$9, 100%, $E$9)</f>
        <v>2.3408000000000002</v>
      </c>
      <c r="C29" s="9">
        <f>2.3136 * CHOOSE(CONTROL!$C$32, $C$9, 100%, $E$9)</f>
        <v>2.3136000000000001</v>
      </c>
      <c r="D29" s="9">
        <f>2.3482 * CHOOSE(CONTROL!$C$32, $C$9, 100%, $E$9)</f>
        <v>2.3481999999999998</v>
      </c>
      <c r="E29" s="11">
        <f>3.4026 * CHOOSE(CONTROL!$C$32, $C$9, 100%, $E$9)</f>
        <v>3.4026000000000001</v>
      </c>
      <c r="F29" s="11">
        <f>3.3055 * CHOOSE(CONTROL!$C$32, $C$9, 100%, $E$9)</f>
        <v>3.3054999999999999</v>
      </c>
      <c r="G29" s="11">
        <f>3.317 * CHOOSE(CONTROL!$C$32, $C$9, 100%, $E$9)</f>
        <v>3.3170000000000002</v>
      </c>
      <c r="H29" s="11">
        <f>5.9516 * CHOOSE(CONTROL!$C$32, $C$9, 100%, $E$9)</f>
        <v>5.9516</v>
      </c>
      <c r="I29" s="11">
        <f>5.9631 * CHOOSE(CONTROL!$C$32, $C$9, 100%, $E$9)</f>
        <v>5.9630999999999998</v>
      </c>
      <c r="J29" s="11">
        <f>5.9516 * CHOOSE(CONTROL!$C$32, $C$9, 100%, $E$9)</f>
        <v>5.9516</v>
      </c>
      <c r="K29" s="11">
        <f>5.9631 * CHOOSE(CONTROL!$C$32, $C$9, 100%, $E$9)</f>
        <v>5.9630999999999998</v>
      </c>
      <c r="L29" s="11">
        <f>3.4026 * CHOOSE(CONTROL!$C$32, $C$9, 100%, $E$9)</f>
        <v>3.4026000000000001</v>
      </c>
      <c r="M29" s="11">
        <f>3.4142 * CHOOSE(CONTROL!$C$32, $C$9, 100%, $E$9)</f>
        <v>3.4142000000000001</v>
      </c>
      <c r="N29" s="11">
        <f>3.4026 * CHOOSE(CONTROL!$C$32, $C$9, 100%, $E$9)</f>
        <v>3.4026000000000001</v>
      </c>
      <c r="O29" s="11">
        <f>3.4142 * CHOOSE(CONTROL!$C$32, $C$9, 100%, $E$9)</f>
        <v>3.4142000000000001</v>
      </c>
      <c r="P29" s="14"/>
      <c r="Q29" s="11"/>
      <c r="R29" s="11"/>
    </row>
    <row r="30" spans="1:18" ht="15" x14ac:dyDescent="0.2">
      <c r="A30" s="13">
        <v>41760</v>
      </c>
      <c r="B30" s="9">
        <f>2.3438 * CHOOSE(CONTROL!$C$32, $C$9, 100%, $E$9)</f>
        <v>2.3437999999999999</v>
      </c>
      <c r="C30" s="9">
        <f>2.3151 * CHOOSE(CONTROL!$C$32, $C$9, 100%, $E$9)</f>
        <v>2.3151000000000002</v>
      </c>
      <c r="D30" s="9">
        <f>2.3605 * CHOOSE(CONTROL!$C$32, $C$9, 100%, $E$9)</f>
        <v>2.3605</v>
      </c>
      <c r="E30" s="11">
        <f>3.4085 * CHOOSE(CONTROL!$C$32, $C$9, 100%, $E$9)</f>
        <v>3.4085000000000001</v>
      </c>
      <c r="F30" s="11">
        <f>3.3161 * CHOOSE(CONTROL!$C$32, $C$9, 100%, $E$9)</f>
        <v>3.3161</v>
      </c>
      <c r="G30" s="11">
        <f>3.3312 * CHOOSE(CONTROL!$C$32, $C$9, 100%, $E$9)</f>
        <v>3.3311999999999999</v>
      </c>
      <c r="H30" s="11">
        <f>5.964 * CHOOSE(CONTROL!$C$32, $C$9, 100%, $E$9)</f>
        <v>5.9640000000000004</v>
      </c>
      <c r="I30" s="11">
        <f>5.9791 * CHOOSE(CONTROL!$C$32, $C$9, 100%, $E$9)</f>
        <v>5.9790999999999999</v>
      </c>
      <c r="J30" s="11">
        <f>5.964 * CHOOSE(CONTROL!$C$32, $C$9, 100%, $E$9)</f>
        <v>5.9640000000000004</v>
      </c>
      <c r="K30" s="11">
        <f>5.9791 * CHOOSE(CONTROL!$C$32, $C$9, 100%, $E$9)</f>
        <v>5.9790999999999999</v>
      </c>
      <c r="L30" s="11">
        <f>3.4085 * CHOOSE(CONTROL!$C$32, $C$9, 100%, $E$9)</f>
        <v>3.4085000000000001</v>
      </c>
      <c r="M30" s="11">
        <f>3.4236 * CHOOSE(CONTROL!$C$32, $C$9, 100%, $E$9)</f>
        <v>3.4236</v>
      </c>
      <c r="N30" s="11">
        <f>3.4085 * CHOOSE(CONTROL!$C$32, $C$9, 100%, $E$9)</f>
        <v>3.4085000000000001</v>
      </c>
      <c r="O30" s="11">
        <f>3.4236 * CHOOSE(CONTROL!$C$32, $C$9, 100%, $E$9)</f>
        <v>3.4236</v>
      </c>
      <c r="P30" s="14"/>
      <c r="Q30" s="11"/>
      <c r="R30" s="11"/>
    </row>
    <row r="31" spans="1:18" ht="15" x14ac:dyDescent="0.2">
      <c r="A31" s="13">
        <v>41791</v>
      </c>
      <c r="B31" s="9">
        <f>2.3496 * CHOOSE(CONTROL!$C$32, $C$9, 100%, $E$9)</f>
        <v>2.3496000000000001</v>
      </c>
      <c r="C31" s="9">
        <f>2.327 * CHOOSE(CONTROL!$C$32, $C$9, 100%, $E$9)</f>
        <v>2.327</v>
      </c>
      <c r="D31" s="9">
        <f>2.3724 * CHOOSE(CONTROL!$C$32, $C$9, 100%, $E$9)</f>
        <v>2.3723999999999998</v>
      </c>
      <c r="E31" s="11">
        <f>3.4321 * CHOOSE(CONTROL!$C$32, $C$9, 100%, $E$9)</f>
        <v>3.4321000000000002</v>
      </c>
      <c r="F31" s="11">
        <f>3.3585 * CHOOSE(CONTROL!$C$32, $C$9, 100%, $E$9)</f>
        <v>3.3584999999999998</v>
      </c>
      <c r="G31" s="11">
        <f>3.3735 * CHOOSE(CONTROL!$C$32, $C$9, 100%, $E$9)</f>
        <v>3.3734999999999999</v>
      </c>
      <c r="H31" s="11">
        <f>5.9764 * CHOOSE(CONTROL!$C$32, $C$9, 100%, $E$9)</f>
        <v>5.9763999999999999</v>
      </c>
      <c r="I31" s="11">
        <f>5.9915 * CHOOSE(CONTROL!$C$32, $C$9, 100%, $E$9)</f>
        <v>5.9915000000000003</v>
      </c>
      <c r="J31" s="11">
        <f>5.9764 * CHOOSE(CONTROL!$C$32, $C$9, 100%, $E$9)</f>
        <v>5.9763999999999999</v>
      </c>
      <c r="K31" s="11">
        <f>5.9915 * CHOOSE(CONTROL!$C$32, $C$9, 100%, $E$9)</f>
        <v>5.9915000000000003</v>
      </c>
      <c r="L31" s="11">
        <f>3.4321 * CHOOSE(CONTROL!$C$32, $C$9, 100%, $E$9)</f>
        <v>3.4321000000000002</v>
      </c>
      <c r="M31" s="11">
        <f>3.4471 * CHOOSE(CONTROL!$C$32, $C$9, 100%, $E$9)</f>
        <v>3.4470999999999998</v>
      </c>
      <c r="N31" s="11">
        <f>3.4321 * CHOOSE(CONTROL!$C$32, $C$9, 100%, $E$9)</f>
        <v>3.4321000000000002</v>
      </c>
      <c r="O31" s="11">
        <f>3.4471 * CHOOSE(CONTROL!$C$32, $C$9, 100%, $E$9)</f>
        <v>3.4470999999999998</v>
      </c>
      <c r="P31" s="14"/>
      <c r="Q31" s="11"/>
      <c r="R31" s="11"/>
    </row>
    <row r="32" spans="1:18" ht="15" x14ac:dyDescent="0.2">
      <c r="A32" s="13">
        <v>41821</v>
      </c>
      <c r="B32" s="9">
        <f>2.3649 * CHOOSE(CONTROL!$C$32, $C$9, 100%, $E$9)</f>
        <v>2.3649</v>
      </c>
      <c r="C32" s="9">
        <f>2.3574 * CHOOSE(CONTROL!$C$32, $C$9, 100%, $E$9)</f>
        <v>2.3574000000000002</v>
      </c>
      <c r="D32" s="9">
        <f>2.4028 * CHOOSE(CONTROL!$C$32, $C$9, 100%, $E$9)</f>
        <v>2.4028</v>
      </c>
      <c r="E32" s="11">
        <f>3.4478 * CHOOSE(CONTROL!$C$32, $C$9, 100%, $E$9)</f>
        <v>3.4478</v>
      </c>
      <c r="F32" s="11">
        <f>3.4008 * CHOOSE(CONTROL!$C$32, $C$9, 100%, $E$9)</f>
        <v>3.4007999999999998</v>
      </c>
      <c r="G32" s="11">
        <f>3.4159 * CHOOSE(CONTROL!$C$32, $C$9, 100%, $E$9)</f>
        <v>3.4159000000000002</v>
      </c>
      <c r="H32" s="11">
        <f>5.9889 * CHOOSE(CONTROL!$C$32, $C$9, 100%, $E$9)</f>
        <v>5.9889000000000001</v>
      </c>
      <c r="I32" s="11">
        <f>6.0039 * CHOOSE(CONTROL!$C$32, $C$9, 100%, $E$9)</f>
        <v>6.0038999999999998</v>
      </c>
      <c r="J32" s="11">
        <f>5.9889 * CHOOSE(CONTROL!$C$32, $C$9, 100%, $E$9)</f>
        <v>5.9889000000000001</v>
      </c>
      <c r="K32" s="11">
        <f>6.0039 * CHOOSE(CONTROL!$C$32, $C$9, 100%, $E$9)</f>
        <v>6.0038999999999998</v>
      </c>
      <c r="L32" s="11">
        <f>3.4478 * CHOOSE(CONTROL!$C$32, $C$9, 100%, $E$9)</f>
        <v>3.4478</v>
      </c>
      <c r="M32" s="11">
        <f>3.4629 * CHOOSE(CONTROL!$C$32, $C$9, 100%, $E$9)</f>
        <v>3.4628999999999999</v>
      </c>
      <c r="N32" s="11">
        <f>3.4478 * CHOOSE(CONTROL!$C$32, $C$9, 100%, $E$9)</f>
        <v>3.4478</v>
      </c>
      <c r="O32" s="11">
        <f>3.4629 * CHOOSE(CONTROL!$C$32, $C$9, 100%, $E$9)</f>
        <v>3.4628999999999999</v>
      </c>
      <c r="P32" s="14"/>
      <c r="Q32" s="11"/>
      <c r="R32" s="11"/>
    </row>
    <row r="33" spans="1:18" ht="15" x14ac:dyDescent="0.2">
      <c r="A33" s="13">
        <v>41852</v>
      </c>
      <c r="B33" s="9">
        <f>2.3848 * CHOOSE(CONTROL!$C$32, $C$9, 100%, $E$9)</f>
        <v>2.3847999999999998</v>
      </c>
      <c r="C33" s="9">
        <f>2.3923 * CHOOSE(CONTROL!$C$32, $C$9, 100%, $E$9)</f>
        <v>2.3923000000000001</v>
      </c>
      <c r="D33" s="9">
        <f>2.4377 * CHOOSE(CONTROL!$C$32, $C$9, 100%, $E$9)</f>
        <v>2.4377</v>
      </c>
      <c r="E33" s="11">
        <f>3.4793 * CHOOSE(CONTROL!$C$32, $C$9, 100%, $E$9)</f>
        <v>3.4792999999999998</v>
      </c>
      <c r="F33" s="11">
        <f>3.4517 * CHOOSE(CONTROL!$C$32, $C$9, 100%, $E$9)</f>
        <v>3.4517000000000002</v>
      </c>
      <c r="G33" s="11">
        <f>3.4668 * CHOOSE(CONTROL!$C$32, $C$9, 100%, $E$9)</f>
        <v>3.4668000000000001</v>
      </c>
      <c r="H33" s="11">
        <f>6.0013 * CHOOSE(CONTROL!$C$32, $C$9, 100%, $E$9)</f>
        <v>6.0012999999999996</v>
      </c>
      <c r="I33" s="11">
        <f>6.0164 * CHOOSE(CONTROL!$C$32, $C$9, 100%, $E$9)</f>
        <v>6.0164</v>
      </c>
      <c r="J33" s="11">
        <f>6.0013 * CHOOSE(CONTROL!$C$32, $C$9, 100%, $E$9)</f>
        <v>6.0012999999999996</v>
      </c>
      <c r="K33" s="11">
        <f>6.0164 * CHOOSE(CONTROL!$C$32, $C$9, 100%, $E$9)</f>
        <v>6.0164</v>
      </c>
      <c r="L33" s="11">
        <f>3.4793 * CHOOSE(CONTROL!$C$32, $C$9, 100%, $E$9)</f>
        <v>3.4792999999999998</v>
      </c>
      <c r="M33" s="11">
        <f>3.4943 * CHOOSE(CONTROL!$C$32, $C$9, 100%, $E$9)</f>
        <v>3.4943</v>
      </c>
      <c r="N33" s="11">
        <f>3.4793 * CHOOSE(CONTROL!$C$32, $C$9, 100%, $E$9)</f>
        <v>3.4792999999999998</v>
      </c>
      <c r="O33" s="11">
        <f>3.4943 * CHOOSE(CONTROL!$C$32, $C$9, 100%, $E$9)</f>
        <v>3.4943</v>
      </c>
      <c r="P33" s="14"/>
      <c r="Q33" s="11"/>
      <c r="R33" s="11"/>
    </row>
    <row r="34" spans="1:18" ht="15" x14ac:dyDescent="0.2">
      <c r="A34" s="13">
        <v>41883</v>
      </c>
      <c r="B34" s="9">
        <f>2.3937 * CHOOSE(CONTROL!$C$32, $C$9, 100%, $E$9)</f>
        <v>2.3936999999999999</v>
      </c>
      <c r="C34" s="9">
        <f>2.4103 * CHOOSE(CONTROL!$C$32, $C$9, 100%, $E$9)</f>
        <v>2.4102999999999999</v>
      </c>
      <c r="D34" s="9">
        <f>2.4557 * CHOOSE(CONTROL!$C$32, $C$9, 100%, $E$9)</f>
        <v>2.4557000000000002</v>
      </c>
      <c r="E34" s="11">
        <f>3.4806 * CHOOSE(CONTROL!$C$32, $C$9, 100%, $E$9)</f>
        <v>3.4805999999999999</v>
      </c>
      <c r="F34" s="11">
        <f>3.4538 * CHOOSE(CONTROL!$C$32, $C$9, 100%, $E$9)</f>
        <v>3.4538000000000002</v>
      </c>
      <c r="G34" s="11">
        <f>3.4689 * CHOOSE(CONTROL!$C$32, $C$9, 100%, $E$9)</f>
        <v>3.4689000000000001</v>
      </c>
      <c r="H34" s="11">
        <f>6.0138 * CHOOSE(CONTROL!$C$32, $C$9, 100%, $E$9)</f>
        <v>6.0137999999999998</v>
      </c>
      <c r="I34" s="11">
        <f>6.0289 * CHOOSE(CONTROL!$C$32, $C$9, 100%, $E$9)</f>
        <v>6.0289000000000001</v>
      </c>
      <c r="J34" s="11">
        <f>6.0138 * CHOOSE(CONTROL!$C$32, $C$9, 100%, $E$9)</f>
        <v>6.0137999999999998</v>
      </c>
      <c r="K34" s="11">
        <f>6.0289 * CHOOSE(CONTROL!$C$32, $C$9, 100%, $E$9)</f>
        <v>6.0289000000000001</v>
      </c>
      <c r="L34" s="11">
        <f>3.4806 * CHOOSE(CONTROL!$C$32, $C$9, 100%, $E$9)</f>
        <v>3.4805999999999999</v>
      </c>
      <c r="M34" s="11">
        <f>3.4956 * CHOOSE(CONTROL!$C$32, $C$9, 100%, $E$9)</f>
        <v>3.4956</v>
      </c>
      <c r="N34" s="11">
        <f>3.4806 * CHOOSE(CONTROL!$C$32, $C$9, 100%, $E$9)</f>
        <v>3.4805999999999999</v>
      </c>
      <c r="O34" s="11">
        <f>3.4956 * CHOOSE(CONTROL!$C$32, $C$9, 100%, $E$9)</f>
        <v>3.4956</v>
      </c>
      <c r="P34" s="14"/>
      <c r="Q34" s="11"/>
      <c r="R34" s="11"/>
    </row>
    <row r="35" spans="1:18" ht="15" x14ac:dyDescent="0.2">
      <c r="A35" s="13">
        <v>41913</v>
      </c>
      <c r="B35" s="9">
        <f>2.3937 * CHOOSE(CONTROL!$C$32, $C$9, 100%, $E$9)</f>
        <v>2.3936999999999999</v>
      </c>
      <c r="C35" s="9">
        <f>2.4103 * CHOOSE(CONTROL!$C$32, $C$9, 100%, $E$9)</f>
        <v>2.4102999999999999</v>
      </c>
      <c r="D35" s="9">
        <f>2.4449 * CHOOSE(CONTROL!$C$32, $C$9, 100%, $E$9)</f>
        <v>2.4449000000000001</v>
      </c>
      <c r="E35" s="11">
        <f>3.4819 * CHOOSE(CONTROL!$C$32, $C$9, 100%, $E$9)</f>
        <v>3.4819</v>
      </c>
      <c r="F35" s="11">
        <f>3.4559 * CHOOSE(CONTROL!$C$32, $C$9, 100%, $E$9)</f>
        <v>3.4559000000000002</v>
      </c>
      <c r="G35" s="11">
        <f>3.4675 * CHOOSE(CONTROL!$C$32, $C$9, 100%, $E$9)</f>
        <v>3.4674999999999998</v>
      </c>
      <c r="H35" s="11">
        <f>6.0264 * CHOOSE(CONTROL!$C$32, $C$9, 100%, $E$9)</f>
        <v>6.0263999999999998</v>
      </c>
      <c r="I35" s="11">
        <f>6.0379 * CHOOSE(CONTROL!$C$32, $C$9, 100%, $E$9)</f>
        <v>6.0378999999999996</v>
      </c>
      <c r="J35" s="11">
        <f>6.0264 * CHOOSE(CONTROL!$C$32, $C$9, 100%, $E$9)</f>
        <v>6.0263999999999998</v>
      </c>
      <c r="K35" s="11">
        <f>6.0379 * CHOOSE(CONTROL!$C$32, $C$9, 100%, $E$9)</f>
        <v>6.0378999999999996</v>
      </c>
      <c r="L35" s="11">
        <f>3.4819 * CHOOSE(CONTROL!$C$32, $C$9, 100%, $E$9)</f>
        <v>3.4819</v>
      </c>
      <c r="M35" s="11">
        <f>3.4934 * CHOOSE(CONTROL!$C$32, $C$9, 100%, $E$9)</f>
        <v>3.4933999999999998</v>
      </c>
      <c r="N35" s="11">
        <f>3.4819 * CHOOSE(CONTROL!$C$32, $C$9, 100%, $E$9)</f>
        <v>3.4819</v>
      </c>
      <c r="O35" s="11">
        <f>3.4934 * CHOOSE(CONTROL!$C$32, $C$9, 100%, $E$9)</f>
        <v>3.4933999999999998</v>
      </c>
      <c r="P35" s="14"/>
      <c r="Q35" s="11"/>
      <c r="R35" s="11"/>
    </row>
    <row r="36" spans="1:18" ht="15" x14ac:dyDescent="0.2">
      <c r="A36" s="13">
        <v>41944</v>
      </c>
      <c r="B36" s="9">
        <f>2.4013 * CHOOSE(CONTROL!$C$32, $C$9, 100%, $E$9)</f>
        <v>2.4013</v>
      </c>
      <c r="C36" s="9">
        <f>2.421 * CHOOSE(CONTROL!$C$32, $C$9, 100%, $E$9)</f>
        <v>2.4209999999999998</v>
      </c>
      <c r="D36" s="9">
        <f>2.4555 * CHOOSE(CONTROL!$C$32, $C$9, 100%, $E$9)</f>
        <v>2.4554999999999998</v>
      </c>
      <c r="E36" s="11">
        <f>3.4897 * CHOOSE(CONTROL!$C$32, $C$9, 100%, $E$9)</f>
        <v>3.4897</v>
      </c>
      <c r="F36" s="11">
        <f>3.4623 * CHOOSE(CONTROL!$C$32, $C$9, 100%, $E$9)</f>
        <v>3.4622999999999999</v>
      </c>
      <c r="G36" s="11">
        <f>3.4738 * CHOOSE(CONTROL!$C$32, $C$9, 100%, $E$9)</f>
        <v>3.4738000000000002</v>
      </c>
      <c r="H36" s="11">
        <f>6.0389 * CHOOSE(CONTROL!$C$32, $C$9, 100%, $E$9)</f>
        <v>6.0388999999999999</v>
      </c>
      <c r="I36" s="11">
        <f>6.0504 * CHOOSE(CONTROL!$C$32, $C$9, 100%, $E$9)</f>
        <v>6.0503999999999998</v>
      </c>
      <c r="J36" s="11">
        <f>6.0389 * CHOOSE(CONTROL!$C$32, $C$9, 100%, $E$9)</f>
        <v>6.0388999999999999</v>
      </c>
      <c r="K36" s="11">
        <f>6.0504 * CHOOSE(CONTROL!$C$32, $C$9, 100%, $E$9)</f>
        <v>6.0503999999999998</v>
      </c>
      <c r="L36" s="11">
        <f>3.4897 * CHOOSE(CONTROL!$C$32, $C$9, 100%, $E$9)</f>
        <v>3.4897</v>
      </c>
      <c r="M36" s="11">
        <f>3.5013 * CHOOSE(CONTROL!$C$32, $C$9, 100%, $E$9)</f>
        <v>3.5013000000000001</v>
      </c>
      <c r="N36" s="11">
        <f>3.4897 * CHOOSE(CONTROL!$C$32, $C$9, 100%, $E$9)</f>
        <v>3.4897</v>
      </c>
      <c r="O36" s="11">
        <f>3.5013 * CHOOSE(CONTROL!$C$32, $C$9, 100%, $E$9)</f>
        <v>3.5013000000000001</v>
      </c>
      <c r="P36" s="14"/>
      <c r="Q36" s="11"/>
      <c r="R36" s="11"/>
    </row>
    <row r="37" spans="1:18" ht="15" x14ac:dyDescent="0.2">
      <c r="A37" s="13">
        <v>41974</v>
      </c>
      <c r="B37" s="9">
        <f>2.4071 * CHOOSE(CONTROL!$C$32, $C$9, 100%, $E$9)</f>
        <v>2.4070999999999998</v>
      </c>
      <c r="C37" s="9">
        <f>2.4328 * CHOOSE(CONTROL!$C$32, $C$9, 100%, $E$9)</f>
        <v>2.4327999999999999</v>
      </c>
      <c r="D37" s="9">
        <f>2.4674 * CHOOSE(CONTROL!$C$32, $C$9, 100%, $E$9)</f>
        <v>2.4674</v>
      </c>
      <c r="E37" s="11">
        <f>3.4979 * CHOOSE(CONTROL!$C$32, $C$9, 100%, $E$9)</f>
        <v>3.4979</v>
      </c>
      <c r="F37" s="11">
        <f>3.475 * CHOOSE(CONTROL!$C$32, $C$9, 100%, $E$9)</f>
        <v>3.4750000000000001</v>
      </c>
      <c r="G37" s="11">
        <f>3.4865 * CHOOSE(CONTROL!$C$32, $C$9, 100%, $E$9)</f>
        <v>3.4864999999999999</v>
      </c>
      <c r="H37" s="11">
        <f>6.0515 * CHOOSE(CONTROL!$C$32, $C$9, 100%, $E$9)</f>
        <v>6.0514999999999999</v>
      </c>
      <c r="I37" s="11">
        <f>6.063 * CHOOSE(CONTROL!$C$32, $C$9, 100%, $E$9)</f>
        <v>6.0629999999999997</v>
      </c>
      <c r="J37" s="11">
        <f>6.0515 * CHOOSE(CONTROL!$C$32, $C$9, 100%, $E$9)</f>
        <v>6.0514999999999999</v>
      </c>
      <c r="K37" s="11">
        <f>6.063 * CHOOSE(CONTROL!$C$32, $C$9, 100%, $E$9)</f>
        <v>6.0629999999999997</v>
      </c>
      <c r="L37" s="11">
        <f>3.4979 * CHOOSE(CONTROL!$C$32, $C$9, 100%, $E$9)</f>
        <v>3.4979</v>
      </c>
      <c r="M37" s="11">
        <f>3.5094 * CHOOSE(CONTROL!$C$32, $C$9, 100%, $E$9)</f>
        <v>3.5093999999999999</v>
      </c>
      <c r="N37" s="11">
        <f>3.4979 * CHOOSE(CONTROL!$C$32, $C$9, 100%, $E$9)</f>
        <v>3.4979</v>
      </c>
      <c r="O37" s="11">
        <f>3.5094 * CHOOSE(CONTROL!$C$32, $C$9, 100%, $E$9)</f>
        <v>3.5093999999999999</v>
      </c>
      <c r="P37" s="14"/>
      <c r="Q37" s="11"/>
      <c r="R37" s="11"/>
    </row>
    <row r="38" spans="1:18" ht="15" x14ac:dyDescent="0.2">
      <c r="A38" s="13">
        <v>42005</v>
      </c>
      <c r="B38" s="9">
        <f>2.4532 * CHOOSE(CONTROL!$C$32, $C$9, 100%, $E$9)</f>
        <v>2.4531999999999998</v>
      </c>
      <c r="C38" s="9">
        <f>2.4532 * CHOOSE(CONTROL!$C$32, $C$9, 100%, $E$9)</f>
        <v>2.4531999999999998</v>
      </c>
      <c r="D38" s="9">
        <f>2.4541 * CHOOSE(CONTROL!$C$32, $C$9, 100%, $E$9)</f>
        <v>2.4540999999999999</v>
      </c>
      <c r="E38" s="11">
        <f>3.8055 * CHOOSE(CONTROL!$C$32, $C$9, 100%, $E$9)</f>
        <v>3.8054999999999999</v>
      </c>
      <c r="F38" s="11">
        <f>3.5836 * CHOOSE(CONTROL!$C$32, $C$9, 100%, $E$9)</f>
        <v>3.5836000000000001</v>
      </c>
      <c r="G38" s="11">
        <f>3.5868 * CHOOSE(CONTROL!$C$32, $C$9, 100%, $E$9)</f>
        <v>3.5868000000000002</v>
      </c>
      <c r="H38" s="11">
        <f>6.0641 * CHOOSE(CONTROL!$C$32, $C$9, 100%, $E$9)</f>
        <v>6.0640999999999998</v>
      </c>
      <c r="I38" s="11">
        <f>6.0673 * CHOOSE(CONTROL!$C$32, $C$9, 100%, $E$9)</f>
        <v>6.0673000000000004</v>
      </c>
      <c r="J38" s="11">
        <f>6.0641 * CHOOSE(CONTROL!$C$32, $C$9, 100%, $E$9)</f>
        <v>6.0640999999999998</v>
      </c>
      <c r="K38" s="11">
        <f>6.0673 * CHOOSE(CONTROL!$C$32, $C$9, 100%, $E$9)</f>
        <v>6.0673000000000004</v>
      </c>
      <c r="L38" s="11">
        <f>3.8055 * CHOOSE(CONTROL!$C$32, $C$9, 100%, $E$9)</f>
        <v>3.8054999999999999</v>
      </c>
      <c r="M38" s="11">
        <f>3.8087 * CHOOSE(CONTROL!$C$32, $C$9, 100%, $E$9)</f>
        <v>3.8087</v>
      </c>
      <c r="N38" s="11">
        <f>3.8055 * CHOOSE(CONTROL!$C$32, $C$9, 100%, $E$9)</f>
        <v>3.8054999999999999</v>
      </c>
      <c r="O38" s="11">
        <f>3.8087 * CHOOSE(CONTROL!$C$32, $C$9, 100%, $E$9)</f>
        <v>3.8087</v>
      </c>
      <c r="P38" s="14"/>
      <c r="Q38" s="11"/>
      <c r="R38" s="11"/>
    </row>
    <row r="39" spans="1:18" ht="15" x14ac:dyDescent="0.2">
      <c r="A39" s="13">
        <v>42036</v>
      </c>
      <c r="B39" s="9">
        <f>2.4638 * CHOOSE(CONTROL!$C$32, $C$9, 100%, $E$9)</f>
        <v>2.4638</v>
      </c>
      <c r="C39" s="9">
        <f>2.4638 * CHOOSE(CONTROL!$C$32, $C$9, 100%, $E$9)</f>
        <v>2.4638</v>
      </c>
      <c r="D39" s="9">
        <f>2.4647 * CHOOSE(CONTROL!$C$32, $C$9, 100%, $E$9)</f>
        <v>2.4647000000000001</v>
      </c>
      <c r="E39" s="11">
        <f>3.7577 * CHOOSE(CONTROL!$C$32, $C$9, 100%, $E$9)</f>
        <v>3.7576999999999998</v>
      </c>
      <c r="F39" s="11">
        <f>3.5836 * CHOOSE(CONTROL!$C$32, $C$9, 100%, $E$9)</f>
        <v>3.5836000000000001</v>
      </c>
      <c r="G39" s="11">
        <f>3.5868 * CHOOSE(CONTROL!$C$32, $C$9, 100%, $E$9)</f>
        <v>3.5868000000000002</v>
      </c>
      <c r="H39" s="11">
        <f>6.0767 * CHOOSE(CONTROL!$C$32, $C$9, 100%, $E$9)</f>
        <v>6.0766999999999998</v>
      </c>
      <c r="I39" s="11">
        <f>6.08 * CHOOSE(CONTROL!$C$32, $C$9, 100%, $E$9)</f>
        <v>6.08</v>
      </c>
      <c r="J39" s="11">
        <f>6.0767 * CHOOSE(CONTROL!$C$32, $C$9, 100%, $E$9)</f>
        <v>6.0766999999999998</v>
      </c>
      <c r="K39" s="11">
        <f>6.08 * CHOOSE(CONTROL!$C$32, $C$9, 100%, $E$9)</f>
        <v>6.08</v>
      </c>
      <c r="L39" s="11">
        <f>3.7577 * CHOOSE(CONTROL!$C$32, $C$9, 100%, $E$9)</f>
        <v>3.7576999999999998</v>
      </c>
      <c r="M39" s="11">
        <f>3.7609 * CHOOSE(CONTROL!$C$32, $C$9, 100%, $E$9)</f>
        <v>3.7608999999999999</v>
      </c>
      <c r="N39" s="11">
        <f>3.7577 * CHOOSE(CONTROL!$C$32, $C$9, 100%, $E$9)</f>
        <v>3.7576999999999998</v>
      </c>
      <c r="O39" s="11">
        <f>3.7609 * CHOOSE(CONTROL!$C$32, $C$9, 100%, $E$9)</f>
        <v>3.7608999999999999</v>
      </c>
      <c r="P39" s="14"/>
      <c r="Q39" s="11"/>
      <c r="R39" s="11"/>
    </row>
    <row r="40" spans="1:18" ht="15" x14ac:dyDescent="0.2">
      <c r="A40" s="13">
        <v>42064</v>
      </c>
      <c r="B40" s="9">
        <f>2.4574 * CHOOSE(CONTROL!$C$32, $C$9, 100%, $E$9)</f>
        <v>2.4573999999999998</v>
      </c>
      <c r="C40" s="9">
        <f>2.4574 * CHOOSE(CONTROL!$C$32, $C$9, 100%, $E$9)</f>
        <v>2.4573999999999998</v>
      </c>
      <c r="D40" s="9">
        <f>2.4583 * CHOOSE(CONTROL!$C$32, $C$9, 100%, $E$9)</f>
        <v>2.4582999999999999</v>
      </c>
      <c r="E40" s="11">
        <f>3.686 * CHOOSE(CONTROL!$C$32, $C$9, 100%, $E$9)</f>
        <v>3.6859999999999999</v>
      </c>
      <c r="F40" s="11">
        <f>3.5836 * CHOOSE(CONTROL!$C$32, $C$9, 100%, $E$9)</f>
        <v>3.5836000000000001</v>
      </c>
      <c r="G40" s="11">
        <f>3.5868 * CHOOSE(CONTROL!$C$32, $C$9, 100%, $E$9)</f>
        <v>3.5868000000000002</v>
      </c>
      <c r="H40" s="11">
        <f>6.0894 * CHOOSE(CONTROL!$C$32, $C$9, 100%, $E$9)</f>
        <v>6.0894000000000004</v>
      </c>
      <c r="I40" s="11">
        <f>6.0926 * CHOOSE(CONTROL!$C$32, $C$9, 100%, $E$9)</f>
        <v>6.0926</v>
      </c>
      <c r="J40" s="11">
        <f>6.0894 * CHOOSE(CONTROL!$C$32, $C$9, 100%, $E$9)</f>
        <v>6.0894000000000004</v>
      </c>
      <c r="K40" s="11">
        <f>6.0926 * CHOOSE(CONTROL!$C$32, $C$9, 100%, $E$9)</f>
        <v>6.0926</v>
      </c>
      <c r="L40" s="11">
        <f>3.686 * CHOOSE(CONTROL!$C$32, $C$9, 100%, $E$9)</f>
        <v>3.6859999999999999</v>
      </c>
      <c r="M40" s="11">
        <f>3.6892 * CHOOSE(CONTROL!$C$32, $C$9, 100%, $E$9)</f>
        <v>3.6892</v>
      </c>
      <c r="N40" s="11">
        <f>3.686 * CHOOSE(CONTROL!$C$32, $C$9, 100%, $E$9)</f>
        <v>3.6859999999999999</v>
      </c>
      <c r="O40" s="11">
        <f>3.6892 * CHOOSE(CONTROL!$C$32, $C$9, 100%, $E$9)</f>
        <v>3.6892</v>
      </c>
      <c r="P40" s="14"/>
      <c r="Q40" s="11"/>
      <c r="R40" s="11"/>
    </row>
    <row r="41" spans="1:18" ht="15" x14ac:dyDescent="0.2">
      <c r="A41" s="13">
        <v>42095</v>
      </c>
      <c r="B41" s="9">
        <f>2.4574 * CHOOSE(CONTROL!$C$32, $C$9, 100%, $E$9)</f>
        <v>2.4573999999999998</v>
      </c>
      <c r="C41" s="9">
        <f>2.4574 * CHOOSE(CONTROL!$C$32, $C$9, 100%, $E$9)</f>
        <v>2.4573999999999998</v>
      </c>
      <c r="D41" s="9">
        <f>2.4583 * CHOOSE(CONTROL!$C$32, $C$9, 100%, $E$9)</f>
        <v>2.4582999999999999</v>
      </c>
      <c r="E41" s="11">
        <f>3.6986 * CHOOSE(CONTROL!$C$32, $C$9, 100%, $E$9)</f>
        <v>3.6985999999999999</v>
      </c>
      <c r="F41" s="11">
        <f>3.5836 * CHOOSE(CONTROL!$C$32, $C$9, 100%, $E$9)</f>
        <v>3.5836000000000001</v>
      </c>
      <c r="G41" s="11">
        <f>3.5868 * CHOOSE(CONTROL!$C$32, $C$9, 100%, $E$9)</f>
        <v>3.5868000000000002</v>
      </c>
      <c r="H41" s="11">
        <f>6.1021 * CHOOSE(CONTROL!$C$32, $C$9, 100%, $E$9)</f>
        <v>6.1021000000000001</v>
      </c>
      <c r="I41" s="11">
        <f>6.1053 * CHOOSE(CONTROL!$C$32, $C$9, 100%, $E$9)</f>
        <v>6.1052999999999997</v>
      </c>
      <c r="J41" s="11">
        <f>6.1021 * CHOOSE(CONTROL!$C$32, $C$9, 100%, $E$9)</f>
        <v>6.1021000000000001</v>
      </c>
      <c r="K41" s="11">
        <f>6.1053 * CHOOSE(CONTROL!$C$32, $C$9, 100%, $E$9)</f>
        <v>6.1052999999999997</v>
      </c>
      <c r="L41" s="11">
        <f>3.6986 * CHOOSE(CONTROL!$C$32, $C$9, 100%, $E$9)</f>
        <v>3.6985999999999999</v>
      </c>
      <c r="M41" s="11">
        <f>3.7018 * CHOOSE(CONTROL!$C$32, $C$9, 100%, $E$9)</f>
        <v>3.7018</v>
      </c>
      <c r="N41" s="11">
        <f>3.6986 * CHOOSE(CONTROL!$C$32, $C$9, 100%, $E$9)</f>
        <v>3.6985999999999999</v>
      </c>
      <c r="O41" s="11">
        <f>3.7018 * CHOOSE(CONTROL!$C$32, $C$9, 100%, $E$9)</f>
        <v>3.7018</v>
      </c>
      <c r="P41" s="14"/>
      <c r="Q41" s="11"/>
      <c r="R41" s="11"/>
    </row>
    <row r="42" spans="1:18" ht="15" x14ac:dyDescent="0.2">
      <c r="A42" s="13">
        <v>42125</v>
      </c>
      <c r="B42" s="9">
        <f>2.4559 * CHOOSE(CONTROL!$C$32, $C$9, 100%, $E$9)</f>
        <v>2.4559000000000002</v>
      </c>
      <c r="C42" s="9">
        <f>2.4559 * CHOOSE(CONTROL!$C$32, $C$9, 100%, $E$9)</f>
        <v>2.4559000000000002</v>
      </c>
      <c r="D42" s="9">
        <f>2.4572 * CHOOSE(CONTROL!$C$32, $C$9, 100%, $E$9)</f>
        <v>2.4571999999999998</v>
      </c>
      <c r="E42" s="11">
        <f>3.7718 * CHOOSE(CONTROL!$C$32, $C$9, 100%, $E$9)</f>
        <v>3.7717999999999998</v>
      </c>
      <c r="F42" s="11">
        <f>3.5836 * CHOOSE(CONTROL!$C$32, $C$9, 100%, $E$9)</f>
        <v>3.5836000000000001</v>
      </c>
      <c r="G42" s="11">
        <f>3.5878 * CHOOSE(CONTROL!$C$32, $C$9, 100%, $E$9)</f>
        <v>3.5878000000000001</v>
      </c>
      <c r="H42" s="11">
        <f>6.1148 * CHOOSE(CONTROL!$C$32, $C$9, 100%, $E$9)</f>
        <v>6.1147999999999998</v>
      </c>
      <c r="I42" s="11">
        <f>6.119 * CHOOSE(CONTROL!$C$32, $C$9, 100%, $E$9)</f>
        <v>6.1189999999999998</v>
      </c>
      <c r="J42" s="11">
        <f>6.1148 * CHOOSE(CONTROL!$C$32, $C$9, 100%, $E$9)</f>
        <v>6.1147999999999998</v>
      </c>
      <c r="K42" s="11">
        <f>6.119 * CHOOSE(CONTROL!$C$32, $C$9, 100%, $E$9)</f>
        <v>6.1189999999999998</v>
      </c>
      <c r="L42" s="11">
        <f>3.7718 * CHOOSE(CONTROL!$C$32, $C$9, 100%, $E$9)</f>
        <v>3.7717999999999998</v>
      </c>
      <c r="M42" s="11">
        <f>3.776 * CHOOSE(CONTROL!$C$32, $C$9, 100%, $E$9)</f>
        <v>3.7759999999999998</v>
      </c>
      <c r="N42" s="11">
        <f>3.7718 * CHOOSE(CONTROL!$C$32, $C$9, 100%, $E$9)</f>
        <v>3.7717999999999998</v>
      </c>
      <c r="O42" s="11">
        <f>3.776 * CHOOSE(CONTROL!$C$32, $C$9, 100%, $E$9)</f>
        <v>3.7759999999999998</v>
      </c>
      <c r="P42" s="14"/>
      <c r="Q42" s="11"/>
      <c r="R42" s="11"/>
    </row>
    <row r="43" spans="1:18" ht="15" x14ac:dyDescent="0.2">
      <c r="A43" s="13">
        <v>42156</v>
      </c>
      <c r="B43" s="9">
        <f>2.4775 * CHOOSE(CONTROL!$C$32, $C$9, 100%, $E$9)</f>
        <v>2.4775</v>
      </c>
      <c r="C43" s="9">
        <f>2.4775 * CHOOSE(CONTROL!$C$32, $C$9, 100%, $E$9)</f>
        <v>2.4775</v>
      </c>
      <c r="D43" s="9">
        <f>2.4788 * CHOOSE(CONTROL!$C$32, $C$9, 100%, $E$9)</f>
        <v>2.4788000000000001</v>
      </c>
      <c r="E43" s="11">
        <f>3.8167 * CHOOSE(CONTROL!$C$32, $C$9, 100%, $E$9)</f>
        <v>3.8167</v>
      </c>
      <c r="F43" s="11">
        <f>3.5836 * CHOOSE(CONTROL!$C$32, $C$9, 100%, $E$9)</f>
        <v>3.5836000000000001</v>
      </c>
      <c r="G43" s="11">
        <f>3.5878 * CHOOSE(CONTROL!$C$32, $C$9, 100%, $E$9)</f>
        <v>3.5878000000000001</v>
      </c>
      <c r="H43" s="11">
        <f>6.1275 * CHOOSE(CONTROL!$C$32, $C$9, 100%, $E$9)</f>
        <v>6.1275000000000004</v>
      </c>
      <c r="I43" s="11">
        <f>6.1317 * CHOOSE(CONTROL!$C$32, $C$9, 100%, $E$9)</f>
        <v>6.1317000000000004</v>
      </c>
      <c r="J43" s="11">
        <f>6.1275 * CHOOSE(CONTROL!$C$32, $C$9, 100%, $E$9)</f>
        <v>6.1275000000000004</v>
      </c>
      <c r="K43" s="11">
        <f>6.1317 * CHOOSE(CONTROL!$C$32, $C$9, 100%, $E$9)</f>
        <v>6.1317000000000004</v>
      </c>
      <c r="L43" s="11">
        <f>3.8167 * CHOOSE(CONTROL!$C$32, $C$9, 100%, $E$9)</f>
        <v>3.8167</v>
      </c>
      <c r="M43" s="11">
        <f>3.8209 * CHOOSE(CONTROL!$C$32, $C$9, 100%, $E$9)</f>
        <v>3.8209</v>
      </c>
      <c r="N43" s="11">
        <f>3.8167 * CHOOSE(CONTROL!$C$32, $C$9, 100%, $E$9)</f>
        <v>3.8167</v>
      </c>
      <c r="O43" s="11">
        <f>3.8209 * CHOOSE(CONTROL!$C$32, $C$9, 100%, $E$9)</f>
        <v>3.8209</v>
      </c>
      <c r="P43" s="14"/>
      <c r="Q43" s="11"/>
      <c r="R43" s="11"/>
    </row>
    <row r="44" spans="1:18" ht="15" x14ac:dyDescent="0.2">
      <c r="A44" s="13">
        <v>42186</v>
      </c>
      <c r="B44" s="9">
        <f>2.5019 * CHOOSE(CONTROL!$C$32, $C$9, 100%, $E$9)</f>
        <v>2.5019</v>
      </c>
      <c r="C44" s="9">
        <f>2.5019 * CHOOSE(CONTROL!$C$32, $C$9, 100%, $E$9)</f>
        <v>2.5019</v>
      </c>
      <c r="D44" s="9">
        <f>2.5031 * CHOOSE(CONTROL!$C$32, $C$9, 100%, $E$9)</f>
        <v>2.5030999999999999</v>
      </c>
      <c r="E44" s="11">
        <f>3.8864 * CHOOSE(CONTROL!$C$32, $C$9, 100%, $E$9)</f>
        <v>3.8864000000000001</v>
      </c>
      <c r="F44" s="11">
        <f>3.5836 * CHOOSE(CONTROL!$C$32, $C$9, 100%, $E$9)</f>
        <v>3.5836000000000001</v>
      </c>
      <c r="G44" s="11">
        <f>3.5878 * CHOOSE(CONTROL!$C$32, $C$9, 100%, $E$9)</f>
        <v>3.5878000000000001</v>
      </c>
      <c r="H44" s="11">
        <f>6.1403 * CHOOSE(CONTROL!$C$32, $C$9, 100%, $E$9)</f>
        <v>6.1402999999999999</v>
      </c>
      <c r="I44" s="11">
        <f>6.1445 * CHOOSE(CONTROL!$C$32, $C$9, 100%, $E$9)</f>
        <v>6.1444999999999999</v>
      </c>
      <c r="J44" s="11">
        <f>6.1403 * CHOOSE(CONTROL!$C$32, $C$9, 100%, $E$9)</f>
        <v>6.1402999999999999</v>
      </c>
      <c r="K44" s="11">
        <f>6.1445 * CHOOSE(CONTROL!$C$32, $C$9, 100%, $E$9)</f>
        <v>6.1444999999999999</v>
      </c>
      <c r="L44" s="11">
        <f>3.8864 * CHOOSE(CONTROL!$C$32, $C$9, 100%, $E$9)</f>
        <v>3.8864000000000001</v>
      </c>
      <c r="M44" s="11">
        <f>3.8906 * CHOOSE(CONTROL!$C$32, $C$9, 100%, $E$9)</f>
        <v>3.8906000000000001</v>
      </c>
      <c r="N44" s="11">
        <f>3.8864 * CHOOSE(CONTROL!$C$32, $C$9, 100%, $E$9)</f>
        <v>3.8864000000000001</v>
      </c>
      <c r="O44" s="11">
        <f>3.8906 * CHOOSE(CONTROL!$C$32, $C$9, 100%, $E$9)</f>
        <v>3.8906000000000001</v>
      </c>
      <c r="P44" s="14"/>
      <c r="Q44" s="11"/>
      <c r="R44" s="11"/>
    </row>
    <row r="45" spans="1:18" ht="15" x14ac:dyDescent="0.2">
      <c r="A45" s="13">
        <v>42217</v>
      </c>
      <c r="B45" s="9">
        <f>2.5126 * CHOOSE(CONTROL!$C$32, $C$9, 100%, $E$9)</f>
        <v>2.5125999999999999</v>
      </c>
      <c r="C45" s="9">
        <f>2.5126 * CHOOSE(CONTROL!$C$32, $C$9, 100%, $E$9)</f>
        <v>2.5125999999999999</v>
      </c>
      <c r="D45" s="9">
        <f>2.5139 * CHOOSE(CONTROL!$C$32, $C$9, 100%, $E$9)</f>
        <v>2.5139</v>
      </c>
      <c r="E45" s="11">
        <f>3.8864 * CHOOSE(CONTROL!$C$32, $C$9, 100%, $E$9)</f>
        <v>3.8864000000000001</v>
      </c>
      <c r="F45" s="11">
        <f>3.5836 * CHOOSE(CONTROL!$C$32, $C$9, 100%, $E$9)</f>
        <v>3.5836000000000001</v>
      </c>
      <c r="G45" s="11">
        <f>3.5878 * CHOOSE(CONTROL!$C$32, $C$9, 100%, $E$9)</f>
        <v>3.5878000000000001</v>
      </c>
      <c r="H45" s="11">
        <f>6.1531 * CHOOSE(CONTROL!$C$32, $C$9, 100%, $E$9)</f>
        <v>6.1531000000000002</v>
      </c>
      <c r="I45" s="11">
        <f>6.1573 * CHOOSE(CONTROL!$C$32, $C$9, 100%, $E$9)</f>
        <v>6.1573000000000002</v>
      </c>
      <c r="J45" s="11">
        <f>6.1531 * CHOOSE(CONTROL!$C$32, $C$9, 100%, $E$9)</f>
        <v>6.1531000000000002</v>
      </c>
      <c r="K45" s="11">
        <f>6.1573 * CHOOSE(CONTROL!$C$32, $C$9, 100%, $E$9)</f>
        <v>6.1573000000000002</v>
      </c>
      <c r="L45" s="11">
        <f>3.8864 * CHOOSE(CONTROL!$C$32, $C$9, 100%, $E$9)</f>
        <v>3.8864000000000001</v>
      </c>
      <c r="M45" s="11">
        <f>3.8906 * CHOOSE(CONTROL!$C$32, $C$9, 100%, $E$9)</f>
        <v>3.8906000000000001</v>
      </c>
      <c r="N45" s="11">
        <f>3.8864 * CHOOSE(CONTROL!$C$32, $C$9, 100%, $E$9)</f>
        <v>3.8864000000000001</v>
      </c>
      <c r="O45" s="11">
        <f>3.8906 * CHOOSE(CONTROL!$C$32, $C$9, 100%, $E$9)</f>
        <v>3.8906000000000001</v>
      </c>
      <c r="P45" s="14"/>
      <c r="Q45" s="11"/>
      <c r="R45" s="11"/>
    </row>
    <row r="46" spans="1:18" ht="15" x14ac:dyDescent="0.2">
      <c r="A46" s="13">
        <v>42248</v>
      </c>
      <c r="B46" s="9">
        <f>2.5129 * CHOOSE(CONTROL!$C$32, $C$9, 100%, $E$9)</f>
        <v>2.5129000000000001</v>
      </c>
      <c r="C46" s="9">
        <f>2.5129 * CHOOSE(CONTROL!$C$32, $C$9, 100%, $E$9)</f>
        <v>2.5129000000000001</v>
      </c>
      <c r="D46" s="9">
        <f>2.5142 * CHOOSE(CONTROL!$C$32, $C$9, 100%, $E$9)</f>
        <v>2.5142000000000002</v>
      </c>
      <c r="E46" s="11">
        <f>3.7811 * CHOOSE(CONTROL!$C$32, $C$9, 100%, $E$9)</f>
        <v>3.7810999999999999</v>
      </c>
      <c r="F46" s="11">
        <f>3.5836 * CHOOSE(CONTROL!$C$32, $C$9, 100%, $E$9)</f>
        <v>3.5836000000000001</v>
      </c>
      <c r="G46" s="11">
        <f>3.5878 * CHOOSE(CONTROL!$C$32, $C$9, 100%, $E$9)</f>
        <v>3.5878000000000001</v>
      </c>
      <c r="H46" s="11">
        <f>6.1659 * CHOOSE(CONTROL!$C$32, $C$9, 100%, $E$9)</f>
        <v>6.1658999999999997</v>
      </c>
      <c r="I46" s="11">
        <f>6.1701 * CHOOSE(CONTROL!$C$32, $C$9, 100%, $E$9)</f>
        <v>6.1700999999999997</v>
      </c>
      <c r="J46" s="11">
        <f>6.1659 * CHOOSE(CONTROL!$C$32, $C$9, 100%, $E$9)</f>
        <v>6.1658999999999997</v>
      </c>
      <c r="K46" s="11">
        <f>6.1701 * CHOOSE(CONTROL!$C$32, $C$9, 100%, $E$9)</f>
        <v>6.1700999999999997</v>
      </c>
      <c r="L46" s="11">
        <f>3.7811 * CHOOSE(CONTROL!$C$32, $C$9, 100%, $E$9)</f>
        <v>3.7810999999999999</v>
      </c>
      <c r="M46" s="11">
        <f>3.7853 * CHOOSE(CONTROL!$C$32, $C$9, 100%, $E$9)</f>
        <v>3.7852999999999999</v>
      </c>
      <c r="N46" s="11">
        <f>3.7811 * CHOOSE(CONTROL!$C$32, $C$9, 100%, $E$9)</f>
        <v>3.7810999999999999</v>
      </c>
      <c r="O46" s="11">
        <f>3.7853 * CHOOSE(CONTROL!$C$32, $C$9, 100%, $E$9)</f>
        <v>3.7852999999999999</v>
      </c>
      <c r="P46" s="14"/>
      <c r="Q46" s="11"/>
      <c r="R46" s="11"/>
    </row>
    <row r="47" spans="1:18" ht="15" x14ac:dyDescent="0.2">
      <c r="A47" s="13">
        <v>42278</v>
      </c>
      <c r="B47" s="9">
        <f>2.5008 * CHOOSE(CONTROL!$C$32, $C$9, 100%, $E$9)</f>
        <v>2.5007999999999999</v>
      </c>
      <c r="C47" s="9">
        <f>2.5008 * CHOOSE(CONTROL!$C$32, $C$9, 100%, $E$9)</f>
        <v>2.5007999999999999</v>
      </c>
      <c r="D47" s="9">
        <f>2.5017 * CHOOSE(CONTROL!$C$32, $C$9, 100%, $E$9)</f>
        <v>2.5017</v>
      </c>
      <c r="E47" s="11">
        <f>3.865 * CHOOSE(CONTROL!$C$32, $C$9, 100%, $E$9)</f>
        <v>3.8650000000000002</v>
      </c>
      <c r="F47" s="11">
        <f>3.5836 * CHOOSE(CONTROL!$C$32, $C$9, 100%, $E$9)</f>
        <v>3.5836000000000001</v>
      </c>
      <c r="G47" s="11">
        <f>3.5868 * CHOOSE(CONTROL!$C$32, $C$9, 100%, $E$9)</f>
        <v>3.5868000000000002</v>
      </c>
      <c r="H47" s="11">
        <f>6.1788 * CHOOSE(CONTROL!$C$32, $C$9, 100%, $E$9)</f>
        <v>6.1787999999999998</v>
      </c>
      <c r="I47" s="11">
        <f>6.182 * CHOOSE(CONTROL!$C$32, $C$9, 100%, $E$9)</f>
        <v>6.1820000000000004</v>
      </c>
      <c r="J47" s="11">
        <f>6.1788 * CHOOSE(CONTROL!$C$32, $C$9, 100%, $E$9)</f>
        <v>6.1787999999999998</v>
      </c>
      <c r="K47" s="11">
        <f>6.182 * CHOOSE(CONTROL!$C$32, $C$9, 100%, $E$9)</f>
        <v>6.1820000000000004</v>
      </c>
      <c r="L47" s="11">
        <f>3.865 * CHOOSE(CONTROL!$C$32, $C$9, 100%, $E$9)</f>
        <v>3.8650000000000002</v>
      </c>
      <c r="M47" s="11">
        <f>3.8682 * CHOOSE(CONTROL!$C$32, $C$9, 100%, $E$9)</f>
        <v>3.8681999999999999</v>
      </c>
      <c r="N47" s="11">
        <f>3.865 * CHOOSE(CONTROL!$C$32, $C$9, 100%, $E$9)</f>
        <v>3.8650000000000002</v>
      </c>
      <c r="O47" s="11">
        <f>3.8682 * CHOOSE(CONTROL!$C$32, $C$9, 100%, $E$9)</f>
        <v>3.8681999999999999</v>
      </c>
      <c r="P47" s="14"/>
      <c r="Q47" s="11"/>
      <c r="R47" s="11"/>
    </row>
    <row r="48" spans="1:18" ht="15" x14ac:dyDescent="0.2">
      <c r="A48" s="13">
        <v>42309</v>
      </c>
      <c r="B48" s="9">
        <f>2.5055 * CHOOSE(CONTROL!$C$32, $C$9, 100%, $E$9)</f>
        <v>2.5055000000000001</v>
      </c>
      <c r="C48" s="9">
        <f>2.5055 * CHOOSE(CONTROL!$C$32, $C$9, 100%, $E$9)</f>
        <v>2.5055000000000001</v>
      </c>
      <c r="D48" s="9">
        <f>2.5064 * CHOOSE(CONTROL!$C$32, $C$9, 100%, $E$9)</f>
        <v>2.5064000000000002</v>
      </c>
      <c r="E48" s="11">
        <f>3.865 * CHOOSE(CONTROL!$C$32, $C$9, 100%, $E$9)</f>
        <v>3.8650000000000002</v>
      </c>
      <c r="F48" s="11">
        <f>3.5836 * CHOOSE(CONTROL!$C$32, $C$9, 100%, $E$9)</f>
        <v>3.5836000000000001</v>
      </c>
      <c r="G48" s="11">
        <f>3.5868 * CHOOSE(CONTROL!$C$32, $C$9, 100%, $E$9)</f>
        <v>3.5868000000000002</v>
      </c>
      <c r="H48" s="11">
        <f>6.1916 * CHOOSE(CONTROL!$C$32, $C$9, 100%, $E$9)</f>
        <v>6.1916000000000002</v>
      </c>
      <c r="I48" s="11">
        <f>6.1949 * CHOOSE(CONTROL!$C$32, $C$9, 100%, $E$9)</f>
        <v>6.1948999999999996</v>
      </c>
      <c r="J48" s="11">
        <f>6.1916 * CHOOSE(CONTROL!$C$32, $C$9, 100%, $E$9)</f>
        <v>6.1916000000000002</v>
      </c>
      <c r="K48" s="11">
        <f>6.1949 * CHOOSE(CONTROL!$C$32, $C$9, 100%, $E$9)</f>
        <v>6.1948999999999996</v>
      </c>
      <c r="L48" s="11">
        <f>3.865 * CHOOSE(CONTROL!$C$32, $C$9, 100%, $E$9)</f>
        <v>3.8650000000000002</v>
      </c>
      <c r="M48" s="11">
        <f>3.8682 * CHOOSE(CONTROL!$C$32, $C$9, 100%, $E$9)</f>
        <v>3.8681999999999999</v>
      </c>
      <c r="N48" s="11">
        <f>3.865 * CHOOSE(CONTROL!$C$32, $C$9, 100%, $E$9)</f>
        <v>3.8650000000000002</v>
      </c>
      <c r="O48" s="11">
        <f>3.8682 * CHOOSE(CONTROL!$C$32, $C$9, 100%, $E$9)</f>
        <v>3.8681999999999999</v>
      </c>
      <c r="P48" s="14"/>
      <c r="Q48" s="11"/>
      <c r="R48" s="11"/>
    </row>
    <row r="49" spans="1:18" ht="15" x14ac:dyDescent="0.2">
      <c r="A49" s="13">
        <v>42339</v>
      </c>
      <c r="B49" s="9">
        <f>2.5088 * CHOOSE(CONTROL!$C$32, $C$9, 100%, $E$9)</f>
        <v>2.5087999999999999</v>
      </c>
      <c r="C49" s="9">
        <f>2.5088 * CHOOSE(CONTROL!$C$32, $C$9, 100%, $E$9)</f>
        <v>2.5087999999999999</v>
      </c>
      <c r="D49" s="9">
        <f>2.5098 * CHOOSE(CONTROL!$C$32, $C$9, 100%, $E$9)</f>
        <v>2.5097999999999998</v>
      </c>
      <c r="E49" s="11">
        <f>3.8041 * CHOOSE(CONTROL!$C$32, $C$9, 100%, $E$9)</f>
        <v>3.8041</v>
      </c>
      <c r="F49" s="11">
        <f>3.5836 * CHOOSE(CONTROL!$C$32, $C$9, 100%, $E$9)</f>
        <v>3.5836000000000001</v>
      </c>
      <c r="G49" s="11">
        <f>3.5868 * CHOOSE(CONTROL!$C$32, $C$9, 100%, $E$9)</f>
        <v>3.5868000000000002</v>
      </c>
      <c r="H49" s="11">
        <f>6.2045 * CHOOSE(CONTROL!$C$32, $C$9, 100%, $E$9)</f>
        <v>6.2045000000000003</v>
      </c>
      <c r="I49" s="11">
        <f>6.2078 * CHOOSE(CONTROL!$C$32, $C$9, 100%, $E$9)</f>
        <v>6.2077999999999998</v>
      </c>
      <c r="J49" s="11">
        <f>6.2045 * CHOOSE(CONTROL!$C$32, $C$9, 100%, $E$9)</f>
        <v>6.2045000000000003</v>
      </c>
      <c r="K49" s="11">
        <f>6.2078 * CHOOSE(CONTROL!$C$32, $C$9, 100%, $E$9)</f>
        <v>6.2077999999999998</v>
      </c>
      <c r="L49" s="11">
        <f>3.8041 * CHOOSE(CONTROL!$C$32, $C$9, 100%, $E$9)</f>
        <v>3.8041</v>
      </c>
      <c r="M49" s="11">
        <f>3.8073 * CHOOSE(CONTROL!$C$32, $C$9, 100%, $E$9)</f>
        <v>3.8073000000000001</v>
      </c>
      <c r="N49" s="11">
        <f>3.8041 * CHOOSE(CONTROL!$C$32, $C$9, 100%, $E$9)</f>
        <v>3.8041</v>
      </c>
      <c r="O49" s="11">
        <f>3.8073 * CHOOSE(CONTROL!$C$32, $C$9, 100%, $E$9)</f>
        <v>3.8073000000000001</v>
      </c>
      <c r="P49" s="14"/>
      <c r="Q49" s="11"/>
      <c r="R49" s="11"/>
    </row>
    <row r="50" spans="1:18" ht="15" x14ac:dyDescent="0.2">
      <c r="A50" s="13">
        <v>42370</v>
      </c>
      <c r="B50" s="9">
        <f>3.2679 * CHOOSE(CONTROL!$C$32, $C$9, 100%, $E$9)</f>
        <v>3.2679</v>
      </c>
      <c r="C50" s="9">
        <f>3.2679 * CHOOSE(CONTROL!$C$32, $C$9, 100%, $E$9)</f>
        <v>3.2679</v>
      </c>
      <c r="D50" s="9">
        <f>3.2689 * CHOOSE(CONTROL!$C$32, $C$9, 100%, $E$9)</f>
        <v>3.2688999999999999</v>
      </c>
      <c r="E50" s="11">
        <f>3.9546 * CHOOSE(CONTROL!$C$32, $C$9, 100%, $E$9)</f>
        <v>3.9546000000000001</v>
      </c>
      <c r="F50" s="11">
        <f>3.6856 * CHOOSE(CONTROL!$C$32, $C$9, 100%, $E$9)</f>
        <v>3.6856</v>
      </c>
      <c r="G50" s="11">
        <f>3.6888 * CHOOSE(CONTROL!$C$32, $C$9, 100%, $E$9)</f>
        <v>3.6888000000000001</v>
      </c>
      <c r="H50" s="11">
        <f>6.2175 * CHOOSE(CONTROL!$C$32, $C$9, 100%, $E$9)</f>
        <v>6.2175000000000002</v>
      </c>
      <c r="I50" s="11">
        <f>6.2207 * CHOOSE(CONTROL!$C$32, $C$9, 100%, $E$9)</f>
        <v>6.2206999999999999</v>
      </c>
      <c r="J50" s="11">
        <f>6.2175 * CHOOSE(CONTROL!$C$32, $C$9, 100%, $E$9)</f>
        <v>6.2175000000000002</v>
      </c>
      <c r="K50" s="11">
        <f>6.2207 * CHOOSE(CONTROL!$C$32, $C$9, 100%, $E$9)</f>
        <v>6.2206999999999999</v>
      </c>
      <c r="L50" s="11">
        <f>3.9546 * CHOOSE(CONTROL!$C$32, $C$9, 100%, $E$9)</f>
        <v>3.9546000000000001</v>
      </c>
      <c r="M50" s="11">
        <f>3.9578 * CHOOSE(CONTROL!$C$32, $C$9, 100%, $E$9)</f>
        <v>3.9578000000000002</v>
      </c>
      <c r="N50" s="11">
        <f>3.9546 * CHOOSE(CONTROL!$C$32, $C$9, 100%, $E$9)</f>
        <v>3.9546000000000001</v>
      </c>
      <c r="O50" s="11">
        <f>3.9578 * CHOOSE(CONTROL!$C$32, $C$9, 100%, $E$9)</f>
        <v>3.9578000000000002</v>
      </c>
      <c r="P50" s="14"/>
      <c r="Q50" s="11"/>
      <c r="R50" s="11"/>
    </row>
    <row r="51" spans="1:18" ht="15" x14ac:dyDescent="0.2">
      <c r="A51" s="13">
        <v>42401</v>
      </c>
      <c r="B51" s="9">
        <f>3.2731 * CHOOSE(CONTROL!$C$32, $C$9, 100%, $E$9)</f>
        <v>3.2730999999999999</v>
      </c>
      <c r="C51" s="9">
        <f>3.2731 * CHOOSE(CONTROL!$C$32, $C$9, 100%, $E$9)</f>
        <v>3.2730999999999999</v>
      </c>
      <c r="D51" s="9">
        <f>3.274 * CHOOSE(CONTROL!$C$32, $C$9, 100%, $E$9)</f>
        <v>3.274</v>
      </c>
      <c r="E51" s="11">
        <f>3.8942 * CHOOSE(CONTROL!$C$32, $C$9, 100%, $E$9)</f>
        <v>3.8942000000000001</v>
      </c>
      <c r="F51" s="11">
        <f>3.6856 * CHOOSE(CONTROL!$C$32, $C$9, 100%, $E$9)</f>
        <v>3.6856</v>
      </c>
      <c r="G51" s="11">
        <f>3.6888 * CHOOSE(CONTROL!$C$32, $C$9, 100%, $E$9)</f>
        <v>3.6888000000000001</v>
      </c>
      <c r="H51" s="11">
        <f>6.2304 * CHOOSE(CONTROL!$C$32, $C$9, 100%, $E$9)</f>
        <v>6.2304000000000004</v>
      </c>
      <c r="I51" s="11">
        <f>6.2336 * CHOOSE(CONTROL!$C$32, $C$9, 100%, $E$9)</f>
        <v>6.2336</v>
      </c>
      <c r="J51" s="11">
        <f>6.2304 * CHOOSE(CONTROL!$C$32, $C$9, 100%, $E$9)</f>
        <v>6.2304000000000004</v>
      </c>
      <c r="K51" s="11">
        <f>6.2336 * CHOOSE(CONTROL!$C$32, $C$9, 100%, $E$9)</f>
        <v>6.2336</v>
      </c>
      <c r="L51" s="11">
        <f>3.8942 * CHOOSE(CONTROL!$C$32, $C$9, 100%, $E$9)</f>
        <v>3.8942000000000001</v>
      </c>
      <c r="M51" s="11">
        <f>3.8974 * CHOOSE(CONTROL!$C$32, $C$9, 100%, $E$9)</f>
        <v>3.8974000000000002</v>
      </c>
      <c r="N51" s="11">
        <f>3.8942 * CHOOSE(CONTROL!$C$32, $C$9, 100%, $E$9)</f>
        <v>3.8942000000000001</v>
      </c>
      <c r="O51" s="11">
        <f>3.8974 * CHOOSE(CONTROL!$C$32, $C$9, 100%, $E$9)</f>
        <v>3.8974000000000002</v>
      </c>
      <c r="P51" s="14"/>
      <c r="Q51" s="11"/>
      <c r="R51" s="11"/>
    </row>
    <row r="52" spans="1:18" ht="15" x14ac:dyDescent="0.2">
      <c r="A52" s="13">
        <v>42430</v>
      </c>
      <c r="B52" s="9">
        <f>3.2698 * CHOOSE(CONTROL!$C$32, $C$9, 100%, $E$9)</f>
        <v>3.2698</v>
      </c>
      <c r="C52" s="9">
        <f>3.2698 * CHOOSE(CONTROL!$C$32, $C$9, 100%, $E$9)</f>
        <v>3.2698</v>
      </c>
      <c r="D52" s="9">
        <f>3.2708 * CHOOSE(CONTROL!$C$32, $C$9, 100%, $E$9)</f>
        <v>3.2707999999999999</v>
      </c>
      <c r="E52" s="11">
        <f>3.8028 * CHOOSE(CONTROL!$C$32, $C$9, 100%, $E$9)</f>
        <v>3.8028</v>
      </c>
      <c r="F52" s="11">
        <f>3.6856 * CHOOSE(CONTROL!$C$32, $C$9, 100%, $E$9)</f>
        <v>3.6856</v>
      </c>
      <c r="G52" s="11">
        <f>3.6888 * CHOOSE(CONTROL!$C$32, $C$9, 100%, $E$9)</f>
        <v>3.6888000000000001</v>
      </c>
      <c r="H52" s="11">
        <f>6.2434 * CHOOSE(CONTROL!$C$32, $C$9, 100%, $E$9)</f>
        <v>6.2434000000000003</v>
      </c>
      <c r="I52" s="11">
        <f>6.2466 * CHOOSE(CONTROL!$C$32, $C$9, 100%, $E$9)</f>
        <v>6.2465999999999999</v>
      </c>
      <c r="J52" s="11">
        <f>6.2434 * CHOOSE(CONTROL!$C$32, $C$9, 100%, $E$9)</f>
        <v>6.2434000000000003</v>
      </c>
      <c r="K52" s="11">
        <f>6.2466 * CHOOSE(CONTROL!$C$32, $C$9, 100%, $E$9)</f>
        <v>6.2465999999999999</v>
      </c>
      <c r="L52" s="11">
        <f>3.8028 * CHOOSE(CONTROL!$C$32, $C$9, 100%, $E$9)</f>
        <v>3.8028</v>
      </c>
      <c r="M52" s="11">
        <f>3.806 * CHOOSE(CONTROL!$C$32, $C$9, 100%, $E$9)</f>
        <v>3.806</v>
      </c>
      <c r="N52" s="11">
        <f>3.8028 * CHOOSE(CONTROL!$C$32, $C$9, 100%, $E$9)</f>
        <v>3.8028</v>
      </c>
      <c r="O52" s="11">
        <f>3.806 * CHOOSE(CONTROL!$C$32, $C$9, 100%, $E$9)</f>
        <v>3.806</v>
      </c>
      <c r="P52" s="14"/>
      <c r="Q52" s="11"/>
      <c r="R52" s="11"/>
    </row>
    <row r="53" spans="1:18" ht="15" x14ac:dyDescent="0.2">
      <c r="A53" s="13">
        <v>42461</v>
      </c>
      <c r="B53" s="9">
        <f>3.2637 * CHOOSE(CONTROL!$C$32, $C$9, 100%, $E$9)</f>
        <v>3.2637</v>
      </c>
      <c r="C53" s="9">
        <f>3.2637 * CHOOSE(CONTROL!$C$32, $C$9, 100%, $E$9)</f>
        <v>3.2637</v>
      </c>
      <c r="D53" s="9">
        <f>3.2647 * CHOOSE(CONTROL!$C$32, $C$9, 100%, $E$9)</f>
        <v>3.2646999999999999</v>
      </c>
      <c r="E53" s="11">
        <f>3.8942 * CHOOSE(CONTROL!$C$32, $C$9, 100%, $E$9)</f>
        <v>3.8942000000000001</v>
      </c>
      <c r="F53" s="11">
        <f>3.6856 * CHOOSE(CONTROL!$C$32, $C$9, 100%, $E$9)</f>
        <v>3.6856</v>
      </c>
      <c r="G53" s="11">
        <f>3.6888 * CHOOSE(CONTROL!$C$32, $C$9, 100%, $E$9)</f>
        <v>3.6888000000000001</v>
      </c>
      <c r="H53" s="11">
        <f>6.2564 * CHOOSE(CONTROL!$C$32, $C$9, 100%, $E$9)</f>
        <v>6.2564000000000002</v>
      </c>
      <c r="I53" s="11">
        <f>6.2596 * CHOOSE(CONTROL!$C$32, $C$9, 100%, $E$9)</f>
        <v>6.2595999999999998</v>
      </c>
      <c r="J53" s="11">
        <f>6.2564 * CHOOSE(CONTROL!$C$32, $C$9, 100%, $E$9)</f>
        <v>6.2564000000000002</v>
      </c>
      <c r="K53" s="11">
        <f>6.2596 * CHOOSE(CONTROL!$C$32, $C$9, 100%, $E$9)</f>
        <v>6.2595999999999998</v>
      </c>
      <c r="L53" s="11">
        <f>3.8942 * CHOOSE(CONTROL!$C$32, $C$9, 100%, $E$9)</f>
        <v>3.8942000000000001</v>
      </c>
      <c r="M53" s="11">
        <f>3.8974 * CHOOSE(CONTROL!$C$32, $C$9, 100%, $E$9)</f>
        <v>3.8974000000000002</v>
      </c>
      <c r="N53" s="11">
        <f>3.8942 * CHOOSE(CONTROL!$C$32, $C$9, 100%, $E$9)</f>
        <v>3.8942000000000001</v>
      </c>
      <c r="O53" s="11">
        <f>3.8974 * CHOOSE(CONTROL!$C$32, $C$9, 100%, $E$9)</f>
        <v>3.8974000000000002</v>
      </c>
      <c r="P53" s="14"/>
      <c r="Q53" s="11"/>
      <c r="R53" s="11"/>
    </row>
    <row r="54" spans="1:18" ht="15" x14ac:dyDescent="0.2">
      <c r="A54" s="13">
        <v>42491</v>
      </c>
      <c r="B54" s="9">
        <f>3.2722 * CHOOSE(CONTROL!$C$32, $C$9, 100%, $E$9)</f>
        <v>3.2722000000000002</v>
      </c>
      <c r="C54" s="9">
        <f>3.2722 * CHOOSE(CONTROL!$C$32, $C$9, 100%, $E$9)</f>
        <v>3.2722000000000002</v>
      </c>
      <c r="D54" s="9">
        <f>3.2735 * CHOOSE(CONTROL!$C$32, $C$9, 100%, $E$9)</f>
        <v>3.2734999999999999</v>
      </c>
      <c r="E54" s="11">
        <f>3.9546 * CHOOSE(CONTROL!$C$32, $C$9, 100%, $E$9)</f>
        <v>3.9546000000000001</v>
      </c>
      <c r="F54" s="11">
        <f>3.6856 * CHOOSE(CONTROL!$C$32, $C$9, 100%, $E$9)</f>
        <v>3.6856</v>
      </c>
      <c r="G54" s="11">
        <f>3.6898 * CHOOSE(CONTROL!$C$32, $C$9, 100%, $E$9)</f>
        <v>3.6898</v>
      </c>
      <c r="H54" s="11">
        <f>6.2694 * CHOOSE(CONTROL!$C$32, $C$9, 100%, $E$9)</f>
        <v>6.2694000000000001</v>
      </c>
      <c r="I54" s="11">
        <f>6.2736 * CHOOSE(CONTROL!$C$32, $C$9, 100%, $E$9)</f>
        <v>6.2736000000000001</v>
      </c>
      <c r="J54" s="11">
        <f>6.2694 * CHOOSE(CONTROL!$C$32, $C$9, 100%, $E$9)</f>
        <v>6.2694000000000001</v>
      </c>
      <c r="K54" s="11">
        <f>6.2736 * CHOOSE(CONTROL!$C$32, $C$9, 100%, $E$9)</f>
        <v>6.2736000000000001</v>
      </c>
      <c r="L54" s="11">
        <f>3.9546 * CHOOSE(CONTROL!$C$32, $C$9, 100%, $E$9)</f>
        <v>3.9546000000000001</v>
      </c>
      <c r="M54" s="11">
        <f>3.9588 * CHOOSE(CONTROL!$C$32, $C$9, 100%, $E$9)</f>
        <v>3.9588000000000001</v>
      </c>
      <c r="N54" s="11">
        <f>3.9546 * CHOOSE(CONTROL!$C$32, $C$9, 100%, $E$9)</f>
        <v>3.9546000000000001</v>
      </c>
      <c r="O54" s="11">
        <f>3.9588 * CHOOSE(CONTROL!$C$32, $C$9, 100%, $E$9)</f>
        <v>3.9588000000000001</v>
      </c>
      <c r="P54" s="14"/>
      <c r="Q54" s="11"/>
      <c r="R54" s="11"/>
    </row>
    <row r="55" spans="1:18" ht="15" x14ac:dyDescent="0.2">
      <c r="A55" s="13">
        <v>42522</v>
      </c>
      <c r="B55" s="9">
        <f>3.2786 * CHOOSE(CONTROL!$C$32, $C$9, 100%, $E$9)</f>
        <v>3.2786</v>
      </c>
      <c r="C55" s="9">
        <f>3.2786 * CHOOSE(CONTROL!$C$32, $C$9, 100%, $E$9)</f>
        <v>3.2786</v>
      </c>
      <c r="D55" s="9">
        <f>3.2798 * CHOOSE(CONTROL!$C$32, $C$9, 100%, $E$9)</f>
        <v>3.2797999999999998</v>
      </c>
      <c r="E55" s="11">
        <f>3.9458 * CHOOSE(CONTROL!$C$32, $C$9, 100%, $E$9)</f>
        <v>3.9458000000000002</v>
      </c>
      <c r="F55" s="11">
        <f>3.6856 * CHOOSE(CONTROL!$C$32, $C$9, 100%, $E$9)</f>
        <v>3.6856</v>
      </c>
      <c r="G55" s="11">
        <f>3.6898 * CHOOSE(CONTROL!$C$32, $C$9, 100%, $E$9)</f>
        <v>3.6898</v>
      </c>
      <c r="H55" s="11">
        <f>6.2825 * CHOOSE(CONTROL!$C$32, $C$9, 100%, $E$9)</f>
        <v>6.2824999999999998</v>
      </c>
      <c r="I55" s="11">
        <f>6.2867 * CHOOSE(CONTROL!$C$32, $C$9, 100%, $E$9)</f>
        <v>6.2866999999999997</v>
      </c>
      <c r="J55" s="11">
        <f>6.2825 * CHOOSE(CONTROL!$C$32, $C$9, 100%, $E$9)</f>
        <v>6.2824999999999998</v>
      </c>
      <c r="K55" s="11">
        <f>6.2867 * CHOOSE(CONTROL!$C$32, $C$9, 100%, $E$9)</f>
        <v>6.2866999999999997</v>
      </c>
      <c r="L55" s="11">
        <f>3.9458 * CHOOSE(CONTROL!$C$32, $C$9, 100%, $E$9)</f>
        <v>3.9458000000000002</v>
      </c>
      <c r="M55" s="11">
        <f>3.95 * CHOOSE(CONTROL!$C$32, $C$9, 100%, $E$9)</f>
        <v>3.95</v>
      </c>
      <c r="N55" s="11">
        <f>3.9458 * CHOOSE(CONTROL!$C$32, $C$9, 100%, $E$9)</f>
        <v>3.9458000000000002</v>
      </c>
      <c r="O55" s="11">
        <f>3.95 * CHOOSE(CONTROL!$C$32, $C$9, 100%, $E$9)</f>
        <v>3.95</v>
      </c>
      <c r="P55" s="14"/>
      <c r="Q55" s="11"/>
      <c r="R55" s="11"/>
    </row>
    <row r="56" spans="1:18" ht="15" x14ac:dyDescent="0.2">
      <c r="A56" s="13">
        <v>42552</v>
      </c>
      <c r="B56" s="9">
        <f>3.2759 * CHOOSE(CONTROL!$C$32, $C$9, 100%, $E$9)</f>
        <v>3.2759</v>
      </c>
      <c r="C56" s="9">
        <f>3.2759 * CHOOSE(CONTROL!$C$32, $C$9, 100%, $E$9)</f>
        <v>3.2759</v>
      </c>
      <c r="D56" s="9">
        <f>3.2771 * CHOOSE(CONTROL!$C$32, $C$9, 100%, $E$9)</f>
        <v>3.2770999999999999</v>
      </c>
      <c r="E56" s="11">
        <f>3.9546 * CHOOSE(CONTROL!$C$32, $C$9, 100%, $E$9)</f>
        <v>3.9546000000000001</v>
      </c>
      <c r="F56" s="11">
        <f>3.6856 * CHOOSE(CONTROL!$C$32, $C$9, 100%, $E$9)</f>
        <v>3.6856</v>
      </c>
      <c r="G56" s="11">
        <f>3.6898 * CHOOSE(CONTROL!$C$32, $C$9, 100%, $E$9)</f>
        <v>3.6898</v>
      </c>
      <c r="H56" s="11">
        <f>6.2956 * CHOOSE(CONTROL!$C$32, $C$9, 100%, $E$9)</f>
        <v>6.2956000000000003</v>
      </c>
      <c r="I56" s="11">
        <f>6.2998 * CHOOSE(CONTROL!$C$32, $C$9, 100%, $E$9)</f>
        <v>6.2998000000000003</v>
      </c>
      <c r="J56" s="11">
        <f>6.2956 * CHOOSE(CONTROL!$C$32, $C$9, 100%, $E$9)</f>
        <v>6.2956000000000003</v>
      </c>
      <c r="K56" s="11">
        <f>6.2998 * CHOOSE(CONTROL!$C$32, $C$9, 100%, $E$9)</f>
        <v>6.2998000000000003</v>
      </c>
      <c r="L56" s="11">
        <f>3.9546 * CHOOSE(CONTROL!$C$32, $C$9, 100%, $E$9)</f>
        <v>3.9546000000000001</v>
      </c>
      <c r="M56" s="11">
        <f>3.9588 * CHOOSE(CONTROL!$C$32, $C$9, 100%, $E$9)</f>
        <v>3.9588000000000001</v>
      </c>
      <c r="N56" s="11">
        <f>3.9546 * CHOOSE(CONTROL!$C$32, $C$9, 100%, $E$9)</f>
        <v>3.9546000000000001</v>
      </c>
      <c r="O56" s="11">
        <f>3.9588 * CHOOSE(CONTROL!$C$32, $C$9, 100%, $E$9)</f>
        <v>3.9588000000000001</v>
      </c>
      <c r="P56" s="14"/>
      <c r="Q56" s="14"/>
      <c r="R56" s="14"/>
    </row>
    <row r="57" spans="1:18" ht="15" x14ac:dyDescent="0.2">
      <c r="A57" s="13">
        <v>42583</v>
      </c>
      <c r="B57" s="9">
        <f>3.2911 * CHOOSE(CONTROL!$C$32, $C$9, 100%, $E$9)</f>
        <v>3.2911000000000001</v>
      </c>
      <c r="C57" s="9">
        <f>3.2911 * CHOOSE(CONTROL!$C$32, $C$9, 100%, $E$9)</f>
        <v>3.2911000000000001</v>
      </c>
      <c r="D57" s="9">
        <f>3.2923 * CHOOSE(CONTROL!$C$32, $C$9, 100%, $E$9)</f>
        <v>3.2923</v>
      </c>
      <c r="E57" s="11">
        <f>3.9996 * CHOOSE(CONTROL!$C$32, $C$9, 100%, $E$9)</f>
        <v>3.9996</v>
      </c>
      <c r="F57" s="11">
        <f>3.6856 * CHOOSE(CONTROL!$C$32, $C$9, 100%, $E$9)</f>
        <v>3.6856</v>
      </c>
      <c r="G57" s="11">
        <f>3.6898 * CHOOSE(CONTROL!$C$32, $C$9, 100%, $E$9)</f>
        <v>3.6898</v>
      </c>
      <c r="H57" s="11">
        <f>6.3087 * CHOOSE(CONTROL!$C$32, $C$9, 100%, $E$9)</f>
        <v>6.3087</v>
      </c>
      <c r="I57" s="11">
        <f>6.3129 * CHOOSE(CONTROL!$C$32, $C$9, 100%, $E$9)</f>
        <v>6.3129</v>
      </c>
      <c r="J57" s="11">
        <f>6.3087 * CHOOSE(CONTROL!$C$32, $C$9, 100%, $E$9)</f>
        <v>6.3087</v>
      </c>
      <c r="K57" s="11">
        <f>6.3129 * CHOOSE(CONTROL!$C$32, $C$9, 100%, $E$9)</f>
        <v>6.3129</v>
      </c>
      <c r="L57" s="11">
        <f>3.9996 * CHOOSE(CONTROL!$C$32, $C$9, 100%, $E$9)</f>
        <v>3.9996</v>
      </c>
      <c r="M57" s="11">
        <f>4.0038 * CHOOSE(CONTROL!$C$32, $C$9, 100%, $E$9)</f>
        <v>4.0038</v>
      </c>
      <c r="N57" s="11">
        <f>3.9996 * CHOOSE(CONTROL!$C$32, $C$9, 100%, $E$9)</f>
        <v>3.9996</v>
      </c>
      <c r="O57" s="11">
        <f>4.0038 * CHOOSE(CONTROL!$C$32, $C$9, 100%, $E$9)</f>
        <v>4.0038</v>
      </c>
      <c r="P57" s="14"/>
      <c r="Q57" s="14"/>
      <c r="R57" s="14"/>
    </row>
    <row r="58" spans="1:18" ht="15" x14ac:dyDescent="0.2">
      <c r="A58" s="13">
        <v>42614</v>
      </c>
      <c r="B58" s="9">
        <f>3.2883 * CHOOSE(CONTROL!$C$32, $C$9, 100%, $E$9)</f>
        <v>3.2883</v>
      </c>
      <c r="C58" s="9">
        <f>3.2883 * CHOOSE(CONTROL!$C$32, $C$9, 100%, $E$9)</f>
        <v>3.2883</v>
      </c>
      <c r="D58" s="9">
        <f>3.2895 * CHOOSE(CONTROL!$C$32, $C$9, 100%, $E$9)</f>
        <v>3.2894999999999999</v>
      </c>
      <c r="E58" s="11">
        <f>3.9458 * CHOOSE(CONTROL!$C$32, $C$9, 100%, $E$9)</f>
        <v>3.9458000000000002</v>
      </c>
      <c r="F58" s="11">
        <f>3.6856 * CHOOSE(CONTROL!$C$32, $C$9, 100%, $E$9)</f>
        <v>3.6856</v>
      </c>
      <c r="G58" s="11">
        <f>3.6898 * CHOOSE(CONTROL!$C$32, $C$9, 100%, $E$9)</f>
        <v>3.6898</v>
      </c>
      <c r="H58" s="11">
        <f>6.3218 * CHOOSE(CONTROL!$C$32, $C$9, 100%, $E$9)</f>
        <v>6.3217999999999996</v>
      </c>
      <c r="I58" s="11">
        <f>6.326 * CHOOSE(CONTROL!$C$32, $C$9, 100%, $E$9)</f>
        <v>6.3259999999999996</v>
      </c>
      <c r="J58" s="11">
        <f>6.3218 * CHOOSE(CONTROL!$C$32, $C$9, 100%, $E$9)</f>
        <v>6.3217999999999996</v>
      </c>
      <c r="K58" s="11">
        <f>6.326 * CHOOSE(CONTROL!$C$32, $C$9, 100%, $E$9)</f>
        <v>6.3259999999999996</v>
      </c>
      <c r="L58" s="11">
        <f>3.9458 * CHOOSE(CONTROL!$C$32, $C$9, 100%, $E$9)</f>
        <v>3.9458000000000002</v>
      </c>
      <c r="M58" s="11">
        <f>3.95 * CHOOSE(CONTROL!$C$32, $C$9, 100%, $E$9)</f>
        <v>3.95</v>
      </c>
      <c r="N58" s="11">
        <f>3.9458 * CHOOSE(CONTROL!$C$32, $C$9, 100%, $E$9)</f>
        <v>3.9458000000000002</v>
      </c>
      <c r="O58" s="11">
        <f>3.95 * CHOOSE(CONTROL!$C$32, $C$9, 100%, $E$9)</f>
        <v>3.95</v>
      </c>
      <c r="P58" s="14"/>
      <c r="Q58" s="14"/>
      <c r="R58" s="14"/>
    </row>
    <row r="59" spans="1:18" ht="15" x14ac:dyDescent="0.2">
      <c r="A59" s="13">
        <v>42644</v>
      </c>
      <c r="B59" s="9">
        <f>3.269 * CHOOSE(CONTROL!$C$32, $C$9, 100%, $E$9)</f>
        <v>3.2690000000000001</v>
      </c>
      <c r="C59" s="9">
        <f>3.269 * CHOOSE(CONTROL!$C$32, $C$9, 100%, $E$9)</f>
        <v>3.2690000000000001</v>
      </c>
      <c r="D59" s="9">
        <f>3.27 * CHOOSE(CONTROL!$C$32, $C$9, 100%, $E$9)</f>
        <v>3.27</v>
      </c>
      <c r="E59" s="11">
        <f>4.0035 * CHOOSE(CONTROL!$C$32, $C$9, 100%, $E$9)</f>
        <v>4.0034999999999998</v>
      </c>
      <c r="F59" s="11">
        <f>3.6856 * CHOOSE(CONTROL!$C$32, $C$9, 100%, $E$9)</f>
        <v>3.6856</v>
      </c>
      <c r="G59" s="11">
        <f>3.6888 * CHOOSE(CONTROL!$C$32, $C$9, 100%, $E$9)</f>
        <v>3.6888000000000001</v>
      </c>
      <c r="H59" s="11">
        <f>6.335 * CHOOSE(CONTROL!$C$32, $C$9, 100%, $E$9)</f>
        <v>6.335</v>
      </c>
      <c r="I59" s="11">
        <f>6.3382 * CHOOSE(CONTROL!$C$32, $C$9, 100%, $E$9)</f>
        <v>6.3381999999999996</v>
      </c>
      <c r="J59" s="11">
        <f>6.335 * CHOOSE(CONTROL!$C$32, $C$9, 100%, $E$9)</f>
        <v>6.335</v>
      </c>
      <c r="K59" s="11">
        <f>6.3382 * CHOOSE(CONTROL!$C$32, $C$9, 100%, $E$9)</f>
        <v>6.3381999999999996</v>
      </c>
      <c r="L59" s="11">
        <f>4.0035 * CHOOSE(CONTROL!$C$32, $C$9, 100%, $E$9)</f>
        <v>4.0034999999999998</v>
      </c>
      <c r="M59" s="11">
        <f>4.0067 * CHOOSE(CONTROL!$C$32, $C$9, 100%, $E$9)</f>
        <v>4.0067000000000004</v>
      </c>
      <c r="N59" s="11">
        <f>4.0035 * CHOOSE(CONTROL!$C$32, $C$9, 100%, $E$9)</f>
        <v>4.0034999999999998</v>
      </c>
      <c r="O59" s="11">
        <f>4.0067 * CHOOSE(CONTROL!$C$32, $C$9, 100%, $E$9)</f>
        <v>4.0067000000000004</v>
      </c>
      <c r="P59" s="14"/>
      <c r="Q59" s="14"/>
      <c r="R59" s="14"/>
    </row>
    <row r="60" spans="1:18" ht="15" x14ac:dyDescent="0.2">
      <c r="A60" s="13">
        <v>42675</v>
      </c>
      <c r="B60" s="9">
        <f>3.2806 * CHOOSE(CONTROL!$C$32, $C$9, 100%, $E$9)</f>
        <v>3.2806000000000002</v>
      </c>
      <c r="C60" s="9">
        <f>3.2806 * CHOOSE(CONTROL!$C$32, $C$9, 100%, $E$9)</f>
        <v>3.2806000000000002</v>
      </c>
      <c r="D60" s="9">
        <f>3.2816 * CHOOSE(CONTROL!$C$32, $C$9, 100%, $E$9)</f>
        <v>3.2816000000000001</v>
      </c>
      <c r="E60" s="11">
        <f>3.9579 * CHOOSE(CONTROL!$C$32, $C$9, 100%, $E$9)</f>
        <v>3.9579</v>
      </c>
      <c r="F60" s="11">
        <f>3.6856 * CHOOSE(CONTROL!$C$32, $C$9, 100%, $E$9)</f>
        <v>3.6856</v>
      </c>
      <c r="G60" s="11">
        <f>3.6888 * CHOOSE(CONTROL!$C$32, $C$9, 100%, $E$9)</f>
        <v>3.6888000000000001</v>
      </c>
      <c r="H60" s="11">
        <f>6.3482 * CHOOSE(CONTROL!$C$32, $C$9, 100%, $E$9)</f>
        <v>6.3482000000000003</v>
      </c>
      <c r="I60" s="11">
        <f>6.3514 * CHOOSE(CONTROL!$C$32, $C$9, 100%, $E$9)</f>
        <v>6.3513999999999999</v>
      </c>
      <c r="J60" s="11">
        <f>6.3482 * CHOOSE(CONTROL!$C$32, $C$9, 100%, $E$9)</f>
        <v>6.3482000000000003</v>
      </c>
      <c r="K60" s="11">
        <f>6.3514 * CHOOSE(CONTROL!$C$32, $C$9, 100%, $E$9)</f>
        <v>6.3513999999999999</v>
      </c>
      <c r="L60" s="11">
        <f>3.9579 * CHOOSE(CONTROL!$C$32, $C$9, 100%, $E$9)</f>
        <v>3.9579</v>
      </c>
      <c r="M60" s="11">
        <f>3.9611 * CHOOSE(CONTROL!$C$32, $C$9, 100%, $E$9)</f>
        <v>3.9611000000000001</v>
      </c>
      <c r="N60" s="11">
        <f>3.9579 * CHOOSE(CONTROL!$C$32, $C$9, 100%, $E$9)</f>
        <v>3.9579</v>
      </c>
      <c r="O60" s="11">
        <f>3.9611 * CHOOSE(CONTROL!$C$32, $C$9, 100%, $E$9)</f>
        <v>3.9611000000000001</v>
      </c>
      <c r="P60" s="14"/>
      <c r="Q60" s="14"/>
      <c r="R60" s="14"/>
    </row>
    <row r="61" spans="1:18" ht="15" x14ac:dyDescent="0.2">
      <c r="A61" s="13">
        <v>42705</v>
      </c>
      <c r="B61" s="9">
        <f>3.2808 * CHOOSE(CONTROL!$C$32, $C$9, 100%, $E$9)</f>
        <v>3.2808000000000002</v>
      </c>
      <c r="C61" s="9">
        <f>3.2808 * CHOOSE(CONTROL!$C$32, $C$9, 100%, $E$9)</f>
        <v>3.2808000000000002</v>
      </c>
      <c r="D61" s="9">
        <f>3.2818 * CHOOSE(CONTROL!$C$32, $C$9, 100%, $E$9)</f>
        <v>3.2818000000000001</v>
      </c>
      <c r="E61" s="11">
        <f>3.8968 * CHOOSE(CONTROL!$C$32, $C$9, 100%, $E$9)</f>
        <v>3.8967999999999998</v>
      </c>
      <c r="F61" s="11">
        <f>3.6856 * CHOOSE(CONTROL!$C$32, $C$9, 100%, $E$9)</f>
        <v>3.6856</v>
      </c>
      <c r="G61" s="11">
        <f>3.6888 * CHOOSE(CONTROL!$C$32, $C$9, 100%, $E$9)</f>
        <v>3.6888000000000001</v>
      </c>
      <c r="H61" s="11">
        <f>6.3614 * CHOOSE(CONTROL!$C$32, $C$9, 100%, $E$9)</f>
        <v>6.3613999999999997</v>
      </c>
      <c r="I61" s="11">
        <f>6.3647 * CHOOSE(CONTROL!$C$32, $C$9, 100%, $E$9)</f>
        <v>6.3647</v>
      </c>
      <c r="J61" s="11">
        <f>6.3614 * CHOOSE(CONTROL!$C$32, $C$9, 100%, $E$9)</f>
        <v>6.3613999999999997</v>
      </c>
      <c r="K61" s="11">
        <f>6.3647 * CHOOSE(CONTROL!$C$32, $C$9, 100%, $E$9)</f>
        <v>6.3647</v>
      </c>
      <c r="L61" s="11">
        <f>3.8968 * CHOOSE(CONTROL!$C$32, $C$9, 100%, $E$9)</f>
        <v>3.8967999999999998</v>
      </c>
      <c r="M61" s="11">
        <f>3.9 * CHOOSE(CONTROL!$C$32, $C$9, 100%, $E$9)</f>
        <v>3.9</v>
      </c>
      <c r="N61" s="11">
        <f>3.8968 * CHOOSE(CONTROL!$C$32, $C$9, 100%, $E$9)</f>
        <v>3.8967999999999998</v>
      </c>
      <c r="O61" s="11">
        <f>3.9 * CHOOSE(CONTROL!$C$32, $C$9, 100%, $E$9)</f>
        <v>3.9</v>
      </c>
      <c r="P61" s="14"/>
      <c r="Q61" s="14"/>
      <c r="R61" s="14"/>
    </row>
    <row r="62" spans="1:18" ht="15" x14ac:dyDescent="0.2">
      <c r="A62" s="13">
        <v>42736</v>
      </c>
      <c r="B62" s="9">
        <f>3.2762 * CHOOSE(CONTROL!$C$32, $C$9, 100%, $E$9)</f>
        <v>3.2761999999999998</v>
      </c>
      <c r="C62" s="9">
        <f>3.2762 * CHOOSE(CONTROL!$C$32, $C$9, 100%, $E$9)</f>
        <v>3.2761999999999998</v>
      </c>
      <c r="D62" s="9">
        <f>3.2771 * CHOOSE(CONTROL!$C$32, $C$9, 100%, $E$9)</f>
        <v>3.2770999999999999</v>
      </c>
      <c r="E62" s="11">
        <f>3.8371 * CHOOSE(CONTROL!$C$32, $C$9, 100%, $E$9)</f>
        <v>3.8371</v>
      </c>
      <c r="F62" s="11">
        <f>3.8371 * CHOOSE(CONTROL!$C$32, $C$9, 100%, $E$9)</f>
        <v>3.8371</v>
      </c>
      <c r="G62" s="11">
        <f>3.8403 * CHOOSE(CONTROL!$C$32, $C$9, 100%, $E$9)</f>
        <v>3.8403</v>
      </c>
      <c r="H62" s="11">
        <f>6.3747 * CHOOSE(CONTROL!$C$32, $C$9, 100%, $E$9)</f>
        <v>6.3746999999999998</v>
      </c>
      <c r="I62" s="11">
        <f>6.3779 * CHOOSE(CONTROL!$C$32, $C$9, 100%, $E$9)</f>
        <v>6.3779000000000003</v>
      </c>
      <c r="J62" s="11">
        <f>6.3747 * CHOOSE(CONTROL!$C$32, $C$9, 100%, $E$9)</f>
        <v>6.3746999999999998</v>
      </c>
      <c r="K62" s="11">
        <f>6.3779 * CHOOSE(CONTROL!$C$32, $C$9, 100%, $E$9)</f>
        <v>6.3779000000000003</v>
      </c>
      <c r="L62" s="11">
        <f>3.8371 * CHOOSE(CONTROL!$C$32, $C$9, 100%, $E$9)</f>
        <v>3.8371</v>
      </c>
      <c r="M62" s="11">
        <f>3.8403 * CHOOSE(CONTROL!$C$32, $C$9, 100%, $E$9)</f>
        <v>3.8403</v>
      </c>
      <c r="N62" s="11">
        <f>3.8371 * CHOOSE(CONTROL!$C$32, $C$9, 100%, $E$9)</f>
        <v>3.8371</v>
      </c>
      <c r="O62" s="11">
        <f>3.8403 * CHOOSE(CONTROL!$C$32, $C$9, 100%, $E$9)</f>
        <v>3.8403</v>
      </c>
      <c r="P62" s="14"/>
      <c r="Q62" s="14"/>
      <c r="R62" s="14"/>
    </row>
    <row r="63" spans="1:18" ht="15" x14ac:dyDescent="0.2">
      <c r="A63" s="13">
        <v>42767</v>
      </c>
      <c r="B63" s="9">
        <f>3.2814 * CHOOSE(CONTROL!$C$32, $C$9, 100%, $E$9)</f>
        <v>3.2814000000000001</v>
      </c>
      <c r="C63" s="9">
        <f>3.2814 * CHOOSE(CONTROL!$C$32, $C$9, 100%, $E$9)</f>
        <v>3.2814000000000001</v>
      </c>
      <c r="D63" s="9">
        <f>3.2824 * CHOOSE(CONTROL!$C$32, $C$9, 100%, $E$9)</f>
        <v>3.2824</v>
      </c>
      <c r="E63" s="11">
        <f>3.8351 * CHOOSE(CONTROL!$C$32, $C$9, 100%, $E$9)</f>
        <v>3.8351000000000002</v>
      </c>
      <c r="F63" s="11">
        <f>3.8351 * CHOOSE(CONTROL!$C$32, $C$9, 100%, $E$9)</f>
        <v>3.8351000000000002</v>
      </c>
      <c r="G63" s="11">
        <f>3.8383 * CHOOSE(CONTROL!$C$32, $C$9, 100%, $E$9)</f>
        <v>3.8382999999999998</v>
      </c>
      <c r="H63" s="11">
        <f>6.388 * CHOOSE(CONTROL!$C$32, $C$9, 100%, $E$9)</f>
        <v>6.3879999999999999</v>
      </c>
      <c r="I63" s="11">
        <f>6.3912 * CHOOSE(CONTROL!$C$32, $C$9, 100%, $E$9)</f>
        <v>6.3912000000000004</v>
      </c>
      <c r="J63" s="11">
        <f>6.388 * CHOOSE(CONTROL!$C$32, $C$9, 100%, $E$9)</f>
        <v>6.3879999999999999</v>
      </c>
      <c r="K63" s="11">
        <f>6.3912 * CHOOSE(CONTROL!$C$32, $C$9, 100%, $E$9)</f>
        <v>6.3912000000000004</v>
      </c>
      <c r="L63" s="11">
        <f>3.8351 * CHOOSE(CONTROL!$C$32, $C$9, 100%, $E$9)</f>
        <v>3.8351000000000002</v>
      </c>
      <c r="M63" s="11">
        <f>3.8383 * CHOOSE(CONTROL!$C$32, $C$9, 100%, $E$9)</f>
        <v>3.8382999999999998</v>
      </c>
      <c r="N63" s="11">
        <f>3.8351 * CHOOSE(CONTROL!$C$32, $C$9, 100%, $E$9)</f>
        <v>3.8351000000000002</v>
      </c>
      <c r="O63" s="11">
        <f>3.8383 * CHOOSE(CONTROL!$C$32, $C$9, 100%, $E$9)</f>
        <v>3.8382999999999998</v>
      </c>
      <c r="P63" s="14"/>
      <c r="Q63" s="14"/>
      <c r="R63" s="14"/>
    </row>
    <row r="64" spans="1:18" ht="15" x14ac:dyDescent="0.2">
      <c r="A64" s="13">
        <v>42795</v>
      </c>
      <c r="B64" s="9">
        <f>3.2785 * CHOOSE(CONTROL!$C$32, $C$9, 100%, $E$9)</f>
        <v>3.2785000000000002</v>
      </c>
      <c r="C64" s="9">
        <f>3.2785 * CHOOSE(CONTROL!$C$32, $C$9, 100%, $E$9)</f>
        <v>3.2785000000000002</v>
      </c>
      <c r="D64" s="9">
        <f>3.2795 * CHOOSE(CONTROL!$C$32, $C$9, 100%, $E$9)</f>
        <v>3.2795000000000001</v>
      </c>
      <c r="E64" s="11">
        <f>3.8331 * CHOOSE(CONTROL!$C$32, $C$9, 100%, $E$9)</f>
        <v>3.8331</v>
      </c>
      <c r="F64" s="11">
        <f>3.8331 * CHOOSE(CONTROL!$C$32, $C$9, 100%, $E$9)</f>
        <v>3.8331</v>
      </c>
      <c r="G64" s="11">
        <f>3.8363 * CHOOSE(CONTROL!$C$32, $C$9, 100%, $E$9)</f>
        <v>3.8363</v>
      </c>
      <c r="H64" s="11">
        <f>6.4013 * CHOOSE(CONTROL!$C$32, $C$9, 100%, $E$9)</f>
        <v>6.4013</v>
      </c>
      <c r="I64" s="11">
        <f>6.4045 * CHOOSE(CONTROL!$C$32, $C$9, 100%, $E$9)</f>
        <v>6.4044999999999996</v>
      </c>
      <c r="J64" s="11">
        <f>6.4013 * CHOOSE(CONTROL!$C$32, $C$9, 100%, $E$9)</f>
        <v>6.4013</v>
      </c>
      <c r="K64" s="11">
        <f>6.4045 * CHOOSE(CONTROL!$C$32, $C$9, 100%, $E$9)</f>
        <v>6.4044999999999996</v>
      </c>
      <c r="L64" s="11">
        <f>3.8331 * CHOOSE(CONTROL!$C$32, $C$9, 100%, $E$9)</f>
        <v>3.8331</v>
      </c>
      <c r="M64" s="11">
        <f>3.8363 * CHOOSE(CONTROL!$C$32, $C$9, 100%, $E$9)</f>
        <v>3.8363</v>
      </c>
      <c r="N64" s="11">
        <f>3.8331 * CHOOSE(CONTROL!$C$32, $C$9, 100%, $E$9)</f>
        <v>3.8331</v>
      </c>
      <c r="O64" s="11">
        <f>3.8363 * CHOOSE(CONTROL!$C$32, $C$9, 100%, $E$9)</f>
        <v>3.8363</v>
      </c>
      <c r="P64" s="14"/>
      <c r="Q64" s="14"/>
      <c r="R64" s="14"/>
    </row>
    <row r="65" spans="1:18" ht="15" x14ac:dyDescent="0.2">
      <c r="A65" s="13">
        <v>42826</v>
      </c>
      <c r="B65" s="9">
        <f>3.2725 * CHOOSE(CONTROL!$C$32, $C$9, 100%, $E$9)</f>
        <v>3.2725</v>
      </c>
      <c r="C65" s="9">
        <f>3.2725 * CHOOSE(CONTROL!$C$32, $C$9, 100%, $E$9)</f>
        <v>3.2725</v>
      </c>
      <c r="D65" s="9">
        <f>3.2734 * CHOOSE(CONTROL!$C$32, $C$9, 100%, $E$9)</f>
        <v>3.2734000000000001</v>
      </c>
      <c r="E65" s="11">
        <f>3.8305 * CHOOSE(CONTROL!$C$32, $C$9, 100%, $E$9)</f>
        <v>3.8304999999999998</v>
      </c>
      <c r="F65" s="11">
        <f>3.8305 * CHOOSE(CONTROL!$C$32, $C$9, 100%, $E$9)</f>
        <v>3.8304999999999998</v>
      </c>
      <c r="G65" s="11">
        <f>3.8338 * CHOOSE(CONTROL!$C$32, $C$9, 100%, $E$9)</f>
        <v>3.8338000000000001</v>
      </c>
      <c r="H65" s="11">
        <f>6.4146 * CHOOSE(CONTROL!$C$32, $C$9, 100%, $E$9)</f>
        <v>6.4146000000000001</v>
      </c>
      <c r="I65" s="11">
        <f>6.4178 * CHOOSE(CONTROL!$C$32, $C$9, 100%, $E$9)</f>
        <v>6.4177999999999997</v>
      </c>
      <c r="J65" s="11">
        <f>6.4146 * CHOOSE(CONTROL!$C$32, $C$9, 100%, $E$9)</f>
        <v>6.4146000000000001</v>
      </c>
      <c r="K65" s="11">
        <f>6.4178 * CHOOSE(CONTROL!$C$32, $C$9, 100%, $E$9)</f>
        <v>6.4177999999999997</v>
      </c>
      <c r="L65" s="11">
        <f>3.8305 * CHOOSE(CONTROL!$C$32, $C$9, 100%, $E$9)</f>
        <v>3.8304999999999998</v>
      </c>
      <c r="M65" s="11">
        <f>3.8338 * CHOOSE(CONTROL!$C$32, $C$9, 100%, $E$9)</f>
        <v>3.8338000000000001</v>
      </c>
      <c r="N65" s="11">
        <f>3.8305 * CHOOSE(CONTROL!$C$32, $C$9, 100%, $E$9)</f>
        <v>3.8304999999999998</v>
      </c>
      <c r="O65" s="11">
        <f>3.8338 * CHOOSE(CONTROL!$C$32, $C$9, 100%, $E$9)</f>
        <v>3.8338000000000001</v>
      </c>
      <c r="P65" s="14"/>
      <c r="Q65" s="14"/>
      <c r="R65" s="14"/>
    </row>
    <row r="66" spans="1:18" ht="15" x14ac:dyDescent="0.2">
      <c r="A66" s="13">
        <v>42856</v>
      </c>
      <c r="B66" s="9">
        <f>3.2809 * CHOOSE(CONTROL!$C$32, $C$9, 100%, $E$9)</f>
        <v>3.2808999999999999</v>
      </c>
      <c r="C66" s="9">
        <f>3.2809 * CHOOSE(CONTROL!$C$32, $C$9, 100%, $E$9)</f>
        <v>3.2808999999999999</v>
      </c>
      <c r="D66" s="9">
        <f>3.2822 * CHOOSE(CONTROL!$C$32, $C$9, 100%, $E$9)</f>
        <v>3.2822</v>
      </c>
      <c r="E66" s="11">
        <f>3.8305 * CHOOSE(CONTROL!$C$32, $C$9, 100%, $E$9)</f>
        <v>3.8304999999999998</v>
      </c>
      <c r="F66" s="11">
        <f>3.8305 * CHOOSE(CONTROL!$C$32, $C$9, 100%, $E$9)</f>
        <v>3.8304999999999998</v>
      </c>
      <c r="G66" s="11">
        <f>3.8348 * CHOOSE(CONTROL!$C$32, $C$9, 100%, $E$9)</f>
        <v>3.8348</v>
      </c>
      <c r="H66" s="11">
        <f>6.428 * CHOOSE(CONTROL!$C$32, $C$9, 100%, $E$9)</f>
        <v>6.4279999999999999</v>
      </c>
      <c r="I66" s="11">
        <f>6.4322 * CHOOSE(CONTROL!$C$32, $C$9, 100%, $E$9)</f>
        <v>6.4321999999999999</v>
      </c>
      <c r="J66" s="11">
        <f>6.428 * CHOOSE(CONTROL!$C$32, $C$9, 100%, $E$9)</f>
        <v>6.4279999999999999</v>
      </c>
      <c r="K66" s="11">
        <f>6.4322 * CHOOSE(CONTROL!$C$32, $C$9, 100%, $E$9)</f>
        <v>6.4321999999999999</v>
      </c>
      <c r="L66" s="11">
        <f>3.8305 * CHOOSE(CONTROL!$C$32, $C$9, 100%, $E$9)</f>
        <v>3.8304999999999998</v>
      </c>
      <c r="M66" s="11">
        <f>3.8348 * CHOOSE(CONTROL!$C$32, $C$9, 100%, $E$9)</f>
        <v>3.8348</v>
      </c>
      <c r="N66" s="11">
        <f>3.8305 * CHOOSE(CONTROL!$C$32, $C$9, 100%, $E$9)</f>
        <v>3.8304999999999998</v>
      </c>
      <c r="O66" s="11">
        <f>3.8348 * CHOOSE(CONTROL!$C$32, $C$9, 100%, $E$9)</f>
        <v>3.8348</v>
      </c>
      <c r="P66" s="14"/>
      <c r="Q66" s="14"/>
      <c r="R66" s="14"/>
    </row>
    <row r="67" spans="1:18" ht="15" x14ac:dyDescent="0.2">
      <c r="A67" s="13">
        <v>42887</v>
      </c>
      <c r="B67" s="9">
        <f>3.2871 * CHOOSE(CONTROL!$C$32, $C$9, 100%, $E$9)</f>
        <v>3.2871000000000001</v>
      </c>
      <c r="C67" s="9">
        <f>3.2871 * CHOOSE(CONTROL!$C$32, $C$9, 100%, $E$9)</f>
        <v>3.2871000000000001</v>
      </c>
      <c r="D67" s="9">
        <f>3.2883 * CHOOSE(CONTROL!$C$32, $C$9, 100%, $E$9)</f>
        <v>3.2883</v>
      </c>
      <c r="E67" s="11">
        <f>3.8345 * CHOOSE(CONTROL!$C$32, $C$9, 100%, $E$9)</f>
        <v>3.8344999999999998</v>
      </c>
      <c r="F67" s="11">
        <f>3.8345 * CHOOSE(CONTROL!$C$32, $C$9, 100%, $E$9)</f>
        <v>3.8344999999999998</v>
      </c>
      <c r="G67" s="11">
        <f>3.8388 * CHOOSE(CONTROL!$C$32, $C$9, 100%, $E$9)</f>
        <v>3.8388</v>
      </c>
      <c r="H67" s="11">
        <f>6.4414 * CHOOSE(CONTROL!$C$32, $C$9, 100%, $E$9)</f>
        <v>6.4413999999999998</v>
      </c>
      <c r="I67" s="11">
        <f>6.4456 * CHOOSE(CONTROL!$C$32, $C$9, 100%, $E$9)</f>
        <v>6.4455999999999998</v>
      </c>
      <c r="J67" s="11">
        <f>6.4414 * CHOOSE(CONTROL!$C$32, $C$9, 100%, $E$9)</f>
        <v>6.4413999999999998</v>
      </c>
      <c r="K67" s="11">
        <f>6.4456 * CHOOSE(CONTROL!$C$32, $C$9, 100%, $E$9)</f>
        <v>6.4455999999999998</v>
      </c>
      <c r="L67" s="11">
        <f>3.8345 * CHOOSE(CONTROL!$C$32, $C$9, 100%, $E$9)</f>
        <v>3.8344999999999998</v>
      </c>
      <c r="M67" s="11">
        <f>3.8388 * CHOOSE(CONTROL!$C$32, $C$9, 100%, $E$9)</f>
        <v>3.8388</v>
      </c>
      <c r="N67" s="11">
        <f>3.8345 * CHOOSE(CONTROL!$C$32, $C$9, 100%, $E$9)</f>
        <v>3.8344999999999998</v>
      </c>
      <c r="O67" s="11">
        <f>3.8388 * CHOOSE(CONTROL!$C$32, $C$9, 100%, $E$9)</f>
        <v>3.8388</v>
      </c>
      <c r="P67" s="14"/>
      <c r="Q67" s="14"/>
      <c r="R67" s="14"/>
    </row>
    <row r="68" spans="1:18" ht="15" x14ac:dyDescent="0.2">
      <c r="A68" s="13">
        <v>42917</v>
      </c>
      <c r="B68" s="9">
        <f>3.3418 * CHOOSE(CONTROL!$C$32, $C$9, 100%, $E$9)</f>
        <v>3.3418000000000001</v>
      </c>
      <c r="C68" s="9">
        <f>3.3418 * CHOOSE(CONTROL!$C$32, $C$9, 100%, $E$9)</f>
        <v>3.3418000000000001</v>
      </c>
      <c r="D68" s="9">
        <f>3.343 * CHOOSE(CONTROL!$C$32, $C$9, 100%, $E$9)</f>
        <v>3.343</v>
      </c>
      <c r="E68" s="11">
        <f>3.9255 * CHOOSE(CONTROL!$C$32, $C$9, 100%, $E$9)</f>
        <v>3.9255</v>
      </c>
      <c r="F68" s="11">
        <f>3.9255 * CHOOSE(CONTROL!$C$32, $C$9, 100%, $E$9)</f>
        <v>3.9255</v>
      </c>
      <c r="G68" s="11">
        <f>3.9297 * CHOOSE(CONTROL!$C$32, $C$9, 100%, $E$9)</f>
        <v>3.9297</v>
      </c>
      <c r="H68" s="11">
        <f>6.4548 * CHOOSE(CONTROL!$C$32, $C$9, 100%, $E$9)</f>
        <v>6.4547999999999996</v>
      </c>
      <c r="I68" s="11">
        <f>6.459 * CHOOSE(CONTROL!$C$32, $C$9, 100%, $E$9)</f>
        <v>6.4589999999999996</v>
      </c>
      <c r="J68" s="11">
        <f>6.4548 * CHOOSE(CONTROL!$C$32, $C$9, 100%, $E$9)</f>
        <v>6.4547999999999996</v>
      </c>
      <c r="K68" s="11">
        <f>6.459 * CHOOSE(CONTROL!$C$32, $C$9, 100%, $E$9)</f>
        <v>6.4589999999999996</v>
      </c>
      <c r="L68" s="11">
        <f>3.9255 * CHOOSE(CONTROL!$C$32, $C$9, 100%, $E$9)</f>
        <v>3.9255</v>
      </c>
      <c r="M68" s="11">
        <f>3.9297 * CHOOSE(CONTROL!$C$32, $C$9, 100%, $E$9)</f>
        <v>3.9297</v>
      </c>
      <c r="N68" s="11">
        <f>3.9255 * CHOOSE(CONTROL!$C$32, $C$9, 100%, $E$9)</f>
        <v>3.9255</v>
      </c>
      <c r="O68" s="11">
        <f>3.9297 * CHOOSE(CONTROL!$C$32, $C$9, 100%, $E$9)</f>
        <v>3.9297</v>
      </c>
      <c r="P68" s="14"/>
      <c r="Q68" s="14"/>
      <c r="R68" s="14"/>
    </row>
    <row r="69" spans="1:18" ht="15" x14ac:dyDescent="0.2">
      <c r="A69" s="13">
        <v>42948</v>
      </c>
      <c r="B69" s="9">
        <f>3.357 * CHOOSE(CONTROL!$C$32, $C$9, 100%, $E$9)</f>
        <v>3.3570000000000002</v>
      </c>
      <c r="C69" s="9">
        <f>3.357 * CHOOSE(CONTROL!$C$32, $C$9, 100%, $E$9)</f>
        <v>3.3570000000000002</v>
      </c>
      <c r="D69" s="9">
        <f>3.3582 * CHOOSE(CONTROL!$C$32, $C$9, 100%, $E$9)</f>
        <v>3.3582000000000001</v>
      </c>
      <c r="E69" s="11">
        <f>3.9299 * CHOOSE(CONTROL!$C$32, $C$9, 100%, $E$9)</f>
        <v>3.9298999999999999</v>
      </c>
      <c r="F69" s="11">
        <f>3.9299 * CHOOSE(CONTROL!$C$32, $C$9, 100%, $E$9)</f>
        <v>3.9298999999999999</v>
      </c>
      <c r="G69" s="11">
        <f>3.9341 * CHOOSE(CONTROL!$C$32, $C$9, 100%, $E$9)</f>
        <v>3.9340999999999999</v>
      </c>
      <c r="H69" s="11">
        <f>6.4682 * CHOOSE(CONTROL!$C$32, $C$9, 100%, $E$9)</f>
        <v>6.4682000000000004</v>
      </c>
      <c r="I69" s="11">
        <f>6.4724 * CHOOSE(CONTROL!$C$32, $C$9, 100%, $E$9)</f>
        <v>6.4724000000000004</v>
      </c>
      <c r="J69" s="11">
        <f>6.4682 * CHOOSE(CONTROL!$C$32, $C$9, 100%, $E$9)</f>
        <v>6.4682000000000004</v>
      </c>
      <c r="K69" s="11">
        <f>6.4724 * CHOOSE(CONTROL!$C$32, $C$9, 100%, $E$9)</f>
        <v>6.4724000000000004</v>
      </c>
      <c r="L69" s="11">
        <f>3.9299 * CHOOSE(CONTROL!$C$32, $C$9, 100%, $E$9)</f>
        <v>3.9298999999999999</v>
      </c>
      <c r="M69" s="11">
        <f>3.9341 * CHOOSE(CONTROL!$C$32, $C$9, 100%, $E$9)</f>
        <v>3.9340999999999999</v>
      </c>
      <c r="N69" s="11">
        <f>3.9299 * CHOOSE(CONTROL!$C$32, $C$9, 100%, $E$9)</f>
        <v>3.9298999999999999</v>
      </c>
      <c r="O69" s="11">
        <f>3.9341 * CHOOSE(CONTROL!$C$32, $C$9, 100%, $E$9)</f>
        <v>3.9340999999999999</v>
      </c>
      <c r="P69" s="14"/>
      <c r="Q69" s="14"/>
      <c r="R69" s="14"/>
    </row>
    <row r="70" spans="1:18" ht="15" x14ac:dyDescent="0.2">
      <c r="A70" s="13">
        <v>42979</v>
      </c>
      <c r="B70" s="9">
        <f>3.354 * CHOOSE(CONTROL!$C$32, $C$9, 100%, $E$9)</f>
        <v>3.3540000000000001</v>
      </c>
      <c r="C70" s="9">
        <f>3.354 * CHOOSE(CONTROL!$C$32, $C$9, 100%, $E$9)</f>
        <v>3.3540000000000001</v>
      </c>
      <c r="D70" s="9">
        <f>3.3553 * CHOOSE(CONTROL!$C$32, $C$9, 100%, $E$9)</f>
        <v>3.3553000000000002</v>
      </c>
      <c r="E70" s="11">
        <f>3.9279 * CHOOSE(CONTROL!$C$32, $C$9, 100%, $E$9)</f>
        <v>3.9279000000000002</v>
      </c>
      <c r="F70" s="11">
        <f>3.9279 * CHOOSE(CONTROL!$C$32, $C$9, 100%, $E$9)</f>
        <v>3.9279000000000002</v>
      </c>
      <c r="G70" s="11">
        <f>3.9321 * CHOOSE(CONTROL!$C$32, $C$9, 100%, $E$9)</f>
        <v>3.9321000000000002</v>
      </c>
      <c r="H70" s="11">
        <f>6.4817 * CHOOSE(CONTROL!$C$32, $C$9, 100%, $E$9)</f>
        <v>6.4817</v>
      </c>
      <c r="I70" s="11">
        <f>6.4859 * CHOOSE(CONTROL!$C$32, $C$9, 100%, $E$9)</f>
        <v>6.4859</v>
      </c>
      <c r="J70" s="11">
        <f>6.4817 * CHOOSE(CONTROL!$C$32, $C$9, 100%, $E$9)</f>
        <v>6.4817</v>
      </c>
      <c r="K70" s="11">
        <f>6.4859 * CHOOSE(CONTROL!$C$32, $C$9, 100%, $E$9)</f>
        <v>6.4859</v>
      </c>
      <c r="L70" s="11">
        <f>3.9279 * CHOOSE(CONTROL!$C$32, $C$9, 100%, $E$9)</f>
        <v>3.9279000000000002</v>
      </c>
      <c r="M70" s="11">
        <f>3.9321 * CHOOSE(CONTROL!$C$32, $C$9, 100%, $E$9)</f>
        <v>3.9321000000000002</v>
      </c>
      <c r="N70" s="11">
        <f>3.9279 * CHOOSE(CONTROL!$C$32, $C$9, 100%, $E$9)</f>
        <v>3.9279000000000002</v>
      </c>
      <c r="O70" s="11">
        <f>3.9321 * CHOOSE(CONTROL!$C$32, $C$9, 100%, $E$9)</f>
        <v>3.9321000000000002</v>
      </c>
      <c r="P70" s="14"/>
      <c r="Q70" s="14"/>
      <c r="R70" s="14"/>
    </row>
    <row r="71" spans="1:18" ht="15" x14ac:dyDescent="0.2">
      <c r="A71" s="13">
        <v>43009</v>
      </c>
      <c r="B71" s="9">
        <f>3.3348 * CHOOSE(CONTROL!$C$32, $C$9, 100%, $E$9)</f>
        <v>3.3348</v>
      </c>
      <c r="C71" s="9">
        <f>3.3348 * CHOOSE(CONTROL!$C$32, $C$9, 100%, $E$9)</f>
        <v>3.3348</v>
      </c>
      <c r="D71" s="9">
        <f>3.3357 * CHOOSE(CONTROL!$C$32, $C$9, 100%, $E$9)</f>
        <v>3.3357000000000001</v>
      </c>
      <c r="E71" s="11">
        <f>3.9209 * CHOOSE(CONTROL!$C$32, $C$9, 100%, $E$9)</f>
        <v>3.9209000000000001</v>
      </c>
      <c r="F71" s="11">
        <f>3.9209 * CHOOSE(CONTROL!$C$32, $C$9, 100%, $E$9)</f>
        <v>3.9209000000000001</v>
      </c>
      <c r="G71" s="11">
        <f>3.9241 * CHOOSE(CONTROL!$C$32, $C$9, 100%, $E$9)</f>
        <v>3.9241000000000001</v>
      </c>
      <c r="H71" s="11">
        <f>6.4952 * CHOOSE(CONTROL!$C$32, $C$9, 100%, $E$9)</f>
        <v>6.4951999999999996</v>
      </c>
      <c r="I71" s="11">
        <f>6.4984 * CHOOSE(CONTROL!$C$32, $C$9, 100%, $E$9)</f>
        <v>6.4984000000000002</v>
      </c>
      <c r="J71" s="11">
        <f>6.4952 * CHOOSE(CONTROL!$C$32, $C$9, 100%, $E$9)</f>
        <v>6.4951999999999996</v>
      </c>
      <c r="K71" s="11">
        <f>6.4984 * CHOOSE(CONTROL!$C$32, $C$9, 100%, $E$9)</f>
        <v>6.4984000000000002</v>
      </c>
      <c r="L71" s="11">
        <f>3.9209 * CHOOSE(CONTROL!$C$32, $C$9, 100%, $E$9)</f>
        <v>3.9209000000000001</v>
      </c>
      <c r="M71" s="11">
        <f>3.9241 * CHOOSE(CONTROL!$C$32, $C$9, 100%, $E$9)</f>
        <v>3.9241000000000001</v>
      </c>
      <c r="N71" s="11">
        <f>3.9209 * CHOOSE(CONTROL!$C$32, $C$9, 100%, $E$9)</f>
        <v>3.9209000000000001</v>
      </c>
      <c r="O71" s="11">
        <f>3.9241 * CHOOSE(CONTROL!$C$32, $C$9, 100%, $E$9)</f>
        <v>3.9241000000000001</v>
      </c>
      <c r="P71" s="14"/>
      <c r="Q71" s="14"/>
      <c r="R71" s="14"/>
    </row>
    <row r="72" spans="1:18" ht="15" x14ac:dyDescent="0.2">
      <c r="A72" s="13">
        <v>43040</v>
      </c>
      <c r="B72" s="9">
        <f>3.3463 * CHOOSE(CONTROL!$C$32, $C$9, 100%, $E$9)</f>
        <v>3.3462999999999998</v>
      </c>
      <c r="C72" s="9">
        <f>3.3463 * CHOOSE(CONTROL!$C$32, $C$9, 100%, $E$9)</f>
        <v>3.3462999999999998</v>
      </c>
      <c r="D72" s="9">
        <f>3.3473 * CHOOSE(CONTROL!$C$32, $C$9, 100%, $E$9)</f>
        <v>3.3473000000000002</v>
      </c>
      <c r="E72" s="11">
        <f>3.9229 * CHOOSE(CONTROL!$C$32, $C$9, 100%, $E$9)</f>
        <v>3.9228999999999998</v>
      </c>
      <c r="F72" s="11">
        <f>3.9229 * CHOOSE(CONTROL!$C$32, $C$9, 100%, $E$9)</f>
        <v>3.9228999999999998</v>
      </c>
      <c r="G72" s="11">
        <f>3.9261 * CHOOSE(CONTROL!$C$32, $C$9, 100%, $E$9)</f>
        <v>3.9260999999999999</v>
      </c>
      <c r="H72" s="11">
        <f>6.5087 * CHOOSE(CONTROL!$C$32, $C$9, 100%, $E$9)</f>
        <v>6.5087000000000002</v>
      </c>
      <c r="I72" s="11">
        <f>6.512 * CHOOSE(CONTROL!$C$32, $C$9, 100%, $E$9)</f>
        <v>6.5119999999999996</v>
      </c>
      <c r="J72" s="11">
        <f>6.5087 * CHOOSE(CONTROL!$C$32, $C$9, 100%, $E$9)</f>
        <v>6.5087000000000002</v>
      </c>
      <c r="K72" s="11">
        <f>6.512 * CHOOSE(CONTROL!$C$32, $C$9, 100%, $E$9)</f>
        <v>6.5119999999999996</v>
      </c>
      <c r="L72" s="11">
        <f>3.9229 * CHOOSE(CONTROL!$C$32, $C$9, 100%, $E$9)</f>
        <v>3.9228999999999998</v>
      </c>
      <c r="M72" s="11">
        <f>3.9261 * CHOOSE(CONTROL!$C$32, $C$9, 100%, $E$9)</f>
        <v>3.9260999999999999</v>
      </c>
      <c r="N72" s="11">
        <f>3.9229 * CHOOSE(CONTROL!$C$32, $C$9, 100%, $E$9)</f>
        <v>3.9228999999999998</v>
      </c>
      <c r="O72" s="11">
        <f>3.9261 * CHOOSE(CONTROL!$C$32, $C$9, 100%, $E$9)</f>
        <v>3.9260999999999999</v>
      </c>
      <c r="P72" s="14"/>
      <c r="Q72" s="14"/>
      <c r="R72" s="14"/>
    </row>
    <row r="73" spans="1:18" ht="15" x14ac:dyDescent="0.2">
      <c r="A73" s="13">
        <v>43070</v>
      </c>
      <c r="B73" s="9">
        <f>3.3463 * CHOOSE(CONTROL!$C$32, $C$9, 100%, $E$9)</f>
        <v>3.3462999999999998</v>
      </c>
      <c r="C73" s="9">
        <f>3.3463 * CHOOSE(CONTROL!$C$32, $C$9, 100%, $E$9)</f>
        <v>3.3462999999999998</v>
      </c>
      <c r="D73" s="9">
        <f>3.3473 * CHOOSE(CONTROL!$C$32, $C$9, 100%, $E$9)</f>
        <v>3.3473000000000002</v>
      </c>
      <c r="E73" s="11">
        <f>3.9229 * CHOOSE(CONTROL!$C$32, $C$9, 100%, $E$9)</f>
        <v>3.9228999999999998</v>
      </c>
      <c r="F73" s="11">
        <f>3.9229 * CHOOSE(CONTROL!$C$32, $C$9, 100%, $E$9)</f>
        <v>3.9228999999999998</v>
      </c>
      <c r="G73" s="11">
        <f>3.9261 * CHOOSE(CONTROL!$C$32, $C$9, 100%, $E$9)</f>
        <v>3.9260999999999999</v>
      </c>
      <c r="H73" s="11">
        <f>6.5223 * CHOOSE(CONTROL!$C$32, $C$9, 100%, $E$9)</f>
        <v>6.5223000000000004</v>
      </c>
      <c r="I73" s="11">
        <f>6.5255 * CHOOSE(CONTROL!$C$32, $C$9, 100%, $E$9)</f>
        <v>6.5255000000000001</v>
      </c>
      <c r="J73" s="11">
        <f>6.5223 * CHOOSE(CONTROL!$C$32, $C$9, 100%, $E$9)</f>
        <v>6.5223000000000004</v>
      </c>
      <c r="K73" s="11">
        <f>6.5255 * CHOOSE(CONTROL!$C$32, $C$9, 100%, $E$9)</f>
        <v>6.5255000000000001</v>
      </c>
      <c r="L73" s="11">
        <f>3.9229 * CHOOSE(CONTROL!$C$32, $C$9, 100%, $E$9)</f>
        <v>3.9228999999999998</v>
      </c>
      <c r="M73" s="11">
        <f>3.9261 * CHOOSE(CONTROL!$C$32, $C$9, 100%, $E$9)</f>
        <v>3.9260999999999999</v>
      </c>
      <c r="N73" s="11">
        <f>3.9229 * CHOOSE(CONTROL!$C$32, $C$9, 100%, $E$9)</f>
        <v>3.9228999999999998</v>
      </c>
      <c r="O73" s="11">
        <f>3.9261 * CHOOSE(CONTROL!$C$32, $C$9, 100%, $E$9)</f>
        <v>3.9260999999999999</v>
      </c>
      <c r="P73" s="14"/>
      <c r="Q73" s="14"/>
      <c r="R73" s="14"/>
    </row>
    <row r="74" spans="1:18" ht="15" x14ac:dyDescent="0.2">
      <c r="A74" s="13">
        <v>43101</v>
      </c>
      <c r="B74" s="9">
        <f>3.3747 * CHOOSE(CONTROL!$C$32, $C$9, 100%, $E$9)</f>
        <v>3.3746999999999998</v>
      </c>
      <c r="C74" s="9">
        <f>3.3747 * CHOOSE(CONTROL!$C$32, $C$9, 100%, $E$9)</f>
        <v>3.3746999999999998</v>
      </c>
      <c r="D74" s="9">
        <f>3.3756 * CHOOSE(CONTROL!$C$32, $C$9, 100%, $E$9)</f>
        <v>3.3755999999999999</v>
      </c>
      <c r="E74" s="11">
        <f>3.9606 * CHOOSE(CONTROL!$C$32, $C$9, 100%, $E$9)</f>
        <v>3.9605999999999999</v>
      </c>
      <c r="F74" s="11">
        <f>3.9606 * CHOOSE(CONTROL!$C$32, $C$9, 100%, $E$9)</f>
        <v>3.9605999999999999</v>
      </c>
      <c r="G74" s="11">
        <f>3.9638 * CHOOSE(CONTROL!$C$32, $C$9, 100%, $E$9)</f>
        <v>3.9638</v>
      </c>
      <c r="H74" s="11">
        <f>6.5359 * CHOOSE(CONTROL!$C$32, $C$9, 100%, $E$9)</f>
        <v>6.5358999999999998</v>
      </c>
      <c r="I74" s="11">
        <f>6.5391 * CHOOSE(CONTROL!$C$32, $C$9, 100%, $E$9)</f>
        <v>6.5391000000000004</v>
      </c>
      <c r="J74" s="11">
        <f>6.5359 * CHOOSE(CONTROL!$C$32, $C$9, 100%, $E$9)</f>
        <v>6.5358999999999998</v>
      </c>
      <c r="K74" s="11">
        <f>6.5391 * CHOOSE(CONTROL!$C$32, $C$9, 100%, $E$9)</f>
        <v>6.5391000000000004</v>
      </c>
      <c r="L74" s="11">
        <f>3.9606 * CHOOSE(CONTROL!$C$32, $C$9, 100%, $E$9)</f>
        <v>3.9605999999999999</v>
      </c>
      <c r="M74" s="11">
        <f>3.9638 * CHOOSE(CONTROL!$C$32, $C$9, 100%, $E$9)</f>
        <v>3.9638</v>
      </c>
      <c r="N74" s="11">
        <f>3.9606 * CHOOSE(CONTROL!$C$32, $C$9, 100%, $E$9)</f>
        <v>3.9605999999999999</v>
      </c>
      <c r="O74" s="11">
        <f>3.9638 * CHOOSE(CONTROL!$C$32, $C$9, 100%, $E$9)</f>
        <v>3.9638</v>
      </c>
      <c r="P74" s="14"/>
      <c r="Q74" s="14"/>
      <c r="R74" s="14"/>
    </row>
    <row r="75" spans="1:18" ht="15" x14ac:dyDescent="0.2">
      <c r="A75" s="13">
        <v>43132</v>
      </c>
      <c r="B75" s="9">
        <f>3.3805 * CHOOSE(CONTROL!$C$32, $C$9, 100%, $E$9)</f>
        <v>3.3805000000000001</v>
      </c>
      <c r="C75" s="9">
        <f>3.3805 * CHOOSE(CONTROL!$C$32, $C$9, 100%, $E$9)</f>
        <v>3.3805000000000001</v>
      </c>
      <c r="D75" s="9">
        <f>3.3814 * CHOOSE(CONTROL!$C$32, $C$9, 100%, $E$9)</f>
        <v>3.3814000000000002</v>
      </c>
      <c r="E75" s="11">
        <f>3.9586 * CHOOSE(CONTROL!$C$32, $C$9, 100%, $E$9)</f>
        <v>3.9586000000000001</v>
      </c>
      <c r="F75" s="11">
        <f>3.9586 * CHOOSE(CONTROL!$C$32, $C$9, 100%, $E$9)</f>
        <v>3.9586000000000001</v>
      </c>
      <c r="G75" s="11">
        <f>3.9618 * CHOOSE(CONTROL!$C$32, $C$9, 100%, $E$9)</f>
        <v>3.9618000000000002</v>
      </c>
      <c r="H75" s="11">
        <f>6.5495 * CHOOSE(CONTROL!$C$32, $C$9, 100%, $E$9)</f>
        <v>6.5495000000000001</v>
      </c>
      <c r="I75" s="11">
        <f>6.5527 * CHOOSE(CONTROL!$C$32, $C$9, 100%, $E$9)</f>
        <v>6.5526999999999997</v>
      </c>
      <c r="J75" s="11">
        <f>6.5495 * CHOOSE(CONTROL!$C$32, $C$9, 100%, $E$9)</f>
        <v>6.5495000000000001</v>
      </c>
      <c r="K75" s="11">
        <f>6.5527 * CHOOSE(CONTROL!$C$32, $C$9, 100%, $E$9)</f>
        <v>6.5526999999999997</v>
      </c>
      <c r="L75" s="11">
        <f>3.9586 * CHOOSE(CONTROL!$C$32, $C$9, 100%, $E$9)</f>
        <v>3.9586000000000001</v>
      </c>
      <c r="M75" s="11">
        <f>3.9618 * CHOOSE(CONTROL!$C$32, $C$9, 100%, $E$9)</f>
        <v>3.9618000000000002</v>
      </c>
      <c r="N75" s="11">
        <f>3.9586 * CHOOSE(CONTROL!$C$32, $C$9, 100%, $E$9)</f>
        <v>3.9586000000000001</v>
      </c>
      <c r="O75" s="11">
        <f>3.9618 * CHOOSE(CONTROL!$C$32, $C$9, 100%, $E$9)</f>
        <v>3.9618000000000002</v>
      </c>
      <c r="P75" s="14"/>
      <c r="Q75" s="14"/>
      <c r="R75" s="14"/>
    </row>
    <row r="76" spans="1:18" ht="15" x14ac:dyDescent="0.2">
      <c r="A76" s="13">
        <v>43160</v>
      </c>
      <c r="B76" s="9">
        <f>3.3774 * CHOOSE(CONTROL!$C$32, $C$9, 100%, $E$9)</f>
        <v>3.3774000000000002</v>
      </c>
      <c r="C76" s="9">
        <f>3.3774 * CHOOSE(CONTROL!$C$32, $C$9, 100%, $E$9)</f>
        <v>3.3774000000000002</v>
      </c>
      <c r="D76" s="9">
        <f>3.3784 * CHOOSE(CONTROL!$C$32, $C$9, 100%, $E$9)</f>
        <v>3.3784000000000001</v>
      </c>
      <c r="E76" s="11">
        <f>3.9566 * CHOOSE(CONTROL!$C$32, $C$9, 100%, $E$9)</f>
        <v>3.9565999999999999</v>
      </c>
      <c r="F76" s="11">
        <f>3.9566 * CHOOSE(CONTROL!$C$32, $C$9, 100%, $E$9)</f>
        <v>3.9565999999999999</v>
      </c>
      <c r="G76" s="11">
        <f>3.9598 * CHOOSE(CONTROL!$C$32, $C$9, 100%, $E$9)</f>
        <v>3.9598</v>
      </c>
      <c r="H76" s="11">
        <f>6.5632 * CHOOSE(CONTROL!$C$32, $C$9, 100%, $E$9)</f>
        <v>6.5632000000000001</v>
      </c>
      <c r="I76" s="11">
        <f>6.5664 * CHOOSE(CONTROL!$C$32, $C$9, 100%, $E$9)</f>
        <v>6.5663999999999998</v>
      </c>
      <c r="J76" s="11">
        <f>6.5632 * CHOOSE(CONTROL!$C$32, $C$9, 100%, $E$9)</f>
        <v>6.5632000000000001</v>
      </c>
      <c r="K76" s="11">
        <f>6.5664 * CHOOSE(CONTROL!$C$32, $C$9, 100%, $E$9)</f>
        <v>6.5663999999999998</v>
      </c>
      <c r="L76" s="11">
        <f>3.9566 * CHOOSE(CONTROL!$C$32, $C$9, 100%, $E$9)</f>
        <v>3.9565999999999999</v>
      </c>
      <c r="M76" s="11">
        <f>3.9598 * CHOOSE(CONTROL!$C$32, $C$9, 100%, $E$9)</f>
        <v>3.9598</v>
      </c>
      <c r="N76" s="11">
        <f>3.9566 * CHOOSE(CONTROL!$C$32, $C$9, 100%, $E$9)</f>
        <v>3.9565999999999999</v>
      </c>
      <c r="O76" s="11">
        <f>3.9598 * CHOOSE(CONTROL!$C$32, $C$9, 100%, $E$9)</f>
        <v>3.9598</v>
      </c>
      <c r="P76" s="14"/>
      <c r="Q76" s="14"/>
      <c r="R76" s="14"/>
    </row>
    <row r="77" spans="1:18" ht="15" x14ac:dyDescent="0.2">
      <c r="A77" s="13">
        <v>43191</v>
      </c>
      <c r="B77" s="9">
        <f>3.3713 * CHOOSE(CONTROL!$C$32, $C$9, 100%, $E$9)</f>
        <v>3.3713000000000002</v>
      </c>
      <c r="C77" s="9">
        <f>3.3713 * CHOOSE(CONTROL!$C$32, $C$9, 100%, $E$9)</f>
        <v>3.3713000000000002</v>
      </c>
      <c r="D77" s="9">
        <f>3.3723 * CHOOSE(CONTROL!$C$32, $C$9, 100%, $E$9)</f>
        <v>3.3723000000000001</v>
      </c>
      <c r="E77" s="11">
        <f>3.9541 * CHOOSE(CONTROL!$C$32, $C$9, 100%, $E$9)</f>
        <v>3.9540999999999999</v>
      </c>
      <c r="F77" s="11">
        <f>3.9541 * CHOOSE(CONTROL!$C$32, $C$9, 100%, $E$9)</f>
        <v>3.9540999999999999</v>
      </c>
      <c r="G77" s="11">
        <f>3.9573 * CHOOSE(CONTROL!$C$32, $C$9, 100%, $E$9)</f>
        <v>3.9573</v>
      </c>
      <c r="H77" s="11">
        <f>6.5768 * CHOOSE(CONTROL!$C$32, $C$9, 100%, $E$9)</f>
        <v>6.5768000000000004</v>
      </c>
      <c r="I77" s="11">
        <f>6.5801 * CHOOSE(CONTROL!$C$32, $C$9, 100%, $E$9)</f>
        <v>6.5800999999999998</v>
      </c>
      <c r="J77" s="11">
        <f>6.5768 * CHOOSE(CONTROL!$C$32, $C$9, 100%, $E$9)</f>
        <v>6.5768000000000004</v>
      </c>
      <c r="K77" s="11">
        <f>6.5801 * CHOOSE(CONTROL!$C$32, $C$9, 100%, $E$9)</f>
        <v>6.5800999999999998</v>
      </c>
      <c r="L77" s="11">
        <f>3.9541 * CHOOSE(CONTROL!$C$32, $C$9, 100%, $E$9)</f>
        <v>3.9540999999999999</v>
      </c>
      <c r="M77" s="11">
        <f>3.9573 * CHOOSE(CONTROL!$C$32, $C$9, 100%, $E$9)</f>
        <v>3.9573</v>
      </c>
      <c r="N77" s="11">
        <f>3.9541 * CHOOSE(CONTROL!$C$32, $C$9, 100%, $E$9)</f>
        <v>3.9540999999999999</v>
      </c>
      <c r="O77" s="11">
        <f>3.9573 * CHOOSE(CONTROL!$C$32, $C$9, 100%, $E$9)</f>
        <v>3.9573</v>
      </c>
      <c r="P77" s="14"/>
      <c r="Q77" s="14"/>
      <c r="R77" s="14"/>
    </row>
    <row r="78" spans="1:18" ht="15" x14ac:dyDescent="0.2">
      <c r="A78" s="13">
        <v>43221</v>
      </c>
      <c r="B78" s="9">
        <f>3.38 * CHOOSE(CONTROL!$C$32, $C$9, 100%, $E$9)</f>
        <v>3.38</v>
      </c>
      <c r="C78" s="9">
        <f>3.38 * CHOOSE(CONTROL!$C$32, $C$9, 100%, $E$9)</f>
        <v>3.38</v>
      </c>
      <c r="D78" s="9">
        <f>3.3812 * CHOOSE(CONTROL!$C$32, $C$9, 100%, $E$9)</f>
        <v>3.3812000000000002</v>
      </c>
      <c r="E78" s="11">
        <f>3.9541 * CHOOSE(CONTROL!$C$32, $C$9, 100%, $E$9)</f>
        <v>3.9540999999999999</v>
      </c>
      <c r="F78" s="11">
        <f>3.9541 * CHOOSE(CONTROL!$C$32, $C$9, 100%, $E$9)</f>
        <v>3.9540999999999999</v>
      </c>
      <c r="G78" s="11">
        <f>3.9583 * CHOOSE(CONTROL!$C$32, $C$9, 100%, $E$9)</f>
        <v>3.9582999999999999</v>
      </c>
      <c r="H78" s="11">
        <f>6.5905 * CHOOSE(CONTROL!$C$32, $C$9, 100%, $E$9)</f>
        <v>6.5904999999999996</v>
      </c>
      <c r="I78" s="11">
        <f>6.5947 * CHOOSE(CONTROL!$C$32, $C$9, 100%, $E$9)</f>
        <v>6.5946999999999996</v>
      </c>
      <c r="J78" s="11">
        <f>6.5905 * CHOOSE(CONTROL!$C$32, $C$9, 100%, $E$9)</f>
        <v>6.5904999999999996</v>
      </c>
      <c r="K78" s="11">
        <f>6.5947 * CHOOSE(CONTROL!$C$32, $C$9, 100%, $E$9)</f>
        <v>6.5946999999999996</v>
      </c>
      <c r="L78" s="11">
        <f>3.9541 * CHOOSE(CONTROL!$C$32, $C$9, 100%, $E$9)</f>
        <v>3.9540999999999999</v>
      </c>
      <c r="M78" s="11">
        <f>3.9583 * CHOOSE(CONTROL!$C$32, $C$9, 100%, $E$9)</f>
        <v>3.9582999999999999</v>
      </c>
      <c r="N78" s="11">
        <f>3.9541 * CHOOSE(CONTROL!$C$32, $C$9, 100%, $E$9)</f>
        <v>3.9540999999999999</v>
      </c>
      <c r="O78" s="11">
        <f>3.9583 * CHOOSE(CONTROL!$C$32, $C$9, 100%, $E$9)</f>
        <v>3.9582999999999999</v>
      </c>
      <c r="P78" s="14"/>
      <c r="Q78" s="14"/>
      <c r="R78" s="14"/>
    </row>
    <row r="79" spans="1:18" ht="15" x14ac:dyDescent="0.2">
      <c r="A79" s="13">
        <v>43252</v>
      </c>
      <c r="B79" s="9">
        <f>3.386 * CHOOSE(CONTROL!$C$32, $C$9, 100%, $E$9)</f>
        <v>3.3860000000000001</v>
      </c>
      <c r="C79" s="9">
        <f>3.386 * CHOOSE(CONTROL!$C$32, $C$9, 100%, $E$9)</f>
        <v>3.3860000000000001</v>
      </c>
      <c r="D79" s="9">
        <f>3.3872 * CHOOSE(CONTROL!$C$32, $C$9, 100%, $E$9)</f>
        <v>3.3872</v>
      </c>
      <c r="E79" s="11">
        <f>3.9581 * CHOOSE(CONTROL!$C$32, $C$9, 100%, $E$9)</f>
        <v>3.9581</v>
      </c>
      <c r="F79" s="11">
        <f>3.9581 * CHOOSE(CONTROL!$C$32, $C$9, 100%, $E$9)</f>
        <v>3.9581</v>
      </c>
      <c r="G79" s="11">
        <f>3.9623 * CHOOSE(CONTROL!$C$32, $C$9, 100%, $E$9)</f>
        <v>3.9622999999999999</v>
      </c>
      <c r="H79" s="11">
        <f>6.6043 * CHOOSE(CONTROL!$C$32, $C$9, 100%, $E$9)</f>
        <v>6.6043000000000003</v>
      </c>
      <c r="I79" s="11">
        <f>6.6085 * CHOOSE(CONTROL!$C$32, $C$9, 100%, $E$9)</f>
        <v>6.6085000000000003</v>
      </c>
      <c r="J79" s="11">
        <f>6.6043 * CHOOSE(CONTROL!$C$32, $C$9, 100%, $E$9)</f>
        <v>6.6043000000000003</v>
      </c>
      <c r="K79" s="11">
        <f>6.6085 * CHOOSE(CONTROL!$C$32, $C$9, 100%, $E$9)</f>
        <v>6.6085000000000003</v>
      </c>
      <c r="L79" s="11">
        <f>3.9581 * CHOOSE(CONTROL!$C$32, $C$9, 100%, $E$9)</f>
        <v>3.9581</v>
      </c>
      <c r="M79" s="11">
        <f>3.9623 * CHOOSE(CONTROL!$C$32, $C$9, 100%, $E$9)</f>
        <v>3.9622999999999999</v>
      </c>
      <c r="N79" s="11">
        <f>3.9581 * CHOOSE(CONTROL!$C$32, $C$9, 100%, $E$9)</f>
        <v>3.9581</v>
      </c>
      <c r="O79" s="11">
        <f>3.9623 * CHOOSE(CONTROL!$C$32, $C$9, 100%, $E$9)</f>
        <v>3.9622999999999999</v>
      </c>
      <c r="P79" s="14"/>
      <c r="Q79" s="14"/>
      <c r="R79" s="14"/>
    </row>
    <row r="80" spans="1:18" ht="15" x14ac:dyDescent="0.2">
      <c r="A80" s="13">
        <v>43282</v>
      </c>
      <c r="B80" s="9">
        <f>3.4206 * CHOOSE(CONTROL!$C$32, $C$9, 100%, $E$9)</f>
        <v>3.4205999999999999</v>
      </c>
      <c r="C80" s="9">
        <f>3.4206 * CHOOSE(CONTROL!$C$32, $C$9, 100%, $E$9)</f>
        <v>3.4205999999999999</v>
      </c>
      <c r="D80" s="9">
        <f>3.4218 * CHOOSE(CONTROL!$C$32, $C$9, 100%, $E$9)</f>
        <v>3.4218000000000002</v>
      </c>
      <c r="E80" s="11">
        <f>4.0414 * CHOOSE(CONTROL!$C$32, $C$9, 100%, $E$9)</f>
        <v>4.0414000000000003</v>
      </c>
      <c r="F80" s="11">
        <f>4.0414 * CHOOSE(CONTROL!$C$32, $C$9, 100%, $E$9)</f>
        <v>4.0414000000000003</v>
      </c>
      <c r="G80" s="11">
        <f>4.0456 * CHOOSE(CONTROL!$C$32, $C$9, 100%, $E$9)</f>
        <v>4.0456000000000003</v>
      </c>
      <c r="H80" s="11">
        <f>6.618 * CHOOSE(CONTROL!$C$32, $C$9, 100%, $E$9)</f>
        <v>6.6180000000000003</v>
      </c>
      <c r="I80" s="11">
        <f>6.6222 * CHOOSE(CONTROL!$C$32, $C$9, 100%, $E$9)</f>
        <v>6.6222000000000003</v>
      </c>
      <c r="J80" s="11">
        <f>6.618 * CHOOSE(CONTROL!$C$32, $C$9, 100%, $E$9)</f>
        <v>6.6180000000000003</v>
      </c>
      <c r="K80" s="11">
        <f>6.6222 * CHOOSE(CONTROL!$C$32, $C$9, 100%, $E$9)</f>
        <v>6.6222000000000003</v>
      </c>
      <c r="L80" s="11">
        <f>4.0414 * CHOOSE(CONTROL!$C$32, $C$9, 100%, $E$9)</f>
        <v>4.0414000000000003</v>
      </c>
      <c r="M80" s="11">
        <f>4.0456 * CHOOSE(CONTROL!$C$32, $C$9, 100%, $E$9)</f>
        <v>4.0456000000000003</v>
      </c>
      <c r="N80" s="11">
        <f>4.0414 * CHOOSE(CONTROL!$C$32, $C$9, 100%, $E$9)</f>
        <v>4.0414000000000003</v>
      </c>
      <c r="O80" s="11">
        <f>4.0456 * CHOOSE(CONTROL!$C$32, $C$9, 100%, $E$9)</f>
        <v>4.0456000000000003</v>
      </c>
      <c r="P80" s="14"/>
      <c r="Q80" s="14"/>
      <c r="R80" s="14"/>
    </row>
    <row r="81" spans="1:18" ht="15" x14ac:dyDescent="0.2">
      <c r="A81" s="13">
        <v>43313</v>
      </c>
      <c r="B81" s="9">
        <f>3.4359 * CHOOSE(CONTROL!$C$32, $C$9, 100%, $E$9)</f>
        <v>3.4359000000000002</v>
      </c>
      <c r="C81" s="9">
        <f>3.4359 * CHOOSE(CONTROL!$C$32, $C$9, 100%, $E$9)</f>
        <v>3.4359000000000002</v>
      </c>
      <c r="D81" s="9">
        <f>3.4372 * CHOOSE(CONTROL!$C$32, $C$9, 100%, $E$9)</f>
        <v>3.4371999999999998</v>
      </c>
      <c r="E81" s="11">
        <f>4.0458 * CHOOSE(CONTROL!$C$32, $C$9, 100%, $E$9)</f>
        <v>4.0457999999999998</v>
      </c>
      <c r="F81" s="11">
        <f>4.0458 * CHOOSE(CONTROL!$C$32, $C$9, 100%, $E$9)</f>
        <v>4.0457999999999998</v>
      </c>
      <c r="G81" s="11">
        <f>4.05 * CHOOSE(CONTROL!$C$32, $C$9, 100%, $E$9)</f>
        <v>4.05</v>
      </c>
      <c r="H81" s="11">
        <f>6.6318 * CHOOSE(CONTROL!$C$32, $C$9, 100%, $E$9)</f>
        <v>6.6318000000000001</v>
      </c>
      <c r="I81" s="11">
        <f>6.636 * CHOOSE(CONTROL!$C$32, $C$9, 100%, $E$9)</f>
        <v>6.6360000000000001</v>
      </c>
      <c r="J81" s="11">
        <f>6.6318 * CHOOSE(CONTROL!$C$32, $C$9, 100%, $E$9)</f>
        <v>6.6318000000000001</v>
      </c>
      <c r="K81" s="11">
        <f>6.636 * CHOOSE(CONTROL!$C$32, $C$9, 100%, $E$9)</f>
        <v>6.6360000000000001</v>
      </c>
      <c r="L81" s="11">
        <f>4.0458 * CHOOSE(CONTROL!$C$32, $C$9, 100%, $E$9)</f>
        <v>4.0457999999999998</v>
      </c>
      <c r="M81" s="11">
        <f>4.05 * CHOOSE(CONTROL!$C$32, $C$9, 100%, $E$9)</f>
        <v>4.05</v>
      </c>
      <c r="N81" s="11">
        <f>4.0458 * CHOOSE(CONTROL!$C$32, $C$9, 100%, $E$9)</f>
        <v>4.0457999999999998</v>
      </c>
      <c r="O81" s="11">
        <f>4.05 * CHOOSE(CONTROL!$C$32, $C$9, 100%, $E$9)</f>
        <v>4.05</v>
      </c>
      <c r="P81" s="14"/>
      <c r="Q81" s="14"/>
      <c r="R81" s="14"/>
    </row>
    <row r="82" spans="1:18" ht="15" x14ac:dyDescent="0.2">
      <c r="A82" s="13">
        <v>43344</v>
      </c>
      <c r="B82" s="9">
        <f>3.4328 * CHOOSE(CONTROL!$C$32, $C$9, 100%, $E$9)</f>
        <v>3.4327999999999999</v>
      </c>
      <c r="C82" s="9">
        <f>3.4328 * CHOOSE(CONTROL!$C$32, $C$9, 100%, $E$9)</f>
        <v>3.4327999999999999</v>
      </c>
      <c r="D82" s="9">
        <f>3.434 * CHOOSE(CONTROL!$C$32, $C$9, 100%, $E$9)</f>
        <v>3.4340000000000002</v>
      </c>
      <c r="E82" s="11">
        <f>4.0438 * CHOOSE(CONTROL!$C$32, $C$9, 100%, $E$9)</f>
        <v>4.0438000000000001</v>
      </c>
      <c r="F82" s="11">
        <f>4.0438 * CHOOSE(CONTROL!$C$32, $C$9, 100%, $E$9)</f>
        <v>4.0438000000000001</v>
      </c>
      <c r="G82" s="11">
        <f>4.048 * CHOOSE(CONTROL!$C$32, $C$9, 100%, $E$9)</f>
        <v>4.048</v>
      </c>
      <c r="H82" s="11">
        <f>6.6456 * CHOOSE(CONTROL!$C$32, $C$9, 100%, $E$9)</f>
        <v>6.6456</v>
      </c>
      <c r="I82" s="11">
        <f>6.6498 * CHOOSE(CONTROL!$C$32, $C$9, 100%, $E$9)</f>
        <v>6.6497999999999999</v>
      </c>
      <c r="J82" s="11">
        <f>6.6456 * CHOOSE(CONTROL!$C$32, $C$9, 100%, $E$9)</f>
        <v>6.6456</v>
      </c>
      <c r="K82" s="11">
        <f>6.6498 * CHOOSE(CONTROL!$C$32, $C$9, 100%, $E$9)</f>
        <v>6.6497999999999999</v>
      </c>
      <c r="L82" s="11">
        <f>4.0438 * CHOOSE(CONTROL!$C$32, $C$9, 100%, $E$9)</f>
        <v>4.0438000000000001</v>
      </c>
      <c r="M82" s="11">
        <f>4.048 * CHOOSE(CONTROL!$C$32, $C$9, 100%, $E$9)</f>
        <v>4.048</v>
      </c>
      <c r="N82" s="11">
        <f>4.0438 * CHOOSE(CONTROL!$C$32, $C$9, 100%, $E$9)</f>
        <v>4.0438000000000001</v>
      </c>
      <c r="O82" s="11">
        <f>4.048 * CHOOSE(CONTROL!$C$32, $C$9, 100%, $E$9)</f>
        <v>4.048</v>
      </c>
      <c r="P82" s="14"/>
      <c r="Q82" s="14"/>
      <c r="R82" s="14"/>
    </row>
    <row r="83" spans="1:18" ht="15" x14ac:dyDescent="0.2">
      <c r="A83" s="13">
        <v>43374</v>
      </c>
      <c r="B83" s="9">
        <f>3.4135 * CHOOSE(CONTROL!$C$32, $C$9, 100%, $E$9)</f>
        <v>3.4135</v>
      </c>
      <c r="C83" s="9">
        <f>3.4135 * CHOOSE(CONTROL!$C$32, $C$9, 100%, $E$9)</f>
        <v>3.4135</v>
      </c>
      <c r="D83" s="9">
        <f>3.4145 * CHOOSE(CONTROL!$C$32, $C$9, 100%, $E$9)</f>
        <v>3.4144999999999999</v>
      </c>
      <c r="E83" s="11">
        <f>4.0369 * CHOOSE(CONTROL!$C$32, $C$9, 100%, $E$9)</f>
        <v>4.0369000000000002</v>
      </c>
      <c r="F83" s="11">
        <f>4.0369 * CHOOSE(CONTROL!$C$32, $C$9, 100%, $E$9)</f>
        <v>4.0369000000000002</v>
      </c>
      <c r="G83" s="11">
        <f>4.0402 * CHOOSE(CONTROL!$C$32, $C$9, 100%, $E$9)</f>
        <v>4.0401999999999996</v>
      </c>
      <c r="H83" s="11">
        <f>6.6595 * CHOOSE(CONTROL!$C$32, $C$9, 100%, $E$9)</f>
        <v>6.6595000000000004</v>
      </c>
      <c r="I83" s="11">
        <f>6.6627 * CHOOSE(CONTROL!$C$32, $C$9, 100%, $E$9)</f>
        <v>6.6627000000000001</v>
      </c>
      <c r="J83" s="11">
        <f>6.6595 * CHOOSE(CONTROL!$C$32, $C$9, 100%, $E$9)</f>
        <v>6.6595000000000004</v>
      </c>
      <c r="K83" s="11">
        <f>6.6627 * CHOOSE(CONTROL!$C$32, $C$9, 100%, $E$9)</f>
        <v>6.6627000000000001</v>
      </c>
      <c r="L83" s="11">
        <f>4.0369 * CHOOSE(CONTROL!$C$32, $C$9, 100%, $E$9)</f>
        <v>4.0369000000000002</v>
      </c>
      <c r="M83" s="11">
        <f>4.0402 * CHOOSE(CONTROL!$C$32, $C$9, 100%, $E$9)</f>
        <v>4.0401999999999996</v>
      </c>
      <c r="N83" s="11">
        <f>4.0369 * CHOOSE(CONTROL!$C$32, $C$9, 100%, $E$9)</f>
        <v>4.0369000000000002</v>
      </c>
      <c r="O83" s="11">
        <f>4.0402 * CHOOSE(CONTROL!$C$32, $C$9, 100%, $E$9)</f>
        <v>4.0401999999999996</v>
      </c>
      <c r="P83" s="14"/>
      <c r="Q83" s="14"/>
      <c r="R83" s="14"/>
    </row>
    <row r="84" spans="1:18" ht="15" x14ac:dyDescent="0.2">
      <c r="A84" s="13">
        <v>43405</v>
      </c>
      <c r="B84" s="9">
        <f>3.4253 * CHOOSE(CONTROL!$C$32, $C$9, 100%, $E$9)</f>
        <v>3.4253</v>
      </c>
      <c r="C84" s="9">
        <f>3.4253 * CHOOSE(CONTROL!$C$32, $C$9, 100%, $E$9)</f>
        <v>3.4253</v>
      </c>
      <c r="D84" s="9">
        <f>3.4262 * CHOOSE(CONTROL!$C$32, $C$9, 100%, $E$9)</f>
        <v>3.4262000000000001</v>
      </c>
      <c r="E84" s="11">
        <f>4.0389 * CHOOSE(CONTROL!$C$32, $C$9, 100%, $E$9)</f>
        <v>4.0388999999999999</v>
      </c>
      <c r="F84" s="11">
        <f>4.0389 * CHOOSE(CONTROL!$C$32, $C$9, 100%, $E$9)</f>
        <v>4.0388999999999999</v>
      </c>
      <c r="G84" s="11">
        <f>4.0422 * CHOOSE(CONTROL!$C$32, $C$9, 100%, $E$9)</f>
        <v>4.0422000000000002</v>
      </c>
      <c r="H84" s="11">
        <f>6.6733 * CHOOSE(CONTROL!$C$32, $C$9, 100%, $E$9)</f>
        <v>6.6733000000000002</v>
      </c>
      <c r="I84" s="11">
        <f>6.6766 * CHOOSE(CONTROL!$C$32, $C$9, 100%, $E$9)</f>
        <v>6.6765999999999996</v>
      </c>
      <c r="J84" s="11">
        <f>6.6733 * CHOOSE(CONTROL!$C$32, $C$9, 100%, $E$9)</f>
        <v>6.6733000000000002</v>
      </c>
      <c r="K84" s="11">
        <f>6.6766 * CHOOSE(CONTROL!$C$32, $C$9, 100%, $E$9)</f>
        <v>6.6765999999999996</v>
      </c>
      <c r="L84" s="11">
        <f>4.0389 * CHOOSE(CONTROL!$C$32, $C$9, 100%, $E$9)</f>
        <v>4.0388999999999999</v>
      </c>
      <c r="M84" s="11">
        <f>4.0422 * CHOOSE(CONTROL!$C$32, $C$9, 100%, $E$9)</f>
        <v>4.0422000000000002</v>
      </c>
      <c r="N84" s="11">
        <f>4.0389 * CHOOSE(CONTROL!$C$32, $C$9, 100%, $E$9)</f>
        <v>4.0388999999999999</v>
      </c>
      <c r="O84" s="11">
        <f>4.0422 * CHOOSE(CONTROL!$C$32, $C$9, 100%, $E$9)</f>
        <v>4.0422000000000002</v>
      </c>
      <c r="P84" s="14"/>
      <c r="Q84" s="14"/>
      <c r="R84" s="14"/>
    </row>
    <row r="85" spans="1:18" ht="15" x14ac:dyDescent="0.2">
      <c r="A85" s="13">
        <v>43435</v>
      </c>
      <c r="B85" s="9">
        <f>3.4251 * CHOOSE(CONTROL!$C$32, $C$9, 100%, $E$9)</f>
        <v>3.4251</v>
      </c>
      <c r="C85" s="9">
        <f>3.4251 * CHOOSE(CONTROL!$C$32, $C$9, 100%, $E$9)</f>
        <v>3.4251</v>
      </c>
      <c r="D85" s="9">
        <f>3.4261 * CHOOSE(CONTROL!$C$32, $C$9, 100%, $E$9)</f>
        <v>3.4260999999999999</v>
      </c>
      <c r="E85" s="11">
        <f>4.0389 * CHOOSE(CONTROL!$C$32, $C$9, 100%, $E$9)</f>
        <v>4.0388999999999999</v>
      </c>
      <c r="F85" s="11">
        <f>4.0389 * CHOOSE(CONTROL!$C$32, $C$9, 100%, $E$9)</f>
        <v>4.0388999999999999</v>
      </c>
      <c r="G85" s="11">
        <f>4.0422 * CHOOSE(CONTROL!$C$32, $C$9, 100%, $E$9)</f>
        <v>4.0422000000000002</v>
      </c>
      <c r="H85" s="11">
        <f>6.6872 * CHOOSE(CONTROL!$C$32, $C$9, 100%, $E$9)</f>
        <v>6.6871999999999998</v>
      </c>
      <c r="I85" s="11">
        <f>6.6905 * CHOOSE(CONTROL!$C$32, $C$9, 100%, $E$9)</f>
        <v>6.6905000000000001</v>
      </c>
      <c r="J85" s="11">
        <f>6.6872 * CHOOSE(CONTROL!$C$32, $C$9, 100%, $E$9)</f>
        <v>6.6871999999999998</v>
      </c>
      <c r="K85" s="11">
        <f>6.6905 * CHOOSE(CONTROL!$C$32, $C$9, 100%, $E$9)</f>
        <v>6.6905000000000001</v>
      </c>
      <c r="L85" s="11">
        <f>4.0389 * CHOOSE(CONTROL!$C$32, $C$9, 100%, $E$9)</f>
        <v>4.0388999999999999</v>
      </c>
      <c r="M85" s="11">
        <f>4.0422 * CHOOSE(CONTROL!$C$32, $C$9, 100%, $E$9)</f>
        <v>4.0422000000000002</v>
      </c>
      <c r="N85" s="11">
        <f>4.0389 * CHOOSE(CONTROL!$C$32, $C$9, 100%, $E$9)</f>
        <v>4.0388999999999999</v>
      </c>
      <c r="O85" s="11">
        <f>4.0422 * CHOOSE(CONTROL!$C$32, $C$9, 100%, $E$9)</f>
        <v>4.0422000000000002</v>
      </c>
      <c r="P85" s="14"/>
      <c r="Q85" s="14"/>
      <c r="R85" s="14"/>
    </row>
    <row r="86" spans="1:18" ht="15" x14ac:dyDescent="0.2">
      <c r="A86" s="13">
        <v>43466</v>
      </c>
      <c r="B86" s="9">
        <f>3.206 * CHOOSE(CONTROL!$C$32, $C$9, 100%, $E$9)</f>
        <v>3.206</v>
      </c>
      <c r="C86" s="9">
        <f>3.206 * CHOOSE(CONTROL!$C$32, $C$9, 100%, $E$9)</f>
        <v>3.206</v>
      </c>
      <c r="D86" s="9">
        <f>3.2069 * CHOOSE(CONTROL!$C$32, $C$9, 100%, $E$9)</f>
        <v>3.2069000000000001</v>
      </c>
      <c r="E86" s="11">
        <f>4.0646 * CHOOSE(CONTROL!$C$32, $C$9, 100%, $E$9)</f>
        <v>4.0646000000000004</v>
      </c>
      <c r="F86" s="11">
        <f>4.0646 * CHOOSE(CONTROL!$C$32, $C$9, 100%, $E$9)</f>
        <v>4.0646000000000004</v>
      </c>
      <c r="G86" s="11">
        <f>4.0678 * CHOOSE(CONTROL!$C$32, $C$9, 100%, $E$9)</f>
        <v>4.0678000000000001</v>
      </c>
      <c r="H86" s="11">
        <f>6.7012 * CHOOSE(CONTROL!$C$32, $C$9, 100%, $E$9)</f>
        <v>6.7012</v>
      </c>
      <c r="I86" s="11">
        <f>6.7044 * CHOOSE(CONTROL!$C$32, $C$9, 100%, $E$9)</f>
        <v>6.7043999999999997</v>
      </c>
      <c r="J86" s="11">
        <f>6.7012 * CHOOSE(CONTROL!$C$32, $C$9, 100%, $E$9)</f>
        <v>6.7012</v>
      </c>
      <c r="K86" s="11">
        <f>6.7044 * CHOOSE(CONTROL!$C$32, $C$9, 100%, $E$9)</f>
        <v>6.7043999999999997</v>
      </c>
      <c r="L86" s="11">
        <f>4.0646 * CHOOSE(CONTROL!$C$32, $C$9, 100%, $E$9)</f>
        <v>4.0646000000000004</v>
      </c>
      <c r="M86" s="11">
        <f>4.0678 * CHOOSE(CONTROL!$C$32, $C$9, 100%, $E$9)</f>
        <v>4.0678000000000001</v>
      </c>
      <c r="N86" s="11">
        <f>4.0646 * CHOOSE(CONTROL!$C$32, $C$9, 100%, $E$9)</f>
        <v>4.0646000000000004</v>
      </c>
      <c r="O86" s="11">
        <f>4.0678 * CHOOSE(CONTROL!$C$32, $C$9, 100%, $E$9)</f>
        <v>4.0678000000000001</v>
      </c>
      <c r="P86" s="14"/>
      <c r="Q86" s="14"/>
      <c r="R86" s="14"/>
    </row>
    <row r="87" spans="1:18" ht="15" x14ac:dyDescent="0.2">
      <c r="A87" s="13">
        <v>43497</v>
      </c>
      <c r="B87" s="9">
        <f>3.2029 * CHOOSE(CONTROL!$C$32, $C$9, 100%, $E$9)</f>
        <v>3.2029000000000001</v>
      </c>
      <c r="C87" s="9">
        <f>3.2029 * CHOOSE(CONTROL!$C$32, $C$9, 100%, $E$9)</f>
        <v>3.2029000000000001</v>
      </c>
      <c r="D87" s="9">
        <f>3.2039 * CHOOSE(CONTROL!$C$32, $C$9, 100%, $E$9)</f>
        <v>3.2039</v>
      </c>
      <c r="E87" s="11">
        <f>4.0626 * CHOOSE(CONTROL!$C$32, $C$9, 100%, $E$9)</f>
        <v>4.0625999999999998</v>
      </c>
      <c r="F87" s="11">
        <f>4.0626 * CHOOSE(CONTROL!$C$32, $C$9, 100%, $E$9)</f>
        <v>4.0625999999999998</v>
      </c>
      <c r="G87" s="11">
        <f>4.0658 * CHOOSE(CONTROL!$C$32, $C$9, 100%, $E$9)</f>
        <v>4.0658000000000003</v>
      </c>
      <c r="H87" s="11">
        <f>6.7151 * CHOOSE(CONTROL!$C$32, $C$9, 100%, $E$9)</f>
        <v>6.7150999999999996</v>
      </c>
      <c r="I87" s="11">
        <f>6.7184 * CHOOSE(CONTROL!$C$32, $C$9, 100%, $E$9)</f>
        <v>6.7183999999999999</v>
      </c>
      <c r="J87" s="11">
        <f>6.7151 * CHOOSE(CONTROL!$C$32, $C$9, 100%, $E$9)</f>
        <v>6.7150999999999996</v>
      </c>
      <c r="K87" s="11">
        <f>6.7184 * CHOOSE(CONTROL!$C$32, $C$9, 100%, $E$9)</f>
        <v>6.7183999999999999</v>
      </c>
      <c r="L87" s="11">
        <f>4.0626 * CHOOSE(CONTROL!$C$32, $C$9, 100%, $E$9)</f>
        <v>4.0625999999999998</v>
      </c>
      <c r="M87" s="11">
        <f>4.0658 * CHOOSE(CONTROL!$C$32, $C$9, 100%, $E$9)</f>
        <v>4.0658000000000003</v>
      </c>
      <c r="N87" s="11">
        <f>4.0626 * CHOOSE(CONTROL!$C$32, $C$9, 100%, $E$9)</f>
        <v>4.0625999999999998</v>
      </c>
      <c r="O87" s="11">
        <f>4.0658 * CHOOSE(CONTROL!$C$32, $C$9, 100%, $E$9)</f>
        <v>4.0658000000000003</v>
      </c>
      <c r="P87" s="14"/>
      <c r="Q87" s="14"/>
      <c r="R87" s="14"/>
    </row>
    <row r="88" spans="1:18" ht="15" x14ac:dyDescent="0.2">
      <c r="A88" s="13">
        <v>43525</v>
      </c>
      <c r="B88" s="9">
        <f>3.1999 * CHOOSE(CONTROL!$C$32, $C$9, 100%, $E$9)</f>
        <v>3.1999</v>
      </c>
      <c r="C88" s="9">
        <f>3.1999 * CHOOSE(CONTROL!$C$32, $C$9, 100%, $E$9)</f>
        <v>3.1999</v>
      </c>
      <c r="D88" s="9">
        <f>3.2009 * CHOOSE(CONTROL!$C$32, $C$9, 100%, $E$9)</f>
        <v>3.2008999999999999</v>
      </c>
      <c r="E88" s="11">
        <f>4.0606 * CHOOSE(CONTROL!$C$32, $C$9, 100%, $E$9)</f>
        <v>4.0606</v>
      </c>
      <c r="F88" s="11">
        <f>4.0606 * CHOOSE(CONTROL!$C$32, $C$9, 100%, $E$9)</f>
        <v>4.0606</v>
      </c>
      <c r="G88" s="11">
        <f>4.0638 * CHOOSE(CONTROL!$C$32, $C$9, 100%, $E$9)</f>
        <v>4.0637999999999996</v>
      </c>
      <c r="H88" s="11">
        <f>6.7291 * CHOOSE(CONTROL!$C$32, $C$9, 100%, $E$9)</f>
        <v>6.7290999999999999</v>
      </c>
      <c r="I88" s="11">
        <f>6.7324 * CHOOSE(CONTROL!$C$32, $C$9, 100%, $E$9)</f>
        <v>6.7324000000000002</v>
      </c>
      <c r="J88" s="11">
        <f>6.7291 * CHOOSE(CONTROL!$C$32, $C$9, 100%, $E$9)</f>
        <v>6.7290999999999999</v>
      </c>
      <c r="K88" s="11">
        <f>6.7324 * CHOOSE(CONTROL!$C$32, $C$9, 100%, $E$9)</f>
        <v>6.7324000000000002</v>
      </c>
      <c r="L88" s="11">
        <f>4.0606 * CHOOSE(CONTROL!$C$32, $C$9, 100%, $E$9)</f>
        <v>4.0606</v>
      </c>
      <c r="M88" s="11">
        <f>4.0638 * CHOOSE(CONTROL!$C$32, $C$9, 100%, $E$9)</f>
        <v>4.0637999999999996</v>
      </c>
      <c r="N88" s="11">
        <f>4.0606 * CHOOSE(CONTROL!$C$32, $C$9, 100%, $E$9)</f>
        <v>4.0606</v>
      </c>
      <c r="O88" s="11">
        <f>4.0638 * CHOOSE(CONTROL!$C$32, $C$9, 100%, $E$9)</f>
        <v>4.0637999999999996</v>
      </c>
      <c r="P88" s="14"/>
      <c r="Q88" s="14"/>
      <c r="R88" s="14"/>
    </row>
    <row r="89" spans="1:18" ht="15" x14ac:dyDescent="0.2">
      <c r="A89" s="13">
        <v>43556</v>
      </c>
      <c r="B89" s="9">
        <f>3.1968 * CHOOSE(CONTROL!$C$32, $C$9, 100%, $E$9)</f>
        <v>3.1968000000000001</v>
      </c>
      <c r="C89" s="9">
        <f>3.1968 * CHOOSE(CONTROL!$C$32, $C$9, 100%, $E$9)</f>
        <v>3.1968000000000001</v>
      </c>
      <c r="D89" s="9">
        <f>3.1978 * CHOOSE(CONTROL!$C$32, $C$9, 100%, $E$9)</f>
        <v>3.1978</v>
      </c>
      <c r="E89" s="11">
        <f>4.0581 * CHOOSE(CONTROL!$C$32, $C$9, 100%, $E$9)</f>
        <v>4.0580999999999996</v>
      </c>
      <c r="F89" s="11">
        <f>4.0581 * CHOOSE(CONTROL!$C$32, $C$9, 100%, $E$9)</f>
        <v>4.0580999999999996</v>
      </c>
      <c r="G89" s="11">
        <f>4.0613 * CHOOSE(CONTROL!$C$32, $C$9, 100%, $E$9)</f>
        <v>4.0613000000000001</v>
      </c>
      <c r="H89" s="11">
        <f>6.7431 * CHOOSE(CONTROL!$C$32, $C$9, 100%, $E$9)</f>
        <v>6.7431000000000001</v>
      </c>
      <c r="I89" s="11">
        <f>6.7464 * CHOOSE(CONTROL!$C$32, $C$9, 100%, $E$9)</f>
        <v>6.7464000000000004</v>
      </c>
      <c r="J89" s="11">
        <f>6.7431 * CHOOSE(CONTROL!$C$32, $C$9, 100%, $E$9)</f>
        <v>6.7431000000000001</v>
      </c>
      <c r="K89" s="11">
        <f>6.7464 * CHOOSE(CONTROL!$C$32, $C$9, 100%, $E$9)</f>
        <v>6.7464000000000004</v>
      </c>
      <c r="L89" s="11">
        <f>4.0581 * CHOOSE(CONTROL!$C$32, $C$9, 100%, $E$9)</f>
        <v>4.0580999999999996</v>
      </c>
      <c r="M89" s="11">
        <f>4.0613 * CHOOSE(CONTROL!$C$32, $C$9, 100%, $E$9)</f>
        <v>4.0613000000000001</v>
      </c>
      <c r="N89" s="11">
        <f>4.0581 * CHOOSE(CONTROL!$C$32, $C$9, 100%, $E$9)</f>
        <v>4.0580999999999996</v>
      </c>
      <c r="O89" s="11">
        <f>4.0613 * CHOOSE(CONTROL!$C$32, $C$9, 100%, $E$9)</f>
        <v>4.0613000000000001</v>
      </c>
      <c r="P89" s="14"/>
      <c r="Q89" s="14"/>
      <c r="R89" s="14"/>
    </row>
    <row r="90" spans="1:18" ht="15" x14ac:dyDescent="0.2">
      <c r="A90" s="13">
        <v>43586</v>
      </c>
      <c r="B90" s="9">
        <f>3.1968 * CHOOSE(CONTROL!$C$32, $C$9, 100%, $E$9)</f>
        <v>3.1968000000000001</v>
      </c>
      <c r="C90" s="9">
        <f>3.1968 * CHOOSE(CONTROL!$C$32, $C$9, 100%, $E$9)</f>
        <v>3.1968000000000001</v>
      </c>
      <c r="D90" s="9">
        <f>3.198 * CHOOSE(CONTROL!$C$32, $C$9, 100%, $E$9)</f>
        <v>3.198</v>
      </c>
      <c r="E90" s="11">
        <f>4.0581 * CHOOSE(CONTROL!$C$32, $C$9, 100%, $E$9)</f>
        <v>4.0580999999999996</v>
      </c>
      <c r="F90" s="11">
        <f>4.0581 * CHOOSE(CONTROL!$C$32, $C$9, 100%, $E$9)</f>
        <v>4.0580999999999996</v>
      </c>
      <c r="G90" s="11">
        <f>4.0623 * CHOOSE(CONTROL!$C$32, $C$9, 100%, $E$9)</f>
        <v>4.0622999999999996</v>
      </c>
      <c r="H90" s="11">
        <f>6.7572 * CHOOSE(CONTROL!$C$32, $C$9, 100%, $E$9)</f>
        <v>6.7572000000000001</v>
      </c>
      <c r="I90" s="11">
        <f>6.7614 * CHOOSE(CONTROL!$C$32, $C$9, 100%, $E$9)</f>
        <v>6.7614000000000001</v>
      </c>
      <c r="J90" s="11">
        <f>6.7572 * CHOOSE(CONTROL!$C$32, $C$9, 100%, $E$9)</f>
        <v>6.7572000000000001</v>
      </c>
      <c r="K90" s="11">
        <f>6.7614 * CHOOSE(CONTROL!$C$32, $C$9, 100%, $E$9)</f>
        <v>6.7614000000000001</v>
      </c>
      <c r="L90" s="11">
        <f>4.0581 * CHOOSE(CONTROL!$C$32, $C$9, 100%, $E$9)</f>
        <v>4.0580999999999996</v>
      </c>
      <c r="M90" s="11">
        <f>4.0623 * CHOOSE(CONTROL!$C$32, $C$9, 100%, $E$9)</f>
        <v>4.0622999999999996</v>
      </c>
      <c r="N90" s="11">
        <f>4.0581 * CHOOSE(CONTROL!$C$32, $C$9, 100%, $E$9)</f>
        <v>4.0580999999999996</v>
      </c>
      <c r="O90" s="11">
        <f>4.0623 * CHOOSE(CONTROL!$C$32, $C$9, 100%, $E$9)</f>
        <v>4.0622999999999996</v>
      </c>
      <c r="P90" s="14"/>
      <c r="Q90" s="14"/>
      <c r="R90" s="14"/>
    </row>
    <row r="91" spans="1:18" ht="15" x14ac:dyDescent="0.2">
      <c r="A91" s="13">
        <v>43617</v>
      </c>
      <c r="B91" s="9">
        <f>3.2029 * CHOOSE(CONTROL!$C$32, $C$9, 100%, $E$9)</f>
        <v>3.2029000000000001</v>
      </c>
      <c r="C91" s="9">
        <f>3.2029 * CHOOSE(CONTROL!$C$32, $C$9, 100%, $E$9)</f>
        <v>3.2029000000000001</v>
      </c>
      <c r="D91" s="9">
        <f>3.2041 * CHOOSE(CONTROL!$C$32, $C$9, 100%, $E$9)</f>
        <v>3.2040999999999999</v>
      </c>
      <c r="E91" s="11">
        <f>4.0621 * CHOOSE(CONTROL!$C$32, $C$9, 100%, $E$9)</f>
        <v>4.0621</v>
      </c>
      <c r="F91" s="11">
        <f>4.0621 * CHOOSE(CONTROL!$C$32, $C$9, 100%, $E$9)</f>
        <v>4.0621</v>
      </c>
      <c r="G91" s="11">
        <f>4.0663 * CHOOSE(CONTROL!$C$32, $C$9, 100%, $E$9)</f>
        <v>4.0663</v>
      </c>
      <c r="H91" s="11">
        <f>6.7713 * CHOOSE(CONTROL!$C$32, $C$9, 100%, $E$9)</f>
        <v>6.7713000000000001</v>
      </c>
      <c r="I91" s="11">
        <f>6.7755 * CHOOSE(CONTROL!$C$32, $C$9, 100%, $E$9)</f>
        <v>6.7755000000000001</v>
      </c>
      <c r="J91" s="11">
        <f>6.7713 * CHOOSE(CONTROL!$C$32, $C$9, 100%, $E$9)</f>
        <v>6.7713000000000001</v>
      </c>
      <c r="K91" s="11">
        <f>6.7755 * CHOOSE(CONTROL!$C$32, $C$9, 100%, $E$9)</f>
        <v>6.7755000000000001</v>
      </c>
      <c r="L91" s="11">
        <f>4.0621 * CHOOSE(CONTROL!$C$32, $C$9, 100%, $E$9)</f>
        <v>4.0621</v>
      </c>
      <c r="M91" s="11">
        <f>4.0663 * CHOOSE(CONTROL!$C$32, $C$9, 100%, $E$9)</f>
        <v>4.0663</v>
      </c>
      <c r="N91" s="11">
        <f>4.0621 * CHOOSE(CONTROL!$C$32, $C$9, 100%, $E$9)</f>
        <v>4.0621</v>
      </c>
      <c r="O91" s="11">
        <f>4.0663 * CHOOSE(CONTROL!$C$32, $C$9, 100%, $E$9)</f>
        <v>4.0663</v>
      </c>
      <c r="P91" s="14"/>
      <c r="Q91" s="14"/>
      <c r="R91" s="14"/>
    </row>
    <row r="92" spans="1:18" ht="15" x14ac:dyDescent="0.2">
      <c r="A92" s="13">
        <v>43647</v>
      </c>
      <c r="B92" s="9">
        <f>3.243 * CHOOSE(CONTROL!$C$32, $C$9, 100%, $E$9)</f>
        <v>3.2429999999999999</v>
      </c>
      <c r="C92" s="9">
        <f>3.243 * CHOOSE(CONTROL!$C$32, $C$9, 100%, $E$9)</f>
        <v>3.2429999999999999</v>
      </c>
      <c r="D92" s="9">
        <f>3.2442 * CHOOSE(CONTROL!$C$32, $C$9, 100%, $E$9)</f>
        <v>3.2442000000000002</v>
      </c>
      <c r="E92" s="11">
        <f>4.1173 * CHOOSE(CONTROL!$C$32, $C$9, 100%, $E$9)</f>
        <v>4.1173000000000002</v>
      </c>
      <c r="F92" s="11">
        <f>4.1173 * CHOOSE(CONTROL!$C$32, $C$9, 100%, $E$9)</f>
        <v>4.1173000000000002</v>
      </c>
      <c r="G92" s="11">
        <f>4.1215 * CHOOSE(CONTROL!$C$32, $C$9, 100%, $E$9)</f>
        <v>4.1215000000000002</v>
      </c>
      <c r="H92" s="11">
        <f>6.7854 * CHOOSE(CONTROL!$C$32, $C$9, 100%, $E$9)</f>
        <v>6.7854000000000001</v>
      </c>
      <c r="I92" s="11">
        <f>6.7896 * CHOOSE(CONTROL!$C$32, $C$9, 100%, $E$9)</f>
        <v>6.7896000000000001</v>
      </c>
      <c r="J92" s="11">
        <f>6.7854 * CHOOSE(CONTROL!$C$32, $C$9, 100%, $E$9)</f>
        <v>6.7854000000000001</v>
      </c>
      <c r="K92" s="11">
        <f>6.7896 * CHOOSE(CONTROL!$C$32, $C$9, 100%, $E$9)</f>
        <v>6.7896000000000001</v>
      </c>
      <c r="L92" s="11">
        <f>4.1173 * CHOOSE(CONTROL!$C$32, $C$9, 100%, $E$9)</f>
        <v>4.1173000000000002</v>
      </c>
      <c r="M92" s="11">
        <f>4.1215 * CHOOSE(CONTROL!$C$32, $C$9, 100%, $E$9)</f>
        <v>4.1215000000000002</v>
      </c>
      <c r="N92" s="11">
        <f>4.1173 * CHOOSE(CONTROL!$C$32, $C$9, 100%, $E$9)</f>
        <v>4.1173000000000002</v>
      </c>
      <c r="O92" s="11">
        <f>4.1215 * CHOOSE(CONTROL!$C$32, $C$9, 100%, $E$9)</f>
        <v>4.1215000000000002</v>
      </c>
      <c r="P92" s="14"/>
      <c r="Q92" s="14"/>
      <c r="R92" s="14"/>
    </row>
    <row r="93" spans="1:18" ht="15" x14ac:dyDescent="0.2">
      <c r="A93" s="13">
        <v>43678</v>
      </c>
      <c r="B93" s="9">
        <f>3.2497 * CHOOSE(CONTROL!$C$32, $C$9, 100%, $E$9)</f>
        <v>3.2496999999999998</v>
      </c>
      <c r="C93" s="9">
        <f>3.2497 * CHOOSE(CONTROL!$C$32, $C$9, 100%, $E$9)</f>
        <v>3.2496999999999998</v>
      </c>
      <c r="D93" s="9">
        <f>3.2509 * CHOOSE(CONTROL!$C$32, $C$9, 100%, $E$9)</f>
        <v>3.2509000000000001</v>
      </c>
      <c r="E93" s="11">
        <f>4.1217 * CHOOSE(CONTROL!$C$32, $C$9, 100%, $E$9)</f>
        <v>4.1216999999999997</v>
      </c>
      <c r="F93" s="11">
        <f>4.1217 * CHOOSE(CONTROL!$C$32, $C$9, 100%, $E$9)</f>
        <v>4.1216999999999997</v>
      </c>
      <c r="G93" s="11">
        <f>4.1259 * CHOOSE(CONTROL!$C$32, $C$9, 100%, $E$9)</f>
        <v>4.1258999999999997</v>
      </c>
      <c r="H93" s="11">
        <f>6.7995 * CHOOSE(CONTROL!$C$32, $C$9, 100%, $E$9)</f>
        <v>6.7995000000000001</v>
      </c>
      <c r="I93" s="11">
        <f>6.8037 * CHOOSE(CONTROL!$C$32, $C$9, 100%, $E$9)</f>
        <v>6.8037000000000001</v>
      </c>
      <c r="J93" s="11">
        <f>6.7995 * CHOOSE(CONTROL!$C$32, $C$9, 100%, $E$9)</f>
        <v>6.7995000000000001</v>
      </c>
      <c r="K93" s="11">
        <f>6.8037 * CHOOSE(CONTROL!$C$32, $C$9, 100%, $E$9)</f>
        <v>6.8037000000000001</v>
      </c>
      <c r="L93" s="11">
        <f>4.1217 * CHOOSE(CONTROL!$C$32, $C$9, 100%, $E$9)</f>
        <v>4.1216999999999997</v>
      </c>
      <c r="M93" s="11">
        <f>4.1259 * CHOOSE(CONTROL!$C$32, $C$9, 100%, $E$9)</f>
        <v>4.1258999999999997</v>
      </c>
      <c r="N93" s="11">
        <f>4.1217 * CHOOSE(CONTROL!$C$32, $C$9, 100%, $E$9)</f>
        <v>4.1216999999999997</v>
      </c>
      <c r="O93" s="11">
        <f>4.1259 * CHOOSE(CONTROL!$C$32, $C$9, 100%, $E$9)</f>
        <v>4.1258999999999997</v>
      </c>
      <c r="P93" s="14"/>
      <c r="Q93" s="14"/>
      <c r="R93" s="14"/>
    </row>
    <row r="94" spans="1:18" ht="15" x14ac:dyDescent="0.2">
      <c r="A94" s="13">
        <v>43709</v>
      </c>
      <c r="B94" s="9">
        <f>3.2466 * CHOOSE(CONTROL!$C$32, $C$9, 100%, $E$9)</f>
        <v>3.2465999999999999</v>
      </c>
      <c r="C94" s="9">
        <f>3.2466 * CHOOSE(CONTROL!$C$32, $C$9, 100%, $E$9)</f>
        <v>3.2465999999999999</v>
      </c>
      <c r="D94" s="9">
        <f>3.2479 * CHOOSE(CONTROL!$C$32, $C$9, 100%, $E$9)</f>
        <v>3.2479</v>
      </c>
      <c r="E94" s="11">
        <f>4.1197 * CHOOSE(CONTROL!$C$32, $C$9, 100%, $E$9)</f>
        <v>4.1196999999999999</v>
      </c>
      <c r="F94" s="11">
        <f>4.1197 * CHOOSE(CONTROL!$C$32, $C$9, 100%, $E$9)</f>
        <v>4.1196999999999999</v>
      </c>
      <c r="G94" s="11">
        <f>4.1239 * CHOOSE(CONTROL!$C$32, $C$9, 100%, $E$9)</f>
        <v>4.1238999999999999</v>
      </c>
      <c r="H94" s="11">
        <f>6.8137 * CHOOSE(CONTROL!$C$32, $C$9, 100%, $E$9)</f>
        <v>6.8136999999999999</v>
      </c>
      <c r="I94" s="11">
        <f>6.8179 * CHOOSE(CONTROL!$C$32, $C$9, 100%, $E$9)</f>
        <v>6.8178999999999998</v>
      </c>
      <c r="J94" s="11">
        <f>6.8137 * CHOOSE(CONTROL!$C$32, $C$9, 100%, $E$9)</f>
        <v>6.8136999999999999</v>
      </c>
      <c r="K94" s="11">
        <f>6.8179 * CHOOSE(CONTROL!$C$32, $C$9, 100%, $E$9)</f>
        <v>6.8178999999999998</v>
      </c>
      <c r="L94" s="11">
        <f>4.1197 * CHOOSE(CONTROL!$C$32, $C$9, 100%, $E$9)</f>
        <v>4.1196999999999999</v>
      </c>
      <c r="M94" s="11">
        <f>4.1239 * CHOOSE(CONTROL!$C$32, $C$9, 100%, $E$9)</f>
        <v>4.1238999999999999</v>
      </c>
      <c r="N94" s="11">
        <f>4.1197 * CHOOSE(CONTROL!$C$32, $C$9, 100%, $E$9)</f>
        <v>4.1196999999999999</v>
      </c>
      <c r="O94" s="11">
        <f>4.1239 * CHOOSE(CONTROL!$C$32, $C$9, 100%, $E$9)</f>
        <v>4.1238999999999999</v>
      </c>
      <c r="P94" s="14"/>
      <c r="Q94" s="14"/>
      <c r="R94" s="14"/>
    </row>
    <row r="95" spans="1:18" ht="15" x14ac:dyDescent="0.2">
      <c r="A95" s="13">
        <v>43739</v>
      </c>
      <c r="B95" s="9">
        <f>3.239 * CHOOSE(CONTROL!$C$32, $C$9, 100%, $E$9)</f>
        <v>3.2389999999999999</v>
      </c>
      <c r="C95" s="9">
        <f>3.239 * CHOOSE(CONTROL!$C$32, $C$9, 100%, $E$9)</f>
        <v>3.2389999999999999</v>
      </c>
      <c r="D95" s="9">
        <f>3.2399 * CHOOSE(CONTROL!$C$32, $C$9, 100%, $E$9)</f>
        <v>3.2399</v>
      </c>
      <c r="E95" s="11">
        <f>4.113 * CHOOSE(CONTROL!$C$32, $C$9, 100%, $E$9)</f>
        <v>4.1130000000000004</v>
      </c>
      <c r="F95" s="11">
        <f>4.113 * CHOOSE(CONTROL!$C$32, $C$9, 100%, $E$9)</f>
        <v>4.1130000000000004</v>
      </c>
      <c r="G95" s="11">
        <f>4.1163 * CHOOSE(CONTROL!$C$32, $C$9, 100%, $E$9)</f>
        <v>4.1162999999999998</v>
      </c>
      <c r="H95" s="11">
        <f>6.8279 * CHOOSE(CONTROL!$C$32, $C$9, 100%, $E$9)</f>
        <v>6.8278999999999996</v>
      </c>
      <c r="I95" s="11">
        <f>6.8311 * CHOOSE(CONTROL!$C$32, $C$9, 100%, $E$9)</f>
        <v>6.8311000000000002</v>
      </c>
      <c r="J95" s="11">
        <f>6.8279 * CHOOSE(CONTROL!$C$32, $C$9, 100%, $E$9)</f>
        <v>6.8278999999999996</v>
      </c>
      <c r="K95" s="11">
        <f>6.8311 * CHOOSE(CONTROL!$C$32, $C$9, 100%, $E$9)</f>
        <v>6.8311000000000002</v>
      </c>
      <c r="L95" s="11">
        <f>4.113 * CHOOSE(CONTROL!$C$32, $C$9, 100%, $E$9)</f>
        <v>4.1130000000000004</v>
      </c>
      <c r="M95" s="11">
        <f>4.1163 * CHOOSE(CONTROL!$C$32, $C$9, 100%, $E$9)</f>
        <v>4.1162999999999998</v>
      </c>
      <c r="N95" s="11">
        <f>4.113 * CHOOSE(CONTROL!$C$32, $C$9, 100%, $E$9)</f>
        <v>4.1130000000000004</v>
      </c>
      <c r="O95" s="11">
        <f>4.1163 * CHOOSE(CONTROL!$C$32, $C$9, 100%, $E$9)</f>
        <v>4.1162999999999998</v>
      </c>
      <c r="P95" s="14"/>
      <c r="Q95" s="14"/>
      <c r="R95" s="14"/>
    </row>
    <row r="96" spans="1:18" ht="15" x14ac:dyDescent="0.2">
      <c r="A96" s="13">
        <v>43770</v>
      </c>
      <c r="B96" s="9">
        <f>3.242 * CHOOSE(CONTROL!$C$32, $C$9, 100%, $E$9)</f>
        <v>3.242</v>
      </c>
      <c r="C96" s="9">
        <f>3.242 * CHOOSE(CONTROL!$C$32, $C$9, 100%, $E$9)</f>
        <v>3.242</v>
      </c>
      <c r="D96" s="9">
        <f>3.243 * CHOOSE(CONTROL!$C$32, $C$9, 100%, $E$9)</f>
        <v>3.2429999999999999</v>
      </c>
      <c r="E96" s="11">
        <f>4.115 * CHOOSE(CONTROL!$C$32, $C$9, 100%, $E$9)</f>
        <v>4.1150000000000002</v>
      </c>
      <c r="F96" s="11">
        <f>4.115 * CHOOSE(CONTROL!$C$32, $C$9, 100%, $E$9)</f>
        <v>4.1150000000000002</v>
      </c>
      <c r="G96" s="11">
        <f>4.1183 * CHOOSE(CONTROL!$C$32, $C$9, 100%, $E$9)</f>
        <v>4.1182999999999996</v>
      </c>
      <c r="H96" s="11">
        <f>6.8421 * CHOOSE(CONTROL!$C$32, $C$9, 100%, $E$9)</f>
        <v>6.8421000000000003</v>
      </c>
      <c r="I96" s="11">
        <f>6.8453 * CHOOSE(CONTROL!$C$32, $C$9, 100%, $E$9)</f>
        <v>6.8452999999999999</v>
      </c>
      <c r="J96" s="11">
        <f>6.8421 * CHOOSE(CONTROL!$C$32, $C$9, 100%, $E$9)</f>
        <v>6.8421000000000003</v>
      </c>
      <c r="K96" s="11">
        <f>6.8453 * CHOOSE(CONTROL!$C$32, $C$9, 100%, $E$9)</f>
        <v>6.8452999999999999</v>
      </c>
      <c r="L96" s="11">
        <f>4.115 * CHOOSE(CONTROL!$C$32, $C$9, 100%, $E$9)</f>
        <v>4.1150000000000002</v>
      </c>
      <c r="M96" s="11">
        <f>4.1183 * CHOOSE(CONTROL!$C$32, $C$9, 100%, $E$9)</f>
        <v>4.1182999999999996</v>
      </c>
      <c r="N96" s="11">
        <f>4.115 * CHOOSE(CONTROL!$C$32, $C$9, 100%, $E$9)</f>
        <v>4.1150000000000002</v>
      </c>
      <c r="O96" s="11">
        <f>4.1183 * CHOOSE(CONTROL!$C$32, $C$9, 100%, $E$9)</f>
        <v>4.1182999999999996</v>
      </c>
      <c r="P96" s="14"/>
      <c r="Q96" s="14"/>
      <c r="R96" s="14"/>
    </row>
    <row r="97" spans="1:18" ht="15" x14ac:dyDescent="0.2">
      <c r="A97" s="13">
        <v>43800</v>
      </c>
      <c r="B97" s="9">
        <f>3.242 * CHOOSE(CONTROL!$C$32, $C$9, 100%, $E$9)</f>
        <v>3.242</v>
      </c>
      <c r="C97" s="9">
        <f>3.242 * CHOOSE(CONTROL!$C$32, $C$9, 100%, $E$9)</f>
        <v>3.242</v>
      </c>
      <c r="D97" s="9">
        <f>3.243 * CHOOSE(CONTROL!$C$32, $C$9, 100%, $E$9)</f>
        <v>3.2429999999999999</v>
      </c>
      <c r="E97" s="11">
        <f>4.115 * CHOOSE(CONTROL!$C$32, $C$9, 100%, $E$9)</f>
        <v>4.1150000000000002</v>
      </c>
      <c r="F97" s="11">
        <f>4.115 * CHOOSE(CONTROL!$C$32, $C$9, 100%, $E$9)</f>
        <v>4.1150000000000002</v>
      </c>
      <c r="G97" s="11">
        <f>4.1183 * CHOOSE(CONTROL!$C$32, $C$9, 100%, $E$9)</f>
        <v>4.1182999999999996</v>
      </c>
      <c r="H97" s="11">
        <f>6.8564 * CHOOSE(CONTROL!$C$32, $C$9, 100%, $E$9)</f>
        <v>6.8563999999999998</v>
      </c>
      <c r="I97" s="11">
        <f>6.8596 * CHOOSE(CONTROL!$C$32, $C$9, 100%, $E$9)</f>
        <v>6.8596000000000004</v>
      </c>
      <c r="J97" s="11">
        <f>6.8564 * CHOOSE(CONTROL!$C$32, $C$9, 100%, $E$9)</f>
        <v>6.8563999999999998</v>
      </c>
      <c r="K97" s="11">
        <f>6.8596 * CHOOSE(CONTROL!$C$32, $C$9, 100%, $E$9)</f>
        <v>6.8596000000000004</v>
      </c>
      <c r="L97" s="11">
        <f>4.115 * CHOOSE(CONTROL!$C$32, $C$9, 100%, $E$9)</f>
        <v>4.1150000000000002</v>
      </c>
      <c r="M97" s="11">
        <f>4.1183 * CHOOSE(CONTROL!$C$32, $C$9, 100%, $E$9)</f>
        <v>4.1182999999999996</v>
      </c>
      <c r="N97" s="11">
        <f>4.115 * CHOOSE(CONTROL!$C$32, $C$9, 100%, $E$9)</f>
        <v>4.1150000000000002</v>
      </c>
      <c r="O97" s="11">
        <f>4.1183 * CHOOSE(CONTROL!$C$32, $C$9, 100%, $E$9)</f>
        <v>4.1182999999999996</v>
      </c>
      <c r="P97" s="14"/>
      <c r="Q97" s="14"/>
      <c r="R97" s="14"/>
    </row>
    <row r="98" spans="1:18" ht="15" x14ac:dyDescent="0.2">
      <c r="A98" s="13">
        <v>43831</v>
      </c>
      <c r="B98" s="9">
        <f>3.2675 * CHOOSE(CONTROL!$C$32, $C$9, 100%, $E$9)</f>
        <v>3.2675000000000001</v>
      </c>
      <c r="C98" s="9">
        <f>3.2675 * CHOOSE(CONTROL!$C$32, $C$9, 100%, $E$9)</f>
        <v>3.2675000000000001</v>
      </c>
      <c r="D98" s="9">
        <f>3.2684 * CHOOSE(CONTROL!$C$32, $C$9, 100%, $E$9)</f>
        <v>3.2684000000000002</v>
      </c>
      <c r="E98" s="11">
        <f>4.148 * CHOOSE(CONTROL!$C$32, $C$9, 100%, $E$9)</f>
        <v>4.1479999999999997</v>
      </c>
      <c r="F98" s="11">
        <f>4.148 * CHOOSE(CONTROL!$C$32, $C$9, 100%, $E$9)</f>
        <v>4.1479999999999997</v>
      </c>
      <c r="G98" s="11">
        <f>4.1512 * CHOOSE(CONTROL!$C$32, $C$9, 100%, $E$9)</f>
        <v>4.1512000000000002</v>
      </c>
      <c r="H98" s="11">
        <f>6.8706 * CHOOSE(CONTROL!$C$32, $C$9, 100%, $E$9)</f>
        <v>6.8705999999999996</v>
      </c>
      <c r="I98" s="11">
        <f>6.8739 * CHOOSE(CONTROL!$C$32, $C$9, 100%, $E$9)</f>
        <v>6.8738999999999999</v>
      </c>
      <c r="J98" s="11">
        <f>6.8706 * CHOOSE(CONTROL!$C$32, $C$9, 100%, $E$9)</f>
        <v>6.8705999999999996</v>
      </c>
      <c r="K98" s="11">
        <f>6.8739 * CHOOSE(CONTROL!$C$32, $C$9, 100%, $E$9)</f>
        <v>6.8738999999999999</v>
      </c>
      <c r="L98" s="11">
        <f>4.148 * CHOOSE(CONTROL!$C$32, $C$9, 100%, $E$9)</f>
        <v>4.1479999999999997</v>
      </c>
      <c r="M98" s="11">
        <f>4.1512 * CHOOSE(CONTROL!$C$32, $C$9, 100%, $E$9)</f>
        <v>4.1512000000000002</v>
      </c>
      <c r="N98" s="11">
        <f>4.148 * CHOOSE(CONTROL!$C$32, $C$9, 100%, $E$9)</f>
        <v>4.1479999999999997</v>
      </c>
      <c r="O98" s="11">
        <f>4.1512 * CHOOSE(CONTROL!$C$32, $C$9, 100%, $E$9)</f>
        <v>4.1512000000000002</v>
      </c>
      <c r="P98" s="14"/>
      <c r="Q98" s="14"/>
      <c r="R98" s="14"/>
    </row>
    <row r="99" spans="1:18" ht="15" x14ac:dyDescent="0.2">
      <c r="A99" s="13">
        <v>43862</v>
      </c>
      <c r="B99" s="9">
        <f>3.2644 * CHOOSE(CONTROL!$C$32, $C$9, 100%, $E$9)</f>
        <v>3.2644000000000002</v>
      </c>
      <c r="C99" s="9">
        <f>3.2644 * CHOOSE(CONTROL!$C$32, $C$9, 100%, $E$9)</f>
        <v>3.2644000000000002</v>
      </c>
      <c r="D99" s="9">
        <f>3.2654 * CHOOSE(CONTROL!$C$32, $C$9, 100%, $E$9)</f>
        <v>3.2654000000000001</v>
      </c>
      <c r="E99" s="11">
        <f>4.146 * CHOOSE(CONTROL!$C$32, $C$9, 100%, $E$9)</f>
        <v>4.1459999999999999</v>
      </c>
      <c r="F99" s="11">
        <f>4.146 * CHOOSE(CONTROL!$C$32, $C$9, 100%, $E$9)</f>
        <v>4.1459999999999999</v>
      </c>
      <c r="G99" s="11">
        <f>4.1492 * CHOOSE(CONTROL!$C$32, $C$9, 100%, $E$9)</f>
        <v>4.1492000000000004</v>
      </c>
      <c r="H99" s="11">
        <f>6.885 * CHOOSE(CONTROL!$C$32, $C$9, 100%, $E$9)</f>
        <v>6.8849999999999998</v>
      </c>
      <c r="I99" s="11">
        <f>6.8882 * CHOOSE(CONTROL!$C$32, $C$9, 100%, $E$9)</f>
        <v>6.8882000000000003</v>
      </c>
      <c r="J99" s="11">
        <f>6.885 * CHOOSE(CONTROL!$C$32, $C$9, 100%, $E$9)</f>
        <v>6.8849999999999998</v>
      </c>
      <c r="K99" s="11">
        <f>6.8882 * CHOOSE(CONTROL!$C$32, $C$9, 100%, $E$9)</f>
        <v>6.8882000000000003</v>
      </c>
      <c r="L99" s="11">
        <f>4.146 * CHOOSE(CONTROL!$C$32, $C$9, 100%, $E$9)</f>
        <v>4.1459999999999999</v>
      </c>
      <c r="M99" s="11">
        <f>4.1492 * CHOOSE(CONTROL!$C$32, $C$9, 100%, $E$9)</f>
        <v>4.1492000000000004</v>
      </c>
      <c r="N99" s="11">
        <f>4.146 * CHOOSE(CONTROL!$C$32, $C$9, 100%, $E$9)</f>
        <v>4.1459999999999999</v>
      </c>
      <c r="O99" s="11">
        <f>4.1492 * CHOOSE(CONTROL!$C$32, $C$9, 100%, $E$9)</f>
        <v>4.1492000000000004</v>
      </c>
      <c r="P99" s="14"/>
      <c r="Q99" s="14"/>
      <c r="R99" s="14"/>
    </row>
    <row r="100" spans="1:18" ht="15" x14ac:dyDescent="0.2">
      <c r="A100" s="13">
        <v>43891</v>
      </c>
      <c r="B100" s="9">
        <f>3.2614 * CHOOSE(CONTROL!$C$32, $C$9, 100%, $E$9)</f>
        <v>3.2614000000000001</v>
      </c>
      <c r="C100" s="9">
        <f>3.2614 * CHOOSE(CONTROL!$C$32, $C$9, 100%, $E$9)</f>
        <v>3.2614000000000001</v>
      </c>
      <c r="D100" s="9">
        <f>3.2624 * CHOOSE(CONTROL!$C$32, $C$9, 100%, $E$9)</f>
        <v>3.2624</v>
      </c>
      <c r="E100" s="11">
        <f>4.144 * CHOOSE(CONTROL!$C$32, $C$9, 100%, $E$9)</f>
        <v>4.1440000000000001</v>
      </c>
      <c r="F100" s="11">
        <f>4.144 * CHOOSE(CONTROL!$C$32, $C$9, 100%, $E$9)</f>
        <v>4.1440000000000001</v>
      </c>
      <c r="G100" s="11">
        <f>4.1472 * CHOOSE(CONTROL!$C$32, $C$9, 100%, $E$9)</f>
        <v>4.1471999999999998</v>
      </c>
      <c r="H100" s="11">
        <f>6.8993 * CHOOSE(CONTROL!$C$32, $C$9, 100%, $E$9)</f>
        <v>6.8993000000000002</v>
      </c>
      <c r="I100" s="11">
        <f>6.9025 * CHOOSE(CONTROL!$C$32, $C$9, 100%, $E$9)</f>
        <v>6.9024999999999999</v>
      </c>
      <c r="J100" s="11">
        <f>6.8993 * CHOOSE(CONTROL!$C$32, $C$9, 100%, $E$9)</f>
        <v>6.8993000000000002</v>
      </c>
      <c r="K100" s="11">
        <f>6.9025 * CHOOSE(CONTROL!$C$32, $C$9, 100%, $E$9)</f>
        <v>6.9024999999999999</v>
      </c>
      <c r="L100" s="11">
        <f>4.144 * CHOOSE(CONTROL!$C$32, $C$9, 100%, $E$9)</f>
        <v>4.1440000000000001</v>
      </c>
      <c r="M100" s="11">
        <f>4.1472 * CHOOSE(CONTROL!$C$32, $C$9, 100%, $E$9)</f>
        <v>4.1471999999999998</v>
      </c>
      <c r="N100" s="11">
        <f>4.144 * CHOOSE(CONTROL!$C$32, $C$9, 100%, $E$9)</f>
        <v>4.1440000000000001</v>
      </c>
      <c r="O100" s="11">
        <f>4.1472 * CHOOSE(CONTROL!$C$32, $C$9, 100%, $E$9)</f>
        <v>4.1471999999999998</v>
      </c>
      <c r="P100" s="14"/>
      <c r="Q100" s="14"/>
      <c r="R100" s="14"/>
    </row>
    <row r="101" spans="1:18" ht="15" x14ac:dyDescent="0.2">
      <c r="A101" s="13">
        <v>43922</v>
      </c>
      <c r="B101" s="9">
        <f>3.2584 * CHOOSE(CONTROL!$C$32, $C$9, 100%, $E$9)</f>
        <v>3.2584</v>
      </c>
      <c r="C101" s="9">
        <f>3.2584 * CHOOSE(CONTROL!$C$32, $C$9, 100%, $E$9)</f>
        <v>3.2584</v>
      </c>
      <c r="D101" s="9">
        <f>3.2593 * CHOOSE(CONTROL!$C$32, $C$9, 100%, $E$9)</f>
        <v>3.2593000000000001</v>
      </c>
      <c r="E101" s="11">
        <f>4.1415 * CHOOSE(CONTROL!$C$32, $C$9, 100%, $E$9)</f>
        <v>4.1414999999999997</v>
      </c>
      <c r="F101" s="11">
        <f>4.1415 * CHOOSE(CONTROL!$C$32, $C$9, 100%, $E$9)</f>
        <v>4.1414999999999997</v>
      </c>
      <c r="G101" s="11">
        <f>4.1448 * CHOOSE(CONTROL!$C$32, $C$9, 100%, $E$9)</f>
        <v>4.1448</v>
      </c>
      <c r="H101" s="11">
        <f>6.9137 * CHOOSE(CONTROL!$C$32, $C$9, 100%, $E$9)</f>
        <v>6.9137000000000004</v>
      </c>
      <c r="I101" s="11">
        <f>6.9169 * CHOOSE(CONTROL!$C$32, $C$9, 100%, $E$9)</f>
        <v>6.9169</v>
      </c>
      <c r="J101" s="11">
        <f>6.9137 * CHOOSE(CONTROL!$C$32, $C$9, 100%, $E$9)</f>
        <v>6.9137000000000004</v>
      </c>
      <c r="K101" s="11">
        <f>6.9169 * CHOOSE(CONTROL!$C$32, $C$9, 100%, $E$9)</f>
        <v>6.9169</v>
      </c>
      <c r="L101" s="11">
        <f>4.1415 * CHOOSE(CONTROL!$C$32, $C$9, 100%, $E$9)</f>
        <v>4.1414999999999997</v>
      </c>
      <c r="M101" s="11">
        <f>4.1448 * CHOOSE(CONTROL!$C$32, $C$9, 100%, $E$9)</f>
        <v>4.1448</v>
      </c>
      <c r="N101" s="11">
        <f>4.1415 * CHOOSE(CONTROL!$C$32, $C$9, 100%, $E$9)</f>
        <v>4.1414999999999997</v>
      </c>
      <c r="O101" s="11">
        <f>4.1448 * CHOOSE(CONTROL!$C$32, $C$9, 100%, $E$9)</f>
        <v>4.1448</v>
      </c>
      <c r="P101" s="14"/>
      <c r="Q101" s="14"/>
      <c r="R101" s="14"/>
    </row>
    <row r="102" spans="1:18" ht="15" x14ac:dyDescent="0.2">
      <c r="A102" s="13">
        <v>43952</v>
      </c>
      <c r="B102" s="9">
        <f>3.2584 * CHOOSE(CONTROL!$C$32, $C$9, 100%, $E$9)</f>
        <v>3.2584</v>
      </c>
      <c r="C102" s="9">
        <f>3.2584 * CHOOSE(CONTROL!$C$32, $C$9, 100%, $E$9)</f>
        <v>3.2584</v>
      </c>
      <c r="D102" s="9">
        <f>3.2596 * CHOOSE(CONTROL!$C$32, $C$9, 100%, $E$9)</f>
        <v>3.2595999999999998</v>
      </c>
      <c r="E102" s="11">
        <f>4.1415 * CHOOSE(CONTROL!$C$32, $C$9, 100%, $E$9)</f>
        <v>4.1414999999999997</v>
      </c>
      <c r="F102" s="11">
        <f>4.1415 * CHOOSE(CONTROL!$C$32, $C$9, 100%, $E$9)</f>
        <v>4.1414999999999997</v>
      </c>
      <c r="G102" s="11">
        <f>4.1457 * CHOOSE(CONTROL!$C$32, $C$9, 100%, $E$9)</f>
        <v>4.1456999999999997</v>
      </c>
      <c r="H102" s="11">
        <f>6.9281 * CHOOSE(CONTROL!$C$32, $C$9, 100%, $E$9)</f>
        <v>6.9280999999999997</v>
      </c>
      <c r="I102" s="11">
        <f>6.9323 * CHOOSE(CONTROL!$C$32, $C$9, 100%, $E$9)</f>
        <v>6.9322999999999997</v>
      </c>
      <c r="J102" s="11">
        <f>6.9281 * CHOOSE(CONTROL!$C$32, $C$9, 100%, $E$9)</f>
        <v>6.9280999999999997</v>
      </c>
      <c r="K102" s="11">
        <f>6.9323 * CHOOSE(CONTROL!$C$32, $C$9, 100%, $E$9)</f>
        <v>6.9322999999999997</v>
      </c>
      <c r="L102" s="11">
        <f>4.1415 * CHOOSE(CONTROL!$C$32, $C$9, 100%, $E$9)</f>
        <v>4.1414999999999997</v>
      </c>
      <c r="M102" s="11">
        <f>4.1457 * CHOOSE(CONTROL!$C$32, $C$9, 100%, $E$9)</f>
        <v>4.1456999999999997</v>
      </c>
      <c r="N102" s="11">
        <f>4.1415 * CHOOSE(CONTROL!$C$32, $C$9, 100%, $E$9)</f>
        <v>4.1414999999999997</v>
      </c>
      <c r="O102" s="11">
        <f>4.1457 * CHOOSE(CONTROL!$C$32, $C$9, 100%, $E$9)</f>
        <v>4.1456999999999997</v>
      </c>
      <c r="P102" s="14"/>
      <c r="Q102" s="14"/>
      <c r="R102" s="14"/>
    </row>
    <row r="103" spans="1:18" ht="15" x14ac:dyDescent="0.2">
      <c r="A103" s="13">
        <v>43983</v>
      </c>
      <c r="B103" s="9">
        <f>3.2644 * CHOOSE(CONTROL!$C$32, $C$9, 100%, $E$9)</f>
        <v>3.2644000000000002</v>
      </c>
      <c r="C103" s="9">
        <f>3.2644 * CHOOSE(CONTROL!$C$32, $C$9, 100%, $E$9)</f>
        <v>3.2644000000000002</v>
      </c>
      <c r="D103" s="9">
        <f>3.2657 * CHOOSE(CONTROL!$C$32, $C$9, 100%, $E$9)</f>
        <v>3.2656999999999998</v>
      </c>
      <c r="E103" s="11">
        <f>4.1455 * CHOOSE(CONTROL!$C$32, $C$9, 100%, $E$9)</f>
        <v>4.1455000000000002</v>
      </c>
      <c r="F103" s="11">
        <f>4.1455 * CHOOSE(CONTROL!$C$32, $C$9, 100%, $E$9)</f>
        <v>4.1455000000000002</v>
      </c>
      <c r="G103" s="11">
        <f>4.1497 * CHOOSE(CONTROL!$C$32, $C$9, 100%, $E$9)</f>
        <v>4.1497000000000002</v>
      </c>
      <c r="H103" s="11">
        <f>6.9425 * CHOOSE(CONTROL!$C$32, $C$9, 100%, $E$9)</f>
        <v>6.9424999999999999</v>
      </c>
      <c r="I103" s="11">
        <f>6.9467 * CHOOSE(CONTROL!$C$32, $C$9, 100%, $E$9)</f>
        <v>6.9466999999999999</v>
      </c>
      <c r="J103" s="11">
        <f>6.9425 * CHOOSE(CONTROL!$C$32, $C$9, 100%, $E$9)</f>
        <v>6.9424999999999999</v>
      </c>
      <c r="K103" s="11">
        <f>6.9467 * CHOOSE(CONTROL!$C$32, $C$9, 100%, $E$9)</f>
        <v>6.9466999999999999</v>
      </c>
      <c r="L103" s="11">
        <f>4.1455 * CHOOSE(CONTROL!$C$32, $C$9, 100%, $E$9)</f>
        <v>4.1455000000000002</v>
      </c>
      <c r="M103" s="11">
        <f>4.1497 * CHOOSE(CONTROL!$C$32, $C$9, 100%, $E$9)</f>
        <v>4.1497000000000002</v>
      </c>
      <c r="N103" s="11">
        <f>4.1455 * CHOOSE(CONTROL!$C$32, $C$9, 100%, $E$9)</f>
        <v>4.1455000000000002</v>
      </c>
      <c r="O103" s="11">
        <f>4.1497 * CHOOSE(CONTROL!$C$32, $C$9, 100%, $E$9)</f>
        <v>4.1497000000000002</v>
      </c>
      <c r="P103" s="14"/>
      <c r="Q103" s="14"/>
      <c r="R103" s="14"/>
    </row>
    <row r="104" spans="1:18" ht="15" x14ac:dyDescent="0.2">
      <c r="A104" s="13">
        <v>44013</v>
      </c>
      <c r="B104" s="9">
        <f>3.3098 * CHOOSE(CONTROL!$C$32, $C$9, 100%, $E$9)</f>
        <v>3.3098000000000001</v>
      </c>
      <c r="C104" s="9">
        <f>3.3098 * CHOOSE(CONTROL!$C$32, $C$9, 100%, $E$9)</f>
        <v>3.3098000000000001</v>
      </c>
      <c r="D104" s="9">
        <f>3.3111 * CHOOSE(CONTROL!$C$32, $C$9, 100%, $E$9)</f>
        <v>3.3111000000000002</v>
      </c>
      <c r="E104" s="11">
        <f>4.2176 * CHOOSE(CONTROL!$C$32, $C$9, 100%, $E$9)</f>
        <v>4.2176</v>
      </c>
      <c r="F104" s="11">
        <f>4.2176 * CHOOSE(CONTROL!$C$32, $C$9, 100%, $E$9)</f>
        <v>4.2176</v>
      </c>
      <c r="G104" s="11">
        <f>4.2218 * CHOOSE(CONTROL!$C$32, $C$9, 100%, $E$9)</f>
        <v>4.2218</v>
      </c>
      <c r="H104" s="11">
        <f>6.957 * CHOOSE(CONTROL!$C$32, $C$9, 100%, $E$9)</f>
        <v>6.9569999999999999</v>
      </c>
      <c r="I104" s="11">
        <f>6.9612 * CHOOSE(CONTROL!$C$32, $C$9, 100%, $E$9)</f>
        <v>6.9611999999999998</v>
      </c>
      <c r="J104" s="11">
        <f>6.957 * CHOOSE(CONTROL!$C$32, $C$9, 100%, $E$9)</f>
        <v>6.9569999999999999</v>
      </c>
      <c r="K104" s="11">
        <f>6.9612 * CHOOSE(CONTROL!$C$32, $C$9, 100%, $E$9)</f>
        <v>6.9611999999999998</v>
      </c>
      <c r="L104" s="11">
        <f>4.2176 * CHOOSE(CONTROL!$C$32, $C$9, 100%, $E$9)</f>
        <v>4.2176</v>
      </c>
      <c r="M104" s="11">
        <f>4.2218 * CHOOSE(CONTROL!$C$32, $C$9, 100%, $E$9)</f>
        <v>4.2218</v>
      </c>
      <c r="N104" s="11">
        <f>4.2176 * CHOOSE(CONTROL!$C$32, $C$9, 100%, $E$9)</f>
        <v>4.2176</v>
      </c>
      <c r="O104" s="11">
        <f>4.2218 * CHOOSE(CONTROL!$C$32, $C$9, 100%, $E$9)</f>
        <v>4.2218</v>
      </c>
      <c r="P104" s="14"/>
      <c r="Q104" s="14"/>
      <c r="R104" s="14"/>
    </row>
    <row r="105" spans="1:18" ht="15" x14ac:dyDescent="0.2">
      <c r="A105" s="13">
        <v>44044</v>
      </c>
      <c r="B105" s="9">
        <f>3.3165 * CHOOSE(CONTROL!$C$32, $C$9, 100%, $E$9)</f>
        <v>3.3165</v>
      </c>
      <c r="C105" s="9">
        <f>3.3165 * CHOOSE(CONTROL!$C$32, $C$9, 100%, $E$9)</f>
        <v>3.3165</v>
      </c>
      <c r="D105" s="9">
        <f>3.3178 * CHOOSE(CONTROL!$C$32, $C$9, 100%, $E$9)</f>
        <v>3.3178000000000001</v>
      </c>
      <c r="E105" s="11">
        <f>4.222 * CHOOSE(CONTROL!$C$32, $C$9, 100%, $E$9)</f>
        <v>4.2220000000000004</v>
      </c>
      <c r="F105" s="11">
        <f>4.222 * CHOOSE(CONTROL!$C$32, $C$9, 100%, $E$9)</f>
        <v>4.2220000000000004</v>
      </c>
      <c r="G105" s="11">
        <f>4.2262 * CHOOSE(CONTROL!$C$32, $C$9, 100%, $E$9)</f>
        <v>4.2262000000000004</v>
      </c>
      <c r="H105" s="11">
        <f>6.9715 * CHOOSE(CONTROL!$C$32, $C$9, 100%, $E$9)</f>
        <v>6.9714999999999998</v>
      </c>
      <c r="I105" s="11">
        <f>6.9757 * CHOOSE(CONTROL!$C$32, $C$9, 100%, $E$9)</f>
        <v>6.9756999999999998</v>
      </c>
      <c r="J105" s="11">
        <f>6.9715 * CHOOSE(CONTROL!$C$32, $C$9, 100%, $E$9)</f>
        <v>6.9714999999999998</v>
      </c>
      <c r="K105" s="11">
        <f>6.9757 * CHOOSE(CONTROL!$C$32, $C$9, 100%, $E$9)</f>
        <v>6.9756999999999998</v>
      </c>
      <c r="L105" s="11">
        <f>4.222 * CHOOSE(CONTROL!$C$32, $C$9, 100%, $E$9)</f>
        <v>4.2220000000000004</v>
      </c>
      <c r="M105" s="11">
        <f>4.2262 * CHOOSE(CONTROL!$C$32, $C$9, 100%, $E$9)</f>
        <v>4.2262000000000004</v>
      </c>
      <c r="N105" s="11">
        <f>4.222 * CHOOSE(CONTROL!$C$32, $C$9, 100%, $E$9)</f>
        <v>4.2220000000000004</v>
      </c>
      <c r="O105" s="11">
        <f>4.2262 * CHOOSE(CONTROL!$C$32, $C$9, 100%, $E$9)</f>
        <v>4.2262000000000004</v>
      </c>
      <c r="P105" s="14"/>
      <c r="Q105" s="14"/>
      <c r="R105" s="14"/>
    </row>
    <row r="106" spans="1:18" ht="15" x14ac:dyDescent="0.2">
      <c r="A106" s="13">
        <v>44075</v>
      </c>
      <c r="B106" s="9">
        <f>3.3135 * CHOOSE(CONTROL!$C$32, $C$9, 100%, $E$9)</f>
        <v>3.3134999999999999</v>
      </c>
      <c r="C106" s="9">
        <f>3.3135 * CHOOSE(CONTROL!$C$32, $C$9, 100%, $E$9)</f>
        <v>3.3134999999999999</v>
      </c>
      <c r="D106" s="9">
        <f>3.3147 * CHOOSE(CONTROL!$C$32, $C$9, 100%, $E$9)</f>
        <v>3.3147000000000002</v>
      </c>
      <c r="E106" s="11">
        <f>4.22 * CHOOSE(CONTROL!$C$32, $C$9, 100%, $E$9)</f>
        <v>4.22</v>
      </c>
      <c r="F106" s="11">
        <f>4.22 * CHOOSE(CONTROL!$C$32, $C$9, 100%, $E$9)</f>
        <v>4.22</v>
      </c>
      <c r="G106" s="11">
        <f>4.2242 * CHOOSE(CONTROL!$C$32, $C$9, 100%, $E$9)</f>
        <v>4.2241999999999997</v>
      </c>
      <c r="H106" s="11">
        <f>6.986 * CHOOSE(CONTROL!$C$32, $C$9, 100%, $E$9)</f>
        <v>6.9859999999999998</v>
      </c>
      <c r="I106" s="11">
        <f>6.9902 * CHOOSE(CONTROL!$C$32, $C$9, 100%, $E$9)</f>
        <v>6.9901999999999997</v>
      </c>
      <c r="J106" s="11">
        <f>6.986 * CHOOSE(CONTROL!$C$32, $C$9, 100%, $E$9)</f>
        <v>6.9859999999999998</v>
      </c>
      <c r="K106" s="11">
        <f>6.9902 * CHOOSE(CONTROL!$C$32, $C$9, 100%, $E$9)</f>
        <v>6.9901999999999997</v>
      </c>
      <c r="L106" s="11">
        <f>4.22 * CHOOSE(CONTROL!$C$32, $C$9, 100%, $E$9)</f>
        <v>4.22</v>
      </c>
      <c r="M106" s="11">
        <f>4.2242 * CHOOSE(CONTROL!$C$32, $C$9, 100%, $E$9)</f>
        <v>4.2241999999999997</v>
      </c>
      <c r="N106" s="11">
        <f>4.22 * CHOOSE(CONTROL!$C$32, $C$9, 100%, $E$9)</f>
        <v>4.22</v>
      </c>
      <c r="O106" s="11">
        <f>4.2242 * CHOOSE(CONTROL!$C$32, $C$9, 100%, $E$9)</f>
        <v>4.2241999999999997</v>
      </c>
      <c r="P106" s="14"/>
      <c r="Q106" s="14"/>
      <c r="R106" s="14"/>
    </row>
    <row r="107" spans="1:18" ht="15" x14ac:dyDescent="0.2">
      <c r="A107" s="13">
        <v>44105</v>
      </c>
      <c r="B107" s="9">
        <f>3.3061 * CHOOSE(CONTROL!$C$32, $C$9, 100%, $E$9)</f>
        <v>3.3060999999999998</v>
      </c>
      <c r="C107" s="9">
        <f>3.3061 * CHOOSE(CONTROL!$C$32, $C$9, 100%, $E$9)</f>
        <v>3.3060999999999998</v>
      </c>
      <c r="D107" s="9">
        <f>3.3071 * CHOOSE(CONTROL!$C$32, $C$9, 100%, $E$9)</f>
        <v>3.3071000000000002</v>
      </c>
      <c r="E107" s="11">
        <f>4.2135 * CHOOSE(CONTROL!$C$32, $C$9, 100%, $E$9)</f>
        <v>4.2134999999999998</v>
      </c>
      <c r="F107" s="11">
        <f>4.2135 * CHOOSE(CONTROL!$C$32, $C$9, 100%, $E$9)</f>
        <v>4.2134999999999998</v>
      </c>
      <c r="G107" s="11">
        <f>4.2167 * CHOOSE(CONTROL!$C$32, $C$9, 100%, $E$9)</f>
        <v>4.2167000000000003</v>
      </c>
      <c r="H107" s="11">
        <f>7.0005 * CHOOSE(CONTROL!$C$32, $C$9, 100%, $E$9)</f>
        <v>7.0004999999999997</v>
      </c>
      <c r="I107" s="11">
        <f>7.0038 * CHOOSE(CONTROL!$C$32, $C$9, 100%, $E$9)</f>
        <v>7.0038</v>
      </c>
      <c r="J107" s="11">
        <f>7.0005 * CHOOSE(CONTROL!$C$32, $C$9, 100%, $E$9)</f>
        <v>7.0004999999999997</v>
      </c>
      <c r="K107" s="11">
        <f>7.0038 * CHOOSE(CONTROL!$C$32, $C$9, 100%, $E$9)</f>
        <v>7.0038</v>
      </c>
      <c r="L107" s="11">
        <f>4.2135 * CHOOSE(CONTROL!$C$32, $C$9, 100%, $E$9)</f>
        <v>4.2134999999999998</v>
      </c>
      <c r="M107" s="11">
        <f>4.2167 * CHOOSE(CONTROL!$C$32, $C$9, 100%, $E$9)</f>
        <v>4.2167000000000003</v>
      </c>
      <c r="N107" s="11">
        <f>4.2135 * CHOOSE(CONTROL!$C$32, $C$9, 100%, $E$9)</f>
        <v>4.2134999999999998</v>
      </c>
      <c r="O107" s="11">
        <f>4.2167 * CHOOSE(CONTROL!$C$32, $C$9, 100%, $E$9)</f>
        <v>4.2167000000000003</v>
      </c>
      <c r="P107" s="14"/>
      <c r="Q107" s="14"/>
      <c r="R107" s="14"/>
    </row>
    <row r="108" spans="1:18" ht="15" x14ac:dyDescent="0.2">
      <c r="A108" s="13">
        <v>44136</v>
      </c>
      <c r="B108" s="9">
        <f>3.3092 * CHOOSE(CONTROL!$C$32, $C$9, 100%, $E$9)</f>
        <v>3.3092000000000001</v>
      </c>
      <c r="C108" s="9">
        <f>3.3092 * CHOOSE(CONTROL!$C$32, $C$9, 100%, $E$9)</f>
        <v>3.3092000000000001</v>
      </c>
      <c r="D108" s="9">
        <f>3.3101 * CHOOSE(CONTROL!$C$32, $C$9, 100%, $E$9)</f>
        <v>3.3100999999999998</v>
      </c>
      <c r="E108" s="11">
        <f>4.2155 * CHOOSE(CONTROL!$C$32, $C$9, 100%, $E$9)</f>
        <v>4.2154999999999996</v>
      </c>
      <c r="F108" s="11">
        <f>4.2155 * CHOOSE(CONTROL!$C$32, $C$9, 100%, $E$9)</f>
        <v>4.2154999999999996</v>
      </c>
      <c r="G108" s="11">
        <f>4.2187 * CHOOSE(CONTROL!$C$32, $C$9, 100%, $E$9)</f>
        <v>4.2187000000000001</v>
      </c>
      <c r="H108" s="11">
        <f>7.0151 * CHOOSE(CONTROL!$C$32, $C$9, 100%, $E$9)</f>
        <v>7.0151000000000003</v>
      </c>
      <c r="I108" s="11">
        <f>7.0184 * CHOOSE(CONTROL!$C$32, $C$9, 100%, $E$9)</f>
        <v>7.0183999999999997</v>
      </c>
      <c r="J108" s="11">
        <f>7.0151 * CHOOSE(CONTROL!$C$32, $C$9, 100%, $E$9)</f>
        <v>7.0151000000000003</v>
      </c>
      <c r="K108" s="11">
        <f>7.0184 * CHOOSE(CONTROL!$C$32, $C$9, 100%, $E$9)</f>
        <v>7.0183999999999997</v>
      </c>
      <c r="L108" s="11">
        <f>4.2155 * CHOOSE(CONTROL!$C$32, $C$9, 100%, $E$9)</f>
        <v>4.2154999999999996</v>
      </c>
      <c r="M108" s="11">
        <f>4.2187 * CHOOSE(CONTROL!$C$32, $C$9, 100%, $E$9)</f>
        <v>4.2187000000000001</v>
      </c>
      <c r="N108" s="11">
        <f>4.2155 * CHOOSE(CONTROL!$C$32, $C$9, 100%, $E$9)</f>
        <v>4.2154999999999996</v>
      </c>
      <c r="O108" s="11">
        <f>4.2187 * CHOOSE(CONTROL!$C$32, $C$9, 100%, $E$9)</f>
        <v>4.2187000000000001</v>
      </c>
      <c r="P108" s="14"/>
      <c r="Q108" s="14"/>
      <c r="R108" s="14"/>
    </row>
    <row r="109" spans="1:18" ht="15" x14ac:dyDescent="0.2">
      <c r="A109" s="13">
        <v>44166</v>
      </c>
      <c r="B109" s="9">
        <f>3.3092 * CHOOSE(CONTROL!$C$32, $C$9, 100%, $E$9)</f>
        <v>3.3092000000000001</v>
      </c>
      <c r="C109" s="9">
        <f>3.3092 * CHOOSE(CONTROL!$C$32, $C$9, 100%, $E$9)</f>
        <v>3.3092000000000001</v>
      </c>
      <c r="D109" s="9">
        <f>3.3101 * CHOOSE(CONTROL!$C$32, $C$9, 100%, $E$9)</f>
        <v>3.3100999999999998</v>
      </c>
      <c r="E109" s="11">
        <f>4.2155 * CHOOSE(CONTROL!$C$32, $C$9, 100%, $E$9)</f>
        <v>4.2154999999999996</v>
      </c>
      <c r="F109" s="11">
        <f>4.2155 * CHOOSE(CONTROL!$C$32, $C$9, 100%, $E$9)</f>
        <v>4.2154999999999996</v>
      </c>
      <c r="G109" s="11">
        <f>4.2187 * CHOOSE(CONTROL!$C$32, $C$9, 100%, $E$9)</f>
        <v>4.2187000000000001</v>
      </c>
      <c r="H109" s="11">
        <f>7.0297 * CHOOSE(CONTROL!$C$32, $C$9, 100%, $E$9)</f>
        <v>7.0297000000000001</v>
      </c>
      <c r="I109" s="11">
        <f>7.033 * CHOOSE(CONTROL!$C$32, $C$9, 100%, $E$9)</f>
        <v>7.0330000000000004</v>
      </c>
      <c r="J109" s="11">
        <f>7.0297 * CHOOSE(CONTROL!$C$32, $C$9, 100%, $E$9)</f>
        <v>7.0297000000000001</v>
      </c>
      <c r="K109" s="11">
        <f>7.033 * CHOOSE(CONTROL!$C$32, $C$9, 100%, $E$9)</f>
        <v>7.0330000000000004</v>
      </c>
      <c r="L109" s="11">
        <f>4.2155 * CHOOSE(CONTROL!$C$32, $C$9, 100%, $E$9)</f>
        <v>4.2154999999999996</v>
      </c>
      <c r="M109" s="11">
        <f>4.2187 * CHOOSE(CONTROL!$C$32, $C$9, 100%, $E$9)</f>
        <v>4.2187000000000001</v>
      </c>
      <c r="N109" s="11">
        <f>4.2155 * CHOOSE(CONTROL!$C$32, $C$9, 100%, $E$9)</f>
        <v>4.2154999999999996</v>
      </c>
      <c r="O109" s="11">
        <f>4.2187 * CHOOSE(CONTROL!$C$32, $C$9, 100%, $E$9)</f>
        <v>4.2187000000000001</v>
      </c>
      <c r="P109" s="14"/>
      <c r="Q109" s="14"/>
      <c r="R109" s="14"/>
    </row>
    <row r="110" spans="1:18" ht="15" x14ac:dyDescent="0.2">
      <c r="A110" s="13">
        <v>44197</v>
      </c>
      <c r="B110" s="9">
        <f>3.3407 * CHOOSE(CONTROL!$C$32, $C$9, 100%, $E$9)</f>
        <v>3.3407</v>
      </c>
      <c r="C110" s="9">
        <f>3.3407 * CHOOSE(CONTROL!$C$32, $C$9, 100%, $E$9)</f>
        <v>3.3407</v>
      </c>
      <c r="D110" s="9">
        <f>3.3416 * CHOOSE(CONTROL!$C$32, $C$9, 100%, $E$9)</f>
        <v>3.3416000000000001</v>
      </c>
      <c r="E110" s="11">
        <f>4.2457 * CHOOSE(CONTROL!$C$32, $C$9, 100%, $E$9)</f>
        <v>4.2457000000000003</v>
      </c>
      <c r="F110" s="11">
        <f>4.2457 * CHOOSE(CONTROL!$C$32, $C$9, 100%, $E$9)</f>
        <v>4.2457000000000003</v>
      </c>
      <c r="G110" s="11">
        <f>4.249 * CHOOSE(CONTROL!$C$32, $C$9, 100%, $E$9)</f>
        <v>4.2489999999999997</v>
      </c>
      <c r="H110" s="11">
        <f>7.0444 * CHOOSE(CONTROL!$C$32, $C$9, 100%, $E$9)</f>
        <v>7.0444000000000004</v>
      </c>
      <c r="I110" s="11">
        <f>7.0476 * CHOOSE(CONTROL!$C$32, $C$9, 100%, $E$9)</f>
        <v>7.0476000000000001</v>
      </c>
      <c r="J110" s="11">
        <f>7.0444 * CHOOSE(CONTROL!$C$32, $C$9, 100%, $E$9)</f>
        <v>7.0444000000000004</v>
      </c>
      <c r="K110" s="11">
        <f>7.0476 * CHOOSE(CONTROL!$C$32, $C$9, 100%, $E$9)</f>
        <v>7.0476000000000001</v>
      </c>
      <c r="L110" s="11">
        <f>4.2457 * CHOOSE(CONTROL!$C$32, $C$9, 100%, $E$9)</f>
        <v>4.2457000000000003</v>
      </c>
      <c r="M110" s="11">
        <f>4.249 * CHOOSE(CONTROL!$C$32, $C$9, 100%, $E$9)</f>
        <v>4.2489999999999997</v>
      </c>
      <c r="N110" s="11">
        <f>4.2457 * CHOOSE(CONTROL!$C$32, $C$9, 100%, $E$9)</f>
        <v>4.2457000000000003</v>
      </c>
      <c r="O110" s="11">
        <f>4.249 * CHOOSE(CONTROL!$C$32, $C$9, 100%, $E$9)</f>
        <v>4.2489999999999997</v>
      </c>
      <c r="P110" s="14"/>
      <c r="Q110" s="14"/>
      <c r="R110" s="14"/>
    </row>
    <row r="111" spans="1:18" ht="15" x14ac:dyDescent="0.2">
      <c r="A111" s="13">
        <v>44228</v>
      </c>
      <c r="B111" s="9">
        <f>3.3376 * CHOOSE(CONTROL!$C$32, $C$9, 100%, $E$9)</f>
        <v>3.3376000000000001</v>
      </c>
      <c r="C111" s="9">
        <f>3.3376 * CHOOSE(CONTROL!$C$32, $C$9, 100%, $E$9)</f>
        <v>3.3376000000000001</v>
      </c>
      <c r="D111" s="9">
        <f>3.3386 * CHOOSE(CONTROL!$C$32, $C$9, 100%, $E$9)</f>
        <v>3.3386</v>
      </c>
      <c r="E111" s="11">
        <f>4.2437 * CHOOSE(CONTROL!$C$32, $C$9, 100%, $E$9)</f>
        <v>4.2436999999999996</v>
      </c>
      <c r="F111" s="11">
        <f>4.2437 * CHOOSE(CONTROL!$C$32, $C$9, 100%, $E$9)</f>
        <v>4.2436999999999996</v>
      </c>
      <c r="G111" s="11">
        <f>4.247 * CHOOSE(CONTROL!$C$32, $C$9, 100%, $E$9)</f>
        <v>4.2469999999999999</v>
      </c>
      <c r="H111" s="11">
        <f>7.0591 * CHOOSE(CONTROL!$C$32, $C$9, 100%, $E$9)</f>
        <v>7.0590999999999999</v>
      </c>
      <c r="I111" s="11">
        <f>7.0623 * CHOOSE(CONTROL!$C$32, $C$9, 100%, $E$9)</f>
        <v>7.0622999999999996</v>
      </c>
      <c r="J111" s="11">
        <f>7.0591 * CHOOSE(CONTROL!$C$32, $C$9, 100%, $E$9)</f>
        <v>7.0590999999999999</v>
      </c>
      <c r="K111" s="11">
        <f>7.0623 * CHOOSE(CONTROL!$C$32, $C$9, 100%, $E$9)</f>
        <v>7.0622999999999996</v>
      </c>
      <c r="L111" s="11">
        <f>4.2437 * CHOOSE(CONTROL!$C$32, $C$9, 100%, $E$9)</f>
        <v>4.2436999999999996</v>
      </c>
      <c r="M111" s="11">
        <f>4.247 * CHOOSE(CONTROL!$C$32, $C$9, 100%, $E$9)</f>
        <v>4.2469999999999999</v>
      </c>
      <c r="N111" s="11">
        <f>4.2437 * CHOOSE(CONTROL!$C$32, $C$9, 100%, $E$9)</f>
        <v>4.2436999999999996</v>
      </c>
      <c r="O111" s="11">
        <f>4.247 * CHOOSE(CONTROL!$C$32, $C$9, 100%, $E$9)</f>
        <v>4.2469999999999999</v>
      </c>
      <c r="P111" s="14"/>
      <c r="Q111" s="14"/>
      <c r="R111" s="14"/>
    </row>
    <row r="112" spans="1:18" ht="15" x14ac:dyDescent="0.2">
      <c r="A112" s="13">
        <v>44256</v>
      </c>
      <c r="B112" s="9">
        <f>3.3346 * CHOOSE(CONTROL!$C$32, $C$9, 100%, $E$9)</f>
        <v>3.3346</v>
      </c>
      <c r="C112" s="9">
        <f>3.3346 * CHOOSE(CONTROL!$C$32, $C$9, 100%, $E$9)</f>
        <v>3.3346</v>
      </c>
      <c r="D112" s="9">
        <f>3.3355 * CHOOSE(CONTROL!$C$32, $C$9, 100%, $E$9)</f>
        <v>3.3355000000000001</v>
      </c>
      <c r="E112" s="11">
        <f>4.2417 * CHOOSE(CONTROL!$C$32, $C$9, 100%, $E$9)</f>
        <v>4.2416999999999998</v>
      </c>
      <c r="F112" s="11">
        <f>4.2417 * CHOOSE(CONTROL!$C$32, $C$9, 100%, $E$9)</f>
        <v>4.2416999999999998</v>
      </c>
      <c r="G112" s="11">
        <f>4.245 * CHOOSE(CONTROL!$C$32, $C$9, 100%, $E$9)</f>
        <v>4.2450000000000001</v>
      </c>
      <c r="H112" s="11">
        <f>7.0738 * CHOOSE(CONTROL!$C$32, $C$9, 100%, $E$9)</f>
        <v>7.0738000000000003</v>
      </c>
      <c r="I112" s="11">
        <f>7.077 * CHOOSE(CONTROL!$C$32, $C$9, 100%, $E$9)</f>
        <v>7.077</v>
      </c>
      <c r="J112" s="11">
        <f>7.0738 * CHOOSE(CONTROL!$C$32, $C$9, 100%, $E$9)</f>
        <v>7.0738000000000003</v>
      </c>
      <c r="K112" s="11">
        <f>7.077 * CHOOSE(CONTROL!$C$32, $C$9, 100%, $E$9)</f>
        <v>7.077</v>
      </c>
      <c r="L112" s="11">
        <f>4.2417 * CHOOSE(CONTROL!$C$32, $C$9, 100%, $E$9)</f>
        <v>4.2416999999999998</v>
      </c>
      <c r="M112" s="11">
        <f>4.245 * CHOOSE(CONTROL!$C$32, $C$9, 100%, $E$9)</f>
        <v>4.2450000000000001</v>
      </c>
      <c r="N112" s="11">
        <f>4.2417 * CHOOSE(CONTROL!$C$32, $C$9, 100%, $E$9)</f>
        <v>4.2416999999999998</v>
      </c>
      <c r="O112" s="11">
        <f>4.245 * CHOOSE(CONTROL!$C$32, $C$9, 100%, $E$9)</f>
        <v>4.2450000000000001</v>
      </c>
      <c r="P112" s="14"/>
      <c r="Q112" s="14"/>
      <c r="R112" s="14"/>
    </row>
    <row r="113" spans="1:18" ht="15" x14ac:dyDescent="0.2">
      <c r="A113" s="13">
        <v>44287</v>
      </c>
      <c r="B113" s="9">
        <f>3.3316 * CHOOSE(CONTROL!$C$32, $C$9, 100%, $E$9)</f>
        <v>3.3315999999999999</v>
      </c>
      <c r="C113" s="9">
        <f>3.3316 * CHOOSE(CONTROL!$C$32, $C$9, 100%, $E$9)</f>
        <v>3.3315999999999999</v>
      </c>
      <c r="D113" s="9">
        <f>3.3326 * CHOOSE(CONTROL!$C$32, $C$9, 100%, $E$9)</f>
        <v>3.3325999999999998</v>
      </c>
      <c r="E113" s="11">
        <f>4.2394 * CHOOSE(CONTROL!$C$32, $C$9, 100%, $E$9)</f>
        <v>4.2393999999999998</v>
      </c>
      <c r="F113" s="11">
        <f>4.2394 * CHOOSE(CONTROL!$C$32, $C$9, 100%, $E$9)</f>
        <v>4.2393999999999998</v>
      </c>
      <c r="G113" s="11">
        <f>4.2426 * CHOOSE(CONTROL!$C$32, $C$9, 100%, $E$9)</f>
        <v>4.2426000000000004</v>
      </c>
      <c r="H113" s="11">
        <f>7.0885 * CHOOSE(CONTROL!$C$32, $C$9, 100%, $E$9)</f>
        <v>7.0884999999999998</v>
      </c>
      <c r="I113" s="11">
        <f>7.0917 * CHOOSE(CONTROL!$C$32, $C$9, 100%, $E$9)</f>
        <v>7.0917000000000003</v>
      </c>
      <c r="J113" s="11">
        <f>7.0885 * CHOOSE(CONTROL!$C$32, $C$9, 100%, $E$9)</f>
        <v>7.0884999999999998</v>
      </c>
      <c r="K113" s="11">
        <f>7.0917 * CHOOSE(CONTROL!$C$32, $C$9, 100%, $E$9)</f>
        <v>7.0917000000000003</v>
      </c>
      <c r="L113" s="11">
        <f>4.2394 * CHOOSE(CONTROL!$C$32, $C$9, 100%, $E$9)</f>
        <v>4.2393999999999998</v>
      </c>
      <c r="M113" s="11">
        <f>4.2426 * CHOOSE(CONTROL!$C$32, $C$9, 100%, $E$9)</f>
        <v>4.2426000000000004</v>
      </c>
      <c r="N113" s="11">
        <f>4.2394 * CHOOSE(CONTROL!$C$32, $C$9, 100%, $E$9)</f>
        <v>4.2393999999999998</v>
      </c>
      <c r="O113" s="11">
        <f>4.2426 * CHOOSE(CONTROL!$C$32, $C$9, 100%, $E$9)</f>
        <v>4.2426000000000004</v>
      </c>
      <c r="P113" s="14"/>
      <c r="Q113" s="14"/>
      <c r="R113" s="14"/>
    </row>
    <row r="114" spans="1:18" ht="15" x14ac:dyDescent="0.2">
      <c r="A114" s="13">
        <v>44317</v>
      </c>
      <c r="B114" s="9">
        <f>3.3316 * CHOOSE(CONTROL!$C$32, $C$9, 100%, $E$9)</f>
        <v>3.3315999999999999</v>
      </c>
      <c r="C114" s="9">
        <f>3.3316 * CHOOSE(CONTROL!$C$32, $C$9, 100%, $E$9)</f>
        <v>3.3315999999999999</v>
      </c>
      <c r="D114" s="9">
        <f>3.3329 * CHOOSE(CONTROL!$C$32, $C$9, 100%, $E$9)</f>
        <v>3.3329</v>
      </c>
      <c r="E114" s="11">
        <f>4.2394 * CHOOSE(CONTROL!$C$32, $C$9, 100%, $E$9)</f>
        <v>4.2393999999999998</v>
      </c>
      <c r="F114" s="11">
        <f>4.2394 * CHOOSE(CONTROL!$C$32, $C$9, 100%, $E$9)</f>
        <v>4.2393999999999998</v>
      </c>
      <c r="G114" s="11">
        <f>4.2436 * CHOOSE(CONTROL!$C$32, $C$9, 100%, $E$9)</f>
        <v>4.2435999999999998</v>
      </c>
      <c r="H114" s="11">
        <f>7.1033 * CHOOSE(CONTROL!$C$32, $C$9, 100%, $E$9)</f>
        <v>7.1032999999999999</v>
      </c>
      <c r="I114" s="11">
        <f>7.1075 * CHOOSE(CONTROL!$C$32, $C$9, 100%, $E$9)</f>
        <v>7.1074999999999999</v>
      </c>
      <c r="J114" s="11">
        <f>7.1033 * CHOOSE(CONTROL!$C$32, $C$9, 100%, $E$9)</f>
        <v>7.1032999999999999</v>
      </c>
      <c r="K114" s="11">
        <f>7.1075 * CHOOSE(CONTROL!$C$32, $C$9, 100%, $E$9)</f>
        <v>7.1074999999999999</v>
      </c>
      <c r="L114" s="11">
        <f>4.2394 * CHOOSE(CONTROL!$C$32, $C$9, 100%, $E$9)</f>
        <v>4.2393999999999998</v>
      </c>
      <c r="M114" s="11">
        <f>4.2436 * CHOOSE(CONTROL!$C$32, $C$9, 100%, $E$9)</f>
        <v>4.2435999999999998</v>
      </c>
      <c r="N114" s="11">
        <f>4.2394 * CHOOSE(CONTROL!$C$32, $C$9, 100%, $E$9)</f>
        <v>4.2393999999999998</v>
      </c>
      <c r="O114" s="11">
        <f>4.2436 * CHOOSE(CONTROL!$C$32, $C$9, 100%, $E$9)</f>
        <v>4.2435999999999998</v>
      </c>
      <c r="P114" s="14"/>
      <c r="Q114" s="14"/>
      <c r="R114" s="14"/>
    </row>
    <row r="115" spans="1:18" ht="15" x14ac:dyDescent="0.2">
      <c r="A115" s="13">
        <v>44348</v>
      </c>
      <c r="B115" s="9">
        <f>3.3377 * CHOOSE(CONTROL!$C$32, $C$9, 100%, $E$9)</f>
        <v>3.3376999999999999</v>
      </c>
      <c r="C115" s="9">
        <f>3.3377 * CHOOSE(CONTROL!$C$32, $C$9, 100%, $E$9)</f>
        <v>3.3376999999999999</v>
      </c>
      <c r="D115" s="9">
        <f>3.339 * CHOOSE(CONTROL!$C$32, $C$9, 100%, $E$9)</f>
        <v>3.339</v>
      </c>
      <c r="E115" s="11">
        <f>4.2434 * CHOOSE(CONTROL!$C$32, $C$9, 100%, $E$9)</f>
        <v>4.2434000000000003</v>
      </c>
      <c r="F115" s="11">
        <f>4.2434 * CHOOSE(CONTROL!$C$32, $C$9, 100%, $E$9)</f>
        <v>4.2434000000000003</v>
      </c>
      <c r="G115" s="11">
        <f>4.2476 * CHOOSE(CONTROL!$C$32, $C$9, 100%, $E$9)</f>
        <v>4.2476000000000003</v>
      </c>
      <c r="H115" s="11">
        <f>7.1181 * CHOOSE(CONTROL!$C$32, $C$9, 100%, $E$9)</f>
        <v>7.1181000000000001</v>
      </c>
      <c r="I115" s="11">
        <f>7.1223 * CHOOSE(CONTROL!$C$32, $C$9, 100%, $E$9)</f>
        <v>7.1223000000000001</v>
      </c>
      <c r="J115" s="11">
        <f>7.1181 * CHOOSE(CONTROL!$C$32, $C$9, 100%, $E$9)</f>
        <v>7.1181000000000001</v>
      </c>
      <c r="K115" s="11">
        <f>7.1223 * CHOOSE(CONTROL!$C$32, $C$9, 100%, $E$9)</f>
        <v>7.1223000000000001</v>
      </c>
      <c r="L115" s="11">
        <f>4.2434 * CHOOSE(CONTROL!$C$32, $C$9, 100%, $E$9)</f>
        <v>4.2434000000000003</v>
      </c>
      <c r="M115" s="11">
        <f>4.2476 * CHOOSE(CONTROL!$C$32, $C$9, 100%, $E$9)</f>
        <v>4.2476000000000003</v>
      </c>
      <c r="N115" s="11">
        <f>4.2434 * CHOOSE(CONTROL!$C$32, $C$9, 100%, $E$9)</f>
        <v>4.2434000000000003</v>
      </c>
      <c r="O115" s="11">
        <f>4.2476 * CHOOSE(CONTROL!$C$32, $C$9, 100%, $E$9)</f>
        <v>4.2476000000000003</v>
      </c>
      <c r="P115" s="14"/>
      <c r="Q115" s="14"/>
      <c r="R115" s="14"/>
    </row>
    <row r="116" spans="1:18" ht="15" x14ac:dyDescent="0.2">
      <c r="A116" s="13">
        <v>44378</v>
      </c>
      <c r="B116" s="9">
        <f>3.3976 * CHOOSE(CONTROL!$C$32, $C$9, 100%, $E$9)</f>
        <v>3.3976000000000002</v>
      </c>
      <c r="C116" s="9">
        <f>3.3976 * CHOOSE(CONTROL!$C$32, $C$9, 100%, $E$9)</f>
        <v>3.3976000000000002</v>
      </c>
      <c r="D116" s="9">
        <f>3.3988 * CHOOSE(CONTROL!$C$32, $C$9, 100%, $E$9)</f>
        <v>3.3988</v>
      </c>
      <c r="E116" s="11">
        <f>4.3089 * CHOOSE(CONTROL!$C$32, $C$9, 100%, $E$9)</f>
        <v>4.3089000000000004</v>
      </c>
      <c r="F116" s="11">
        <f>4.3089 * CHOOSE(CONTROL!$C$32, $C$9, 100%, $E$9)</f>
        <v>4.3089000000000004</v>
      </c>
      <c r="G116" s="11">
        <f>4.3131 * CHOOSE(CONTROL!$C$32, $C$9, 100%, $E$9)</f>
        <v>4.3131000000000004</v>
      </c>
      <c r="H116" s="11">
        <f>7.1329 * CHOOSE(CONTROL!$C$32, $C$9, 100%, $E$9)</f>
        <v>7.1329000000000002</v>
      </c>
      <c r="I116" s="11">
        <f>7.1371 * CHOOSE(CONTROL!$C$32, $C$9, 100%, $E$9)</f>
        <v>7.1371000000000002</v>
      </c>
      <c r="J116" s="11">
        <f>7.1329 * CHOOSE(CONTROL!$C$32, $C$9, 100%, $E$9)</f>
        <v>7.1329000000000002</v>
      </c>
      <c r="K116" s="11">
        <f>7.1371 * CHOOSE(CONTROL!$C$32, $C$9, 100%, $E$9)</f>
        <v>7.1371000000000002</v>
      </c>
      <c r="L116" s="11">
        <f>4.3089 * CHOOSE(CONTROL!$C$32, $C$9, 100%, $E$9)</f>
        <v>4.3089000000000004</v>
      </c>
      <c r="M116" s="11">
        <f>4.3131 * CHOOSE(CONTROL!$C$32, $C$9, 100%, $E$9)</f>
        <v>4.3131000000000004</v>
      </c>
      <c r="N116" s="11">
        <f>4.3089 * CHOOSE(CONTROL!$C$32, $C$9, 100%, $E$9)</f>
        <v>4.3089000000000004</v>
      </c>
      <c r="O116" s="11">
        <f>4.3131 * CHOOSE(CONTROL!$C$32, $C$9, 100%, $E$9)</f>
        <v>4.3131000000000004</v>
      </c>
      <c r="P116" s="14"/>
      <c r="Q116" s="14"/>
      <c r="R116" s="14"/>
    </row>
    <row r="117" spans="1:18" ht="15" x14ac:dyDescent="0.2">
      <c r="A117" s="13">
        <v>44409</v>
      </c>
      <c r="B117" s="9">
        <f>3.4043 * CHOOSE(CONTROL!$C$32, $C$9, 100%, $E$9)</f>
        <v>3.4043000000000001</v>
      </c>
      <c r="C117" s="9">
        <f>3.4043 * CHOOSE(CONTROL!$C$32, $C$9, 100%, $E$9)</f>
        <v>3.4043000000000001</v>
      </c>
      <c r="D117" s="9">
        <f>3.4055 * CHOOSE(CONTROL!$C$32, $C$9, 100%, $E$9)</f>
        <v>3.4055</v>
      </c>
      <c r="E117" s="11">
        <f>4.3133 * CHOOSE(CONTROL!$C$32, $C$9, 100%, $E$9)</f>
        <v>4.3132999999999999</v>
      </c>
      <c r="F117" s="11">
        <f>4.3133 * CHOOSE(CONTROL!$C$32, $C$9, 100%, $E$9)</f>
        <v>4.3132999999999999</v>
      </c>
      <c r="G117" s="11">
        <f>4.3175 * CHOOSE(CONTROL!$C$32, $C$9, 100%, $E$9)</f>
        <v>4.3174999999999999</v>
      </c>
      <c r="H117" s="11">
        <f>7.1478 * CHOOSE(CONTROL!$C$32, $C$9, 100%, $E$9)</f>
        <v>7.1478000000000002</v>
      </c>
      <c r="I117" s="11">
        <f>7.152 * CHOOSE(CONTROL!$C$32, $C$9, 100%, $E$9)</f>
        <v>7.1520000000000001</v>
      </c>
      <c r="J117" s="11">
        <f>7.1478 * CHOOSE(CONTROL!$C$32, $C$9, 100%, $E$9)</f>
        <v>7.1478000000000002</v>
      </c>
      <c r="K117" s="11">
        <f>7.152 * CHOOSE(CONTROL!$C$32, $C$9, 100%, $E$9)</f>
        <v>7.1520000000000001</v>
      </c>
      <c r="L117" s="11">
        <f>4.3133 * CHOOSE(CONTROL!$C$32, $C$9, 100%, $E$9)</f>
        <v>4.3132999999999999</v>
      </c>
      <c r="M117" s="11">
        <f>4.3175 * CHOOSE(CONTROL!$C$32, $C$9, 100%, $E$9)</f>
        <v>4.3174999999999999</v>
      </c>
      <c r="N117" s="11">
        <f>4.3133 * CHOOSE(CONTROL!$C$32, $C$9, 100%, $E$9)</f>
        <v>4.3132999999999999</v>
      </c>
      <c r="O117" s="11">
        <f>4.3175 * CHOOSE(CONTROL!$C$32, $C$9, 100%, $E$9)</f>
        <v>4.3174999999999999</v>
      </c>
      <c r="P117" s="14"/>
      <c r="Q117" s="14"/>
      <c r="R117" s="14"/>
    </row>
    <row r="118" spans="1:18" ht="15" x14ac:dyDescent="0.2">
      <c r="A118" s="13">
        <v>44440</v>
      </c>
      <c r="B118" s="9">
        <f>3.4012 * CHOOSE(CONTROL!$C$32, $C$9, 100%, $E$9)</f>
        <v>3.4011999999999998</v>
      </c>
      <c r="C118" s="9">
        <f>3.4012 * CHOOSE(CONTROL!$C$32, $C$9, 100%, $E$9)</f>
        <v>3.4011999999999998</v>
      </c>
      <c r="D118" s="9">
        <f>3.4025 * CHOOSE(CONTROL!$C$32, $C$9, 100%, $E$9)</f>
        <v>3.4024999999999999</v>
      </c>
      <c r="E118" s="11">
        <f>4.3113 * CHOOSE(CONTROL!$C$32, $C$9, 100%, $E$9)</f>
        <v>4.3113000000000001</v>
      </c>
      <c r="F118" s="11">
        <f>4.3113 * CHOOSE(CONTROL!$C$32, $C$9, 100%, $E$9)</f>
        <v>4.3113000000000001</v>
      </c>
      <c r="G118" s="11">
        <f>4.3155 * CHOOSE(CONTROL!$C$32, $C$9, 100%, $E$9)</f>
        <v>4.3155000000000001</v>
      </c>
      <c r="H118" s="11">
        <f>7.1627 * CHOOSE(CONTROL!$C$32, $C$9, 100%, $E$9)</f>
        <v>7.1627000000000001</v>
      </c>
      <c r="I118" s="11">
        <f>7.1669 * CHOOSE(CONTROL!$C$32, $C$9, 100%, $E$9)</f>
        <v>7.1669</v>
      </c>
      <c r="J118" s="11">
        <f>7.1627 * CHOOSE(CONTROL!$C$32, $C$9, 100%, $E$9)</f>
        <v>7.1627000000000001</v>
      </c>
      <c r="K118" s="11">
        <f>7.1669 * CHOOSE(CONTROL!$C$32, $C$9, 100%, $E$9)</f>
        <v>7.1669</v>
      </c>
      <c r="L118" s="11">
        <f>4.3113 * CHOOSE(CONTROL!$C$32, $C$9, 100%, $E$9)</f>
        <v>4.3113000000000001</v>
      </c>
      <c r="M118" s="11">
        <f>4.3155 * CHOOSE(CONTROL!$C$32, $C$9, 100%, $E$9)</f>
        <v>4.3155000000000001</v>
      </c>
      <c r="N118" s="11">
        <f>4.3113 * CHOOSE(CONTROL!$C$32, $C$9, 100%, $E$9)</f>
        <v>4.3113000000000001</v>
      </c>
      <c r="O118" s="11">
        <f>4.3155 * CHOOSE(CONTROL!$C$32, $C$9, 100%, $E$9)</f>
        <v>4.3155000000000001</v>
      </c>
      <c r="P118" s="14"/>
      <c r="Q118" s="14"/>
      <c r="R118" s="14"/>
    </row>
    <row r="119" spans="1:18" ht="15" x14ac:dyDescent="0.2">
      <c r="A119" s="13">
        <v>44470</v>
      </c>
      <c r="B119" s="9">
        <f>3.3942 * CHOOSE(CONTROL!$C$32, $C$9, 100%, $E$9)</f>
        <v>3.3942000000000001</v>
      </c>
      <c r="C119" s="9">
        <f>3.3942 * CHOOSE(CONTROL!$C$32, $C$9, 100%, $E$9)</f>
        <v>3.3942000000000001</v>
      </c>
      <c r="D119" s="9">
        <f>3.3951 * CHOOSE(CONTROL!$C$32, $C$9, 100%, $E$9)</f>
        <v>3.3950999999999998</v>
      </c>
      <c r="E119" s="11">
        <f>4.3049 * CHOOSE(CONTROL!$C$32, $C$9, 100%, $E$9)</f>
        <v>4.3048999999999999</v>
      </c>
      <c r="F119" s="11">
        <f>4.3049 * CHOOSE(CONTROL!$C$32, $C$9, 100%, $E$9)</f>
        <v>4.3048999999999999</v>
      </c>
      <c r="G119" s="11">
        <f>4.3081 * CHOOSE(CONTROL!$C$32, $C$9, 100%, $E$9)</f>
        <v>4.3080999999999996</v>
      </c>
      <c r="H119" s="11">
        <f>7.1776 * CHOOSE(CONTROL!$C$32, $C$9, 100%, $E$9)</f>
        <v>7.1776</v>
      </c>
      <c r="I119" s="11">
        <f>7.1808 * CHOOSE(CONTROL!$C$32, $C$9, 100%, $E$9)</f>
        <v>7.1807999999999996</v>
      </c>
      <c r="J119" s="11">
        <f>7.1776 * CHOOSE(CONTROL!$C$32, $C$9, 100%, $E$9)</f>
        <v>7.1776</v>
      </c>
      <c r="K119" s="11">
        <f>7.1808 * CHOOSE(CONTROL!$C$32, $C$9, 100%, $E$9)</f>
        <v>7.1807999999999996</v>
      </c>
      <c r="L119" s="11">
        <f>4.3049 * CHOOSE(CONTROL!$C$32, $C$9, 100%, $E$9)</f>
        <v>4.3048999999999999</v>
      </c>
      <c r="M119" s="11">
        <f>4.3081 * CHOOSE(CONTROL!$C$32, $C$9, 100%, $E$9)</f>
        <v>4.3080999999999996</v>
      </c>
      <c r="N119" s="11">
        <f>4.3049 * CHOOSE(CONTROL!$C$32, $C$9, 100%, $E$9)</f>
        <v>4.3048999999999999</v>
      </c>
      <c r="O119" s="11">
        <f>4.3081 * CHOOSE(CONTROL!$C$32, $C$9, 100%, $E$9)</f>
        <v>4.3080999999999996</v>
      </c>
      <c r="P119" s="14"/>
      <c r="Q119" s="14"/>
      <c r="R119" s="14"/>
    </row>
    <row r="120" spans="1:18" ht="15" x14ac:dyDescent="0.2">
      <c r="A120" s="13">
        <v>44501</v>
      </c>
      <c r="B120" s="9">
        <f>3.3972 * CHOOSE(CONTROL!$C$32, $C$9, 100%, $E$9)</f>
        <v>3.3972000000000002</v>
      </c>
      <c r="C120" s="9">
        <f>3.3972 * CHOOSE(CONTROL!$C$32, $C$9, 100%, $E$9)</f>
        <v>3.3972000000000002</v>
      </c>
      <c r="D120" s="9">
        <f>3.3982 * CHOOSE(CONTROL!$C$32, $C$9, 100%, $E$9)</f>
        <v>3.3982000000000001</v>
      </c>
      <c r="E120" s="11">
        <f>4.3069 * CHOOSE(CONTROL!$C$32, $C$9, 100%, $E$9)</f>
        <v>4.3068999999999997</v>
      </c>
      <c r="F120" s="11">
        <f>4.3069 * CHOOSE(CONTROL!$C$32, $C$9, 100%, $E$9)</f>
        <v>4.3068999999999997</v>
      </c>
      <c r="G120" s="11">
        <f>4.3101 * CHOOSE(CONTROL!$C$32, $C$9, 100%, $E$9)</f>
        <v>4.3101000000000003</v>
      </c>
      <c r="H120" s="11">
        <f>7.1925 * CHOOSE(CONTROL!$C$32, $C$9, 100%, $E$9)</f>
        <v>7.1924999999999999</v>
      </c>
      <c r="I120" s="11">
        <f>7.1958 * CHOOSE(CONTROL!$C$32, $C$9, 100%, $E$9)</f>
        <v>7.1958000000000002</v>
      </c>
      <c r="J120" s="11">
        <f>7.1925 * CHOOSE(CONTROL!$C$32, $C$9, 100%, $E$9)</f>
        <v>7.1924999999999999</v>
      </c>
      <c r="K120" s="11">
        <f>7.1958 * CHOOSE(CONTROL!$C$32, $C$9, 100%, $E$9)</f>
        <v>7.1958000000000002</v>
      </c>
      <c r="L120" s="11">
        <f>4.3069 * CHOOSE(CONTROL!$C$32, $C$9, 100%, $E$9)</f>
        <v>4.3068999999999997</v>
      </c>
      <c r="M120" s="11">
        <f>4.3101 * CHOOSE(CONTROL!$C$32, $C$9, 100%, $E$9)</f>
        <v>4.3101000000000003</v>
      </c>
      <c r="N120" s="11">
        <f>4.3069 * CHOOSE(CONTROL!$C$32, $C$9, 100%, $E$9)</f>
        <v>4.3068999999999997</v>
      </c>
      <c r="O120" s="11">
        <f>4.3101 * CHOOSE(CONTROL!$C$32, $C$9, 100%, $E$9)</f>
        <v>4.3101000000000003</v>
      </c>
      <c r="P120" s="14"/>
      <c r="Q120" s="14"/>
      <c r="R120" s="14"/>
    </row>
    <row r="121" spans="1:18" ht="15" x14ac:dyDescent="0.2">
      <c r="A121" s="13">
        <v>44531</v>
      </c>
      <c r="B121" s="9">
        <f>3.3972 * CHOOSE(CONTROL!$C$32, $C$9, 100%, $E$9)</f>
        <v>3.3972000000000002</v>
      </c>
      <c r="C121" s="9">
        <f>3.3972 * CHOOSE(CONTROL!$C$32, $C$9, 100%, $E$9)</f>
        <v>3.3972000000000002</v>
      </c>
      <c r="D121" s="9">
        <f>3.3982 * CHOOSE(CONTROL!$C$32, $C$9, 100%, $E$9)</f>
        <v>3.3982000000000001</v>
      </c>
      <c r="E121" s="11">
        <f>4.3069 * CHOOSE(CONTROL!$C$32, $C$9, 100%, $E$9)</f>
        <v>4.3068999999999997</v>
      </c>
      <c r="F121" s="11">
        <f>4.3069 * CHOOSE(CONTROL!$C$32, $C$9, 100%, $E$9)</f>
        <v>4.3068999999999997</v>
      </c>
      <c r="G121" s="11">
        <f>4.3101 * CHOOSE(CONTROL!$C$32, $C$9, 100%, $E$9)</f>
        <v>4.3101000000000003</v>
      </c>
      <c r="H121" s="11">
        <f>7.2075 * CHOOSE(CONTROL!$C$32, $C$9, 100%, $E$9)</f>
        <v>7.2074999999999996</v>
      </c>
      <c r="I121" s="11">
        <f>7.2107 * CHOOSE(CONTROL!$C$32, $C$9, 100%, $E$9)</f>
        <v>7.2107000000000001</v>
      </c>
      <c r="J121" s="11">
        <f>7.2075 * CHOOSE(CONTROL!$C$32, $C$9, 100%, $E$9)</f>
        <v>7.2074999999999996</v>
      </c>
      <c r="K121" s="11">
        <f>7.2107 * CHOOSE(CONTROL!$C$32, $C$9, 100%, $E$9)</f>
        <v>7.2107000000000001</v>
      </c>
      <c r="L121" s="11">
        <f>4.3069 * CHOOSE(CONTROL!$C$32, $C$9, 100%, $E$9)</f>
        <v>4.3068999999999997</v>
      </c>
      <c r="M121" s="11">
        <f>4.3101 * CHOOSE(CONTROL!$C$32, $C$9, 100%, $E$9)</f>
        <v>4.3101000000000003</v>
      </c>
      <c r="N121" s="11">
        <f>4.3069 * CHOOSE(CONTROL!$C$32, $C$9, 100%, $E$9)</f>
        <v>4.3068999999999997</v>
      </c>
      <c r="O121" s="11">
        <f>4.3101 * CHOOSE(CONTROL!$C$32, $C$9, 100%, $E$9)</f>
        <v>4.3101000000000003</v>
      </c>
      <c r="P121" s="14"/>
      <c r="Q121" s="14"/>
      <c r="R121" s="14"/>
    </row>
    <row r="122" spans="1:18" ht="15" x14ac:dyDescent="0.2">
      <c r="A122" s="13">
        <v>44562</v>
      </c>
      <c r="B122" s="9">
        <f>3.4251 * CHOOSE(CONTROL!$C$32, $C$9, 100%, $E$9)</f>
        <v>3.4251</v>
      </c>
      <c r="C122" s="9">
        <f>3.4251 * CHOOSE(CONTROL!$C$32, $C$9, 100%, $E$9)</f>
        <v>3.4251</v>
      </c>
      <c r="D122" s="9">
        <f>3.426 * CHOOSE(CONTROL!$C$32, $C$9, 100%, $E$9)</f>
        <v>3.4260000000000002</v>
      </c>
      <c r="E122" s="11">
        <f>4.3439 * CHOOSE(CONTROL!$C$32, $C$9, 100%, $E$9)</f>
        <v>4.3438999999999997</v>
      </c>
      <c r="F122" s="11">
        <f>4.3439 * CHOOSE(CONTROL!$C$32, $C$9, 100%, $E$9)</f>
        <v>4.3438999999999997</v>
      </c>
      <c r="G122" s="11">
        <f>4.3471 * CHOOSE(CONTROL!$C$32, $C$9, 100%, $E$9)</f>
        <v>4.3471000000000002</v>
      </c>
      <c r="H122" s="11">
        <f>7.2225 * CHOOSE(CONTROL!$C$32, $C$9, 100%, $E$9)</f>
        <v>7.2225000000000001</v>
      </c>
      <c r="I122" s="11">
        <f>7.2258 * CHOOSE(CONTROL!$C$32, $C$9, 100%, $E$9)</f>
        <v>7.2257999999999996</v>
      </c>
      <c r="J122" s="11">
        <f>7.2225 * CHOOSE(CONTROL!$C$32, $C$9, 100%, $E$9)</f>
        <v>7.2225000000000001</v>
      </c>
      <c r="K122" s="11">
        <f>7.2258 * CHOOSE(CONTROL!$C$32, $C$9, 100%, $E$9)</f>
        <v>7.2257999999999996</v>
      </c>
      <c r="L122" s="11">
        <f>4.3439 * CHOOSE(CONTROL!$C$32, $C$9, 100%, $E$9)</f>
        <v>4.3438999999999997</v>
      </c>
      <c r="M122" s="11">
        <f>4.3471 * CHOOSE(CONTROL!$C$32, $C$9, 100%, $E$9)</f>
        <v>4.3471000000000002</v>
      </c>
      <c r="N122" s="11">
        <f>4.3439 * CHOOSE(CONTROL!$C$32, $C$9, 100%, $E$9)</f>
        <v>4.3438999999999997</v>
      </c>
      <c r="O122" s="11">
        <f>4.3471 * CHOOSE(CONTROL!$C$32, $C$9, 100%, $E$9)</f>
        <v>4.3471000000000002</v>
      </c>
      <c r="P122" s="14"/>
      <c r="Q122" s="14"/>
      <c r="R122" s="14"/>
    </row>
    <row r="123" spans="1:18" ht="15" x14ac:dyDescent="0.2">
      <c r="A123" s="13">
        <v>44593</v>
      </c>
      <c r="B123" s="9">
        <f>3.422 * CHOOSE(CONTROL!$C$32, $C$9, 100%, $E$9)</f>
        <v>3.4220000000000002</v>
      </c>
      <c r="C123" s="9">
        <f>3.422 * CHOOSE(CONTROL!$C$32, $C$9, 100%, $E$9)</f>
        <v>3.4220000000000002</v>
      </c>
      <c r="D123" s="9">
        <f>3.423 * CHOOSE(CONTROL!$C$32, $C$9, 100%, $E$9)</f>
        <v>3.423</v>
      </c>
      <c r="E123" s="11">
        <f>4.3419 * CHOOSE(CONTROL!$C$32, $C$9, 100%, $E$9)</f>
        <v>4.3418999999999999</v>
      </c>
      <c r="F123" s="11">
        <f>4.3419 * CHOOSE(CONTROL!$C$32, $C$9, 100%, $E$9)</f>
        <v>4.3418999999999999</v>
      </c>
      <c r="G123" s="11">
        <f>4.3451 * CHOOSE(CONTROL!$C$32, $C$9, 100%, $E$9)</f>
        <v>4.3451000000000004</v>
      </c>
      <c r="H123" s="11">
        <f>7.2376 * CHOOSE(CONTROL!$C$32, $C$9, 100%, $E$9)</f>
        <v>7.2375999999999996</v>
      </c>
      <c r="I123" s="11">
        <f>7.2408 * CHOOSE(CONTROL!$C$32, $C$9, 100%, $E$9)</f>
        <v>7.2408000000000001</v>
      </c>
      <c r="J123" s="11">
        <f>7.2376 * CHOOSE(CONTROL!$C$32, $C$9, 100%, $E$9)</f>
        <v>7.2375999999999996</v>
      </c>
      <c r="K123" s="11">
        <f>7.2408 * CHOOSE(CONTROL!$C$32, $C$9, 100%, $E$9)</f>
        <v>7.2408000000000001</v>
      </c>
      <c r="L123" s="11">
        <f>4.3419 * CHOOSE(CONTROL!$C$32, $C$9, 100%, $E$9)</f>
        <v>4.3418999999999999</v>
      </c>
      <c r="M123" s="11">
        <f>4.3451 * CHOOSE(CONTROL!$C$32, $C$9, 100%, $E$9)</f>
        <v>4.3451000000000004</v>
      </c>
      <c r="N123" s="11">
        <f>4.3419 * CHOOSE(CONTROL!$C$32, $C$9, 100%, $E$9)</f>
        <v>4.3418999999999999</v>
      </c>
      <c r="O123" s="11">
        <f>4.3451 * CHOOSE(CONTROL!$C$32, $C$9, 100%, $E$9)</f>
        <v>4.3451000000000004</v>
      </c>
      <c r="P123" s="14"/>
      <c r="Q123" s="14"/>
      <c r="R123" s="14"/>
    </row>
    <row r="124" spans="1:18" ht="15" x14ac:dyDescent="0.2">
      <c r="A124" s="13">
        <v>44621</v>
      </c>
      <c r="B124" s="9">
        <f>3.419 * CHOOSE(CONTROL!$C$32, $C$9, 100%, $E$9)</f>
        <v>3.419</v>
      </c>
      <c r="C124" s="9">
        <f>3.419 * CHOOSE(CONTROL!$C$32, $C$9, 100%, $E$9)</f>
        <v>3.419</v>
      </c>
      <c r="D124" s="9">
        <f>3.4199 * CHOOSE(CONTROL!$C$32, $C$9, 100%, $E$9)</f>
        <v>3.4199000000000002</v>
      </c>
      <c r="E124" s="11">
        <f>4.3399 * CHOOSE(CONTROL!$C$32, $C$9, 100%, $E$9)</f>
        <v>4.3399000000000001</v>
      </c>
      <c r="F124" s="11">
        <f>4.3399 * CHOOSE(CONTROL!$C$32, $C$9, 100%, $E$9)</f>
        <v>4.3399000000000001</v>
      </c>
      <c r="G124" s="11">
        <f>4.3431 * CHOOSE(CONTROL!$C$32, $C$9, 100%, $E$9)</f>
        <v>4.3430999999999997</v>
      </c>
      <c r="H124" s="11">
        <f>7.2527 * CHOOSE(CONTROL!$C$32, $C$9, 100%, $E$9)</f>
        <v>7.2526999999999999</v>
      </c>
      <c r="I124" s="11">
        <f>7.2559 * CHOOSE(CONTROL!$C$32, $C$9, 100%, $E$9)</f>
        <v>7.2558999999999996</v>
      </c>
      <c r="J124" s="11">
        <f>7.2527 * CHOOSE(CONTROL!$C$32, $C$9, 100%, $E$9)</f>
        <v>7.2526999999999999</v>
      </c>
      <c r="K124" s="11">
        <f>7.2559 * CHOOSE(CONTROL!$C$32, $C$9, 100%, $E$9)</f>
        <v>7.2558999999999996</v>
      </c>
      <c r="L124" s="11">
        <f>4.3399 * CHOOSE(CONTROL!$C$32, $C$9, 100%, $E$9)</f>
        <v>4.3399000000000001</v>
      </c>
      <c r="M124" s="11">
        <f>4.3431 * CHOOSE(CONTROL!$C$32, $C$9, 100%, $E$9)</f>
        <v>4.3430999999999997</v>
      </c>
      <c r="N124" s="11">
        <f>4.3399 * CHOOSE(CONTROL!$C$32, $C$9, 100%, $E$9)</f>
        <v>4.3399000000000001</v>
      </c>
      <c r="O124" s="11">
        <f>4.3431 * CHOOSE(CONTROL!$C$32, $C$9, 100%, $E$9)</f>
        <v>4.3430999999999997</v>
      </c>
      <c r="P124" s="14"/>
      <c r="Q124" s="14"/>
      <c r="R124" s="14"/>
    </row>
    <row r="125" spans="1:18" ht="15" x14ac:dyDescent="0.2">
      <c r="A125" s="13">
        <v>44652</v>
      </c>
      <c r="B125" s="9">
        <f>3.4161 * CHOOSE(CONTROL!$C$32, $C$9, 100%, $E$9)</f>
        <v>3.4161000000000001</v>
      </c>
      <c r="C125" s="9">
        <f>3.4161 * CHOOSE(CONTROL!$C$32, $C$9, 100%, $E$9)</f>
        <v>3.4161000000000001</v>
      </c>
      <c r="D125" s="9">
        <f>3.4171 * CHOOSE(CONTROL!$C$32, $C$9, 100%, $E$9)</f>
        <v>3.4171</v>
      </c>
      <c r="E125" s="11">
        <f>4.3376 * CHOOSE(CONTROL!$C$32, $C$9, 100%, $E$9)</f>
        <v>4.3376000000000001</v>
      </c>
      <c r="F125" s="11">
        <f>4.3376 * CHOOSE(CONTROL!$C$32, $C$9, 100%, $E$9)</f>
        <v>4.3376000000000001</v>
      </c>
      <c r="G125" s="11">
        <f>4.3408 * CHOOSE(CONTROL!$C$32, $C$9, 100%, $E$9)</f>
        <v>4.3407999999999998</v>
      </c>
      <c r="H125" s="11">
        <f>7.2678 * CHOOSE(CONTROL!$C$32, $C$9, 100%, $E$9)</f>
        <v>7.2678000000000003</v>
      </c>
      <c r="I125" s="11">
        <f>7.271 * CHOOSE(CONTROL!$C$32, $C$9, 100%, $E$9)</f>
        <v>7.2709999999999999</v>
      </c>
      <c r="J125" s="11">
        <f>7.2678 * CHOOSE(CONTROL!$C$32, $C$9, 100%, $E$9)</f>
        <v>7.2678000000000003</v>
      </c>
      <c r="K125" s="11">
        <f>7.271 * CHOOSE(CONTROL!$C$32, $C$9, 100%, $E$9)</f>
        <v>7.2709999999999999</v>
      </c>
      <c r="L125" s="11">
        <f>4.3376 * CHOOSE(CONTROL!$C$32, $C$9, 100%, $E$9)</f>
        <v>4.3376000000000001</v>
      </c>
      <c r="M125" s="11">
        <f>4.3408 * CHOOSE(CONTROL!$C$32, $C$9, 100%, $E$9)</f>
        <v>4.3407999999999998</v>
      </c>
      <c r="N125" s="11">
        <f>4.3376 * CHOOSE(CONTROL!$C$32, $C$9, 100%, $E$9)</f>
        <v>4.3376000000000001</v>
      </c>
      <c r="O125" s="11">
        <f>4.3408 * CHOOSE(CONTROL!$C$32, $C$9, 100%, $E$9)</f>
        <v>4.3407999999999998</v>
      </c>
      <c r="P125" s="14"/>
      <c r="Q125" s="14"/>
      <c r="R125" s="14"/>
    </row>
    <row r="126" spans="1:18" ht="15" x14ac:dyDescent="0.2">
      <c r="A126" s="13">
        <v>44682</v>
      </c>
      <c r="B126" s="9">
        <f>3.4161 * CHOOSE(CONTROL!$C$32, $C$9, 100%, $E$9)</f>
        <v>3.4161000000000001</v>
      </c>
      <c r="C126" s="9">
        <f>3.4161 * CHOOSE(CONTROL!$C$32, $C$9, 100%, $E$9)</f>
        <v>3.4161000000000001</v>
      </c>
      <c r="D126" s="9">
        <f>3.4174 * CHOOSE(CONTROL!$C$32, $C$9, 100%, $E$9)</f>
        <v>3.4174000000000002</v>
      </c>
      <c r="E126" s="11">
        <f>4.3376 * CHOOSE(CONTROL!$C$32, $C$9, 100%, $E$9)</f>
        <v>4.3376000000000001</v>
      </c>
      <c r="F126" s="11">
        <f>4.3376 * CHOOSE(CONTROL!$C$32, $C$9, 100%, $E$9)</f>
        <v>4.3376000000000001</v>
      </c>
      <c r="G126" s="11">
        <f>4.3418 * CHOOSE(CONTROL!$C$32, $C$9, 100%, $E$9)</f>
        <v>4.3418000000000001</v>
      </c>
      <c r="H126" s="11">
        <f>7.2829 * CHOOSE(CONTROL!$C$32, $C$9, 100%, $E$9)</f>
        <v>7.2828999999999997</v>
      </c>
      <c r="I126" s="11">
        <f>7.2871 * CHOOSE(CONTROL!$C$32, $C$9, 100%, $E$9)</f>
        <v>7.2870999999999997</v>
      </c>
      <c r="J126" s="11">
        <f>7.2829 * CHOOSE(CONTROL!$C$32, $C$9, 100%, $E$9)</f>
        <v>7.2828999999999997</v>
      </c>
      <c r="K126" s="11">
        <f>7.2871 * CHOOSE(CONTROL!$C$32, $C$9, 100%, $E$9)</f>
        <v>7.2870999999999997</v>
      </c>
      <c r="L126" s="11">
        <f>4.3376 * CHOOSE(CONTROL!$C$32, $C$9, 100%, $E$9)</f>
        <v>4.3376000000000001</v>
      </c>
      <c r="M126" s="11">
        <f>4.3418 * CHOOSE(CONTROL!$C$32, $C$9, 100%, $E$9)</f>
        <v>4.3418000000000001</v>
      </c>
      <c r="N126" s="11">
        <f>4.3376 * CHOOSE(CONTROL!$C$32, $C$9, 100%, $E$9)</f>
        <v>4.3376000000000001</v>
      </c>
      <c r="O126" s="11">
        <f>4.3418 * CHOOSE(CONTROL!$C$32, $C$9, 100%, $E$9)</f>
        <v>4.3418000000000001</v>
      </c>
      <c r="P126" s="14"/>
      <c r="Q126" s="14"/>
      <c r="R126" s="14"/>
    </row>
    <row r="127" spans="1:18" ht="15" x14ac:dyDescent="0.2">
      <c r="A127" s="13">
        <v>44713</v>
      </c>
      <c r="B127" s="9">
        <f>3.4222 * CHOOSE(CONTROL!$C$32, $C$9, 100%, $E$9)</f>
        <v>3.4222000000000001</v>
      </c>
      <c r="C127" s="9">
        <f>3.4222 * CHOOSE(CONTROL!$C$32, $C$9, 100%, $E$9)</f>
        <v>3.4222000000000001</v>
      </c>
      <c r="D127" s="9">
        <f>3.4234 * CHOOSE(CONTROL!$C$32, $C$9, 100%, $E$9)</f>
        <v>3.4234</v>
      </c>
      <c r="E127" s="11">
        <f>4.3416 * CHOOSE(CONTROL!$C$32, $C$9, 100%, $E$9)</f>
        <v>4.3415999999999997</v>
      </c>
      <c r="F127" s="11">
        <f>4.3416 * CHOOSE(CONTROL!$C$32, $C$9, 100%, $E$9)</f>
        <v>4.3415999999999997</v>
      </c>
      <c r="G127" s="11">
        <f>4.3458 * CHOOSE(CONTROL!$C$32, $C$9, 100%, $E$9)</f>
        <v>4.3457999999999997</v>
      </c>
      <c r="H127" s="11">
        <f>7.2981 * CHOOSE(CONTROL!$C$32, $C$9, 100%, $E$9)</f>
        <v>7.2980999999999998</v>
      </c>
      <c r="I127" s="11">
        <f>7.3023 * CHOOSE(CONTROL!$C$32, $C$9, 100%, $E$9)</f>
        <v>7.3022999999999998</v>
      </c>
      <c r="J127" s="11">
        <f>7.2981 * CHOOSE(CONTROL!$C$32, $C$9, 100%, $E$9)</f>
        <v>7.2980999999999998</v>
      </c>
      <c r="K127" s="11">
        <f>7.3023 * CHOOSE(CONTROL!$C$32, $C$9, 100%, $E$9)</f>
        <v>7.3022999999999998</v>
      </c>
      <c r="L127" s="11">
        <f>4.3416 * CHOOSE(CONTROL!$C$32, $C$9, 100%, $E$9)</f>
        <v>4.3415999999999997</v>
      </c>
      <c r="M127" s="11">
        <f>4.3458 * CHOOSE(CONTROL!$C$32, $C$9, 100%, $E$9)</f>
        <v>4.3457999999999997</v>
      </c>
      <c r="N127" s="11">
        <f>4.3416 * CHOOSE(CONTROL!$C$32, $C$9, 100%, $E$9)</f>
        <v>4.3415999999999997</v>
      </c>
      <c r="O127" s="11">
        <f>4.3458 * CHOOSE(CONTROL!$C$32, $C$9, 100%, $E$9)</f>
        <v>4.3457999999999997</v>
      </c>
      <c r="P127" s="14"/>
      <c r="Q127" s="14"/>
      <c r="R127" s="14"/>
    </row>
    <row r="128" spans="1:18" ht="15" x14ac:dyDescent="0.2">
      <c r="A128" s="13">
        <v>44743</v>
      </c>
      <c r="B128" s="9">
        <f>3.4729 * CHOOSE(CONTROL!$C$32, $C$9, 100%, $E$9)</f>
        <v>3.4729000000000001</v>
      </c>
      <c r="C128" s="9">
        <f>3.4729 * CHOOSE(CONTROL!$C$32, $C$9, 100%, $E$9)</f>
        <v>3.4729000000000001</v>
      </c>
      <c r="D128" s="9">
        <f>3.4741 * CHOOSE(CONTROL!$C$32, $C$9, 100%, $E$9)</f>
        <v>3.4741</v>
      </c>
      <c r="E128" s="11">
        <f>4.4233 * CHOOSE(CONTROL!$C$32, $C$9, 100%, $E$9)</f>
        <v>4.4233000000000002</v>
      </c>
      <c r="F128" s="11">
        <f>4.4233 * CHOOSE(CONTROL!$C$32, $C$9, 100%, $E$9)</f>
        <v>4.4233000000000002</v>
      </c>
      <c r="G128" s="11">
        <f>4.4275 * CHOOSE(CONTROL!$C$32, $C$9, 100%, $E$9)</f>
        <v>4.4275000000000002</v>
      </c>
      <c r="H128" s="11">
        <f>7.3133 * CHOOSE(CONTROL!$C$32, $C$9, 100%, $E$9)</f>
        <v>7.3132999999999999</v>
      </c>
      <c r="I128" s="11">
        <f>7.3175 * CHOOSE(CONTROL!$C$32, $C$9, 100%, $E$9)</f>
        <v>7.3174999999999999</v>
      </c>
      <c r="J128" s="11">
        <f>7.3133 * CHOOSE(CONTROL!$C$32, $C$9, 100%, $E$9)</f>
        <v>7.3132999999999999</v>
      </c>
      <c r="K128" s="11">
        <f>7.3175 * CHOOSE(CONTROL!$C$32, $C$9, 100%, $E$9)</f>
        <v>7.3174999999999999</v>
      </c>
      <c r="L128" s="11">
        <f>4.4233 * CHOOSE(CONTROL!$C$32, $C$9, 100%, $E$9)</f>
        <v>4.4233000000000002</v>
      </c>
      <c r="M128" s="11">
        <f>4.4275 * CHOOSE(CONTROL!$C$32, $C$9, 100%, $E$9)</f>
        <v>4.4275000000000002</v>
      </c>
      <c r="N128" s="11">
        <f>4.4233 * CHOOSE(CONTROL!$C$32, $C$9, 100%, $E$9)</f>
        <v>4.4233000000000002</v>
      </c>
      <c r="O128" s="11">
        <f>4.4275 * CHOOSE(CONTROL!$C$32, $C$9, 100%, $E$9)</f>
        <v>4.4275000000000002</v>
      </c>
      <c r="P128" s="14"/>
      <c r="Q128" s="14"/>
      <c r="R128" s="14"/>
    </row>
    <row r="129" spans="1:18" ht="15" x14ac:dyDescent="0.2">
      <c r="A129" s="13">
        <v>44774</v>
      </c>
      <c r="B129" s="9">
        <f>3.4796 * CHOOSE(CONTROL!$C$32, $C$9, 100%, $E$9)</f>
        <v>3.4796</v>
      </c>
      <c r="C129" s="9">
        <f>3.4796 * CHOOSE(CONTROL!$C$32, $C$9, 100%, $E$9)</f>
        <v>3.4796</v>
      </c>
      <c r="D129" s="9">
        <f>3.4808 * CHOOSE(CONTROL!$C$32, $C$9, 100%, $E$9)</f>
        <v>3.4807999999999999</v>
      </c>
      <c r="E129" s="11">
        <f>4.4277 * CHOOSE(CONTROL!$C$32, $C$9, 100%, $E$9)</f>
        <v>4.4276999999999997</v>
      </c>
      <c r="F129" s="11">
        <f>4.4277 * CHOOSE(CONTROL!$C$32, $C$9, 100%, $E$9)</f>
        <v>4.4276999999999997</v>
      </c>
      <c r="G129" s="11">
        <f>4.4319 * CHOOSE(CONTROL!$C$32, $C$9, 100%, $E$9)</f>
        <v>4.4318999999999997</v>
      </c>
      <c r="H129" s="11">
        <f>7.3285 * CHOOSE(CONTROL!$C$32, $C$9, 100%, $E$9)</f>
        <v>7.3285</v>
      </c>
      <c r="I129" s="11">
        <f>7.3327 * CHOOSE(CONTROL!$C$32, $C$9, 100%, $E$9)</f>
        <v>7.3327</v>
      </c>
      <c r="J129" s="11">
        <f>7.3285 * CHOOSE(CONTROL!$C$32, $C$9, 100%, $E$9)</f>
        <v>7.3285</v>
      </c>
      <c r="K129" s="11">
        <f>7.3327 * CHOOSE(CONTROL!$C$32, $C$9, 100%, $E$9)</f>
        <v>7.3327</v>
      </c>
      <c r="L129" s="11">
        <f>4.4277 * CHOOSE(CONTROL!$C$32, $C$9, 100%, $E$9)</f>
        <v>4.4276999999999997</v>
      </c>
      <c r="M129" s="11">
        <f>4.4319 * CHOOSE(CONTROL!$C$32, $C$9, 100%, $E$9)</f>
        <v>4.4318999999999997</v>
      </c>
      <c r="N129" s="11">
        <f>4.4277 * CHOOSE(CONTROL!$C$32, $C$9, 100%, $E$9)</f>
        <v>4.4276999999999997</v>
      </c>
      <c r="O129" s="11">
        <f>4.4319 * CHOOSE(CONTROL!$C$32, $C$9, 100%, $E$9)</f>
        <v>4.4318999999999997</v>
      </c>
      <c r="P129" s="14"/>
      <c r="Q129" s="14"/>
      <c r="R129" s="14"/>
    </row>
    <row r="130" spans="1:18" ht="15" x14ac:dyDescent="0.2">
      <c r="A130" s="13">
        <v>44805</v>
      </c>
      <c r="B130" s="9">
        <f>3.4765 * CHOOSE(CONTROL!$C$32, $C$9, 100%, $E$9)</f>
        <v>3.4765000000000001</v>
      </c>
      <c r="C130" s="9">
        <f>3.4765 * CHOOSE(CONTROL!$C$32, $C$9, 100%, $E$9)</f>
        <v>3.4765000000000001</v>
      </c>
      <c r="D130" s="9">
        <f>3.4778 * CHOOSE(CONTROL!$C$32, $C$9, 100%, $E$9)</f>
        <v>3.4777999999999998</v>
      </c>
      <c r="E130" s="11">
        <f>4.4257 * CHOOSE(CONTROL!$C$32, $C$9, 100%, $E$9)</f>
        <v>4.4257</v>
      </c>
      <c r="F130" s="11">
        <f>4.4257 * CHOOSE(CONTROL!$C$32, $C$9, 100%, $E$9)</f>
        <v>4.4257</v>
      </c>
      <c r="G130" s="11">
        <f>4.4299 * CHOOSE(CONTROL!$C$32, $C$9, 100%, $E$9)</f>
        <v>4.4298999999999999</v>
      </c>
      <c r="H130" s="11">
        <f>7.3438 * CHOOSE(CONTROL!$C$32, $C$9, 100%, $E$9)</f>
        <v>7.3437999999999999</v>
      </c>
      <c r="I130" s="11">
        <f>7.348 * CHOOSE(CONTROL!$C$32, $C$9, 100%, $E$9)</f>
        <v>7.3479999999999999</v>
      </c>
      <c r="J130" s="11">
        <f>7.3438 * CHOOSE(CONTROL!$C$32, $C$9, 100%, $E$9)</f>
        <v>7.3437999999999999</v>
      </c>
      <c r="K130" s="11">
        <f>7.348 * CHOOSE(CONTROL!$C$32, $C$9, 100%, $E$9)</f>
        <v>7.3479999999999999</v>
      </c>
      <c r="L130" s="11">
        <f>4.4257 * CHOOSE(CONTROL!$C$32, $C$9, 100%, $E$9)</f>
        <v>4.4257</v>
      </c>
      <c r="M130" s="11">
        <f>4.4299 * CHOOSE(CONTROL!$C$32, $C$9, 100%, $E$9)</f>
        <v>4.4298999999999999</v>
      </c>
      <c r="N130" s="11">
        <f>4.4257 * CHOOSE(CONTROL!$C$32, $C$9, 100%, $E$9)</f>
        <v>4.4257</v>
      </c>
      <c r="O130" s="11">
        <f>4.4299 * CHOOSE(CONTROL!$C$32, $C$9, 100%, $E$9)</f>
        <v>4.4298999999999999</v>
      </c>
      <c r="P130" s="14"/>
      <c r="Q130" s="14"/>
      <c r="R130" s="14"/>
    </row>
    <row r="131" spans="1:18" ht="15" x14ac:dyDescent="0.2">
      <c r="A131" s="13">
        <v>44835</v>
      </c>
      <c r="B131" s="9">
        <f>3.4698 * CHOOSE(CONTROL!$C$32, $C$9, 100%, $E$9)</f>
        <v>3.4698000000000002</v>
      </c>
      <c r="C131" s="9">
        <f>3.4698 * CHOOSE(CONTROL!$C$32, $C$9, 100%, $E$9)</f>
        <v>3.4698000000000002</v>
      </c>
      <c r="D131" s="9">
        <f>3.4707 * CHOOSE(CONTROL!$C$32, $C$9, 100%, $E$9)</f>
        <v>3.4706999999999999</v>
      </c>
      <c r="E131" s="11">
        <f>4.4195 * CHOOSE(CONTROL!$C$32, $C$9, 100%, $E$9)</f>
        <v>4.4195000000000002</v>
      </c>
      <c r="F131" s="11">
        <f>4.4195 * CHOOSE(CONTROL!$C$32, $C$9, 100%, $E$9)</f>
        <v>4.4195000000000002</v>
      </c>
      <c r="G131" s="11">
        <f>4.4228 * CHOOSE(CONTROL!$C$32, $C$9, 100%, $E$9)</f>
        <v>4.4227999999999996</v>
      </c>
      <c r="H131" s="11">
        <f>7.3591 * CHOOSE(CONTROL!$C$32, $C$9, 100%, $E$9)</f>
        <v>7.3590999999999998</v>
      </c>
      <c r="I131" s="11">
        <f>7.3623 * CHOOSE(CONTROL!$C$32, $C$9, 100%, $E$9)</f>
        <v>7.3623000000000003</v>
      </c>
      <c r="J131" s="11">
        <f>7.3591 * CHOOSE(CONTROL!$C$32, $C$9, 100%, $E$9)</f>
        <v>7.3590999999999998</v>
      </c>
      <c r="K131" s="11">
        <f>7.3623 * CHOOSE(CONTROL!$C$32, $C$9, 100%, $E$9)</f>
        <v>7.3623000000000003</v>
      </c>
      <c r="L131" s="11">
        <f>4.4195 * CHOOSE(CONTROL!$C$32, $C$9, 100%, $E$9)</f>
        <v>4.4195000000000002</v>
      </c>
      <c r="M131" s="11">
        <f>4.4228 * CHOOSE(CONTROL!$C$32, $C$9, 100%, $E$9)</f>
        <v>4.4227999999999996</v>
      </c>
      <c r="N131" s="11">
        <f>4.4195 * CHOOSE(CONTROL!$C$32, $C$9, 100%, $E$9)</f>
        <v>4.4195000000000002</v>
      </c>
      <c r="O131" s="11">
        <f>4.4228 * CHOOSE(CONTROL!$C$32, $C$9, 100%, $E$9)</f>
        <v>4.4227999999999996</v>
      </c>
      <c r="P131" s="14"/>
      <c r="Q131" s="14"/>
      <c r="R131" s="14"/>
    </row>
    <row r="132" spans="1:18" ht="15" x14ac:dyDescent="0.2">
      <c r="A132" s="13">
        <v>44866</v>
      </c>
      <c r="B132" s="9">
        <f>3.4728 * CHOOSE(CONTROL!$C$32, $C$9, 100%, $E$9)</f>
        <v>3.4727999999999999</v>
      </c>
      <c r="C132" s="9">
        <f>3.4728 * CHOOSE(CONTROL!$C$32, $C$9, 100%, $E$9)</f>
        <v>3.4727999999999999</v>
      </c>
      <c r="D132" s="9">
        <f>3.4738 * CHOOSE(CONTROL!$C$32, $C$9, 100%, $E$9)</f>
        <v>3.4738000000000002</v>
      </c>
      <c r="E132" s="11">
        <f>4.4215 * CHOOSE(CONTROL!$C$32, $C$9, 100%, $E$9)</f>
        <v>4.4215</v>
      </c>
      <c r="F132" s="11">
        <f>4.4215 * CHOOSE(CONTROL!$C$32, $C$9, 100%, $E$9)</f>
        <v>4.4215</v>
      </c>
      <c r="G132" s="11">
        <f>4.4248 * CHOOSE(CONTROL!$C$32, $C$9, 100%, $E$9)</f>
        <v>4.4248000000000003</v>
      </c>
      <c r="H132" s="11">
        <f>7.3744 * CHOOSE(CONTROL!$C$32, $C$9, 100%, $E$9)</f>
        <v>7.3743999999999996</v>
      </c>
      <c r="I132" s="11">
        <f>7.3776 * CHOOSE(CONTROL!$C$32, $C$9, 100%, $E$9)</f>
        <v>7.3776000000000002</v>
      </c>
      <c r="J132" s="11">
        <f>7.3744 * CHOOSE(CONTROL!$C$32, $C$9, 100%, $E$9)</f>
        <v>7.3743999999999996</v>
      </c>
      <c r="K132" s="11">
        <f>7.3776 * CHOOSE(CONTROL!$C$32, $C$9, 100%, $E$9)</f>
        <v>7.3776000000000002</v>
      </c>
      <c r="L132" s="11">
        <f>4.4215 * CHOOSE(CONTROL!$C$32, $C$9, 100%, $E$9)</f>
        <v>4.4215</v>
      </c>
      <c r="M132" s="11">
        <f>4.4248 * CHOOSE(CONTROL!$C$32, $C$9, 100%, $E$9)</f>
        <v>4.4248000000000003</v>
      </c>
      <c r="N132" s="11">
        <f>4.4215 * CHOOSE(CONTROL!$C$32, $C$9, 100%, $E$9)</f>
        <v>4.4215</v>
      </c>
      <c r="O132" s="11">
        <f>4.4248 * CHOOSE(CONTROL!$C$32, $C$9, 100%, $E$9)</f>
        <v>4.4248000000000003</v>
      </c>
      <c r="P132" s="14"/>
      <c r="Q132" s="14"/>
      <c r="R132" s="14"/>
    </row>
    <row r="133" spans="1:18" ht="15" x14ac:dyDescent="0.2">
      <c r="A133" s="13">
        <v>44896</v>
      </c>
      <c r="B133" s="9">
        <f>3.4728 * CHOOSE(CONTROL!$C$32, $C$9, 100%, $E$9)</f>
        <v>3.4727999999999999</v>
      </c>
      <c r="C133" s="9">
        <f>3.4728 * CHOOSE(CONTROL!$C$32, $C$9, 100%, $E$9)</f>
        <v>3.4727999999999999</v>
      </c>
      <c r="D133" s="9">
        <f>3.4738 * CHOOSE(CONTROL!$C$32, $C$9, 100%, $E$9)</f>
        <v>3.4738000000000002</v>
      </c>
      <c r="E133" s="11">
        <f>4.4215 * CHOOSE(CONTROL!$C$32, $C$9, 100%, $E$9)</f>
        <v>4.4215</v>
      </c>
      <c r="F133" s="11">
        <f>4.4215 * CHOOSE(CONTROL!$C$32, $C$9, 100%, $E$9)</f>
        <v>4.4215</v>
      </c>
      <c r="G133" s="11">
        <f>4.4248 * CHOOSE(CONTROL!$C$32, $C$9, 100%, $E$9)</f>
        <v>4.4248000000000003</v>
      </c>
      <c r="H133" s="11">
        <f>7.3898 * CHOOSE(CONTROL!$C$32, $C$9, 100%, $E$9)</f>
        <v>7.3898000000000001</v>
      </c>
      <c r="I133" s="11">
        <f>7.393 * CHOOSE(CONTROL!$C$32, $C$9, 100%, $E$9)</f>
        <v>7.3929999999999998</v>
      </c>
      <c r="J133" s="11">
        <f>7.3898 * CHOOSE(CONTROL!$C$32, $C$9, 100%, $E$9)</f>
        <v>7.3898000000000001</v>
      </c>
      <c r="K133" s="11">
        <f>7.393 * CHOOSE(CONTROL!$C$32, $C$9, 100%, $E$9)</f>
        <v>7.3929999999999998</v>
      </c>
      <c r="L133" s="11">
        <f>4.4215 * CHOOSE(CONTROL!$C$32, $C$9, 100%, $E$9)</f>
        <v>4.4215</v>
      </c>
      <c r="M133" s="11">
        <f>4.4248 * CHOOSE(CONTROL!$C$32, $C$9, 100%, $E$9)</f>
        <v>4.4248000000000003</v>
      </c>
      <c r="N133" s="11">
        <f>4.4215 * CHOOSE(CONTROL!$C$32, $C$9, 100%, $E$9)</f>
        <v>4.4215</v>
      </c>
      <c r="O133" s="11">
        <f>4.4248 * CHOOSE(CONTROL!$C$32, $C$9, 100%, $E$9)</f>
        <v>4.4248000000000003</v>
      </c>
      <c r="P133" s="14"/>
      <c r="Q133" s="14"/>
      <c r="R133" s="14"/>
    </row>
    <row r="134" spans="1:18" ht="15" x14ac:dyDescent="0.2">
      <c r="A134" s="13">
        <v>44927</v>
      </c>
      <c r="B134" s="9">
        <f>3.5089 * CHOOSE(CONTROL!$C$32, $C$9, 100%, $E$9)</f>
        <v>3.5089000000000001</v>
      </c>
      <c r="C134" s="9">
        <f>3.5089 * CHOOSE(CONTROL!$C$32, $C$9, 100%, $E$9)</f>
        <v>3.5089000000000001</v>
      </c>
      <c r="D134" s="9">
        <f>3.5098 * CHOOSE(CONTROL!$C$32, $C$9, 100%, $E$9)</f>
        <v>3.5097999999999998</v>
      </c>
      <c r="E134" s="11">
        <f>4.4558 * CHOOSE(CONTROL!$C$32, $C$9, 100%, $E$9)</f>
        <v>4.4558</v>
      </c>
      <c r="F134" s="11">
        <f>4.4558 * CHOOSE(CONTROL!$C$32, $C$9, 100%, $E$9)</f>
        <v>4.4558</v>
      </c>
      <c r="G134" s="11">
        <f>4.459 * CHOOSE(CONTROL!$C$32, $C$9, 100%, $E$9)</f>
        <v>4.4589999999999996</v>
      </c>
      <c r="H134" s="11">
        <f>7.4052 * CHOOSE(CONTROL!$C$32, $C$9, 100%, $E$9)</f>
        <v>7.4051999999999998</v>
      </c>
      <c r="I134" s="11">
        <f>7.4084 * CHOOSE(CONTROL!$C$32, $C$9, 100%, $E$9)</f>
        <v>7.4084000000000003</v>
      </c>
      <c r="J134" s="11">
        <f>7.4052 * CHOOSE(CONTROL!$C$32, $C$9, 100%, $E$9)</f>
        <v>7.4051999999999998</v>
      </c>
      <c r="K134" s="11">
        <f>7.4084 * CHOOSE(CONTROL!$C$32, $C$9, 100%, $E$9)</f>
        <v>7.4084000000000003</v>
      </c>
      <c r="L134" s="11">
        <f>4.4558 * CHOOSE(CONTROL!$C$32, $C$9, 100%, $E$9)</f>
        <v>4.4558</v>
      </c>
      <c r="M134" s="11">
        <f>4.459 * CHOOSE(CONTROL!$C$32, $C$9, 100%, $E$9)</f>
        <v>4.4589999999999996</v>
      </c>
      <c r="N134" s="11">
        <f>4.4558 * CHOOSE(CONTROL!$C$32, $C$9, 100%, $E$9)</f>
        <v>4.4558</v>
      </c>
      <c r="O134" s="11">
        <f>4.459 * CHOOSE(CONTROL!$C$32, $C$9, 100%, $E$9)</f>
        <v>4.4589999999999996</v>
      </c>
      <c r="P134" s="14"/>
      <c r="Q134" s="14"/>
      <c r="R134" s="14"/>
    </row>
    <row r="135" spans="1:18" ht="15" x14ac:dyDescent="0.2">
      <c r="A135" s="13">
        <v>44958</v>
      </c>
      <c r="B135" s="9">
        <f>3.5058 * CHOOSE(CONTROL!$C$32, $C$9, 100%, $E$9)</f>
        <v>3.5057999999999998</v>
      </c>
      <c r="C135" s="9">
        <f>3.5058 * CHOOSE(CONTROL!$C$32, $C$9, 100%, $E$9)</f>
        <v>3.5057999999999998</v>
      </c>
      <c r="D135" s="9">
        <f>3.5068 * CHOOSE(CONTROL!$C$32, $C$9, 100%, $E$9)</f>
        <v>3.5068000000000001</v>
      </c>
      <c r="E135" s="11">
        <f>4.4538 * CHOOSE(CONTROL!$C$32, $C$9, 100%, $E$9)</f>
        <v>4.4538000000000002</v>
      </c>
      <c r="F135" s="11">
        <f>4.4538 * CHOOSE(CONTROL!$C$32, $C$9, 100%, $E$9)</f>
        <v>4.4538000000000002</v>
      </c>
      <c r="G135" s="11">
        <f>4.457 * CHOOSE(CONTROL!$C$32, $C$9, 100%, $E$9)</f>
        <v>4.4569999999999999</v>
      </c>
      <c r="H135" s="11">
        <f>7.4206 * CHOOSE(CONTROL!$C$32, $C$9, 100%, $E$9)</f>
        <v>7.4206000000000003</v>
      </c>
      <c r="I135" s="11">
        <f>7.4238 * CHOOSE(CONTROL!$C$32, $C$9, 100%, $E$9)</f>
        <v>7.4238</v>
      </c>
      <c r="J135" s="11">
        <f>7.4206 * CHOOSE(CONTROL!$C$32, $C$9, 100%, $E$9)</f>
        <v>7.4206000000000003</v>
      </c>
      <c r="K135" s="11">
        <f>7.4238 * CHOOSE(CONTROL!$C$32, $C$9, 100%, $E$9)</f>
        <v>7.4238</v>
      </c>
      <c r="L135" s="11">
        <f>4.4538 * CHOOSE(CONTROL!$C$32, $C$9, 100%, $E$9)</f>
        <v>4.4538000000000002</v>
      </c>
      <c r="M135" s="11">
        <f>4.457 * CHOOSE(CONTROL!$C$32, $C$9, 100%, $E$9)</f>
        <v>4.4569999999999999</v>
      </c>
      <c r="N135" s="11">
        <f>4.4538 * CHOOSE(CONTROL!$C$32, $C$9, 100%, $E$9)</f>
        <v>4.4538000000000002</v>
      </c>
      <c r="O135" s="11">
        <f>4.457 * CHOOSE(CONTROL!$C$32, $C$9, 100%, $E$9)</f>
        <v>4.4569999999999999</v>
      </c>
      <c r="P135" s="14"/>
      <c r="Q135" s="14"/>
      <c r="R135" s="14"/>
    </row>
    <row r="136" spans="1:18" ht="15" x14ac:dyDescent="0.2">
      <c r="A136" s="13">
        <v>44986</v>
      </c>
      <c r="B136" s="9">
        <f>3.5028 * CHOOSE(CONTROL!$C$32, $C$9, 100%, $E$9)</f>
        <v>3.5028000000000001</v>
      </c>
      <c r="C136" s="9">
        <f>3.5028 * CHOOSE(CONTROL!$C$32, $C$9, 100%, $E$9)</f>
        <v>3.5028000000000001</v>
      </c>
      <c r="D136" s="9">
        <f>3.5038 * CHOOSE(CONTROL!$C$32, $C$9, 100%, $E$9)</f>
        <v>3.5038</v>
      </c>
      <c r="E136" s="11">
        <f>4.4518 * CHOOSE(CONTROL!$C$32, $C$9, 100%, $E$9)</f>
        <v>4.4518000000000004</v>
      </c>
      <c r="F136" s="11">
        <f>4.4518 * CHOOSE(CONTROL!$C$32, $C$9, 100%, $E$9)</f>
        <v>4.4518000000000004</v>
      </c>
      <c r="G136" s="11">
        <f>4.455 * CHOOSE(CONTROL!$C$32, $C$9, 100%, $E$9)</f>
        <v>4.4550000000000001</v>
      </c>
      <c r="H136" s="11">
        <f>7.4361 * CHOOSE(CONTROL!$C$32, $C$9, 100%, $E$9)</f>
        <v>7.4360999999999997</v>
      </c>
      <c r="I136" s="11">
        <f>7.4393 * CHOOSE(CONTROL!$C$32, $C$9, 100%, $E$9)</f>
        <v>7.4393000000000002</v>
      </c>
      <c r="J136" s="11">
        <f>7.4361 * CHOOSE(CONTROL!$C$32, $C$9, 100%, $E$9)</f>
        <v>7.4360999999999997</v>
      </c>
      <c r="K136" s="11">
        <f>7.4393 * CHOOSE(CONTROL!$C$32, $C$9, 100%, $E$9)</f>
        <v>7.4393000000000002</v>
      </c>
      <c r="L136" s="11">
        <f>4.4518 * CHOOSE(CONTROL!$C$32, $C$9, 100%, $E$9)</f>
        <v>4.4518000000000004</v>
      </c>
      <c r="M136" s="11">
        <f>4.455 * CHOOSE(CONTROL!$C$32, $C$9, 100%, $E$9)</f>
        <v>4.4550000000000001</v>
      </c>
      <c r="N136" s="11">
        <f>4.4518 * CHOOSE(CONTROL!$C$32, $C$9, 100%, $E$9)</f>
        <v>4.4518000000000004</v>
      </c>
      <c r="O136" s="11">
        <f>4.455 * CHOOSE(CONTROL!$C$32, $C$9, 100%, $E$9)</f>
        <v>4.4550000000000001</v>
      </c>
      <c r="P136" s="14"/>
      <c r="Q136" s="14"/>
      <c r="R136" s="14"/>
    </row>
    <row r="137" spans="1:18" ht="15" x14ac:dyDescent="0.2">
      <c r="A137" s="13">
        <v>45017</v>
      </c>
      <c r="B137" s="9">
        <f>3.5 * CHOOSE(CONTROL!$C$32, $C$9, 100%, $E$9)</f>
        <v>3.5</v>
      </c>
      <c r="C137" s="9">
        <f>3.5 * CHOOSE(CONTROL!$C$32, $C$9, 100%, $E$9)</f>
        <v>3.5</v>
      </c>
      <c r="D137" s="9">
        <f>3.501 * CHOOSE(CONTROL!$C$32, $C$9, 100%, $E$9)</f>
        <v>3.5009999999999999</v>
      </c>
      <c r="E137" s="11">
        <f>4.4495 * CHOOSE(CONTROL!$C$32, $C$9, 100%, $E$9)</f>
        <v>4.4494999999999996</v>
      </c>
      <c r="F137" s="11">
        <f>4.4495 * CHOOSE(CONTROL!$C$32, $C$9, 100%, $E$9)</f>
        <v>4.4494999999999996</v>
      </c>
      <c r="G137" s="11">
        <f>4.4527 * CHOOSE(CONTROL!$C$32, $C$9, 100%, $E$9)</f>
        <v>4.4527000000000001</v>
      </c>
      <c r="H137" s="11">
        <f>7.4516 * CHOOSE(CONTROL!$C$32, $C$9, 100%, $E$9)</f>
        <v>7.4516</v>
      </c>
      <c r="I137" s="11">
        <f>7.4548 * CHOOSE(CONTROL!$C$32, $C$9, 100%, $E$9)</f>
        <v>7.4547999999999996</v>
      </c>
      <c r="J137" s="11">
        <f>7.4516 * CHOOSE(CONTROL!$C$32, $C$9, 100%, $E$9)</f>
        <v>7.4516</v>
      </c>
      <c r="K137" s="11">
        <f>7.4548 * CHOOSE(CONTROL!$C$32, $C$9, 100%, $E$9)</f>
        <v>7.4547999999999996</v>
      </c>
      <c r="L137" s="11">
        <f>4.4495 * CHOOSE(CONTROL!$C$32, $C$9, 100%, $E$9)</f>
        <v>4.4494999999999996</v>
      </c>
      <c r="M137" s="11">
        <f>4.4527 * CHOOSE(CONTROL!$C$32, $C$9, 100%, $E$9)</f>
        <v>4.4527000000000001</v>
      </c>
      <c r="N137" s="11">
        <f>4.4495 * CHOOSE(CONTROL!$C$32, $C$9, 100%, $E$9)</f>
        <v>4.4494999999999996</v>
      </c>
      <c r="O137" s="11">
        <f>4.4527 * CHOOSE(CONTROL!$C$32, $C$9, 100%, $E$9)</f>
        <v>4.4527000000000001</v>
      </c>
      <c r="P137" s="14"/>
      <c r="Q137" s="14"/>
      <c r="R137" s="14"/>
    </row>
    <row r="138" spans="1:18" ht="15" x14ac:dyDescent="0.2">
      <c r="A138" s="13">
        <v>45047</v>
      </c>
      <c r="B138" s="9">
        <f>3.5 * CHOOSE(CONTROL!$C$32, $C$9, 100%, $E$9)</f>
        <v>3.5</v>
      </c>
      <c r="C138" s="9">
        <f>3.5 * CHOOSE(CONTROL!$C$32, $C$9, 100%, $E$9)</f>
        <v>3.5</v>
      </c>
      <c r="D138" s="9">
        <f>3.5013 * CHOOSE(CONTROL!$C$32, $C$9, 100%, $E$9)</f>
        <v>3.5013000000000001</v>
      </c>
      <c r="E138" s="11">
        <f>4.4495 * CHOOSE(CONTROL!$C$32, $C$9, 100%, $E$9)</f>
        <v>4.4494999999999996</v>
      </c>
      <c r="F138" s="11">
        <f>4.4495 * CHOOSE(CONTROL!$C$32, $C$9, 100%, $E$9)</f>
        <v>4.4494999999999996</v>
      </c>
      <c r="G138" s="11">
        <f>4.4537 * CHOOSE(CONTROL!$C$32, $C$9, 100%, $E$9)</f>
        <v>4.4537000000000004</v>
      </c>
      <c r="H138" s="11">
        <f>7.4671 * CHOOSE(CONTROL!$C$32, $C$9, 100%, $E$9)</f>
        <v>7.4671000000000003</v>
      </c>
      <c r="I138" s="11">
        <f>7.4713 * CHOOSE(CONTROL!$C$32, $C$9, 100%, $E$9)</f>
        <v>7.4713000000000003</v>
      </c>
      <c r="J138" s="11">
        <f>7.4671 * CHOOSE(CONTROL!$C$32, $C$9, 100%, $E$9)</f>
        <v>7.4671000000000003</v>
      </c>
      <c r="K138" s="11">
        <f>7.4713 * CHOOSE(CONTROL!$C$32, $C$9, 100%, $E$9)</f>
        <v>7.4713000000000003</v>
      </c>
      <c r="L138" s="11">
        <f>4.4495 * CHOOSE(CONTROL!$C$32, $C$9, 100%, $E$9)</f>
        <v>4.4494999999999996</v>
      </c>
      <c r="M138" s="11">
        <f>4.4537 * CHOOSE(CONTROL!$C$32, $C$9, 100%, $E$9)</f>
        <v>4.4537000000000004</v>
      </c>
      <c r="N138" s="11">
        <f>4.4495 * CHOOSE(CONTROL!$C$32, $C$9, 100%, $E$9)</f>
        <v>4.4494999999999996</v>
      </c>
      <c r="O138" s="11">
        <f>4.4537 * CHOOSE(CONTROL!$C$32, $C$9, 100%, $E$9)</f>
        <v>4.4537000000000004</v>
      </c>
      <c r="P138" s="14"/>
      <c r="Q138" s="14"/>
      <c r="R138" s="14"/>
    </row>
    <row r="139" spans="1:18" ht="15" x14ac:dyDescent="0.2">
      <c r="A139" s="13">
        <v>45078</v>
      </c>
      <c r="B139" s="9">
        <f>3.5061 * CHOOSE(CONTROL!$C$32, $C$9, 100%, $E$9)</f>
        <v>3.5061</v>
      </c>
      <c r="C139" s="9">
        <f>3.5061 * CHOOSE(CONTROL!$C$32, $C$9, 100%, $E$9)</f>
        <v>3.5061</v>
      </c>
      <c r="D139" s="9">
        <f>3.5073 * CHOOSE(CONTROL!$C$32, $C$9, 100%, $E$9)</f>
        <v>3.5072999999999999</v>
      </c>
      <c r="E139" s="11">
        <f>4.4535 * CHOOSE(CONTROL!$C$32, $C$9, 100%, $E$9)</f>
        <v>4.4535</v>
      </c>
      <c r="F139" s="11">
        <f>4.4535 * CHOOSE(CONTROL!$C$32, $C$9, 100%, $E$9)</f>
        <v>4.4535</v>
      </c>
      <c r="G139" s="11">
        <f>4.4577 * CHOOSE(CONTROL!$C$32, $C$9, 100%, $E$9)</f>
        <v>4.4577</v>
      </c>
      <c r="H139" s="11">
        <f>7.4826 * CHOOSE(CONTROL!$C$32, $C$9, 100%, $E$9)</f>
        <v>7.4825999999999997</v>
      </c>
      <c r="I139" s="11">
        <f>7.4868 * CHOOSE(CONTROL!$C$32, $C$9, 100%, $E$9)</f>
        <v>7.4867999999999997</v>
      </c>
      <c r="J139" s="11">
        <f>7.4826 * CHOOSE(CONTROL!$C$32, $C$9, 100%, $E$9)</f>
        <v>7.4825999999999997</v>
      </c>
      <c r="K139" s="11">
        <f>7.4868 * CHOOSE(CONTROL!$C$32, $C$9, 100%, $E$9)</f>
        <v>7.4867999999999997</v>
      </c>
      <c r="L139" s="11">
        <f>4.4535 * CHOOSE(CONTROL!$C$32, $C$9, 100%, $E$9)</f>
        <v>4.4535</v>
      </c>
      <c r="M139" s="11">
        <f>4.4577 * CHOOSE(CONTROL!$C$32, $C$9, 100%, $E$9)</f>
        <v>4.4577</v>
      </c>
      <c r="N139" s="11">
        <f>4.4535 * CHOOSE(CONTROL!$C$32, $C$9, 100%, $E$9)</f>
        <v>4.4535</v>
      </c>
      <c r="O139" s="11">
        <f>4.4577 * CHOOSE(CONTROL!$C$32, $C$9, 100%, $E$9)</f>
        <v>4.4577</v>
      </c>
      <c r="P139" s="14"/>
      <c r="Q139" s="14"/>
      <c r="R139" s="14"/>
    </row>
    <row r="140" spans="1:18" ht="15" x14ac:dyDescent="0.2">
      <c r="A140" s="13">
        <v>45108</v>
      </c>
      <c r="B140" s="9">
        <f>3.5764 * CHOOSE(CONTROL!$C$32, $C$9, 100%, $E$9)</f>
        <v>3.5764</v>
      </c>
      <c r="C140" s="9">
        <f>3.5764 * CHOOSE(CONTROL!$C$32, $C$9, 100%, $E$9)</f>
        <v>3.5764</v>
      </c>
      <c r="D140" s="9">
        <f>3.5776 * CHOOSE(CONTROL!$C$32, $C$9, 100%, $E$9)</f>
        <v>3.5775999999999999</v>
      </c>
      <c r="E140" s="11">
        <f>4.5283 * CHOOSE(CONTROL!$C$32, $C$9, 100%, $E$9)</f>
        <v>4.5282999999999998</v>
      </c>
      <c r="F140" s="11">
        <f>4.5283 * CHOOSE(CONTROL!$C$32, $C$9, 100%, $E$9)</f>
        <v>4.5282999999999998</v>
      </c>
      <c r="G140" s="11">
        <f>4.5325 * CHOOSE(CONTROL!$C$32, $C$9, 100%, $E$9)</f>
        <v>4.5324999999999998</v>
      </c>
      <c r="H140" s="11">
        <f>7.4982 * CHOOSE(CONTROL!$C$32, $C$9, 100%, $E$9)</f>
        <v>7.4981999999999998</v>
      </c>
      <c r="I140" s="11">
        <f>7.5024 * CHOOSE(CONTROL!$C$32, $C$9, 100%, $E$9)</f>
        <v>7.5023999999999997</v>
      </c>
      <c r="J140" s="11">
        <f>7.4982 * CHOOSE(CONTROL!$C$32, $C$9, 100%, $E$9)</f>
        <v>7.4981999999999998</v>
      </c>
      <c r="K140" s="11">
        <f>7.5024 * CHOOSE(CONTROL!$C$32, $C$9, 100%, $E$9)</f>
        <v>7.5023999999999997</v>
      </c>
      <c r="L140" s="11">
        <f>4.5283 * CHOOSE(CONTROL!$C$32, $C$9, 100%, $E$9)</f>
        <v>4.5282999999999998</v>
      </c>
      <c r="M140" s="11">
        <f>4.5325 * CHOOSE(CONTROL!$C$32, $C$9, 100%, $E$9)</f>
        <v>4.5324999999999998</v>
      </c>
      <c r="N140" s="11">
        <f>4.5283 * CHOOSE(CONTROL!$C$32, $C$9, 100%, $E$9)</f>
        <v>4.5282999999999998</v>
      </c>
      <c r="O140" s="11">
        <f>4.5325 * CHOOSE(CONTROL!$C$32, $C$9, 100%, $E$9)</f>
        <v>4.5324999999999998</v>
      </c>
      <c r="P140" s="14"/>
      <c r="Q140" s="14"/>
      <c r="R140" s="14"/>
    </row>
    <row r="141" spans="1:18" ht="15" x14ac:dyDescent="0.2">
      <c r="A141" s="13">
        <v>45139</v>
      </c>
      <c r="B141" s="9">
        <f>3.5831 * CHOOSE(CONTROL!$C$32, $C$9, 100%, $E$9)</f>
        <v>3.5831</v>
      </c>
      <c r="C141" s="9">
        <f>3.5831 * CHOOSE(CONTROL!$C$32, $C$9, 100%, $E$9)</f>
        <v>3.5831</v>
      </c>
      <c r="D141" s="9">
        <f>3.5843 * CHOOSE(CONTROL!$C$32, $C$9, 100%, $E$9)</f>
        <v>3.5842999999999998</v>
      </c>
      <c r="E141" s="11">
        <f>4.5327 * CHOOSE(CONTROL!$C$32, $C$9, 100%, $E$9)</f>
        <v>4.5327000000000002</v>
      </c>
      <c r="F141" s="11">
        <f>4.5327 * CHOOSE(CONTROL!$C$32, $C$9, 100%, $E$9)</f>
        <v>4.5327000000000002</v>
      </c>
      <c r="G141" s="11">
        <f>4.5369 * CHOOSE(CONTROL!$C$32, $C$9, 100%, $E$9)</f>
        <v>4.5369000000000002</v>
      </c>
      <c r="H141" s="11">
        <f>7.5138 * CHOOSE(CONTROL!$C$32, $C$9, 100%, $E$9)</f>
        <v>7.5137999999999998</v>
      </c>
      <c r="I141" s="11">
        <f>7.5181 * CHOOSE(CONTROL!$C$32, $C$9, 100%, $E$9)</f>
        <v>7.5180999999999996</v>
      </c>
      <c r="J141" s="11">
        <f>7.5138 * CHOOSE(CONTROL!$C$32, $C$9, 100%, $E$9)</f>
        <v>7.5137999999999998</v>
      </c>
      <c r="K141" s="11">
        <f>7.5181 * CHOOSE(CONTROL!$C$32, $C$9, 100%, $E$9)</f>
        <v>7.5180999999999996</v>
      </c>
      <c r="L141" s="11">
        <f>4.5327 * CHOOSE(CONTROL!$C$32, $C$9, 100%, $E$9)</f>
        <v>4.5327000000000002</v>
      </c>
      <c r="M141" s="11">
        <f>4.5369 * CHOOSE(CONTROL!$C$32, $C$9, 100%, $E$9)</f>
        <v>4.5369000000000002</v>
      </c>
      <c r="N141" s="11">
        <f>4.5327 * CHOOSE(CONTROL!$C$32, $C$9, 100%, $E$9)</f>
        <v>4.5327000000000002</v>
      </c>
      <c r="O141" s="11">
        <f>4.5369 * CHOOSE(CONTROL!$C$32, $C$9, 100%, $E$9)</f>
        <v>4.5369000000000002</v>
      </c>
      <c r="P141" s="14"/>
      <c r="Q141" s="14"/>
      <c r="R141" s="14"/>
    </row>
    <row r="142" spans="1:18" ht="15" x14ac:dyDescent="0.2">
      <c r="A142" s="13">
        <v>45170</v>
      </c>
      <c r="B142" s="9">
        <f>3.58 * CHOOSE(CONTROL!$C$32, $C$9, 100%, $E$9)</f>
        <v>3.58</v>
      </c>
      <c r="C142" s="9">
        <f>3.58 * CHOOSE(CONTROL!$C$32, $C$9, 100%, $E$9)</f>
        <v>3.58</v>
      </c>
      <c r="D142" s="9">
        <f>3.5813 * CHOOSE(CONTROL!$C$32, $C$9, 100%, $E$9)</f>
        <v>3.5813000000000001</v>
      </c>
      <c r="E142" s="11">
        <f>4.5307 * CHOOSE(CONTROL!$C$32, $C$9, 100%, $E$9)</f>
        <v>4.5307000000000004</v>
      </c>
      <c r="F142" s="11">
        <f>4.5307 * CHOOSE(CONTROL!$C$32, $C$9, 100%, $E$9)</f>
        <v>4.5307000000000004</v>
      </c>
      <c r="G142" s="11">
        <f>4.5349 * CHOOSE(CONTROL!$C$32, $C$9, 100%, $E$9)</f>
        <v>4.5349000000000004</v>
      </c>
      <c r="H142" s="11">
        <f>7.5295 * CHOOSE(CONTROL!$C$32, $C$9, 100%, $E$9)</f>
        <v>7.5294999999999996</v>
      </c>
      <c r="I142" s="11">
        <f>7.5337 * CHOOSE(CONTROL!$C$32, $C$9, 100%, $E$9)</f>
        <v>7.5336999999999996</v>
      </c>
      <c r="J142" s="11">
        <f>7.5295 * CHOOSE(CONTROL!$C$32, $C$9, 100%, $E$9)</f>
        <v>7.5294999999999996</v>
      </c>
      <c r="K142" s="11">
        <f>7.5337 * CHOOSE(CONTROL!$C$32, $C$9, 100%, $E$9)</f>
        <v>7.5336999999999996</v>
      </c>
      <c r="L142" s="11">
        <f>4.5307 * CHOOSE(CONTROL!$C$32, $C$9, 100%, $E$9)</f>
        <v>4.5307000000000004</v>
      </c>
      <c r="M142" s="11">
        <f>4.5349 * CHOOSE(CONTROL!$C$32, $C$9, 100%, $E$9)</f>
        <v>4.5349000000000004</v>
      </c>
      <c r="N142" s="11">
        <f>4.5307 * CHOOSE(CONTROL!$C$32, $C$9, 100%, $E$9)</f>
        <v>4.5307000000000004</v>
      </c>
      <c r="O142" s="11">
        <f>4.5349 * CHOOSE(CONTROL!$C$32, $C$9, 100%, $E$9)</f>
        <v>4.5349000000000004</v>
      </c>
      <c r="P142" s="14"/>
      <c r="Q142" s="14"/>
      <c r="R142" s="14"/>
    </row>
    <row r="143" spans="1:18" ht="15" x14ac:dyDescent="0.2">
      <c r="A143" s="13">
        <v>45200</v>
      </c>
      <c r="B143" s="9">
        <f>3.5736 * CHOOSE(CONTROL!$C$32, $C$9, 100%, $E$9)</f>
        <v>3.5735999999999999</v>
      </c>
      <c r="C143" s="9">
        <f>3.5736 * CHOOSE(CONTROL!$C$32, $C$9, 100%, $E$9)</f>
        <v>3.5735999999999999</v>
      </c>
      <c r="D143" s="9">
        <f>3.5746 * CHOOSE(CONTROL!$C$32, $C$9, 100%, $E$9)</f>
        <v>3.5746000000000002</v>
      </c>
      <c r="E143" s="11">
        <f>4.5247 * CHOOSE(CONTROL!$C$32, $C$9, 100%, $E$9)</f>
        <v>4.5247000000000002</v>
      </c>
      <c r="F143" s="11">
        <f>4.5247 * CHOOSE(CONTROL!$C$32, $C$9, 100%, $E$9)</f>
        <v>4.5247000000000002</v>
      </c>
      <c r="G143" s="11">
        <f>4.5279 * CHOOSE(CONTROL!$C$32, $C$9, 100%, $E$9)</f>
        <v>4.5278999999999998</v>
      </c>
      <c r="H143" s="11">
        <f>7.5452 * CHOOSE(CONTROL!$C$32, $C$9, 100%, $E$9)</f>
        <v>7.5452000000000004</v>
      </c>
      <c r="I143" s="11">
        <f>7.5484 * CHOOSE(CONTROL!$C$32, $C$9, 100%, $E$9)</f>
        <v>7.5484</v>
      </c>
      <c r="J143" s="11">
        <f>7.5452 * CHOOSE(CONTROL!$C$32, $C$9, 100%, $E$9)</f>
        <v>7.5452000000000004</v>
      </c>
      <c r="K143" s="11">
        <f>7.5484 * CHOOSE(CONTROL!$C$32, $C$9, 100%, $E$9)</f>
        <v>7.5484</v>
      </c>
      <c r="L143" s="11">
        <f>4.5247 * CHOOSE(CONTROL!$C$32, $C$9, 100%, $E$9)</f>
        <v>4.5247000000000002</v>
      </c>
      <c r="M143" s="11">
        <f>4.5279 * CHOOSE(CONTROL!$C$32, $C$9, 100%, $E$9)</f>
        <v>4.5278999999999998</v>
      </c>
      <c r="N143" s="11">
        <f>4.5247 * CHOOSE(CONTROL!$C$32, $C$9, 100%, $E$9)</f>
        <v>4.5247000000000002</v>
      </c>
      <c r="O143" s="11">
        <f>4.5279 * CHOOSE(CONTROL!$C$32, $C$9, 100%, $E$9)</f>
        <v>4.5278999999999998</v>
      </c>
      <c r="P143" s="14"/>
      <c r="Q143" s="14"/>
      <c r="R143" s="14"/>
    </row>
    <row r="144" spans="1:18" ht="15" x14ac:dyDescent="0.2">
      <c r="A144" s="13">
        <v>45231</v>
      </c>
      <c r="B144" s="9">
        <f>3.5766 * CHOOSE(CONTROL!$C$32, $C$9, 100%, $E$9)</f>
        <v>3.5766</v>
      </c>
      <c r="C144" s="9">
        <f>3.5766 * CHOOSE(CONTROL!$C$32, $C$9, 100%, $E$9)</f>
        <v>3.5766</v>
      </c>
      <c r="D144" s="9">
        <f>3.5776 * CHOOSE(CONTROL!$C$32, $C$9, 100%, $E$9)</f>
        <v>3.5775999999999999</v>
      </c>
      <c r="E144" s="11">
        <f>4.5267 * CHOOSE(CONTROL!$C$32, $C$9, 100%, $E$9)</f>
        <v>4.5266999999999999</v>
      </c>
      <c r="F144" s="11">
        <f>4.5267 * CHOOSE(CONTROL!$C$32, $C$9, 100%, $E$9)</f>
        <v>4.5266999999999999</v>
      </c>
      <c r="G144" s="11">
        <f>4.5299 * CHOOSE(CONTROL!$C$32, $C$9, 100%, $E$9)</f>
        <v>4.5298999999999996</v>
      </c>
      <c r="H144" s="11">
        <f>7.5609 * CHOOSE(CONTROL!$C$32, $C$9, 100%, $E$9)</f>
        <v>7.5609000000000002</v>
      </c>
      <c r="I144" s="11">
        <f>7.5641 * CHOOSE(CONTROL!$C$32, $C$9, 100%, $E$9)</f>
        <v>7.5640999999999998</v>
      </c>
      <c r="J144" s="11">
        <f>7.5609 * CHOOSE(CONTROL!$C$32, $C$9, 100%, $E$9)</f>
        <v>7.5609000000000002</v>
      </c>
      <c r="K144" s="11">
        <f>7.5641 * CHOOSE(CONTROL!$C$32, $C$9, 100%, $E$9)</f>
        <v>7.5640999999999998</v>
      </c>
      <c r="L144" s="11">
        <f>4.5267 * CHOOSE(CONTROL!$C$32, $C$9, 100%, $E$9)</f>
        <v>4.5266999999999999</v>
      </c>
      <c r="M144" s="11">
        <f>4.5299 * CHOOSE(CONTROL!$C$32, $C$9, 100%, $E$9)</f>
        <v>4.5298999999999996</v>
      </c>
      <c r="N144" s="11">
        <f>4.5267 * CHOOSE(CONTROL!$C$32, $C$9, 100%, $E$9)</f>
        <v>4.5266999999999999</v>
      </c>
      <c r="O144" s="11">
        <f>4.5299 * CHOOSE(CONTROL!$C$32, $C$9, 100%, $E$9)</f>
        <v>4.5298999999999996</v>
      </c>
      <c r="P144" s="14"/>
      <c r="Q144" s="14"/>
      <c r="R144" s="14"/>
    </row>
    <row r="145" spans="1:18" ht="15" x14ac:dyDescent="0.2">
      <c r="A145" s="13">
        <v>45261</v>
      </c>
      <c r="B145" s="9">
        <f>3.5766 * CHOOSE(CONTROL!$C$32, $C$9, 100%, $E$9)</f>
        <v>3.5766</v>
      </c>
      <c r="C145" s="9">
        <f>3.5766 * CHOOSE(CONTROL!$C$32, $C$9, 100%, $E$9)</f>
        <v>3.5766</v>
      </c>
      <c r="D145" s="9">
        <f>3.5776 * CHOOSE(CONTROL!$C$32, $C$9, 100%, $E$9)</f>
        <v>3.5775999999999999</v>
      </c>
      <c r="E145" s="11">
        <f>4.5267 * CHOOSE(CONTROL!$C$32, $C$9, 100%, $E$9)</f>
        <v>4.5266999999999999</v>
      </c>
      <c r="F145" s="11">
        <f>4.5267 * CHOOSE(CONTROL!$C$32, $C$9, 100%, $E$9)</f>
        <v>4.5266999999999999</v>
      </c>
      <c r="G145" s="11">
        <f>4.5299 * CHOOSE(CONTROL!$C$32, $C$9, 100%, $E$9)</f>
        <v>4.5298999999999996</v>
      </c>
      <c r="H145" s="11">
        <f>7.5767 * CHOOSE(CONTROL!$C$32, $C$9, 100%, $E$9)</f>
        <v>7.5766999999999998</v>
      </c>
      <c r="I145" s="11">
        <f>7.5799 * CHOOSE(CONTROL!$C$32, $C$9, 100%, $E$9)</f>
        <v>7.5799000000000003</v>
      </c>
      <c r="J145" s="11">
        <f>7.5767 * CHOOSE(CONTROL!$C$32, $C$9, 100%, $E$9)</f>
        <v>7.5766999999999998</v>
      </c>
      <c r="K145" s="11">
        <f>7.5799 * CHOOSE(CONTROL!$C$32, $C$9, 100%, $E$9)</f>
        <v>7.5799000000000003</v>
      </c>
      <c r="L145" s="11">
        <f>4.5267 * CHOOSE(CONTROL!$C$32, $C$9, 100%, $E$9)</f>
        <v>4.5266999999999999</v>
      </c>
      <c r="M145" s="11">
        <f>4.5299 * CHOOSE(CONTROL!$C$32, $C$9, 100%, $E$9)</f>
        <v>4.5298999999999996</v>
      </c>
      <c r="N145" s="11">
        <f>4.5267 * CHOOSE(CONTROL!$C$32, $C$9, 100%, $E$9)</f>
        <v>4.5266999999999999</v>
      </c>
      <c r="O145" s="11">
        <f>4.5299 * CHOOSE(CONTROL!$C$32, $C$9, 100%, $E$9)</f>
        <v>4.5298999999999996</v>
      </c>
      <c r="P145" s="14"/>
      <c r="Q145" s="14"/>
      <c r="R145" s="14"/>
    </row>
    <row r="146" spans="1:18" ht="15" x14ac:dyDescent="0.2">
      <c r="A146" s="13">
        <v>45292</v>
      </c>
      <c r="B146" s="9">
        <f>3.6058 * CHOOSE(CONTROL!$C$32, $C$9, 100%, $E$9)</f>
        <v>3.6057999999999999</v>
      </c>
      <c r="C146" s="9">
        <f>3.6058 * CHOOSE(CONTROL!$C$32, $C$9, 100%, $E$9)</f>
        <v>3.6057999999999999</v>
      </c>
      <c r="D146" s="9">
        <f>3.6068 * CHOOSE(CONTROL!$C$32, $C$9, 100%, $E$9)</f>
        <v>3.6067999999999998</v>
      </c>
      <c r="E146" s="11">
        <f>4.5664 * CHOOSE(CONTROL!$C$32, $C$9, 100%, $E$9)</f>
        <v>4.5663999999999998</v>
      </c>
      <c r="F146" s="11">
        <f>4.5664 * CHOOSE(CONTROL!$C$32, $C$9, 100%, $E$9)</f>
        <v>4.5663999999999998</v>
      </c>
      <c r="G146" s="11">
        <f>4.5696 * CHOOSE(CONTROL!$C$32, $C$9, 100%, $E$9)</f>
        <v>4.5696000000000003</v>
      </c>
      <c r="H146" s="11">
        <f>7.5924 * CHOOSE(CONTROL!$C$32, $C$9, 100%, $E$9)</f>
        <v>7.5923999999999996</v>
      </c>
      <c r="I146" s="11">
        <f>7.5957 * CHOOSE(CONTROL!$C$32, $C$9, 100%, $E$9)</f>
        <v>7.5956999999999999</v>
      </c>
      <c r="J146" s="11">
        <f>7.5924 * CHOOSE(CONTROL!$C$32, $C$9, 100%, $E$9)</f>
        <v>7.5923999999999996</v>
      </c>
      <c r="K146" s="11">
        <f>7.5957 * CHOOSE(CONTROL!$C$32, $C$9, 100%, $E$9)</f>
        <v>7.5956999999999999</v>
      </c>
      <c r="L146" s="11">
        <f>4.5664 * CHOOSE(CONTROL!$C$32, $C$9, 100%, $E$9)</f>
        <v>4.5663999999999998</v>
      </c>
      <c r="M146" s="11">
        <f>4.5696 * CHOOSE(CONTROL!$C$32, $C$9, 100%, $E$9)</f>
        <v>4.5696000000000003</v>
      </c>
      <c r="N146" s="11">
        <f>4.5664 * CHOOSE(CONTROL!$C$32, $C$9, 100%, $E$9)</f>
        <v>4.5663999999999998</v>
      </c>
      <c r="O146" s="11">
        <f>4.5696 * CHOOSE(CONTROL!$C$32, $C$9, 100%, $E$9)</f>
        <v>4.5696000000000003</v>
      </c>
      <c r="P146" s="14"/>
      <c r="Q146" s="14"/>
      <c r="R146" s="14"/>
    </row>
    <row r="147" spans="1:18" ht="15" x14ac:dyDescent="0.2">
      <c r="A147" s="13">
        <v>45323</v>
      </c>
      <c r="B147" s="9">
        <f>3.6028 * CHOOSE(CONTROL!$C$32, $C$9, 100%, $E$9)</f>
        <v>3.6027999999999998</v>
      </c>
      <c r="C147" s="9">
        <f>3.6028 * CHOOSE(CONTROL!$C$32, $C$9, 100%, $E$9)</f>
        <v>3.6027999999999998</v>
      </c>
      <c r="D147" s="9">
        <f>3.6037 * CHOOSE(CONTROL!$C$32, $C$9, 100%, $E$9)</f>
        <v>3.6036999999999999</v>
      </c>
      <c r="E147" s="11">
        <f>4.5644 * CHOOSE(CONTROL!$C$32, $C$9, 100%, $E$9)</f>
        <v>4.5644</v>
      </c>
      <c r="F147" s="11">
        <f>4.5644 * CHOOSE(CONTROL!$C$32, $C$9, 100%, $E$9)</f>
        <v>4.5644</v>
      </c>
      <c r="G147" s="11">
        <f>4.5676 * CHOOSE(CONTROL!$C$32, $C$9, 100%, $E$9)</f>
        <v>4.5675999999999997</v>
      </c>
      <c r="H147" s="11">
        <f>7.6083 * CHOOSE(CONTROL!$C$32, $C$9, 100%, $E$9)</f>
        <v>7.6082999999999998</v>
      </c>
      <c r="I147" s="11">
        <f>7.6115 * CHOOSE(CONTROL!$C$32, $C$9, 100%, $E$9)</f>
        <v>7.6115000000000004</v>
      </c>
      <c r="J147" s="11">
        <f>7.6083 * CHOOSE(CONTROL!$C$32, $C$9, 100%, $E$9)</f>
        <v>7.6082999999999998</v>
      </c>
      <c r="K147" s="11">
        <f>7.6115 * CHOOSE(CONTROL!$C$32, $C$9, 100%, $E$9)</f>
        <v>7.6115000000000004</v>
      </c>
      <c r="L147" s="11">
        <f>4.5644 * CHOOSE(CONTROL!$C$32, $C$9, 100%, $E$9)</f>
        <v>4.5644</v>
      </c>
      <c r="M147" s="11">
        <f>4.5676 * CHOOSE(CONTROL!$C$32, $C$9, 100%, $E$9)</f>
        <v>4.5675999999999997</v>
      </c>
      <c r="N147" s="11">
        <f>4.5644 * CHOOSE(CONTROL!$C$32, $C$9, 100%, $E$9)</f>
        <v>4.5644</v>
      </c>
      <c r="O147" s="11">
        <f>4.5676 * CHOOSE(CONTROL!$C$32, $C$9, 100%, $E$9)</f>
        <v>4.5675999999999997</v>
      </c>
      <c r="P147" s="14"/>
      <c r="Q147" s="14"/>
      <c r="R147" s="14"/>
    </row>
    <row r="148" spans="1:18" ht="15" x14ac:dyDescent="0.2">
      <c r="A148" s="13">
        <v>45352</v>
      </c>
      <c r="B148" s="9">
        <f>3.5997 * CHOOSE(CONTROL!$C$32, $C$9, 100%, $E$9)</f>
        <v>3.5996999999999999</v>
      </c>
      <c r="C148" s="9">
        <f>3.5997 * CHOOSE(CONTROL!$C$32, $C$9, 100%, $E$9)</f>
        <v>3.5996999999999999</v>
      </c>
      <c r="D148" s="9">
        <f>3.6007 * CHOOSE(CONTROL!$C$32, $C$9, 100%, $E$9)</f>
        <v>3.6006999999999998</v>
      </c>
      <c r="E148" s="11">
        <f>4.5624 * CHOOSE(CONTROL!$C$32, $C$9, 100%, $E$9)</f>
        <v>4.5624000000000002</v>
      </c>
      <c r="F148" s="11">
        <f>4.5624 * CHOOSE(CONTROL!$C$32, $C$9, 100%, $E$9)</f>
        <v>4.5624000000000002</v>
      </c>
      <c r="G148" s="11">
        <f>4.5656 * CHOOSE(CONTROL!$C$32, $C$9, 100%, $E$9)</f>
        <v>4.5655999999999999</v>
      </c>
      <c r="H148" s="11">
        <f>7.6241 * CHOOSE(CONTROL!$C$32, $C$9, 100%, $E$9)</f>
        <v>7.6241000000000003</v>
      </c>
      <c r="I148" s="11">
        <f>7.6273 * CHOOSE(CONTROL!$C$32, $C$9, 100%, $E$9)</f>
        <v>7.6273</v>
      </c>
      <c r="J148" s="11">
        <f>7.6241 * CHOOSE(CONTROL!$C$32, $C$9, 100%, $E$9)</f>
        <v>7.6241000000000003</v>
      </c>
      <c r="K148" s="11">
        <f>7.6273 * CHOOSE(CONTROL!$C$32, $C$9, 100%, $E$9)</f>
        <v>7.6273</v>
      </c>
      <c r="L148" s="11">
        <f>4.5624 * CHOOSE(CONTROL!$C$32, $C$9, 100%, $E$9)</f>
        <v>4.5624000000000002</v>
      </c>
      <c r="M148" s="11">
        <f>4.5656 * CHOOSE(CONTROL!$C$32, $C$9, 100%, $E$9)</f>
        <v>4.5655999999999999</v>
      </c>
      <c r="N148" s="11">
        <f>4.5624 * CHOOSE(CONTROL!$C$32, $C$9, 100%, $E$9)</f>
        <v>4.5624000000000002</v>
      </c>
      <c r="O148" s="11">
        <f>4.5656 * CHOOSE(CONTROL!$C$32, $C$9, 100%, $E$9)</f>
        <v>4.5655999999999999</v>
      </c>
      <c r="P148" s="14"/>
      <c r="Q148" s="14"/>
      <c r="R148" s="14"/>
    </row>
    <row r="149" spans="1:18" ht="15" x14ac:dyDescent="0.2">
      <c r="A149" s="13">
        <v>45383</v>
      </c>
      <c r="B149" s="9">
        <f>3.597 * CHOOSE(CONTROL!$C$32, $C$9, 100%, $E$9)</f>
        <v>3.597</v>
      </c>
      <c r="C149" s="9">
        <f>3.597 * CHOOSE(CONTROL!$C$32, $C$9, 100%, $E$9)</f>
        <v>3.597</v>
      </c>
      <c r="D149" s="9">
        <f>3.598 * CHOOSE(CONTROL!$C$32, $C$9, 100%, $E$9)</f>
        <v>3.5979999999999999</v>
      </c>
      <c r="E149" s="11">
        <f>4.5602 * CHOOSE(CONTROL!$C$32, $C$9, 100%, $E$9)</f>
        <v>4.5602</v>
      </c>
      <c r="F149" s="11">
        <f>4.5602 * CHOOSE(CONTROL!$C$32, $C$9, 100%, $E$9)</f>
        <v>4.5602</v>
      </c>
      <c r="G149" s="11">
        <f>4.5634 * CHOOSE(CONTROL!$C$32, $C$9, 100%, $E$9)</f>
        <v>4.5633999999999997</v>
      </c>
      <c r="H149" s="11">
        <f>7.64 * CHOOSE(CONTROL!$C$32, $C$9, 100%, $E$9)</f>
        <v>7.64</v>
      </c>
      <c r="I149" s="11">
        <f>7.6432 * CHOOSE(CONTROL!$C$32, $C$9, 100%, $E$9)</f>
        <v>7.6432000000000002</v>
      </c>
      <c r="J149" s="11">
        <f>7.64 * CHOOSE(CONTROL!$C$32, $C$9, 100%, $E$9)</f>
        <v>7.64</v>
      </c>
      <c r="K149" s="11">
        <f>7.6432 * CHOOSE(CONTROL!$C$32, $C$9, 100%, $E$9)</f>
        <v>7.6432000000000002</v>
      </c>
      <c r="L149" s="11">
        <f>4.5602 * CHOOSE(CONTROL!$C$32, $C$9, 100%, $E$9)</f>
        <v>4.5602</v>
      </c>
      <c r="M149" s="11">
        <f>4.5634 * CHOOSE(CONTROL!$C$32, $C$9, 100%, $E$9)</f>
        <v>4.5633999999999997</v>
      </c>
      <c r="N149" s="11">
        <f>4.5602 * CHOOSE(CONTROL!$C$32, $C$9, 100%, $E$9)</f>
        <v>4.5602</v>
      </c>
      <c r="O149" s="11">
        <f>4.5634 * CHOOSE(CONTROL!$C$32, $C$9, 100%, $E$9)</f>
        <v>4.5633999999999997</v>
      </c>
      <c r="P149" s="14"/>
      <c r="Q149" s="14"/>
      <c r="R149" s="14"/>
    </row>
    <row r="150" spans="1:18" ht="15" x14ac:dyDescent="0.2">
      <c r="A150" s="13">
        <v>45413</v>
      </c>
      <c r="B150" s="9">
        <f>3.597 * CHOOSE(CONTROL!$C$32, $C$9, 100%, $E$9)</f>
        <v>3.597</v>
      </c>
      <c r="C150" s="9">
        <f>3.597 * CHOOSE(CONTROL!$C$32, $C$9, 100%, $E$9)</f>
        <v>3.597</v>
      </c>
      <c r="D150" s="9">
        <f>3.5983 * CHOOSE(CONTROL!$C$32, $C$9, 100%, $E$9)</f>
        <v>3.5983000000000001</v>
      </c>
      <c r="E150" s="11">
        <f>4.5602 * CHOOSE(CONTROL!$C$32, $C$9, 100%, $E$9)</f>
        <v>4.5602</v>
      </c>
      <c r="F150" s="11">
        <f>4.5602 * CHOOSE(CONTROL!$C$32, $C$9, 100%, $E$9)</f>
        <v>4.5602</v>
      </c>
      <c r="G150" s="11">
        <f>4.5644 * CHOOSE(CONTROL!$C$32, $C$9, 100%, $E$9)</f>
        <v>4.5644</v>
      </c>
      <c r="H150" s="11">
        <f>7.6559 * CHOOSE(CONTROL!$C$32, $C$9, 100%, $E$9)</f>
        <v>7.6558999999999999</v>
      </c>
      <c r="I150" s="11">
        <f>7.6601 * CHOOSE(CONTROL!$C$32, $C$9, 100%, $E$9)</f>
        <v>7.6600999999999999</v>
      </c>
      <c r="J150" s="11">
        <f>7.6559 * CHOOSE(CONTROL!$C$32, $C$9, 100%, $E$9)</f>
        <v>7.6558999999999999</v>
      </c>
      <c r="K150" s="11">
        <f>7.6601 * CHOOSE(CONTROL!$C$32, $C$9, 100%, $E$9)</f>
        <v>7.6600999999999999</v>
      </c>
      <c r="L150" s="11">
        <f>4.5602 * CHOOSE(CONTROL!$C$32, $C$9, 100%, $E$9)</f>
        <v>4.5602</v>
      </c>
      <c r="M150" s="11">
        <f>4.5644 * CHOOSE(CONTROL!$C$32, $C$9, 100%, $E$9)</f>
        <v>4.5644</v>
      </c>
      <c r="N150" s="11">
        <f>4.5602 * CHOOSE(CONTROL!$C$32, $C$9, 100%, $E$9)</f>
        <v>4.5602</v>
      </c>
      <c r="O150" s="11">
        <f>4.5644 * CHOOSE(CONTROL!$C$32, $C$9, 100%, $E$9)</f>
        <v>4.5644</v>
      </c>
      <c r="P150" s="14"/>
      <c r="Q150" s="14"/>
      <c r="R150" s="14"/>
    </row>
    <row r="151" spans="1:18" ht="15" x14ac:dyDescent="0.2">
      <c r="A151" s="13">
        <v>45444</v>
      </c>
      <c r="B151" s="9">
        <f>3.6031 * CHOOSE(CONTROL!$C$32, $C$9, 100%, $E$9)</f>
        <v>3.6031</v>
      </c>
      <c r="C151" s="9">
        <f>3.6031 * CHOOSE(CONTROL!$C$32, $C$9, 100%, $E$9)</f>
        <v>3.6031</v>
      </c>
      <c r="D151" s="9">
        <f>3.6044 * CHOOSE(CONTROL!$C$32, $C$9, 100%, $E$9)</f>
        <v>3.6044</v>
      </c>
      <c r="E151" s="11">
        <f>4.5642 * CHOOSE(CONTROL!$C$32, $C$9, 100%, $E$9)</f>
        <v>4.5641999999999996</v>
      </c>
      <c r="F151" s="11">
        <f>4.5642 * CHOOSE(CONTROL!$C$32, $C$9, 100%, $E$9)</f>
        <v>4.5641999999999996</v>
      </c>
      <c r="G151" s="11">
        <f>4.5684 * CHOOSE(CONTROL!$C$32, $C$9, 100%, $E$9)</f>
        <v>4.5683999999999996</v>
      </c>
      <c r="H151" s="11">
        <f>7.6719 * CHOOSE(CONTROL!$C$32, $C$9, 100%, $E$9)</f>
        <v>7.6718999999999999</v>
      </c>
      <c r="I151" s="11">
        <f>7.6761 * CHOOSE(CONTROL!$C$32, $C$9, 100%, $E$9)</f>
        <v>7.6760999999999999</v>
      </c>
      <c r="J151" s="11">
        <f>7.6719 * CHOOSE(CONTROL!$C$32, $C$9, 100%, $E$9)</f>
        <v>7.6718999999999999</v>
      </c>
      <c r="K151" s="11">
        <f>7.6761 * CHOOSE(CONTROL!$C$32, $C$9, 100%, $E$9)</f>
        <v>7.6760999999999999</v>
      </c>
      <c r="L151" s="11">
        <f>4.5642 * CHOOSE(CONTROL!$C$32, $C$9, 100%, $E$9)</f>
        <v>4.5641999999999996</v>
      </c>
      <c r="M151" s="11">
        <f>4.5684 * CHOOSE(CONTROL!$C$32, $C$9, 100%, $E$9)</f>
        <v>4.5683999999999996</v>
      </c>
      <c r="N151" s="11">
        <f>4.5642 * CHOOSE(CONTROL!$C$32, $C$9, 100%, $E$9)</f>
        <v>4.5641999999999996</v>
      </c>
      <c r="O151" s="11">
        <f>4.5684 * CHOOSE(CONTROL!$C$32, $C$9, 100%, $E$9)</f>
        <v>4.5683999999999996</v>
      </c>
      <c r="P151" s="14"/>
      <c r="Q151" s="14"/>
      <c r="R151" s="14"/>
    </row>
    <row r="152" spans="1:18" ht="15" x14ac:dyDescent="0.2">
      <c r="A152" s="13">
        <v>45474</v>
      </c>
      <c r="B152" s="9">
        <f>3.6559 * CHOOSE(CONTROL!$C$32, $C$9, 100%, $E$9)</f>
        <v>3.6558999999999999</v>
      </c>
      <c r="C152" s="9">
        <f>3.6559 * CHOOSE(CONTROL!$C$32, $C$9, 100%, $E$9)</f>
        <v>3.6558999999999999</v>
      </c>
      <c r="D152" s="9">
        <f>3.6571 * CHOOSE(CONTROL!$C$32, $C$9, 100%, $E$9)</f>
        <v>3.6570999999999998</v>
      </c>
      <c r="E152" s="11">
        <f>4.6521 * CHOOSE(CONTROL!$C$32, $C$9, 100%, $E$9)</f>
        <v>4.6520999999999999</v>
      </c>
      <c r="F152" s="11">
        <f>4.6521 * CHOOSE(CONTROL!$C$32, $C$9, 100%, $E$9)</f>
        <v>4.6520999999999999</v>
      </c>
      <c r="G152" s="11">
        <f>4.6563 * CHOOSE(CONTROL!$C$32, $C$9, 100%, $E$9)</f>
        <v>4.6562999999999999</v>
      </c>
      <c r="H152" s="11">
        <f>7.6878 * CHOOSE(CONTROL!$C$32, $C$9, 100%, $E$9)</f>
        <v>7.6878000000000002</v>
      </c>
      <c r="I152" s="11">
        <f>7.692 * CHOOSE(CONTROL!$C$32, $C$9, 100%, $E$9)</f>
        <v>7.6920000000000002</v>
      </c>
      <c r="J152" s="11">
        <f>7.6878 * CHOOSE(CONTROL!$C$32, $C$9, 100%, $E$9)</f>
        <v>7.6878000000000002</v>
      </c>
      <c r="K152" s="11">
        <f>7.692 * CHOOSE(CONTROL!$C$32, $C$9, 100%, $E$9)</f>
        <v>7.6920000000000002</v>
      </c>
      <c r="L152" s="11">
        <f>4.6521 * CHOOSE(CONTROL!$C$32, $C$9, 100%, $E$9)</f>
        <v>4.6520999999999999</v>
      </c>
      <c r="M152" s="11">
        <f>4.6563 * CHOOSE(CONTROL!$C$32, $C$9, 100%, $E$9)</f>
        <v>4.6562999999999999</v>
      </c>
      <c r="N152" s="11">
        <f>4.6521 * CHOOSE(CONTROL!$C$32, $C$9, 100%, $E$9)</f>
        <v>4.6520999999999999</v>
      </c>
      <c r="O152" s="11">
        <f>4.6563 * CHOOSE(CONTROL!$C$32, $C$9, 100%, $E$9)</f>
        <v>4.6562999999999999</v>
      </c>
      <c r="P152" s="14"/>
      <c r="Q152" s="14"/>
      <c r="R152" s="14"/>
    </row>
    <row r="153" spans="1:18" ht="15" x14ac:dyDescent="0.2">
      <c r="A153" s="13">
        <v>45505</v>
      </c>
      <c r="B153" s="9">
        <f>3.6626 * CHOOSE(CONTROL!$C$32, $C$9, 100%, $E$9)</f>
        <v>3.6625999999999999</v>
      </c>
      <c r="C153" s="9">
        <f>3.6626 * CHOOSE(CONTROL!$C$32, $C$9, 100%, $E$9)</f>
        <v>3.6625999999999999</v>
      </c>
      <c r="D153" s="9">
        <f>3.6638 * CHOOSE(CONTROL!$C$32, $C$9, 100%, $E$9)</f>
        <v>3.6638000000000002</v>
      </c>
      <c r="E153" s="11">
        <f>4.6565 * CHOOSE(CONTROL!$C$32, $C$9, 100%, $E$9)</f>
        <v>4.6565000000000003</v>
      </c>
      <c r="F153" s="11">
        <f>4.6565 * CHOOSE(CONTROL!$C$32, $C$9, 100%, $E$9)</f>
        <v>4.6565000000000003</v>
      </c>
      <c r="G153" s="11">
        <f>4.6607 * CHOOSE(CONTROL!$C$32, $C$9, 100%, $E$9)</f>
        <v>4.6607000000000003</v>
      </c>
      <c r="H153" s="11">
        <f>7.7039 * CHOOSE(CONTROL!$C$32, $C$9, 100%, $E$9)</f>
        <v>7.7039</v>
      </c>
      <c r="I153" s="11">
        <f>7.7081 * CHOOSE(CONTROL!$C$32, $C$9, 100%, $E$9)</f>
        <v>7.7081</v>
      </c>
      <c r="J153" s="11">
        <f>7.7039 * CHOOSE(CONTROL!$C$32, $C$9, 100%, $E$9)</f>
        <v>7.7039</v>
      </c>
      <c r="K153" s="11">
        <f>7.7081 * CHOOSE(CONTROL!$C$32, $C$9, 100%, $E$9)</f>
        <v>7.7081</v>
      </c>
      <c r="L153" s="11">
        <f>4.6565 * CHOOSE(CONTROL!$C$32, $C$9, 100%, $E$9)</f>
        <v>4.6565000000000003</v>
      </c>
      <c r="M153" s="11">
        <f>4.6607 * CHOOSE(CONTROL!$C$32, $C$9, 100%, $E$9)</f>
        <v>4.6607000000000003</v>
      </c>
      <c r="N153" s="11">
        <f>4.6565 * CHOOSE(CONTROL!$C$32, $C$9, 100%, $E$9)</f>
        <v>4.6565000000000003</v>
      </c>
      <c r="O153" s="11">
        <f>4.6607 * CHOOSE(CONTROL!$C$32, $C$9, 100%, $E$9)</f>
        <v>4.6607000000000003</v>
      </c>
      <c r="P153" s="14"/>
      <c r="Q153" s="14"/>
      <c r="R153" s="14"/>
    </row>
    <row r="154" spans="1:18" ht="15" x14ac:dyDescent="0.2">
      <c r="A154" s="13">
        <v>45536</v>
      </c>
      <c r="B154" s="9">
        <f>3.6595 * CHOOSE(CONTROL!$C$32, $C$9, 100%, $E$9)</f>
        <v>3.6595</v>
      </c>
      <c r="C154" s="9">
        <f>3.6595 * CHOOSE(CONTROL!$C$32, $C$9, 100%, $E$9)</f>
        <v>3.6595</v>
      </c>
      <c r="D154" s="9">
        <f>3.6608 * CHOOSE(CONTROL!$C$32, $C$9, 100%, $E$9)</f>
        <v>3.6608000000000001</v>
      </c>
      <c r="E154" s="11">
        <f>4.6545 * CHOOSE(CONTROL!$C$32, $C$9, 100%, $E$9)</f>
        <v>4.6544999999999996</v>
      </c>
      <c r="F154" s="11">
        <f>4.6545 * CHOOSE(CONTROL!$C$32, $C$9, 100%, $E$9)</f>
        <v>4.6544999999999996</v>
      </c>
      <c r="G154" s="11">
        <f>4.6587 * CHOOSE(CONTROL!$C$32, $C$9, 100%, $E$9)</f>
        <v>4.6586999999999996</v>
      </c>
      <c r="H154" s="11">
        <f>7.7199 * CHOOSE(CONTROL!$C$32, $C$9, 100%, $E$9)</f>
        <v>7.7199</v>
      </c>
      <c r="I154" s="11">
        <f>7.7241 * CHOOSE(CONTROL!$C$32, $C$9, 100%, $E$9)</f>
        <v>7.7241</v>
      </c>
      <c r="J154" s="11">
        <f>7.7199 * CHOOSE(CONTROL!$C$32, $C$9, 100%, $E$9)</f>
        <v>7.7199</v>
      </c>
      <c r="K154" s="11">
        <f>7.7241 * CHOOSE(CONTROL!$C$32, $C$9, 100%, $E$9)</f>
        <v>7.7241</v>
      </c>
      <c r="L154" s="11">
        <f>4.6545 * CHOOSE(CONTROL!$C$32, $C$9, 100%, $E$9)</f>
        <v>4.6544999999999996</v>
      </c>
      <c r="M154" s="11">
        <f>4.6587 * CHOOSE(CONTROL!$C$32, $C$9, 100%, $E$9)</f>
        <v>4.6586999999999996</v>
      </c>
      <c r="N154" s="11">
        <f>4.6545 * CHOOSE(CONTROL!$C$32, $C$9, 100%, $E$9)</f>
        <v>4.6544999999999996</v>
      </c>
      <c r="O154" s="11">
        <f>4.6587 * CHOOSE(CONTROL!$C$32, $C$9, 100%, $E$9)</f>
        <v>4.6586999999999996</v>
      </c>
      <c r="P154" s="14"/>
      <c r="Q154" s="14"/>
      <c r="R154" s="14"/>
    </row>
    <row r="155" spans="1:18" ht="15" x14ac:dyDescent="0.2">
      <c r="A155" s="13">
        <v>45566</v>
      </c>
      <c r="B155" s="9">
        <f>3.6534 * CHOOSE(CONTROL!$C$32, $C$9, 100%, $E$9)</f>
        <v>3.6534</v>
      </c>
      <c r="C155" s="9">
        <f>3.6534 * CHOOSE(CONTROL!$C$32, $C$9, 100%, $E$9)</f>
        <v>3.6534</v>
      </c>
      <c r="D155" s="9">
        <f>3.6544 * CHOOSE(CONTROL!$C$32, $C$9, 100%, $E$9)</f>
        <v>3.6543999999999999</v>
      </c>
      <c r="E155" s="11">
        <f>4.6486 * CHOOSE(CONTROL!$C$32, $C$9, 100%, $E$9)</f>
        <v>4.6486000000000001</v>
      </c>
      <c r="F155" s="11">
        <f>4.6486 * CHOOSE(CONTROL!$C$32, $C$9, 100%, $E$9)</f>
        <v>4.6486000000000001</v>
      </c>
      <c r="G155" s="11">
        <f>4.6518 * CHOOSE(CONTROL!$C$32, $C$9, 100%, $E$9)</f>
        <v>4.6517999999999997</v>
      </c>
      <c r="H155" s="11">
        <f>7.736 * CHOOSE(CONTROL!$C$32, $C$9, 100%, $E$9)</f>
        <v>7.7359999999999998</v>
      </c>
      <c r="I155" s="11">
        <f>7.7392 * CHOOSE(CONTROL!$C$32, $C$9, 100%, $E$9)</f>
        <v>7.7392000000000003</v>
      </c>
      <c r="J155" s="11">
        <f>7.736 * CHOOSE(CONTROL!$C$32, $C$9, 100%, $E$9)</f>
        <v>7.7359999999999998</v>
      </c>
      <c r="K155" s="11">
        <f>7.7392 * CHOOSE(CONTROL!$C$32, $C$9, 100%, $E$9)</f>
        <v>7.7392000000000003</v>
      </c>
      <c r="L155" s="11">
        <f>4.6486 * CHOOSE(CONTROL!$C$32, $C$9, 100%, $E$9)</f>
        <v>4.6486000000000001</v>
      </c>
      <c r="M155" s="11">
        <f>4.6518 * CHOOSE(CONTROL!$C$32, $C$9, 100%, $E$9)</f>
        <v>4.6517999999999997</v>
      </c>
      <c r="N155" s="11">
        <f>4.6486 * CHOOSE(CONTROL!$C$32, $C$9, 100%, $E$9)</f>
        <v>4.6486000000000001</v>
      </c>
      <c r="O155" s="11">
        <f>4.6518 * CHOOSE(CONTROL!$C$32, $C$9, 100%, $E$9)</f>
        <v>4.6517999999999997</v>
      </c>
      <c r="P155" s="14"/>
      <c r="Q155" s="14"/>
      <c r="R155" s="14"/>
    </row>
    <row r="156" spans="1:18" ht="15" x14ac:dyDescent="0.2">
      <c r="A156" s="13">
        <v>45597</v>
      </c>
      <c r="B156" s="9">
        <f>3.6565 * CHOOSE(CONTROL!$C$32, $C$9, 100%, $E$9)</f>
        <v>3.6564999999999999</v>
      </c>
      <c r="C156" s="9">
        <f>3.6565 * CHOOSE(CONTROL!$C$32, $C$9, 100%, $E$9)</f>
        <v>3.6564999999999999</v>
      </c>
      <c r="D156" s="9">
        <f>3.6574 * CHOOSE(CONTROL!$C$32, $C$9, 100%, $E$9)</f>
        <v>3.6574</v>
      </c>
      <c r="E156" s="11">
        <f>4.6506 * CHOOSE(CONTROL!$C$32, $C$9, 100%, $E$9)</f>
        <v>4.6505999999999998</v>
      </c>
      <c r="F156" s="11">
        <f>4.6506 * CHOOSE(CONTROL!$C$32, $C$9, 100%, $E$9)</f>
        <v>4.6505999999999998</v>
      </c>
      <c r="G156" s="11">
        <f>4.6538 * CHOOSE(CONTROL!$C$32, $C$9, 100%, $E$9)</f>
        <v>4.6538000000000004</v>
      </c>
      <c r="H156" s="11">
        <f>7.7521 * CHOOSE(CONTROL!$C$32, $C$9, 100%, $E$9)</f>
        <v>7.7521000000000004</v>
      </c>
      <c r="I156" s="11">
        <f>7.7553 * CHOOSE(CONTROL!$C$32, $C$9, 100%, $E$9)</f>
        <v>7.7553000000000001</v>
      </c>
      <c r="J156" s="11">
        <f>7.7521 * CHOOSE(CONTROL!$C$32, $C$9, 100%, $E$9)</f>
        <v>7.7521000000000004</v>
      </c>
      <c r="K156" s="11">
        <f>7.7553 * CHOOSE(CONTROL!$C$32, $C$9, 100%, $E$9)</f>
        <v>7.7553000000000001</v>
      </c>
      <c r="L156" s="11">
        <f>4.6506 * CHOOSE(CONTROL!$C$32, $C$9, 100%, $E$9)</f>
        <v>4.6505999999999998</v>
      </c>
      <c r="M156" s="11">
        <f>4.6538 * CHOOSE(CONTROL!$C$32, $C$9, 100%, $E$9)</f>
        <v>4.6538000000000004</v>
      </c>
      <c r="N156" s="11">
        <f>4.6506 * CHOOSE(CONTROL!$C$32, $C$9, 100%, $E$9)</f>
        <v>4.6505999999999998</v>
      </c>
      <c r="O156" s="11">
        <f>4.6538 * CHOOSE(CONTROL!$C$32, $C$9, 100%, $E$9)</f>
        <v>4.6538000000000004</v>
      </c>
      <c r="P156" s="14"/>
      <c r="Q156" s="14"/>
      <c r="R156" s="14"/>
    </row>
    <row r="157" spans="1:18" ht="15" x14ac:dyDescent="0.2">
      <c r="A157" s="13">
        <v>45627</v>
      </c>
      <c r="B157" s="9">
        <f>3.6565 * CHOOSE(CONTROL!$C$32, $C$9, 100%, $E$9)</f>
        <v>3.6564999999999999</v>
      </c>
      <c r="C157" s="9">
        <f>3.6565 * CHOOSE(CONTROL!$C$32, $C$9, 100%, $E$9)</f>
        <v>3.6564999999999999</v>
      </c>
      <c r="D157" s="9">
        <f>3.6574 * CHOOSE(CONTROL!$C$32, $C$9, 100%, $E$9)</f>
        <v>3.6574</v>
      </c>
      <c r="E157" s="11">
        <f>4.6506 * CHOOSE(CONTROL!$C$32, $C$9, 100%, $E$9)</f>
        <v>4.6505999999999998</v>
      </c>
      <c r="F157" s="11">
        <f>4.6506 * CHOOSE(CONTROL!$C$32, $C$9, 100%, $E$9)</f>
        <v>4.6505999999999998</v>
      </c>
      <c r="G157" s="11">
        <f>4.6538 * CHOOSE(CONTROL!$C$32, $C$9, 100%, $E$9)</f>
        <v>4.6538000000000004</v>
      </c>
      <c r="H157" s="11">
        <f>7.7683 * CHOOSE(CONTROL!$C$32, $C$9, 100%, $E$9)</f>
        <v>7.7683</v>
      </c>
      <c r="I157" s="11">
        <f>7.7715 * CHOOSE(CONTROL!$C$32, $C$9, 100%, $E$9)</f>
        <v>7.7714999999999996</v>
      </c>
      <c r="J157" s="11">
        <f>7.7683 * CHOOSE(CONTROL!$C$32, $C$9, 100%, $E$9)</f>
        <v>7.7683</v>
      </c>
      <c r="K157" s="11">
        <f>7.7715 * CHOOSE(CONTROL!$C$32, $C$9, 100%, $E$9)</f>
        <v>7.7714999999999996</v>
      </c>
      <c r="L157" s="11">
        <f>4.6506 * CHOOSE(CONTROL!$C$32, $C$9, 100%, $E$9)</f>
        <v>4.6505999999999998</v>
      </c>
      <c r="M157" s="11">
        <f>4.6538 * CHOOSE(CONTROL!$C$32, $C$9, 100%, $E$9)</f>
        <v>4.6538000000000004</v>
      </c>
      <c r="N157" s="11">
        <f>4.6506 * CHOOSE(CONTROL!$C$32, $C$9, 100%, $E$9)</f>
        <v>4.6505999999999998</v>
      </c>
      <c r="O157" s="11">
        <f>4.6538 * CHOOSE(CONTROL!$C$32, $C$9, 100%, $E$9)</f>
        <v>4.6538000000000004</v>
      </c>
      <c r="P157" s="14"/>
      <c r="Q157" s="14"/>
      <c r="R157" s="14"/>
    </row>
    <row r="158" spans="1:18" ht="15" x14ac:dyDescent="0.2">
      <c r="A158" s="13">
        <v>45658</v>
      </c>
      <c r="B158" s="9">
        <f>3.691 * CHOOSE(CONTROL!$C$32, $C$9, 100%, $E$9)</f>
        <v>3.6909999999999998</v>
      </c>
      <c r="C158" s="9">
        <f>3.691 * CHOOSE(CONTROL!$C$32, $C$9, 100%, $E$9)</f>
        <v>3.6909999999999998</v>
      </c>
      <c r="D158" s="9">
        <f>3.692 * CHOOSE(CONTROL!$C$32, $C$9, 100%, $E$9)</f>
        <v>3.6920000000000002</v>
      </c>
      <c r="E158" s="11">
        <f>4.6908 * CHOOSE(CONTROL!$C$32, $C$9, 100%, $E$9)</f>
        <v>4.6908000000000003</v>
      </c>
      <c r="F158" s="11">
        <f>4.6908 * CHOOSE(CONTROL!$C$32, $C$9, 100%, $E$9)</f>
        <v>4.6908000000000003</v>
      </c>
      <c r="G158" s="11">
        <f>4.6941 * CHOOSE(CONTROL!$C$32, $C$9, 100%, $E$9)</f>
        <v>4.6940999999999997</v>
      </c>
      <c r="H158" s="11">
        <f>7.7844 * CHOOSE(CONTROL!$C$32, $C$9, 100%, $E$9)</f>
        <v>7.7843999999999998</v>
      </c>
      <c r="I158" s="11">
        <f>7.7877 * CHOOSE(CONTROL!$C$32, $C$9, 100%, $E$9)</f>
        <v>7.7877000000000001</v>
      </c>
      <c r="J158" s="11">
        <f>7.7844 * CHOOSE(CONTROL!$C$32, $C$9, 100%, $E$9)</f>
        <v>7.7843999999999998</v>
      </c>
      <c r="K158" s="11">
        <f>7.7877 * CHOOSE(CONTROL!$C$32, $C$9, 100%, $E$9)</f>
        <v>7.7877000000000001</v>
      </c>
      <c r="L158" s="11">
        <f>4.6908 * CHOOSE(CONTROL!$C$32, $C$9, 100%, $E$9)</f>
        <v>4.6908000000000003</v>
      </c>
      <c r="M158" s="11">
        <f>4.6941 * CHOOSE(CONTROL!$C$32, $C$9, 100%, $E$9)</f>
        <v>4.6940999999999997</v>
      </c>
      <c r="N158" s="11">
        <f>4.6908 * CHOOSE(CONTROL!$C$32, $C$9, 100%, $E$9)</f>
        <v>4.6908000000000003</v>
      </c>
      <c r="O158" s="11">
        <f>4.6941 * CHOOSE(CONTROL!$C$32, $C$9, 100%, $E$9)</f>
        <v>4.6940999999999997</v>
      </c>
      <c r="P158" s="14"/>
      <c r="Q158" s="14"/>
      <c r="R158" s="14"/>
    </row>
    <row r="159" spans="1:18" ht="15" x14ac:dyDescent="0.2">
      <c r="A159" s="13">
        <v>45689</v>
      </c>
      <c r="B159" s="9">
        <f>3.688 * CHOOSE(CONTROL!$C$32, $C$9, 100%, $E$9)</f>
        <v>3.6880000000000002</v>
      </c>
      <c r="C159" s="9">
        <f>3.688 * CHOOSE(CONTROL!$C$32, $C$9, 100%, $E$9)</f>
        <v>3.6880000000000002</v>
      </c>
      <c r="D159" s="9">
        <f>3.689 * CHOOSE(CONTROL!$C$32, $C$9, 100%, $E$9)</f>
        <v>3.6890000000000001</v>
      </c>
      <c r="E159" s="11">
        <f>4.6888 * CHOOSE(CONTROL!$C$32, $C$9, 100%, $E$9)</f>
        <v>4.6887999999999996</v>
      </c>
      <c r="F159" s="11">
        <f>4.6888 * CHOOSE(CONTROL!$C$32, $C$9, 100%, $E$9)</f>
        <v>4.6887999999999996</v>
      </c>
      <c r="G159" s="11">
        <f>4.6921 * CHOOSE(CONTROL!$C$32, $C$9, 100%, $E$9)</f>
        <v>4.6920999999999999</v>
      </c>
      <c r="H159" s="11">
        <f>7.8007 * CHOOSE(CONTROL!$C$32, $C$9, 100%, $E$9)</f>
        <v>7.8007</v>
      </c>
      <c r="I159" s="11">
        <f>7.8039 * CHOOSE(CONTROL!$C$32, $C$9, 100%, $E$9)</f>
        <v>7.8038999999999996</v>
      </c>
      <c r="J159" s="11">
        <f>7.8007 * CHOOSE(CONTROL!$C$32, $C$9, 100%, $E$9)</f>
        <v>7.8007</v>
      </c>
      <c r="K159" s="11">
        <f>7.8039 * CHOOSE(CONTROL!$C$32, $C$9, 100%, $E$9)</f>
        <v>7.8038999999999996</v>
      </c>
      <c r="L159" s="11">
        <f>4.6888 * CHOOSE(CONTROL!$C$32, $C$9, 100%, $E$9)</f>
        <v>4.6887999999999996</v>
      </c>
      <c r="M159" s="11">
        <f>4.6921 * CHOOSE(CONTROL!$C$32, $C$9, 100%, $E$9)</f>
        <v>4.6920999999999999</v>
      </c>
      <c r="N159" s="11">
        <f>4.6888 * CHOOSE(CONTROL!$C$32, $C$9, 100%, $E$9)</f>
        <v>4.6887999999999996</v>
      </c>
      <c r="O159" s="11">
        <f>4.6921 * CHOOSE(CONTROL!$C$32, $C$9, 100%, $E$9)</f>
        <v>4.6920999999999999</v>
      </c>
      <c r="P159" s="14"/>
      <c r="Q159" s="14"/>
      <c r="R159" s="14"/>
    </row>
    <row r="160" spans="1:18" ht="15" x14ac:dyDescent="0.2">
      <c r="A160" s="13">
        <v>45717</v>
      </c>
      <c r="B160" s="9">
        <f>3.685 * CHOOSE(CONTROL!$C$32, $C$9, 100%, $E$9)</f>
        <v>3.6850000000000001</v>
      </c>
      <c r="C160" s="9">
        <f>3.685 * CHOOSE(CONTROL!$C$32, $C$9, 100%, $E$9)</f>
        <v>3.6850000000000001</v>
      </c>
      <c r="D160" s="9">
        <f>3.6859 * CHOOSE(CONTROL!$C$32, $C$9, 100%, $E$9)</f>
        <v>3.6859000000000002</v>
      </c>
      <c r="E160" s="11">
        <f>4.6868 * CHOOSE(CONTROL!$C$32, $C$9, 100%, $E$9)</f>
        <v>4.6867999999999999</v>
      </c>
      <c r="F160" s="11">
        <f>4.6868 * CHOOSE(CONTROL!$C$32, $C$9, 100%, $E$9)</f>
        <v>4.6867999999999999</v>
      </c>
      <c r="G160" s="11">
        <f>4.6901 * CHOOSE(CONTROL!$C$32, $C$9, 100%, $E$9)</f>
        <v>4.6901000000000002</v>
      </c>
      <c r="H160" s="11">
        <f>7.8169 * CHOOSE(CONTROL!$C$32, $C$9, 100%, $E$9)</f>
        <v>7.8169000000000004</v>
      </c>
      <c r="I160" s="11">
        <f>7.8201 * CHOOSE(CONTROL!$C$32, $C$9, 100%, $E$9)</f>
        <v>7.8201000000000001</v>
      </c>
      <c r="J160" s="11">
        <f>7.8169 * CHOOSE(CONTROL!$C$32, $C$9, 100%, $E$9)</f>
        <v>7.8169000000000004</v>
      </c>
      <c r="K160" s="11">
        <f>7.8201 * CHOOSE(CONTROL!$C$32, $C$9, 100%, $E$9)</f>
        <v>7.8201000000000001</v>
      </c>
      <c r="L160" s="11">
        <f>4.6868 * CHOOSE(CONTROL!$C$32, $C$9, 100%, $E$9)</f>
        <v>4.6867999999999999</v>
      </c>
      <c r="M160" s="11">
        <f>4.6901 * CHOOSE(CONTROL!$C$32, $C$9, 100%, $E$9)</f>
        <v>4.6901000000000002</v>
      </c>
      <c r="N160" s="11">
        <f>4.6868 * CHOOSE(CONTROL!$C$32, $C$9, 100%, $E$9)</f>
        <v>4.6867999999999999</v>
      </c>
      <c r="O160" s="11">
        <f>4.6901 * CHOOSE(CONTROL!$C$32, $C$9, 100%, $E$9)</f>
        <v>4.6901000000000002</v>
      </c>
      <c r="P160" s="14"/>
      <c r="Q160" s="14"/>
      <c r="R160" s="14"/>
    </row>
    <row r="161" spans="1:18" ht="15" x14ac:dyDescent="0.2">
      <c r="A161" s="13">
        <v>45748</v>
      </c>
      <c r="B161" s="9">
        <f>3.6823 * CHOOSE(CONTROL!$C$32, $C$9, 100%, $E$9)</f>
        <v>3.6823000000000001</v>
      </c>
      <c r="C161" s="9">
        <f>3.6823 * CHOOSE(CONTROL!$C$32, $C$9, 100%, $E$9)</f>
        <v>3.6823000000000001</v>
      </c>
      <c r="D161" s="9">
        <f>3.6833 * CHOOSE(CONTROL!$C$32, $C$9, 100%, $E$9)</f>
        <v>3.6833</v>
      </c>
      <c r="E161" s="11">
        <f>4.6846 * CHOOSE(CONTROL!$C$32, $C$9, 100%, $E$9)</f>
        <v>4.6845999999999997</v>
      </c>
      <c r="F161" s="11">
        <f>4.6846 * CHOOSE(CONTROL!$C$32, $C$9, 100%, $E$9)</f>
        <v>4.6845999999999997</v>
      </c>
      <c r="G161" s="11">
        <f>4.6879 * CHOOSE(CONTROL!$C$32, $C$9, 100%, $E$9)</f>
        <v>4.6879</v>
      </c>
      <c r="H161" s="11">
        <f>7.8332 * CHOOSE(CONTROL!$C$32, $C$9, 100%, $E$9)</f>
        <v>7.8331999999999997</v>
      </c>
      <c r="I161" s="11">
        <f>7.8364 * CHOOSE(CONTROL!$C$32, $C$9, 100%, $E$9)</f>
        <v>7.8364000000000003</v>
      </c>
      <c r="J161" s="11">
        <f>7.8332 * CHOOSE(CONTROL!$C$32, $C$9, 100%, $E$9)</f>
        <v>7.8331999999999997</v>
      </c>
      <c r="K161" s="11">
        <f>7.8364 * CHOOSE(CONTROL!$C$32, $C$9, 100%, $E$9)</f>
        <v>7.8364000000000003</v>
      </c>
      <c r="L161" s="11">
        <f>4.6846 * CHOOSE(CONTROL!$C$32, $C$9, 100%, $E$9)</f>
        <v>4.6845999999999997</v>
      </c>
      <c r="M161" s="11">
        <f>4.6879 * CHOOSE(CONTROL!$C$32, $C$9, 100%, $E$9)</f>
        <v>4.6879</v>
      </c>
      <c r="N161" s="11">
        <f>4.6846 * CHOOSE(CONTROL!$C$32, $C$9, 100%, $E$9)</f>
        <v>4.6845999999999997</v>
      </c>
      <c r="O161" s="11">
        <f>4.6879 * CHOOSE(CONTROL!$C$32, $C$9, 100%, $E$9)</f>
        <v>4.6879</v>
      </c>
      <c r="P161" s="14"/>
      <c r="Q161" s="14"/>
      <c r="R161" s="14"/>
    </row>
    <row r="162" spans="1:18" ht="15" x14ac:dyDescent="0.2">
      <c r="A162" s="13">
        <v>45778</v>
      </c>
      <c r="B162" s="9">
        <f>3.6823 * CHOOSE(CONTROL!$C$32, $C$9, 100%, $E$9)</f>
        <v>3.6823000000000001</v>
      </c>
      <c r="C162" s="9">
        <f>3.6823 * CHOOSE(CONTROL!$C$32, $C$9, 100%, $E$9)</f>
        <v>3.6823000000000001</v>
      </c>
      <c r="D162" s="9">
        <f>3.6836 * CHOOSE(CONTROL!$C$32, $C$9, 100%, $E$9)</f>
        <v>3.6836000000000002</v>
      </c>
      <c r="E162" s="11">
        <f>4.6846 * CHOOSE(CONTROL!$C$32, $C$9, 100%, $E$9)</f>
        <v>4.6845999999999997</v>
      </c>
      <c r="F162" s="11">
        <f>4.6846 * CHOOSE(CONTROL!$C$32, $C$9, 100%, $E$9)</f>
        <v>4.6845999999999997</v>
      </c>
      <c r="G162" s="11">
        <f>4.6888 * CHOOSE(CONTROL!$C$32, $C$9, 100%, $E$9)</f>
        <v>4.6887999999999996</v>
      </c>
      <c r="H162" s="11">
        <f>7.8495 * CHOOSE(CONTROL!$C$32, $C$9, 100%, $E$9)</f>
        <v>7.8494999999999999</v>
      </c>
      <c r="I162" s="11">
        <f>7.8537 * CHOOSE(CONTROL!$C$32, $C$9, 100%, $E$9)</f>
        <v>7.8536999999999999</v>
      </c>
      <c r="J162" s="11">
        <f>7.8495 * CHOOSE(CONTROL!$C$32, $C$9, 100%, $E$9)</f>
        <v>7.8494999999999999</v>
      </c>
      <c r="K162" s="11">
        <f>7.8537 * CHOOSE(CONTROL!$C$32, $C$9, 100%, $E$9)</f>
        <v>7.8536999999999999</v>
      </c>
      <c r="L162" s="11">
        <f>4.6846 * CHOOSE(CONTROL!$C$32, $C$9, 100%, $E$9)</f>
        <v>4.6845999999999997</v>
      </c>
      <c r="M162" s="11">
        <f>4.6888 * CHOOSE(CONTROL!$C$32, $C$9, 100%, $E$9)</f>
        <v>4.6887999999999996</v>
      </c>
      <c r="N162" s="11">
        <f>4.6846 * CHOOSE(CONTROL!$C$32, $C$9, 100%, $E$9)</f>
        <v>4.6845999999999997</v>
      </c>
      <c r="O162" s="11">
        <f>4.6888 * CHOOSE(CONTROL!$C$32, $C$9, 100%, $E$9)</f>
        <v>4.6887999999999996</v>
      </c>
      <c r="P162" s="14"/>
      <c r="Q162" s="14"/>
      <c r="R162" s="14"/>
    </row>
    <row r="163" spans="1:18" ht="15" x14ac:dyDescent="0.2">
      <c r="A163" s="13">
        <v>45809</v>
      </c>
      <c r="B163" s="9">
        <f>3.6884 * CHOOSE(CONTROL!$C$32, $C$9, 100%, $E$9)</f>
        <v>3.6884000000000001</v>
      </c>
      <c r="C163" s="9">
        <f>3.6884 * CHOOSE(CONTROL!$C$32, $C$9, 100%, $E$9)</f>
        <v>3.6884000000000001</v>
      </c>
      <c r="D163" s="9">
        <f>3.6897 * CHOOSE(CONTROL!$C$32, $C$9, 100%, $E$9)</f>
        <v>3.6897000000000002</v>
      </c>
      <c r="E163" s="11">
        <f>4.6886 * CHOOSE(CONTROL!$C$32, $C$9, 100%, $E$9)</f>
        <v>4.6886000000000001</v>
      </c>
      <c r="F163" s="11">
        <f>4.6886 * CHOOSE(CONTROL!$C$32, $C$9, 100%, $E$9)</f>
        <v>4.6886000000000001</v>
      </c>
      <c r="G163" s="11">
        <f>4.6928 * CHOOSE(CONTROL!$C$32, $C$9, 100%, $E$9)</f>
        <v>4.6928000000000001</v>
      </c>
      <c r="H163" s="11">
        <f>7.8659 * CHOOSE(CONTROL!$C$32, $C$9, 100%, $E$9)</f>
        <v>7.8658999999999999</v>
      </c>
      <c r="I163" s="11">
        <f>7.8701 * CHOOSE(CONTROL!$C$32, $C$9, 100%, $E$9)</f>
        <v>7.8700999999999999</v>
      </c>
      <c r="J163" s="11">
        <f>7.8659 * CHOOSE(CONTROL!$C$32, $C$9, 100%, $E$9)</f>
        <v>7.8658999999999999</v>
      </c>
      <c r="K163" s="11">
        <f>7.8701 * CHOOSE(CONTROL!$C$32, $C$9, 100%, $E$9)</f>
        <v>7.8700999999999999</v>
      </c>
      <c r="L163" s="11">
        <f>4.6886 * CHOOSE(CONTROL!$C$32, $C$9, 100%, $E$9)</f>
        <v>4.6886000000000001</v>
      </c>
      <c r="M163" s="11">
        <f>4.6928 * CHOOSE(CONTROL!$C$32, $C$9, 100%, $E$9)</f>
        <v>4.6928000000000001</v>
      </c>
      <c r="N163" s="11">
        <f>4.6886 * CHOOSE(CONTROL!$C$32, $C$9, 100%, $E$9)</f>
        <v>4.6886000000000001</v>
      </c>
      <c r="O163" s="11">
        <f>4.6928 * CHOOSE(CONTROL!$C$32, $C$9, 100%, $E$9)</f>
        <v>4.6928000000000001</v>
      </c>
      <c r="P163" s="14"/>
      <c r="Q163" s="14"/>
      <c r="R163" s="14"/>
    </row>
    <row r="164" spans="1:18" ht="15" x14ac:dyDescent="0.2">
      <c r="A164" s="13">
        <v>45839</v>
      </c>
      <c r="B164" s="9">
        <f>3.7541 * CHOOSE(CONTROL!$C$32, $C$9, 100%, $E$9)</f>
        <v>3.7541000000000002</v>
      </c>
      <c r="C164" s="9">
        <f>3.7541 * CHOOSE(CONTROL!$C$32, $C$9, 100%, $E$9)</f>
        <v>3.7541000000000002</v>
      </c>
      <c r="D164" s="9">
        <f>3.7553 * CHOOSE(CONTROL!$C$32, $C$9, 100%, $E$9)</f>
        <v>3.7553000000000001</v>
      </c>
      <c r="E164" s="11">
        <f>4.7776 * CHOOSE(CONTROL!$C$32, $C$9, 100%, $E$9)</f>
        <v>4.7775999999999996</v>
      </c>
      <c r="F164" s="11">
        <f>4.7776 * CHOOSE(CONTROL!$C$32, $C$9, 100%, $E$9)</f>
        <v>4.7775999999999996</v>
      </c>
      <c r="G164" s="11">
        <f>4.7818 * CHOOSE(CONTROL!$C$32, $C$9, 100%, $E$9)</f>
        <v>4.7817999999999996</v>
      </c>
      <c r="H164" s="11">
        <f>7.8823 * CHOOSE(CONTROL!$C$32, $C$9, 100%, $E$9)</f>
        <v>7.8822999999999999</v>
      </c>
      <c r="I164" s="11">
        <f>7.8865 * CHOOSE(CONTROL!$C$32, $C$9, 100%, $E$9)</f>
        <v>7.8864999999999998</v>
      </c>
      <c r="J164" s="11">
        <f>7.8823 * CHOOSE(CONTROL!$C$32, $C$9, 100%, $E$9)</f>
        <v>7.8822999999999999</v>
      </c>
      <c r="K164" s="11">
        <f>7.8865 * CHOOSE(CONTROL!$C$32, $C$9, 100%, $E$9)</f>
        <v>7.8864999999999998</v>
      </c>
      <c r="L164" s="11">
        <f>4.7776 * CHOOSE(CONTROL!$C$32, $C$9, 100%, $E$9)</f>
        <v>4.7775999999999996</v>
      </c>
      <c r="M164" s="11">
        <f>4.7818 * CHOOSE(CONTROL!$C$32, $C$9, 100%, $E$9)</f>
        <v>4.7817999999999996</v>
      </c>
      <c r="N164" s="11">
        <f>4.7776 * CHOOSE(CONTROL!$C$32, $C$9, 100%, $E$9)</f>
        <v>4.7775999999999996</v>
      </c>
      <c r="O164" s="11">
        <f>4.7818 * CHOOSE(CONTROL!$C$32, $C$9, 100%, $E$9)</f>
        <v>4.7817999999999996</v>
      </c>
      <c r="P164" s="14"/>
      <c r="Q164" s="14"/>
      <c r="R164" s="14"/>
    </row>
    <row r="165" spans="1:18" ht="15" x14ac:dyDescent="0.2">
      <c r="A165" s="13">
        <v>45870</v>
      </c>
      <c r="B165" s="9">
        <f>3.7607 * CHOOSE(CONTROL!$C$32, $C$9, 100%, $E$9)</f>
        <v>3.7606999999999999</v>
      </c>
      <c r="C165" s="9">
        <f>3.7607 * CHOOSE(CONTROL!$C$32, $C$9, 100%, $E$9)</f>
        <v>3.7606999999999999</v>
      </c>
      <c r="D165" s="9">
        <f>3.762 * CHOOSE(CONTROL!$C$32, $C$9, 100%, $E$9)</f>
        <v>3.762</v>
      </c>
      <c r="E165" s="11">
        <f>4.782 * CHOOSE(CONTROL!$C$32, $C$9, 100%, $E$9)</f>
        <v>4.782</v>
      </c>
      <c r="F165" s="11">
        <f>4.782 * CHOOSE(CONTROL!$C$32, $C$9, 100%, $E$9)</f>
        <v>4.782</v>
      </c>
      <c r="G165" s="11">
        <f>4.7862 * CHOOSE(CONTROL!$C$32, $C$9, 100%, $E$9)</f>
        <v>4.7862</v>
      </c>
      <c r="H165" s="11">
        <f>7.8987 * CHOOSE(CONTROL!$C$32, $C$9, 100%, $E$9)</f>
        <v>7.8986999999999998</v>
      </c>
      <c r="I165" s="11">
        <f>7.9029 * CHOOSE(CONTROL!$C$32, $C$9, 100%, $E$9)</f>
        <v>7.9028999999999998</v>
      </c>
      <c r="J165" s="11">
        <f>7.8987 * CHOOSE(CONTROL!$C$32, $C$9, 100%, $E$9)</f>
        <v>7.8986999999999998</v>
      </c>
      <c r="K165" s="11">
        <f>7.9029 * CHOOSE(CONTROL!$C$32, $C$9, 100%, $E$9)</f>
        <v>7.9028999999999998</v>
      </c>
      <c r="L165" s="11">
        <f>4.782 * CHOOSE(CONTROL!$C$32, $C$9, 100%, $E$9)</f>
        <v>4.782</v>
      </c>
      <c r="M165" s="11">
        <f>4.7862 * CHOOSE(CONTROL!$C$32, $C$9, 100%, $E$9)</f>
        <v>4.7862</v>
      </c>
      <c r="N165" s="11">
        <f>4.782 * CHOOSE(CONTROL!$C$32, $C$9, 100%, $E$9)</f>
        <v>4.782</v>
      </c>
      <c r="O165" s="11">
        <f>4.7862 * CHOOSE(CONTROL!$C$32, $C$9, 100%, $E$9)</f>
        <v>4.7862</v>
      </c>
      <c r="P165" s="14"/>
      <c r="Q165" s="14"/>
      <c r="R165" s="14"/>
    </row>
    <row r="166" spans="1:18" ht="15" x14ac:dyDescent="0.2">
      <c r="A166" s="13">
        <v>45901</v>
      </c>
      <c r="B166" s="9">
        <f>3.7577 * CHOOSE(CONTROL!$C$32, $C$9, 100%, $E$9)</f>
        <v>3.7576999999999998</v>
      </c>
      <c r="C166" s="9">
        <f>3.7577 * CHOOSE(CONTROL!$C$32, $C$9, 100%, $E$9)</f>
        <v>3.7576999999999998</v>
      </c>
      <c r="D166" s="9">
        <f>3.7589 * CHOOSE(CONTROL!$C$32, $C$9, 100%, $E$9)</f>
        <v>3.7589000000000001</v>
      </c>
      <c r="E166" s="11">
        <f>4.78 * CHOOSE(CONTROL!$C$32, $C$9, 100%, $E$9)</f>
        <v>4.78</v>
      </c>
      <c r="F166" s="11">
        <f>4.78 * CHOOSE(CONTROL!$C$32, $C$9, 100%, $E$9)</f>
        <v>4.78</v>
      </c>
      <c r="G166" s="11">
        <f>4.7842 * CHOOSE(CONTROL!$C$32, $C$9, 100%, $E$9)</f>
        <v>4.7842000000000002</v>
      </c>
      <c r="H166" s="11">
        <f>7.9151 * CHOOSE(CONTROL!$C$32, $C$9, 100%, $E$9)</f>
        <v>7.9150999999999998</v>
      </c>
      <c r="I166" s="11">
        <f>7.9193 * CHOOSE(CONTROL!$C$32, $C$9, 100%, $E$9)</f>
        <v>7.9192999999999998</v>
      </c>
      <c r="J166" s="11">
        <f>7.9151 * CHOOSE(CONTROL!$C$32, $C$9, 100%, $E$9)</f>
        <v>7.9150999999999998</v>
      </c>
      <c r="K166" s="11">
        <f>7.9193 * CHOOSE(CONTROL!$C$32, $C$9, 100%, $E$9)</f>
        <v>7.9192999999999998</v>
      </c>
      <c r="L166" s="11">
        <f>4.78 * CHOOSE(CONTROL!$C$32, $C$9, 100%, $E$9)</f>
        <v>4.78</v>
      </c>
      <c r="M166" s="11">
        <f>4.7842 * CHOOSE(CONTROL!$C$32, $C$9, 100%, $E$9)</f>
        <v>4.7842000000000002</v>
      </c>
      <c r="N166" s="11">
        <f>4.78 * CHOOSE(CONTROL!$C$32, $C$9, 100%, $E$9)</f>
        <v>4.78</v>
      </c>
      <c r="O166" s="11">
        <f>4.7842 * CHOOSE(CONTROL!$C$32, $C$9, 100%, $E$9)</f>
        <v>4.7842000000000002</v>
      </c>
      <c r="P166" s="14"/>
      <c r="Q166" s="14"/>
      <c r="R166" s="14"/>
    </row>
    <row r="167" spans="1:18" ht="15" x14ac:dyDescent="0.2">
      <c r="A167" s="13">
        <v>45931</v>
      </c>
      <c r="B167" s="9">
        <f>3.7519 * CHOOSE(CONTROL!$C$32, $C$9, 100%, $E$9)</f>
        <v>3.7519</v>
      </c>
      <c r="C167" s="9">
        <f>3.7519 * CHOOSE(CONTROL!$C$32, $C$9, 100%, $E$9)</f>
        <v>3.7519</v>
      </c>
      <c r="D167" s="9">
        <f>3.7529 * CHOOSE(CONTROL!$C$32, $C$9, 100%, $E$9)</f>
        <v>3.7528999999999999</v>
      </c>
      <c r="E167" s="11">
        <f>4.7743 * CHOOSE(CONTROL!$C$32, $C$9, 100%, $E$9)</f>
        <v>4.7743000000000002</v>
      </c>
      <c r="F167" s="11">
        <f>4.7743 * CHOOSE(CONTROL!$C$32, $C$9, 100%, $E$9)</f>
        <v>4.7743000000000002</v>
      </c>
      <c r="G167" s="11">
        <f>4.7775 * CHOOSE(CONTROL!$C$32, $C$9, 100%, $E$9)</f>
        <v>4.7774999999999999</v>
      </c>
      <c r="H167" s="11">
        <f>7.9316 * CHOOSE(CONTROL!$C$32, $C$9, 100%, $E$9)</f>
        <v>7.9316000000000004</v>
      </c>
      <c r="I167" s="11">
        <f>7.9349 * CHOOSE(CONTROL!$C$32, $C$9, 100%, $E$9)</f>
        <v>7.9348999999999998</v>
      </c>
      <c r="J167" s="11">
        <f>7.9316 * CHOOSE(CONTROL!$C$32, $C$9, 100%, $E$9)</f>
        <v>7.9316000000000004</v>
      </c>
      <c r="K167" s="11">
        <f>7.9349 * CHOOSE(CONTROL!$C$32, $C$9, 100%, $E$9)</f>
        <v>7.9348999999999998</v>
      </c>
      <c r="L167" s="11">
        <f>4.7743 * CHOOSE(CONTROL!$C$32, $C$9, 100%, $E$9)</f>
        <v>4.7743000000000002</v>
      </c>
      <c r="M167" s="11">
        <f>4.7775 * CHOOSE(CONTROL!$C$32, $C$9, 100%, $E$9)</f>
        <v>4.7774999999999999</v>
      </c>
      <c r="N167" s="11">
        <f>4.7743 * CHOOSE(CONTROL!$C$32, $C$9, 100%, $E$9)</f>
        <v>4.7743000000000002</v>
      </c>
      <c r="O167" s="11">
        <f>4.7775 * CHOOSE(CONTROL!$C$32, $C$9, 100%, $E$9)</f>
        <v>4.7774999999999999</v>
      </c>
      <c r="P167" s="14"/>
      <c r="Q167" s="14"/>
      <c r="R167" s="14"/>
    </row>
    <row r="168" spans="1:18" ht="15" x14ac:dyDescent="0.2">
      <c r="A168" s="13">
        <v>45962</v>
      </c>
      <c r="B168" s="9">
        <f>3.755 * CHOOSE(CONTROL!$C$32, $C$9, 100%, $E$9)</f>
        <v>3.7549999999999999</v>
      </c>
      <c r="C168" s="9">
        <f>3.755 * CHOOSE(CONTROL!$C$32, $C$9, 100%, $E$9)</f>
        <v>3.7549999999999999</v>
      </c>
      <c r="D168" s="9">
        <f>3.7559 * CHOOSE(CONTROL!$C$32, $C$9, 100%, $E$9)</f>
        <v>3.7559</v>
      </c>
      <c r="E168" s="11">
        <f>4.7763 * CHOOSE(CONTROL!$C$32, $C$9, 100%, $E$9)</f>
        <v>4.7763</v>
      </c>
      <c r="F168" s="11">
        <f>4.7763 * CHOOSE(CONTROL!$C$32, $C$9, 100%, $E$9)</f>
        <v>4.7763</v>
      </c>
      <c r="G168" s="11">
        <f>4.7795 * CHOOSE(CONTROL!$C$32, $C$9, 100%, $E$9)</f>
        <v>4.7794999999999996</v>
      </c>
      <c r="H168" s="11">
        <f>7.9482 * CHOOSE(CONTROL!$C$32, $C$9, 100%, $E$9)</f>
        <v>7.9481999999999999</v>
      </c>
      <c r="I168" s="11">
        <f>7.9514 * CHOOSE(CONTROL!$C$32, $C$9, 100%, $E$9)</f>
        <v>7.9513999999999996</v>
      </c>
      <c r="J168" s="11">
        <f>7.9482 * CHOOSE(CONTROL!$C$32, $C$9, 100%, $E$9)</f>
        <v>7.9481999999999999</v>
      </c>
      <c r="K168" s="11">
        <f>7.9514 * CHOOSE(CONTROL!$C$32, $C$9, 100%, $E$9)</f>
        <v>7.9513999999999996</v>
      </c>
      <c r="L168" s="11">
        <f>4.7763 * CHOOSE(CONTROL!$C$32, $C$9, 100%, $E$9)</f>
        <v>4.7763</v>
      </c>
      <c r="M168" s="11">
        <f>4.7795 * CHOOSE(CONTROL!$C$32, $C$9, 100%, $E$9)</f>
        <v>4.7794999999999996</v>
      </c>
      <c r="N168" s="11">
        <f>4.7763 * CHOOSE(CONTROL!$C$32, $C$9, 100%, $E$9)</f>
        <v>4.7763</v>
      </c>
      <c r="O168" s="11">
        <f>4.7795 * CHOOSE(CONTROL!$C$32, $C$9, 100%, $E$9)</f>
        <v>4.7794999999999996</v>
      </c>
    </row>
    <row r="169" spans="1:18" ht="15" x14ac:dyDescent="0.2">
      <c r="A169" s="13">
        <v>45992</v>
      </c>
      <c r="B169" s="9">
        <f>3.755 * CHOOSE(CONTROL!$C$32, $C$9, 100%, $E$9)</f>
        <v>3.7549999999999999</v>
      </c>
      <c r="C169" s="9">
        <f>3.755 * CHOOSE(CONTROL!$C$32, $C$9, 100%, $E$9)</f>
        <v>3.7549999999999999</v>
      </c>
      <c r="D169" s="9">
        <f>3.7559 * CHOOSE(CONTROL!$C$32, $C$9, 100%, $E$9)</f>
        <v>3.7559</v>
      </c>
      <c r="E169" s="11">
        <f>4.7763 * CHOOSE(CONTROL!$C$32, $C$9, 100%, $E$9)</f>
        <v>4.7763</v>
      </c>
      <c r="F169" s="11">
        <f>4.7763 * CHOOSE(CONTROL!$C$32, $C$9, 100%, $E$9)</f>
        <v>4.7763</v>
      </c>
      <c r="G169" s="11">
        <f>4.7795 * CHOOSE(CONTROL!$C$32, $C$9, 100%, $E$9)</f>
        <v>4.7794999999999996</v>
      </c>
      <c r="H169" s="11">
        <f>7.9647 * CHOOSE(CONTROL!$C$32, $C$9, 100%, $E$9)</f>
        <v>7.9646999999999997</v>
      </c>
      <c r="I169" s="11">
        <f>7.9679 * CHOOSE(CONTROL!$C$32, $C$9, 100%, $E$9)</f>
        <v>7.9679000000000002</v>
      </c>
      <c r="J169" s="11">
        <f>7.9647 * CHOOSE(CONTROL!$C$32, $C$9, 100%, $E$9)</f>
        <v>7.9646999999999997</v>
      </c>
      <c r="K169" s="11">
        <f>7.9679 * CHOOSE(CONTROL!$C$32, $C$9, 100%, $E$9)</f>
        <v>7.9679000000000002</v>
      </c>
      <c r="L169" s="11">
        <f>4.7763 * CHOOSE(CONTROL!$C$32, $C$9, 100%, $E$9)</f>
        <v>4.7763</v>
      </c>
      <c r="M169" s="11">
        <f>4.7795 * CHOOSE(CONTROL!$C$32, $C$9, 100%, $E$9)</f>
        <v>4.7794999999999996</v>
      </c>
      <c r="N169" s="11">
        <f>4.7763 * CHOOSE(CONTROL!$C$32, $C$9, 100%, $E$9)</f>
        <v>4.7763</v>
      </c>
      <c r="O169" s="11">
        <f>4.7795 * CHOOSE(CONTROL!$C$32, $C$9, 100%, $E$9)</f>
        <v>4.7794999999999996</v>
      </c>
    </row>
    <row r="170" spans="1:18" ht="15" x14ac:dyDescent="0.2">
      <c r="A170" s="13">
        <v>46023</v>
      </c>
      <c r="B170" s="9">
        <f>3.7892 * CHOOSE(CONTROL!$C$32, $C$9, 100%, $E$9)</f>
        <v>3.7892000000000001</v>
      </c>
      <c r="C170" s="9">
        <f>3.7892 * CHOOSE(CONTROL!$C$32, $C$9, 100%, $E$9)</f>
        <v>3.7892000000000001</v>
      </c>
      <c r="D170" s="9">
        <f>3.7901 * CHOOSE(CONTROL!$C$32, $C$9, 100%, $E$9)</f>
        <v>3.7900999999999998</v>
      </c>
      <c r="E170" s="11">
        <f>4.8185 * CHOOSE(CONTROL!$C$32, $C$9, 100%, $E$9)</f>
        <v>4.8185000000000002</v>
      </c>
      <c r="F170" s="11">
        <f>4.8185 * CHOOSE(CONTROL!$C$32, $C$9, 100%, $E$9)</f>
        <v>4.8185000000000002</v>
      </c>
      <c r="G170" s="11">
        <f>4.8217 * CHOOSE(CONTROL!$C$32, $C$9, 100%, $E$9)</f>
        <v>4.8216999999999999</v>
      </c>
      <c r="H170" s="11">
        <f>7.9813 * CHOOSE(CONTROL!$C$32, $C$9, 100%, $E$9)</f>
        <v>7.9813000000000001</v>
      </c>
      <c r="I170" s="11">
        <f>7.9845 * CHOOSE(CONTROL!$C$32, $C$9, 100%, $E$9)</f>
        <v>7.9844999999999997</v>
      </c>
      <c r="J170" s="11">
        <f>7.9813 * CHOOSE(CONTROL!$C$32, $C$9, 100%, $E$9)</f>
        <v>7.9813000000000001</v>
      </c>
      <c r="K170" s="11">
        <f>7.9845 * CHOOSE(CONTROL!$C$32, $C$9, 100%, $E$9)</f>
        <v>7.9844999999999997</v>
      </c>
      <c r="L170" s="11">
        <f>4.8185 * CHOOSE(CONTROL!$C$32, $C$9, 100%, $E$9)</f>
        <v>4.8185000000000002</v>
      </c>
      <c r="M170" s="11">
        <f>4.8217 * CHOOSE(CONTROL!$C$32, $C$9, 100%, $E$9)</f>
        <v>4.8216999999999999</v>
      </c>
      <c r="N170" s="11">
        <f>4.8185 * CHOOSE(CONTROL!$C$32, $C$9, 100%, $E$9)</f>
        <v>4.8185000000000002</v>
      </c>
      <c r="O170" s="11">
        <f>4.8217 * CHOOSE(CONTROL!$C$32, $C$9, 100%, $E$9)</f>
        <v>4.8216999999999999</v>
      </c>
    </row>
    <row r="171" spans="1:18" ht="15" x14ac:dyDescent="0.2">
      <c r="A171" s="13">
        <v>46054</v>
      </c>
      <c r="B171" s="9">
        <f>3.7861 * CHOOSE(CONTROL!$C$32, $C$9, 100%, $E$9)</f>
        <v>3.7860999999999998</v>
      </c>
      <c r="C171" s="9">
        <f>3.7861 * CHOOSE(CONTROL!$C$32, $C$9, 100%, $E$9)</f>
        <v>3.7860999999999998</v>
      </c>
      <c r="D171" s="9">
        <f>3.7871 * CHOOSE(CONTROL!$C$32, $C$9, 100%, $E$9)</f>
        <v>3.7871000000000001</v>
      </c>
      <c r="E171" s="11">
        <f>4.8165 * CHOOSE(CONTROL!$C$32, $C$9, 100%, $E$9)</f>
        <v>4.8164999999999996</v>
      </c>
      <c r="F171" s="11">
        <f>4.8165 * CHOOSE(CONTROL!$C$32, $C$9, 100%, $E$9)</f>
        <v>4.8164999999999996</v>
      </c>
      <c r="G171" s="11">
        <f>4.8197 * CHOOSE(CONTROL!$C$32, $C$9, 100%, $E$9)</f>
        <v>4.8197000000000001</v>
      </c>
      <c r="H171" s="11">
        <f>7.9979 * CHOOSE(CONTROL!$C$32, $C$9, 100%, $E$9)</f>
        <v>7.9978999999999996</v>
      </c>
      <c r="I171" s="11">
        <f>8.0012 * CHOOSE(CONTROL!$C$32, $C$9, 100%, $E$9)</f>
        <v>8.0012000000000008</v>
      </c>
      <c r="J171" s="11">
        <f>7.9979 * CHOOSE(CONTROL!$C$32, $C$9, 100%, $E$9)</f>
        <v>7.9978999999999996</v>
      </c>
      <c r="K171" s="11">
        <f>8.0012 * CHOOSE(CONTROL!$C$32, $C$9, 100%, $E$9)</f>
        <v>8.0012000000000008</v>
      </c>
      <c r="L171" s="11">
        <f>4.8165 * CHOOSE(CONTROL!$C$32, $C$9, 100%, $E$9)</f>
        <v>4.8164999999999996</v>
      </c>
      <c r="M171" s="11">
        <f>4.8197 * CHOOSE(CONTROL!$C$32, $C$9, 100%, $E$9)</f>
        <v>4.8197000000000001</v>
      </c>
      <c r="N171" s="11">
        <f>4.8165 * CHOOSE(CONTROL!$C$32, $C$9, 100%, $E$9)</f>
        <v>4.8164999999999996</v>
      </c>
      <c r="O171" s="11">
        <f>4.8197 * CHOOSE(CONTROL!$C$32, $C$9, 100%, $E$9)</f>
        <v>4.8197000000000001</v>
      </c>
    </row>
    <row r="172" spans="1:18" ht="15" x14ac:dyDescent="0.2">
      <c r="A172" s="13">
        <v>46082</v>
      </c>
      <c r="B172" s="9">
        <f>3.7831 * CHOOSE(CONTROL!$C$32, $C$9, 100%, $E$9)</f>
        <v>3.7831000000000001</v>
      </c>
      <c r="C172" s="9">
        <f>3.7831 * CHOOSE(CONTROL!$C$32, $C$9, 100%, $E$9)</f>
        <v>3.7831000000000001</v>
      </c>
      <c r="D172" s="9">
        <f>3.784 * CHOOSE(CONTROL!$C$32, $C$9, 100%, $E$9)</f>
        <v>3.7839999999999998</v>
      </c>
      <c r="E172" s="11">
        <f>4.8145 * CHOOSE(CONTROL!$C$32, $C$9, 100%, $E$9)</f>
        <v>4.8144999999999998</v>
      </c>
      <c r="F172" s="11">
        <f>4.8145 * CHOOSE(CONTROL!$C$32, $C$9, 100%, $E$9)</f>
        <v>4.8144999999999998</v>
      </c>
      <c r="G172" s="11">
        <f>4.8177 * CHOOSE(CONTROL!$C$32, $C$9, 100%, $E$9)</f>
        <v>4.8177000000000003</v>
      </c>
      <c r="H172" s="11">
        <f>8.0146 * CHOOSE(CONTROL!$C$32, $C$9, 100%, $E$9)</f>
        <v>8.0145999999999997</v>
      </c>
      <c r="I172" s="11">
        <f>8.0178 * CHOOSE(CONTROL!$C$32, $C$9, 100%, $E$9)</f>
        <v>8.0177999999999994</v>
      </c>
      <c r="J172" s="11">
        <f>8.0146 * CHOOSE(CONTROL!$C$32, $C$9, 100%, $E$9)</f>
        <v>8.0145999999999997</v>
      </c>
      <c r="K172" s="11">
        <f>8.0178 * CHOOSE(CONTROL!$C$32, $C$9, 100%, $E$9)</f>
        <v>8.0177999999999994</v>
      </c>
      <c r="L172" s="11">
        <f>4.8145 * CHOOSE(CONTROL!$C$32, $C$9, 100%, $E$9)</f>
        <v>4.8144999999999998</v>
      </c>
      <c r="M172" s="11">
        <f>4.8177 * CHOOSE(CONTROL!$C$32, $C$9, 100%, $E$9)</f>
        <v>4.8177000000000003</v>
      </c>
      <c r="N172" s="11">
        <f>4.8145 * CHOOSE(CONTROL!$C$32, $C$9, 100%, $E$9)</f>
        <v>4.8144999999999998</v>
      </c>
      <c r="O172" s="11">
        <f>4.8177 * CHOOSE(CONTROL!$C$32, $C$9, 100%, $E$9)</f>
        <v>4.8177000000000003</v>
      </c>
    </row>
    <row r="173" spans="1:18" ht="15" x14ac:dyDescent="0.2">
      <c r="A173" s="13">
        <v>46113</v>
      </c>
      <c r="B173" s="9">
        <f>3.7805 * CHOOSE(CONTROL!$C$32, $C$9, 100%, $E$9)</f>
        <v>3.7805</v>
      </c>
      <c r="C173" s="9">
        <f>3.7805 * CHOOSE(CONTROL!$C$32, $C$9, 100%, $E$9)</f>
        <v>3.7805</v>
      </c>
      <c r="D173" s="9">
        <f>3.7815 * CHOOSE(CONTROL!$C$32, $C$9, 100%, $E$9)</f>
        <v>3.7814999999999999</v>
      </c>
      <c r="E173" s="11">
        <f>4.8123 * CHOOSE(CONTROL!$C$32, $C$9, 100%, $E$9)</f>
        <v>4.8122999999999996</v>
      </c>
      <c r="F173" s="11">
        <f>4.8123 * CHOOSE(CONTROL!$C$32, $C$9, 100%, $E$9)</f>
        <v>4.8122999999999996</v>
      </c>
      <c r="G173" s="11">
        <f>4.8156 * CHOOSE(CONTROL!$C$32, $C$9, 100%, $E$9)</f>
        <v>4.8155999999999999</v>
      </c>
      <c r="H173" s="11">
        <f>8.0313 * CHOOSE(CONTROL!$C$32, $C$9, 100%, $E$9)</f>
        <v>8.0312999999999999</v>
      </c>
      <c r="I173" s="11">
        <f>8.0345 * CHOOSE(CONTROL!$C$32, $C$9, 100%, $E$9)</f>
        <v>8.0344999999999995</v>
      </c>
      <c r="J173" s="11">
        <f>8.0313 * CHOOSE(CONTROL!$C$32, $C$9, 100%, $E$9)</f>
        <v>8.0312999999999999</v>
      </c>
      <c r="K173" s="11">
        <f>8.0345 * CHOOSE(CONTROL!$C$32, $C$9, 100%, $E$9)</f>
        <v>8.0344999999999995</v>
      </c>
      <c r="L173" s="11">
        <f>4.8123 * CHOOSE(CONTROL!$C$32, $C$9, 100%, $E$9)</f>
        <v>4.8122999999999996</v>
      </c>
      <c r="M173" s="11">
        <f>4.8156 * CHOOSE(CONTROL!$C$32, $C$9, 100%, $E$9)</f>
        <v>4.8155999999999999</v>
      </c>
      <c r="N173" s="11">
        <f>4.8123 * CHOOSE(CONTROL!$C$32, $C$9, 100%, $E$9)</f>
        <v>4.8122999999999996</v>
      </c>
      <c r="O173" s="11">
        <f>4.8156 * CHOOSE(CONTROL!$C$32, $C$9, 100%, $E$9)</f>
        <v>4.8155999999999999</v>
      </c>
    </row>
    <row r="174" spans="1:18" ht="15" x14ac:dyDescent="0.2">
      <c r="A174" s="13">
        <v>46143</v>
      </c>
      <c r="B174" s="9">
        <f>3.7805 * CHOOSE(CONTROL!$C$32, $C$9, 100%, $E$9)</f>
        <v>3.7805</v>
      </c>
      <c r="C174" s="9">
        <f>3.7805 * CHOOSE(CONTROL!$C$32, $C$9, 100%, $E$9)</f>
        <v>3.7805</v>
      </c>
      <c r="D174" s="9">
        <f>3.7818 * CHOOSE(CONTROL!$C$32, $C$9, 100%, $E$9)</f>
        <v>3.7818000000000001</v>
      </c>
      <c r="E174" s="11">
        <f>4.8123 * CHOOSE(CONTROL!$C$32, $C$9, 100%, $E$9)</f>
        <v>4.8122999999999996</v>
      </c>
      <c r="F174" s="11">
        <f>4.8123 * CHOOSE(CONTROL!$C$32, $C$9, 100%, $E$9)</f>
        <v>4.8122999999999996</v>
      </c>
      <c r="G174" s="11">
        <f>4.8165 * CHOOSE(CONTROL!$C$32, $C$9, 100%, $E$9)</f>
        <v>4.8164999999999996</v>
      </c>
      <c r="H174" s="11">
        <f>8.048 * CHOOSE(CONTROL!$C$32, $C$9, 100%, $E$9)</f>
        <v>8.048</v>
      </c>
      <c r="I174" s="11">
        <f>8.0522 * CHOOSE(CONTROL!$C$32, $C$9, 100%, $E$9)</f>
        <v>8.0521999999999991</v>
      </c>
      <c r="J174" s="11">
        <f>8.048 * CHOOSE(CONTROL!$C$32, $C$9, 100%, $E$9)</f>
        <v>8.048</v>
      </c>
      <c r="K174" s="11">
        <f>8.0522 * CHOOSE(CONTROL!$C$32, $C$9, 100%, $E$9)</f>
        <v>8.0521999999999991</v>
      </c>
      <c r="L174" s="11">
        <f>4.8123 * CHOOSE(CONTROL!$C$32, $C$9, 100%, $E$9)</f>
        <v>4.8122999999999996</v>
      </c>
      <c r="M174" s="11">
        <f>4.8165 * CHOOSE(CONTROL!$C$32, $C$9, 100%, $E$9)</f>
        <v>4.8164999999999996</v>
      </c>
      <c r="N174" s="11">
        <f>4.8123 * CHOOSE(CONTROL!$C$32, $C$9, 100%, $E$9)</f>
        <v>4.8122999999999996</v>
      </c>
      <c r="O174" s="11">
        <f>4.8165 * CHOOSE(CONTROL!$C$32, $C$9, 100%, $E$9)</f>
        <v>4.8164999999999996</v>
      </c>
    </row>
    <row r="175" spans="1:18" ht="15" x14ac:dyDescent="0.2">
      <c r="A175" s="13">
        <v>46174</v>
      </c>
      <c r="B175" s="9">
        <f>3.7866 * CHOOSE(CONTROL!$C$32, $C$9, 100%, $E$9)</f>
        <v>3.7866</v>
      </c>
      <c r="C175" s="9">
        <f>3.7866 * CHOOSE(CONTROL!$C$32, $C$9, 100%, $E$9)</f>
        <v>3.7866</v>
      </c>
      <c r="D175" s="9">
        <f>3.7879 * CHOOSE(CONTROL!$C$32, $C$9, 100%, $E$9)</f>
        <v>3.7879</v>
      </c>
      <c r="E175" s="11">
        <f>4.8163 * CHOOSE(CONTROL!$C$32, $C$9, 100%, $E$9)</f>
        <v>4.8163</v>
      </c>
      <c r="F175" s="11">
        <f>4.8163 * CHOOSE(CONTROL!$C$32, $C$9, 100%, $E$9)</f>
        <v>4.8163</v>
      </c>
      <c r="G175" s="11">
        <f>4.8205 * CHOOSE(CONTROL!$C$32, $C$9, 100%, $E$9)</f>
        <v>4.8205</v>
      </c>
      <c r="H175" s="11">
        <f>8.0648 * CHOOSE(CONTROL!$C$32, $C$9, 100%, $E$9)</f>
        <v>8.0648</v>
      </c>
      <c r="I175" s="11">
        <f>8.069 * CHOOSE(CONTROL!$C$32, $C$9, 100%, $E$9)</f>
        <v>8.0690000000000008</v>
      </c>
      <c r="J175" s="11">
        <f>8.0648 * CHOOSE(CONTROL!$C$32, $C$9, 100%, $E$9)</f>
        <v>8.0648</v>
      </c>
      <c r="K175" s="11">
        <f>8.069 * CHOOSE(CONTROL!$C$32, $C$9, 100%, $E$9)</f>
        <v>8.0690000000000008</v>
      </c>
      <c r="L175" s="11">
        <f>4.8163 * CHOOSE(CONTROL!$C$32, $C$9, 100%, $E$9)</f>
        <v>4.8163</v>
      </c>
      <c r="M175" s="11">
        <f>4.8205 * CHOOSE(CONTROL!$C$32, $C$9, 100%, $E$9)</f>
        <v>4.8205</v>
      </c>
      <c r="N175" s="11">
        <f>4.8163 * CHOOSE(CONTROL!$C$32, $C$9, 100%, $E$9)</f>
        <v>4.8163</v>
      </c>
      <c r="O175" s="11">
        <f>4.8205 * CHOOSE(CONTROL!$C$32, $C$9, 100%, $E$9)</f>
        <v>4.8205</v>
      </c>
    </row>
    <row r="176" spans="1:18" ht="15" x14ac:dyDescent="0.2">
      <c r="A176" s="13">
        <v>46204</v>
      </c>
      <c r="B176" s="9">
        <f>3.8506 * CHOOSE(CONTROL!$C$32, $C$9, 100%, $E$9)</f>
        <v>3.8506</v>
      </c>
      <c r="C176" s="9">
        <f>3.8506 * CHOOSE(CONTROL!$C$32, $C$9, 100%, $E$9)</f>
        <v>3.8506</v>
      </c>
      <c r="D176" s="9">
        <f>3.8519 * CHOOSE(CONTROL!$C$32, $C$9, 100%, $E$9)</f>
        <v>3.8519000000000001</v>
      </c>
      <c r="E176" s="11">
        <f>4.9098 * CHOOSE(CONTROL!$C$32, $C$9, 100%, $E$9)</f>
        <v>4.9097999999999997</v>
      </c>
      <c r="F176" s="11">
        <f>4.9098 * CHOOSE(CONTROL!$C$32, $C$9, 100%, $E$9)</f>
        <v>4.9097999999999997</v>
      </c>
      <c r="G176" s="11">
        <f>4.914 * CHOOSE(CONTROL!$C$32, $C$9, 100%, $E$9)</f>
        <v>4.9139999999999997</v>
      </c>
      <c r="H176" s="11">
        <f>8.0816 * CHOOSE(CONTROL!$C$32, $C$9, 100%, $E$9)</f>
        <v>8.0815999999999999</v>
      </c>
      <c r="I176" s="11">
        <f>8.0858 * CHOOSE(CONTROL!$C$32, $C$9, 100%, $E$9)</f>
        <v>8.0858000000000008</v>
      </c>
      <c r="J176" s="11">
        <f>8.0816 * CHOOSE(CONTROL!$C$32, $C$9, 100%, $E$9)</f>
        <v>8.0815999999999999</v>
      </c>
      <c r="K176" s="11">
        <f>8.0858 * CHOOSE(CONTROL!$C$32, $C$9, 100%, $E$9)</f>
        <v>8.0858000000000008</v>
      </c>
      <c r="L176" s="11">
        <f>4.9098 * CHOOSE(CONTROL!$C$32, $C$9, 100%, $E$9)</f>
        <v>4.9097999999999997</v>
      </c>
      <c r="M176" s="11">
        <f>4.914 * CHOOSE(CONTROL!$C$32, $C$9, 100%, $E$9)</f>
        <v>4.9139999999999997</v>
      </c>
      <c r="N176" s="11">
        <f>4.9098 * CHOOSE(CONTROL!$C$32, $C$9, 100%, $E$9)</f>
        <v>4.9097999999999997</v>
      </c>
      <c r="O176" s="11">
        <f>4.914 * CHOOSE(CONTROL!$C$32, $C$9, 100%, $E$9)</f>
        <v>4.9139999999999997</v>
      </c>
    </row>
    <row r="177" spans="1:15" ht="15" x14ac:dyDescent="0.2">
      <c r="A177" s="13">
        <v>46235</v>
      </c>
      <c r="B177" s="9">
        <f>3.8573 * CHOOSE(CONTROL!$C$32, $C$9, 100%, $E$9)</f>
        <v>3.8573</v>
      </c>
      <c r="C177" s="9">
        <f>3.8573 * CHOOSE(CONTROL!$C$32, $C$9, 100%, $E$9)</f>
        <v>3.8573</v>
      </c>
      <c r="D177" s="9">
        <f>3.8586 * CHOOSE(CONTROL!$C$32, $C$9, 100%, $E$9)</f>
        <v>3.8586</v>
      </c>
      <c r="E177" s="11">
        <f>4.9142 * CHOOSE(CONTROL!$C$32, $C$9, 100%, $E$9)</f>
        <v>4.9142000000000001</v>
      </c>
      <c r="F177" s="11">
        <f>4.9142 * CHOOSE(CONTROL!$C$32, $C$9, 100%, $E$9)</f>
        <v>4.9142000000000001</v>
      </c>
      <c r="G177" s="11">
        <f>4.9184 * CHOOSE(CONTROL!$C$32, $C$9, 100%, $E$9)</f>
        <v>4.9184000000000001</v>
      </c>
      <c r="H177" s="11">
        <f>8.0984 * CHOOSE(CONTROL!$C$32, $C$9, 100%, $E$9)</f>
        <v>8.0983999999999998</v>
      </c>
      <c r="I177" s="11">
        <f>8.1026 * CHOOSE(CONTROL!$C$32, $C$9, 100%, $E$9)</f>
        <v>8.1026000000000007</v>
      </c>
      <c r="J177" s="11">
        <f>8.0984 * CHOOSE(CONTROL!$C$32, $C$9, 100%, $E$9)</f>
        <v>8.0983999999999998</v>
      </c>
      <c r="K177" s="11">
        <f>8.1026 * CHOOSE(CONTROL!$C$32, $C$9, 100%, $E$9)</f>
        <v>8.1026000000000007</v>
      </c>
      <c r="L177" s="11">
        <f>4.9142 * CHOOSE(CONTROL!$C$32, $C$9, 100%, $E$9)</f>
        <v>4.9142000000000001</v>
      </c>
      <c r="M177" s="11">
        <f>4.9184 * CHOOSE(CONTROL!$C$32, $C$9, 100%, $E$9)</f>
        <v>4.9184000000000001</v>
      </c>
      <c r="N177" s="11">
        <f>4.9142 * CHOOSE(CONTROL!$C$32, $C$9, 100%, $E$9)</f>
        <v>4.9142000000000001</v>
      </c>
      <c r="O177" s="11">
        <f>4.9184 * CHOOSE(CONTROL!$C$32, $C$9, 100%, $E$9)</f>
        <v>4.9184000000000001</v>
      </c>
    </row>
    <row r="178" spans="1:15" ht="15" x14ac:dyDescent="0.2">
      <c r="A178" s="13">
        <v>46266</v>
      </c>
      <c r="B178" s="9">
        <f>3.8543 * CHOOSE(CONTROL!$C$32, $C$9, 100%, $E$9)</f>
        <v>3.8542999999999998</v>
      </c>
      <c r="C178" s="9">
        <f>3.8543 * CHOOSE(CONTROL!$C$32, $C$9, 100%, $E$9)</f>
        <v>3.8542999999999998</v>
      </c>
      <c r="D178" s="9">
        <f>3.8555 * CHOOSE(CONTROL!$C$32, $C$9, 100%, $E$9)</f>
        <v>3.8555000000000001</v>
      </c>
      <c r="E178" s="11">
        <f>4.9122 * CHOOSE(CONTROL!$C$32, $C$9, 100%, $E$9)</f>
        <v>4.9122000000000003</v>
      </c>
      <c r="F178" s="11">
        <f>4.9122 * CHOOSE(CONTROL!$C$32, $C$9, 100%, $E$9)</f>
        <v>4.9122000000000003</v>
      </c>
      <c r="G178" s="11">
        <f>4.9164 * CHOOSE(CONTROL!$C$32, $C$9, 100%, $E$9)</f>
        <v>4.9164000000000003</v>
      </c>
      <c r="H178" s="11">
        <f>8.1153 * CHOOSE(CONTROL!$C$32, $C$9, 100%, $E$9)</f>
        <v>8.1152999999999995</v>
      </c>
      <c r="I178" s="11">
        <f>8.1195 * CHOOSE(CONTROL!$C$32, $C$9, 100%, $E$9)</f>
        <v>8.1195000000000004</v>
      </c>
      <c r="J178" s="11">
        <f>8.1153 * CHOOSE(CONTROL!$C$32, $C$9, 100%, $E$9)</f>
        <v>8.1152999999999995</v>
      </c>
      <c r="K178" s="11">
        <f>8.1195 * CHOOSE(CONTROL!$C$32, $C$9, 100%, $E$9)</f>
        <v>8.1195000000000004</v>
      </c>
      <c r="L178" s="11">
        <f>4.9122 * CHOOSE(CONTROL!$C$32, $C$9, 100%, $E$9)</f>
        <v>4.9122000000000003</v>
      </c>
      <c r="M178" s="11">
        <f>4.9164 * CHOOSE(CONTROL!$C$32, $C$9, 100%, $E$9)</f>
        <v>4.9164000000000003</v>
      </c>
      <c r="N178" s="11">
        <f>4.9122 * CHOOSE(CONTROL!$C$32, $C$9, 100%, $E$9)</f>
        <v>4.9122000000000003</v>
      </c>
      <c r="O178" s="11">
        <f>4.9164 * CHOOSE(CONTROL!$C$32, $C$9, 100%, $E$9)</f>
        <v>4.9164000000000003</v>
      </c>
    </row>
    <row r="179" spans="1:15" ht="15" x14ac:dyDescent="0.2">
      <c r="A179" s="13">
        <v>46296</v>
      </c>
      <c r="B179" s="9">
        <f>3.8489 * CHOOSE(CONTROL!$C$32, $C$9, 100%, $E$9)</f>
        <v>3.8489</v>
      </c>
      <c r="C179" s="9">
        <f>3.8489 * CHOOSE(CONTROL!$C$32, $C$9, 100%, $E$9)</f>
        <v>3.8489</v>
      </c>
      <c r="D179" s="9">
        <f>3.8498 * CHOOSE(CONTROL!$C$32, $C$9, 100%, $E$9)</f>
        <v>3.8498000000000001</v>
      </c>
      <c r="E179" s="11">
        <f>4.9067 * CHOOSE(CONTROL!$C$32, $C$9, 100%, $E$9)</f>
        <v>4.9066999999999998</v>
      </c>
      <c r="F179" s="11">
        <f>4.9067 * CHOOSE(CONTROL!$C$32, $C$9, 100%, $E$9)</f>
        <v>4.9066999999999998</v>
      </c>
      <c r="G179" s="11">
        <f>4.9099 * CHOOSE(CONTROL!$C$32, $C$9, 100%, $E$9)</f>
        <v>4.9099000000000004</v>
      </c>
      <c r="H179" s="11">
        <f>8.1322 * CHOOSE(CONTROL!$C$32, $C$9, 100%, $E$9)</f>
        <v>8.1321999999999992</v>
      </c>
      <c r="I179" s="11">
        <f>8.1354 * CHOOSE(CONTROL!$C$32, $C$9, 100%, $E$9)</f>
        <v>8.1354000000000006</v>
      </c>
      <c r="J179" s="11">
        <f>8.1322 * CHOOSE(CONTROL!$C$32, $C$9, 100%, $E$9)</f>
        <v>8.1321999999999992</v>
      </c>
      <c r="K179" s="11">
        <f>8.1354 * CHOOSE(CONTROL!$C$32, $C$9, 100%, $E$9)</f>
        <v>8.1354000000000006</v>
      </c>
      <c r="L179" s="11">
        <f>4.9067 * CHOOSE(CONTROL!$C$32, $C$9, 100%, $E$9)</f>
        <v>4.9066999999999998</v>
      </c>
      <c r="M179" s="11">
        <f>4.9099 * CHOOSE(CONTROL!$C$32, $C$9, 100%, $E$9)</f>
        <v>4.9099000000000004</v>
      </c>
      <c r="N179" s="11">
        <f>4.9067 * CHOOSE(CONTROL!$C$32, $C$9, 100%, $E$9)</f>
        <v>4.9066999999999998</v>
      </c>
      <c r="O179" s="11">
        <f>4.9099 * CHOOSE(CONTROL!$C$32, $C$9, 100%, $E$9)</f>
        <v>4.9099000000000004</v>
      </c>
    </row>
    <row r="180" spans="1:15" ht="15" x14ac:dyDescent="0.2">
      <c r="A180" s="13">
        <v>46327</v>
      </c>
      <c r="B180" s="9">
        <f>3.8519 * CHOOSE(CONTROL!$C$32, $C$9, 100%, $E$9)</f>
        <v>3.8519000000000001</v>
      </c>
      <c r="C180" s="9">
        <f>3.8519 * CHOOSE(CONTROL!$C$32, $C$9, 100%, $E$9)</f>
        <v>3.8519000000000001</v>
      </c>
      <c r="D180" s="9">
        <f>3.8529 * CHOOSE(CONTROL!$C$32, $C$9, 100%, $E$9)</f>
        <v>3.8529</v>
      </c>
      <c r="E180" s="11">
        <f>4.9087 * CHOOSE(CONTROL!$C$32, $C$9, 100%, $E$9)</f>
        <v>4.9086999999999996</v>
      </c>
      <c r="F180" s="11">
        <f>4.9087 * CHOOSE(CONTROL!$C$32, $C$9, 100%, $E$9)</f>
        <v>4.9086999999999996</v>
      </c>
      <c r="G180" s="11">
        <f>4.9119 * CHOOSE(CONTROL!$C$32, $C$9, 100%, $E$9)</f>
        <v>4.9119000000000002</v>
      </c>
      <c r="H180" s="11">
        <f>8.1491 * CHOOSE(CONTROL!$C$32, $C$9, 100%, $E$9)</f>
        <v>8.1491000000000007</v>
      </c>
      <c r="I180" s="11">
        <f>8.1524 * CHOOSE(CONTROL!$C$32, $C$9, 100%, $E$9)</f>
        <v>8.1524000000000001</v>
      </c>
      <c r="J180" s="11">
        <f>8.1491 * CHOOSE(CONTROL!$C$32, $C$9, 100%, $E$9)</f>
        <v>8.1491000000000007</v>
      </c>
      <c r="K180" s="11">
        <f>8.1524 * CHOOSE(CONTROL!$C$32, $C$9, 100%, $E$9)</f>
        <v>8.1524000000000001</v>
      </c>
      <c r="L180" s="11">
        <f>4.9087 * CHOOSE(CONTROL!$C$32, $C$9, 100%, $E$9)</f>
        <v>4.9086999999999996</v>
      </c>
      <c r="M180" s="11">
        <f>4.9119 * CHOOSE(CONTROL!$C$32, $C$9, 100%, $E$9)</f>
        <v>4.9119000000000002</v>
      </c>
      <c r="N180" s="11">
        <f>4.9087 * CHOOSE(CONTROL!$C$32, $C$9, 100%, $E$9)</f>
        <v>4.9086999999999996</v>
      </c>
      <c r="O180" s="11">
        <f>4.9119 * CHOOSE(CONTROL!$C$32, $C$9, 100%, $E$9)</f>
        <v>4.9119000000000002</v>
      </c>
    </row>
    <row r="181" spans="1:15" ht="15" x14ac:dyDescent="0.2">
      <c r="A181" s="13">
        <v>46357</v>
      </c>
      <c r="B181" s="9">
        <f>3.8519 * CHOOSE(CONTROL!$C$32, $C$9, 100%, $E$9)</f>
        <v>3.8519000000000001</v>
      </c>
      <c r="C181" s="9">
        <f>3.8519 * CHOOSE(CONTROL!$C$32, $C$9, 100%, $E$9)</f>
        <v>3.8519000000000001</v>
      </c>
      <c r="D181" s="9">
        <f>3.8529 * CHOOSE(CONTROL!$C$32, $C$9, 100%, $E$9)</f>
        <v>3.8529</v>
      </c>
      <c r="E181" s="11">
        <f>4.9087 * CHOOSE(CONTROL!$C$32, $C$9, 100%, $E$9)</f>
        <v>4.9086999999999996</v>
      </c>
      <c r="F181" s="11">
        <f>4.9087 * CHOOSE(CONTROL!$C$32, $C$9, 100%, $E$9)</f>
        <v>4.9086999999999996</v>
      </c>
      <c r="G181" s="11">
        <f>4.9119 * CHOOSE(CONTROL!$C$32, $C$9, 100%, $E$9)</f>
        <v>4.9119000000000002</v>
      </c>
      <c r="H181" s="11">
        <f>8.1661 * CHOOSE(CONTROL!$C$32, $C$9, 100%, $E$9)</f>
        <v>8.1661000000000001</v>
      </c>
      <c r="I181" s="11">
        <f>8.1694 * CHOOSE(CONTROL!$C$32, $C$9, 100%, $E$9)</f>
        <v>8.1693999999999996</v>
      </c>
      <c r="J181" s="11">
        <f>8.1661 * CHOOSE(CONTROL!$C$32, $C$9, 100%, $E$9)</f>
        <v>8.1661000000000001</v>
      </c>
      <c r="K181" s="11">
        <f>8.1694 * CHOOSE(CONTROL!$C$32, $C$9, 100%, $E$9)</f>
        <v>8.1693999999999996</v>
      </c>
      <c r="L181" s="11">
        <f>4.9087 * CHOOSE(CONTROL!$C$32, $C$9, 100%, $E$9)</f>
        <v>4.9086999999999996</v>
      </c>
      <c r="M181" s="11">
        <f>4.9119 * CHOOSE(CONTROL!$C$32, $C$9, 100%, $E$9)</f>
        <v>4.9119000000000002</v>
      </c>
      <c r="N181" s="11">
        <f>4.9087 * CHOOSE(CONTROL!$C$32, $C$9, 100%, $E$9)</f>
        <v>4.9086999999999996</v>
      </c>
      <c r="O181" s="11">
        <f>4.9119 * CHOOSE(CONTROL!$C$32, $C$9, 100%, $E$9)</f>
        <v>4.9119000000000002</v>
      </c>
    </row>
    <row r="182" spans="1:15" ht="15" x14ac:dyDescent="0.2">
      <c r="A182" s="13">
        <v>46388</v>
      </c>
      <c r="B182" s="9">
        <f>3.8871 * CHOOSE(CONTROL!$C$32, $C$9, 100%, $E$9)</f>
        <v>3.8871000000000002</v>
      </c>
      <c r="C182" s="9">
        <f>3.8871 * CHOOSE(CONTROL!$C$32, $C$9, 100%, $E$9)</f>
        <v>3.8871000000000002</v>
      </c>
      <c r="D182" s="9">
        <f>3.888 * CHOOSE(CONTROL!$C$32, $C$9, 100%, $E$9)</f>
        <v>3.8879999999999999</v>
      </c>
      <c r="E182" s="11">
        <f>4.9479 * CHOOSE(CONTROL!$C$32, $C$9, 100%, $E$9)</f>
        <v>4.9478999999999997</v>
      </c>
      <c r="F182" s="11">
        <f>4.9479 * CHOOSE(CONTROL!$C$32, $C$9, 100%, $E$9)</f>
        <v>4.9478999999999997</v>
      </c>
      <c r="G182" s="11">
        <f>4.9511 * CHOOSE(CONTROL!$C$32, $C$9, 100%, $E$9)</f>
        <v>4.9511000000000003</v>
      </c>
      <c r="H182" s="11">
        <f>8.1831 * CHOOSE(CONTROL!$C$32, $C$9, 100%, $E$9)</f>
        <v>8.1830999999999996</v>
      </c>
      <c r="I182" s="11">
        <f>8.1864 * CHOOSE(CONTROL!$C$32, $C$9, 100%, $E$9)</f>
        <v>8.1864000000000008</v>
      </c>
      <c r="J182" s="11">
        <f>8.1831 * CHOOSE(CONTROL!$C$32, $C$9, 100%, $E$9)</f>
        <v>8.1830999999999996</v>
      </c>
      <c r="K182" s="11">
        <f>8.1864 * CHOOSE(CONTROL!$C$32, $C$9, 100%, $E$9)</f>
        <v>8.1864000000000008</v>
      </c>
      <c r="L182" s="11">
        <f>4.9479 * CHOOSE(CONTROL!$C$32, $C$9, 100%, $E$9)</f>
        <v>4.9478999999999997</v>
      </c>
      <c r="M182" s="11">
        <f>4.9511 * CHOOSE(CONTROL!$C$32, $C$9, 100%, $E$9)</f>
        <v>4.9511000000000003</v>
      </c>
      <c r="N182" s="11">
        <f>4.9479 * CHOOSE(CONTROL!$C$32, $C$9, 100%, $E$9)</f>
        <v>4.9478999999999997</v>
      </c>
      <c r="O182" s="11">
        <f>4.9511 * CHOOSE(CONTROL!$C$32, $C$9, 100%, $E$9)</f>
        <v>4.9511000000000003</v>
      </c>
    </row>
    <row r="183" spans="1:15" ht="15" x14ac:dyDescent="0.2">
      <c r="A183" s="13">
        <v>46419</v>
      </c>
      <c r="B183" s="9">
        <f>3.884 * CHOOSE(CONTROL!$C$32, $C$9, 100%, $E$9)</f>
        <v>3.8839999999999999</v>
      </c>
      <c r="C183" s="9">
        <f>3.884 * CHOOSE(CONTROL!$C$32, $C$9, 100%, $E$9)</f>
        <v>3.8839999999999999</v>
      </c>
      <c r="D183" s="9">
        <f>3.885 * CHOOSE(CONTROL!$C$32, $C$9, 100%, $E$9)</f>
        <v>3.8849999999999998</v>
      </c>
      <c r="E183" s="11">
        <f>4.9459 * CHOOSE(CONTROL!$C$32, $C$9, 100%, $E$9)</f>
        <v>4.9459</v>
      </c>
      <c r="F183" s="11">
        <f>4.9459 * CHOOSE(CONTROL!$C$32, $C$9, 100%, $E$9)</f>
        <v>4.9459</v>
      </c>
      <c r="G183" s="11">
        <f>4.9491 * CHOOSE(CONTROL!$C$32, $C$9, 100%, $E$9)</f>
        <v>4.9490999999999996</v>
      </c>
      <c r="H183" s="11">
        <f>8.2002 * CHOOSE(CONTROL!$C$32, $C$9, 100%, $E$9)</f>
        <v>8.2002000000000006</v>
      </c>
      <c r="I183" s="11">
        <f>8.2034 * CHOOSE(CONTROL!$C$32, $C$9, 100%, $E$9)</f>
        <v>8.2034000000000002</v>
      </c>
      <c r="J183" s="11">
        <f>8.2002 * CHOOSE(CONTROL!$C$32, $C$9, 100%, $E$9)</f>
        <v>8.2002000000000006</v>
      </c>
      <c r="K183" s="11">
        <f>8.2034 * CHOOSE(CONTROL!$C$32, $C$9, 100%, $E$9)</f>
        <v>8.2034000000000002</v>
      </c>
      <c r="L183" s="11">
        <f>4.9459 * CHOOSE(CONTROL!$C$32, $C$9, 100%, $E$9)</f>
        <v>4.9459</v>
      </c>
      <c r="M183" s="11">
        <f>4.9491 * CHOOSE(CONTROL!$C$32, $C$9, 100%, $E$9)</f>
        <v>4.9490999999999996</v>
      </c>
      <c r="N183" s="11">
        <f>4.9459 * CHOOSE(CONTROL!$C$32, $C$9, 100%, $E$9)</f>
        <v>4.9459</v>
      </c>
      <c r="O183" s="11">
        <f>4.9491 * CHOOSE(CONTROL!$C$32, $C$9, 100%, $E$9)</f>
        <v>4.9490999999999996</v>
      </c>
    </row>
    <row r="184" spans="1:15" ht="15" x14ac:dyDescent="0.2">
      <c r="A184" s="13">
        <v>46447</v>
      </c>
      <c r="B184" s="9">
        <f>3.881 * CHOOSE(CONTROL!$C$32, $C$9, 100%, $E$9)</f>
        <v>3.8809999999999998</v>
      </c>
      <c r="C184" s="9">
        <f>3.881 * CHOOSE(CONTROL!$C$32, $C$9, 100%, $E$9)</f>
        <v>3.8809999999999998</v>
      </c>
      <c r="D184" s="9">
        <f>3.882 * CHOOSE(CONTROL!$C$32, $C$9, 100%, $E$9)</f>
        <v>3.8820000000000001</v>
      </c>
      <c r="E184" s="11">
        <f>4.9439 * CHOOSE(CONTROL!$C$32, $C$9, 100%, $E$9)</f>
        <v>4.9439000000000002</v>
      </c>
      <c r="F184" s="11">
        <f>4.9439 * CHOOSE(CONTROL!$C$32, $C$9, 100%, $E$9)</f>
        <v>4.9439000000000002</v>
      </c>
      <c r="G184" s="11">
        <f>4.9471 * CHOOSE(CONTROL!$C$32, $C$9, 100%, $E$9)</f>
        <v>4.9470999999999998</v>
      </c>
      <c r="H184" s="11">
        <f>8.2173 * CHOOSE(CONTROL!$C$32, $C$9, 100%, $E$9)</f>
        <v>8.2172999999999998</v>
      </c>
      <c r="I184" s="11">
        <f>8.2205 * CHOOSE(CONTROL!$C$32, $C$9, 100%, $E$9)</f>
        <v>8.2204999999999995</v>
      </c>
      <c r="J184" s="11">
        <f>8.2173 * CHOOSE(CONTROL!$C$32, $C$9, 100%, $E$9)</f>
        <v>8.2172999999999998</v>
      </c>
      <c r="K184" s="11">
        <f>8.2205 * CHOOSE(CONTROL!$C$32, $C$9, 100%, $E$9)</f>
        <v>8.2204999999999995</v>
      </c>
      <c r="L184" s="11">
        <f>4.9439 * CHOOSE(CONTROL!$C$32, $C$9, 100%, $E$9)</f>
        <v>4.9439000000000002</v>
      </c>
      <c r="M184" s="11">
        <f>4.9471 * CHOOSE(CONTROL!$C$32, $C$9, 100%, $E$9)</f>
        <v>4.9470999999999998</v>
      </c>
      <c r="N184" s="11">
        <f>4.9439 * CHOOSE(CONTROL!$C$32, $C$9, 100%, $E$9)</f>
        <v>4.9439000000000002</v>
      </c>
      <c r="O184" s="11">
        <f>4.9471 * CHOOSE(CONTROL!$C$32, $C$9, 100%, $E$9)</f>
        <v>4.9470999999999998</v>
      </c>
    </row>
    <row r="185" spans="1:15" ht="15" x14ac:dyDescent="0.2">
      <c r="A185" s="13">
        <v>46478</v>
      </c>
      <c r="B185" s="9">
        <f>3.8786 * CHOOSE(CONTROL!$C$32, $C$9, 100%, $E$9)</f>
        <v>3.8786</v>
      </c>
      <c r="C185" s="9">
        <f>3.8786 * CHOOSE(CONTROL!$C$32, $C$9, 100%, $E$9)</f>
        <v>3.8786</v>
      </c>
      <c r="D185" s="9">
        <f>3.8795 * CHOOSE(CONTROL!$C$32, $C$9, 100%, $E$9)</f>
        <v>3.8795000000000002</v>
      </c>
      <c r="E185" s="11">
        <f>4.9418 * CHOOSE(CONTROL!$C$32, $C$9, 100%, $E$9)</f>
        <v>4.9417999999999997</v>
      </c>
      <c r="F185" s="11">
        <f>4.9418 * CHOOSE(CONTROL!$C$32, $C$9, 100%, $E$9)</f>
        <v>4.9417999999999997</v>
      </c>
      <c r="G185" s="11">
        <f>4.945 * CHOOSE(CONTROL!$C$32, $C$9, 100%, $E$9)</f>
        <v>4.9450000000000003</v>
      </c>
      <c r="H185" s="11">
        <f>8.2344 * CHOOSE(CONTROL!$C$32, $C$9, 100%, $E$9)</f>
        <v>8.2344000000000008</v>
      </c>
      <c r="I185" s="11">
        <f>8.2376 * CHOOSE(CONTROL!$C$32, $C$9, 100%, $E$9)</f>
        <v>8.2376000000000005</v>
      </c>
      <c r="J185" s="11">
        <f>8.2344 * CHOOSE(CONTROL!$C$32, $C$9, 100%, $E$9)</f>
        <v>8.2344000000000008</v>
      </c>
      <c r="K185" s="11">
        <f>8.2376 * CHOOSE(CONTROL!$C$32, $C$9, 100%, $E$9)</f>
        <v>8.2376000000000005</v>
      </c>
      <c r="L185" s="11">
        <f>4.9418 * CHOOSE(CONTROL!$C$32, $C$9, 100%, $E$9)</f>
        <v>4.9417999999999997</v>
      </c>
      <c r="M185" s="11">
        <f>4.945 * CHOOSE(CONTROL!$C$32, $C$9, 100%, $E$9)</f>
        <v>4.9450000000000003</v>
      </c>
      <c r="N185" s="11">
        <f>4.9418 * CHOOSE(CONTROL!$C$32, $C$9, 100%, $E$9)</f>
        <v>4.9417999999999997</v>
      </c>
      <c r="O185" s="11">
        <f>4.945 * CHOOSE(CONTROL!$C$32, $C$9, 100%, $E$9)</f>
        <v>4.9450000000000003</v>
      </c>
    </row>
    <row r="186" spans="1:15" ht="15" x14ac:dyDescent="0.2">
      <c r="A186" s="13">
        <v>46508</v>
      </c>
      <c r="B186" s="9">
        <f>3.8786 * CHOOSE(CONTROL!$C$32, $C$9, 100%, $E$9)</f>
        <v>3.8786</v>
      </c>
      <c r="C186" s="9">
        <f>3.8786 * CHOOSE(CONTROL!$C$32, $C$9, 100%, $E$9)</f>
        <v>3.8786</v>
      </c>
      <c r="D186" s="9">
        <f>3.8798 * CHOOSE(CONTROL!$C$32, $C$9, 100%, $E$9)</f>
        <v>3.8797999999999999</v>
      </c>
      <c r="E186" s="11">
        <f>4.9418 * CHOOSE(CONTROL!$C$32, $C$9, 100%, $E$9)</f>
        <v>4.9417999999999997</v>
      </c>
      <c r="F186" s="11">
        <f>4.9418 * CHOOSE(CONTROL!$C$32, $C$9, 100%, $E$9)</f>
        <v>4.9417999999999997</v>
      </c>
      <c r="G186" s="11">
        <f>4.946 * CHOOSE(CONTROL!$C$32, $C$9, 100%, $E$9)</f>
        <v>4.9459999999999997</v>
      </c>
      <c r="H186" s="11">
        <f>8.2515 * CHOOSE(CONTROL!$C$32, $C$9, 100%, $E$9)</f>
        <v>8.2515000000000001</v>
      </c>
      <c r="I186" s="11">
        <f>8.2557 * CHOOSE(CONTROL!$C$32, $C$9, 100%, $E$9)</f>
        <v>8.2556999999999992</v>
      </c>
      <c r="J186" s="11">
        <f>8.2515 * CHOOSE(CONTROL!$C$32, $C$9, 100%, $E$9)</f>
        <v>8.2515000000000001</v>
      </c>
      <c r="K186" s="11">
        <f>8.2557 * CHOOSE(CONTROL!$C$32, $C$9, 100%, $E$9)</f>
        <v>8.2556999999999992</v>
      </c>
      <c r="L186" s="11">
        <f>4.9418 * CHOOSE(CONTROL!$C$32, $C$9, 100%, $E$9)</f>
        <v>4.9417999999999997</v>
      </c>
      <c r="M186" s="11">
        <f>4.946 * CHOOSE(CONTROL!$C$32, $C$9, 100%, $E$9)</f>
        <v>4.9459999999999997</v>
      </c>
      <c r="N186" s="11">
        <f>4.9418 * CHOOSE(CONTROL!$C$32, $C$9, 100%, $E$9)</f>
        <v>4.9417999999999997</v>
      </c>
      <c r="O186" s="11">
        <f>4.946 * CHOOSE(CONTROL!$C$32, $C$9, 100%, $E$9)</f>
        <v>4.9459999999999997</v>
      </c>
    </row>
    <row r="187" spans="1:15" ht="15" x14ac:dyDescent="0.2">
      <c r="A187" s="13">
        <v>46539</v>
      </c>
      <c r="B187" s="9">
        <f>3.8846 * CHOOSE(CONTROL!$C$32, $C$9, 100%, $E$9)</f>
        <v>3.8845999999999998</v>
      </c>
      <c r="C187" s="9">
        <f>3.8846 * CHOOSE(CONTROL!$C$32, $C$9, 100%, $E$9)</f>
        <v>3.8845999999999998</v>
      </c>
      <c r="D187" s="9">
        <f>3.8859 * CHOOSE(CONTROL!$C$32, $C$9, 100%, $E$9)</f>
        <v>3.8858999999999999</v>
      </c>
      <c r="E187" s="11">
        <f>4.9458 * CHOOSE(CONTROL!$C$32, $C$9, 100%, $E$9)</f>
        <v>4.9458000000000002</v>
      </c>
      <c r="F187" s="11">
        <f>4.9458 * CHOOSE(CONTROL!$C$32, $C$9, 100%, $E$9)</f>
        <v>4.9458000000000002</v>
      </c>
      <c r="G187" s="11">
        <f>4.95 * CHOOSE(CONTROL!$C$32, $C$9, 100%, $E$9)</f>
        <v>4.95</v>
      </c>
      <c r="H187" s="11">
        <f>8.2687 * CHOOSE(CONTROL!$C$32, $C$9, 100%, $E$9)</f>
        <v>8.2687000000000008</v>
      </c>
      <c r="I187" s="11">
        <f>8.2729 * CHOOSE(CONTROL!$C$32, $C$9, 100%, $E$9)</f>
        <v>8.2728999999999999</v>
      </c>
      <c r="J187" s="11">
        <f>8.2687 * CHOOSE(CONTROL!$C$32, $C$9, 100%, $E$9)</f>
        <v>8.2687000000000008</v>
      </c>
      <c r="K187" s="11">
        <f>8.2729 * CHOOSE(CONTROL!$C$32, $C$9, 100%, $E$9)</f>
        <v>8.2728999999999999</v>
      </c>
      <c r="L187" s="11">
        <f>4.9458 * CHOOSE(CONTROL!$C$32, $C$9, 100%, $E$9)</f>
        <v>4.9458000000000002</v>
      </c>
      <c r="M187" s="11">
        <f>4.95 * CHOOSE(CONTROL!$C$32, $C$9, 100%, $E$9)</f>
        <v>4.95</v>
      </c>
      <c r="N187" s="11">
        <f>4.9458 * CHOOSE(CONTROL!$C$32, $C$9, 100%, $E$9)</f>
        <v>4.9458000000000002</v>
      </c>
      <c r="O187" s="11">
        <f>4.95 * CHOOSE(CONTROL!$C$32, $C$9, 100%, $E$9)</f>
        <v>4.95</v>
      </c>
    </row>
    <row r="188" spans="1:15" ht="15" x14ac:dyDescent="0.2">
      <c r="A188" s="13">
        <v>46569</v>
      </c>
      <c r="B188" s="9">
        <f>3.951 * CHOOSE(CONTROL!$C$32, $C$9, 100%, $E$9)</f>
        <v>3.9510000000000001</v>
      </c>
      <c r="C188" s="9">
        <f>3.951 * CHOOSE(CONTROL!$C$32, $C$9, 100%, $E$9)</f>
        <v>3.9510000000000001</v>
      </c>
      <c r="D188" s="9">
        <f>3.9522 * CHOOSE(CONTROL!$C$32, $C$9, 100%, $E$9)</f>
        <v>3.9521999999999999</v>
      </c>
      <c r="E188" s="11">
        <f>5.0318 * CHOOSE(CONTROL!$C$32, $C$9, 100%, $E$9)</f>
        <v>5.0317999999999996</v>
      </c>
      <c r="F188" s="11">
        <f>5.0318 * CHOOSE(CONTROL!$C$32, $C$9, 100%, $E$9)</f>
        <v>5.0317999999999996</v>
      </c>
      <c r="G188" s="11">
        <f>5.036 * CHOOSE(CONTROL!$C$32, $C$9, 100%, $E$9)</f>
        <v>5.0359999999999996</v>
      </c>
      <c r="H188" s="11">
        <f>8.286 * CHOOSE(CONTROL!$C$32, $C$9, 100%, $E$9)</f>
        <v>8.2859999999999996</v>
      </c>
      <c r="I188" s="11">
        <f>8.2902 * CHOOSE(CONTROL!$C$32, $C$9, 100%, $E$9)</f>
        <v>8.2902000000000005</v>
      </c>
      <c r="J188" s="11">
        <f>8.286 * CHOOSE(CONTROL!$C$32, $C$9, 100%, $E$9)</f>
        <v>8.2859999999999996</v>
      </c>
      <c r="K188" s="11">
        <f>8.2902 * CHOOSE(CONTROL!$C$32, $C$9, 100%, $E$9)</f>
        <v>8.2902000000000005</v>
      </c>
      <c r="L188" s="11">
        <f>5.0318 * CHOOSE(CONTROL!$C$32, $C$9, 100%, $E$9)</f>
        <v>5.0317999999999996</v>
      </c>
      <c r="M188" s="11">
        <f>5.036 * CHOOSE(CONTROL!$C$32, $C$9, 100%, $E$9)</f>
        <v>5.0359999999999996</v>
      </c>
      <c r="N188" s="11">
        <f>5.0318 * CHOOSE(CONTROL!$C$32, $C$9, 100%, $E$9)</f>
        <v>5.0317999999999996</v>
      </c>
      <c r="O188" s="11">
        <f>5.036 * CHOOSE(CONTROL!$C$32, $C$9, 100%, $E$9)</f>
        <v>5.0359999999999996</v>
      </c>
    </row>
    <row r="189" spans="1:15" ht="15" x14ac:dyDescent="0.2">
      <c r="A189" s="13">
        <v>46600</v>
      </c>
      <c r="B189" s="9">
        <f>3.9577 * CHOOSE(CONTROL!$C$32, $C$9, 100%, $E$9)</f>
        <v>3.9577</v>
      </c>
      <c r="C189" s="9">
        <f>3.9577 * CHOOSE(CONTROL!$C$32, $C$9, 100%, $E$9)</f>
        <v>3.9577</v>
      </c>
      <c r="D189" s="9">
        <f>3.9589 * CHOOSE(CONTROL!$C$32, $C$9, 100%, $E$9)</f>
        <v>3.9588999999999999</v>
      </c>
      <c r="E189" s="11">
        <f>5.0362 * CHOOSE(CONTROL!$C$32, $C$9, 100%, $E$9)</f>
        <v>5.0362</v>
      </c>
      <c r="F189" s="11">
        <f>5.0362 * CHOOSE(CONTROL!$C$32, $C$9, 100%, $E$9)</f>
        <v>5.0362</v>
      </c>
      <c r="G189" s="11">
        <f>5.0404 * CHOOSE(CONTROL!$C$32, $C$9, 100%, $E$9)</f>
        <v>5.0404</v>
      </c>
      <c r="H189" s="11">
        <f>8.3032 * CHOOSE(CONTROL!$C$32, $C$9, 100%, $E$9)</f>
        <v>8.3032000000000004</v>
      </c>
      <c r="I189" s="11">
        <f>8.3074 * CHOOSE(CONTROL!$C$32, $C$9, 100%, $E$9)</f>
        <v>8.3073999999999995</v>
      </c>
      <c r="J189" s="11">
        <f>8.3032 * CHOOSE(CONTROL!$C$32, $C$9, 100%, $E$9)</f>
        <v>8.3032000000000004</v>
      </c>
      <c r="K189" s="11">
        <f>8.3074 * CHOOSE(CONTROL!$C$32, $C$9, 100%, $E$9)</f>
        <v>8.3073999999999995</v>
      </c>
      <c r="L189" s="11">
        <f>5.0362 * CHOOSE(CONTROL!$C$32, $C$9, 100%, $E$9)</f>
        <v>5.0362</v>
      </c>
      <c r="M189" s="11">
        <f>5.0404 * CHOOSE(CONTROL!$C$32, $C$9, 100%, $E$9)</f>
        <v>5.0404</v>
      </c>
      <c r="N189" s="11">
        <f>5.0362 * CHOOSE(CONTROL!$C$32, $C$9, 100%, $E$9)</f>
        <v>5.0362</v>
      </c>
      <c r="O189" s="11">
        <f>5.0404 * CHOOSE(CONTROL!$C$32, $C$9, 100%, $E$9)</f>
        <v>5.0404</v>
      </c>
    </row>
    <row r="190" spans="1:15" ht="15" x14ac:dyDescent="0.2">
      <c r="A190" s="13">
        <v>46631</v>
      </c>
      <c r="B190" s="9">
        <f>3.9546 * CHOOSE(CONTROL!$C$32, $C$9, 100%, $E$9)</f>
        <v>3.9546000000000001</v>
      </c>
      <c r="C190" s="9">
        <f>3.9546 * CHOOSE(CONTROL!$C$32, $C$9, 100%, $E$9)</f>
        <v>3.9546000000000001</v>
      </c>
      <c r="D190" s="9">
        <f>3.9559 * CHOOSE(CONTROL!$C$32, $C$9, 100%, $E$9)</f>
        <v>3.9559000000000002</v>
      </c>
      <c r="E190" s="11">
        <f>5.0342 * CHOOSE(CONTROL!$C$32, $C$9, 100%, $E$9)</f>
        <v>5.0342000000000002</v>
      </c>
      <c r="F190" s="11">
        <f>5.0342 * CHOOSE(CONTROL!$C$32, $C$9, 100%, $E$9)</f>
        <v>5.0342000000000002</v>
      </c>
      <c r="G190" s="11">
        <f>5.0384 * CHOOSE(CONTROL!$C$32, $C$9, 100%, $E$9)</f>
        <v>5.0384000000000002</v>
      </c>
      <c r="H190" s="11">
        <f>8.3205 * CHOOSE(CONTROL!$C$32, $C$9, 100%, $E$9)</f>
        <v>8.3204999999999991</v>
      </c>
      <c r="I190" s="11">
        <f>8.3247 * CHOOSE(CONTROL!$C$32, $C$9, 100%, $E$9)</f>
        <v>8.3247</v>
      </c>
      <c r="J190" s="11">
        <f>8.3205 * CHOOSE(CONTROL!$C$32, $C$9, 100%, $E$9)</f>
        <v>8.3204999999999991</v>
      </c>
      <c r="K190" s="11">
        <f>8.3247 * CHOOSE(CONTROL!$C$32, $C$9, 100%, $E$9)</f>
        <v>8.3247</v>
      </c>
      <c r="L190" s="11">
        <f>5.0342 * CHOOSE(CONTROL!$C$32, $C$9, 100%, $E$9)</f>
        <v>5.0342000000000002</v>
      </c>
      <c r="M190" s="11">
        <f>5.0384 * CHOOSE(CONTROL!$C$32, $C$9, 100%, $E$9)</f>
        <v>5.0384000000000002</v>
      </c>
      <c r="N190" s="11">
        <f>5.0342 * CHOOSE(CONTROL!$C$32, $C$9, 100%, $E$9)</f>
        <v>5.0342000000000002</v>
      </c>
      <c r="O190" s="11">
        <f>5.0384 * CHOOSE(CONTROL!$C$32, $C$9, 100%, $E$9)</f>
        <v>5.0384000000000002</v>
      </c>
    </row>
    <row r="191" spans="1:15" ht="15" x14ac:dyDescent="0.2">
      <c r="A191" s="13">
        <v>46661</v>
      </c>
      <c r="B191" s="9">
        <f>3.9496 * CHOOSE(CONTROL!$C$32, $C$9, 100%, $E$9)</f>
        <v>3.9496000000000002</v>
      </c>
      <c r="C191" s="9">
        <f>3.9496 * CHOOSE(CONTROL!$C$32, $C$9, 100%, $E$9)</f>
        <v>3.9496000000000002</v>
      </c>
      <c r="D191" s="9">
        <f>3.9505 * CHOOSE(CONTROL!$C$32, $C$9, 100%, $E$9)</f>
        <v>3.9504999999999999</v>
      </c>
      <c r="E191" s="11">
        <f>5.0288 * CHOOSE(CONTROL!$C$32, $C$9, 100%, $E$9)</f>
        <v>5.0288000000000004</v>
      </c>
      <c r="F191" s="11">
        <f>5.0288 * CHOOSE(CONTROL!$C$32, $C$9, 100%, $E$9)</f>
        <v>5.0288000000000004</v>
      </c>
      <c r="G191" s="11">
        <f>5.0321 * CHOOSE(CONTROL!$C$32, $C$9, 100%, $E$9)</f>
        <v>5.0320999999999998</v>
      </c>
      <c r="H191" s="11">
        <f>8.3379 * CHOOSE(CONTROL!$C$32, $C$9, 100%, $E$9)</f>
        <v>8.3378999999999994</v>
      </c>
      <c r="I191" s="11">
        <f>8.3411 * CHOOSE(CONTROL!$C$32, $C$9, 100%, $E$9)</f>
        <v>8.3411000000000008</v>
      </c>
      <c r="J191" s="11">
        <f>8.3379 * CHOOSE(CONTROL!$C$32, $C$9, 100%, $E$9)</f>
        <v>8.3378999999999994</v>
      </c>
      <c r="K191" s="11">
        <f>8.3411 * CHOOSE(CONTROL!$C$32, $C$9, 100%, $E$9)</f>
        <v>8.3411000000000008</v>
      </c>
      <c r="L191" s="11">
        <f>5.0288 * CHOOSE(CONTROL!$C$32, $C$9, 100%, $E$9)</f>
        <v>5.0288000000000004</v>
      </c>
      <c r="M191" s="11">
        <f>5.0321 * CHOOSE(CONTROL!$C$32, $C$9, 100%, $E$9)</f>
        <v>5.0320999999999998</v>
      </c>
      <c r="N191" s="11">
        <f>5.0288 * CHOOSE(CONTROL!$C$32, $C$9, 100%, $E$9)</f>
        <v>5.0288000000000004</v>
      </c>
      <c r="O191" s="11">
        <f>5.0321 * CHOOSE(CONTROL!$C$32, $C$9, 100%, $E$9)</f>
        <v>5.0320999999999998</v>
      </c>
    </row>
    <row r="192" spans="1:15" ht="15" x14ac:dyDescent="0.2">
      <c r="A192" s="13">
        <v>46692</v>
      </c>
      <c r="B192" s="9">
        <f>3.9526 * CHOOSE(CONTROL!$C$32, $C$9, 100%, $E$9)</f>
        <v>3.9525999999999999</v>
      </c>
      <c r="C192" s="9">
        <f>3.9526 * CHOOSE(CONTROL!$C$32, $C$9, 100%, $E$9)</f>
        <v>3.9525999999999999</v>
      </c>
      <c r="D192" s="9">
        <f>3.9535 * CHOOSE(CONTROL!$C$32, $C$9, 100%, $E$9)</f>
        <v>3.9535</v>
      </c>
      <c r="E192" s="11">
        <f>5.0308 * CHOOSE(CONTROL!$C$32, $C$9, 100%, $E$9)</f>
        <v>5.0308000000000002</v>
      </c>
      <c r="F192" s="11">
        <f>5.0308 * CHOOSE(CONTROL!$C$32, $C$9, 100%, $E$9)</f>
        <v>5.0308000000000002</v>
      </c>
      <c r="G192" s="11">
        <f>5.0341 * CHOOSE(CONTROL!$C$32, $C$9, 100%, $E$9)</f>
        <v>5.0340999999999996</v>
      </c>
      <c r="H192" s="11">
        <f>8.3552 * CHOOSE(CONTROL!$C$32, $C$9, 100%, $E$9)</f>
        <v>8.3552</v>
      </c>
      <c r="I192" s="11">
        <f>8.3585 * CHOOSE(CONTROL!$C$32, $C$9, 100%, $E$9)</f>
        <v>8.3584999999999994</v>
      </c>
      <c r="J192" s="11">
        <f>8.3552 * CHOOSE(CONTROL!$C$32, $C$9, 100%, $E$9)</f>
        <v>8.3552</v>
      </c>
      <c r="K192" s="11">
        <f>8.3585 * CHOOSE(CONTROL!$C$32, $C$9, 100%, $E$9)</f>
        <v>8.3584999999999994</v>
      </c>
      <c r="L192" s="11">
        <f>5.0308 * CHOOSE(CONTROL!$C$32, $C$9, 100%, $E$9)</f>
        <v>5.0308000000000002</v>
      </c>
      <c r="M192" s="11">
        <f>5.0341 * CHOOSE(CONTROL!$C$32, $C$9, 100%, $E$9)</f>
        <v>5.0340999999999996</v>
      </c>
      <c r="N192" s="11">
        <f>5.0308 * CHOOSE(CONTROL!$C$32, $C$9, 100%, $E$9)</f>
        <v>5.0308000000000002</v>
      </c>
      <c r="O192" s="11">
        <f>5.0341 * CHOOSE(CONTROL!$C$32, $C$9, 100%, $E$9)</f>
        <v>5.0340999999999996</v>
      </c>
    </row>
    <row r="193" spans="1:15" ht="15" x14ac:dyDescent="0.2">
      <c r="A193" s="13">
        <v>46722</v>
      </c>
      <c r="B193" s="9">
        <f>3.9526 * CHOOSE(CONTROL!$C$32, $C$9, 100%, $E$9)</f>
        <v>3.9525999999999999</v>
      </c>
      <c r="C193" s="9">
        <f>3.9526 * CHOOSE(CONTROL!$C$32, $C$9, 100%, $E$9)</f>
        <v>3.9525999999999999</v>
      </c>
      <c r="D193" s="9">
        <f>3.9535 * CHOOSE(CONTROL!$C$32, $C$9, 100%, $E$9)</f>
        <v>3.9535</v>
      </c>
      <c r="E193" s="11">
        <f>5.0308 * CHOOSE(CONTROL!$C$32, $C$9, 100%, $E$9)</f>
        <v>5.0308000000000002</v>
      </c>
      <c r="F193" s="11">
        <f>5.0308 * CHOOSE(CONTROL!$C$32, $C$9, 100%, $E$9)</f>
        <v>5.0308000000000002</v>
      </c>
      <c r="G193" s="11">
        <f>5.0341 * CHOOSE(CONTROL!$C$32, $C$9, 100%, $E$9)</f>
        <v>5.0340999999999996</v>
      </c>
      <c r="H193" s="11">
        <f>8.3726 * CHOOSE(CONTROL!$C$32, $C$9, 100%, $E$9)</f>
        <v>8.3726000000000003</v>
      </c>
      <c r="I193" s="11">
        <f>8.3759 * CHOOSE(CONTROL!$C$32, $C$9, 100%, $E$9)</f>
        <v>8.3758999999999997</v>
      </c>
      <c r="J193" s="11">
        <f>8.3726 * CHOOSE(CONTROL!$C$32, $C$9, 100%, $E$9)</f>
        <v>8.3726000000000003</v>
      </c>
      <c r="K193" s="11">
        <f>8.3759 * CHOOSE(CONTROL!$C$32, $C$9, 100%, $E$9)</f>
        <v>8.3758999999999997</v>
      </c>
      <c r="L193" s="11">
        <f>5.0308 * CHOOSE(CONTROL!$C$32, $C$9, 100%, $E$9)</f>
        <v>5.0308000000000002</v>
      </c>
      <c r="M193" s="11">
        <f>5.0341 * CHOOSE(CONTROL!$C$32, $C$9, 100%, $E$9)</f>
        <v>5.0340999999999996</v>
      </c>
      <c r="N193" s="11">
        <f>5.0308 * CHOOSE(CONTROL!$C$32, $C$9, 100%, $E$9)</f>
        <v>5.0308000000000002</v>
      </c>
      <c r="O193" s="11">
        <f>5.0341 * CHOOSE(CONTROL!$C$32, $C$9, 100%, $E$9)</f>
        <v>5.0340999999999996</v>
      </c>
    </row>
    <row r="194" spans="1:15" ht="15" x14ac:dyDescent="0.2">
      <c r="A194" s="13">
        <v>46753</v>
      </c>
      <c r="B194" s="9">
        <f>3.9901 * CHOOSE(CONTROL!$C$32, $C$9, 100%, $E$9)</f>
        <v>3.9901</v>
      </c>
      <c r="C194" s="9">
        <f>3.9901 * CHOOSE(CONTROL!$C$32, $C$9, 100%, $E$9)</f>
        <v>3.9901</v>
      </c>
      <c r="D194" s="9">
        <f>3.9911 * CHOOSE(CONTROL!$C$32, $C$9, 100%, $E$9)</f>
        <v>3.9910999999999999</v>
      </c>
      <c r="E194" s="11">
        <f>5.0753 * CHOOSE(CONTROL!$C$32, $C$9, 100%, $E$9)</f>
        <v>5.0753000000000004</v>
      </c>
      <c r="F194" s="11">
        <f>5.0753 * CHOOSE(CONTROL!$C$32, $C$9, 100%, $E$9)</f>
        <v>5.0753000000000004</v>
      </c>
      <c r="G194" s="11">
        <f>5.0785 * CHOOSE(CONTROL!$C$32, $C$9, 100%, $E$9)</f>
        <v>5.0785</v>
      </c>
      <c r="H194" s="11">
        <f>8.3901 * CHOOSE(CONTROL!$C$32, $C$9, 100%, $E$9)</f>
        <v>8.3901000000000003</v>
      </c>
      <c r="I194" s="11">
        <f>8.3933 * CHOOSE(CONTROL!$C$32, $C$9, 100%, $E$9)</f>
        <v>8.3933</v>
      </c>
      <c r="J194" s="11">
        <f>8.3901 * CHOOSE(CONTROL!$C$32, $C$9, 100%, $E$9)</f>
        <v>8.3901000000000003</v>
      </c>
      <c r="K194" s="11">
        <f>8.3933 * CHOOSE(CONTROL!$C$32, $C$9, 100%, $E$9)</f>
        <v>8.3933</v>
      </c>
      <c r="L194" s="11">
        <f>5.0753 * CHOOSE(CONTROL!$C$32, $C$9, 100%, $E$9)</f>
        <v>5.0753000000000004</v>
      </c>
      <c r="M194" s="11">
        <f>5.0785 * CHOOSE(CONTROL!$C$32, $C$9, 100%, $E$9)</f>
        <v>5.0785</v>
      </c>
      <c r="N194" s="11">
        <f>5.0753 * CHOOSE(CONTROL!$C$32, $C$9, 100%, $E$9)</f>
        <v>5.0753000000000004</v>
      </c>
      <c r="O194" s="11">
        <f>5.0785 * CHOOSE(CONTROL!$C$32, $C$9, 100%, $E$9)</f>
        <v>5.0785</v>
      </c>
    </row>
    <row r="195" spans="1:15" ht="15" x14ac:dyDescent="0.2">
      <c r="A195" s="13">
        <v>46784</v>
      </c>
      <c r="B195" s="9">
        <f>3.9871 * CHOOSE(CONTROL!$C$32, $C$9, 100%, $E$9)</f>
        <v>3.9870999999999999</v>
      </c>
      <c r="C195" s="9">
        <f>3.9871 * CHOOSE(CONTROL!$C$32, $C$9, 100%, $E$9)</f>
        <v>3.9870999999999999</v>
      </c>
      <c r="D195" s="9">
        <f>3.988 * CHOOSE(CONTROL!$C$32, $C$9, 100%, $E$9)</f>
        <v>3.988</v>
      </c>
      <c r="E195" s="11">
        <f>5.0733 * CHOOSE(CONTROL!$C$32, $C$9, 100%, $E$9)</f>
        <v>5.0732999999999997</v>
      </c>
      <c r="F195" s="11">
        <f>5.0733 * CHOOSE(CONTROL!$C$32, $C$9, 100%, $E$9)</f>
        <v>5.0732999999999997</v>
      </c>
      <c r="G195" s="11">
        <f>5.0765 * CHOOSE(CONTROL!$C$32, $C$9, 100%, $E$9)</f>
        <v>5.0765000000000002</v>
      </c>
      <c r="H195" s="11">
        <f>8.4076 * CHOOSE(CONTROL!$C$32, $C$9, 100%, $E$9)</f>
        <v>8.4076000000000004</v>
      </c>
      <c r="I195" s="11">
        <f>8.4108 * CHOOSE(CONTROL!$C$32, $C$9, 100%, $E$9)</f>
        <v>8.4108000000000001</v>
      </c>
      <c r="J195" s="11">
        <f>8.4076 * CHOOSE(CONTROL!$C$32, $C$9, 100%, $E$9)</f>
        <v>8.4076000000000004</v>
      </c>
      <c r="K195" s="11">
        <f>8.4108 * CHOOSE(CONTROL!$C$32, $C$9, 100%, $E$9)</f>
        <v>8.4108000000000001</v>
      </c>
      <c r="L195" s="11">
        <f>5.0733 * CHOOSE(CONTROL!$C$32, $C$9, 100%, $E$9)</f>
        <v>5.0732999999999997</v>
      </c>
      <c r="M195" s="11">
        <f>5.0765 * CHOOSE(CONTROL!$C$32, $C$9, 100%, $E$9)</f>
        <v>5.0765000000000002</v>
      </c>
      <c r="N195" s="11">
        <f>5.0733 * CHOOSE(CONTROL!$C$32, $C$9, 100%, $E$9)</f>
        <v>5.0732999999999997</v>
      </c>
      <c r="O195" s="11">
        <f>5.0765 * CHOOSE(CONTROL!$C$32, $C$9, 100%, $E$9)</f>
        <v>5.0765000000000002</v>
      </c>
    </row>
    <row r="196" spans="1:15" ht="15" x14ac:dyDescent="0.2">
      <c r="A196" s="13">
        <v>46813</v>
      </c>
      <c r="B196" s="9">
        <f>3.984 * CHOOSE(CONTROL!$C$32, $C$9, 100%, $E$9)</f>
        <v>3.984</v>
      </c>
      <c r="C196" s="9">
        <f>3.984 * CHOOSE(CONTROL!$C$32, $C$9, 100%, $E$9)</f>
        <v>3.984</v>
      </c>
      <c r="D196" s="9">
        <f>3.985 * CHOOSE(CONTROL!$C$32, $C$9, 100%, $E$9)</f>
        <v>3.9849999999999999</v>
      </c>
      <c r="E196" s="11">
        <f>5.0713 * CHOOSE(CONTROL!$C$32, $C$9, 100%, $E$9)</f>
        <v>5.0712999999999999</v>
      </c>
      <c r="F196" s="11">
        <f>5.0713 * CHOOSE(CONTROL!$C$32, $C$9, 100%, $E$9)</f>
        <v>5.0712999999999999</v>
      </c>
      <c r="G196" s="11">
        <f>5.0745 * CHOOSE(CONTROL!$C$32, $C$9, 100%, $E$9)</f>
        <v>5.0744999999999996</v>
      </c>
      <c r="H196" s="11">
        <f>8.4251 * CHOOSE(CONTROL!$C$32, $C$9, 100%, $E$9)</f>
        <v>8.4251000000000005</v>
      </c>
      <c r="I196" s="11">
        <f>8.4283 * CHOOSE(CONTROL!$C$32, $C$9, 100%, $E$9)</f>
        <v>8.4283000000000001</v>
      </c>
      <c r="J196" s="11">
        <f>8.4251 * CHOOSE(CONTROL!$C$32, $C$9, 100%, $E$9)</f>
        <v>8.4251000000000005</v>
      </c>
      <c r="K196" s="11">
        <f>8.4283 * CHOOSE(CONTROL!$C$32, $C$9, 100%, $E$9)</f>
        <v>8.4283000000000001</v>
      </c>
      <c r="L196" s="11">
        <f>5.0713 * CHOOSE(CONTROL!$C$32, $C$9, 100%, $E$9)</f>
        <v>5.0712999999999999</v>
      </c>
      <c r="M196" s="11">
        <f>5.0745 * CHOOSE(CONTROL!$C$32, $C$9, 100%, $E$9)</f>
        <v>5.0744999999999996</v>
      </c>
      <c r="N196" s="11">
        <f>5.0713 * CHOOSE(CONTROL!$C$32, $C$9, 100%, $E$9)</f>
        <v>5.0712999999999999</v>
      </c>
      <c r="O196" s="11">
        <f>5.0745 * CHOOSE(CONTROL!$C$32, $C$9, 100%, $E$9)</f>
        <v>5.0744999999999996</v>
      </c>
    </row>
    <row r="197" spans="1:15" ht="15" x14ac:dyDescent="0.2">
      <c r="A197" s="13">
        <v>46844</v>
      </c>
      <c r="B197" s="9">
        <f>3.9817 * CHOOSE(CONTROL!$C$32, $C$9, 100%, $E$9)</f>
        <v>3.9817</v>
      </c>
      <c r="C197" s="9">
        <f>3.9817 * CHOOSE(CONTROL!$C$32, $C$9, 100%, $E$9)</f>
        <v>3.9817</v>
      </c>
      <c r="D197" s="9">
        <f>3.9826 * CHOOSE(CONTROL!$C$32, $C$9, 100%, $E$9)</f>
        <v>3.9826000000000001</v>
      </c>
      <c r="E197" s="11">
        <f>5.0692 * CHOOSE(CONTROL!$C$32, $C$9, 100%, $E$9)</f>
        <v>5.0692000000000004</v>
      </c>
      <c r="F197" s="11">
        <f>5.0692 * CHOOSE(CONTROL!$C$32, $C$9, 100%, $E$9)</f>
        <v>5.0692000000000004</v>
      </c>
      <c r="G197" s="11">
        <f>5.0724 * CHOOSE(CONTROL!$C$32, $C$9, 100%, $E$9)</f>
        <v>5.0724</v>
      </c>
      <c r="H197" s="11">
        <f>8.4426 * CHOOSE(CONTROL!$C$32, $C$9, 100%, $E$9)</f>
        <v>8.4426000000000005</v>
      </c>
      <c r="I197" s="11">
        <f>8.4458 * CHOOSE(CONTROL!$C$32, $C$9, 100%, $E$9)</f>
        <v>8.4458000000000002</v>
      </c>
      <c r="J197" s="11">
        <f>8.4426 * CHOOSE(CONTROL!$C$32, $C$9, 100%, $E$9)</f>
        <v>8.4426000000000005</v>
      </c>
      <c r="K197" s="11">
        <f>8.4458 * CHOOSE(CONTROL!$C$32, $C$9, 100%, $E$9)</f>
        <v>8.4458000000000002</v>
      </c>
      <c r="L197" s="11">
        <f>5.0692 * CHOOSE(CONTROL!$C$32, $C$9, 100%, $E$9)</f>
        <v>5.0692000000000004</v>
      </c>
      <c r="M197" s="11">
        <f>5.0724 * CHOOSE(CONTROL!$C$32, $C$9, 100%, $E$9)</f>
        <v>5.0724</v>
      </c>
      <c r="N197" s="11">
        <f>5.0692 * CHOOSE(CONTROL!$C$32, $C$9, 100%, $E$9)</f>
        <v>5.0692000000000004</v>
      </c>
      <c r="O197" s="11">
        <f>5.0724 * CHOOSE(CONTROL!$C$32, $C$9, 100%, $E$9)</f>
        <v>5.0724</v>
      </c>
    </row>
    <row r="198" spans="1:15" ht="15" x14ac:dyDescent="0.2">
      <c r="A198" s="13">
        <v>46874</v>
      </c>
      <c r="B198" s="9">
        <f>3.9817 * CHOOSE(CONTROL!$C$32, $C$9, 100%, $E$9)</f>
        <v>3.9817</v>
      </c>
      <c r="C198" s="9">
        <f>3.9817 * CHOOSE(CONTROL!$C$32, $C$9, 100%, $E$9)</f>
        <v>3.9817</v>
      </c>
      <c r="D198" s="9">
        <f>3.9829 * CHOOSE(CONTROL!$C$32, $C$9, 100%, $E$9)</f>
        <v>3.9828999999999999</v>
      </c>
      <c r="E198" s="11">
        <f>5.0692 * CHOOSE(CONTROL!$C$32, $C$9, 100%, $E$9)</f>
        <v>5.0692000000000004</v>
      </c>
      <c r="F198" s="11">
        <f>5.0692 * CHOOSE(CONTROL!$C$32, $C$9, 100%, $E$9)</f>
        <v>5.0692000000000004</v>
      </c>
      <c r="G198" s="11">
        <f>5.0734 * CHOOSE(CONTROL!$C$32, $C$9, 100%, $E$9)</f>
        <v>5.0734000000000004</v>
      </c>
      <c r="H198" s="11">
        <f>8.4602 * CHOOSE(CONTROL!$C$32, $C$9, 100%, $E$9)</f>
        <v>8.4602000000000004</v>
      </c>
      <c r="I198" s="11">
        <f>8.4644 * CHOOSE(CONTROL!$C$32, $C$9, 100%, $E$9)</f>
        <v>8.4643999999999995</v>
      </c>
      <c r="J198" s="11">
        <f>8.4602 * CHOOSE(CONTROL!$C$32, $C$9, 100%, $E$9)</f>
        <v>8.4602000000000004</v>
      </c>
      <c r="K198" s="11">
        <f>8.4644 * CHOOSE(CONTROL!$C$32, $C$9, 100%, $E$9)</f>
        <v>8.4643999999999995</v>
      </c>
      <c r="L198" s="11">
        <f>5.0692 * CHOOSE(CONTROL!$C$32, $C$9, 100%, $E$9)</f>
        <v>5.0692000000000004</v>
      </c>
      <c r="M198" s="11">
        <f>5.0734 * CHOOSE(CONTROL!$C$32, $C$9, 100%, $E$9)</f>
        <v>5.0734000000000004</v>
      </c>
      <c r="N198" s="11">
        <f>5.0692 * CHOOSE(CONTROL!$C$32, $C$9, 100%, $E$9)</f>
        <v>5.0692000000000004</v>
      </c>
      <c r="O198" s="11">
        <f>5.0734 * CHOOSE(CONTROL!$C$32, $C$9, 100%, $E$9)</f>
        <v>5.0734000000000004</v>
      </c>
    </row>
    <row r="199" spans="1:15" ht="15" x14ac:dyDescent="0.2">
      <c r="A199" s="13">
        <v>46905</v>
      </c>
      <c r="B199" s="9">
        <f>3.9878 * CHOOSE(CONTROL!$C$32, $C$9, 100%, $E$9)</f>
        <v>3.9878</v>
      </c>
      <c r="C199" s="9">
        <f>3.9878 * CHOOSE(CONTROL!$C$32, $C$9, 100%, $E$9)</f>
        <v>3.9878</v>
      </c>
      <c r="D199" s="9">
        <f>3.989 * CHOOSE(CONTROL!$C$32, $C$9, 100%, $E$9)</f>
        <v>3.9889999999999999</v>
      </c>
      <c r="E199" s="11">
        <f>5.0732 * CHOOSE(CONTROL!$C$32, $C$9, 100%, $E$9)</f>
        <v>5.0731999999999999</v>
      </c>
      <c r="F199" s="11">
        <f>5.0732 * CHOOSE(CONTROL!$C$32, $C$9, 100%, $E$9)</f>
        <v>5.0731999999999999</v>
      </c>
      <c r="G199" s="11">
        <f>5.0774 * CHOOSE(CONTROL!$C$32, $C$9, 100%, $E$9)</f>
        <v>5.0773999999999999</v>
      </c>
      <c r="H199" s="11">
        <f>8.4778 * CHOOSE(CONTROL!$C$32, $C$9, 100%, $E$9)</f>
        <v>8.4778000000000002</v>
      </c>
      <c r="I199" s="11">
        <f>8.482 * CHOOSE(CONTROL!$C$32, $C$9, 100%, $E$9)</f>
        <v>8.4819999999999993</v>
      </c>
      <c r="J199" s="11">
        <f>8.4778 * CHOOSE(CONTROL!$C$32, $C$9, 100%, $E$9)</f>
        <v>8.4778000000000002</v>
      </c>
      <c r="K199" s="11">
        <f>8.482 * CHOOSE(CONTROL!$C$32, $C$9, 100%, $E$9)</f>
        <v>8.4819999999999993</v>
      </c>
      <c r="L199" s="11">
        <f>5.0732 * CHOOSE(CONTROL!$C$32, $C$9, 100%, $E$9)</f>
        <v>5.0731999999999999</v>
      </c>
      <c r="M199" s="11">
        <f>5.0774 * CHOOSE(CONTROL!$C$32, $C$9, 100%, $E$9)</f>
        <v>5.0773999999999999</v>
      </c>
      <c r="N199" s="11">
        <f>5.0732 * CHOOSE(CONTROL!$C$32, $C$9, 100%, $E$9)</f>
        <v>5.0731999999999999</v>
      </c>
      <c r="O199" s="11">
        <f>5.0774 * CHOOSE(CONTROL!$C$32, $C$9, 100%, $E$9)</f>
        <v>5.0773999999999999</v>
      </c>
    </row>
    <row r="200" spans="1:15" ht="15" x14ac:dyDescent="0.2">
      <c r="A200" s="13">
        <v>46935</v>
      </c>
      <c r="B200" s="9">
        <f>4.0588 * CHOOSE(CONTROL!$C$32, $C$9, 100%, $E$9)</f>
        <v>4.0587999999999997</v>
      </c>
      <c r="C200" s="9">
        <f>4.0588 * CHOOSE(CONTROL!$C$32, $C$9, 100%, $E$9)</f>
        <v>4.0587999999999997</v>
      </c>
      <c r="D200" s="9">
        <f>4.06 * CHOOSE(CONTROL!$C$32, $C$9, 100%, $E$9)</f>
        <v>4.0599999999999996</v>
      </c>
      <c r="E200" s="11">
        <f>5.1714 * CHOOSE(CONTROL!$C$32, $C$9, 100%, $E$9)</f>
        <v>5.1714000000000002</v>
      </c>
      <c r="F200" s="11">
        <f>5.1714 * CHOOSE(CONTROL!$C$32, $C$9, 100%, $E$9)</f>
        <v>5.1714000000000002</v>
      </c>
      <c r="G200" s="11">
        <f>5.1756 * CHOOSE(CONTROL!$C$32, $C$9, 100%, $E$9)</f>
        <v>5.1756000000000002</v>
      </c>
      <c r="H200" s="11">
        <f>8.4955 * CHOOSE(CONTROL!$C$32, $C$9, 100%, $E$9)</f>
        <v>8.4954999999999998</v>
      </c>
      <c r="I200" s="11">
        <f>8.4997 * CHOOSE(CONTROL!$C$32, $C$9, 100%, $E$9)</f>
        <v>8.4997000000000007</v>
      </c>
      <c r="J200" s="11">
        <f>8.4955 * CHOOSE(CONTROL!$C$32, $C$9, 100%, $E$9)</f>
        <v>8.4954999999999998</v>
      </c>
      <c r="K200" s="11">
        <f>8.4997 * CHOOSE(CONTROL!$C$32, $C$9, 100%, $E$9)</f>
        <v>8.4997000000000007</v>
      </c>
      <c r="L200" s="11">
        <f>5.1714 * CHOOSE(CONTROL!$C$32, $C$9, 100%, $E$9)</f>
        <v>5.1714000000000002</v>
      </c>
      <c r="M200" s="11">
        <f>5.1756 * CHOOSE(CONTROL!$C$32, $C$9, 100%, $E$9)</f>
        <v>5.1756000000000002</v>
      </c>
      <c r="N200" s="11">
        <f>5.1714 * CHOOSE(CONTROL!$C$32, $C$9, 100%, $E$9)</f>
        <v>5.1714000000000002</v>
      </c>
      <c r="O200" s="11">
        <f>5.1756 * CHOOSE(CONTROL!$C$32, $C$9, 100%, $E$9)</f>
        <v>5.1756000000000002</v>
      </c>
    </row>
    <row r="201" spans="1:15" ht="15" x14ac:dyDescent="0.2">
      <c r="A201" s="13">
        <v>46966</v>
      </c>
      <c r="B201" s="9">
        <f>4.0654 * CHOOSE(CONTROL!$C$32, $C$9, 100%, $E$9)</f>
        <v>4.0654000000000003</v>
      </c>
      <c r="C201" s="9">
        <f>4.0654 * CHOOSE(CONTROL!$C$32, $C$9, 100%, $E$9)</f>
        <v>4.0654000000000003</v>
      </c>
      <c r="D201" s="9">
        <f>4.0667 * CHOOSE(CONTROL!$C$32, $C$9, 100%, $E$9)</f>
        <v>4.0667</v>
      </c>
      <c r="E201" s="11">
        <f>5.1758 * CHOOSE(CONTROL!$C$32, $C$9, 100%, $E$9)</f>
        <v>5.1757999999999997</v>
      </c>
      <c r="F201" s="11">
        <f>5.1758 * CHOOSE(CONTROL!$C$32, $C$9, 100%, $E$9)</f>
        <v>5.1757999999999997</v>
      </c>
      <c r="G201" s="11">
        <f>5.18 * CHOOSE(CONTROL!$C$32, $C$9, 100%, $E$9)</f>
        <v>5.18</v>
      </c>
      <c r="H201" s="11">
        <f>8.5132 * CHOOSE(CONTROL!$C$32, $C$9, 100%, $E$9)</f>
        <v>8.5131999999999994</v>
      </c>
      <c r="I201" s="11">
        <f>8.5174 * CHOOSE(CONTROL!$C$32, $C$9, 100%, $E$9)</f>
        <v>8.5174000000000003</v>
      </c>
      <c r="J201" s="11">
        <f>8.5132 * CHOOSE(CONTROL!$C$32, $C$9, 100%, $E$9)</f>
        <v>8.5131999999999994</v>
      </c>
      <c r="K201" s="11">
        <f>8.5174 * CHOOSE(CONTROL!$C$32, $C$9, 100%, $E$9)</f>
        <v>8.5174000000000003</v>
      </c>
      <c r="L201" s="11">
        <f>5.1758 * CHOOSE(CONTROL!$C$32, $C$9, 100%, $E$9)</f>
        <v>5.1757999999999997</v>
      </c>
      <c r="M201" s="11">
        <f>5.18 * CHOOSE(CONTROL!$C$32, $C$9, 100%, $E$9)</f>
        <v>5.18</v>
      </c>
      <c r="N201" s="11">
        <f>5.1758 * CHOOSE(CONTROL!$C$32, $C$9, 100%, $E$9)</f>
        <v>5.1757999999999997</v>
      </c>
      <c r="O201" s="11">
        <f>5.18 * CHOOSE(CONTROL!$C$32, $C$9, 100%, $E$9)</f>
        <v>5.18</v>
      </c>
    </row>
    <row r="202" spans="1:15" ht="15" x14ac:dyDescent="0.2">
      <c r="A202" s="13">
        <v>46997</v>
      </c>
      <c r="B202" s="9">
        <f>4.0624 * CHOOSE(CONTROL!$C$32, $C$9, 100%, $E$9)</f>
        <v>4.0624000000000002</v>
      </c>
      <c r="C202" s="9">
        <f>4.0624 * CHOOSE(CONTROL!$C$32, $C$9, 100%, $E$9)</f>
        <v>4.0624000000000002</v>
      </c>
      <c r="D202" s="9">
        <f>4.0637 * CHOOSE(CONTROL!$C$32, $C$9, 100%, $E$9)</f>
        <v>4.0636999999999999</v>
      </c>
      <c r="E202" s="11">
        <f>5.1738 * CHOOSE(CONTROL!$C$32, $C$9, 100%, $E$9)</f>
        <v>5.1738</v>
      </c>
      <c r="F202" s="11">
        <f>5.1738 * CHOOSE(CONTROL!$C$32, $C$9, 100%, $E$9)</f>
        <v>5.1738</v>
      </c>
      <c r="G202" s="11">
        <f>5.178 * CHOOSE(CONTROL!$C$32, $C$9, 100%, $E$9)</f>
        <v>5.1779999999999999</v>
      </c>
      <c r="H202" s="11">
        <f>8.5309 * CHOOSE(CONTROL!$C$32, $C$9, 100%, $E$9)</f>
        <v>8.5309000000000008</v>
      </c>
      <c r="I202" s="11">
        <f>8.5351 * CHOOSE(CONTROL!$C$32, $C$9, 100%, $E$9)</f>
        <v>8.5350999999999999</v>
      </c>
      <c r="J202" s="11">
        <f>8.5309 * CHOOSE(CONTROL!$C$32, $C$9, 100%, $E$9)</f>
        <v>8.5309000000000008</v>
      </c>
      <c r="K202" s="11">
        <f>8.5351 * CHOOSE(CONTROL!$C$32, $C$9, 100%, $E$9)</f>
        <v>8.5350999999999999</v>
      </c>
      <c r="L202" s="11">
        <f>5.1738 * CHOOSE(CONTROL!$C$32, $C$9, 100%, $E$9)</f>
        <v>5.1738</v>
      </c>
      <c r="M202" s="11">
        <f>5.178 * CHOOSE(CONTROL!$C$32, $C$9, 100%, $E$9)</f>
        <v>5.1779999999999999</v>
      </c>
      <c r="N202" s="11">
        <f>5.1738 * CHOOSE(CONTROL!$C$32, $C$9, 100%, $E$9)</f>
        <v>5.1738</v>
      </c>
      <c r="O202" s="11">
        <f>5.178 * CHOOSE(CONTROL!$C$32, $C$9, 100%, $E$9)</f>
        <v>5.1779999999999999</v>
      </c>
    </row>
    <row r="203" spans="1:15" ht="15" x14ac:dyDescent="0.2">
      <c r="A203" s="13">
        <v>47027</v>
      </c>
      <c r="B203" s="9">
        <f>4.0577 * CHOOSE(CONTROL!$C$32, $C$9, 100%, $E$9)</f>
        <v>4.0576999999999996</v>
      </c>
      <c r="C203" s="9">
        <f>4.0577 * CHOOSE(CONTROL!$C$32, $C$9, 100%, $E$9)</f>
        <v>4.0576999999999996</v>
      </c>
      <c r="D203" s="9">
        <f>4.0587 * CHOOSE(CONTROL!$C$32, $C$9, 100%, $E$9)</f>
        <v>4.0587</v>
      </c>
      <c r="E203" s="11">
        <f>5.1686 * CHOOSE(CONTROL!$C$32, $C$9, 100%, $E$9)</f>
        <v>5.1685999999999996</v>
      </c>
      <c r="F203" s="11">
        <f>5.1686 * CHOOSE(CONTROL!$C$32, $C$9, 100%, $E$9)</f>
        <v>5.1685999999999996</v>
      </c>
      <c r="G203" s="11">
        <f>5.1718 * CHOOSE(CONTROL!$C$32, $C$9, 100%, $E$9)</f>
        <v>5.1718000000000002</v>
      </c>
      <c r="H203" s="11">
        <f>8.5487 * CHOOSE(CONTROL!$C$32, $C$9, 100%, $E$9)</f>
        <v>8.5487000000000002</v>
      </c>
      <c r="I203" s="11">
        <f>8.5519 * CHOOSE(CONTROL!$C$32, $C$9, 100%, $E$9)</f>
        <v>8.5518999999999998</v>
      </c>
      <c r="J203" s="11">
        <f>8.5487 * CHOOSE(CONTROL!$C$32, $C$9, 100%, $E$9)</f>
        <v>8.5487000000000002</v>
      </c>
      <c r="K203" s="11">
        <f>8.5519 * CHOOSE(CONTROL!$C$32, $C$9, 100%, $E$9)</f>
        <v>8.5518999999999998</v>
      </c>
      <c r="L203" s="11">
        <f>5.1686 * CHOOSE(CONTROL!$C$32, $C$9, 100%, $E$9)</f>
        <v>5.1685999999999996</v>
      </c>
      <c r="M203" s="11">
        <f>5.1718 * CHOOSE(CONTROL!$C$32, $C$9, 100%, $E$9)</f>
        <v>5.1718000000000002</v>
      </c>
      <c r="N203" s="11">
        <f>5.1686 * CHOOSE(CONTROL!$C$32, $C$9, 100%, $E$9)</f>
        <v>5.1685999999999996</v>
      </c>
      <c r="O203" s="11">
        <f>5.1718 * CHOOSE(CONTROL!$C$32, $C$9, 100%, $E$9)</f>
        <v>5.1718000000000002</v>
      </c>
    </row>
    <row r="204" spans="1:15" ht="15" x14ac:dyDescent="0.2">
      <c r="A204" s="13">
        <v>47058</v>
      </c>
      <c r="B204" s="9">
        <f>4.0607 * CHOOSE(CONTROL!$C$32, $C$9, 100%, $E$9)</f>
        <v>4.0606999999999998</v>
      </c>
      <c r="C204" s="9">
        <f>4.0607 * CHOOSE(CONTROL!$C$32, $C$9, 100%, $E$9)</f>
        <v>4.0606999999999998</v>
      </c>
      <c r="D204" s="9">
        <f>4.0617 * CHOOSE(CONTROL!$C$32, $C$9, 100%, $E$9)</f>
        <v>4.0617000000000001</v>
      </c>
      <c r="E204" s="11">
        <f>5.1706 * CHOOSE(CONTROL!$C$32, $C$9, 100%, $E$9)</f>
        <v>5.1706000000000003</v>
      </c>
      <c r="F204" s="11">
        <f>5.1706 * CHOOSE(CONTROL!$C$32, $C$9, 100%, $E$9)</f>
        <v>5.1706000000000003</v>
      </c>
      <c r="G204" s="11">
        <f>5.1738 * CHOOSE(CONTROL!$C$32, $C$9, 100%, $E$9)</f>
        <v>5.1738</v>
      </c>
      <c r="H204" s="11">
        <f>8.5665 * CHOOSE(CONTROL!$C$32, $C$9, 100%, $E$9)</f>
        <v>8.5664999999999996</v>
      </c>
      <c r="I204" s="11">
        <f>8.5697 * CHOOSE(CONTROL!$C$32, $C$9, 100%, $E$9)</f>
        <v>8.5696999999999992</v>
      </c>
      <c r="J204" s="11">
        <f>8.5665 * CHOOSE(CONTROL!$C$32, $C$9, 100%, $E$9)</f>
        <v>8.5664999999999996</v>
      </c>
      <c r="K204" s="11">
        <f>8.5697 * CHOOSE(CONTROL!$C$32, $C$9, 100%, $E$9)</f>
        <v>8.5696999999999992</v>
      </c>
      <c r="L204" s="11">
        <f>5.1706 * CHOOSE(CONTROL!$C$32, $C$9, 100%, $E$9)</f>
        <v>5.1706000000000003</v>
      </c>
      <c r="M204" s="11">
        <f>5.1738 * CHOOSE(CONTROL!$C$32, $C$9, 100%, $E$9)</f>
        <v>5.1738</v>
      </c>
      <c r="N204" s="11">
        <f>5.1706 * CHOOSE(CONTROL!$C$32, $C$9, 100%, $E$9)</f>
        <v>5.1706000000000003</v>
      </c>
      <c r="O204" s="11">
        <f>5.1738 * CHOOSE(CONTROL!$C$32, $C$9, 100%, $E$9)</f>
        <v>5.1738</v>
      </c>
    </row>
    <row r="205" spans="1:15" ht="15" x14ac:dyDescent="0.2">
      <c r="A205" s="13">
        <v>47088</v>
      </c>
      <c r="B205" s="9">
        <f>4.0607 * CHOOSE(CONTROL!$C$32, $C$9, 100%, $E$9)</f>
        <v>4.0606999999999998</v>
      </c>
      <c r="C205" s="9">
        <f>4.0607 * CHOOSE(CONTROL!$C$32, $C$9, 100%, $E$9)</f>
        <v>4.0606999999999998</v>
      </c>
      <c r="D205" s="9">
        <f>4.0617 * CHOOSE(CONTROL!$C$32, $C$9, 100%, $E$9)</f>
        <v>4.0617000000000001</v>
      </c>
      <c r="E205" s="11">
        <f>5.1706 * CHOOSE(CONTROL!$C$32, $C$9, 100%, $E$9)</f>
        <v>5.1706000000000003</v>
      </c>
      <c r="F205" s="11">
        <f>5.1706 * CHOOSE(CONTROL!$C$32, $C$9, 100%, $E$9)</f>
        <v>5.1706000000000003</v>
      </c>
      <c r="G205" s="11">
        <f>5.1738 * CHOOSE(CONTROL!$C$32, $C$9, 100%, $E$9)</f>
        <v>5.1738</v>
      </c>
      <c r="H205" s="11">
        <f>8.5844 * CHOOSE(CONTROL!$C$32, $C$9, 100%, $E$9)</f>
        <v>8.5844000000000005</v>
      </c>
      <c r="I205" s="11">
        <f>8.5876 * CHOOSE(CONTROL!$C$32, $C$9, 100%, $E$9)</f>
        <v>8.5876000000000001</v>
      </c>
      <c r="J205" s="11">
        <f>8.5844 * CHOOSE(CONTROL!$C$32, $C$9, 100%, $E$9)</f>
        <v>8.5844000000000005</v>
      </c>
      <c r="K205" s="11">
        <f>8.5876 * CHOOSE(CONTROL!$C$32, $C$9, 100%, $E$9)</f>
        <v>8.5876000000000001</v>
      </c>
      <c r="L205" s="11">
        <f>5.1706 * CHOOSE(CONTROL!$C$32, $C$9, 100%, $E$9)</f>
        <v>5.1706000000000003</v>
      </c>
      <c r="M205" s="11">
        <f>5.1738 * CHOOSE(CONTROL!$C$32, $C$9, 100%, $E$9)</f>
        <v>5.1738</v>
      </c>
      <c r="N205" s="11">
        <f>5.1706 * CHOOSE(CONTROL!$C$32, $C$9, 100%, $E$9)</f>
        <v>5.1706000000000003</v>
      </c>
      <c r="O205" s="11">
        <f>5.1738 * CHOOSE(CONTROL!$C$32, $C$9, 100%, $E$9)</f>
        <v>5.1738</v>
      </c>
    </row>
    <row r="206" spans="1:15" ht="15" x14ac:dyDescent="0.2">
      <c r="A206" s="13">
        <v>47119</v>
      </c>
      <c r="B206" s="9">
        <f>4.0932 * CHOOSE(CONTROL!$C$32, $C$9, 100%, $E$9)</f>
        <v>4.0932000000000004</v>
      </c>
      <c r="C206" s="9">
        <f>4.0932 * CHOOSE(CONTROL!$C$32, $C$9, 100%, $E$9)</f>
        <v>4.0932000000000004</v>
      </c>
      <c r="D206" s="9">
        <f>4.0942 * CHOOSE(CONTROL!$C$32, $C$9, 100%, $E$9)</f>
        <v>4.0941999999999998</v>
      </c>
      <c r="E206" s="11">
        <f>5.2103 * CHOOSE(CONTROL!$C$32, $C$9, 100%, $E$9)</f>
        <v>5.2103000000000002</v>
      </c>
      <c r="F206" s="11">
        <f>5.2103 * CHOOSE(CONTROL!$C$32, $C$9, 100%, $E$9)</f>
        <v>5.2103000000000002</v>
      </c>
      <c r="G206" s="11">
        <f>5.2135 * CHOOSE(CONTROL!$C$32, $C$9, 100%, $E$9)</f>
        <v>5.2134999999999998</v>
      </c>
      <c r="H206" s="11">
        <f>8.6022 * CHOOSE(CONTROL!$C$32, $C$9, 100%, $E$9)</f>
        <v>8.6021999999999998</v>
      </c>
      <c r="I206" s="11">
        <f>8.6055 * CHOOSE(CONTROL!$C$32, $C$9, 100%, $E$9)</f>
        <v>8.6054999999999993</v>
      </c>
      <c r="J206" s="11">
        <f>8.6022 * CHOOSE(CONTROL!$C$32, $C$9, 100%, $E$9)</f>
        <v>8.6021999999999998</v>
      </c>
      <c r="K206" s="11">
        <f>8.6055 * CHOOSE(CONTROL!$C$32, $C$9, 100%, $E$9)</f>
        <v>8.6054999999999993</v>
      </c>
      <c r="L206" s="11">
        <f>5.2103 * CHOOSE(CONTROL!$C$32, $C$9, 100%, $E$9)</f>
        <v>5.2103000000000002</v>
      </c>
      <c r="M206" s="11">
        <f>5.2135 * CHOOSE(CONTROL!$C$32, $C$9, 100%, $E$9)</f>
        <v>5.2134999999999998</v>
      </c>
      <c r="N206" s="11">
        <f>5.2103 * CHOOSE(CONTROL!$C$32, $C$9, 100%, $E$9)</f>
        <v>5.2103000000000002</v>
      </c>
      <c r="O206" s="11">
        <f>5.2135 * CHOOSE(CONTROL!$C$32, $C$9, 100%, $E$9)</f>
        <v>5.2134999999999998</v>
      </c>
    </row>
    <row r="207" spans="1:15" ht="15" x14ac:dyDescent="0.2">
      <c r="A207" s="13">
        <v>47150</v>
      </c>
      <c r="B207" s="9">
        <f>4.0902 * CHOOSE(CONTROL!$C$32, $C$9, 100%, $E$9)</f>
        <v>4.0902000000000003</v>
      </c>
      <c r="C207" s="9">
        <f>4.0902 * CHOOSE(CONTROL!$C$32, $C$9, 100%, $E$9)</f>
        <v>4.0902000000000003</v>
      </c>
      <c r="D207" s="9">
        <f>4.0911 * CHOOSE(CONTROL!$C$32, $C$9, 100%, $E$9)</f>
        <v>4.0911</v>
      </c>
      <c r="E207" s="11">
        <f>5.2083 * CHOOSE(CONTROL!$C$32, $C$9, 100%, $E$9)</f>
        <v>5.2083000000000004</v>
      </c>
      <c r="F207" s="11">
        <f>5.2083 * CHOOSE(CONTROL!$C$32, $C$9, 100%, $E$9)</f>
        <v>5.2083000000000004</v>
      </c>
      <c r="G207" s="11">
        <f>5.2115 * CHOOSE(CONTROL!$C$32, $C$9, 100%, $E$9)</f>
        <v>5.2115</v>
      </c>
      <c r="H207" s="11">
        <f>8.6202 * CHOOSE(CONTROL!$C$32, $C$9, 100%, $E$9)</f>
        <v>8.6202000000000005</v>
      </c>
      <c r="I207" s="11">
        <f>8.6234 * CHOOSE(CONTROL!$C$32, $C$9, 100%, $E$9)</f>
        <v>8.6234000000000002</v>
      </c>
      <c r="J207" s="11">
        <f>8.6202 * CHOOSE(CONTROL!$C$32, $C$9, 100%, $E$9)</f>
        <v>8.6202000000000005</v>
      </c>
      <c r="K207" s="11">
        <f>8.6234 * CHOOSE(CONTROL!$C$32, $C$9, 100%, $E$9)</f>
        <v>8.6234000000000002</v>
      </c>
      <c r="L207" s="11">
        <f>5.2083 * CHOOSE(CONTROL!$C$32, $C$9, 100%, $E$9)</f>
        <v>5.2083000000000004</v>
      </c>
      <c r="M207" s="11">
        <f>5.2115 * CHOOSE(CONTROL!$C$32, $C$9, 100%, $E$9)</f>
        <v>5.2115</v>
      </c>
      <c r="N207" s="11">
        <f>5.2083 * CHOOSE(CONTROL!$C$32, $C$9, 100%, $E$9)</f>
        <v>5.2083000000000004</v>
      </c>
      <c r="O207" s="11">
        <f>5.2115 * CHOOSE(CONTROL!$C$32, $C$9, 100%, $E$9)</f>
        <v>5.2115</v>
      </c>
    </row>
    <row r="208" spans="1:15" ht="15" x14ac:dyDescent="0.2">
      <c r="A208" s="13">
        <v>47178</v>
      </c>
      <c r="B208" s="9">
        <f>4.0872 * CHOOSE(CONTROL!$C$32, $C$9, 100%, $E$9)</f>
        <v>4.0872000000000002</v>
      </c>
      <c r="C208" s="9">
        <f>4.0872 * CHOOSE(CONTROL!$C$32, $C$9, 100%, $E$9)</f>
        <v>4.0872000000000002</v>
      </c>
      <c r="D208" s="9">
        <f>4.0881 * CHOOSE(CONTROL!$C$32, $C$9, 100%, $E$9)</f>
        <v>4.0880999999999998</v>
      </c>
      <c r="E208" s="11">
        <f>5.2063 * CHOOSE(CONTROL!$C$32, $C$9, 100%, $E$9)</f>
        <v>5.2062999999999997</v>
      </c>
      <c r="F208" s="11">
        <f>5.2063 * CHOOSE(CONTROL!$C$32, $C$9, 100%, $E$9)</f>
        <v>5.2062999999999997</v>
      </c>
      <c r="G208" s="11">
        <f>5.2095 * CHOOSE(CONTROL!$C$32, $C$9, 100%, $E$9)</f>
        <v>5.2095000000000002</v>
      </c>
      <c r="H208" s="11">
        <f>8.6381 * CHOOSE(CONTROL!$C$32, $C$9, 100%, $E$9)</f>
        <v>8.6380999999999997</v>
      </c>
      <c r="I208" s="11">
        <f>8.6414 * CHOOSE(CONTROL!$C$32, $C$9, 100%, $E$9)</f>
        <v>8.6414000000000009</v>
      </c>
      <c r="J208" s="11">
        <f>8.6381 * CHOOSE(CONTROL!$C$32, $C$9, 100%, $E$9)</f>
        <v>8.6380999999999997</v>
      </c>
      <c r="K208" s="11">
        <f>8.6414 * CHOOSE(CONTROL!$C$32, $C$9, 100%, $E$9)</f>
        <v>8.6414000000000009</v>
      </c>
      <c r="L208" s="11">
        <f>5.2063 * CHOOSE(CONTROL!$C$32, $C$9, 100%, $E$9)</f>
        <v>5.2062999999999997</v>
      </c>
      <c r="M208" s="11">
        <f>5.2095 * CHOOSE(CONTROL!$C$32, $C$9, 100%, $E$9)</f>
        <v>5.2095000000000002</v>
      </c>
      <c r="N208" s="11">
        <f>5.2063 * CHOOSE(CONTROL!$C$32, $C$9, 100%, $E$9)</f>
        <v>5.2062999999999997</v>
      </c>
      <c r="O208" s="11">
        <f>5.2095 * CHOOSE(CONTROL!$C$32, $C$9, 100%, $E$9)</f>
        <v>5.2095000000000002</v>
      </c>
    </row>
    <row r="209" spans="1:15" ht="15" x14ac:dyDescent="0.2">
      <c r="A209" s="13">
        <v>47209</v>
      </c>
      <c r="B209" s="9">
        <f>4.0849 * CHOOSE(CONTROL!$C$32, $C$9, 100%, $E$9)</f>
        <v>4.0849000000000002</v>
      </c>
      <c r="C209" s="9">
        <f>4.0849 * CHOOSE(CONTROL!$C$32, $C$9, 100%, $E$9)</f>
        <v>4.0849000000000002</v>
      </c>
      <c r="D209" s="9">
        <f>4.0858 * CHOOSE(CONTROL!$C$32, $C$9, 100%, $E$9)</f>
        <v>4.0857999999999999</v>
      </c>
      <c r="E209" s="11">
        <f>5.2043 * CHOOSE(CONTROL!$C$32, $C$9, 100%, $E$9)</f>
        <v>5.2042999999999999</v>
      </c>
      <c r="F209" s="11">
        <f>5.2043 * CHOOSE(CONTROL!$C$32, $C$9, 100%, $E$9)</f>
        <v>5.2042999999999999</v>
      </c>
      <c r="G209" s="11">
        <f>5.2075 * CHOOSE(CONTROL!$C$32, $C$9, 100%, $E$9)</f>
        <v>5.2074999999999996</v>
      </c>
      <c r="H209" s="11">
        <f>8.6561 * CHOOSE(CONTROL!$C$32, $C$9, 100%, $E$9)</f>
        <v>8.6561000000000003</v>
      </c>
      <c r="I209" s="11">
        <f>8.6594 * CHOOSE(CONTROL!$C$32, $C$9, 100%, $E$9)</f>
        <v>8.6593999999999998</v>
      </c>
      <c r="J209" s="11">
        <f>8.6561 * CHOOSE(CONTROL!$C$32, $C$9, 100%, $E$9)</f>
        <v>8.6561000000000003</v>
      </c>
      <c r="K209" s="11">
        <f>8.6594 * CHOOSE(CONTROL!$C$32, $C$9, 100%, $E$9)</f>
        <v>8.6593999999999998</v>
      </c>
      <c r="L209" s="11">
        <f>5.2043 * CHOOSE(CONTROL!$C$32, $C$9, 100%, $E$9)</f>
        <v>5.2042999999999999</v>
      </c>
      <c r="M209" s="11">
        <f>5.2075 * CHOOSE(CONTROL!$C$32, $C$9, 100%, $E$9)</f>
        <v>5.2074999999999996</v>
      </c>
      <c r="N209" s="11">
        <f>5.2043 * CHOOSE(CONTROL!$C$32, $C$9, 100%, $E$9)</f>
        <v>5.2042999999999999</v>
      </c>
      <c r="O209" s="11">
        <f>5.2075 * CHOOSE(CONTROL!$C$32, $C$9, 100%, $E$9)</f>
        <v>5.2074999999999996</v>
      </c>
    </row>
    <row r="210" spans="1:15" ht="15" x14ac:dyDescent="0.2">
      <c r="A210" s="13">
        <v>47239</v>
      </c>
      <c r="B210" s="9">
        <f>4.0849 * CHOOSE(CONTROL!$C$32, $C$9, 100%, $E$9)</f>
        <v>4.0849000000000002</v>
      </c>
      <c r="C210" s="9">
        <f>4.0849 * CHOOSE(CONTROL!$C$32, $C$9, 100%, $E$9)</f>
        <v>4.0849000000000002</v>
      </c>
      <c r="D210" s="9">
        <f>4.0861 * CHOOSE(CONTROL!$C$32, $C$9, 100%, $E$9)</f>
        <v>4.0861000000000001</v>
      </c>
      <c r="E210" s="11">
        <f>5.2043 * CHOOSE(CONTROL!$C$32, $C$9, 100%, $E$9)</f>
        <v>5.2042999999999999</v>
      </c>
      <c r="F210" s="11">
        <f>5.2043 * CHOOSE(CONTROL!$C$32, $C$9, 100%, $E$9)</f>
        <v>5.2042999999999999</v>
      </c>
      <c r="G210" s="11">
        <f>5.2085 * CHOOSE(CONTROL!$C$32, $C$9, 100%, $E$9)</f>
        <v>5.2084999999999999</v>
      </c>
      <c r="H210" s="11">
        <f>8.6742 * CHOOSE(CONTROL!$C$32, $C$9, 100%, $E$9)</f>
        <v>8.6742000000000008</v>
      </c>
      <c r="I210" s="11">
        <f>8.6784 * CHOOSE(CONTROL!$C$32, $C$9, 100%, $E$9)</f>
        <v>8.6783999999999999</v>
      </c>
      <c r="J210" s="11">
        <f>8.6742 * CHOOSE(CONTROL!$C$32, $C$9, 100%, $E$9)</f>
        <v>8.6742000000000008</v>
      </c>
      <c r="K210" s="11">
        <f>8.6784 * CHOOSE(CONTROL!$C$32, $C$9, 100%, $E$9)</f>
        <v>8.6783999999999999</v>
      </c>
      <c r="L210" s="11">
        <f>5.2043 * CHOOSE(CONTROL!$C$32, $C$9, 100%, $E$9)</f>
        <v>5.2042999999999999</v>
      </c>
      <c r="M210" s="11">
        <f>5.2085 * CHOOSE(CONTROL!$C$32, $C$9, 100%, $E$9)</f>
        <v>5.2084999999999999</v>
      </c>
      <c r="N210" s="11">
        <f>5.2043 * CHOOSE(CONTROL!$C$32, $C$9, 100%, $E$9)</f>
        <v>5.2042999999999999</v>
      </c>
      <c r="O210" s="11">
        <f>5.2085 * CHOOSE(CONTROL!$C$32, $C$9, 100%, $E$9)</f>
        <v>5.2084999999999999</v>
      </c>
    </row>
    <row r="211" spans="1:15" ht="15" x14ac:dyDescent="0.2">
      <c r="A211" s="13">
        <v>47270</v>
      </c>
      <c r="B211" s="9">
        <f>4.091 * CHOOSE(CONTROL!$C$32, $C$9, 100%, $E$9)</f>
        <v>4.0910000000000002</v>
      </c>
      <c r="C211" s="9">
        <f>4.091 * CHOOSE(CONTROL!$C$32, $C$9, 100%, $E$9)</f>
        <v>4.0910000000000002</v>
      </c>
      <c r="D211" s="9">
        <f>4.0922 * CHOOSE(CONTROL!$C$32, $C$9, 100%, $E$9)</f>
        <v>4.0922000000000001</v>
      </c>
      <c r="E211" s="11">
        <f>5.2083 * CHOOSE(CONTROL!$C$32, $C$9, 100%, $E$9)</f>
        <v>5.2083000000000004</v>
      </c>
      <c r="F211" s="11">
        <f>5.2083 * CHOOSE(CONTROL!$C$32, $C$9, 100%, $E$9)</f>
        <v>5.2083000000000004</v>
      </c>
      <c r="G211" s="11">
        <f>5.2125 * CHOOSE(CONTROL!$C$32, $C$9, 100%, $E$9)</f>
        <v>5.2125000000000004</v>
      </c>
      <c r="H211" s="11">
        <f>8.6922 * CHOOSE(CONTROL!$C$32, $C$9, 100%, $E$9)</f>
        <v>8.6921999999999997</v>
      </c>
      <c r="I211" s="11">
        <f>8.6964 * CHOOSE(CONTROL!$C$32, $C$9, 100%, $E$9)</f>
        <v>8.6964000000000006</v>
      </c>
      <c r="J211" s="11">
        <f>8.6922 * CHOOSE(CONTROL!$C$32, $C$9, 100%, $E$9)</f>
        <v>8.6921999999999997</v>
      </c>
      <c r="K211" s="11">
        <f>8.6964 * CHOOSE(CONTROL!$C$32, $C$9, 100%, $E$9)</f>
        <v>8.6964000000000006</v>
      </c>
      <c r="L211" s="11">
        <f>5.2083 * CHOOSE(CONTROL!$C$32, $C$9, 100%, $E$9)</f>
        <v>5.2083000000000004</v>
      </c>
      <c r="M211" s="11">
        <f>5.2125 * CHOOSE(CONTROL!$C$32, $C$9, 100%, $E$9)</f>
        <v>5.2125000000000004</v>
      </c>
      <c r="N211" s="11">
        <f>5.2083 * CHOOSE(CONTROL!$C$32, $C$9, 100%, $E$9)</f>
        <v>5.2083000000000004</v>
      </c>
      <c r="O211" s="11">
        <f>5.2125 * CHOOSE(CONTROL!$C$32, $C$9, 100%, $E$9)</f>
        <v>5.2125000000000004</v>
      </c>
    </row>
    <row r="212" spans="1:15" ht="15" x14ac:dyDescent="0.2">
      <c r="A212" s="13">
        <v>47300</v>
      </c>
      <c r="B212" s="9">
        <f>4.1496 * CHOOSE(CONTROL!$C$32, $C$9, 100%, $E$9)</f>
        <v>4.1496000000000004</v>
      </c>
      <c r="C212" s="9">
        <f>4.1496 * CHOOSE(CONTROL!$C$32, $C$9, 100%, $E$9)</f>
        <v>4.1496000000000004</v>
      </c>
      <c r="D212" s="9">
        <f>4.1509 * CHOOSE(CONTROL!$C$32, $C$9, 100%, $E$9)</f>
        <v>4.1509</v>
      </c>
      <c r="E212" s="11">
        <f>5.2949 * CHOOSE(CONTROL!$C$32, $C$9, 100%, $E$9)</f>
        <v>5.2949000000000002</v>
      </c>
      <c r="F212" s="11">
        <f>5.2949 * CHOOSE(CONTROL!$C$32, $C$9, 100%, $E$9)</f>
        <v>5.2949000000000002</v>
      </c>
      <c r="G212" s="11">
        <f>5.2991 * CHOOSE(CONTROL!$C$32, $C$9, 100%, $E$9)</f>
        <v>5.2991000000000001</v>
      </c>
      <c r="H212" s="11">
        <f>8.7103 * CHOOSE(CONTROL!$C$32, $C$9, 100%, $E$9)</f>
        <v>8.7103000000000002</v>
      </c>
      <c r="I212" s="11">
        <f>8.7145 * CHOOSE(CONTROL!$C$32, $C$9, 100%, $E$9)</f>
        <v>8.7144999999999992</v>
      </c>
      <c r="J212" s="11">
        <f>8.7103 * CHOOSE(CONTROL!$C$32, $C$9, 100%, $E$9)</f>
        <v>8.7103000000000002</v>
      </c>
      <c r="K212" s="11">
        <f>8.7145 * CHOOSE(CONTROL!$C$32, $C$9, 100%, $E$9)</f>
        <v>8.7144999999999992</v>
      </c>
      <c r="L212" s="11">
        <f>5.2949 * CHOOSE(CONTROL!$C$32, $C$9, 100%, $E$9)</f>
        <v>5.2949000000000002</v>
      </c>
      <c r="M212" s="11">
        <f>5.2991 * CHOOSE(CONTROL!$C$32, $C$9, 100%, $E$9)</f>
        <v>5.2991000000000001</v>
      </c>
      <c r="N212" s="11">
        <f>5.2949 * CHOOSE(CONTROL!$C$32, $C$9, 100%, $E$9)</f>
        <v>5.2949000000000002</v>
      </c>
      <c r="O212" s="11">
        <f>5.2991 * CHOOSE(CONTROL!$C$32, $C$9, 100%, $E$9)</f>
        <v>5.2991000000000001</v>
      </c>
    </row>
    <row r="213" spans="1:15" ht="15" x14ac:dyDescent="0.2">
      <c r="A213" s="13">
        <v>47331</v>
      </c>
      <c r="B213" s="9">
        <f>4.1563 * CHOOSE(CONTROL!$C$32, $C$9, 100%, $E$9)</f>
        <v>4.1562999999999999</v>
      </c>
      <c r="C213" s="9">
        <f>4.1563 * CHOOSE(CONTROL!$C$32, $C$9, 100%, $E$9)</f>
        <v>4.1562999999999999</v>
      </c>
      <c r="D213" s="9">
        <f>4.1576 * CHOOSE(CONTROL!$C$32, $C$9, 100%, $E$9)</f>
        <v>4.1576000000000004</v>
      </c>
      <c r="E213" s="11">
        <f>5.2993 * CHOOSE(CONTROL!$C$32, $C$9, 100%, $E$9)</f>
        <v>5.2992999999999997</v>
      </c>
      <c r="F213" s="11">
        <f>5.2993 * CHOOSE(CONTROL!$C$32, $C$9, 100%, $E$9)</f>
        <v>5.2992999999999997</v>
      </c>
      <c r="G213" s="11">
        <f>5.3035 * CHOOSE(CONTROL!$C$32, $C$9, 100%, $E$9)</f>
        <v>5.3034999999999997</v>
      </c>
      <c r="H213" s="11">
        <f>8.7285 * CHOOSE(CONTROL!$C$32, $C$9, 100%, $E$9)</f>
        <v>8.7285000000000004</v>
      </c>
      <c r="I213" s="11">
        <f>8.7327 * CHOOSE(CONTROL!$C$32, $C$9, 100%, $E$9)</f>
        <v>8.7326999999999995</v>
      </c>
      <c r="J213" s="11">
        <f>8.7285 * CHOOSE(CONTROL!$C$32, $C$9, 100%, $E$9)</f>
        <v>8.7285000000000004</v>
      </c>
      <c r="K213" s="11">
        <f>8.7327 * CHOOSE(CONTROL!$C$32, $C$9, 100%, $E$9)</f>
        <v>8.7326999999999995</v>
      </c>
      <c r="L213" s="11">
        <f>5.2993 * CHOOSE(CONTROL!$C$32, $C$9, 100%, $E$9)</f>
        <v>5.2992999999999997</v>
      </c>
      <c r="M213" s="11">
        <f>5.3035 * CHOOSE(CONTROL!$C$32, $C$9, 100%, $E$9)</f>
        <v>5.3034999999999997</v>
      </c>
      <c r="N213" s="11">
        <f>5.2993 * CHOOSE(CONTROL!$C$32, $C$9, 100%, $E$9)</f>
        <v>5.2992999999999997</v>
      </c>
      <c r="O213" s="11">
        <f>5.3035 * CHOOSE(CONTROL!$C$32, $C$9, 100%, $E$9)</f>
        <v>5.3034999999999997</v>
      </c>
    </row>
    <row r="214" spans="1:15" ht="15" x14ac:dyDescent="0.2">
      <c r="A214" s="13">
        <v>47362</v>
      </c>
      <c r="B214" s="9">
        <f>4.1533 * CHOOSE(CONTROL!$C$32, $C$9, 100%, $E$9)</f>
        <v>4.1532999999999998</v>
      </c>
      <c r="C214" s="9">
        <f>4.1533 * CHOOSE(CONTROL!$C$32, $C$9, 100%, $E$9)</f>
        <v>4.1532999999999998</v>
      </c>
      <c r="D214" s="9">
        <f>4.1545 * CHOOSE(CONTROL!$C$32, $C$9, 100%, $E$9)</f>
        <v>4.1544999999999996</v>
      </c>
      <c r="E214" s="11">
        <f>5.2973 * CHOOSE(CONTROL!$C$32, $C$9, 100%, $E$9)</f>
        <v>5.2972999999999999</v>
      </c>
      <c r="F214" s="11">
        <f>5.2973 * CHOOSE(CONTROL!$C$32, $C$9, 100%, $E$9)</f>
        <v>5.2972999999999999</v>
      </c>
      <c r="G214" s="11">
        <f>5.3015 * CHOOSE(CONTROL!$C$32, $C$9, 100%, $E$9)</f>
        <v>5.3014999999999999</v>
      </c>
      <c r="H214" s="11">
        <f>8.7467 * CHOOSE(CONTROL!$C$32, $C$9, 100%, $E$9)</f>
        <v>8.7467000000000006</v>
      </c>
      <c r="I214" s="11">
        <f>8.7509 * CHOOSE(CONTROL!$C$32, $C$9, 100%, $E$9)</f>
        <v>8.7508999999999997</v>
      </c>
      <c r="J214" s="11">
        <f>8.7467 * CHOOSE(CONTROL!$C$32, $C$9, 100%, $E$9)</f>
        <v>8.7467000000000006</v>
      </c>
      <c r="K214" s="11">
        <f>8.7509 * CHOOSE(CONTROL!$C$32, $C$9, 100%, $E$9)</f>
        <v>8.7508999999999997</v>
      </c>
      <c r="L214" s="11">
        <f>5.2973 * CHOOSE(CONTROL!$C$32, $C$9, 100%, $E$9)</f>
        <v>5.2972999999999999</v>
      </c>
      <c r="M214" s="11">
        <f>5.3015 * CHOOSE(CONTROL!$C$32, $C$9, 100%, $E$9)</f>
        <v>5.3014999999999999</v>
      </c>
      <c r="N214" s="11">
        <f>5.2973 * CHOOSE(CONTROL!$C$32, $C$9, 100%, $E$9)</f>
        <v>5.2972999999999999</v>
      </c>
      <c r="O214" s="11">
        <f>5.3015 * CHOOSE(CONTROL!$C$32, $C$9, 100%, $E$9)</f>
        <v>5.3014999999999999</v>
      </c>
    </row>
    <row r="215" spans="1:15" ht="15" x14ac:dyDescent="0.2">
      <c r="A215" s="13">
        <v>47392</v>
      </c>
      <c r="B215" s="9">
        <f>4.1489 * CHOOSE(CONTROL!$C$32, $C$9, 100%, $E$9)</f>
        <v>4.1489000000000003</v>
      </c>
      <c r="C215" s="9">
        <f>4.1489 * CHOOSE(CONTROL!$C$32, $C$9, 100%, $E$9)</f>
        <v>4.1489000000000003</v>
      </c>
      <c r="D215" s="9">
        <f>4.1499 * CHOOSE(CONTROL!$C$32, $C$9, 100%, $E$9)</f>
        <v>4.1498999999999997</v>
      </c>
      <c r="E215" s="11">
        <f>5.2923 * CHOOSE(CONTROL!$C$32, $C$9, 100%, $E$9)</f>
        <v>5.2923</v>
      </c>
      <c r="F215" s="11">
        <f>5.2923 * CHOOSE(CONTROL!$C$32, $C$9, 100%, $E$9)</f>
        <v>5.2923</v>
      </c>
      <c r="G215" s="11">
        <f>5.2955 * CHOOSE(CONTROL!$C$32, $C$9, 100%, $E$9)</f>
        <v>5.2954999999999997</v>
      </c>
      <c r="H215" s="11">
        <f>8.7649 * CHOOSE(CONTROL!$C$32, $C$9, 100%, $E$9)</f>
        <v>8.7649000000000008</v>
      </c>
      <c r="I215" s="11">
        <f>8.7681 * CHOOSE(CONTROL!$C$32, $C$9, 100%, $E$9)</f>
        <v>8.7681000000000004</v>
      </c>
      <c r="J215" s="11">
        <f>8.7649 * CHOOSE(CONTROL!$C$32, $C$9, 100%, $E$9)</f>
        <v>8.7649000000000008</v>
      </c>
      <c r="K215" s="11">
        <f>8.7681 * CHOOSE(CONTROL!$C$32, $C$9, 100%, $E$9)</f>
        <v>8.7681000000000004</v>
      </c>
      <c r="L215" s="11">
        <f>5.2923 * CHOOSE(CONTROL!$C$32, $C$9, 100%, $E$9)</f>
        <v>5.2923</v>
      </c>
      <c r="M215" s="11">
        <f>5.2955 * CHOOSE(CONTROL!$C$32, $C$9, 100%, $E$9)</f>
        <v>5.2954999999999997</v>
      </c>
      <c r="N215" s="11">
        <f>5.2923 * CHOOSE(CONTROL!$C$32, $C$9, 100%, $E$9)</f>
        <v>5.2923</v>
      </c>
      <c r="O215" s="11">
        <f>5.2955 * CHOOSE(CONTROL!$C$32, $C$9, 100%, $E$9)</f>
        <v>5.2954999999999997</v>
      </c>
    </row>
    <row r="216" spans="1:15" ht="15" x14ac:dyDescent="0.2">
      <c r="A216" s="13">
        <v>47423</v>
      </c>
      <c r="B216" s="9">
        <f>4.152 * CHOOSE(CONTROL!$C$32, $C$9, 100%, $E$9)</f>
        <v>4.1520000000000001</v>
      </c>
      <c r="C216" s="9">
        <f>4.152 * CHOOSE(CONTROL!$C$32, $C$9, 100%, $E$9)</f>
        <v>4.1520000000000001</v>
      </c>
      <c r="D216" s="9">
        <f>4.1529 * CHOOSE(CONTROL!$C$32, $C$9, 100%, $E$9)</f>
        <v>4.1528999999999998</v>
      </c>
      <c r="E216" s="11">
        <f>5.2943 * CHOOSE(CONTROL!$C$32, $C$9, 100%, $E$9)</f>
        <v>5.2942999999999998</v>
      </c>
      <c r="F216" s="11">
        <f>5.2943 * CHOOSE(CONTROL!$C$32, $C$9, 100%, $E$9)</f>
        <v>5.2942999999999998</v>
      </c>
      <c r="G216" s="11">
        <f>5.2975 * CHOOSE(CONTROL!$C$32, $C$9, 100%, $E$9)</f>
        <v>5.2975000000000003</v>
      </c>
      <c r="H216" s="11">
        <f>8.7832 * CHOOSE(CONTROL!$C$32, $C$9, 100%, $E$9)</f>
        <v>8.7832000000000008</v>
      </c>
      <c r="I216" s="11">
        <f>8.7864 * CHOOSE(CONTROL!$C$32, $C$9, 100%, $E$9)</f>
        <v>8.7864000000000004</v>
      </c>
      <c r="J216" s="11">
        <f>8.7832 * CHOOSE(CONTROL!$C$32, $C$9, 100%, $E$9)</f>
        <v>8.7832000000000008</v>
      </c>
      <c r="K216" s="11">
        <f>8.7864 * CHOOSE(CONTROL!$C$32, $C$9, 100%, $E$9)</f>
        <v>8.7864000000000004</v>
      </c>
      <c r="L216" s="11">
        <f>5.2943 * CHOOSE(CONTROL!$C$32, $C$9, 100%, $E$9)</f>
        <v>5.2942999999999998</v>
      </c>
      <c r="M216" s="11">
        <f>5.2975 * CHOOSE(CONTROL!$C$32, $C$9, 100%, $E$9)</f>
        <v>5.2975000000000003</v>
      </c>
      <c r="N216" s="11">
        <f>5.2943 * CHOOSE(CONTROL!$C$32, $C$9, 100%, $E$9)</f>
        <v>5.2942999999999998</v>
      </c>
      <c r="O216" s="11">
        <f>5.2975 * CHOOSE(CONTROL!$C$32, $C$9, 100%, $E$9)</f>
        <v>5.2975000000000003</v>
      </c>
    </row>
    <row r="217" spans="1:15" ht="15" x14ac:dyDescent="0.2">
      <c r="A217" s="13">
        <v>47453</v>
      </c>
      <c r="B217" s="9">
        <f>4.152 * CHOOSE(CONTROL!$C$32, $C$9, 100%, $E$9)</f>
        <v>4.1520000000000001</v>
      </c>
      <c r="C217" s="9">
        <f>4.152 * CHOOSE(CONTROL!$C$32, $C$9, 100%, $E$9)</f>
        <v>4.1520000000000001</v>
      </c>
      <c r="D217" s="9">
        <f>4.1529 * CHOOSE(CONTROL!$C$32, $C$9, 100%, $E$9)</f>
        <v>4.1528999999999998</v>
      </c>
      <c r="E217" s="11">
        <f>5.2943 * CHOOSE(CONTROL!$C$32, $C$9, 100%, $E$9)</f>
        <v>5.2942999999999998</v>
      </c>
      <c r="F217" s="11">
        <f>5.2943 * CHOOSE(CONTROL!$C$32, $C$9, 100%, $E$9)</f>
        <v>5.2942999999999998</v>
      </c>
      <c r="G217" s="11">
        <f>5.2975 * CHOOSE(CONTROL!$C$32, $C$9, 100%, $E$9)</f>
        <v>5.2975000000000003</v>
      </c>
      <c r="H217" s="11">
        <f>8.8014 * CHOOSE(CONTROL!$C$32, $C$9, 100%, $E$9)</f>
        <v>8.8013999999999992</v>
      </c>
      <c r="I217" s="11">
        <f>8.8047 * CHOOSE(CONTROL!$C$32, $C$9, 100%, $E$9)</f>
        <v>8.8047000000000004</v>
      </c>
      <c r="J217" s="11">
        <f>8.8014 * CHOOSE(CONTROL!$C$32, $C$9, 100%, $E$9)</f>
        <v>8.8013999999999992</v>
      </c>
      <c r="K217" s="11">
        <f>8.8047 * CHOOSE(CONTROL!$C$32, $C$9, 100%, $E$9)</f>
        <v>8.8047000000000004</v>
      </c>
      <c r="L217" s="11">
        <f>5.2943 * CHOOSE(CONTROL!$C$32, $C$9, 100%, $E$9)</f>
        <v>5.2942999999999998</v>
      </c>
      <c r="M217" s="11">
        <f>5.2975 * CHOOSE(CONTROL!$C$32, $C$9, 100%, $E$9)</f>
        <v>5.2975000000000003</v>
      </c>
      <c r="N217" s="11">
        <f>5.2943 * CHOOSE(CONTROL!$C$32, $C$9, 100%, $E$9)</f>
        <v>5.2942999999999998</v>
      </c>
      <c r="O217" s="11">
        <f>5.2975 * CHOOSE(CONTROL!$C$32, $C$9, 100%, $E$9)</f>
        <v>5.2975000000000003</v>
      </c>
    </row>
    <row r="218" spans="1:15" ht="15" x14ac:dyDescent="0.2">
      <c r="A218" s="13">
        <v>47484</v>
      </c>
      <c r="B218" s="9">
        <f>4.1883 * CHOOSE(CONTROL!$C$32, $C$9, 100%, $E$9)</f>
        <v>4.1882999999999999</v>
      </c>
      <c r="C218" s="9">
        <f>4.1883 * CHOOSE(CONTROL!$C$32, $C$9, 100%, $E$9)</f>
        <v>4.1882999999999999</v>
      </c>
      <c r="D218" s="9">
        <f>4.1892 * CHOOSE(CONTROL!$C$32, $C$9, 100%, $E$9)</f>
        <v>4.1891999999999996</v>
      </c>
      <c r="E218" s="11">
        <f>5.3388 * CHOOSE(CONTROL!$C$32, $C$9, 100%, $E$9)</f>
        <v>5.3388</v>
      </c>
      <c r="F218" s="11">
        <f>5.3388 * CHOOSE(CONTROL!$C$32, $C$9, 100%, $E$9)</f>
        <v>5.3388</v>
      </c>
      <c r="G218" s="11">
        <f>5.342 * CHOOSE(CONTROL!$C$32, $C$9, 100%, $E$9)</f>
        <v>5.3419999999999996</v>
      </c>
      <c r="H218" s="11">
        <f>8.8198 * CHOOSE(CONTROL!$C$32, $C$9, 100%, $E$9)</f>
        <v>8.8198000000000008</v>
      </c>
      <c r="I218" s="11">
        <f>8.823 * CHOOSE(CONTROL!$C$32, $C$9, 100%, $E$9)</f>
        <v>8.8230000000000004</v>
      </c>
      <c r="J218" s="11">
        <f>8.8198 * CHOOSE(CONTROL!$C$32, $C$9, 100%, $E$9)</f>
        <v>8.8198000000000008</v>
      </c>
      <c r="K218" s="11">
        <f>8.823 * CHOOSE(CONTROL!$C$32, $C$9, 100%, $E$9)</f>
        <v>8.8230000000000004</v>
      </c>
      <c r="L218" s="11">
        <f>5.3388 * CHOOSE(CONTROL!$C$32, $C$9, 100%, $E$9)</f>
        <v>5.3388</v>
      </c>
      <c r="M218" s="11">
        <f>5.342 * CHOOSE(CONTROL!$C$32, $C$9, 100%, $E$9)</f>
        <v>5.3419999999999996</v>
      </c>
      <c r="N218" s="11">
        <f>5.3388 * CHOOSE(CONTROL!$C$32, $C$9, 100%, $E$9)</f>
        <v>5.3388</v>
      </c>
      <c r="O218" s="11">
        <f>5.342 * CHOOSE(CONTROL!$C$32, $C$9, 100%, $E$9)</f>
        <v>5.3419999999999996</v>
      </c>
    </row>
    <row r="219" spans="1:15" ht="15" x14ac:dyDescent="0.2">
      <c r="A219" s="13">
        <v>47515</v>
      </c>
      <c r="B219" s="9">
        <f>4.1852 * CHOOSE(CONTROL!$C$32, $C$9, 100%, $E$9)</f>
        <v>4.1852</v>
      </c>
      <c r="C219" s="9">
        <f>4.1852 * CHOOSE(CONTROL!$C$32, $C$9, 100%, $E$9)</f>
        <v>4.1852</v>
      </c>
      <c r="D219" s="9">
        <f>4.1862 * CHOOSE(CONTROL!$C$32, $C$9, 100%, $E$9)</f>
        <v>4.1862000000000004</v>
      </c>
      <c r="E219" s="11">
        <f>5.3368 * CHOOSE(CONTROL!$C$32, $C$9, 100%, $E$9)</f>
        <v>5.3368000000000002</v>
      </c>
      <c r="F219" s="11">
        <f>5.3368 * CHOOSE(CONTROL!$C$32, $C$9, 100%, $E$9)</f>
        <v>5.3368000000000002</v>
      </c>
      <c r="G219" s="11">
        <f>5.34 * CHOOSE(CONTROL!$C$32, $C$9, 100%, $E$9)</f>
        <v>5.34</v>
      </c>
      <c r="H219" s="11">
        <f>8.8382 * CHOOSE(CONTROL!$C$32, $C$9, 100%, $E$9)</f>
        <v>8.8382000000000005</v>
      </c>
      <c r="I219" s="11">
        <f>8.8414 * CHOOSE(CONTROL!$C$32, $C$9, 100%, $E$9)</f>
        <v>8.8414000000000001</v>
      </c>
      <c r="J219" s="11">
        <f>8.8382 * CHOOSE(CONTROL!$C$32, $C$9, 100%, $E$9)</f>
        <v>8.8382000000000005</v>
      </c>
      <c r="K219" s="11">
        <f>8.8414 * CHOOSE(CONTROL!$C$32, $C$9, 100%, $E$9)</f>
        <v>8.8414000000000001</v>
      </c>
      <c r="L219" s="11">
        <f>5.3368 * CHOOSE(CONTROL!$C$32, $C$9, 100%, $E$9)</f>
        <v>5.3368000000000002</v>
      </c>
      <c r="M219" s="11">
        <f>5.34 * CHOOSE(CONTROL!$C$32, $C$9, 100%, $E$9)</f>
        <v>5.34</v>
      </c>
      <c r="N219" s="11">
        <f>5.3368 * CHOOSE(CONTROL!$C$32, $C$9, 100%, $E$9)</f>
        <v>5.3368000000000002</v>
      </c>
      <c r="O219" s="11">
        <f>5.34 * CHOOSE(CONTROL!$C$32, $C$9, 100%, $E$9)</f>
        <v>5.34</v>
      </c>
    </row>
    <row r="220" spans="1:15" ht="15" x14ac:dyDescent="0.2">
      <c r="A220" s="13">
        <v>47543</v>
      </c>
      <c r="B220" s="9">
        <f>4.1822 * CHOOSE(CONTROL!$C$32, $C$9, 100%, $E$9)</f>
        <v>4.1821999999999999</v>
      </c>
      <c r="C220" s="9">
        <f>4.1822 * CHOOSE(CONTROL!$C$32, $C$9, 100%, $E$9)</f>
        <v>4.1821999999999999</v>
      </c>
      <c r="D220" s="9">
        <f>4.1831 * CHOOSE(CONTROL!$C$32, $C$9, 100%, $E$9)</f>
        <v>4.1830999999999996</v>
      </c>
      <c r="E220" s="11">
        <f>5.3348 * CHOOSE(CONTROL!$C$32, $C$9, 100%, $E$9)</f>
        <v>5.3348000000000004</v>
      </c>
      <c r="F220" s="11">
        <f>5.3348 * CHOOSE(CONTROL!$C$32, $C$9, 100%, $E$9)</f>
        <v>5.3348000000000004</v>
      </c>
      <c r="G220" s="11">
        <f>5.338 * CHOOSE(CONTROL!$C$32, $C$9, 100%, $E$9)</f>
        <v>5.3380000000000001</v>
      </c>
      <c r="H220" s="11">
        <f>8.8566 * CHOOSE(CONTROL!$C$32, $C$9, 100%, $E$9)</f>
        <v>8.8566000000000003</v>
      </c>
      <c r="I220" s="11">
        <f>8.8598 * CHOOSE(CONTROL!$C$32, $C$9, 100%, $E$9)</f>
        <v>8.8597999999999999</v>
      </c>
      <c r="J220" s="11">
        <f>8.8566 * CHOOSE(CONTROL!$C$32, $C$9, 100%, $E$9)</f>
        <v>8.8566000000000003</v>
      </c>
      <c r="K220" s="11">
        <f>8.8598 * CHOOSE(CONTROL!$C$32, $C$9, 100%, $E$9)</f>
        <v>8.8597999999999999</v>
      </c>
      <c r="L220" s="11">
        <f>5.3348 * CHOOSE(CONTROL!$C$32, $C$9, 100%, $E$9)</f>
        <v>5.3348000000000004</v>
      </c>
      <c r="M220" s="11">
        <f>5.338 * CHOOSE(CONTROL!$C$32, $C$9, 100%, $E$9)</f>
        <v>5.3380000000000001</v>
      </c>
      <c r="N220" s="11">
        <f>5.3348 * CHOOSE(CONTROL!$C$32, $C$9, 100%, $E$9)</f>
        <v>5.3348000000000004</v>
      </c>
      <c r="O220" s="11">
        <f>5.338 * CHOOSE(CONTROL!$C$32, $C$9, 100%, $E$9)</f>
        <v>5.3380000000000001</v>
      </c>
    </row>
    <row r="221" spans="1:15" ht="15" x14ac:dyDescent="0.2">
      <c r="A221" s="13">
        <v>47574</v>
      </c>
      <c r="B221" s="9">
        <f>4.18 * CHOOSE(CONTROL!$C$32, $C$9, 100%, $E$9)</f>
        <v>4.18</v>
      </c>
      <c r="C221" s="9">
        <f>4.18 * CHOOSE(CONTROL!$C$32, $C$9, 100%, $E$9)</f>
        <v>4.18</v>
      </c>
      <c r="D221" s="9">
        <f>4.181 * CHOOSE(CONTROL!$C$32, $C$9, 100%, $E$9)</f>
        <v>4.181</v>
      </c>
      <c r="E221" s="11">
        <f>5.3328 * CHOOSE(CONTROL!$C$32, $C$9, 100%, $E$9)</f>
        <v>5.3327999999999998</v>
      </c>
      <c r="F221" s="11">
        <f>5.3328 * CHOOSE(CONTROL!$C$32, $C$9, 100%, $E$9)</f>
        <v>5.3327999999999998</v>
      </c>
      <c r="G221" s="11">
        <f>5.336 * CHOOSE(CONTROL!$C$32, $C$9, 100%, $E$9)</f>
        <v>5.3360000000000003</v>
      </c>
      <c r="H221" s="11">
        <f>8.875 * CHOOSE(CONTROL!$C$32, $C$9, 100%, $E$9)</f>
        <v>8.875</v>
      </c>
      <c r="I221" s="11">
        <f>8.8783 * CHOOSE(CONTROL!$C$32, $C$9, 100%, $E$9)</f>
        <v>8.8782999999999994</v>
      </c>
      <c r="J221" s="11">
        <f>8.875 * CHOOSE(CONTROL!$C$32, $C$9, 100%, $E$9)</f>
        <v>8.875</v>
      </c>
      <c r="K221" s="11">
        <f>8.8783 * CHOOSE(CONTROL!$C$32, $C$9, 100%, $E$9)</f>
        <v>8.8782999999999994</v>
      </c>
      <c r="L221" s="11">
        <f>5.3328 * CHOOSE(CONTROL!$C$32, $C$9, 100%, $E$9)</f>
        <v>5.3327999999999998</v>
      </c>
      <c r="M221" s="11">
        <f>5.336 * CHOOSE(CONTROL!$C$32, $C$9, 100%, $E$9)</f>
        <v>5.3360000000000003</v>
      </c>
      <c r="N221" s="11">
        <f>5.3328 * CHOOSE(CONTROL!$C$32, $C$9, 100%, $E$9)</f>
        <v>5.3327999999999998</v>
      </c>
      <c r="O221" s="11">
        <f>5.336 * CHOOSE(CONTROL!$C$32, $C$9, 100%, $E$9)</f>
        <v>5.3360000000000003</v>
      </c>
    </row>
    <row r="222" spans="1:15" ht="15" x14ac:dyDescent="0.2">
      <c r="A222" s="13">
        <v>47604</v>
      </c>
      <c r="B222" s="9">
        <f>4.18 * CHOOSE(CONTROL!$C$32, $C$9, 100%, $E$9)</f>
        <v>4.18</v>
      </c>
      <c r="C222" s="9">
        <f>4.18 * CHOOSE(CONTROL!$C$32, $C$9, 100%, $E$9)</f>
        <v>4.18</v>
      </c>
      <c r="D222" s="9">
        <f>4.1813 * CHOOSE(CONTROL!$C$32, $C$9, 100%, $E$9)</f>
        <v>4.1813000000000002</v>
      </c>
      <c r="E222" s="11">
        <f>5.3328 * CHOOSE(CONTROL!$C$32, $C$9, 100%, $E$9)</f>
        <v>5.3327999999999998</v>
      </c>
      <c r="F222" s="11">
        <f>5.3328 * CHOOSE(CONTROL!$C$32, $C$9, 100%, $E$9)</f>
        <v>5.3327999999999998</v>
      </c>
      <c r="G222" s="11">
        <f>5.337 * CHOOSE(CONTROL!$C$32, $C$9, 100%, $E$9)</f>
        <v>5.3369999999999997</v>
      </c>
      <c r="H222" s="11">
        <f>8.8935 * CHOOSE(CONTROL!$C$32, $C$9, 100%, $E$9)</f>
        <v>8.8934999999999995</v>
      </c>
      <c r="I222" s="11">
        <f>8.8977 * CHOOSE(CONTROL!$C$32, $C$9, 100%, $E$9)</f>
        <v>8.8977000000000004</v>
      </c>
      <c r="J222" s="11">
        <f>8.8935 * CHOOSE(CONTROL!$C$32, $C$9, 100%, $E$9)</f>
        <v>8.8934999999999995</v>
      </c>
      <c r="K222" s="11">
        <f>8.8977 * CHOOSE(CONTROL!$C$32, $C$9, 100%, $E$9)</f>
        <v>8.8977000000000004</v>
      </c>
      <c r="L222" s="11">
        <f>5.3328 * CHOOSE(CONTROL!$C$32, $C$9, 100%, $E$9)</f>
        <v>5.3327999999999998</v>
      </c>
      <c r="M222" s="11">
        <f>5.337 * CHOOSE(CONTROL!$C$32, $C$9, 100%, $E$9)</f>
        <v>5.3369999999999997</v>
      </c>
      <c r="N222" s="11">
        <f>5.3328 * CHOOSE(CONTROL!$C$32, $C$9, 100%, $E$9)</f>
        <v>5.3327999999999998</v>
      </c>
      <c r="O222" s="11">
        <f>5.337 * CHOOSE(CONTROL!$C$32, $C$9, 100%, $E$9)</f>
        <v>5.3369999999999997</v>
      </c>
    </row>
    <row r="223" spans="1:15" ht="15" x14ac:dyDescent="0.2">
      <c r="A223" s="13">
        <v>47635</v>
      </c>
      <c r="B223" s="9">
        <f>4.1861 * CHOOSE(CONTROL!$C$32, $C$9, 100%, $E$9)</f>
        <v>4.1860999999999997</v>
      </c>
      <c r="C223" s="9">
        <f>4.1861 * CHOOSE(CONTROL!$C$32, $C$9, 100%, $E$9)</f>
        <v>4.1860999999999997</v>
      </c>
      <c r="D223" s="9">
        <f>4.1873 * CHOOSE(CONTROL!$C$32, $C$9, 100%, $E$9)</f>
        <v>4.1872999999999996</v>
      </c>
      <c r="E223" s="11">
        <f>5.3368 * CHOOSE(CONTROL!$C$32, $C$9, 100%, $E$9)</f>
        <v>5.3368000000000002</v>
      </c>
      <c r="F223" s="11">
        <f>5.3368 * CHOOSE(CONTROL!$C$32, $C$9, 100%, $E$9)</f>
        <v>5.3368000000000002</v>
      </c>
      <c r="G223" s="11">
        <f>5.341 * CHOOSE(CONTROL!$C$32, $C$9, 100%, $E$9)</f>
        <v>5.3410000000000002</v>
      </c>
      <c r="H223" s="11">
        <f>8.912 * CHOOSE(CONTROL!$C$32, $C$9, 100%, $E$9)</f>
        <v>8.9120000000000008</v>
      </c>
      <c r="I223" s="11">
        <f>8.9162 * CHOOSE(CONTROL!$C$32, $C$9, 100%, $E$9)</f>
        <v>8.9161999999999999</v>
      </c>
      <c r="J223" s="11">
        <f>8.912 * CHOOSE(CONTROL!$C$32, $C$9, 100%, $E$9)</f>
        <v>8.9120000000000008</v>
      </c>
      <c r="K223" s="11">
        <f>8.9162 * CHOOSE(CONTROL!$C$32, $C$9, 100%, $E$9)</f>
        <v>8.9161999999999999</v>
      </c>
      <c r="L223" s="11">
        <f>5.3368 * CHOOSE(CONTROL!$C$32, $C$9, 100%, $E$9)</f>
        <v>5.3368000000000002</v>
      </c>
      <c r="M223" s="11">
        <f>5.341 * CHOOSE(CONTROL!$C$32, $C$9, 100%, $E$9)</f>
        <v>5.3410000000000002</v>
      </c>
      <c r="N223" s="11">
        <f>5.3368 * CHOOSE(CONTROL!$C$32, $C$9, 100%, $E$9)</f>
        <v>5.3368000000000002</v>
      </c>
      <c r="O223" s="11">
        <f>5.341 * CHOOSE(CONTROL!$C$32, $C$9, 100%, $E$9)</f>
        <v>5.3410000000000002</v>
      </c>
    </row>
    <row r="224" spans="1:15" ht="15" x14ac:dyDescent="0.2">
      <c r="A224" s="13">
        <v>47665</v>
      </c>
      <c r="B224" s="9">
        <f>4.2533 * CHOOSE(CONTROL!$C$32, $C$9, 100%, $E$9)</f>
        <v>4.2533000000000003</v>
      </c>
      <c r="C224" s="9">
        <f>4.2533 * CHOOSE(CONTROL!$C$32, $C$9, 100%, $E$9)</f>
        <v>4.2533000000000003</v>
      </c>
      <c r="D224" s="9">
        <f>4.2545 * CHOOSE(CONTROL!$C$32, $C$9, 100%, $E$9)</f>
        <v>4.2545000000000002</v>
      </c>
      <c r="E224" s="11">
        <f>5.4347 * CHOOSE(CONTROL!$C$32, $C$9, 100%, $E$9)</f>
        <v>5.4347000000000003</v>
      </c>
      <c r="F224" s="11">
        <f>5.4347 * CHOOSE(CONTROL!$C$32, $C$9, 100%, $E$9)</f>
        <v>5.4347000000000003</v>
      </c>
      <c r="G224" s="11">
        <f>5.4389 * CHOOSE(CONTROL!$C$32, $C$9, 100%, $E$9)</f>
        <v>5.4389000000000003</v>
      </c>
      <c r="H224" s="11">
        <f>8.9306 * CHOOSE(CONTROL!$C$32, $C$9, 100%, $E$9)</f>
        <v>8.9306000000000001</v>
      </c>
      <c r="I224" s="11">
        <f>8.9348 * CHOOSE(CONTROL!$C$32, $C$9, 100%, $E$9)</f>
        <v>8.9347999999999992</v>
      </c>
      <c r="J224" s="11">
        <f>8.9306 * CHOOSE(CONTROL!$C$32, $C$9, 100%, $E$9)</f>
        <v>8.9306000000000001</v>
      </c>
      <c r="K224" s="11">
        <f>8.9348 * CHOOSE(CONTROL!$C$32, $C$9, 100%, $E$9)</f>
        <v>8.9347999999999992</v>
      </c>
      <c r="L224" s="11">
        <f>5.4347 * CHOOSE(CONTROL!$C$32, $C$9, 100%, $E$9)</f>
        <v>5.4347000000000003</v>
      </c>
      <c r="M224" s="11">
        <f>5.4389 * CHOOSE(CONTROL!$C$32, $C$9, 100%, $E$9)</f>
        <v>5.4389000000000003</v>
      </c>
      <c r="N224" s="11">
        <f>5.4347 * CHOOSE(CONTROL!$C$32, $C$9, 100%, $E$9)</f>
        <v>5.4347000000000003</v>
      </c>
      <c r="O224" s="11">
        <f>5.4389 * CHOOSE(CONTROL!$C$32, $C$9, 100%, $E$9)</f>
        <v>5.4389000000000003</v>
      </c>
    </row>
    <row r="225" spans="1:15" ht="15" x14ac:dyDescent="0.2">
      <c r="A225" s="13">
        <v>47696</v>
      </c>
      <c r="B225" s="9">
        <f>4.26 * CHOOSE(CONTROL!$C$32, $C$9, 100%, $E$9)</f>
        <v>4.26</v>
      </c>
      <c r="C225" s="9">
        <f>4.26 * CHOOSE(CONTROL!$C$32, $C$9, 100%, $E$9)</f>
        <v>4.26</v>
      </c>
      <c r="D225" s="9">
        <f>4.2612 * CHOOSE(CONTROL!$C$32, $C$9, 100%, $E$9)</f>
        <v>4.2611999999999997</v>
      </c>
      <c r="E225" s="11">
        <f>5.4391 * CHOOSE(CONTROL!$C$32, $C$9, 100%, $E$9)</f>
        <v>5.4390999999999998</v>
      </c>
      <c r="F225" s="11">
        <f>5.4391 * CHOOSE(CONTROL!$C$32, $C$9, 100%, $E$9)</f>
        <v>5.4390999999999998</v>
      </c>
      <c r="G225" s="11">
        <f>5.4433 * CHOOSE(CONTROL!$C$32, $C$9, 100%, $E$9)</f>
        <v>5.4432999999999998</v>
      </c>
      <c r="H225" s="11">
        <f>8.9492 * CHOOSE(CONTROL!$C$32, $C$9, 100%, $E$9)</f>
        <v>8.9491999999999994</v>
      </c>
      <c r="I225" s="11">
        <f>8.9534 * CHOOSE(CONTROL!$C$32, $C$9, 100%, $E$9)</f>
        <v>8.9534000000000002</v>
      </c>
      <c r="J225" s="11">
        <f>8.9492 * CHOOSE(CONTROL!$C$32, $C$9, 100%, $E$9)</f>
        <v>8.9491999999999994</v>
      </c>
      <c r="K225" s="11">
        <f>8.9534 * CHOOSE(CONTROL!$C$32, $C$9, 100%, $E$9)</f>
        <v>8.9534000000000002</v>
      </c>
      <c r="L225" s="11">
        <f>5.4391 * CHOOSE(CONTROL!$C$32, $C$9, 100%, $E$9)</f>
        <v>5.4390999999999998</v>
      </c>
      <c r="M225" s="11">
        <f>5.4433 * CHOOSE(CONTROL!$C$32, $C$9, 100%, $E$9)</f>
        <v>5.4432999999999998</v>
      </c>
      <c r="N225" s="11">
        <f>5.4391 * CHOOSE(CONTROL!$C$32, $C$9, 100%, $E$9)</f>
        <v>5.4390999999999998</v>
      </c>
      <c r="O225" s="11">
        <f>5.4433 * CHOOSE(CONTROL!$C$32, $C$9, 100%, $E$9)</f>
        <v>5.4432999999999998</v>
      </c>
    </row>
    <row r="226" spans="1:15" ht="15" x14ac:dyDescent="0.2">
      <c r="A226" s="13">
        <v>47727</v>
      </c>
      <c r="B226" s="9">
        <f>4.2569 * CHOOSE(CONTROL!$C$32, $C$9, 100%, $E$9)</f>
        <v>4.2568999999999999</v>
      </c>
      <c r="C226" s="9">
        <f>4.2569 * CHOOSE(CONTROL!$C$32, $C$9, 100%, $E$9)</f>
        <v>4.2568999999999999</v>
      </c>
      <c r="D226" s="9">
        <f>4.2582 * CHOOSE(CONTROL!$C$32, $C$9, 100%, $E$9)</f>
        <v>4.2582000000000004</v>
      </c>
      <c r="E226" s="11">
        <f>5.4371 * CHOOSE(CONTROL!$C$32, $C$9, 100%, $E$9)</f>
        <v>5.4371</v>
      </c>
      <c r="F226" s="11">
        <f>5.4371 * CHOOSE(CONTROL!$C$32, $C$9, 100%, $E$9)</f>
        <v>5.4371</v>
      </c>
      <c r="G226" s="11">
        <f>5.4413 * CHOOSE(CONTROL!$C$32, $C$9, 100%, $E$9)</f>
        <v>5.4413</v>
      </c>
      <c r="H226" s="11">
        <f>8.9679 * CHOOSE(CONTROL!$C$32, $C$9, 100%, $E$9)</f>
        <v>8.9679000000000002</v>
      </c>
      <c r="I226" s="11">
        <f>8.9721 * CHOOSE(CONTROL!$C$32, $C$9, 100%, $E$9)</f>
        <v>8.9720999999999993</v>
      </c>
      <c r="J226" s="11">
        <f>8.9679 * CHOOSE(CONTROL!$C$32, $C$9, 100%, $E$9)</f>
        <v>8.9679000000000002</v>
      </c>
      <c r="K226" s="11">
        <f>8.9721 * CHOOSE(CONTROL!$C$32, $C$9, 100%, $E$9)</f>
        <v>8.9720999999999993</v>
      </c>
      <c r="L226" s="11">
        <f>5.4371 * CHOOSE(CONTROL!$C$32, $C$9, 100%, $E$9)</f>
        <v>5.4371</v>
      </c>
      <c r="M226" s="11">
        <f>5.4413 * CHOOSE(CONTROL!$C$32, $C$9, 100%, $E$9)</f>
        <v>5.4413</v>
      </c>
      <c r="N226" s="11">
        <f>5.4371 * CHOOSE(CONTROL!$C$32, $C$9, 100%, $E$9)</f>
        <v>5.4371</v>
      </c>
      <c r="O226" s="11">
        <f>5.4413 * CHOOSE(CONTROL!$C$32, $C$9, 100%, $E$9)</f>
        <v>5.4413</v>
      </c>
    </row>
    <row r="227" spans="1:15" ht="15" x14ac:dyDescent="0.2">
      <c r="A227" s="13">
        <v>47757</v>
      </c>
      <c r="B227" s="9">
        <f>4.253 * CHOOSE(CONTROL!$C$32, $C$9, 100%, $E$9)</f>
        <v>4.2530000000000001</v>
      </c>
      <c r="C227" s="9">
        <f>4.253 * CHOOSE(CONTROL!$C$32, $C$9, 100%, $E$9)</f>
        <v>4.2530000000000001</v>
      </c>
      <c r="D227" s="9">
        <f>4.2539 * CHOOSE(CONTROL!$C$32, $C$9, 100%, $E$9)</f>
        <v>4.2538999999999998</v>
      </c>
      <c r="E227" s="11">
        <f>5.4323 * CHOOSE(CONTROL!$C$32, $C$9, 100%, $E$9)</f>
        <v>5.4322999999999997</v>
      </c>
      <c r="F227" s="11">
        <f>5.4323 * CHOOSE(CONTROL!$C$32, $C$9, 100%, $E$9)</f>
        <v>5.4322999999999997</v>
      </c>
      <c r="G227" s="11">
        <f>5.4356 * CHOOSE(CONTROL!$C$32, $C$9, 100%, $E$9)</f>
        <v>5.4356</v>
      </c>
      <c r="H227" s="11">
        <f>8.9865 * CHOOSE(CONTROL!$C$32, $C$9, 100%, $E$9)</f>
        <v>8.9864999999999995</v>
      </c>
      <c r="I227" s="11">
        <f>8.9898 * CHOOSE(CONTROL!$C$32, $C$9, 100%, $E$9)</f>
        <v>8.9898000000000007</v>
      </c>
      <c r="J227" s="11">
        <f>8.9865 * CHOOSE(CONTROL!$C$32, $C$9, 100%, $E$9)</f>
        <v>8.9864999999999995</v>
      </c>
      <c r="K227" s="11">
        <f>8.9898 * CHOOSE(CONTROL!$C$32, $C$9, 100%, $E$9)</f>
        <v>8.9898000000000007</v>
      </c>
      <c r="L227" s="11">
        <f>5.4323 * CHOOSE(CONTROL!$C$32, $C$9, 100%, $E$9)</f>
        <v>5.4322999999999997</v>
      </c>
      <c r="M227" s="11">
        <f>5.4356 * CHOOSE(CONTROL!$C$32, $C$9, 100%, $E$9)</f>
        <v>5.4356</v>
      </c>
      <c r="N227" s="11">
        <f>5.4323 * CHOOSE(CONTROL!$C$32, $C$9, 100%, $E$9)</f>
        <v>5.4322999999999997</v>
      </c>
      <c r="O227" s="11">
        <f>5.4356 * CHOOSE(CONTROL!$C$32, $C$9, 100%, $E$9)</f>
        <v>5.4356</v>
      </c>
    </row>
    <row r="228" spans="1:15" ht="15" x14ac:dyDescent="0.2">
      <c r="A228" s="13">
        <v>47788</v>
      </c>
      <c r="B228" s="9">
        <f>4.256 * CHOOSE(CONTROL!$C$32, $C$9, 100%, $E$9)</f>
        <v>4.2560000000000002</v>
      </c>
      <c r="C228" s="9">
        <f>4.256 * CHOOSE(CONTROL!$C$32, $C$9, 100%, $E$9)</f>
        <v>4.2560000000000002</v>
      </c>
      <c r="D228" s="9">
        <f>4.257 * CHOOSE(CONTROL!$C$32, $C$9, 100%, $E$9)</f>
        <v>4.2569999999999997</v>
      </c>
      <c r="E228" s="11">
        <f>5.4343 * CHOOSE(CONTROL!$C$32, $C$9, 100%, $E$9)</f>
        <v>5.4343000000000004</v>
      </c>
      <c r="F228" s="11">
        <f>5.4343 * CHOOSE(CONTROL!$C$32, $C$9, 100%, $E$9)</f>
        <v>5.4343000000000004</v>
      </c>
      <c r="G228" s="11">
        <f>5.4376 * CHOOSE(CONTROL!$C$32, $C$9, 100%, $E$9)</f>
        <v>5.4375999999999998</v>
      </c>
      <c r="H228" s="11">
        <f>9.0053 * CHOOSE(CONTROL!$C$32, $C$9, 100%, $E$9)</f>
        <v>9.0053000000000001</v>
      </c>
      <c r="I228" s="11">
        <f>9.0085 * CHOOSE(CONTROL!$C$32, $C$9, 100%, $E$9)</f>
        <v>9.0084999999999997</v>
      </c>
      <c r="J228" s="11">
        <f>9.0053 * CHOOSE(CONTROL!$C$32, $C$9, 100%, $E$9)</f>
        <v>9.0053000000000001</v>
      </c>
      <c r="K228" s="11">
        <f>9.0085 * CHOOSE(CONTROL!$C$32, $C$9, 100%, $E$9)</f>
        <v>9.0084999999999997</v>
      </c>
      <c r="L228" s="11">
        <f>5.4343 * CHOOSE(CONTROL!$C$32, $C$9, 100%, $E$9)</f>
        <v>5.4343000000000004</v>
      </c>
      <c r="M228" s="11">
        <f>5.4376 * CHOOSE(CONTROL!$C$32, $C$9, 100%, $E$9)</f>
        <v>5.4375999999999998</v>
      </c>
      <c r="N228" s="11">
        <f>5.4343 * CHOOSE(CONTROL!$C$32, $C$9, 100%, $E$9)</f>
        <v>5.4343000000000004</v>
      </c>
      <c r="O228" s="11">
        <f>5.4376 * CHOOSE(CONTROL!$C$32, $C$9, 100%, $E$9)</f>
        <v>5.4375999999999998</v>
      </c>
    </row>
    <row r="229" spans="1:15" ht="15" x14ac:dyDescent="0.2">
      <c r="A229" s="13">
        <v>47818</v>
      </c>
      <c r="B229" s="9">
        <f>4.256 * CHOOSE(CONTROL!$C$32, $C$9, 100%, $E$9)</f>
        <v>4.2560000000000002</v>
      </c>
      <c r="C229" s="9">
        <f>4.256 * CHOOSE(CONTROL!$C$32, $C$9, 100%, $E$9)</f>
        <v>4.2560000000000002</v>
      </c>
      <c r="D229" s="9">
        <f>4.257 * CHOOSE(CONTROL!$C$32, $C$9, 100%, $E$9)</f>
        <v>4.2569999999999997</v>
      </c>
      <c r="E229" s="11">
        <f>5.4343 * CHOOSE(CONTROL!$C$32, $C$9, 100%, $E$9)</f>
        <v>5.4343000000000004</v>
      </c>
      <c r="F229" s="11">
        <f>5.4343 * CHOOSE(CONTROL!$C$32, $C$9, 100%, $E$9)</f>
        <v>5.4343000000000004</v>
      </c>
      <c r="G229" s="11">
        <f>5.4376 * CHOOSE(CONTROL!$C$32, $C$9, 100%, $E$9)</f>
        <v>5.4375999999999998</v>
      </c>
      <c r="H229" s="11">
        <f>9.024 * CHOOSE(CONTROL!$C$32, $C$9, 100%, $E$9)</f>
        <v>9.0239999999999991</v>
      </c>
      <c r="I229" s="11">
        <f>9.0273 * CHOOSE(CONTROL!$C$32, $C$9, 100%, $E$9)</f>
        <v>9.0273000000000003</v>
      </c>
      <c r="J229" s="11">
        <f>9.024 * CHOOSE(CONTROL!$C$32, $C$9, 100%, $E$9)</f>
        <v>9.0239999999999991</v>
      </c>
      <c r="K229" s="11">
        <f>9.0273 * CHOOSE(CONTROL!$C$32, $C$9, 100%, $E$9)</f>
        <v>9.0273000000000003</v>
      </c>
      <c r="L229" s="11">
        <f>5.4343 * CHOOSE(CONTROL!$C$32, $C$9, 100%, $E$9)</f>
        <v>5.4343000000000004</v>
      </c>
      <c r="M229" s="11">
        <f>5.4376 * CHOOSE(CONTROL!$C$32, $C$9, 100%, $E$9)</f>
        <v>5.4375999999999998</v>
      </c>
      <c r="N229" s="11">
        <f>5.4343 * CHOOSE(CONTROL!$C$32, $C$9, 100%, $E$9)</f>
        <v>5.4343000000000004</v>
      </c>
      <c r="O229" s="11">
        <f>5.4376 * CHOOSE(CONTROL!$C$32, $C$9, 100%, $E$9)</f>
        <v>5.4375999999999998</v>
      </c>
    </row>
    <row r="230" spans="1:15" ht="15" x14ac:dyDescent="0.2">
      <c r="A230" s="13">
        <v>47849</v>
      </c>
      <c r="B230" s="9">
        <f>4.2906 * CHOOSE(CONTROL!$C$32, $C$9, 100%, $E$9)</f>
        <v>4.2906000000000004</v>
      </c>
      <c r="C230" s="9">
        <f>4.2906 * CHOOSE(CONTROL!$C$32, $C$9, 100%, $E$9)</f>
        <v>4.2906000000000004</v>
      </c>
      <c r="D230" s="9">
        <f>4.2915 * CHOOSE(CONTROL!$C$32, $C$9, 100%, $E$9)</f>
        <v>4.2915000000000001</v>
      </c>
      <c r="E230" s="11">
        <f>5.4769 * CHOOSE(CONTROL!$C$32, $C$9, 100%, $E$9)</f>
        <v>5.4768999999999997</v>
      </c>
      <c r="F230" s="11">
        <f>5.4769 * CHOOSE(CONTROL!$C$32, $C$9, 100%, $E$9)</f>
        <v>5.4768999999999997</v>
      </c>
      <c r="G230" s="11">
        <f>5.4802 * CHOOSE(CONTROL!$C$32, $C$9, 100%, $E$9)</f>
        <v>5.4802</v>
      </c>
      <c r="H230" s="11">
        <f>9.0428 * CHOOSE(CONTROL!$C$32, $C$9, 100%, $E$9)</f>
        <v>9.0427999999999997</v>
      </c>
      <c r="I230" s="11">
        <f>9.0461 * CHOOSE(CONTROL!$C$32, $C$9, 100%, $E$9)</f>
        <v>9.0460999999999991</v>
      </c>
      <c r="J230" s="11">
        <f>9.0428 * CHOOSE(CONTROL!$C$32, $C$9, 100%, $E$9)</f>
        <v>9.0427999999999997</v>
      </c>
      <c r="K230" s="11">
        <f>9.0461 * CHOOSE(CONTROL!$C$32, $C$9, 100%, $E$9)</f>
        <v>9.0460999999999991</v>
      </c>
      <c r="L230" s="11">
        <f>5.4769 * CHOOSE(CONTROL!$C$32, $C$9, 100%, $E$9)</f>
        <v>5.4768999999999997</v>
      </c>
      <c r="M230" s="11">
        <f>5.4802 * CHOOSE(CONTROL!$C$32, $C$9, 100%, $E$9)</f>
        <v>5.4802</v>
      </c>
      <c r="N230" s="11">
        <f>5.4769 * CHOOSE(CONTROL!$C$32, $C$9, 100%, $E$9)</f>
        <v>5.4768999999999997</v>
      </c>
      <c r="O230" s="11">
        <f>5.4802 * CHOOSE(CONTROL!$C$32, $C$9, 100%, $E$9)</f>
        <v>5.4802</v>
      </c>
    </row>
    <row r="231" spans="1:15" ht="15" x14ac:dyDescent="0.2">
      <c r="A231" s="13">
        <v>47880</v>
      </c>
      <c r="B231" s="9">
        <f>4.2875 * CHOOSE(CONTROL!$C$32, $C$9, 100%, $E$9)</f>
        <v>4.2874999999999996</v>
      </c>
      <c r="C231" s="9">
        <f>4.2875 * CHOOSE(CONTROL!$C$32, $C$9, 100%, $E$9)</f>
        <v>4.2874999999999996</v>
      </c>
      <c r="D231" s="9">
        <f>4.2885 * CHOOSE(CONTROL!$C$32, $C$9, 100%, $E$9)</f>
        <v>4.2885</v>
      </c>
      <c r="E231" s="11">
        <f>5.4749 * CHOOSE(CONTROL!$C$32, $C$9, 100%, $E$9)</f>
        <v>5.4748999999999999</v>
      </c>
      <c r="F231" s="11">
        <f>5.4749 * CHOOSE(CONTROL!$C$32, $C$9, 100%, $E$9)</f>
        <v>5.4748999999999999</v>
      </c>
      <c r="G231" s="11">
        <f>5.4782 * CHOOSE(CONTROL!$C$32, $C$9, 100%, $E$9)</f>
        <v>5.4782000000000002</v>
      </c>
      <c r="H231" s="11">
        <f>9.0617 * CHOOSE(CONTROL!$C$32, $C$9, 100%, $E$9)</f>
        <v>9.0617000000000001</v>
      </c>
      <c r="I231" s="11">
        <f>9.0649 * CHOOSE(CONTROL!$C$32, $C$9, 100%, $E$9)</f>
        <v>9.0648999999999997</v>
      </c>
      <c r="J231" s="11">
        <f>9.0617 * CHOOSE(CONTROL!$C$32, $C$9, 100%, $E$9)</f>
        <v>9.0617000000000001</v>
      </c>
      <c r="K231" s="11">
        <f>9.0649 * CHOOSE(CONTROL!$C$32, $C$9, 100%, $E$9)</f>
        <v>9.0648999999999997</v>
      </c>
      <c r="L231" s="11">
        <f>5.4749 * CHOOSE(CONTROL!$C$32, $C$9, 100%, $E$9)</f>
        <v>5.4748999999999999</v>
      </c>
      <c r="M231" s="11">
        <f>5.4782 * CHOOSE(CONTROL!$C$32, $C$9, 100%, $E$9)</f>
        <v>5.4782000000000002</v>
      </c>
      <c r="N231" s="11">
        <f>5.4749 * CHOOSE(CONTROL!$C$32, $C$9, 100%, $E$9)</f>
        <v>5.4748999999999999</v>
      </c>
      <c r="O231" s="11">
        <f>5.4782 * CHOOSE(CONTROL!$C$32, $C$9, 100%, $E$9)</f>
        <v>5.4782000000000002</v>
      </c>
    </row>
    <row r="232" spans="1:15" ht="15" x14ac:dyDescent="0.2">
      <c r="A232" s="13">
        <v>47908</v>
      </c>
      <c r="B232" s="9">
        <f>4.2845 * CHOOSE(CONTROL!$C$32, $C$9, 100%, $E$9)</f>
        <v>4.2845000000000004</v>
      </c>
      <c r="C232" s="9">
        <f>4.2845 * CHOOSE(CONTROL!$C$32, $C$9, 100%, $E$9)</f>
        <v>4.2845000000000004</v>
      </c>
      <c r="D232" s="9">
        <f>4.2855 * CHOOSE(CONTROL!$C$32, $C$9, 100%, $E$9)</f>
        <v>4.2854999999999999</v>
      </c>
      <c r="E232" s="11">
        <f>5.4729 * CHOOSE(CONTROL!$C$32, $C$9, 100%, $E$9)</f>
        <v>5.4729000000000001</v>
      </c>
      <c r="F232" s="11">
        <f>5.4729 * CHOOSE(CONTROL!$C$32, $C$9, 100%, $E$9)</f>
        <v>5.4729000000000001</v>
      </c>
      <c r="G232" s="11">
        <f>5.4762 * CHOOSE(CONTROL!$C$32, $C$9, 100%, $E$9)</f>
        <v>5.4762000000000004</v>
      </c>
      <c r="H232" s="11">
        <f>9.0805 * CHOOSE(CONTROL!$C$32, $C$9, 100%, $E$9)</f>
        <v>9.0805000000000007</v>
      </c>
      <c r="I232" s="11">
        <f>9.0838 * CHOOSE(CONTROL!$C$32, $C$9, 100%, $E$9)</f>
        <v>9.0838000000000001</v>
      </c>
      <c r="J232" s="11">
        <f>9.0805 * CHOOSE(CONTROL!$C$32, $C$9, 100%, $E$9)</f>
        <v>9.0805000000000007</v>
      </c>
      <c r="K232" s="11">
        <f>9.0838 * CHOOSE(CONTROL!$C$32, $C$9, 100%, $E$9)</f>
        <v>9.0838000000000001</v>
      </c>
      <c r="L232" s="11">
        <f>5.4729 * CHOOSE(CONTROL!$C$32, $C$9, 100%, $E$9)</f>
        <v>5.4729000000000001</v>
      </c>
      <c r="M232" s="11">
        <f>5.4762 * CHOOSE(CONTROL!$C$32, $C$9, 100%, $E$9)</f>
        <v>5.4762000000000004</v>
      </c>
      <c r="N232" s="11">
        <f>5.4729 * CHOOSE(CONTROL!$C$32, $C$9, 100%, $E$9)</f>
        <v>5.4729000000000001</v>
      </c>
      <c r="O232" s="11">
        <f>5.4762 * CHOOSE(CONTROL!$C$32, $C$9, 100%, $E$9)</f>
        <v>5.4762000000000004</v>
      </c>
    </row>
    <row r="233" spans="1:15" ht="15" x14ac:dyDescent="0.2">
      <c r="A233" s="13">
        <v>47939</v>
      </c>
      <c r="B233" s="9">
        <f>4.2824 * CHOOSE(CONTROL!$C$32, $C$9, 100%, $E$9)</f>
        <v>4.2824</v>
      </c>
      <c r="C233" s="9">
        <f>4.2824 * CHOOSE(CONTROL!$C$32, $C$9, 100%, $E$9)</f>
        <v>4.2824</v>
      </c>
      <c r="D233" s="9">
        <f>4.2834 * CHOOSE(CONTROL!$C$32, $C$9, 100%, $E$9)</f>
        <v>4.2834000000000003</v>
      </c>
      <c r="E233" s="11">
        <f>5.471 * CHOOSE(CONTROL!$C$32, $C$9, 100%, $E$9)</f>
        <v>5.4710000000000001</v>
      </c>
      <c r="F233" s="11">
        <f>5.471 * CHOOSE(CONTROL!$C$32, $C$9, 100%, $E$9)</f>
        <v>5.4710000000000001</v>
      </c>
      <c r="G233" s="11">
        <f>5.4742 * CHOOSE(CONTROL!$C$32, $C$9, 100%, $E$9)</f>
        <v>5.4741999999999997</v>
      </c>
      <c r="H233" s="11">
        <f>9.0995 * CHOOSE(CONTROL!$C$32, $C$9, 100%, $E$9)</f>
        <v>9.0995000000000008</v>
      </c>
      <c r="I233" s="11">
        <f>9.1027 * CHOOSE(CONTROL!$C$32, $C$9, 100%, $E$9)</f>
        <v>9.1027000000000005</v>
      </c>
      <c r="J233" s="11">
        <f>9.0995 * CHOOSE(CONTROL!$C$32, $C$9, 100%, $E$9)</f>
        <v>9.0995000000000008</v>
      </c>
      <c r="K233" s="11">
        <f>9.1027 * CHOOSE(CONTROL!$C$32, $C$9, 100%, $E$9)</f>
        <v>9.1027000000000005</v>
      </c>
      <c r="L233" s="11">
        <f>5.471 * CHOOSE(CONTROL!$C$32, $C$9, 100%, $E$9)</f>
        <v>5.4710000000000001</v>
      </c>
      <c r="M233" s="11">
        <f>5.4742 * CHOOSE(CONTROL!$C$32, $C$9, 100%, $E$9)</f>
        <v>5.4741999999999997</v>
      </c>
      <c r="N233" s="11">
        <f>5.471 * CHOOSE(CONTROL!$C$32, $C$9, 100%, $E$9)</f>
        <v>5.4710000000000001</v>
      </c>
      <c r="O233" s="11">
        <f>5.4742 * CHOOSE(CONTROL!$C$32, $C$9, 100%, $E$9)</f>
        <v>5.4741999999999997</v>
      </c>
    </row>
    <row r="234" spans="1:15" ht="15" x14ac:dyDescent="0.2">
      <c r="A234" s="13">
        <v>47969</v>
      </c>
      <c r="B234" s="9">
        <f>4.2824 * CHOOSE(CONTROL!$C$32, $C$9, 100%, $E$9)</f>
        <v>4.2824</v>
      </c>
      <c r="C234" s="9">
        <f>4.2824 * CHOOSE(CONTROL!$C$32, $C$9, 100%, $E$9)</f>
        <v>4.2824</v>
      </c>
      <c r="D234" s="9">
        <f>4.2837 * CHOOSE(CONTROL!$C$32, $C$9, 100%, $E$9)</f>
        <v>4.2836999999999996</v>
      </c>
      <c r="E234" s="11">
        <f>5.471 * CHOOSE(CONTROL!$C$32, $C$9, 100%, $E$9)</f>
        <v>5.4710000000000001</v>
      </c>
      <c r="F234" s="11">
        <f>5.471 * CHOOSE(CONTROL!$C$32, $C$9, 100%, $E$9)</f>
        <v>5.4710000000000001</v>
      </c>
      <c r="G234" s="11">
        <f>5.4752 * CHOOSE(CONTROL!$C$32, $C$9, 100%, $E$9)</f>
        <v>5.4752000000000001</v>
      </c>
      <c r="H234" s="11">
        <f>9.1184 * CHOOSE(CONTROL!$C$32, $C$9, 100%, $E$9)</f>
        <v>9.1183999999999994</v>
      </c>
      <c r="I234" s="11">
        <f>9.1226 * CHOOSE(CONTROL!$C$32, $C$9, 100%, $E$9)</f>
        <v>9.1226000000000003</v>
      </c>
      <c r="J234" s="11">
        <f>9.1184 * CHOOSE(CONTROL!$C$32, $C$9, 100%, $E$9)</f>
        <v>9.1183999999999994</v>
      </c>
      <c r="K234" s="11">
        <f>9.1226 * CHOOSE(CONTROL!$C$32, $C$9, 100%, $E$9)</f>
        <v>9.1226000000000003</v>
      </c>
      <c r="L234" s="11">
        <f>5.471 * CHOOSE(CONTROL!$C$32, $C$9, 100%, $E$9)</f>
        <v>5.4710000000000001</v>
      </c>
      <c r="M234" s="11">
        <f>5.4752 * CHOOSE(CONTROL!$C$32, $C$9, 100%, $E$9)</f>
        <v>5.4752000000000001</v>
      </c>
      <c r="N234" s="11">
        <f>5.471 * CHOOSE(CONTROL!$C$32, $C$9, 100%, $E$9)</f>
        <v>5.4710000000000001</v>
      </c>
      <c r="O234" s="11">
        <f>5.4752 * CHOOSE(CONTROL!$C$32, $C$9, 100%, $E$9)</f>
        <v>5.4752000000000001</v>
      </c>
    </row>
    <row r="235" spans="1:15" ht="15" x14ac:dyDescent="0.2">
      <c r="A235" s="13">
        <v>48000</v>
      </c>
      <c r="B235" s="9">
        <f>4.2885 * CHOOSE(CONTROL!$C$32, $C$9, 100%, $E$9)</f>
        <v>4.2885</v>
      </c>
      <c r="C235" s="9">
        <f>4.2885 * CHOOSE(CONTROL!$C$32, $C$9, 100%, $E$9)</f>
        <v>4.2885</v>
      </c>
      <c r="D235" s="9">
        <f>4.2898 * CHOOSE(CONTROL!$C$32, $C$9, 100%, $E$9)</f>
        <v>4.2897999999999996</v>
      </c>
      <c r="E235" s="11">
        <f>5.475 * CHOOSE(CONTROL!$C$32, $C$9, 100%, $E$9)</f>
        <v>5.4749999999999996</v>
      </c>
      <c r="F235" s="11">
        <f>5.475 * CHOOSE(CONTROL!$C$32, $C$9, 100%, $E$9)</f>
        <v>5.4749999999999996</v>
      </c>
      <c r="G235" s="11">
        <f>5.4792 * CHOOSE(CONTROL!$C$32, $C$9, 100%, $E$9)</f>
        <v>5.4791999999999996</v>
      </c>
      <c r="H235" s="11">
        <f>9.1374 * CHOOSE(CONTROL!$C$32, $C$9, 100%, $E$9)</f>
        <v>9.1373999999999995</v>
      </c>
      <c r="I235" s="11">
        <f>9.1416 * CHOOSE(CONTROL!$C$32, $C$9, 100%, $E$9)</f>
        <v>9.1416000000000004</v>
      </c>
      <c r="J235" s="11">
        <f>9.1374 * CHOOSE(CONTROL!$C$32, $C$9, 100%, $E$9)</f>
        <v>9.1373999999999995</v>
      </c>
      <c r="K235" s="11">
        <f>9.1416 * CHOOSE(CONTROL!$C$32, $C$9, 100%, $E$9)</f>
        <v>9.1416000000000004</v>
      </c>
      <c r="L235" s="11">
        <f>5.475 * CHOOSE(CONTROL!$C$32, $C$9, 100%, $E$9)</f>
        <v>5.4749999999999996</v>
      </c>
      <c r="M235" s="11">
        <f>5.4792 * CHOOSE(CONTROL!$C$32, $C$9, 100%, $E$9)</f>
        <v>5.4791999999999996</v>
      </c>
      <c r="N235" s="11">
        <f>5.475 * CHOOSE(CONTROL!$C$32, $C$9, 100%, $E$9)</f>
        <v>5.4749999999999996</v>
      </c>
      <c r="O235" s="11">
        <f>5.4792 * CHOOSE(CONTROL!$C$32, $C$9, 100%, $E$9)</f>
        <v>5.4791999999999996</v>
      </c>
    </row>
    <row r="236" spans="1:15" ht="15" x14ac:dyDescent="0.2">
      <c r="A236" s="13">
        <v>48030</v>
      </c>
      <c r="B236" s="9">
        <f>4.3512 * CHOOSE(CONTROL!$C$32, $C$9, 100%, $E$9)</f>
        <v>4.3512000000000004</v>
      </c>
      <c r="C236" s="9">
        <f>4.3512 * CHOOSE(CONTROL!$C$32, $C$9, 100%, $E$9)</f>
        <v>4.3512000000000004</v>
      </c>
      <c r="D236" s="9">
        <f>4.3525 * CHOOSE(CONTROL!$C$32, $C$9, 100%, $E$9)</f>
        <v>4.3525</v>
      </c>
      <c r="E236" s="11">
        <f>5.5682 * CHOOSE(CONTROL!$C$32, $C$9, 100%, $E$9)</f>
        <v>5.5682</v>
      </c>
      <c r="F236" s="11">
        <f>5.5682 * CHOOSE(CONTROL!$C$32, $C$9, 100%, $E$9)</f>
        <v>5.5682</v>
      </c>
      <c r="G236" s="11">
        <f>5.5724 * CHOOSE(CONTROL!$C$32, $C$9, 100%, $E$9)</f>
        <v>5.5724</v>
      </c>
      <c r="H236" s="11">
        <f>9.1564 * CHOOSE(CONTROL!$C$32, $C$9, 100%, $E$9)</f>
        <v>9.1563999999999997</v>
      </c>
      <c r="I236" s="11">
        <f>9.1607 * CHOOSE(CONTROL!$C$32, $C$9, 100%, $E$9)</f>
        <v>9.1607000000000003</v>
      </c>
      <c r="J236" s="11">
        <f>9.1564 * CHOOSE(CONTROL!$C$32, $C$9, 100%, $E$9)</f>
        <v>9.1563999999999997</v>
      </c>
      <c r="K236" s="11">
        <f>9.1607 * CHOOSE(CONTROL!$C$32, $C$9, 100%, $E$9)</f>
        <v>9.1607000000000003</v>
      </c>
      <c r="L236" s="11">
        <f>5.5682 * CHOOSE(CONTROL!$C$32, $C$9, 100%, $E$9)</f>
        <v>5.5682</v>
      </c>
      <c r="M236" s="11">
        <f>5.5724 * CHOOSE(CONTROL!$C$32, $C$9, 100%, $E$9)</f>
        <v>5.5724</v>
      </c>
      <c r="N236" s="11">
        <f>5.5682 * CHOOSE(CONTROL!$C$32, $C$9, 100%, $E$9)</f>
        <v>5.5682</v>
      </c>
      <c r="O236" s="11">
        <f>5.5724 * CHOOSE(CONTROL!$C$32, $C$9, 100%, $E$9)</f>
        <v>5.5724</v>
      </c>
    </row>
    <row r="237" spans="1:15" ht="15" x14ac:dyDescent="0.2">
      <c r="A237" s="13">
        <v>48061</v>
      </c>
      <c r="B237" s="9">
        <f>4.3579 * CHOOSE(CONTROL!$C$32, $C$9, 100%, $E$9)</f>
        <v>4.3578999999999999</v>
      </c>
      <c r="C237" s="9">
        <f>4.3579 * CHOOSE(CONTROL!$C$32, $C$9, 100%, $E$9)</f>
        <v>4.3578999999999999</v>
      </c>
      <c r="D237" s="9">
        <f>4.3592 * CHOOSE(CONTROL!$C$32, $C$9, 100%, $E$9)</f>
        <v>4.3592000000000004</v>
      </c>
      <c r="E237" s="11">
        <f>5.5726 * CHOOSE(CONTROL!$C$32, $C$9, 100%, $E$9)</f>
        <v>5.5726000000000004</v>
      </c>
      <c r="F237" s="11">
        <f>5.5726 * CHOOSE(CONTROL!$C$32, $C$9, 100%, $E$9)</f>
        <v>5.5726000000000004</v>
      </c>
      <c r="G237" s="11">
        <f>5.5768 * CHOOSE(CONTROL!$C$32, $C$9, 100%, $E$9)</f>
        <v>5.5768000000000004</v>
      </c>
      <c r="H237" s="11">
        <f>9.1755 * CHOOSE(CONTROL!$C$32, $C$9, 100%, $E$9)</f>
        <v>9.1754999999999995</v>
      </c>
      <c r="I237" s="11">
        <f>9.1797 * CHOOSE(CONTROL!$C$32, $C$9, 100%, $E$9)</f>
        <v>9.1797000000000004</v>
      </c>
      <c r="J237" s="11">
        <f>9.1755 * CHOOSE(CONTROL!$C$32, $C$9, 100%, $E$9)</f>
        <v>9.1754999999999995</v>
      </c>
      <c r="K237" s="11">
        <f>9.1797 * CHOOSE(CONTROL!$C$32, $C$9, 100%, $E$9)</f>
        <v>9.1797000000000004</v>
      </c>
      <c r="L237" s="11">
        <f>5.5726 * CHOOSE(CONTROL!$C$32, $C$9, 100%, $E$9)</f>
        <v>5.5726000000000004</v>
      </c>
      <c r="M237" s="11">
        <f>5.5768 * CHOOSE(CONTROL!$C$32, $C$9, 100%, $E$9)</f>
        <v>5.5768000000000004</v>
      </c>
      <c r="N237" s="11">
        <f>5.5726 * CHOOSE(CONTROL!$C$32, $C$9, 100%, $E$9)</f>
        <v>5.5726000000000004</v>
      </c>
      <c r="O237" s="11">
        <f>5.5768 * CHOOSE(CONTROL!$C$32, $C$9, 100%, $E$9)</f>
        <v>5.5768000000000004</v>
      </c>
    </row>
    <row r="238" spans="1:15" ht="15" x14ac:dyDescent="0.2">
      <c r="A238" s="13">
        <v>48092</v>
      </c>
      <c r="B238" s="9">
        <f>4.3549 * CHOOSE(CONTROL!$C$32, $C$9, 100%, $E$9)</f>
        <v>4.3548999999999998</v>
      </c>
      <c r="C238" s="9">
        <f>4.3549 * CHOOSE(CONTROL!$C$32, $C$9, 100%, $E$9)</f>
        <v>4.3548999999999998</v>
      </c>
      <c r="D238" s="9">
        <f>4.3561 * CHOOSE(CONTROL!$C$32, $C$9, 100%, $E$9)</f>
        <v>4.3560999999999996</v>
      </c>
      <c r="E238" s="11">
        <f>5.5706 * CHOOSE(CONTROL!$C$32, $C$9, 100%, $E$9)</f>
        <v>5.5705999999999998</v>
      </c>
      <c r="F238" s="11">
        <f>5.5706 * CHOOSE(CONTROL!$C$32, $C$9, 100%, $E$9)</f>
        <v>5.5705999999999998</v>
      </c>
      <c r="G238" s="11">
        <f>5.5748 * CHOOSE(CONTROL!$C$32, $C$9, 100%, $E$9)</f>
        <v>5.5747999999999998</v>
      </c>
      <c r="H238" s="11">
        <f>9.1946 * CHOOSE(CONTROL!$C$32, $C$9, 100%, $E$9)</f>
        <v>9.1945999999999994</v>
      </c>
      <c r="I238" s="11">
        <f>9.1988 * CHOOSE(CONTROL!$C$32, $C$9, 100%, $E$9)</f>
        <v>9.1988000000000003</v>
      </c>
      <c r="J238" s="11">
        <f>9.1946 * CHOOSE(CONTROL!$C$32, $C$9, 100%, $E$9)</f>
        <v>9.1945999999999994</v>
      </c>
      <c r="K238" s="11">
        <f>9.1988 * CHOOSE(CONTROL!$C$32, $C$9, 100%, $E$9)</f>
        <v>9.1988000000000003</v>
      </c>
      <c r="L238" s="11">
        <f>5.5706 * CHOOSE(CONTROL!$C$32, $C$9, 100%, $E$9)</f>
        <v>5.5705999999999998</v>
      </c>
      <c r="M238" s="11">
        <f>5.5748 * CHOOSE(CONTROL!$C$32, $C$9, 100%, $E$9)</f>
        <v>5.5747999999999998</v>
      </c>
      <c r="N238" s="11">
        <f>5.5706 * CHOOSE(CONTROL!$C$32, $C$9, 100%, $E$9)</f>
        <v>5.5705999999999998</v>
      </c>
      <c r="O238" s="11">
        <f>5.5748 * CHOOSE(CONTROL!$C$32, $C$9, 100%, $E$9)</f>
        <v>5.5747999999999998</v>
      </c>
    </row>
    <row r="239" spans="1:15" ht="15" x14ac:dyDescent="0.2">
      <c r="A239" s="13">
        <v>48122</v>
      </c>
      <c r="B239" s="9">
        <f>4.3513 * CHOOSE(CONTROL!$C$32, $C$9, 100%, $E$9)</f>
        <v>4.3513000000000002</v>
      </c>
      <c r="C239" s="9">
        <f>4.3513 * CHOOSE(CONTROL!$C$32, $C$9, 100%, $E$9)</f>
        <v>4.3513000000000002</v>
      </c>
      <c r="D239" s="9">
        <f>4.3522 * CHOOSE(CONTROL!$C$32, $C$9, 100%, $E$9)</f>
        <v>4.3521999999999998</v>
      </c>
      <c r="E239" s="11">
        <f>5.566 * CHOOSE(CONTROL!$C$32, $C$9, 100%, $E$9)</f>
        <v>5.5659999999999998</v>
      </c>
      <c r="F239" s="11">
        <f>5.566 * CHOOSE(CONTROL!$C$32, $C$9, 100%, $E$9)</f>
        <v>5.5659999999999998</v>
      </c>
      <c r="G239" s="11">
        <f>5.5692 * CHOOSE(CONTROL!$C$32, $C$9, 100%, $E$9)</f>
        <v>5.5692000000000004</v>
      </c>
      <c r="H239" s="11">
        <f>9.2138 * CHOOSE(CONTROL!$C$32, $C$9, 100%, $E$9)</f>
        <v>9.2138000000000009</v>
      </c>
      <c r="I239" s="11">
        <f>9.217 * CHOOSE(CONTROL!$C$32, $C$9, 100%, $E$9)</f>
        <v>9.2170000000000005</v>
      </c>
      <c r="J239" s="11">
        <f>9.2138 * CHOOSE(CONTROL!$C$32, $C$9, 100%, $E$9)</f>
        <v>9.2138000000000009</v>
      </c>
      <c r="K239" s="11">
        <f>9.217 * CHOOSE(CONTROL!$C$32, $C$9, 100%, $E$9)</f>
        <v>9.2170000000000005</v>
      </c>
      <c r="L239" s="11">
        <f>5.566 * CHOOSE(CONTROL!$C$32, $C$9, 100%, $E$9)</f>
        <v>5.5659999999999998</v>
      </c>
      <c r="M239" s="11">
        <f>5.5692 * CHOOSE(CONTROL!$C$32, $C$9, 100%, $E$9)</f>
        <v>5.5692000000000004</v>
      </c>
      <c r="N239" s="11">
        <f>5.566 * CHOOSE(CONTROL!$C$32, $C$9, 100%, $E$9)</f>
        <v>5.5659999999999998</v>
      </c>
      <c r="O239" s="11">
        <f>5.5692 * CHOOSE(CONTROL!$C$32, $C$9, 100%, $E$9)</f>
        <v>5.5692000000000004</v>
      </c>
    </row>
    <row r="240" spans="1:15" ht="15" x14ac:dyDescent="0.2">
      <c r="A240" s="13">
        <v>48153</v>
      </c>
      <c r="B240" s="9">
        <f>4.3543 * CHOOSE(CONTROL!$C$32, $C$9, 100%, $E$9)</f>
        <v>4.3543000000000003</v>
      </c>
      <c r="C240" s="9">
        <f>4.3543 * CHOOSE(CONTROL!$C$32, $C$9, 100%, $E$9)</f>
        <v>4.3543000000000003</v>
      </c>
      <c r="D240" s="9">
        <f>4.3553 * CHOOSE(CONTROL!$C$32, $C$9, 100%, $E$9)</f>
        <v>4.3552999999999997</v>
      </c>
      <c r="E240" s="11">
        <f>5.568 * CHOOSE(CONTROL!$C$32, $C$9, 100%, $E$9)</f>
        <v>5.5679999999999996</v>
      </c>
      <c r="F240" s="11">
        <f>5.568 * CHOOSE(CONTROL!$C$32, $C$9, 100%, $E$9)</f>
        <v>5.5679999999999996</v>
      </c>
      <c r="G240" s="11">
        <f>5.5712 * CHOOSE(CONTROL!$C$32, $C$9, 100%, $E$9)</f>
        <v>5.5712000000000002</v>
      </c>
      <c r="H240" s="11">
        <f>9.233 * CHOOSE(CONTROL!$C$32, $C$9, 100%, $E$9)</f>
        <v>9.2330000000000005</v>
      </c>
      <c r="I240" s="11">
        <f>9.2362 * CHOOSE(CONTROL!$C$32, $C$9, 100%, $E$9)</f>
        <v>9.2362000000000002</v>
      </c>
      <c r="J240" s="11">
        <f>9.233 * CHOOSE(CONTROL!$C$32, $C$9, 100%, $E$9)</f>
        <v>9.2330000000000005</v>
      </c>
      <c r="K240" s="11">
        <f>9.2362 * CHOOSE(CONTROL!$C$32, $C$9, 100%, $E$9)</f>
        <v>9.2362000000000002</v>
      </c>
      <c r="L240" s="11">
        <f>5.568 * CHOOSE(CONTROL!$C$32, $C$9, 100%, $E$9)</f>
        <v>5.5679999999999996</v>
      </c>
      <c r="M240" s="11">
        <f>5.5712 * CHOOSE(CONTROL!$C$32, $C$9, 100%, $E$9)</f>
        <v>5.5712000000000002</v>
      </c>
      <c r="N240" s="11">
        <f>5.568 * CHOOSE(CONTROL!$C$32, $C$9, 100%, $E$9)</f>
        <v>5.5679999999999996</v>
      </c>
      <c r="O240" s="11">
        <f>5.5712 * CHOOSE(CONTROL!$C$32, $C$9, 100%, $E$9)</f>
        <v>5.5712000000000002</v>
      </c>
    </row>
    <row r="241" spans="1:15" ht="15" x14ac:dyDescent="0.2">
      <c r="A241" s="13">
        <v>48183</v>
      </c>
      <c r="B241" s="9">
        <f>4.3543 * CHOOSE(CONTROL!$C$32, $C$9, 100%, $E$9)</f>
        <v>4.3543000000000003</v>
      </c>
      <c r="C241" s="9">
        <f>4.3543 * CHOOSE(CONTROL!$C$32, $C$9, 100%, $E$9)</f>
        <v>4.3543000000000003</v>
      </c>
      <c r="D241" s="9">
        <f>4.3553 * CHOOSE(CONTROL!$C$32, $C$9, 100%, $E$9)</f>
        <v>4.3552999999999997</v>
      </c>
      <c r="E241" s="11">
        <f>5.568 * CHOOSE(CONTROL!$C$32, $C$9, 100%, $E$9)</f>
        <v>5.5679999999999996</v>
      </c>
      <c r="F241" s="11">
        <f>5.568 * CHOOSE(CONTROL!$C$32, $C$9, 100%, $E$9)</f>
        <v>5.5679999999999996</v>
      </c>
      <c r="G241" s="11">
        <f>5.5712 * CHOOSE(CONTROL!$C$32, $C$9, 100%, $E$9)</f>
        <v>5.5712000000000002</v>
      </c>
      <c r="H241" s="11">
        <f>9.2522 * CHOOSE(CONTROL!$C$32, $C$9, 100%, $E$9)</f>
        <v>9.2522000000000002</v>
      </c>
      <c r="I241" s="11">
        <f>9.2555 * CHOOSE(CONTROL!$C$32, $C$9, 100%, $E$9)</f>
        <v>9.2554999999999996</v>
      </c>
      <c r="J241" s="11">
        <f>9.2522 * CHOOSE(CONTROL!$C$32, $C$9, 100%, $E$9)</f>
        <v>9.2522000000000002</v>
      </c>
      <c r="K241" s="11">
        <f>9.2555 * CHOOSE(CONTROL!$C$32, $C$9, 100%, $E$9)</f>
        <v>9.2554999999999996</v>
      </c>
      <c r="L241" s="11">
        <f>5.568 * CHOOSE(CONTROL!$C$32, $C$9, 100%, $E$9)</f>
        <v>5.5679999999999996</v>
      </c>
      <c r="M241" s="11">
        <f>5.5712 * CHOOSE(CONTROL!$C$32, $C$9, 100%, $E$9)</f>
        <v>5.5712000000000002</v>
      </c>
      <c r="N241" s="11">
        <f>5.568 * CHOOSE(CONTROL!$C$32, $C$9, 100%, $E$9)</f>
        <v>5.5679999999999996</v>
      </c>
      <c r="O241" s="11">
        <f>5.5712 * CHOOSE(CONTROL!$C$32, $C$9, 100%, $E$9)</f>
        <v>5.5712000000000002</v>
      </c>
    </row>
    <row r="242" spans="1:15" ht="15" x14ac:dyDescent="0.2">
      <c r="A242" s="13">
        <v>48214</v>
      </c>
      <c r="B242" s="9">
        <f>4.3913 * CHOOSE(CONTROL!$C$32, $C$9, 100%, $E$9)</f>
        <v>4.3913000000000002</v>
      </c>
      <c r="C242" s="9">
        <f>4.3913 * CHOOSE(CONTROL!$C$32, $C$9, 100%, $E$9)</f>
        <v>4.3913000000000002</v>
      </c>
      <c r="D242" s="9">
        <f>4.3922 * CHOOSE(CONTROL!$C$32, $C$9, 100%, $E$9)</f>
        <v>4.3921999999999999</v>
      </c>
      <c r="E242" s="11">
        <f>5.6146 * CHOOSE(CONTROL!$C$32, $C$9, 100%, $E$9)</f>
        <v>5.6146000000000003</v>
      </c>
      <c r="F242" s="11">
        <f>5.6146 * CHOOSE(CONTROL!$C$32, $C$9, 100%, $E$9)</f>
        <v>5.6146000000000003</v>
      </c>
      <c r="G242" s="11">
        <f>5.6178 * CHOOSE(CONTROL!$C$32, $C$9, 100%, $E$9)</f>
        <v>5.6177999999999999</v>
      </c>
      <c r="H242" s="11">
        <f>9.2715 * CHOOSE(CONTROL!$C$32, $C$9, 100%, $E$9)</f>
        <v>9.2714999999999996</v>
      </c>
      <c r="I242" s="11">
        <f>9.2747 * CHOOSE(CONTROL!$C$32, $C$9, 100%, $E$9)</f>
        <v>9.2746999999999993</v>
      </c>
      <c r="J242" s="11">
        <f>9.2715 * CHOOSE(CONTROL!$C$32, $C$9, 100%, $E$9)</f>
        <v>9.2714999999999996</v>
      </c>
      <c r="K242" s="11">
        <f>9.2747 * CHOOSE(CONTROL!$C$32, $C$9, 100%, $E$9)</f>
        <v>9.2746999999999993</v>
      </c>
      <c r="L242" s="11">
        <f>5.6146 * CHOOSE(CONTROL!$C$32, $C$9, 100%, $E$9)</f>
        <v>5.6146000000000003</v>
      </c>
      <c r="M242" s="11">
        <f>5.6178 * CHOOSE(CONTROL!$C$32, $C$9, 100%, $E$9)</f>
        <v>5.6177999999999999</v>
      </c>
      <c r="N242" s="11">
        <f>5.6146 * CHOOSE(CONTROL!$C$32, $C$9, 100%, $E$9)</f>
        <v>5.6146000000000003</v>
      </c>
      <c r="O242" s="11">
        <f>5.6178 * CHOOSE(CONTROL!$C$32, $C$9, 100%, $E$9)</f>
        <v>5.6177999999999999</v>
      </c>
    </row>
    <row r="243" spans="1:15" ht="15" x14ac:dyDescent="0.2">
      <c r="A243" s="13">
        <v>48245</v>
      </c>
      <c r="B243" s="9">
        <f>4.3882 * CHOOSE(CONTROL!$C$32, $C$9, 100%, $E$9)</f>
        <v>4.3882000000000003</v>
      </c>
      <c r="C243" s="9">
        <f>4.3882 * CHOOSE(CONTROL!$C$32, $C$9, 100%, $E$9)</f>
        <v>4.3882000000000003</v>
      </c>
      <c r="D243" s="9">
        <f>4.3892 * CHOOSE(CONTROL!$C$32, $C$9, 100%, $E$9)</f>
        <v>4.3891999999999998</v>
      </c>
      <c r="E243" s="11">
        <f>5.6126 * CHOOSE(CONTROL!$C$32, $C$9, 100%, $E$9)</f>
        <v>5.6125999999999996</v>
      </c>
      <c r="F243" s="11">
        <f>5.6126 * CHOOSE(CONTROL!$C$32, $C$9, 100%, $E$9)</f>
        <v>5.6125999999999996</v>
      </c>
      <c r="G243" s="11">
        <f>5.6158 * CHOOSE(CONTROL!$C$32, $C$9, 100%, $E$9)</f>
        <v>5.6158000000000001</v>
      </c>
      <c r="H243" s="11">
        <f>9.2908 * CHOOSE(CONTROL!$C$32, $C$9, 100%, $E$9)</f>
        <v>9.2908000000000008</v>
      </c>
      <c r="I243" s="11">
        <f>9.294 * CHOOSE(CONTROL!$C$32, $C$9, 100%, $E$9)</f>
        <v>9.2940000000000005</v>
      </c>
      <c r="J243" s="11">
        <f>9.2908 * CHOOSE(CONTROL!$C$32, $C$9, 100%, $E$9)</f>
        <v>9.2908000000000008</v>
      </c>
      <c r="K243" s="11">
        <f>9.294 * CHOOSE(CONTROL!$C$32, $C$9, 100%, $E$9)</f>
        <v>9.2940000000000005</v>
      </c>
      <c r="L243" s="11">
        <f>5.6126 * CHOOSE(CONTROL!$C$32, $C$9, 100%, $E$9)</f>
        <v>5.6125999999999996</v>
      </c>
      <c r="M243" s="11">
        <f>5.6158 * CHOOSE(CONTROL!$C$32, $C$9, 100%, $E$9)</f>
        <v>5.6158000000000001</v>
      </c>
      <c r="N243" s="11">
        <f>5.6126 * CHOOSE(CONTROL!$C$32, $C$9, 100%, $E$9)</f>
        <v>5.6125999999999996</v>
      </c>
      <c r="O243" s="11">
        <f>5.6158 * CHOOSE(CONTROL!$C$32, $C$9, 100%, $E$9)</f>
        <v>5.6158000000000001</v>
      </c>
    </row>
    <row r="244" spans="1:15" ht="15" x14ac:dyDescent="0.2">
      <c r="A244" s="13">
        <v>48274</v>
      </c>
      <c r="B244" s="9">
        <f>4.3852 * CHOOSE(CONTROL!$C$32, $C$9, 100%, $E$9)</f>
        <v>4.3852000000000002</v>
      </c>
      <c r="C244" s="9">
        <f>4.3852 * CHOOSE(CONTROL!$C$32, $C$9, 100%, $E$9)</f>
        <v>4.3852000000000002</v>
      </c>
      <c r="D244" s="9">
        <f>4.3861 * CHOOSE(CONTROL!$C$32, $C$9, 100%, $E$9)</f>
        <v>4.3860999999999999</v>
      </c>
      <c r="E244" s="11">
        <f>5.6106 * CHOOSE(CONTROL!$C$32, $C$9, 100%, $E$9)</f>
        <v>5.6105999999999998</v>
      </c>
      <c r="F244" s="11">
        <f>5.6106 * CHOOSE(CONTROL!$C$32, $C$9, 100%, $E$9)</f>
        <v>5.6105999999999998</v>
      </c>
      <c r="G244" s="11">
        <f>5.6138 * CHOOSE(CONTROL!$C$32, $C$9, 100%, $E$9)</f>
        <v>5.6138000000000003</v>
      </c>
      <c r="H244" s="11">
        <f>9.3102 * CHOOSE(CONTROL!$C$32, $C$9, 100%, $E$9)</f>
        <v>9.3102</v>
      </c>
      <c r="I244" s="11">
        <f>9.3134 * CHOOSE(CONTROL!$C$32, $C$9, 100%, $E$9)</f>
        <v>9.3133999999999997</v>
      </c>
      <c r="J244" s="11">
        <f>9.3102 * CHOOSE(CONTROL!$C$32, $C$9, 100%, $E$9)</f>
        <v>9.3102</v>
      </c>
      <c r="K244" s="11">
        <f>9.3134 * CHOOSE(CONTROL!$C$32, $C$9, 100%, $E$9)</f>
        <v>9.3133999999999997</v>
      </c>
      <c r="L244" s="11">
        <f>5.6106 * CHOOSE(CONTROL!$C$32, $C$9, 100%, $E$9)</f>
        <v>5.6105999999999998</v>
      </c>
      <c r="M244" s="11">
        <f>5.6138 * CHOOSE(CONTROL!$C$32, $C$9, 100%, $E$9)</f>
        <v>5.6138000000000003</v>
      </c>
      <c r="N244" s="11">
        <f>5.6106 * CHOOSE(CONTROL!$C$32, $C$9, 100%, $E$9)</f>
        <v>5.6105999999999998</v>
      </c>
      <c r="O244" s="11">
        <f>5.6138 * CHOOSE(CONTROL!$C$32, $C$9, 100%, $E$9)</f>
        <v>5.6138000000000003</v>
      </c>
    </row>
    <row r="245" spans="1:15" ht="15" x14ac:dyDescent="0.2">
      <c r="A245" s="13">
        <v>48305</v>
      </c>
      <c r="B245" s="9">
        <f>4.3832 * CHOOSE(CONTROL!$C$32, $C$9, 100%, $E$9)</f>
        <v>4.3832000000000004</v>
      </c>
      <c r="C245" s="9">
        <f>4.3832 * CHOOSE(CONTROL!$C$32, $C$9, 100%, $E$9)</f>
        <v>4.3832000000000004</v>
      </c>
      <c r="D245" s="9">
        <f>4.3842 * CHOOSE(CONTROL!$C$32, $C$9, 100%, $E$9)</f>
        <v>4.3841999999999999</v>
      </c>
      <c r="E245" s="11">
        <f>5.6087 * CHOOSE(CONTROL!$C$32, $C$9, 100%, $E$9)</f>
        <v>5.6086999999999998</v>
      </c>
      <c r="F245" s="11">
        <f>5.6087 * CHOOSE(CONTROL!$C$32, $C$9, 100%, $E$9)</f>
        <v>5.6086999999999998</v>
      </c>
      <c r="G245" s="11">
        <f>5.6119 * CHOOSE(CONTROL!$C$32, $C$9, 100%, $E$9)</f>
        <v>5.6119000000000003</v>
      </c>
      <c r="H245" s="11">
        <f>9.3296 * CHOOSE(CONTROL!$C$32, $C$9, 100%, $E$9)</f>
        <v>9.3295999999999992</v>
      </c>
      <c r="I245" s="11">
        <f>9.3328 * CHOOSE(CONTROL!$C$32, $C$9, 100%, $E$9)</f>
        <v>9.3328000000000007</v>
      </c>
      <c r="J245" s="11">
        <f>9.3296 * CHOOSE(CONTROL!$C$32, $C$9, 100%, $E$9)</f>
        <v>9.3295999999999992</v>
      </c>
      <c r="K245" s="11">
        <f>9.3328 * CHOOSE(CONTROL!$C$32, $C$9, 100%, $E$9)</f>
        <v>9.3328000000000007</v>
      </c>
      <c r="L245" s="11">
        <f>5.6087 * CHOOSE(CONTROL!$C$32, $C$9, 100%, $E$9)</f>
        <v>5.6086999999999998</v>
      </c>
      <c r="M245" s="11">
        <f>5.6119 * CHOOSE(CONTROL!$C$32, $C$9, 100%, $E$9)</f>
        <v>5.6119000000000003</v>
      </c>
      <c r="N245" s="11">
        <f>5.6087 * CHOOSE(CONTROL!$C$32, $C$9, 100%, $E$9)</f>
        <v>5.6086999999999998</v>
      </c>
      <c r="O245" s="11">
        <f>5.6119 * CHOOSE(CONTROL!$C$32, $C$9, 100%, $E$9)</f>
        <v>5.6119000000000003</v>
      </c>
    </row>
    <row r="246" spans="1:15" ht="15" x14ac:dyDescent="0.2">
      <c r="A246" s="13">
        <v>48335</v>
      </c>
      <c r="B246" s="9">
        <f>4.3832 * CHOOSE(CONTROL!$C$32, $C$9, 100%, $E$9)</f>
        <v>4.3832000000000004</v>
      </c>
      <c r="C246" s="9">
        <f>4.3832 * CHOOSE(CONTROL!$C$32, $C$9, 100%, $E$9)</f>
        <v>4.3832000000000004</v>
      </c>
      <c r="D246" s="9">
        <f>4.3845 * CHOOSE(CONTROL!$C$32, $C$9, 100%, $E$9)</f>
        <v>4.3845000000000001</v>
      </c>
      <c r="E246" s="11">
        <f>5.6087 * CHOOSE(CONTROL!$C$32, $C$9, 100%, $E$9)</f>
        <v>5.6086999999999998</v>
      </c>
      <c r="F246" s="11">
        <f>5.6087 * CHOOSE(CONTROL!$C$32, $C$9, 100%, $E$9)</f>
        <v>5.6086999999999998</v>
      </c>
      <c r="G246" s="11">
        <f>5.6129 * CHOOSE(CONTROL!$C$32, $C$9, 100%, $E$9)</f>
        <v>5.6128999999999998</v>
      </c>
      <c r="H246" s="11">
        <f>9.349 * CHOOSE(CONTROL!$C$32, $C$9, 100%, $E$9)</f>
        <v>9.3490000000000002</v>
      </c>
      <c r="I246" s="11">
        <f>9.3532 * CHOOSE(CONTROL!$C$32, $C$9, 100%, $E$9)</f>
        <v>9.3531999999999993</v>
      </c>
      <c r="J246" s="11">
        <f>9.349 * CHOOSE(CONTROL!$C$32, $C$9, 100%, $E$9)</f>
        <v>9.3490000000000002</v>
      </c>
      <c r="K246" s="11">
        <f>9.3532 * CHOOSE(CONTROL!$C$32, $C$9, 100%, $E$9)</f>
        <v>9.3531999999999993</v>
      </c>
      <c r="L246" s="11">
        <f>5.6087 * CHOOSE(CONTROL!$C$32, $C$9, 100%, $E$9)</f>
        <v>5.6086999999999998</v>
      </c>
      <c r="M246" s="11">
        <f>5.6129 * CHOOSE(CONTROL!$C$32, $C$9, 100%, $E$9)</f>
        <v>5.6128999999999998</v>
      </c>
      <c r="N246" s="11">
        <f>5.6087 * CHOOSE(CONTROL!$C$32, $C$9, 100%, $E$9)</f>
        <v>5.6086999999999998</v>
      </c>
      <c r="O246" s="11">
        <f>5.6129 * CHOOSE(CONTROL!$C$32, $C$9, 100%, $E$9)</f>
        <v>5.6128999999999998</v>
      </c>
    </row>
    <row r="247" spans="1:15" ht="15" x14ac:dyDescent="0.2">
      <c r="A247" s="13">
        <v>48366</v>
      </c>
      <c r="B247" s="9">
        <f>4.3893 * CHOOSE(CONTROL!$C$32, $C$9, 100%, $E$9)</f>
        <v>4.3893000000000004</v>
      </c>
      <c r="C247" s="9">
        <f>4.3893 * CHOOSE(CONTROL!$C$32, $C$9, 100%, $E$9)</f>
        <v>4.3893000000000004</v>
      </c>
      <c r="D247" s="9">
        <f>4.3905 * CHOOSE(CONTROL!$C$32, $C$9, 100%, $E$9)</f>
        <v>4.3905000000000003</v>
      </c>
      <c r="E247" s="11">
        <f>5.6127 * CHOOSE(CONTROL!$C$32, $C$9, 100%, $E$9)</f>
        <v>5.6127000000000002</v>
      </c>
      <c r="F247" s="11">
        <f>5.6127 * CHOOSE(CONTROL!$C$32, $C$9, 100%, $E$9)</f>
        <v>5.6127000000000002</v>
      </c>
      <c r="G247" s="11">
        <f>5.6169 * CHOOSE(CONTROL!$C$32, $C$9, 100%, $E$9)</f>
        <v>5.6169000000000002</v>
      </c>
      <c r="H247" s="11">
        <f>9.3685 * CHOOSE(CONTROL!$C$32, $C$9, 100%, $E$9)</f>
        <v>9.3684999999999992</v>
      </c>
      <c r="I247" s="11">
        <f>9.3727 * CHOOSE(CONTROL!$C$32, $C$9, 100%, $E$9)</f>
        <v>9.3727</v>
      </c>
      <c r="J247" s="11">
        <f>9.3685 * CHOOSE(CONTROL!$C$32, $C$9, 100%, $E$9)</f>
        <v>9.3684999999999992</v>
      </c>
      <c r="K247" s="11">
        <f>9.3727 * CHOOSE(CONTROL!$C$32, $C$9, 100%, $E$9)</f>
        <v>9.3727</v>
      </c>
      <c r="L247" s="11">
        <f>5.6127 * CHOOSE(CONTROL!$C$32, $C$9, 100%, $E$9)</f>
        <v>5.6127000000000002</v>
      </c>
      <c r="M247" s="11">
        <f>5.6169 * CHOOSE(CONTROL!$C$32, $C$9, 100%, $E$9)</f>
        <v>5.6169000000000002</v>
      </c>
      <c r="N247" s="11">
        <f>5.6127 * CHOOSE(CONTROL!$C$32, $C$9, 100%, $E$9)</f>
        <v>5.6127000000000002</v>
      </c>
      <c r="O247" s="11">
        <f>5.6169 * CHOOSE(CONTROL!$C$32, $C$9, 100%, $E$9)</f>
        <v>5.6169000000000002</v>
      </c>
    </row>
    <row r="248" spans="1:15" ht="15" x14ac:dyDescent="0.2">
      <c r="A248" s="13">
        <v>48396</v>
      </c>
      <c r="B248" s="9">
        <f>4.4571 * CHOOSE(CONTROL!$C$32, $C$9, 100%, $E$9)</f>
        <v>4.4570999999999996</v>
      </c>
      <c r="C248" s="9">
        <f>4.4571 * CHOOSE(CONTROL!$C$32, $C$9, 100%, $E$9)</f>
        <v>4.4570999999999996</v>
      </c>
      <c r="D248" s="9">
        <f>4.4583 * CHOOSE(CONTROL!$C$32, $C$9, 100%, $E$9)</f>
        <v>4.4583000000000004</v>
      </c>
      <c r="E248" s="11">
        <f>5.7152 * CHOOSE(CONTROL!$C$32, $C$9, 100%, $E$9)</f>
        <v>5.7152000000000003</v>
      </c>
      <c r="F248" s="11">
        <f>5.7152 * CHOOSE(CONTROL!$C$32, $C$9, 100%, $E$9)</f>
        <v>5.7152000000000003</v>
      </c>
      <c r="G248" s="11">
        <f>5.7194 * CHOOSE(CONTROL!$C$32, $C$9, 100%, $E$9)</f>
        <v>5.7194000000000003</v>
      </c>
      <c r="H248" s="11">
        <f>9.388 * CHOOSE(CONTROL!$C$32, $C$9, 100%, $E$9)</f>
        <v>9.3879999999999999</v>
      </c>
      <c r="I248" s="11">
        <f>9.3922 * CHOOSE(CONTROL!$C$32, $C$9, 100%, $E$9)</f>
        <v>9.3922000000000008</v>
      </c>
      <c r="J248" s="11">
        <f>9.388 * CHOOSE(CONTROL!$C$32, $C$9, 100%, $E$9)</f>
        <v>9.3879999999999999</v>
      </c>
      <c r="K248" s="11">
        <f>9.3922 * CHOOSE(CONTROL!$C$32, $C$9, 100%, $E$9)</f>
        <v>9.3922000000000008</v>
      </c>
      <c r="L248" s="11">
        <f>5.7152 * CHOOSE(CONTROL!$C$32, $C$9, 100%, $E$9)</f>
        <v>5.7152000000000003</v>
      </c>
      <c r="M248" s="11">
        <f>5.7194 * CHOOSE(CONTROL!$C$32, $C$9, 100%, $E$9)</f>
        <v>5.7194000000000003</v>
      </c>
      <c r="N248" s="11">
        <f>5.7152 * CHOOSE(CONTROL!$C$32, $C$9, 100%, $E$9)</f>
        <v>5.7152000000000003</v>
      </c>
      <c r="O248" s="11">
        <f>5.7194 * CHOOSE(CONTROL!$C$32, $C$9, 100%, $E$9)</f>
        <v>5.7194000000000003</v>
      </c>
    </row>
    <row r="249" spans="1:15" ht="15" x14ac:dyDescent="0.2">
      <c r="A249" s="13">
        <v>48427</v>
      </c>
      <c r="B249" s="9">
        <f>4.4637 * CHOOSE(CONTROL!$C$32, $C$9, 100%, $E$9)</f>
        <v>4.4637000000000002</v>
      </c>
      <c r="C249" s="9">
        <f>4.4637 * CHOOSE(CONTROL!$C$32, $C$9, 100%, $E$9)</f>
        <v>4.4637000000000002</v>
      </c>
      <c r="D249" s="9">
        <f>4.465 * CHOOSE(CONTROL!$C$32, $C$9, 100%, $E$9)</f>
        <v>4.4649999999999999</v>
      </c>
      <c r="E249" s="11">
        <f>5.7196 * CHOOSE(CONTROL!$C$32, $C$9, 100%, $E$9)</f>
        <v>5.7195999999999998</v>
      </c>
      <c r="F249" s="11">
        <f>5.7196 * CHOOSE(CONTROL!$C$32, $C$9, 100%, $E$9)</f>
        <v>5.7195999999999998</v>
      </c>
      <c r="G249" s="11">
        <f>5.7238 * CHOOSE(CONTROL!$C$32, $C$9, 100%, $E$9)</f>
        <v>5.7237999999999998</v>
      </c>
      <c r="H249" s="11">
        <f>9.4076 * CHOOSE(CONTROL!$C$32, $C$9, 100%, $E$9)</f>
        <v>9.4076000000000004</v>
      </c>
      <c r="I249" s="11">
        <f>9.4118 * CHOOSE(CONTROL!$C$32, $C$9, 100%, $E$9)</f>
        <v>9.4117999999999995</v>
      </c>
      <c r="J249" s="11">
        <f>9.4076 * CHOOSE(CONTROL!$C$32, $C$9, 100%, $E$9)</f>
        <v>9.4076000000000004</v>
      </c>
      <c r="K249" s="11">
        <f>9.4118 * CHOOSE(CONTROL!$C$32, $C$9, 100%, $E$9)</f>
        <v>9.4117999999999995</v>
      </c>
      <c r="L249" s="11">
        <f>5.7196 * CHOOSE(CONTROL!$C$32, $C$9, 100%, $E$9)</f>
        <v>5.7195999999999998</v>
      </c>
      <c r="M249" s="11">
        <f>5.7238 * CHOOSE(CONTROL!$C$32, $C$9, 100%, $E$9)</f>
        <v>5.7237999999999998</v>
      </c>
      <c r="N249" s="11">
        <f>5.7196 * CHOOSE(CONTROL!$C$32, $C$9, 100%, $E$9)</f>
        <v>5.7195999999999998</v>
      </c>
      <c r="O249" s="11">
        <f>5.7238 * CHOOSE(CONTROL!$C$32, $C$9, 100%, $E$9)</f>
        <v>5.7237999999999998</v>
      </c>
    </row>
    <row r="250" spans="1:15" ht="15" x14ac:dyDescent="0.2">
      <c r="A250" s="13">
        <v>48458</v>
      </c>
      <c r="B250" s="9">
        <f>4.4607 * CHOOSE(CONTROL!$C$32, $C$9, 100%, $E$9)</f>
        <v>4.4607000000000001</v>
      </c>
      <c r="C250" s="9">
        <f>4.4607 * CHOOSE(CONTROL!$C$32, $C$9, 100%, $E$9)</f>
        <v>4.4607000000000001</v>
      </c>
      <c r="D250" s="9">
        <f>4.4619 * CHOOSE(CONTROL!$C$32, $C$9, 100%, $E$9)</f>
        <v>4.4619</v>
      </c>
      <c r="E250" s="11">
        <f>5.7176 * CHOOSE(CONTROL!$C$32, $C$9, 100%, $E$9)</f>
        <v>5.7176</v>
      </c>
      <c r="F250" s="11">
        <f>5.7176 * CHOOSE(CONTROL!$C$32, $C$9, 100%, $E$9)</f>
        <v>5.7176</v>
      </c>
      <c r="G250" s="11">
        <f>5.7218 * CHOOSE(CONTROL!$C$32, $C$9, 100%, $E$9)</f>
        <v>5.7218</v>
      </c>
      <c r="H250" s="11">
        <f>9.4272 * CHOOSE(CONTROL!$C$32, $C$9, 100%, $E$9)</f>
        <v>9.4271999999999991</v>
      </c>
      <c r="I250" s="11">
        <f>9.4314 * CHOOSE(CONTROL!$C$32, $C$9, 100%, $E$9)</f>
        <v>9.4314</v>
      </c>
      <c r="J250" s="11">
        <f>9.4272 * CHOOSE(CONTROL!$C$32, $C$9, 100%, $E$9)</f>
        <v>9.4271999999999991</v>
      </c>
      <c r="K250" s="11">
        <f>9.4314 * CHOOSE(CONTROL!$C$32, $C$9, 100%, $E$9)</f>
        <v>9.4314</v>
      </c>
      <c r="L250" s="11">
        <f>5.7176 * CHOOSE(CONTROL!$C$32, $C$9, 100%, $E$9)</f>
        <v>5.7176</v>
      </c>
      <c r="M250" s="11">
        <f>5.7218 * CHOOSE(CONTROL!$C$32, $C$9, 100%, $E$9)</f>
        <v>5.7218</v>
      </c>
      <c r="N250" s="11">
        <f>5.7176 * CHOOSE(CONTROL!$C$32, $C$9, 100%, $E$9)</f>
        <v>5.7176</v>
      </c>
      <c r="O250" s="11">
        <f>5.7218 * CHOOSE(CONTROL!$C$32, $C$9, 100%, $E$9)</f>
        <v>5.7218</v>
      </c>
    </row>
    <row r="251" spans="1:15" ht="15" x14ac:dyDescent="0.2">
      <c r="A251" s="13">
        <v>48488</v>
      </c>
      <c r="B251" s="9">
        <f>4.4575 * CHOOSE(CONTROL!$C$32, $C$9, 100%, $E$9)</f>
        <v>4.4574999999999996</v>
      </c>
      <c r="C251" s="9">
        <f>4.4575 * CHOOSE(CONTROL!$C$32, $C$9, 100%, $E$9)</f>
        <v>4.4574999999999996</v>
      </c>
      <c r="D251" s="9">
        <f>4.4584 * CHOOSE(CONTROL!$C$32, $C$9, 100%, $E$9)</f>
        <v>4.4584000000000001</v>
      </c>
      <c r="E251" s="11">
        <f>5.7132 * CHOOSE(CONTROL!$C$32, $C$9, 100%, $E$9)</f>
        <v>5.7131999999999996</v>
      </c>
      <c r="F251" s="11">
        <f>5.7132 * CHOOSE(CONTROL!$C$32, $C$9, 100%, $E$9)</f>
        <v>5.7131999999999996</v>
      </c>
      <c r="G251" s="11">
        <f>5.7165 * CHOOSE(CONTROL!$C$32, $C$9, 100%, $E$9)</f>
        <v>5.7164999999999999</v>
      </c>
      <c r="H251" s="11">
        <f>9.4468 * CHOOSE(CONTROL!$C$32, $C$9, 100%, $E$9)</f>
        <v>9.4467999999999996</v>
      </c>
      <c r="I251" s="11">
        <f>9.45 * CHOOSE(CONTROL!$C$32, $C$9, 100%, $E$9)</f>
        <v>9.4499999999999993</v>
      </c>
      <c r="J251" s="11">
        <f>9.4468 * CHOOSE(CONTROL!$C$32, $C$9, 100%, $E$9)</f>
        <v>9.4467999999999996</v>
      </c>
      <c r="K251" s="11">
        <f>9.45 * CHOOSE(CONTROL!$C$32, $C$9, 100%, $E$9)</f>
        <v>9.4499999999999993</v>
      </c>
      <c r="L251" s="11">
        <f>5.7132 * CHOOSE(CONTROL!$C$32, $C$9, 100%, $E$9)</f>
        <v>5.7131999999999996</v>
      </c>
      <c r="M251" s="11">
        <f>5.7165 * CHOOSE(CONTROL!$C$32, $C$9, 100%, $E$9)</f>
        <v>5.7164999999999999</v>
      </c>
      <c r="N251" s="11">
        <f>5.7132 * CHOOSE(CONTROL!$C$32, $C$9, 100%, $E$9)</f>
        <v>5.7131999999999996</v>
      </c>
      <c r="O251" s="11">
        <f>5.7165 * CHOOSE(CONTROL!$C$32, $C$9, 100%, $E$9)</f>
        <v>5.7164999999999999</v>
      </c>
    </row>
    <row r="252" spans="1:15" ht="15" x14ac:dyDescent="0.2">
      <c r="A252" s="13">
        <v>48519</v>
      </c>
      <c r="B252" s="9">
        <f>4.4605 * CHOOSE(CONTROL!$C$32, $C$9, 100%, $E$9)</f>
        <v>4.4604999999999997</v>
      </c>
      <c r="C252" s="9">
        <f>4.4605 * CHOOSE(CONTROL!$C$32, $C$9, 100%, $E$9)</f>
        <v>4.4604999999999997</v>
      </c>
      <c r="D252" s="9">
        <f>4.4615 * CHOOSE(CONTROL!$C$32, $C$9, 100%, $E$9)</f>
        <v>4.4615</v>
      </c>
      <c r="E252" s="11">
        <f>5.7152 * CHOOSE(CONTROL!$C$32, $C$9, 100%, $E$9)</f>
        <v>5.7152000000000003</v>
      </c>
      <c r="F252" s="11">
        <f>5.7152 * CHOOSE(CONTROL!$C$32, $C$9, 100%, $E$9)</f>
        <v>5.7152000000000003</v>
      </c>
      <c r="G252" s="11">
        <f>5.7185 * CHOOSE(CONTROL!$C$32, $C$9, 100%, $E$9)</f>
        <v>5.7184999999999997</v>
      </c>
      <c r="H252" s="11">
        <f>9.4665 * CHOOSE(CONTROL!$C$32, $C$9, 100%, $E$9)</f>
        <v>9.4664999999999999</v>
      </c>
      <c r="I252" s="11">
        <f>9.4697 * CHOOSE(CONTROL!$C$32, $C$9, 100%, $E$9)</f>
        <v>9.4696999999999996</v>
      </c>
      <c r="J252" s="11">
        <f>9.4665 * CHOOSE(CONTROL!$C$32, $C$9, 100%, $E$9)</f>
        <v>9.4664999999999999</v>
      </c>
      <c r="K252" s="11">
        <f>9.4697 * CHOOSE(CONTROL!$C$32, $C$9, 100%, $E$9)</f>
        <v>9.4696999999999996</v>
      </c>
      <c r="L252" s="11">
        <f>5.7152 * CHOOSE(CONTROL!$C$32, $C$9, 100%, $E$9)</f>
        <v>5.7152000000000003</v>
      </c>
      <c r="M252" s="11">
        <f>5.7185 * CHOOSE(CONTROL!$C$32, $C$9, 100%, $E$9)</f>
        <v>5.7184999999999997</v>
      </c>
      <c r="N252" s="11">
        <f>5.7152 * CHOOSE(CONTROL!$C$32, $C$9, 100%, $E$9)</f>
        <v>5.7152000000000003</v>
      </c>
      <c r="O252" s="11">
        <f>5.7185 * CHOOSE(CONTROL!$C$32, $C$9, 100%, $E$9)</f>
        <v>5.7184999999999997</v>
      </c>
    </row>
    <row r="253" spans="1:15" ht="15" x14ac:dyDescent="0.2">
      <c r="A253" s="13">
        <v>48549</v>
      </c>
      <c r="B253" s="9">
        <f>4.4605 * CHOOSE(CONTROL!$C$32, $C$9, 100%, $E$9)</f>
        <v>4.4604999999999997</v>
      </c>
      <c r="C253" s="9">
        <f>4.4605 * CHOOSE(CONTROL!$C$32, $C$9, 100%, $E$9)</f>
        <v>4.4604999999999997</v>
      </c>
      <c r="D253" s="9">
        <f>4.4615 * CHOOSE(CONTROL!$C$32, $C$9, 100%, $E$9)</f>
        <v>4.4615</v>
      </c>
      <c r="E253" s="11">
        <f>5.7152 * CHOOSE(CONTROL!$C$32, $C$9, 100%, $E$9)</f>
        <v>5.7152000000000003</v>
      </c>
      <c r="F253" s="11">
        <f>5.7152 * CHOOSE(CONTROL!$C$32, $C$9, 100%, $E$9)</f>
        <v>5.7152000000000003</v>
      </c>
      <c r="G253" s="11">
        <f>5.7185 * CHOOSE(CONTROL!$C$32, $C$9, 100%, $E$9)</f>
        <v>5.7184999999999997</v>
      </c>
      <c r="H253" s="11">
        <f>9.4862 * CHOOSE(CONTROL!$C$32, $C$9, 100%, $E$9)</f>
        <v>9.4862000000000002</v>
      </c>
      <c r="I253" s="11">
        <f>9.4894 * CHOOSE(CONTROL!$C$32, $C$9, 100%, $E$9)</f>
        <v>9.4893999999999998</v>
      </c>
      <c r="J253" s="11">
        <f>9.4862 * CHOOSE(CONTROL!$C$32, $C$9, 100%, $E$9)</f>
        <v>9.4862000000000002</v>
      </c>
      <c r="K253" s="11">
        <f>9.4894 * CHOOSE(CONTROL!$C$32, $C$9, 100%, $E$9)</f>
        <v>9.4893999999999998</v>
      </c>
      <c r="L253" s="11">
        <f>5.7152 * CHOOSE(CONTROL!$C$32, $C$9, 100%, $E$9)</f>
        <v>5.7152000000000003</v>
      </c>
      <c r="M253" s="11">
        <f>5.7185 * CHOOSE(CONTROL!$C$32, $C$9, 100%, $E$9)</f>
        <v>5.7184999999999997</v>
      </c>
      <c r="N253" s="11">
        <f>5.7152 * CHOOSE(CONTROL!$C$32, $C$9, 100%, $E$9)</f>
        <v>5.7152000000000003</v>
      </c>
      <c r="O253" s="11">
        <f>5.7185 * CHOOSE(CONTROL!$C$32, $C$9, 100%, $E$9)</f>
        <v>5.7184999999999997</v>
      </c>
    </row>
    <row r="254" spans="1:15" ht="15" x14ac:dyDescent="0.2">
      <c r="A254" s="13">
        <v>48580</v>
      </c>
      <c r="B254" s="9">
        <f>4.4966 * CHOOSE(CONTROL!$C$32, $C$9, 100%, $E$9)</f>
        <v>4.4965999999999999</v>
      </c>
      <c r="C254" s="9">
        <f>4.4966 * CHOOSE(CONTROL!$C$32, $C$9, 100%, $E$9)</f>
        <v>4.4965999999999999</v>
      </c>
      <c r="D254" s="9">
        <f>4.4976 * CHOOSE(CONTROL!$C$32, $C$9, 100%, $E$9)</f>
        <v>4.4976000000000003</v>
      </c>
      <c r="E254" s="11">
        <f>5.7608 * CHOOSE(CONTROL!$C$32, $C$9, 100%, $E$9)</f>
        <v>5.7607999999999997</v>
      </c>
      <c r="F254" s="11">
        <f>5.7608 * CHOOSE(CONTROL!$C$32, $C$9, 100%, $E$9)</f>
        <v>5.7607999999999997</v>
      </c>
      <c r="G254" s="11">
        <f>5.764 * CHOOSE(CONTROL!$C$32, $C$9, 100%, $E$9)</f>
        <v>5.7640000000000002</v>
      </c>
      <c r="H254" s="11">
        <f>9.506 * CHOOSE(CONTROL!$C$32, $C$9, 100%, $E$9)</f>
        <v>9.5060000000000002</v>
      </c>
      <c r="I254" s="11">
        <f>9.5092 * CHOOSE(CONTROL!$C$32, $C$9, 100%, $E$9)</f>
        <v>9.5091999999999999</v>
      </c>
      <c r="J254" s="11">
        <f>9.506 * CHOOSE(CONTROL!$C$32, $C$9, 100%, $E$9)</f>
        <v>9.5060000000000002</v>
      </c>
      <c r="K254" s="11">
        <f>9.5092 * CHOOSE(CONTROL!$C$32, $C$9, 100%, $E$9)</f>
        <v>9.5091999999999999</v>
      </c>
      <c r="L254" s="11">
        <f>5.7608 * CHOOSE(CONTROL!$C$32, $C$9, 100%, $E$9)</f>
        <v>5.7607999999999997</v>
      </c>
      <c r="M254" s="11">
        <f>5.764 * CHOOSE(CONTROL!$C$32, $C$9, 100%, $E$9)</f>
        <v>5.7640000000000002</v>
      </c>
      <c r="N254" s="11">
        <f>5.7608 * CHOOSE(CONTROL!$C$32, $C$9, 100%, $E$9)</f>
        <v>5.7607999999999997</v>
      </c>
      <c r="O254" s="11">
        <f>5.764 * CHOOSE(CONTROL!$C$32, $C$9, 100%, $E$9)</f>
        <v>5.7640000000000002</v>
      </c>
    </row>
    <row r="255" spans="1:15" ht="15" x14ac:dyDescent="0.2">
      <c r="A255" s="13">
        <v>48611</v>
      </c>
      <c r="B255" s="9">
        <f>4.4936 * CHOOSE(CONTROL!$C$32, $C$9, 100%, $E$9)</f>
        <v>4.4935999999999998</v>
      </c>
      <c r="C255" s="9">
        <f>4.4936 * CHOOSE(CONTROL!$C$32, $C$9, 100%, $E$9)</f>
        <v>4.4935999999999998</v>
      </c>
      <c r="D255" s="9">
        <f>4.4945 * CHOOSE(CONTROL!$C$32, $C$9, 100%, $E$9)</f>
        <v>4.4945000000000004</v>
      </c>
      <c r="E255" s="11">
        <f>5.7588 * CHOOSE(CONTROL!$C$32, $C$9, 100%, $E$9)</f>
        <v>5.7587999999999999</v>
      </c>
      <c r="F255" s="11">
        <f>5.7588 * CHOOSE(CONTROL!$C$32, $C$9, 100%, $E$9)</f>
        <v>5.7587999999999999</v>
      </c>
      <c r="G255" s="11">
        <f>5.762 * CHOOSE(CONTROL!$C$32, $C$9, 100%, $E$9)</f>
        <v>5.7619999999999996</v>
      </c>
      <c r="H255" s="11">
        <f>9.5258 * CHOOSE(CONTROL!$C$32, $C$9, 100%, $E$9)</f>
        <v>9.5258000000000003</v>
      </c>
      <c r="I255" s="11">
        <f>9.529 * CHOOSE(CONTROL!$C$32, $C$9, 100%, $E$9)</f>
        <v>9.5289999999999999</v>
      </c>
      <c r="J255" s="11">
        <f>9.5258 * CHOOSE(CONTROL!$C$32, $C$9, 100%, $E$9)</f>
        <v>9.5258000000000003</v>
      </c>
      <c r="K255" s="11">
        <f>9.529 * CHOOSE(CONTROL!$C$32, $C$9, 100%, $E$9)</f>
        <v>9.5289999999999999</v>
      </c>
      <c r="L255" s="11">
        <f>5.7588 * CHOOSE(CONTROL!$C$32, $C$9, 100%, $E$9)</f>
        <v>5.7587999999999999</v>
      </c>
      <c r="M255" s="11">
        <f>5.762 * CHOOSE(CONTROL!$C$32, $C$9, 100%, $E$9)</f>
        <v>5.7619999999999996</v>
      </c>
      <c r="N255" s="11">
        <f>5.7588 * CHOOSE(CONTROL!$C$32, $C$9, 100%, $E$9)</f>
        <v>5.7587999999999999</v>
      </c>
      <c r="O255" s="11">
        <f>5.762 * CHOOSE(CONTROL!$C$32, $C$9, 100%, $E$9)</f>
        <v>5.7619999999999996</v>
      </c>
    </row>
    <row r="256" spans="1:15" ht="15" x14ac:dyDescent="0.2">
      <c r="A256" s="13">
        <v>48639</v>
      </c>
      <c r="B256" s="9">
        <f>4.4905 * CHOOSE(CONTROL!$C$32, $C$9, 100%, $E$9)</f>
        <v>4.4904999999999999</v>
      </c>
      <c r="C256" s="9">
        <f>4.4905 * CHOOSE(CONTROL!$C$32, $C$9, 100%, $E$9)</f>
        <v>4.4904999999999999</v>
      </c>
      <c r="D256" s="9">
        <f>4.4915 * CHOOSE(CONTROL!$C$32, $C$9, 100%, $E$9)</f>
        <v>4.4915000000000003</v>
      </c>
      <c r="E256" s="11">
        <f>5.7568 * CHOOSE(CONTROL!$C$32, $C$9, 100%, $E$9)</f>
        <v>5.7568000000000001</v>
      </c>
      <c r="F256" s="11">
        <f>5.7568 * CHOOSE(CONTROL!$C$32, $C$9, 100%, $E$9)</f>
        <v>5.7568000000000001</v>
      </c>
      <c r="G256" s="11">
        <f>5.76 * CHOOSE(CONTROL!$C$32, $C$9, 100%, $E$9)</f>
        <v>5.76</v>
      </c>
      <c r="H256" s="11">
        <f>9.5456 * CHOOSE(CONTROL!$C$32, $C$9, 100%, $E$9)</f>
        <v>9.5456000000000003</v>
      </c>
      <c r="I256" s="11">
        <f>9.5488 * CHOOSE(CONTROL!$C$32, $C$9, 100%, $E$9)</f>
        <v>9.5488</v>
      </c>
      <c r="J256" s="11">
        <f>9.5456 * CHOOSE(CONTROL!$C$32, $C$9, 100%, $E$9)</f>
        <v>9.5456000000000003</v>
      </c>
      <c r="K256" s="11">
        <f>9.5488 * CHOOSE(CONTROL!$C$32, $C$9, 100%, $E$9)</f>
        <v>9.5488</v>
      </c>
      <c r="L256" s="11">
        <f>5.7568 * CHOOSE(CONTROL!$C$32, $C$9, 100%, $E$9)</f>
        <v>5.7568000000000001</v>
      </c>
      <c r="M256" s="11">
        <f>5.76 * CHOOSE(CONTROL!$C$32, $C$9, 100%, $E$9)</f>
        <v>5.76</v>
      </c>
      <c r="N256" s="11">
        <f>5.7568 * CHOOSE(CONTROL!$C$32, $C$9, 100%, $E$9)</f>
        <v>5.7568000000000001</v>
      </c>
      <c r="O256" s="11">
        <f>5.76 * CHOOSE(CONTROL!$C$32, $C$9, 100%, $E$9)</f>
        <v>5.76</v>
      </c>
    </row>
    <row r="257" spans="1:15" ht="15" x14ac:dyDescent="0.2">
      <c r="A257" s="13">
        <v>48670</v>
      </c>
      <c r="B257" s="9">
        <f>4.4887 * CHOOSE(CONTROL!$C$32, $C$9, 100%, $E$9)</f>
        <v>4.4886999999999997</v>
      </c>
      <c r="C257" s="9">
        <f>4.4887 * CHOOSE(CONTROL!$C$32, $C$9, 100%, $E$9)</f>
        <v>4.4886999999999997</v>
      </c>
      <c r="D257" s="9">
        <f>4.4896 * CHOOSE(CONTROL!$C$32, $C$9, 100%, $E$9)</f>
        <v>4.4896000000000003</v>
      </c>
      <c r="E257" s="11">
        <f>5.755 * CHOOSE(CONTROL!$C$32, $C$9, 100%, $E$9)</f>
        <v>5.7549999999999999</v>
      </c>
      <c r="F257" s="11">
        <f>5.755 * CHOOSE(CONTROL!$C$32, $C$9, 100%, $E$9)</f>
        <v>5.7549999999999999</v>
      </c>
      <c r="G257" s="11">
        <f>5.7582 * CHOOSE(CONTROL!$C$32, $C$9, 100%, $E$9)</f>
        <v>5.7582000000000004</v>
      </c>
      <c r="H257" s="11">
        <f>9.5655 * CHOOSE(CONTROL!$C$32, $C$9, 100%, $E$9)</f>
        <v>9.5655000000000001</v>
      </c>
      <c r="I257" s="11">
        <f>9.5687 * CHOOSE(CONTROL!$C$32, $C$9, 100%, $E$9)</f>
        <v>9.5686999999999998</v>
      </c>
      <c r="J257" s="11">
        <f>9.5655 * CHOOSE(CONTROL!$C$32, $C$9, 100%, $E$9)</f>
        <v>9.5655000000000001</v>
      </c>
      <c r="K257" s="11">
        <f>9.5687 * CHOOSE(CONTROL!$C$32, $C$9, 100%, $E$9)</f>
        <v>9.5686999999999998</v>
      </c>
      <c r="L257" s="11">
        <f>5.755 * CHOOSE(CONTROL!$C$32, $C$9, 100%, $E$9)</f>
        <v>5.7549999999999999</v>
      </c>
      <c r="M257" s="11">
        <f>5.7582 * CHOOSE(CONTROL!$C$32, $C$9, 100%, $E$9)</f>
        <v>5.7582000000000004</v>
      </c>
      <c r="N257" s="11">
        <f>5.755 * CHOOSE(CONTROL!$C$32, $C$9, 100%, $E$9)</f>
        <v>5.7549999999999999</v>
      </c>
      <c r="O257" s="11">
        <f>5.7582 * CHOOSE(CONTROL!$C$32, $C$9, 100%, $E$9)</f>
        <v>5.7582000000000004</v>
      </c>
    </row>
    <row r="258" spans="1:15" ht="15" x14ac:dyDescent="0.2">
      <c r="A258" s="13">
        <v>48700</v>
      </c>
      <c r="B258" s="9">
        <f>4.4887 * CHOOSE(CONTROL!$C$32, $C$9, 100%, $E$9)</f>
        <v>4.4886999999999997</v>
      </c>
      <c r="C258" s="9">
        <f>4.4887 * CHOOSE(CONTROL!$C$32, $C$9, 100%, $E$9)</f>
        <v>4.4886999999999997</v>
      </c>
      <c r="D258" s="9">
        <f>4.4899 * CHOOSE(CONTROL!$C$32, $C$9, 100%, $E$9)</f>
        <v>4.4898999999999996</v>
      </c>
      <c r="E258" s="11">
        <f>5.755 * CHOOSE(CONTROL!$C$32, $C$9, 100%, $E$9)</f>
        <v>5.7549999999999999</v>
      </c>
      <c r="F258" s="11">
        <f>5.755 * CHOOSE(CONTROL!$C$32, $C$9, 100%, $E$9)</f>
        <v>5.7549999999999999</v>
      </c>
      <c r="G258" s="11">
        <f>5.7592 * CHOOSE(CONTROL!$C$32, $C$9, 100%, $E$9)</f>
        <v>5.7591999999999999</v>
      </c>
      <c r="H258" s="11">
        <f>9.5854 * CHOOSE(CONTROL!$C$32, $C$9, 100%, $E$9)</f>
        <v>9.5853999999999999</v>
      </c>
      <c r="I258" s="11">
        <f>9.5896 * CHOOSE(CONTROL!$C$32, $C$9, 100%, $E$9)</f>
        <v>9.5896000000000008</v>
      </c>
      <c r="J258" s="11">
        <f>9.5854 * CHOOSE(CONTROL!$C$32, $C$9, 100%, $E$9)</f>
        <v>9.5853999999999999</v>
      </c>
      <c r="K258" s="11">
        <f>9.5896 * CHOOSE(CONTROL!$C$32, $C$9, 100%, $E$9)</f>
        <v>9.5896000000000008</v>
      </c>
      <c r="L258" s="11">
        <f>5.755 * CHOOSE(CONTROL!$C$32, $C$9, 100%, $E$9)</f>
        <v>5.7549999999999999</v>
      </c>
      <c r="M258" s="11">
        <f>5.7592 * CHOOSE(CONTROL!$C$32, $C$9, 100%, $E$9)</f>
        <v>5.7591999999999999</v>
      </c>
      <c r="N258" s="11">
        <f>5.755 * CHOOSE(CONTROL!$C$32, $C$9, 100%, $E$9)</f>
        <v>5.7549999999999999</v>
      </c>
      <c r="O258" s="11">
        <f>5.7592 * CHOOSE(CONTROL!$C$32, $C$9, 100%, $E$9)</f>
        <v>5.7591999999999999</v>
      </c>
    </row>
    <row r="259" spans="1:15" ht="15" x14ac:dyDescent="0.2">
      <c r="A259" s="13">
        <v>48731</v>
      </c>
      <c r="B259" s="9">
        <f>4.4947 * CHOOSE(CONTROL!$C$32, $C$9, 100%, $E$9)</f>
        <v>4.4946999999999999</v>
      </c>
      <c r="C259" s="9">
        <f>4.4947 * CHOOSE(CONTROL!$C$32, $C$9, 100%, $E$9)</f>
        <v>4.4946999999999999</v>
      </c>
      <c r="D259" s="9">
        <f>4.496 * CHOOSE(CONTROL!$C$32, $C$9, 100%, $E$9)</f>
        <v>4.4960000000000004</v>
      </c>
      <c r="E259" s="11">
        <f>5.759 * CHOOSE(CONTROL!$C$32, $C$9, 100%, $E$9)</f>
        <v>5.7590000000000003</v>
      </c>
      <c r="F259" s="11">
        <f>5.759 * CHOOSE(CONTROL!$C$32, $C$9, 100%, $E$9)</f>
        <v>5.7590000000000003</v>
      </c>
      <c r="G259" s="11">
        <f>5.7632 * CHOOSE(CONTROL!$C$32, $C$9, 100%, $E$9)</f>
        <v>5.7632000000000003</v>
      </c>
      <c r="H259" s="11">
        <f>9.6054 * CHOOSE(CONTROL!$C$32, $C$9, 100%, $E$9)</f>
        <v>9.6053999999999995</v>
      </c>
      <c r="I259" s="11">
        <f>9.6096 * CHOOSE(CONTROL!$C$32, $C$9, 100%, $E$9)</f>
        <v>9.6096000000000004</v>
      </c>
      <c r="J259" s="11">
        <f>9.6054 * CHOOSE(CONTROL!$C$32, $C$9, 100%, $E$9)</f>
        <v>9.6053999999999995</v>
      </c>
      <c r="K259" s="11">
        <f>9.6096 * CHOOSE(CONTROL!$C$32, $C$9, 100%, $E$9)</f>
        <v>9.6096000000000004</v>
      </c>
      <c r="L259" s="11">
        <f>5.759 * CHOOSE(CONTROL!$C$32, $C$9, 100%, $E$9)</f>
        <v>5.7590000000000003</v>
      </c>
      <c r="M259" s="11">
        <f>5.7632 * CHOOSE(CONTROL!$C$32, $C$9, 100%, $E$9)</f>
        <v>5.7632000000000003</v>
      </c>
      <c r="N259" s="11">
        <f>5.759 * CHOOSE(CONTROL!$C$32, $C$9, 100%, $E$9)</f>
        <v>5.7590000000000003</v>
      </c>
      <c r="O259" s="11">
        <f>5.7632 * CHOOSE(CONTROL!$C$32, $C$9, 100%, $E$9)</f>
        <v>5.7632000000000003</v>
      </c>
    </row>
    <row r="260" spans="1:15" ht="15" x14ac:dyDescent="0.2">
      <c r="A260" s="13">
        <v>48761</v>
      </c>
      <c r="B260" s="9">
        <f>4.5602 * CHOOSE(CONTROL!$C$32, $C$9, 100%, $E$9)</f>
        <v>4.5602</v>
      </c>
      <c r="C260" s="9">
        <f>4.5602 * CHOOSE(CONTROL!$C$32, $C$9, 100%, $E$9)</f>
        <v>4.5602</v>
      </c>
      <c r="D260" s="9">
        <f>4.5614 * CHOOSE(CONTROL!$C$32, $C$9, 100%, $E$9)</f>
        <v>4.5613999999999999</v>
      </c>
      <c r="E260" s="11">
        <f>5.8589 * CHOOSE(CONTROL!$C$32, $C$9, 100%, $E$9)</f>
        <v>5.8589000000000002</v>
      </c>
      <c r="F260" s="11">
        <f>5.8589 * CHOOSE(CONTROL!$C$32, $C$9, 100%, $E$9)</f>
        <v>5.8589000000000002</v>
      </c>
      <c r="G260" s="11">
        <f>5.8631 * CHOOSE(CONTROL!$C$32, $C$9, 100%, $E$9)</f>
        <v>5.8631000000000002</v>
      </c>
      <c r="H260" s="11">
        <f>9.6254 * CHOOSE(CONTROL!$C$32, $C$9, 100%, $E$9)</f>
        <v>9.6254000000000008</v>
      </c>
      <c r="I260" s="11">
        <f>9.6296 * CHOOSE(CONTROL!$C$32, $C$9, 100%, $E$9)</f>
        <v>9.6295999999999999</v>
      </c>
      <c r="J260" s="11">
        <f>9.6254 * CHOOSE(CONTROL!$C$32, $C$9, 100%, $E$9)</f>
        <v>9.6254000000000008</v>
      </c>
      <c r="K260" s="11">
        <f>9.6296 * CHOOSE(CONTROL!$C$32, $C$9, 100%, $E$9)</f>
        <v>9.6295999999999999</v>
      </c>
      <c r="L260" s="11">
        <f>5.8589 * CHOOSE(CONTROL!$C$32, $C$9, 100%, $E$9)</f>
        <v>5.8589000000000002</v>
      </c>
      <c r="M260" s="11">
        <f>5.8631 * CHOOSE(CONTROL!$C$32, $C$9, 100%, $E$9)</f>
        <v>5.8631000000000002</v>
      </c>
      <c r="N260" s="11">
        <f>5.8589 * CHOOSE(CONTROL!$C$32, $C$9, 100%, $E$9)</f>
        <v>5.8589000000000002</v>
      </c>
      <c r="O260" s="11">
        <f>5.8631 * CHOOSE(CONTROL!$C$32, $C$9, 100%, $E$9)</f>
        <v>5.8631000000000002</v>
      </c>
    </row>
    <row r="261" spans="1:15" ht="15" x14ac:dyDescent="0.2">
      <c r="A261" s="13">
        <v>48792</v>
      </c>
      <c r="B261" s="9">
        <f>4.5669 * CHOOSE(CONTROL!$C$32, $C$9, 100%, $E$9)</f>
        <v>4.5669000000000004</v>
      </c>
      <c r="C261" s="9">
        <f>4.5669 * CHOOSE(CONTROL!$C$32, $C$9, 100%, $E$9)</f>
        <v>4.5669000000000004</v>
      </c>
      <c r="D261" s="9">
        <f>4.5681 * CHOOSE(CONTROL!$C$32, $C$9, 100%, $E$9)</f>
        <v>4.5681000000000003</v>
      </c>
      <c r="E261" s="11">
        <f>5.8633 * CHOOSE(CONTROL!$C$32, $C$9, 100%, $E$9)</f>
        <v>5.8632999999999997</v>
      </c>
      <c r="F261" s="11">
        <f>5.8633 * CHOOSE(CONTROL!$C$32, $C$9, 100%, $E$9)</f>
        <v>5.8632999999999997</v>
      </c>
      <c r="G261" s="11">
        <f>5.8675 * CHOOSE(CONTROL!$C$32, $C$9, 100%, $E$9)</f>
        <v>5.8674999999999997</v>
      </c>
      <c r="H261" s="11">
        <f>9.6455 * CHOOSE(CONTROL!$C$32, $C$9, 100%, $E$9)</f>
        <v>9.6455000000000002</v>
      </c>
      <c r="I261" s="11">
        <f>9.6497 * CHOOSE(CONTROL!$C$32, $C$9, 100%, $E$9)</f>
        <v>9.6496999999999993</v>
      </c>
      <c r="J261" s="11">
        <f>9.6455 * CHOOSE(CONTROL!$C$32, $C$9, 100%, $E$9)</f>
        <v>9.6455000000000002</v>
      </c>
      <c r="K261" s="11">
        <f>9.6497 * CHOOSE(CONTROL!$C$32, $C$9, 100%, $E$9)</f>
        <v>9.6496999999999993</v>
      </c>
      <c r="L261" s="11">
        <f>5.8633 * CHOOSE(CONTROL!$C$32, $C$9, 100%, $E$9)</f>
        <v>5.8632999999999997</v>
      </c>
      <c r="M261" s="11">
        <f>5.8675 * CHOOSE(CONTROL!$C$32, $C$9, 100%, $E$9)</f>
        <v>5.8674999999999997</v>
      </c>
      <c r="N261" s="11">
        <f>5.8633 * CHOOSE(CONTROL!$C$32, $C$9, 100%, $E$9)</f>
        <v>5.8632999999999997</v>
      </c>
      <c r="O261" s="11">
        <f>5.8675 * CHOOSE(CONTROL!$C$32, $C$9, 100%, $E$9)</f>
        <v>5.8674999999999997</v>
      </c>
    </row>
    <row r="262" spans="1:15" ht="15" x14ac:dyDescent="0.2">
      <c r="A262" s="13">
        <v>48823</v>
      </c>
      <c r="B262" s="9">
        <f>4.5638 * CHOOSE(CONTROL!$C$32, $C$9, 100%, $E$9)</f>
        <v>4.5637999999999996</v>
      </c>
      <c r="C262" s="9">
        <f>4.5638 * CHOOSE(CONTROL!$C$32, $C$9, 100%, $E$9)</f>
        <v>4.5637999999999996</v>
      </c>
      <c r="D262" s="9">
        <f>4.5651 * CHOOSE(CONTROL!$C$32, $C$9, 100%, $E$9)</f>
        <v>4.5651000000000002</v>
      </c>
      <c r="E262" s="11">
        <f>5.8613 * CHOOSE(CONTROL!$C$32, $C$9, 100%, $E$9)</f>
        <v>5.8613</v>
      </c>
      <c r="F262" s="11">
        <f>5.8613 * CHOOSE(CONTROL!$C$32, $C$9, 100%, $E$9)</f>
        <v>5.8613</v>
      </c>
      <c r="G262" s="11">
        <f>5.8655 * CHOOSE(CONTROL!$C$32, $C$9, 100%, $E$9)</f>
        <v>5.8654999999999999</v>
      </c>
      <c r="H262" s="11">
        <f>9.6656 * CHOOSE(CONTROL!$C$32, $C$9, 100%, $E$9)</f>
        <v>9.6655999999999995</v>
      </c>
      <c r="I262" s="11">
        <f>9.6698 * CHOOSE(CONTROL!$C$32, $C$9, 100%, $E$9)</f>
        <v>9.6698000000000004</v>
      </c>
      <c r="J262" s="11">
        <f>9.6656 * CHOOSE(CONTROL!$C$32, $C$9, 100%, $E$9)</f>
        <v>9.6655999999999995</v>
      </c>
      <c r="K262" s="11">
        <f>9.6698 * CHOOSE(CONTROL!$C$32, $C$9, 100%, $E$9)</f>
        <v>9.6698000000000004</v>
      </c>
      <c r="L262" s="11">
        <f>5.8613 * CHOOSE(CONTROL!$C$32, $C$9, 100%, $E$9)</f>
        <v>5.8613</v>
      </c>
      <c r="M262" s="11">
        <f>5.8655 * CHOOSE(CONTROL!$C$32, $C$9, 100%, $E$9)</f>
        <v>5.8654999999999999</v>
      </c>
      <c r="N262" s="11">
        <f>5.8613 * CHOOSE(CONTROL!$C$32, $C$9, 100%, $E$9)</f>
        <v>5.8613</v>
      </c>
      <c r="O262" s="11">
        <f>5.8655 * CHOOSE(CONTROL!$C$32, $C$9, 100%, $E$9)</f>
        <v>5.8654999999999999</v>
      </c>
    </row>
    <row r="263" spans="1:15" ht="15" x14ac:dyDescent="0.2">
      <c r="A263" s="13">
        <v>48853</v>
      </c>
      <c r="B263" s="9">
        <f>4.561 * CHOOSE(CONTROL!$C$32, $C$9, 100%, $E$9)</f>
        <v>4.5609999999999999</v>
      </c>
      <c r="C263" s="9">
        <f>4.561 * CHOOSE(CONTROL!$C$32, $C$9, 100%, $E$9)</f>
        <v>4.5609999999999999</v>
      </c>
      <c r="D263" s="9">
        <f>4.562 * CHOOSE(CONTROL!$C$32, $C$9, 100%, $E$9)</f>
        <v>4.5620000000000003</v>
      </c>
      <c r="E263" s="11">
        <f>5.8571 * CHOOSE(CONTROL!$C$32, $C$9, 100%, $E$9)</f>
        <v>5.8571</v>
      </c>
      <c r="F263" s="11">
        <f>5.8571 * CHOOSE(CONTROL!$C$32, $C$9, 100%, $E$9)</f>
        <v>5.8571</v>
      </c>
      <c r="G263" s="11">
        <f>5.8603 * CHOOSE(CONTROL!$C$32, $C$9, 100%, $E$9)</f>
        <v>5.8602999999999996</v>
      </c>
      <c r="H263" s="11">
        <f>9.6857 * CHOOSE(CONTROL!$C$32, $C$9, 100%, $E$9)</f>
        <v>9.6857000000000006</v>
      </c>
      <c r="I263" s="11">
        <f>9.6889 * CHOOSE(CONTROL!$C$32, $C$9, 100%, $E$9)</f>
        <v>9.6889000000000003</v>
      </c>
      <c r="J263" s="11">
        <f>9.6857 * CHOOSE(CONTROL!$C$32, $C$9, 100%, $E$9)</f>
        <v>9.6857000000000006</v>
      </c>
      <c r="K263" s="11">
        <f>9.6889 * CHOOSE(CONTROL!$C$32, $C$9, 100%, $E$9)</f>
        <v>9.6889000000000003</v>
      </c>
      <c r="L263" s="11">
        <f>5.8571 * CHOOSE(CONTROL!$C$32, $C$9, 100%, $E$9)</f>
        <v>5.8571</v>
      </c>
      <c r="M263" s="11">
        <f>5.8603 * CHOOSE(CONTROL!$C$32, $C$9, 100%, $E$9)</f>
        <v>5.8602999999999996</v>
      </c>
      <c r="N263" s="11">
        <f>5.8571 * CHOOSE(CONTROL!$C$32, $C$9, 100%, $E$9)</f>
        <v>5.8571</v>
      </c>
      <c r="O263" s="11">
        <f>5.8603 * CHOOSE(CONTROL!$C$32, $C$9, 100%, $E$9)</f>
        <v>5.8602999999999996</v>
      </c>
    </row>
    <row r="264" spans="1:15" ht="15" x14ac:dyDescent="0.2">
      <c r="A264" s="13">
        <v>48884</v>
      </c>
      <c r="B264" s="9">
        <f>4.564 * CHOOSE(CONTROL!$C$32, $C$9, 100%, $E$9)</f>
        <v>4.5640000000000001</v>
      </c>
      <c r="C264" s="9">
        <f>4.564 * CHOOSE(CONTROL!$C$32, $C$9, 100%, $E$9)</f>
        <v>4.5640000000000001</v>
      </c>
      <c r="D264" s="9">
        <f>4.565 * CHOOSE(CONTROL!$C$32, $C$9, 100%, $E$9)</f>
        <v>4.5650000000000004</v>
      </c>
      <c r="E264" s="11">
        <f>5.8591 * CHOOSE(CONTROL!$C$32, $C$9, 100%, $E$9)</f>
        <v>5.8590999999999998</v>
      </c>
      <c r="F264" s="11">
        <f>5.8591 * CHOOSE(CONTROL!$C$32, $C$9, 100%, $E$9)</f>
        <v>5.8590999999999998</v>
      </c>
      <c r="G264" s="11">
        <f>5.8623 * CHOOSE(CONTROL!$C$32, $C$9, 100%, $E$9)</f>
        <v>5.8623000000000003</v>
      </c>
      <c r="H264" s="11">
        <f>9.7059 * CHOOSE(CONTROL!$C$32, $C$9, 100%, $E$9)</f>
        <v>9.7058999999999997</v>
      </c>
      <c r="I264" s="11">
        <f>9.7091 * CHOOSE(CONTROL!$C$32, $C$9, 100%, $E$9)</f>
        <v>9.7090999999999994</v>
      </c>
      <c r="J264" s="11">
        <f>9.7059 * CHOOSE(CONTROL!$C$32, $C$9, 100%, $E$9)</f>
        <v>9.7058999999999997</v>
      </c>
      <c r="K264" s="11">
        <f>9.7091 * CHOOSE(CONTROL!$C$32, $C$9, 100%, $E$9)</f>
        <v>9.7090999999999994</v>
      </c>
      <c r="L264" s="11">
        <f>5.8591 * CHOOSE(CONTROL!$C$32, $C$9, 100%, $E$9)</f>
        <v>5.8590999999999998</v>
      </c>
      <c r="M264" s="11">
        <f>5.8623 * CHOOSE(CONTROL!$C$32, $C$9, 100%, $E$9)</f>
        <v>5.8623000000000003</v>
      </c>
      <c r="N264" s="11">
        <f>5.8591 * CHOOSE(CONTROL!$C$32, $C$9, 100%, $E$9)</f>
        <v>5.8590999999999998</v>
      </c>
      <c r="O264" s="11">
        <f>5.8623 * CHOOSE(CONTROL!$C$32, $C$9, 100%, $E$9)</f>
        <v>5.8623000000000003</v>
      </c>
    </row>
    <row r="265" spans="1:15" ht="15" x14ac:dyDescent="0.2">
      <c r="A265" s="13">
        <v>48914</v>
      </c>
      <c r="B265" s="9">
        <f>4.564 * CHOOSE(CONTROL!$C$32, $C$9, 100%, $E$9)</f>
        <v>4.5640000000000001</v>
      </c>
      <c r="C265" s="9">
        <f>4.564 * CHOOSE(CONTROL!$C$32, $C$9, 100%, $E$9)</f>
        <v>4.5640000000000001</v>
      </c>
      <c r="D265" s="9">
        <f>4.565 * CHOOSE(CONTROL!$C$32, $C$9, 100%, $E$9)</f>
        <v>4.5650000000000004</v>
      </c>
      <c r="E265" s="11">
        <f>5.8591 * CHOOSE(CONTROL!$C$32, $C$9, 100%, $E$9)</f>
        <v>5.8590999999999998</v>
      </c>
      <c r="F265" s="11">
        <f>5.8591 * CHOOSE(CONTROL!$C$32, $C$9, 100%, $E$9)</f>
        <v>5.8590999999999998</v>
      </c>
      <c r="G265" s="11">
        <f>5.8623 * CHOOSE(CONTROL!$C$32, $C$9, 100%, $E$9)</f>
        <v>5.8623000000000003</v>
      </c>
      <c r="H265" s="11">
        <f>9.7261 * CHOOSE(CONTROL!$C$32, $C$9, 100%, $E$9)</f>
        <v>9.7261000000000006</v>
      </c>
      <c r="I265" s="11">
        <f>9.7293 * CHOOSE(CONTROL!$C$32, $C$9, 100%, $E$9)</f>
        <v>9.7293000000000003</v>
      </c>
      <c r="J265" s="11">
        <f>9.7261 * CHOOSE(CONTROL!$C$32, $C$9, 100%, $E$9)</f>
        <v>9.7261000000000006</v>
      </c>
      <c r="K265" s="11">
        <f>9.7293 * CHOOSE(CONTROL!$C$32, $C$9, 100%, $E$9)</f>
        <v>9.7293000000000003</v>
      </c>
      <c r="L265" s="11">
        <f>5.8591 * CHOOSE(CONTROL!$C$32, $C$9, 100%, $E$9)</f>
        <v>5.8590999999999998</v>
      </c>
      <c r="M265" s="11">
        <f>5.8623 * CHOOSE(CONTROL!$C$32, $C$9, 100%, $E$9)</f>
        <v>5.8623000000000003</v>
      </c>
      <c r="N265" s="11">
        <f>5.8591 * CHOOSE(CONTROL!$C$32, $C$9, 100%, $E$9)</f>
        <v>5.8590999999999998</v>
      </c>
      <c r="O265" s="11">
        <f>5.8623 * CHOOSE(CONTROL!$C$32, $C$9, 100%, $E$9)</f>
        <v>5.8623000000000003</v>
      </c>
    </row>
    <row r="266" spans="1:15" ht="15" x14ac:dyDescent="0.2">
      <c r="A266" s="13">
        <v>48945</v>
      </c>
      <c r="B266" s="9">
        <f>4.6027 * CHOOSE(CONTROL!$C$32, $C$9, 100%, $E$9)</f>
        <v>4.6026999999999996</v>
      </c>
      <c r="C266" s="9">
        <f>4.6027 * CHOOSE(CONTROL!$C$32, $C$9, 100%, $E$9)</f>
        <v>4.6026999999999996</v>
      </c>
      <c r="D266" s="9">
        <f>4.6036 * CHOOSE(CONTROL!$C$32, $C$9, 100%, $E$9)</f>
        <v>4.6036000000000001</v>
      </c>
      <c r="E266" s="11">
        <f>5.9092 * CHOOSE(CONTROL!$C$32, $C$9, 100%, $E$9)</f>
        <v>5.9092000000000002</v>
      </c>
      <c r="F266" s="11">
        <f>5.9092 * CHOOSE(CONTROL!$C$32, $C$9, 100%, $E$9)</f>
        <v>5.9092000000000002</v>
      </c>
      <c r="G266" s="11">
        <f>5.9125 * CHOOSE(CONTROL!$C$32, $C$9, 100%, $E$9)</f>
        <v>5.9124999999999996</v>
      </c>
      <c r="H266" s="11">
        <f>9.7464 * CHOOSE(CONTROL!$C$32, $C$9, 100%, $E$9)</f>
        <v>9.7463999999999995</v>
      </c>
      <c r="I266" s="11">
        <f>9.7496 * CHOOSE(CONTROL!$C$32, $C$9, 100%, $E$9)</f>
        <v>9.7495999999999992</v>
      </c>
      <c r="J266" s="11">
        <f>9.7464 * CHOOSE(CONTROL!$C$32, $C$9, 100%, $E$9)</f>
        <v>9.7463999999999995</v>
      </c>
      <c r="K266" s="11">
        <f>9.7496 * CHOOSE(CONTROL!$C$32, $C$9, 100%, $E$9)</f>
        <v>9.7495999999999992</v>
      </c>
      <c r="L266" s="11">
        <f>5.9092 * CHOOSE(CONTROL!$C$32, $C$9, 100%, $E$9)</f>
        <v>5.9092000000000002</v>
      </c>
      <c r="M266" s="11">
        <f>5.9125 * CHOOSE(CONTROL!$C$32, $C$9, 100%, $E$9)</f>
        <v>5.9124999999999996</v>
      </c>
      <c r="N266" s="11">
        <f>5.9092 * CHOOSE(CONTROL!$C$32, $C$9, 100%, $E$9)</f>
        <v>5.9092000000000002</v>
      </c>
      <c r="O266" s="11">
        <f>5.9125 * CHOOSE(CONTROL!$C$32, $C$9, 100%, $E$9)</f>
        <v>5.9124999999999996</v>
      </c>
    </row>
    <row r="267" spans="1:15" ht="15" x14ac:dyDescent="0.2">
      <c r="A267" s="13">
        <v>48976</v>
      </c>
      <c r="B267" s="9">
        <f>4.5996 * CHOOSE(CONTROL!$C$32, $C$9, 100%, $E$9)</f>
        <v>4.5995999999999997</v>
      </c>
      <c r="C267" s="9">
        <f>4.5996 * CHOOSE(CONTROL!$C$32, $C$9, 100%, $E$9)</f>
        <v>4.5995999999999997</v>
      </c>
      <c r="D267" s="9">
        <f>4.6006 * CHOOSE(CONTROL!$C$32, $C$9, 100%, $E$9)</f>
        <v>4.6006</v>
      </c>
      <c r="E267" s="11">
        <f>5.9072 * CHOOSE(CONTROL!$C$32, $C$9, 100%, $E$9)</f>
        <v>5.9071999999999996</v>
      </c>
      <c r="F267" s="11">
        <f>5.9072 * CHOOSE(CONTROL!$C$32, $C$9, 100%, $E$9)</f>
        <v>5.9071999999999996</v>
      </c>
      <c r="G267" s="11">
        <f>5.9105 * CHOOSE(CONTROL!$C$32, $C$9, 100%, $E$9)</f>
        <v>5.9104999999999999</v>
      </c>
      <c r="H267" s="11">
        <f>9.7667 * CHOOSE(CONTROL!$C$32, $C$9, 100%, $E$9)</f>
        <v>9.7667000000000002</v>
      </c>
      <c r="I267" s="11">
        <f>9.7699 * CHOOSE(CONTROL!$C$32, $C$9, 100%, $E$9)</f>
        <v>9.7698999999999998</v>
      </c>
      <c r="J267" s="11">
        <f>9.7667 * CHOOSE(CONTROL!$C$32, $C$9, 100%, $E$9)</f>
        <v>9.7667000000000002</v>
      </c>
      <c r="K267" s="11">
        <f>9.7699 * CHOOSE(CONTROL!$C$32, $C$9, 100%, $E$9)</f>
        <v>9.7698999999999998</v>
      </c>
      <c r="L267" s="11">
        <f>5.9072 * CHOOSE(CONTROL!$C$32, $C$9, 100%, $E$9)</f>
        <v>5.9071999999999996</v>
      </c>
      <c r="M267" s="11">
        <f>5.9105 * CHOOSE(CONTROL!$C$32, $C$9, 100%, $E$9)</f>
        <v>5.9104999999999999</v>
      </c>
      <c r="N267" s="11">
        <f>5.9072 * CHOOSE(CONTROL!$C$32, $C$9, 100%, $E$9)</f>
        <v>5.9071999999999996</v>
      </c>
      <c r="O267" s="11">
        <f>5.9105 * CHOOSE(CONTROL!$C$32, $C$9, 100%, $E$9)</f>
        <v>5.9104999999999999</v>
      </c>
    </row>
    <row r="268" spans="1:15" ht="15" x14ac:dyDescent="0.2">
      <c r="A268" s="13">
        <v>49004</v>
      </c>
      <c r="B268" s="9">
        <f>4.5966 * CHOOSE(CONTROL!$C$32, $C$9, 100%, $E$9)</f>
        <v>4.5965999999999996</v>
      </c>
      <c r="C268" s="9">
        <f>4.5966 * CHOOSE(CONTROL!$C$32, $C$9, 100%, $E$9)</f>
        <v>4.5965999999999996</v>
      </c>
      <c r="D268" s="9">
        <f>4.5975 * CHOOSE(CONTROL!$C$32, $C$9, 100%, $E$9)</f>
        <v>4.5975000000000001</v>
      </c>
      <c r="E268" s="11">
        <f>5.9052 * CHOOSE(CONTROL!$C$32, $C$9, 100%, $E$9)</f>
        <v>5.9051999999999998</v>
      </c>
      <c r="F268" s="11">
        <f>5.9052 * CHOOSE(CONTROL!$C$32, $C$9, 100%, $E$9)</f>
        <v>5.9051999999999998</v>
      </c>
      <c r="G268" s="11">
        <f>5.9085 * CHOOSE(CONTROL!$C$32, $C$9, 100%, $E$9)</f>
        <v>5.9085000000000001</v>
      </c>
      <c r="H268" s="11">
        <f>9.787 * CHOOSE(CONTROL!$C$32, $C$9, 100%, $E$9)</f>
        <v>9.7870000000000008</v>
      </c>
      <c r="I268" s="11">
        <f>9.7902 * CHOOSE(CONTROL!$C$32, $C$9, 100%, $E$9)</f>
        <v>9.7902000000000005</v>
      </c>
      <c r="J268" s="11">
        <f>9.787 * CHOOSE(CONTROL!$C$32, $C$9, 100%, $E$9)</f>
        <v>9.7870000000000008</v>
      </c>
      <c r="K268" s="11">
        <f>9.7902 * CHOOSE(CONTROL!$C$32, $C$9, 100%, $E$9)</f>
        <v>9.7902000000000005</v>
      </c>
      <c r="L268" s="11">
        <f>5.9052 * CHOOSE(CONTROL!$C$32, $C$9, 100%, $E$9)</f>
        <v>5.9051999999999998</v>
      </c>
      <c r="M268" s="11">
        <f>5.9085 * CHOOSE(CONTROL!$C$32, $C$9, 100%, $E$9)</f>
        <v>5.9085000000000001</v>
      </c>
      <c r="N268" s="11">
        <f>5.9052 * CHOOSE(CONTROL!$C$32, $C$9, 100%, $E$9)</f>
        <v>5.9051999999999998</v>
      </c>
      <c r="O268" s="11">
        <f>5.9085 * CHOOSE(CONTROL!$C$32, $C$9, 100%, $E$9)</f>
        <v>5.9085000000000001</v>
      </c>
    </row>
    <row r="269" spans="1:15" ht="15" x14ac:dyDescent="0.2">
      <c r="A269" s="13">
        <v>49035</v>
      </c>
      <c r="B269" s="9">
        <f>4.5948 * CHOOSE(CONTROL!$C$32, $C$9, 100%, $E$9)</f>
        <v>4.5948000000000002</v>
      </c>
      <c r="C269" s="9">
        <f>4.5948 * CHOOSE(CONTROL!$C$32, $C$9, 100%, $E$9)</f>
        <v>4.5948000000000002</v>
      </c>
      <c r="D269" s="9">
        <f>4.5958 * CHOOSE(CONTROL!$C$32, $C$9, 100%, $E$9)</f>
        <v>4.5957999999999997</v>
      </c>
      <c r="E269" s="11">
        <f>5.9035 * CHOOSE(CONTROL!$C$32, $C$9, 100%, $E$9)</f>
        <v>5.9035000000000002</v>
      </c>
      <c r="F269" s="11">
        <f>5.9035 * CHOOSE(CONTROL!$C$32, $C$9, 100%, $E$9)</f>
        <v>5.9035000000000002</v>
      </c>
      <c r="G269" s="11">
        <f>5.9067 * CHOOSE(CONTROL!$C$32, $C$9, 100%, $E$9)</f>
        <v>5.9066999999999998</v>
      </c>
      <c r="H269" s="11">
        <f>9.8074 * CHOOSE(CONTROL!$C$32, $C$9, 100%, $E$9)</f>
        <v>9.8073999999999995</v>
      </c>
      <c r="I269" s="11">
        <f>9.8106 * CHOOSE(CONTROL!$C$32, $C$9, 100%, $E$9)</f>
        <v>9.8106000000000009</v>
      </c>
      <c r="J269" s="11">
        <f>9.8074 * CHOOSE(CONTROL!$C$32, $C$9, 100%, $E$9)</f>
        <v>9.8073999999999995</v>
      </c>
      <c r="K269" s="11">
        <f>9.8106 * CHOOSE(CONTROL!$C$32, $C$9, 100%, $E$9)</f>
        <v>9.8106000000000009</v>
      </c>
      <c r="L269" s="11">
        <f>5.9035 * CHOOSE(CONTROL!$C$32, $C$9, 100%, $E$9)</f>
        <v>5.9035000000000002</v>
      </c>
      <c r="M269" s="11">
        <f>5.9067 * CHOOSE(CONTROL!$C$32, $C$9, 100%, $E$9)</f>
        <v>5.9066999999999998</v>
      </c>
      <c r="N269" s="11">
        <f>5.9035 * CHOOSE(CONTROL!$C$32, $C$9, 100%, $E$9)</f>
        <v>5.9035000000000002</v>
      </c>
      <c r="O269" s="11">
        <f>5.9067 * CHOOSE(CONTROL!$C$32, $C$9, 100%, $E$9)</f>
        <v>5.9066999999999998</v>
      </c>
    </row>
    <row r="270" spans="1:15" ht="15" x14ac:dyDescent="0.2">
      <c r="A270" s="13">
        <v>49065</v>
      </c>
      <c r="B270" s="9">
        <f>4.5948 * CHOOSE(CONTROL!$C$32, $C$9, 100%, $E$9)</f>
        <v>4.5948000000000002</v>
      </c>
      <c r="C270" s="9">
        <f>4.5948 * CHOOSE(CONTROL!$C$32, $C$9, 100%, $E$9)</f>
        <v>4.5948000000000002</v>
      </c>
      <c r="D270" s="9">
        <f>4.5961 * CHOOSE(CONTROL!$C$32, $C$9, 100%, $E$9)</f>
        <v>4.5960999999999999</v>
      </c>
      <c r="E270" s="11">
        <f>5.9035 * CHOOSE(CONTROL!$C$32, $C$9, 100%, $E$9)</f>
        <v>5.9035000000000002</v>
      </c>
      <c r="F270" s="11">
        <f>5.9035 * CHOOSE(CONTROL!$C$32, $C$9, 100%, $E$9)</f>
        <v>5.9035000000000002</v>
      </c>
      <c r="G270" s="11">
        <f>5.9077 * CHOOSE(CONTROL!$C$32, $C$9, 100%, $E$9)</f>
        <v>5.9077000000000002</v>
      </c>
      <c r="H270" s="11">
        <f>9.8278 * CHOOSE(CONTROL!$C$32, $C$9, 100%, $E$9)</f>
        <v>9.8277999999999999</v>
      </c>
      <c r="I270" s="11">
        <f>9.832 * CHOOSE(CONTROL!$C$32, $C$9, 100%, $E$9)</f>
        <v>9.8320000000000007</v>
      </c>
      <c r="J270" s="11">
        <f>9.8278 * CHOOSE(CONTROL!$C$32, $C$9, 100%, $E$9)</f>
        <v>9.8277999999999999</v>
      </c>
      <c r="K270" s="11">
        <f>9.832 * CHOOSE(CONTROL!$C$32, $C$9, 100%, $E$9)</f>
        <v>9.8320000000000007</v>
      </c>
      <c r="L270" s="11">
        <f>5.9035 * CHOOSE(CONTROL!$C$32, $C$9, 100%, $E$9)</f>
        <v>5.9035000000000002</v>
      </c>
      <c r="M270" s="11">
        <f>5.9077 * CHOOSE(CONTROL!$C$32, $C$9, 100%, $E$9)</f>
        <v>5.9077000000000002</v>
      </c>
      <c r="N270" s="11">
        <f>5.9035 * CHOOSE(CONTROL!$C$32, $C$9, 100%, $E$9)</f>
        <v>5.9035000000000002</v>
      </c>
      <c r="O270" s="11">
        <f>5.9077 * CHOOSE(CONTROL!$C$32, $C$9, 100%, $E$9)</f>
        <v>5.9077000000000002</v>
      </c>
    </row>
    <row r="271" spans="1:15" ht="15" x14ac:dyDescent="0.2">
      <c r="A271" s="13">
        <v>49096</v>
      </c>
      <c r="B271" s="9">
        <f>4.6009 * CHOOSE(CONTROL!$C$32, $C$9, 100%, $E$9)</f>
        <v>4.6009000000000002</v>
      </c>
      <c r="C271" s="9">
        <f>4.6009 * CHOOSE(CONTROL!$C$32, $C$9, 100%, $E$9)</f>
        <v>4.6009000000000002</v>
      </c>
      <c r="D271" s="9">
        <f>4.6021 * CHOOSE(CONTROL!$C$32, $C$9, 100%, $E$9)</f>
        <v>4.6021000000000001</v>
      </c>
      <c r="E271" s="11">
        <f>5.9075 * CHOOSE(CONTROL!$C$32, $C$9, 100%, $E$9)</f>
        <v>5.9074999999999998</v>
      </c>
      <c r="F271" s="11">
        <f>5.9075 * CHOOSE(CONTROL!$C$32, $C$9, 100%, $E$9)</f>
        <v>5.9074999999999998</v>
      </c>
      <c r="G271" s="11">
        <f>5.9117 * CHOOSE(CONTROL!$C$32, $C$9, 100%, $E$9)</f>
        <v>5.9116999999999997</v>
      </c>
      <c r="H271" s="11">
        <f>9.8483 * CHOOSE(CONTROL!$C$32, $C$9, 100%, $E$9)</f>
        <v>9.8483000000000001</v>
      </c>
      <c r="I271" s="11">
        <f>9.8525 * CHOOSE(CONTROL!$C$32, $C$9, 100%, $E$9)</f>
        <v>9.8524999999999991</v>
      </c>
      <c r="J271" s="11">
        <f>9.8483 * CHOOSE(CONTROL!$C$32, $C$9, 100%, $E$9)</f>
        <v>9.8483000000000001</v>
      </c>
      <c r="K271" s="11">
        <f>9.8525 * CHOOSE(CONTROL!$C$32, $C$9, 100%, $E$9)</f>
        <v>9.8524999999999991</v>
      </c>
      <c r="L271" s="11">
        <f>5.9075 * CHOOSE(CONTROL!$C$32, $C$9, 100%, $E$9)</f>
        <v>5.9074999999999998</v>
      </c>
      <c r="M271" s="11">
        <f>5.9117 * CHOOSE(CONTROL!$C$32, $C$9, 100%, $E$9)</f>
        <v>5.9116999999999997</v>
      </c>
      <c r="N271" s="11">
        <f>5.9075 * CHOOSE(CONTROL!$C$32, $C$9, 100%, $E$9)</f>
        <v>5.9074999999999998</v>
      </c>
      <c r="O271" s="11">
        <f>5.9117 * CHOOSE(CONTROL!$C$32, $C$9, 100%, $E$9)</f>
        <v>5.9116999999999997</v>
      </c>
    </row>
    <row r="272" spans="1:15" ht="15" x14ac:dyDescent="0.2">
      <c r="A272" s="13">
        <v>49126</v>
      </c>
      <c r="B272" s="9">
        <f>4.6716 * CHOOSE(CONTROL!$C$32, $C$9, 100%, $E$9)</f>
        <v>4.6715999999999998</v>
      </c>
      <c r="C272" s="9">
        <f>4.6716 * CHOOSE(CONTROL!$C$32, $C$9, 100%, $E$9)</f>
        <v>4.6715999999999998</v>
      </c>
      <c r="D272" s="9">
        <f>4.6728 * CHOOSE(CONTROL!$C$32, $C$9, 100%, $E$9)</f>
        <v>4.6727999999999996</v>
      </c>
      <c r="E272" s="11">
        <f>6.0182 * CHOOSE(CONTROL!$C$32, $C$9, 100%, $E$9)</f>
        <v>6.0182000000000002</v>
      </c>
      <c r="F272" s="11">
        <f>6.0182 * CHOOSE(CONTROL!$C$32, $C$9, 100%, $E$9)</f>
        <v>6.0182000000000002</v>
      </c>
      <c r="G272" s="11">
        <f>6.0224 * CHOOSE(CONTROL!$C$32, $C$9, 100%, $E$9)</f>
        <v>6.0224000000000002</v>
      </c>
      <c r="H272" s="11">
        <f>9.8688 * CHOOSE(CONTROL!$C$32, $C$9, 100%, $E$9)</f>
        <v>9.8688000000000002</v>
      </c>
      <c r="I272" s="11">
        <f>9.873 * CHOOSE(CONTROL!$C$32, $C$9, 100%, $E$9)</f>
        <v>9.8729999999999993</v>
      </c>
      <c r="J272" s="11">
        <f>9.8688 * CHOOSE(CONTROL!$C$32, $C$9, 100%, $E$9)</f>
        <v>9.8688000000000002</v>
      </c>
      <c r="K272" s="11">
        <f>9.873 * CHOOSE(CONTROL!$C$32, $C$9, 100%, $E$9)</f>
        <v>9.8729999999999993</v>
      </c>
      <c r="L272" s="11">
        <f>6.0182 * CHOOSE(CONTROL!$C$32, $C$9, 100%, $E$9)</f>
        <v>6.0182000000000002</v>
      </c>
      <c r="M272" s="11">
        <f>6.0224 * CHOOSE(CONTROL!$C$32, $C$9, 100%, $E$9)</f>
        <v>6.0224000000000002</v>
      </c>
      <c r="N272" s="11">
        <f>6.0182 * CHOOSE(CONTROL!$C$32, $C$9, 100%, $E$9)</f>
        <v>6.0182000000000002</v>
      </c>
      <c r="O272" s="11">
        <f>6.0224 * CHOOSE(CONTROL!$C$32, $C$9, 100%, $E$9)</f>
        <v>6.0224000000000002</v>
      </c>
    </row>
    <row r="273" spans="1:15" ht="15" x14ac:dyDescent="0.2">
      <c r="A273" s="13">
        <v>49157</v>
      </c>
      <c r="B273" s="9">
        <f>4.6783 * CHOOSE(CONTROL!$C$32, $C$9, 100%, $E$9)</f>
        <v>4.6783000000000001</v>
      </c>
      <c r="C273" s="9">
        <f>4.6783 * CHOOSE(CONTROL!$C$32, $C$9, 100%, $E$9)</f>
        <v>4.6783000000000001</v>
      </c>
      <c r="D273" s="9">
        <f>4.6795 * CHOOSE(CONTROL!$C$32, $C$9, 100%, $E$9)</f>
        <v>4.6795</v>
      </c>
      <c r="E273" s="11">
        <f>6.0226 * CHOOSE(CONTROL!$C$32, $C$9, 100%, $E$9)</f>
        <v>6.0225999999999997</v>
      </c>
      <c r="F273" s="11">
        <f>6.0226 * CHOOSE(CONTROL!$C$32, $C$9, 100%, $E$9)</f>
        <v>6.0225999999999997</v>
      </c>
      <c r="G273" s="11">
        <f>6.0268 * CHOOSE(CONTROL!$C$32, $C$9, 100%, $E$9)</f>
        <v>6.0267999999999997</v>
      </c>
      <c r="H273" s="11">
        <f>9.8894 * CHOOSE(CONTROL!$C$32, $C$9, 100%, $E$9)</f>
        <v>9.8894000000000002</v>
      </c>
      <c r="I273" s="11">
        <f>9.8936 * CHOOSE(CONTROL!$C$32, $C$9, 100%, $E$9)</f>
        <v>9.8935999999999993</v>
      </c>
      <c r="J273" s="11">
        <f>9.8894 * CHOOSE(CONTROL!$C$32, $C$9, 100%, $E$9)</f>
        <v>9.8894000000000002</v>
      </c>
      <c r="K273" s="11">
        <f>9.8936 * CHOOSE(CONTROL!$C$32, $C$9, 100%, $E$9)</f>
        <v>9.8935999999999993</v>
      </c>
      <c r="L273" s="11">
        <f>6.0226 * CHOOSE(CONTROL!$C$32, $C$9, 100%, $E$9)</f>
        <v>6.0225999999999997</v>
      </c>
      <c r="M273" s="11">
        <f>6.0268 * CHOOSE(CONTROL!$C$32, $C$9, 100%, $E$9)</f>
        <v>6.0267999999999997</v>
      </c>
      <c r="N273" s="11">
        <f>6.0226 * CHOOSE(CONTROL!$C$32, $C$9, 100%, $E$9)</f>
        <v>6.0225999999999997</v>
      </c>
      <c r="O273" s="11">
        <f>6.0268 * CHOOSE(CONTROL!$C$32, $C$9, 100%, $E$9)</f>
        <v>6.0267999999999997</v>
      </c>
    </row>
    <row r="274" spans="1:15" ht="15" x14ac:dyDescent="0.2">
      <c r="A274" s="13">
        <v>49188</v>
      </c>
      <c r="B274" s="9">
        <f>4.6752 * CHOOSE(CONTROL!$C$32, $C$9, 100%, $E$9)</f>
        <v>4.6752000000000002</v>
      </c>
      <c r="C274" s="9">
        <f>4.6752 * CHOOSE(CONTROL!$C$32, $C$9, 100%, $E$9)</f>
        <v>4.6752000000000002</v>
      </c>
      <c r="D274" s="9">
        <f>4.6765 * CHOOSE(CONTROL!$C$32, $C$9, 100%, $E$9)</f>
        <v>4.6764999999999999</v>
      </c>
      <c r="E274" s="11">
        <f>6.0206 * CHOOSE(CONTROL!$C$32, $C$9, 100%, $E$9)</f>
        <v>6.0206</v>
      </c>
      <c r="F274" s="11">
        <f>6.0206 * CHOOSE(CONTROL!$C$32, $C$9, 100%, $E$9)</f>
        <v>6.0206</v>
      </c>
      <c r="G274" s="11">
        <f>6.0248 * CHOOSE(CONTROL!$C$32, $C$9, 100%, $E$9)</f>
        <v>6.0247999999999999</v>
      </c>
      <c r="H274" s="11">
        <f>9.91 * CHOOSE(CONTROL!$C$32, $C$9, 100%, $E$9)</f>
        <v>9.91</v>
      </c>
      <c r="I274" s="11">
        <f>9.9142 * CHOOSE(CONTROL!$C$32, $C$9, 100%, $E$9)</f>
        <v>9.9141999999999992</v>
      </c>
      <c r="J274" s="11">
        <f>9.91 * CHOOSE(CONTROL!$C$32, $C$9, 100%, $E$9)</f>
        <v>9.91</v>
      </c>
      <c r="K274" s="11">
        <f>9.9142 * CHOOSE(CONTROL!$C$32, $C$9, 100%, $E$9)</f>
        <v>9.9141999999999992</v>
      </c>
      <c r="L274" s="11">
        <f>6.0206 * CHOOSE(CONTROL!$C$32, $C$9, 100%, $E$9)</f>
        <v>6.0206</v>
      </c>
      <c r="M274" s="11">
        <f>6.0248 * CHOOSE(CONTROL!$C$32, $C$9, 100%, $E$9)</f>
        <v>6.0247999999999999</v>
      </c>
      <c r="N274" s="11">
        <f>6.0206 * CHOOSE(CONTROL!$C$32, $C$9, 100%, $E$9)</f>
        <v>6.0206</v>
      </c>
      <c r="O274" s="11">
        <f>6.0248 * CHOOSE(CONTROL!$C$32, $C$9, 100%, $E$9)</f>
        <v>6.0247999999999999</v>
      </c>
    </row>
    <row r="275" spans="1:15" ht="15" x14ac:dyDescent="0.2">
      <c r="A275" s="13">
        <v>49218</v>
      </c>
      <c r="B275" s="9">
        <f>4.6728 * CHOOSE(CONTROL!$C$32, $C$9, 100%, $E$9)</f>
        <v>4.6727999999999996</v>
      </c>
      <c r="C275" s="9">
        <f>4.6728 * CHOOSE(CONTROL!$C$32, $C$9, 100%, $E$9)</f>
        <v>4.6727999999999996</v>
      </c>
      <c r="D275" s="9">
        <f>4.6737 * CHOOSE(CONTROL!$C$32, $C$9, 100%, $E$9)</f>
        <v>4.6737000000000002</v>
      </c>
      <c r="E275" s="11">
        <f>6.0166 * CHOOSE(CONTROL!$C$32, $C$9, 100%, $E$9)</f>
        <v>6.0166000000000004</v>
      </c>
      <c r="F275" s="11">
        <f>6.0166 * CHOOSE(CONTROL!$C$32, $C$9, 100%, $E$9)</f>
        <v>6.0166000000000004</v>
      </c>
      <c r="G275" s="11">
        <f>6.0198 * CHOOSE(CONTROL!$C$32, $C$9, 100%, $E$9)</f>
        <v>6.0198</v>
      </c>
      <c r="H275" s="11">
        <f>9.9306 * CHOOSE(CONTROL!$C$32, $C$9, 100%, $E$9)</f>
        <v>9.9306000000000001</v>
      </c>
      <c r="I275" s="11">
        <f>9.9339 * CHOOSE(CONTROL!$C$32, $C$9, 100%, $E$9)</f>
        <v>9.9338999999999995</v>
      </c>
      <c r="J275" s="11">
        <f>9.9306 * CHOOSE(CONTROL!$C$32, $C$9, 100%, $E$9)</f>
        <v>9.9306000000000001</v>
      </c>
      <c r="K275" s="11">
        <f>9.9339 * CHOOSE(CONTROL!$C$32, $C$9, 100%, $E$9)</f>
        <v>9.9338999999999995</v>
      </c>
      <c r="L275" s="11">
        <f>6.0166 * CHOOSE(CONTROL!$C$32, $C$9, 100%, $E$9)</f>
        <v>6.0166000000000004</v>
      </c>
      <c r="M275" s="11">
        <f>6.0198 * CHOOSE(CONTROL!$C$32, $C$9, 100%, $E$9)</f>
        <v>6.0198</v>
      </c>
      <c r="N275" s="11">
        <f>6.0166 * CHOOSE(CONTROL!$C$32, $C$9, 100%, $E$9)</f>
        <v>6.0166000000000004</v>
      </c>
      <c r="O275" s="11">
        <f>6.0198 * CHOOSE(CONTROL!$C$32, $C$9, 100%, $E$9)</f>
        <v>6.0198</v>
      </c>
    </row>
    <row r="276" spans="1:15" ht="15" x14ac:dyDescent="0.2">
      <c r="A276" s="13">
        <v>49249</v>
      </c>
      <c r="B276" s="9">
        <f>4.6758 * CHOOSE(CONTROL!$C$32, $C$9, 100%, $E$9)</f>
        <v>4.6757999999999997</v>
      </c>
      <c r="C276" s="9">
        <f>4.6758 * CHOOSE(CONTROL!$C$32, $C$9, 100%, $E$9)</f>
        <v>4.6757999999999997</v>
      </c>
      <c r="D276" s="9">
        <f>4.6768 * CHOOSE(CONTROL!$C$32, $C$9, 100%, $E$9)</f>
        <v>4.6768000000000001</v>
      </c>
      <c r="E276" s="11">
        <f>6.0186 * CHOOSE(CONTROL!$C$32, $C$9, 100%, $E$9)</f>
        <v>6.0186000000000002</v>
      </c>
      <c r="F276" s="11">
        <f>6.0186 * CHOOSE(CONTROL!$C$32, $C$9, 100%, $E$9)</f>
        <v>6.0186000000000002</v>
      </c>
      <c r="G276" s="11">
        <f>6.0218 * CHOOSE(CONTROL!$C$32, $C$9, 100%, $E$9)</f>
        <v>6.0217999999999998</v>
      </c>
      <c r="H276" s="11">
        <f>9.9513 * CHOOSE(CONTROL!$C$32, $C$9, 100%, $E$9)</f>
        <v>9.9512999999999998</v>
      </c>
      <c r="I276" s="11">
        <f>9.9545 * CHOOSE(CONTROL!$C$32, $C$9, 100%, $E$9)</f>
        <v>9.9544999999999995</v>
      </c>
      <c r="J276" s="11">
        <f>9.9513 * CHOOSE(CONTROL!$C$32, $C$9, 100%, $E$9)</f>
        <v>9.9512999999999998</v>
      </c>
      <c r="K276" s="11">
        <f>9.9545 * CHOOSE(CONTROL!$C$32, $C$9, 100%, $E$9)</f>
        <v>9.9544999999999995</v>
      </c>
      <c r="L276" s="11">
        <f>6.0186 * CHOOSE(CONTROL!$C$32, $C$9, 100%, $E$9)</f>
        <v>6.0186000000000002</v>
      </c>
      <c r="M276" s="11">
        <f>6.0218 * CHOOSE(CONTROL!$C$32, $C$9, 100%, $E$9)</f>
        <v>6.0217999999999998</v>
      </c>
      <c r="N276" s="11">
        <f>6.0186 * CHOOSE(CONTROL!$C$32, $C$9, 100%, $E$9)</f>
        <v>6.0186000000000002</v>
      </c>
      <c r="O276" s="11">
        <f>6.0218 * CHOOSE(CONTROL!$C$32, $C$9, 100%, $E$9)</f>
        <v>6.0217999999999998</v>
      </c>
    </row>
    <row r="277" spans="1:15" ht="15" x14ac:dyDescent="0.2">
      <c r="A277" s="13">
        <v>49279</v>
      </c>
      <c r="B277" s="9">
        <f>4.6758 * CHOOSE(CONTROL!$C$32, $C$9, 100%, $E$9)</f>
        <v>4.6757999999999997</v>
      </c>
      <c r="C277" s="9">
        <f>4.6758 * CHOOSE(CONTROL!$C$32, $C$9, 100%, $E$9)</f>
        <v>4.6757999999999997</v>
      </c>
      <c r="D277" s="9">
        <f>4.6768 * CHOOSE(CONTROL!$C$32, $C$9, 100%, $E$9)</f>
        <v>4.6768000000000001</v>
      </c>
      <c r="E277" s="11">
        <f>6.0186 * CHOOSE(CONTROL!$C$32, $C$9, 100%, $E$9)</f>
        <v>6.0186000000000002</v>
      </c>
      <c r="F277" s="11">
        <f>6.0186 * CHOOSE(CONTROL!$C$32, $C$9, 100%, $E$9)</f>
        <v>6.0186000000000002</v>
      </c>
      <c r="G277" s="11">
        <f>6.0218 * CHOOSE(CONTROL!$C$32, $C$9, 100%, $E$9)</f>
        <v>6.0217999999999998</v>
      </c>
      <c r="H277" s="11">
        <f>9.9721 * CHOOSE(CONTROL!$C$32, $C$9, 100%, $E$9)</f>
        <v>9.9720999999999993</v>
      </c>
      <c r="I277" s="11">
        <f>9.9753 * CHOOSE(CONTROL!$C$32, $C$9, 100%, $E$9)</f>
        <v>9.9753000000000007</v>
      </c>
      <c r="J277" s="11">
        <f>9.9721 * CHOOSE(CONTROL!$C$32, $C$9, 100%, $E$9)</f>
        <v>9.9720999999999993</v>
      </c>
      <c r="K277" s="11">
        <f>9.9753 * CHOOSE(CONTROL!$C$32, $C$9, 100%, $E$9)</f>
        <v>9.9753000000000007</v>
      </c>
      <c r="L277" s="11">
        <f>6.0186 * CHOOSE(CONTROL!$C$32, $C$9, 100%, $E$9)</f>
        <v>6.0186000000000002</v>
      </c>
      <c r="M277" s="11">
        <f>6.0218 * CHOOSE(CONTROL!$C$32, $C$9, 100%, $E$9)</f>
        <v>6.0217999999999998</v>
      </c>
      <c r="N277" s="11">
        <f>6.0186 * CHOOSE(CONTROL!$C$32, $C$9, 100%, $E$9)</f>
        <v>6.0186000000000002</v>
      </c>
      <c r="O277" s="11">
        <f>6.0218 * CHOOSE(CONTROL!$C$32, $C$9, 100%, $E$9)</f>
        <v>6.0217999999999998</v>
      </c>
    </row>
    <row r="278" spans="1:15" ht="15" x14ac:dyDescent="0.2">
      <c r="A278" s="13">
        <v>49310</v>
      </c>
      <c r="B278" s="9">
        <f>4.713 * CHOOSE(CONTROL!$C$32, $C$9, 100%, $E$9)</f>
        <v>4.7130000000000001</v>
      </c>
      <c r="C278" s="9">
        <f>4.713 * CHOOSE(CONTROL!$C$32, $C$9, 100%, $E$9)</f>
        <v>4.7130000000000001</v>
      </c>
      <c r="D278" s="9">
        <f>4.7139 * CHOOSE(CONTROL!$C$32, $C$9, 100%, $E$9)</f>
        <v>4.7138999999999998</v>
      </c>
      <c r="E278" s="11">
        <f>6.0663 * CHOOSE(CONTROL!$C$32, $C$9, 100%, $E$9)</f>
        <v>6.0663</v>
      </c>
      <c r="F278" s="11">
        <f>6.0663 * CHOOSE(CONTROL!$C$32, $C$9, 100%, $E$9)</f>
        <v>6.0663</v>
      </c>
      <c r="G278" s="11">
        <f>6.0695 * CHOOSE(CONTROL!$C$32, $C$9, 100%, $E$9)</f>
        <v>6.0694999999999997</v>
      </c>
      <c r="H278" s="11">
        <f>9.9928 * CHOOSE(CONTROL!$C$32, $C$9, 100%, $E$9)</f>
        <v>9.9928000000000008</v>
      </c>
      <c r="I278" s="11">
        <f>9.9961 * CHOOSE(CONTROL!$C$32, $C$9, 100%, $E$9)</f>
        <v>9.9961000000000002</v>
      </c>
      <c r="J278" s="11">
        <f>9.9928 * CHOOSE(CONTROL!$C$32, $C$9, 100%, $E$9)</f>
        <v>9.9928000000000008</v>
      </c>
      <c r="K278" s="11">
        <f>9.9961 * CHOOSE(CONTROL!$C$32, $C$9, 100%, $E$9)</f>
        <v>9.9961000000000002</v>
      </c>
      <c r="L278" s="11">
        <f>6.0663 * CHOOSE(CONTROL!$C$32, $C$9, 100%, $E$9)</f>
        <v>6.0663</v>
      </c>
      <c r="M278" s="11">
        <f>6.0695 * CHOOSE(CONTROL!$C$32, $C$9, 100%, $E$9)</f>
        <v>6.0694999999999997</v>
      </c>
      <c r="N278" s="11">
        <f>6.0663 * CHOOSE(CONTROL!$C$32, $C$9, 100%, $E$9)</f>
        <v>6.0663</v>
      </c>
      <c r="O278" s="11">
        <f>6.0695 * CHOOSE(CONTROL!$C$32, $C$9, 100%, $E$9)</f>
        <v>6.0694999999999997</v>
      </c>
    </row>
    <row r="279" spans="1:15" ht="15" x14ac:dyDescent="0.2">
      <c r="A279" s="13">
        <v>49341</v>
      </c>
      <c r="B279" s="9">
        <f>4.71 * CHOOSE(CONTROL!$C$32, $C$9, 100%, $E$9)</f>
        <v>4.71</v>
      </c>
      <c r="C279" s="9">
        <f>4.71 * CHOOSE(CONTROL!$C$32, $C$9, 100%, $E$9)</f>
        <v>4.71</v>
      </c>
      <c r="D279" s="9">
        <f>4.7109 * CHOOSE(CONTROL!$C$32, $C$9, 100%, $E$9)</f>
        <v>4.7108999999999996</v>
      </c>
      <c r="E279" s="11">
        <f>6.3757 * CHOOSE(CONTROL!$C$32, $C$9, 100%, $E$9)</f>
        <v>6.3757000000000001</v>
      </c>
      <c r="F279" s="11">
        <f>6.3757 * CHOOSE(CONTROL!$C$32, $C$9, 100%, $E$9)</f>
        <v>6.3757000000000001</v>
      </c>
      <c r="G279" s="11">
        <f>6.3789 * CHOOSE(CONTROL!$C$32, $C$9, 100%, $E$9)</f>
        <v>6.3788999999999998</v>
      </c>
      <c r="H279" s="11">
        <f>10.0136 * CHOOSE(CONTROL!$C$32, $C$9, 100%, $E$9)</f>
        <v>10.0136</v>
      </c>
      <c r="I279" s="11">
        <f>10.0169 * CHOOSE(CONTROL!$C$32, $C$9, 100%, $E$9)</f>
        <v>10.0169</v>
      </c>
      <c r="J279" s="11">
        <f>10.0136 * CHOOSE(CONTROL!$C$32, $C$9, 100%, $E$9)</f>
        <v>10.0136</v>
      </c>
      <c r="K279" s="11">
        <f>10.0169 * CHOOSE(CONTROL!$C$32, $C$9, 100%, $E$9)</f>
        <v>10.0169</v>
      </c>
      <c r="L279" s="11">
        <f>6.3757 * CHOOSE(CONTROL!$C$32, $C$9, 100%, $E$9)</f>
        <v>6.3757000000000001</v>
      </c>
      <c r="M279" s="11">
        <f>6.3789 * CHOOSE(CONTROL!$C$32, $C$9, 100%, $E$9)</f>
        <v>6.3788999999999998</v>
      </c>
      <c r="N279" s="11">
        <f>6.3757 * CHOOSE(CONTROL!$C$32, $C$9, 100%, $E$9)</f>
        <v>6.3757000000000001</v>
      </c>
      <c r="O279" s="11">
        <f>6.3789 * CHOOSE(CONTROL!$C$32, $C$9, 100%, $E$9)</f>
        <v>6.3788999999999998</v>
      </c>
    </row>
    <row r="280" spans="1:15" ht="15" x14ac:dyDescent="0.2">
      <c r="A280" s="13">
        <v>49369</v>
      </c>
      <c r="B280" s="9">
        <f>4.7069 * CHOOSE(CONTROL!$C$32, $C$9, 100%, $E$9)</f>
        <v>4.7069000000000001</v>
      </c>
      <c r="C280" s="9">
        <f>4.7069 * CHOOSE(CONTROL!$C$32, $C$9, 100%, $E$9)</f>
        <v>4.7069000000000001</v>
      </c>
      <c r="D280" s="9">
        <f>4.7079 * CHOOSE(CONTROL!$C$32, $C$9, 100%, $E$9)</f>
        <v>4.7079000000000004</v>
      </c>
      <c r="E280" s="11">
        <f>6.0623 * CHOOSE(CONTROL!$C$32, $C$9, 100%, $E$9)</f>
        <v>6.0622999999999996</v>
      </c>
      <c r="F280" s="11">
        <f>6.0623 * CHOOSE(CONTROL!$C$32, $C$9, 100%, $E$9)</f>
        <v>6.0622999999999996</v>
      </c>
      <c r="G280" s="11">
        <f>6.0655 * CHOOSE(CONTROL!$C$32, $C$9, 100%, $E$9)</f>
        <v>6.0655000000000001</v>
      </c>
      <c r="H280" s="11">
        <f>10.0345 * CHOOSE(CONTROL!$C$32, $C$9, 100%, $E$9)</f>
        <v>10.0345</v>
      </c>
      <c r="I280" s="11">
        <f>10.0377 * CHOOSE(CONTROL!$C$32, $C$9, 100%, $E$9)</f>
        <v>10.037699999999999</v>
      </c>
      <c r="J280" s="11">
        <f>10.0345 * CHOOSE(CONTROL!$C$32, $C$9, 100%, $E$9)</f>
        <v>10.0345</v>
      </c>
      <c r="K280" s="11">
        <f>10.0377 * CHOOSE(CONTROL!$C$32, $C$9, 100%, $E$9)</f>
        <v>10.037699999999999</v>
      </c>
      <c r="L280" s="11">
        <f>6.0623 * CHOOSE(CONTROL!$C$32, $C$9, 100%, $E$9)</f>
        <v>6.0622999999999996</v>
      </c>
      <c r="M280" s="11">
        <f>6.0655 * CHOOSE(CONTROL!$C$32, $C$9, 100%, $E$9)</f>
        <v>6.0655000000000001</v>
      </c>
      <c r="N280" s="11">
        <f>6.0623 * CHOOSE(CONTROL!$C$32, $C$9, 100%, $E$9)</f>
        <v>6.0622999999999996</v>
      </c>
      <c r="O280" s="11">
        <f>6.0655 * CHOOSE(CONTROL!$C$32, $C$9, 100%, $E$9)</f>
        <v>6.0655000000000001</v>
      </c>
    </row>
    <row r="281" spans="1:15" ht="15" x14ac:dyDescent="0.2">
      <c r="A281" s="13">
        <v>49400</v>
      </c>
      <c r="B281" s="9">
        <f>4.7052 * CHOOSE(CONTROL!$C$32, $C$9, 100%, $E$9)</f>
        <v>4.7051999999999996</v>
      </c>
      <c r="C281" s="9">
        <f>4.7052 * CHOOSE(CONTROL!$C$32, $C$9, 100%, $E$9)</f>
        <v>4.7051999999999996</v>
      </c>
      <c r="D281" s="9">
        <f>4.7062 * CHOOSE(CONTROL!$C$32, $C$9, 100%, $E$9)</f>
        <v>4.7061999999999999</v>
      </c>
      <c r="E281" s="11">
        <f>6.0605 * CHOOSE(CONTROL!$C$32, $C$9, 100%, $E$9)</f>
        <v>6.0605000000000002</v>
      </c>
      <c r="F281" s="11">
        <f>6.0605 * CHOOSE(CONTROL!$C$32, $C$9, 100%, $E$9)</f>
        <v>6.0605000000000002</v>
      </c>
      <c r="G281" s="11">
        <f>6.0638 * CHOOSE(CONTROL!$C$32, $C$9, 100%, $E$9)</f>
        <v>6.0637999999999996</v>
      </c>
      <c r="H281" s="11">
        <f>10.0554 * CHOOSE(CONTROL!$C$32, $C$9, 100%, $E$9)</f>
        <v>10.055400000000001</v>
      </c>
      <c r="I281" s="11">
        <f>10.0586 * CHOOSE(CONTROL!$C$32, $C$9, 100%, $E$9)</f>
        <v>10.0586</v>
      </c>
      <c r="J281" s="11">
        <f>10.0554 * CHOOSE(CONTROL!$C$32, $C$9, 100%, $E$9)</f>
        <v>10.055400000000001</v>
      </c>
      <c r="K281" s="11">
        <f>10.0586 * CHOOSE(CONTROL!$C$32, $C$9, 100%, $E$9)</f>
        <v>10.0586</v>
      </c>
      <c r="L281" s="11">
        <f>6.0605 * CHOOSE(CONTROL!$C$32, $C$9, 100%, $E$9)</f>
        <v>6.0605000000000002</v>
      </c>
      <c r="M281" s="11">
        <f>6.0638 * CHOOSE(CONTROL!$C$32, $C$9, 100%, $E$9)</f>
        <v>6.0637999999999996</v>
      </c>
      <c r="N281" s="11">
        <f>6.0605 * CHOOSE(CONTROL!$C$32, $C$9, 100%, $E$9)</f>
        <v>6.0605000000000002</v>
      </c>
      <c r="O281" s="11">
        <f>6.0638 * CHOOSE(CONTROL!$C$32, $C$9, 100%, $E$9)</f>
        <v>6.0637999999999996</v>
      </c>
    </row>
    <row r="282" spans="1:15" ht="15" x14ac:dyDescent="0.2">
      <c r="A282" s="13">
        <v>49430</v>
      </c>
      <c r="B282" s="9">
        <f>4.7052 * CHOOSE(CONTROL!$C$32, $C$9, 100%, $E$9)</f>
        <v>4.7051999999999996</v>
      </c>
      <c r="C282" s="9">
        <f>4.7052 * CHOOSE(CONTROL!$C$32, $C$9, 100%, $E$9)</f>
        <v>4.7051999999999996</v>
      </c>
      <c r="D282" s="9">
        <f>4.7065 * CHOOSE(CONTROL!$C$32, $C$9, 100%, $E$9)</f>
        <v>4.7065000000000001</v>
      </c>
      <c r="E282" s="11">
        <f>6.0605 * CHOOSE(CONTROL!$C$32, $C$9, 100%, $E$9)</f>
        <v>6.0605000000000002</v>
      </c>
      <c r="F282" s="11">
        <f>6.0605 * CHOOSE(CONTROL!$C$32, $C$9, 100%, $E$9)</f>
        <v>6.0605000000000002</v>
      </c>
      <c r="G282" s="11">
        <f>6.0647 * CHOOSE(CONTROL!$C$32, $C$9, 100%, $E$9)</f>
        <v>6.0647000000000002</v>
      </c>
      <c r="H282" s="11">
        <f>10.0764 * CHOOSE(CONTROL!$C$32, $C$9, 100%, $E$9)</f>
        <v>10.0764</v>
      </c>
      <c r="I282" s="11">
        <f>10.0806 * CHOOSE(CONTROL!$C$32, $C$9, 100%, $E$9)</f>
        <v>10.0806</v>
      </c>
      <c r="J282" s="11">
        <f>10.0764 * CHOOSE(CONTROL!$C$32, $C$9, 100%, $E$9)</f>
        <v>10.0764</v>
      </c>
      <c r="K282" s="11">
        <f>10.0806 * CHOOSE(CONTROL!$C$32, $C$9, 100%, $E$9)</f>
        <v>10.0806</v>
      </c>
      <c r="L282" s="11">
        <f>6.0605 * CHOOSE(CONTROL!$C$32, $C$9, 100%, $E$9)</f>
        <v>6.0605000000000002</v>
      </c>
      <c r="M282" s="11">
        <f>6.0647 * CHOOSE(CONTROL!$C$32, $C$9, 100%, $E$9)</f>
        <v>6.0647000000000002</v>
      </c>
      <c r="N282" s="11">
        <f>6.0605 * CHOOSE(CONTROL!$C$32, $C$9, 100%, $E$9)</f>
        <v>6.0605000000000002</v>
      </c>
      <c r="O282" s="11">
        <f>6.0647 * CHOOSE(CONTROL!$C$32, $C$9, 100%, $E$9)</f>
        <v>6.0647000000000002</v>
      </c>
    </row>
    <row r="283" spans="1:15" ht="15" x14ac:dyDescent="0.2">
      <c r="A283" s="13">
        <v>49461</v>
      </c>
      <c r="B283" s="9">
        <f>4.7113 * CHOOSE(CONTROL!$C$32, $C$9, 100%, $E$9)</f>
        <v>4.7112999999999996</v>
      </c>
      <c r="C283" s="9">
        <f>4.7113 * CHOOSE(CONTROL!$C$32, $C$9, 100%, $E$9)</f>
        <v>4.7112999999999996</v>
      </c>
      <c r="D283" s="9">
        <f>4.7126 * CHOOSE(CONTROL!$C$32, $C$9, 100%, $E$9)</f>
        <v>4.7126000000000001</v>
      </c>
      <c r="E283" s="11">
        <f>6.0645 * CHOOSE(CONTROL!$C$32, $C$9, 100%, $E$9)</f>
        <v>6.0644999999999998</v>
      </c>
      <c r="F283" s="11">
        <f>6.0645 * CHOOSE(CONTROL!$C$32, $C$9, 100%, $E$9)</f>
        <v>6.0644999999999998</v>
      </c>
      <c r="G283" s="11">
        <f>6.0687 * CHOOSE(CONTROL!$C$32, $C$9, 100%, $E$9)</f>
        <v>6.0686999999999998</v>
      </c>
      <c r="H283" s="11">
        <f>10.0974 * CHOOSE(CONTROL!$C$32, $C$9, 100%, $E$9)</f>
        <v>10.0974</v>
      </c>
      <c r="I283" s="11">
        <f>10.1016 * CHOOSE(CONTROL!$C$32, $C$9, 100%, $E$9)</f>
        <v>10.101599999999999</v>
      </c>
      <c r="J283" s="11">
        <f>10.0974 * CHOOSE(CONTROL!$C$32, $C$9, 100%, $E$9)</f>
        <v>10.0974</v>
      </c>
      <c r="K283" s="11">
        <f>10.1016 * CHOOSE(CONTROL!$C$32, $C$9, 100%, $E$9)</f>
        <v>10.101599999999999</v>
      </c>
      <c r="L283" s="11">
        <f>6.0645 * CHOOSE(CONTROL!$C$32, $C$9, 100%, $E$9)</f>
        <v>6.0644999999999998</v>
      </c>
      <c r="M283" s="11">
        <f>6.0687 * CHOOSE(CONTROL!$C$32, $C$9, 100%, $E$9)</f>
        <v>6.0686999999999998</v>
      </c>
      <c r="N283" s="11">
        <f>6.0645 * CHOOSE(CONTROL!$C$32, $C$9, 100%, $E$9)</f>
        <v>6.0644999999999998</v>
      </c>
      <c r="O283" s="11">
        <f>6.0687 * CHOOSE(CONTROL!$C$32, $C$9, 100%, $E$9)</f>
        <v>6.0686999999999998</v>
      </c>
    </row>
    <row r="284" spans="1:15" ht="15" x14ac:dyDescent="0.2">
      <c r="A284" s="13">
        <v>49491</v>
      </c>
      <c r="B284" s="9">
        <f>4.7784 * CHOOSE(CONTROL!$C$32, $C$9, 100%, $E$9)</f>
        <v>4.7784000000000004</v>
      </c>
      <c r="C284" s="9">
        <f>4.7784 * CHOOSE(CONTROL!$C$32, $C$9, 100%, $E$9)</f>
        <v>4.7784000000000004</v>
      </c>
      <c r="D284" s="9">
        <f>4.7796 * CHOOSE(CONTROL!$C$32, $C$9, 100%, $E$9)</f>
        <v>4.7796000000000003</v>
      </c>
      <c r="E284" s="11">
        <f>6.1692 * CHOOSE(CONTROL!$C$32, $C$9, 100%, $E$9)</f>
        <v>6.1692</v>
      </c>
      <c r="F284" s="11">
        <f>6.1692 * CHOOSE(CONTROL!$C$32, $C$9, 100%, $E$9)</f>
        <v>6.1692</v>
      </c>
      <c r="G284" s="11">
        <f>6.1734 * CHOOSE(CONTROL!$C$32, $C$9, 100%, $E$9)</f>
        <v>6.1734</v>
      </c>
      <c r="H284" s="11">
        <f>10.1184 * CHOOSE(CONTROL!$C$32, $C$9, 100%, $E$9)</f>
        <v>10.118399999999999</v>
      </c>
      <c r="I284" s="11">
        <f>10.1226 * CHOOSE(CONTROL!$C$32, $C$9, 100%, $E$9)</f>
        <v>10.1226</v>
      </c>
      <c r="J284" s="11">
        <f>10.1184 * CHOOSE(CONTROL!$C$32, $C$9, 100%, $E$9)</f>
        <v>10.118399999999999</v>
      </c>
      <c r="K284" s="11">
        <f>10.1226 * CHOOSE(CONTROL!$C$32, $C$9, 100%, $E$9)</f>
        <v>10.1226</v>
      </c>
      <c r="L284" s="11">
        <f>6.1692 * CHOOSE(CONTROL!$C$32, $C$9, 100%, $E$9)</f>
        <v>6.1692</v>
      </c>
      <c r="M284" s="11">
        <f>6.1734 * CHOOSE(CONTROL!$C$32, $C$9, 100%, $E$9)</f>
        <v>6.1734</v>
      </c>
      <c r="N284" s="11">
        <f>6.1692 * CHOOSE(CONTROL!$C$32, $C$9, 100%, $E$9)</f>
        <v>6.1692</v>
      </c>
      <c r="O284" s="11">
        <f>6.1734 * CHOOSE(CONTROL!$C$32, $C$9, 100%, $E$9)</f>
        <v>6.1734</v>
      </c>
    </row>
    <row r="285" spans="1:15" ht="15" x14ac:dyDescent="0.2">
      <c r="A285" s="13">
        <v>49522</v>
      </c>
      <c r="B285" s="9">
        <f>4.785 * CHOOSE(CONTROL!$C$32, $C$9, 100%, $E$9)</f>
        <v>4.7850000000000001</v>
      </c>
      <c r="C285" s="9">
        <f>4.785 * CHOOSE(CONTROL!$C$32, $C$9, 100%, $E$9)</f>
        <v>4.7850000000000001</v>
      </c>
      <c r="D285" s="9">
        <f>4.7863 * CHOOSE(CONTROL!$C$32, $C$9, 100%, $E$9)</f>
        <v>4.7862999999999998</v>
      </c>
      <c r="E285" s="11">
        <f>6.523 * CHOOSE(CONTROL!$C$32, $C$9, 100%, $E$9)</f>
        <v>6.5229999999999997</v>
      </c>
      <c r="F285" s="11">
        <f>6.523 * CHOOSE(CONTROL!$C$32, $C$9, 100%, $E$9)</f>
        <v>6.5229999999999997</v>
      </c>
      <c r="G285" s="11">
        <f>6.5272 * CHOOSE(CONTROL!$C$32, $C$9, 100%, $E$9)</f>
        <v>6.5271999999999997</v>
      </c>
      <c r="H285" s="11">
        <f>10.1395 * CHOOSE(CONTROL!$C$32, $C$9, 100%, $E$9)</f>
        <v>10.1395</v>
      </c>
      <c r="I285" s="11">
        <f>10.1437 * CHOOSE(CONTROL!$C$32, $C$9, 100%, $E$9)</f>
        <v>10.143700000000001</v>
      </c>
      <c r="J285" s="11">
        <f>10.1395 * CHOOSE(CONTROL!$C$32, $C$9, 100%, $E$9)</f>
        <v>10.1395</v>
      </c>
      <c r="K285" s="11">
        <f>10.1437 * CHOOSE(CONTROL!$C$32, $C$9, 100%, $E$9)</f>
        <v>10.143700000000001</v>
      </c>
      <c r="L285" s="11">
        <f>6.523 * CHOOSE(CONTROL!$C$32, $C$9, 100%, $E$9)</f>
        <v>6.5229999999999997</v>
      </c>
      <c r="M285" s="11">
        <f>6.5272 * CHOOSE(CONTROL!$C$32, $C$9, 100%, $E$9)</f>
        <v>6.5271999999999997</v>
      </c>
      <c r="N285" s="11">
        <f>6.523 * CHOOSE(CONTROL!$C$32, $C$9, 100%, $E$9)</f>
        <v>6.5229999999999997</v>
      </c>
      <c r="O285" s="11">
        <f>6.5272 * CHOOSE(CONTROL!$C$32, $C$9, 100%, $E$9)</f>
        <v>6.5271999999999997</v>
      </c>
    </row>
    <row r="286" spans="1:15" ht="15" x14ac:dyDescent="0.2">
      <c r="A286" s="13">
        <v>49553</v>
      </c>
      <c r="B286" s="9">
        <f>4.782 * CHOOSE(CONTROL!$C$32, $C$9, 100%, $E$9)</f>
        <v>4.782</v>
      </c>
      <c r="C286" s="9">
        <f>4.782 * CHOOSE(CONTROL!$C$32, $C$9, 100%, $E$9)</f>
        <v>4.782</v>
      </c>
      <c r="D286" s="9">
        <f>4.7833 * CHOOSE(CONTROL!$C$32, $C$9, 100%, $E$9)</f>
        <v>4.7832999999999997</v>
      </c>
      <c r="E286" s="11">
        <f>6.5105 * CHOOSE(CONTROL!$C$32, $C$9, 100%, $E$9)</f>
        <v>6.5105000000000004</v>
      </c>
      <c r="F286" s="11">
        <f>6.5105 * CHOOSE(CONTROL!$C$32, $C$9, 100%, $E$9)</f>
        <v>6.5105000000000004</v>
      </c>
      <c r="G286" s="11">
        <f>6.5147 * CHOOSE(CONTROL!$C$32, $C$9, 100%, $E$9)</f>
        <v>6.5147000000000004</v>
      </c>
      <c r="H286" s="11">
        <f>10.1606 * CHOOSE(CONTROL!$C$32, $C$9, 100%, $E$9)</f>
        <v>10.160600000000001</v>
      </c>
      <c r="I286" s="11">
        <f>10.1648 * CHOOSE(CONTROL!$C$32, $C$9, 100%, $E$9)</f>
        <v>10.1648</v>
      </c>
      <c r="J286" s="11">
        <f>10.1606 * CHOOSE(CONTROL!$C$32, $C$9, 100%, $E$9)</f>
        <v>10.160600000000001</v>
      </c>
      <c r="K286" s="11">
        <f>10.1648 * CHOOSE(CONTROL!$C$32, $C$9, 100%, $E$9)</f>
        <v>10.1648</v>
      </c>
      <c r="L286" s="11">
        <f>6.5105 * CHOOSE(CONTROL!$C$32, $C$9, 100%, $E$9)</f>
        <v>6.5105000000000004</v>
      </c>
      <c r="M286" s="11">
        <f>6.5147 * CHOOSE(CONTROL!$C$32, $C$9, 100%, $E$9)</f>
        <v>6.5147000000000004</v>
      </c>
      <c r="N286" s="11">
        <f>6.5105 * CHOOSE(CONTROL!$C$32, $C$9, 100%, $E$9)</f>
        <v>6.5105000000000004</v>
      </c>
      <c r="O286" s="11">
        <f>6.5147 * CHOOSE(CONTROL!$C$32, $C$9, 100%, $E$9)</f>
        <v>6.5147000000000004</v>
      </c>
    </row>
    <row r="287" spans="1:15" ht="15" x14ac:dyDescent="0.2">
      <c r="A287" s="13">
        <v>49583</v>
      </c>
      <c r="B287" s="9">
        <f>4.78 * CHOOSE(CONTROL!$C$32, $C$9, 100%, $E$9)</f>
        <v>4.78</v>
      </c>
      <c r="C287" s="9">
        <f>4.78 * CHOOSE(CONTROL!$C$32, $C$9, 100%, $E$9)</f>
        <v>4.78</v>
      </c>
      <c r="D287" s="9">
        <f>4.7809 * CHOOSE(CONTROL!$C$32, $C$9, 100%, $E$9)</f>
        <v>4.7808999999999999</v>
      </c>
      <c r="E287" s="11">
        <f>6.1678 * CHOOSE(CONTROL!$C$32, $C$9, 100%, $E$9)</f>
        <v>6.1677999999999997</v>
      </c>
      <c r="F287" s="11">
        <f>6.1678 * CHOOSE(CONTROL!$C$32, $C$9, 100%, $E$9)</f>
        <v>6.1677999999999997</v>
      </c>
      <c r="G287" s="11">
        <f>6.171 * CHOOSE(CONTROL!$C$32, $C$9, 100%, $E$9)</f>
        <v>6.1710000000000003</v>
      </c>
      <c r="H287" s="11">
        <f>10.1818 * CHOOSE(CONTROL!$C$32, $C$9, 100%, $E$9)</f>
        <v>10.181800000000001</v>
      </c>
      <c r="I287" s="11">
        <f>10.185 * CHOOSE(CONTROL!$C$32, $C$9, 100%, $E$9)</f>
        <v>10.185</v>
      </c>
      <c r="J287" s="11">
        <f>10.1818 * CHOOSE(CONTROL!$C$32, $C$9, 100%, $E$9)</f>
        <v>10.181800000000001</v>
      </c>
      <c r="K287" s="11">
        <f>10.185 * CHOOSE(CONTROL!$C$32, $C$9, 100%, $E$9)</f>
        <v>10.185</v>
      </c>
      <c r="L287" s="11">
        <f>6.1678 * CHOOSE(CONTROL!$C$32, $C$9, 100%, $E$9)</f>
        <v>6.1677999999999997</v>
      </c>
      <c r="M287" s="11">
        <f>6.171 * CHOOSE(CONTROL!$C$32, $C$9, 100%, $E$9)</f>
        <v>6.1710000000000003</v>
      </c>
      <c r="N287" s="11">
        <f>6.1678 * CHOOSE(CONTROL!$C$32, $C$9, 100%, $E$9)</f>
        <v>6.1677999999999997</v>
      </c>
      <c r="O287" s="11">
        <f>6.171 * CHOOSE(CONTROL!$C$32, $C$9, 100%, $E$9)</f>
        <v>6.1710000000000003</v>
      </c>
    </row>
    <row r="288" spans="1:15" ht="15" x14ac:dyDescent="0.2">
      <c r="A288" s="13">
        <v>49614</v>
      </c>
      <c r="B288" s="9">
        <f>4.783 * CHOOSE(CONTROL!$C$32, $C$9, 100%, $E$9)</f>
        <v>4.7830000000000004</v>
      </c>
      <c r="C288" s="9">
        <f>4.783 * CHOOSE(CONTROL!$C$32, $C$9, 100%, $E$9)</f>
        <v>4.7830000000000004</v>
      </c>
      <c r="D288" s="9">
        <f>4.784 * CHOOSE(CONTROL!$C$32, $C$9, 100%, $E$9)</f>
        <v>4.7839999999999998</v>
      </c>
      <c r="E288" s="11">
        <f>6.1698 * CHOOSE(CONTROL!$C$32, $C$9, 100%, $E$9)</f>
        <v>6.1698000000000004</v>
      </c>
      <c r="F288" s="11">
        <f>6.1698 * CHOOSE(CONTROL!$C$32, $C$9, 100%, $E$9)</f>
        <v>6.1698000000000004</v>
      </c>
      <c r="G288" s="11">
        <f>6.173 * CHOOSE(CONTROL!$C$32, $C$9, 100%, $E$9)</f>
        <v>6.173</v>
      </c>
      <c r="H288" s="11">
        <f>10.203 * CHOOSE(CONTROL!$C$32, $C$9, 100%, $E$9)</f>
        <v>10.202999999999999</v>
      </c>
      <c r="I288" s="11">
        <f>10.2062 * CHOOSE(CONTROL!$C$32, $C$9, 100%, $E$9)</f>
        <v>10.206200000000001</v>
      </c>
      <c r="J288" s="11">
        <f>10.203 * CHOOSE(CONTROL!$C$32, $C$9, 100%, $E$9)</f>
        <v>10.202999999999999</v>
      </c>
      <c r="K288" s="11">
        <f>10.2062 * CHOOSE(CONTROL!$C$32, $C$9, 100%, $E$9)</f>
        <v>10.206200000000001</v>
      </c>
      <c r="L288" s="11">
        <f>6.1698 * CHOOSE(CONTROL!$C$32, $C$9, 100%, $E$9)</f>
        <v>6.1698000000000004</v>
      </c>
      <c r="M288" s="11">
        <f>6.173 * CHOOSE(CONTROL!$C$32, $C$9, 100%, $E$9)</f>
        <v>6.173</v>
      </c>
      <c r="N288" s="11">
        <f>6.1698 * CHOOSE(CONTROL!$C$32, $C$9, 100%, $E$9)</f>
        <v>6.1698000000000004</v>
      </c>
      <c r="O288" s="11">
        <f>6.173 * CHOOSE(CONTROL!$C$32, $C$9, 100%, $E$9)</f>
        <v>6.173</v>
      </c>
    </row>
    <row r="289" spans="1:15" ht="15" x14ac:dyDescent="0.2">
      <c r="A289" s="13">
        <v>49644</v>
      </c>
      <c r="B289" s="9">
        <f>4.783 * CHOOSE(CONTROL!$C$32, $C$9, 100%, $E$9)</f>
        <v>4.7830000000000004</v>
      </c>
      <c r="C289" s="9">
        <f>4.783 * CHOOSE(CONTROL!$C$32, $C$9, 100%, $E$9)</f>
        <v>4.7830000000000004</v>
      </c>
      <c r="D289" s="9">
        <f>4.784 * CHOOSE(CONTROL!$C$32, $C$9, 100%, $E$9)</f>
        <v>4.7839999999999998</v>
      </c>
      <c r="E289" s="11">
        <f>6.5096 * CHOOSE(CONTROL!$C$32, $C$9, 100%, $E$9)</f>
        <v>6.5095999999999998</v>
      </c>
      <c r="F289" s="11">
        <f>6.5096 * CHOOSE(CONTROL!$C$32, $C$9, 100%, $E$9)</f>
        <v>6.5095999999999998</v>
      </c>
      <c r="G289" s="11">
        <f>6.5128 * CHOOSE(CONTROL!$C$32, $C$9, 100%, $E$9)</f>
        <v>6.5128000000000004</v>
      </c>
      <c r="H289" s="11">
        <f>10.2242 * CHOOSE(CONTROL!$C$32, $C$9, 100%, $E$9)</f>
        <v>10.2242</v>
      </c>
      <c r="I289" s="11">
        <f>10.2275 * CHOOSE(CONTROL!$C$32, $C$9, 100%, $E$9)</f>
        <v>10.227499999999999</v>
      </c>
      <c r="J289" s="11">
        <f>10.2242 * CHOOSE(CONTROL!$C$32, $C$9, 100%, $E$9)</f>
        <v>10.2242</v>
      </c>
      <c r="K289" s="11">
        <f>10.2275 * CHOOSE(CONTROL!$C$32, $C$9, 100%, $E$9)</f>
        <v>10.227499999999999</v>
      </c>
      <c r="L289" s="11">
        <f>6.5096 * CHOOSE(CONTROL!$C$32, $C$9, 100%, $E$9)</f>
        <v>6.5095999999999998</v>
      </c>
      <c r="M289" s="11">
        <f>6.5128 * CHOOSE(CONTROL!$C$32, $C$9, 100%, $E$9)</f>
        <v>6.5128000000000004</v>
      </c>
      <c r="N289" s="11">
        <f>6.5096 * CHOOSE(CONTROL!$C$32, $C$9, 100%, $E$9)</f>
        <v>6.5095999999999998</v>
      </c>
      <c r="O289" s="11">
        <f>6.5128 * CHOOSE(CONTROL!$C$32, $C$9, 100%, $E$9)</f>
        <v>6.5128000000000004</v>
      </c>
    </row>
    <row r="290" spans="1:15" ht="15" x14ac:dyDescent="0.2">
      <c r="A290" s="13">
        <v>49675</v>
      </c>
      <c r="B290" s="9">
        <f>4.8216 * CHOOSE(CONTROL!$C$32, $C$9, 100%, $E$9)</f>
        <v>4.8216000000000001</v>
      </c>
      <c r="C290" s="9">
        <f>4.8216 * CHOOSE(CONTROL!$C$32, $C$9, 100%, $E$9)</f>
        <v>4.8216000000000001</v>
      </c>
      <c r="D290" s="9">
        <f>4.8225 * CHOOSE(CONTROL!$C$32, $C$9, 100%, $E$9)</f>
        <v>4.8224999999999998</v>
      </c>
      <c r="E290" s="11">
        <f>6.5301 * CHOOSE(CONTROL!$C$32, $C$9, 100%, $E$9)</f>
        <v>6.5301</v>
      </c>
      <c r="F290" s="11">
        <f>6.5301 * CHOOSE(CONTROL!$C$32, $C$9, 100%, $E$9)</f>
        <v>6.5301</v>
      </c>
      <c r="G290" s="11">
        <f>6.5333 * CHOOSE(CONTROL!$C$32, $C$9, 100%, $E$9)</f>
        <v>6.5332999999999997</v>
      </c>
      <c r="H290" s="11">
        <f>10.2455 * CHOOSE(CONTROL!$C$32, $C$9, 100%, $E$9)</f>
        <v>10.2455</v>
      </c>
      <c r="I290" s="11">
        <f>10.2488 * CHOOSE(CONTROL!$C$32, $C$9, 100%, $E$9)</f>
        <v>10.248799999999999</v>
      </c>
      <c r="J290" s="11">
        <f>10.2455 * CHOOSE(CONTROL!$C$32, $C$9, 100%, $E$9)</f>
        <v>10.2455</v>
      </c>
      <c r="K290" s="11">
        <f>10.2488 * CHOOSE(CONTROL!$C$32, $C$9, 100%, $E$9)</f>
        <v>10.248799999999999</v>
      </c>
      <c r="L290" s="11">
        <f>6.5301 * CHOOSE(CONTROL!$C$32, $C$9, 100%, $E$9)</f>
        <v>6.5301</v>
      </c>
      <c r="M290" s="11">
        <f>6.5333 * CHOOSE(CONTROL!$C$32, $C$9, 100%, $E$9)</f>
        <v>6.5332999999999997</v>
      </c>
      <c r="N290" s="11">
        <f>6.5301 * CHOOSE(CONTROL!$C$32, $C$9, 100%, $E$9)</f>
        <v>6.5301</v>
      </c>
      <c r="O290" s="11">
        <f>6.5333 * CHOOSE(CONTROL!$C$32, $C$9, 100%, $E$9)</f>
        <v>6.5332999999999997</v>
      </c>
    </row>
    <row r="291" spans="1:15" ht="15" x14ac:dyDescent="0.2">
      <c r="A291" s="13">
        <v>49706</v>
      </c>
      <c r="B291" s="9">
        <f>4.8186 * CHOOSE(CONTROL!$C$32, $C$9, 100%, $E$9)</f>
        <v>4.8186</v>
      </c>
      <c r="C291" s="9">
        <f>4.8186 * CHOOSE(CONTROL!$C$32, $C$9, 100%, $E$9)</f>
        <v>4.8186</v>
      </c>
      <c r="D291" s="9">
        <f>4.8195 * CHOOSE(CONTROL!$C$32, $C$9, 100%, $E$9)</f>
        <v>4.8194999999999997</v>
      </c>
      <c r="E291" s="11">
        <f>6.4268 * CHOOSE(CONTROL!$C$32, $C$9, 100%, $E$9)</f>
        <v>6.4268000000000001</v>
      </c>
      <c r="F291" s="11">
        <f>6.4268 * CHOOSE(CONTROL!$C$32, $C$9, 100%, $E$9)</f>
        <v>6.4268000000000001</v>
      </c>
      <c r="G291" s="11">
        <f>6.43 * CHOOSE(CONTROL!$C$32, $C$9, 100%, $E$9)</f>
        <v>6.43</v>
      </c>
      <c r="H291" s="11">
        <f>10.2669 * CHOOSE(CONTROL!$C$32, $C$9, 100%, $E$9)</f>
        <v>10.2669</v>
      </c>
      <c r="I291" s="11">
        <f>10.2701 * CHOOSE(CONTROL!$C$32, $C$9, 100%, $E$9)</f>
        <v>10.270099999999999</v>
      </c>
      <c r="J291" s="11">
        <f>10.2669 * CHOOSE(CONTROL!$C$32, $C$9, 100%, $E$9)</f>
        <v>10.2669</v>
      </c>
      <c r="K291" s="11">
        <f>10.2701 * CHOOSE(CONTROL!$C$32, $C$9, 100%, $E$9)</f>
        <v>10.270099999999999</v>
      </c>
      <c r="L291" s="11">
        <f>6.4268 * CHOOSE(CONTROL!$C$32, $C$9, 100%, $E$9)</f>
        <v>6.4268000000000001</v>
      </c>
      <c r="M291" s="11">
        <f>6.43 * CHOOSE(CONTROL!$C$32, $C$9, 100%, $E$9)</f>
        <v>6.43</v>
      </c>
      <c r="N291" s="11">
        <f>6.4268 * CHOOSE(CONTROL!$C$32, $C$9, 100%, $E$9)</f>
        <v>6.4268000000000001</v>
      </c>
      <c r="O291" s="11">
        <f>6.43 * CHOOSE(CONTROL!$C$32, $C$9, 100%, $E$9)</f>
        <v>6.43</v>
      </c>
    </row>
    <row r="292" spans="1:15" ht="15" x14ac:dyDescent="0.2">
      <c r="A292" s="13">
        <v>49735</v>
      </c>
      <c r="B292" s="9">
        <f>4.8155 * CHOOSE(CONTROL!$C$32, $C$9, 100%, $E$9)</f>
        <v>4.8155000000000001</v>
      </c>
      <c r="C292" s="9">
        <f>4.8155 * CHOOSE(CONTROL!$C$32, $C$9, 100%, $E$9)</f>
        <v>4.8155000000000001</v>
      </c>
      <c r="D292" s="9">
        <f>4.8165 * CHOOSE(CONTROL!$C$32, $C$9, 100%, $E$9)</f>
        <v>4.8164999999999996</v>
      </c>
      <c r="E292" s="11">
        <f>6.5044 * CHOOSE(CONTROL!$C$32, $C$9, 100%, $E$9)</f>
        <v>6.5044000000000004</v>
      </c>
      <c r="F292" s="11">
        <f>6.5044 * CHOOSE(CONTROL!$C$32, $C$9, 100%, $E$9)</f>
        <v>6.5044000000000004</v>
      </c>
      <c r="G292" s="11">
        <f>6.5077 * CHOOSE(CONTROL!$C$32, $C$9, 100%, $E$9)</f>
        <v>6.5076999999999998</v>
      </c>
      <c r="H292" s="11">
        <f>10.2883 * CHOOSE(CONTROL!$C$32, $C$9, 100%, $E$9)</f>
        <v>10.2883</v>
      </c>
      <c r="I292" s="11">
        <f>10.2915 * CHOOSE(CONTROL!$C$32, $C$9, 100%, $E$9)</f>
        <v>10.291499999999999</v>
      </c>
      <c r="J292" s="11">
        <f>10.2883 * CHOOSE(CONTROL!$C$32, $C$9, 100%, $E$9)</f>
        <v>10.2883</v>
      </c>
      <c r="K292" s="11">
        <f>10.2915 * CHOOSE(CONTROL!$C$32, $C$9, 100%, $E$9)</f>
        <v>10.291499999999999</v>
      </c>
      <c r="L292" s="11">
        <f>6.5044 * CHOOSE(CONTROL!$C$32, $C$9, 100%, $E$9)</f>
        <v>6.5044000000000004</v>
      </c>
      <c r="M292" s="11">
        <f>6.5077 * CHOOSE(CONTROL!$C$32, $C$9, 100%, $E$9)</f>
        <v>6.5076999999999998</v>
      </c>
      <c r="N292" s="11">
        <f>6.5044 * CHOOSE(CONTROL!$C$32, $C$9, 100%, $E$9)</f>
        <v>6.5044000000000004</v>
      </c>
      <c r="O292" s="11">
        <f>6.5077 * CHOOSE(CONTROL!$C$32, $C$9, 100%, $E$9)</f>
        <v>6.5076999999999998</v>
      </c>
    </row>
    <row r="293" spans="1:15" ht="15" x14ac:dyDescent="0.2">
      <c r="A293" s="13">
        <v>49766</v>
      </c>
      <c r="B293" s="9">
        <f>4.814 * CHOOSE(CONTROL!$C$32, $C$9, 100%, $E$9)</f>
        <v>4.8140000000000001</v>
      </c>
      <c r="C293" s="9">
        <f>4.814 * CHOOSE(CONTROL!$C$32, $C$9, 100%, $E$9)</f>
        <v>4.8140000000000001</v>
      </c>
      <c r="D293" s="9">
        <f>4.8149 * CHOOSE(CONTROL!$C$32, $C$9, 100%, $E$9)</f>
        <v>4.8148999999999997</v>
      </c>
      <c r="E293" s="11">
        <f>6.5859 * CHOOSE(CONTROL!$C$32, $C$9, 100%, $E$9)</f>
        <v>6.5858999999999996</v>
      </c>
      <c r="F293" s="11">
        <f>6.5859 * CHOOSE(CONTROL!$C$32, $C$9, 100%, $E$9)</f>
        <v>6.5858999999999996</v>
      </c>
      <c r="G293" s="11">
        <f>6.5891 * CHOOSE(CONTROL!$C$32, $C$9, 100%, $E$9)</f>
        <v>6.5891000000000002</v>
      </c>
      <c r="H293" s="11">
        <f>10.3097 * CHOOSE(CONTROL!$C$32, $C$9, 100%, $E$9)</f>
        <v>10.309699999999999</v>
      </c>
      <c r="I293" s="11">
        <f>10.3129 * CHOOSE(CONTROL!$C$32, $C$9, 100%, $E$9)</f>
        <v>10.312900000000001</v>
      </c>
      <c r="J293" s="11">
        <f>10.3097 * CHOOSE(CONTROL!$C$32, $C$9, 100%, $E$9)</f>
        <v>10.309699999999999</v>
      </c>
      <c r="K293" s="11">
        <f>10.3129 * CHOOSE(CONTROL!$C$32, $C$9, 100%, $E$9)</f>
        <v>10.312900000000001</v>
      </c>
      <c r="L293" s="11">
        <f>6.5859 * CHOOSE(CONTROL!$C$32, $C$9, 100%, $E$9)</f>
        <v>6.5858999999999996</v>
      </c>
      <c r="M293" s="11">
        <f>6.5891 * CHOOSE(CONTROL!$C$32, $C$9, 100%, $E$9)</f>
        <v>6.5891000000000002</v>
      </c>
      <c r="N293" s="11">
        <f>6.5859 * CHOOSE(CONTROL!$C$32, $C$9, 100%, $E$9)</f>
        <v>6.5858999999999996</v>
      </c>
      <c r="O293" s="11">
        <f>6.5891 * CHOOSE(CONTROL!$C$32, $C$9, 100%, $E$9)</f>
        <v>6.5891000000000002</v>
      </c>
    </row>
    <row r="294" spans="1:15" ht="15" x14ac:dyDescent="0.2">
      <c r="A294" s="13">
        <v>49796</v>
      </c>
      <c r="B294" s="9">
        <f>4.814 * CHOOSE(CONTROL!$C$32, $C$9, 100%, $E$9)</f>
        <v>4.8140000000000001</v>
      </c>
      <c r="C294" s="9">
        <f>4.814 * CHOOSE(CONTROL!$C$32, $C$9, 100%, $E$9)</f>
        <v>4.8140000000000001</v>
      </c>
      <c r="D294" s="9">
        <f>4.8152 * CHOOSE(CONTROL!$C$32, $C$9, 100%, $E$9)</f>
        <v>4.8151999999999999</v>
      </c>
      <c r="E294" s="11">
        <f>6.2171 * CHOOSE(CONTROL!$C$32, $C$9, 100%, $E$9)</f>
        <v>6.2171000000000003</v>
      </c>
      <c r="F294" s="11">
        <f>6.2171 * CHOOSE(CONTROL!$C$32, $C$9, 100%, $E$9)</f>
        <v>6.2171000000000003</v>
      </c>
      <c r="G294" s="11">
        <f>6.2213 * CHOOSE(CONTROL!$C$32, $C$9, 100%, $E$9)</f>
        <v>6.2213000000000003</v>
      </c>
      <c r="H294" s="11">
        <f>10.3312 * CHOOSE(CONTROL!$C$32, $C$9, 100%, $E$9)</f>
        <v>10.331200000000001</v>
      </c>
      <c r="I294" s="11">
        <f>10.3354 * CHOOSE(CONTROL!$C$32, $C$9, 100%, $E$9)</f>
        <v>10.3354</v>
      </c>
      <c r="J294" s="11">
        <f>10.3312 * CHOOSE(CONTROL!$C$32, $C$9, 100%, $E$9)</f>
        <v>10.331200000000001</v>
      </c>
      <c r="K294" s="11">
        <f>10.3354 * CHOOSE(CONTROL!$C$32, $C$9, 100%, $E$9)</f>
        <v>10.3354</v>
      </c>
      <c r="L294" s="11">
        <f>6.2171 * CHOOSE(CONTROL!$C$32, $C$9, 100%, $E$9)</f>
        <v>6.2171000000000003</v>
      </c>
      <c r="M294" s="11">
        <f>6.2213 * CHOOSE(CONTROL!$C$32, $C$9, 100%, $E$9)</f>
        <v>6.2213000000000003</v>
      </c>
      <c r="N294" s="11">
        <f>6.2171 * CHOOSE(CONTROL!$C$32, $C$9, 100%, $E$9)</f>
        <v>6.2171000000000003</v>
      </c>
      <c r="O294" s="11">
        <f>6.2213 * CHOOSE(CONTROL!$C$32, $C$9, 100%, $E$9)</f>
        <v>6.2213000000000003</v>
      </c>
    </row>
    <row r="295" spans="1:15" ht="15" x14ac:dyDescent="0.2">
      <c r="A295" s="13">
        <v>49827</v>
      </c>
      <c r="B295" s="9">
        <f>4.82 * CHOOSE(CONTROL!$C$32, $C$9, 100%, $E$9)</f>
        <v>4.82</v>
      </c>
      <c r="C295" s="9">
        <f>4.82 * CHOOSE(CONTROL!$C$32, $C$9, 100%, $E$9)</f>
        <v>4.82</v>
      </c>
      <c r="D295" s="9">
        <f>4.8213 * CHOOSE(CONTROL!$C$32, $C$9, 100%, $E$9)</f>
        <v>4.8212999999999999</v>
      </c>
      <c r="E295" s="11">
        <f>6.5901 * CHOOSE(CONTROL!$C$32, $C$9, 100%, $E$9)</f>
        <v>6.5900999999999996</v>
      </c>
      <c r="F295" s="11">
        <f>6.5901 * CHOOSE(CONTROL!$C$32, $C$9, 100%, $E$9)</f>
        <v>6.5900999999999996</v>
      </c>
      <c r="G295" s="11">
        <f>6.5943 * CHOOSE(CONTROL!$C$32, $C$9, 100%, $E$9)</f>
        <v>6.5942999999999996</v>
      </c>
      <c r="H295" s="11">
        <f>10.3527 * CHOOSE(CONTROL!$C$32, $C$9, 100%, $E$9)</f>
        <v>10.3527</v>
      </c>
      <c r="I295" s="11">
        <f>10.3569 * CHOOSE(CONTROL!$C$32, $C$9, 100%, $E$9)</f>
        <v>10.3569</v>
      </c>
      <c r="J295" s="11">
        <f>10.3527 * CHOOSE(CONTROL!$C$32, $C$9, 100%, $E$9)</f>
        <v>10.3527</v>
      </c>
      <c r="K295" s="11">
        <f>10.3569 * CHOOSE(CONTROL!$C$32, $C$9, 100%, $E$9)</f>
        <v>10.3569</v>
      </c>
      <c r="L295" s="11">
        <f>6.5901 * CHOOSE(CONTROL!$C$32, $C$9, 100%, $E$9)</f>
        <v>6.5900999999999996</v>
      </c>
      <c r="M295" s="11">
        <f>6.5943 * CHOOSE(CONTROL!$C$32, $C$9, 100%, $E$9)</f>
        <v>6.5942999999999996</v>
      </c>
      <c r="N295" s="11">
        <f>6.5901 * CHOOSE(CONTROL!$C$32, $C$9, 100%, $E$9)</f>
        <v>6.5900999999999996</v>
      </c>
      <c r="O295" s="11">
        <f>6.5943 * CHOOSE(CONTROL!$C$32, $C$9, 100%, $E$9)</f>
        <v>6.5942999999999996</v>
      </c>
    </row>
    <row r="296" spans="1:15" ht="15" x14ac:dyDescent="0.2">
      <c r="A296" s="13">
        <v>49857</v>
      </c>
      <c r="B296" s="9">
        <f>4.8896 * CHOOSE(CONTROL!$C$32, $C$9, 100%, $E$9)</f>
        <v>4.8895999999999997</v>
      </c>
      <c r="C296" s="9">
        <f>4.8896 * CHOOSE(CONTROL!$C$32, $C$9, 100%, $E$9)</f>
        <v>4.8895999999999997</v>
      </c>
      <c r="D296" s="9">
        <f>4.8908 * CHOOSE(CONTROL!$C$32, $C$9, 100%, $E$9)</f>
        <v>4.8907999999999996</v>
      </c>
      <c r="E296" s="11">
        <f>6.5201 * CHOOSE(CONTROL!$C$32, $C$9, 100%, $E$9)</f>
        <v>6.5201000000000002</v>
      </c>
      <c r="F296" s="11">
        <f>6.5201 * CHOOSE(CONTROL!$C$32, $C$9, 100%, $E$9)</f>
        <v>6.5201000000000002</v>
      </c>
      <c r="G296" s="11">
        <f>6.5243 * CHOOSE(CONTROL!$C$32, $C$9, 100%, $E$9)</f>
        <v>6.5243000000000002</v>
      </c>
      <c r="H296" s="11">
        <f>10.3743 * CHOOSE(CONTROL!$C$32, $C$9, 100%, $E$9)</f>
        <v>10.3743</v>
      </c>
      <c r="I296" s="11">
        <f>10.3785 * CHOOSE(CONTROL!$C$32, $C$9, 100%, $E$9)</f>
        <v>10.378500000000001</v>
      </c>
      <c r="J296" s="11">
        <f>10.3743 * CHOOSE(CONTROL!$C$32, $C$9, 100%, $E$9)</f>
        <v>10.3743</v>
      </c>
      <c r="K296" s="11">
        <f>10.3785 * CHOOSE(CONTROL!$C$32, $C$9, 100%, $E$9)</f>
        <v>10.378500000000001</v>
      </c>
      <c r="L296" s="11">
        <f>6.5201 * CHOOSE(CONTROL!$C$32, $C$9, 100%, $E$9)</f>
        <v>6.5201000000000002</v>
      </c>
      <c r="M296" s="11">
        <f>6.5243 * CHOOSE(CONTROL!$C$32, $C$9, 100%, $E$9)</f>
        <v>6.5243000000000002</v>
      </c>
      <c r="N296" s="11">
        <f>6.5201 * CHOOSE(CONTROL!$C$32, $C$9, 100%, $E$9)</f>
        <v>6.5201000000000002</v>
      </c>
      <c r="O296" s="11">
        <f>6.5243 * CHOOSE(CONTROL!$C$32, $C$9, 100%, $E$9)</f>
        <v>6.5243000000000002</v>
      </c>
    </row>
    <row r="297" spans="1:15" ht="15" x14ac:dyDescent="0.2">
      <c r="A297" s="13">
        <v>49888</v>
      </c>
      <c r="B297" s="9">
        <f>4.8962 * CHOOSE(CONTROL!$C$32, $C$9, 100%, $E$9)</f>
        <v>4.8962000000000003</v>
      </c>
      <c r="C297" s="9">
        <f>4.8962 * CHOOSE(CONTROL!$C$32, $C$9, 100%, $E$9)</f>
        <v>4.8962000000000003</v>
      </c>
      <c r="D297" s="9">
        <f>4.8975 * CHOOSE(CONTROL!$C$32, $C$9, 100%, $E$9)</f>
        <v>4.8975</v>
      </c>
      <c r="E297" s="11">
        <f>6.4284 * CHOOSE(CONTROL!$C$32, $C$9, 100%, $E$9)</f>
        <v>6.4283999999999999</v>
      </c>
      <c r="F297" s="11">
        <f>6.4284 * CHOOSE(CONTROL!$C$32, $C$9, 100%, $E$9)</f>
        <v>6.4283999999999999</v>
      </c>
      <c r="G297" s="11">
        <f>6.4326 * CHOOSE(CONTROL!$C$32, $C$9, 100%, $E$9)</f>
        <v>6.4325999999999999</v>
      </c>
      <c r="H297" s="11">
        <f>10.3959 * CHOOSE(CONTROL!$C$32, $C$9, 100%, $E$9)</f>
        <v>10.395899999999999</v>
      </c>
      <c r="I297" s="11">
        <f>10.4001 * CHOOSE(CONTROL!$C$32, $C$9, 100%, $E$9)</f>
        <v>10.4001</v>
      </c>
      <c r="J297" s="11">
        <f>10.3959 * CHOOSE(CONTROL!$C$32, $C$9, 100%, $E$9)</f>
        <v>10.395899999999999</v>
      </c>
      <c r="K297" s="11">
        <f>10.4001 * CHOOSE(CONTROL!$C$32, $C$9, 100%, $E$9)</f>
        <v>10.4001</v>
      </c>
      <c r="L297" s="11">
        <f>6.4284 * CHOOSE(CONTROL!$C$32, $C$9, 100%, $E$9)</f>
        <v>6.4283999999999999</v>
      </c>
      <c r="M297" s="11">
        <f>6.4326 * CHOOSE(CONTROL!$C$32, $C$9, 100%, $E$9)</f>
        <v>6.4325999999999999</v>
      </c>
      <c r="N297" s="11">
        <f>6.4284 * CHOOSE(CONTROL!$C$32, $C$9, 100%, $E$9)</f>
        <v>6.4283999999999999</v>
      </c>
      <c r="O297" s="11">
        <f>6.4326 * CHOOSE(CONTROL!$C$32, $C$9, 100%, $E$9)</f>
        <v>6.4325999999999999</v>
      </c>
    </row>
    <row r="298" spans="1:15" ht="15" x14ac:dyDescent="0.2">
      <c r="A298" s="13">
        <v>49919</v>
      </c>
      <c r="B298" s="9">
        <f>4.8932 * CHOOSE(CONTROL!$C$32, $C$9, 100%, $E$9)</f>
        <v>4.8932000000000002</v>
      </c>
      <c r="C298" s="9">
        <f>4.8932 * CHOOSE(CONTROL!$C$32, $C$9, 100%, $E$9)</f>
        <v>4.8932000000000002</v>
      </c>
      <c r="D298" s="9">
        <f>4.8945 * CHOOSE(CONTROL!$C$32, $C$9, 100%, $E$9)</f>
        <v>4.8944999999999999</v>
      </c>
      <c r="E298" s="11">
        <f>6.4155 * CHOOSE(CONTROL!$C$32, $C$9, 100%, $E$9)</f>
        <v>6.4154999999999998</v>
      </c>
      <c r="F298" s="11">
        <f>6.4155 * CHOOSE(CONTROL!$C$32, $C$9, 100%, $E$9)</f>
        <v>6.4154999999999998</v>
      </c>
      <c r="G298" s="11">
        <f>6.4197 * CHOOSE(CONTROL!$C$32, $C$9, 100%, $E$9)</f>
        <v>6.4196999999999997</v>
      </c>
      <c r="H298" s="11">
        <f>10.4175 * CHOOSE(CONTROL!$C$32, $C$9, 100%, $E$9)</f>
        <v>10.4175</v>
      </c>
      <c r="I298" s="11">
        <f>10.4217 * CHOOSE(CONTROL!$C$32, $C$9, 100%, $E$9)</f>
        <v>10.4217</v>
      </c>
      <c r="J298" s="11">
        <f>10.4175 * CHOOSE(CONTROL!$C$32, $C$9, 100%, $E$9)</f>
        <v>10.4175</v>
      </c>
      <c r="K298" s="11">
        <f>10.4217 * CHOOSE(CONTROL!$C$32, $C$9, 100%, $E$9)</f>
        <v>10.4217</v>
      </c>
      <c r="L298" s="11">
        <f>6.4155 * CHOOSE(CONTROL!$C$32, $C$9, 100%, $E$9)</f>
        <v>6.4154999999999998</v>
      </c>
      <c r="M298" s="11">
        <f>6.4197 * CHOOSE(CONTROL!$C$32, $C$9, 100%, $E$9)</f>
        <v>6.4196999999999997</v>
      </c>
      <c r="N298" s="11">
        <f>6.4155 * CHOOSE(CONTROL!$C$32, $C$9, 100%, $E$9)</f>
        <v>6.4154999999999998</v>
      </c>
      <c r="O298" s="11">
        <f>6.4197 * CHOOSE(CONTROL!$C$32, $C$9, 100%, $E$9)</f>
        <v>6.4196999999999997</v>
      </c>
    </row>
    <row r="299" spans="1:15" ht="15" x14ac:dyDescent="0.2">
      <c r="A299" s="13">
        <v>49949</v>
      </c>
      <c r="B299" s="9">
        <f>4.8916 * CHOOSE(CONTROL!$C$32, $C$9, 100%, $E$9)</f>
        <v>4.8916000000000004</v>
      </c>
      <c r="C299" s="9">
        <f>4.8916 * CHOOSE(CONTROL!$C$32, $C$9, 100%, $E$9)</f>
        <v>4.8916000000000004</v>
      </c>
      <c r="D299" s="9">
        <f>4.8925 * CHOOSE(CONTROL!$C$32, $C$9, 100%, $E$9)</f>
        <v>4.8925000000000001</v>
      </c>
      <c r="E299" s="11">
        <f>6.4449 * CHOOSE(CONTROL!$C$32, $C$9, 100%, $E$9)</f>
        <v>6.4448999999999996</v>
      </c>
      <c r="F299" s="11">
        <f>6.4449 * CHOOSE(CONTROL!$C$32, $C$9, 100%, $E$9)</f>
        <v>6.4448999999999996</v>
      </c>
      <c r="G299" s="11">
        <f>6.4482 * CHOOSE(CONTROL!$C$32, $C$9, 100%, $E$9)</f>
        <v>6.4481999999999999</v>
      </c>
      <c r="H299" s="11">
        <f>10.4392 * CHOOSE(CONTROL!$C$32, $C$9, 100%, $E$9)</f>
        <v>10.4392</v>
      </c>
      <c r="I299" s="11">
        <f>10.4425 * CHOOSE(CONTROL!$C$32, $C$9, 100%, $E$9)</f>
        <v>10.442500000000001</v>
      </c>
      <c r="J299" s="11">
        <f>10.4392 * CHOOSE(CONTROL!$C$32, $C$9, 100%, $E$9)</f>
        <v>10.4392</v>
      </c>
      <c r="K299" s="11">
        <f>10.4425 * CHOOSE(CONTROL!$C$32, $C$9, 100%, $E$9)</f>
        <v>10.442500000000001</v>
      </c>
      <c r="L299" s="11">
        <f>6.4449 * CHOOSE(CONTROL!$C$32, $C$9, 100%, $E$9)</f>
        <v>6.4448999999999996</v>
      </c>
      <c r="M299" s="11">
        <f>6.4482 * CHOOSE(CONTROL!$C$32, $C$9, 100%, $E$9)</f>
        <v>6.4481999999999999</v>
      </c>
      <c r="N299" s="11">
        <f>6.4449 * CHOOSE(CONTROL!$C$32, $C$9, 100%, $E$9)</f>
        <v>6.4448999999999996</v>
      </c>
      <c r="O299" s="11">
        <f>6.4482 * CHOOSE(CONTROL!$C$32, $C$9, 100%, $E$9)</f>
        <v>6.4481999999999999</v>
      </c>
    </row>
    <row r="300" spans="1:15" ht="15" x14ac:dyDescent="0.2">
      <c r="A300" s="13">
        <v>49980</v>
      </c>
      <c r="B300" s="9">
        <f>4.8946 * CHOOSE(CONTROL!$C$32, $C$9, 100%, $E$9)</f>
        <v>4.8945999999999996</v>
      </c>
      <c r="C300" s="9">
        <f>4.8946 * CHOOSE(CONTROL!$C$32, $C$9, 100%, $E$9)</f>
        <v>4.8945999999999996</v>
      </c>
      <c r="D300" s="9">
        <f>4.8956 * CHOOSE(CONTROL!$C$32, $C$9, 100%, $E$9)</f>
        <v>4.8956</v>
      </c>
      <c r="E300" s="11">
        <f>6.4685 * CHOOSE(CONTROL!$C$32, $C$9, 100%, $E$9)</f>
        <v>6.4684999999999997</v>
      </c>
      <c r="F300" s="11">
        <f>6.4685 * CHOOSE(CONTROL!$C$32, $C$9, 100%, $E$9)</f>
        <v>6.4684999999999997</v>
      </c>
      <c r="G300" s="11">
        <f>6.4717 * CHOOSE(CONTROL!$C$32, $C$9, 100%, $E$9)</f>
        <v>6.4717000000000002</v>
      </c>
      <c r="H300" s="11">
        <f>10.461 * CHOOSE(CONTROL!$C$32, $C$9, 100%, $E$9)</f>
        <v>10.461</v>
      </c>
      <c r="I300" s="11">
        <f>10.4642 * CHOOSE(CONTROL!$C$32, $C$9, 100%, $E$9)</f>
        <v>10.4642</v>
      </c>
      <c r="J300" s="11">
        <f>10.461 * CHOOSE(CONTROL!$C$32, $C$9, 100%, $E$9)</f>
        <v>10.461</v>
      </c>
      <c r="K300" s="11">
        <f>10.4642 * CHOOSE(CONTROL!$C$32, $C$9, 100%, $E$9)</f>
        <v>10.4642</v>
      </c>
      <c r="L300" s="11">
        <f>6.4685 * CHOOSE(CONTROL!$C$32, $C$9, 100%, $E$9)</f>
        <v>6.4684999999999997</v>
      </c>
      <c r="M300" s="11">
        <f>6.4717 * CHOOSE(CONTROL!$C$32, $C$9, 100%, $E$9)</f>
        <v>6.4717000000000002</v>
      </c>
      <c r="N300" s="11">
        <f>6.4685 * CHOOSE(CONTROL!$C$32, $C$9, 100%, $E$9)</f>
        <v>6.4684999999999997</v>
      </c>
      <c r="O300" s="11">
        <f>6.4717 * CHOOSE(CONTROL!$C$32, $C$9, 100%, $E$9)</f>
        <v>6.4717000000000002</v>
      </c>
    </row>
    <row r="301" spans="1:15" ht="15" x14ac:dyDescent="0.2">
      <c r="A301" s="13">
        <v>50010</v>
      </c>
      <c r="B301" s="9">
        <f>4.8946 * CHOOSE(CONTROL!$C$32, $C$9, 100%, $E$9)</f>
        <v>4.8945999999999996</v>
      </c>
      <c r="C301" s="9">
        <f>4.8946 * CHOOSE(CONTROL!$C$32, $C$9, 100%, $E$9)</f>
        <v>4.8945999999999996</v>
      </c>
      <c r="D301" s="9">
        <f>4.8956 * CHOOSE(CONTROL!$C$32, $C$9, 100%, $E$9)</f>
        <v>4.8956</v>
      </c>
      <c r="E301" s="11">
        <f>6.4149 * CHOOSE(CONTROL!$C$32, $C$9, 100%, $E$9)</f>
        <v>6.4149000000000003</v>
      </c>
      <c r="F301" s="11">
        <f>6.4149 * CHOOSE(CONTROL!$C$32, $C$9, 100%, $E$9)</f>
        <v>6.4149000000000003</v>
      </c>
      <c r="G301" s="11">
        <f>6.4182 * CHOOSE(CONTROL!$C$32, $C$9, 100%, $E$9)</f>
        <v>6.4181999999999997</v>
      </c>
      <c r="H301" s="11">
        <f>10.4828 * CHOOSE(CONTROL!$C$32, $C$9, 100%, $E$9)</f>
        <v>10.482799999999999</v>
      </c>
      <c r="I301" s="11">
        <f>10.486 * CHOOSE(CONTROL!$C$32, $C$9, 100%, $E$9)</f>
        <v>10.486000000000001</v>
      </c>
      <c r="J301" s="11">
        <f>10.4828 * CHOOSE(CONTROL!$C$32, $C$9, 100%, $E$9)</f>
        <v>10.482799999999999</v>
      </c>
      <c r="K301" s="11">
        <f>10.486 * CHOOSE(CONTROL!$C$32, $C$9, 100%, $E$9)</f>
        <v>10.486000000000001</v>
      </c>
      <c r="L301" s="11">
        <f>6.4149 * CHOOSE(CONTROL!$C$32, $C$9, 100%, $E$9)</f>
        <v>6.4149000000000003</v>
      </c>
      <c r="M301" s="11">
        <f>6.4182 * CHOOSE(CONTROL!$C$32, $C$9, 100%, $E$9)</f>
        <v>6.4181999999999997</v>
      </c>
      <c r="N301" s="11">
        <f>6.4149 * CHOOSE(CONTROL!$C$32, $C$9, 100%, $E$9)</f>
        <v>6.4149000000000003</v>
      </c>
      <c r="O301" s="11">
        <f>6.4182 * CHOOSE(CONTROL!$C$32, $C$9, 100%, $E$9)</f>
        <v>6.4181999999999997</v>
      </c>
    </row>
    <row r="302" spans="1:15" ht="15" x14ac:dyDescent="0.2">
      <c r="A302" s="13">
        <v>50041</v>
      </c>
      <c r="B302" s="9">
        <f>4.9322 * CHOOSE(CONTROL!$C$32, $C$9, 100%, $E$9)</f>
        <v>4.9321999999999999</v>
      </c>
      <c r="C302" s="9">
        <f>4.9322 * CHOOSE(CONTROL!$C$32, $C$9, 100%, $E$9)</f>
        <v>4.9321999999999999</v>
      </c>
      <c r="D302" s="9">
        <f>4.9331 * CHOOSE(CONTROL!$C$32, $C$9, 100%, $E$9)</f>
        <v>4.9330999999999996</v>
      </c>
      <c r="E302" s="11">
        <f>6.4909 * CHOOSE(CONTROL!$C$32, $C$9, 100%, $E$9)</f>
        <v>6.4908999999999999</v>
      </c>
      <c r="F302" s="11">
        <f>6.4909 * CHOOSE(CONTROL!$C$32, $C$9, 100%, $E$9)</f>
        <v>6.4908999999999999</v>
      </c>
      <c r="G302" s="11">
        <f>6.4941 * CHOOSE(CONTROL!$C$32, $C$9, 100%, $E$9)</f>
        <v>6.4941000000000004</v>
      </c>
      <c r="H302" s="11">
        <f>10.5046 * CHOOSE(CONTROL!$C$32, $C$9, 100%, $E$9)</f>
        <v>10.5046</v>
      </c>
      <c r="I302" s="11">
        <f>10.5079 * CHOOSE(CONTROL!$C$32, $C$9, 100%, $E$9)</f>
        <v>10.507899999999999</v>
      </c>
      <c r="J302" s="11">
        <f>10.5046 * CHOOSE(CONTROL!$C$32, $C$9, 100%, $E$9)</f>
        <v>10.5046</v>
      </c>
      <c r="K302" s="11">
        <f>10.5079 * CHOOSE(CONTROL!$C$32, $C$9, 100%, $E$9)</f>
        <v>10.507899999999999</v>
      </c>
      <c r="L302" s="11">
        <f>6.4909 * CHOOSE(CONTROL!$C$32, $C$9, 100%, $E$9)</f>
        <v>6.4908999999999999</v>
      </c>
      <c r="M302" s="11">
        <f>6.4941 * CHOOSE(CONTROL!$C$32, $C$9, 100%, $E$9)</f>
        <v>6.4941000000000004</v>
      </c>
      <c r="N302" s="11">
        <f>6.4909 * CHOOSE(CONTROL!$C$32, $C$9, 100%, $E$9)</f>
        <v>6.4908999999999999</v>
      </c>
      <c r="O302" s="11">
        <f>6.4941 * CHOOSE(CONTROL!$C$32, $C$9, 100%, $E$9)</f>
        <v>6.4941000000000004</v>
      </c>
    </row>
    <row r="303" spans="1:15" ht="15" x14ac:dyDescent="0.2">
      <c r="A303" s="13">
        <v>50072</v>
      </c>
      <c r="B303" s="9">
        <f>4.9291 * CHOOSE(CONTROL!$C$32, $C$9, 100%, $E$9)</f>
        <v>4.9291</v>
      </c>
      <c r="C303" s="9">
        <f>4.9291 * CHOOSE(CONTROL!$C$32, $C$9, 100%, $E$9)</f>
        <v>4.9291</v>
      </c>
      <c r="D303" s="9">
        <f>4.9301 * CHOOSE(CONTROL!$C$32, $C$9, 100%, $E$9)</f>
        <v>4.9301000000000004</v>
      </c>
      <c r="E303" s="11">
        <f>6.3843 * CHOOSE(CONTROL!$C$32, $C$9, 100%, $E$9)</f>
        <v>6.3842999999999996</v>
      </c>
      <c r="F303" s="11">
        <f>6.3843 * CHOOSE(CONTROL!$C$32, $C$9, 100%, $E$9)</f>
        <v>6.3842999999999996</v>
      </c>
      <c r="G303" s="11">
        <f>6.3875 * CHOOSE(CONTROL!$C$32, $C$9, 100%, $E$9)</f>
        <v>6.3875000000000002</v>
      </c>
      <c r="H303" s="11">
        <f>10.5265 * CHOOSE(CONTROL!$C$32, $C$9, 100%, $E$9)</f>
        <v>10.5265</v>
      </c>
      <c r="I303" s="11">
        <f>10.5297 * CHOOSE(CONTROL!$C$32, $C$9, 100%, $E$9)</f>
        <v>10.5297</v>
      </c>
      <c r="J303" s="11">
        <f>10.5265 * CHOOSE(CONTROL!$C$32, $C$9, 100%, $E$9)</f>
        <v>10.5265</v>
      </c>
      <c r="K303" s="11">
        <f>10.5297 * CHOOSE(CONTROL!$C$32, $C$9, 100%, $E$9)</f>
        <v>10.5297</v>
      </c>
      <c r="L303" s="11">
        <f>6.3843 * CHOOSE(CONTROL!$C$32, $C$9, 100%, $E$9)</f>
        <v>6.3842999999999996</v>
      </c>
      <c r="M303" s="11">
        <f>6.3875 * CHOOSE(CONTROL!$C$32, $C$9, 100%, $E$9)</f>
        <v>6.3875000000000002</v>
      </c>
      <c r="N303" s="11">
        <f>6.3843 * CHOOSE(CONTROL!$C$32, $C$9, 100%, $E$9)</f>
        <v>6.3842999999999996</v>
      </c>
      <c r="O303" s="11">
        <f>6.3875 * CHOOSE(CONTROL!$C$32, $C$9, 100%, $E$9)</f>
        <v>6.3875000000000002</v>
      </c>
    </row>
    <row r="304" spans="1:15" ht="15" x14ac:dyDescent="0.2">
      <c r="A304" s="13">
        <v>50100</v>
      </c>
      <c r="B304" s="9">
        <f>4.9261 * CHOOSE(CONTROL!$C$32, $C$9, 100%, $E$9)</f>
        <v>4.9260999999999999</v>
      </c>
      <c r="C304" s="9">
        <f>4.9261 * CHOOSE(CONTROL!$C$32, $C$9, 100%, $E$9)</f>
        <v>4.9260999999999999</v>
      </c>
      <c r="D304" s="9">
        <f>4.9271 * CHOOSE(CONTROL!$C$32, $C$9, 100%, $E$9)</f>
        <v>4.9271000000000003</v>
      </c>
      <c r="E304" s="11">
        <f>6.4645 * CHOOSE(CONTROL!$C$32, $C$9, 100%, $E$9)</f>
        <v>6.4645000000000001</v>
      </c>
      <c r="F304" s="11">
        <f>6.4645 * CHOOSE(CONTROL!$C$32, $C$9, 100%, $E$9)</f>
        <v>6.4645000000000001</v>
      </c>
      <c r="G304" s="11">
        <f>6.4677 * CHOOSE(CONTROL!$C$32, $C$9, 100%, $E$9)</f>
        <v>6.4676999999999998</v>
      </c>
      <c r="H304" s="11">
        <f>10.5484 * CHOOSE(CONTROL!$C$32, $C$9, 100%, $E$9)</f>
        <v>10.548400000000001</v>
      </c>
      <c r="I304" s="11">
        <f>10.5517 * CHOOSE(CONTROL!$C$32, $C$9, 100%, $E$9)</f>
        <v>10.5517</v>
      </c>
      <c r="J304" s="11">
        <f>10.5484 * CHOOSE(CONTROL!$C$32, $C$9, 100%, $E$9)</f>
        <v>10.548400000000001</v>
      </c>
      <c r="K304" s="11">
        <f>10.5517 * CHOOSE(CONTROL!$C$32, $C$9, 100%, $E$9)</f>
        <v>10.5517</v>
      </c>
      <c r="L304" s="11">
        <f>6.4645 * CHOOSE(CONTROL!$C$32, $C$9, 100%, $E$9)</f>
        <v>6.4645000000000001</v>
      </c>
      <c r="M304" s="11">
        <f>6.4677 * CHOOSE(CONTROL!$C$32, $C$9, 100%, $E$9)</f>
        <v>6.4676999999999998</v>
      </c>
      <c r="N304" s="11">
        <f>6.4645 * CHOOSE(CONTROL!$C$32, $C$9, 100%, $E$9)</f>
        <v>6.4645000000000001</v>
      </c>
      <c r="O304" s="11">
        <f>6.4677 * CHOOSE(CONTROL!$C$32, $C$9, 100%, $E$9)</f>
        <v>6.4676999999999998</v>
      </c>
    </row>
    <row r="305" spans="1:15" ht="15" x14ac:dyDescent="0.2">
      <c r="A305" s="13">
        <v>50131</v>
      </c>
      <c r="B305" s="9">
        <f>4.9246 * CHOOSE(CONTROL!$C$32, $C$9, 100%, $E$9)</f>
        <v>4.9245999999999999</v>
      </c>
      <c r="C305" s="9">
        <f>4.9246 * CHOOSE(CONTROL!$C$32, $C$9, 100%, $E$9)</f>
        <v>4.9245999999999999</v>
      </c>
      <c r="D305" s="9">
        <f>4.9256 * CHOOSE(CONTROL!$C$32, $C$9, 100%, $E$9)</f>
        <v>4.9256000000000002</v>
      </c>
      <c r="E305" s="11">
        <f>6.5488 * CHOOSE(CONTROL!$C$32, $C$9, 100%, $E$9)</f>
        <v>6.5488</v>
      </c>
      <c r="F305" s="11">
        <f>6.5488 * CHOOSE(CONTROL!$C$32, $C$9, 100%, $E$9)</f>
        <v>6.5488</v>
      </c>
      <c r="G305" s="11">
        <f>6.552 * CHOOSE(CONTROL!$C$32, $C$9, 100%, $E$9)</f>
        <v>6.5519999999999996</v>
      </c>
      <c r="H305" s="11">
        <f>10.5704 * CHOOSE(CONTROL!$C$32, $C$9, 100%, $E$9)</f>
        <v>10.570399999999999</v>
      </c>
      <c r="I305" s="11">
        <f>10.5736 * CHOOSE(CONTROL!$C$32, $C$9, 100%, $E$9)</f>
        <v>10.573600000000001</v>
      </c>
      <c r="J305" s="11">
        <f>10.5704 * CHOOSE(CONTROL!$C$32, $C$9, 100%, $E$9)</f>
        <v>10.570399999999999</v>
      </c>
      <c r="K305" s="11">
        <f>10.5736 * CHOOSE(CONTROL!$C$32, $C$9, 100%, $E$9)</f>
        <v>10.573600000000001</v>
      </c>
      <c r="L305" s="11">
        <f>6.5488 * CHOOSE(CONTROL!$C$32, $C$9, 100%, $E$9)</f>
        <v>6.5488</v>
      </c>
      <c r="M305" s="11">
        <f>6.552 * CHOOSE(CONTROL!$C$32, $C$9, 100%, $E$9)</f>
        <v>6.5519999999999996</v>
      </c>
      <c r="N305" s="11">
        <f>6.5488 * CHOOSE(CONTROL!$C$32, $C$9, 100%, $E$9)</f>
        <v>6.5488</v>
      </c>
      <c r="O305" s="11">
        <f>6.552 * CHOOSE(CONTROL!$C$32, $C$9, 100%, $E$9)</f>
        <v>6.5519999999999996</v>
      </c>
    </row>
    <row r="306" spans="1:15" ht="15" x14ac:dyDescent="0.2">
      <c r="A306" s="13">
        <v>50161</v>
      </c>
      <c r="B306" s="9">
        <f>4.9246 * CHOOSE(CONTROL!$C$32, $C$9, 100%, $E$9)</f>
        <v>4.9245999999999999</v>
      </c>
      <c r="C306" s="9">
        <f>4.9246 * CHOOSE(CONTROL!$C$32, $C$9, 100%, $E$9)</f>
        <v>4.9245999999999999</v>
      </c>
      <c r="D306" s="9">
        <f>4.9259 * CHOOSE(CONTROL!$C$32, $C$9, 100%, $E$9)</f>
        <v>4.9259000000000004</v>
      </c>
      <c r="E306" s="11">
        <f>6.5819 * CHOOSE(CONTROL!$C$32, $C$9, 100%, $E$9)</f>
        <v>6.5819000000000001</v>
      </c>
      <c r="F306" s="11">
        <f>6.5819 * CHOOSE(CONTROL!$C$32, $C$9, 100%, $E$9)</f>
        <v>6.5819000000000001</v>
      </c>
      <c r="G306" s="11">
        <f>6.5861 * CHOOSE(CONTROL!$C$32, $C$9, 100%, $E$9)</f>
        <v>6.5861000000000001</v>
      </c>
      <c r="H306" s="11">
        <f>10.5924 * CHOOSE(CONTROL!$C$32, $C$9, 100%, $E$9)</f>
        <v>10.5924</v>
      </c>
      <c r="I306" s="11">
        <f>10.5966 * CHOOSE(CONTROL!$C$32, $C$9, 100%, $E$9)</f>
        <v>10.5966</v>
      </c>
      <c r="J306" s="11">
        <f>10.5924 * CHOOSE(CONTROL!$C$32, $C$9, 100%, $E$9)</f>
        <v>10.5924</v>
      </c>
      <c r="K306" s="11">
        <f>10.5966 * CHOOSE(CONTROL!$C$32, $C$9, 100%, $E$9)</f>
        <v>10.5966</v>
      </c>
      <c r="L306" s="11">
        <f>6.5819 * CHOOSE(CONTROL!$C$32, $C$9, 100%, $E$9)</f>
        <v>6.5819000000000001</v>
      </c>
      <c r="M306" s="11">
        <f>6.5861 * CHOOSE(CONTROL!$C$32, $C$9, 100%, $E$9)</f>
        <v>6.5861000000000001</v>
      </c>
      <c r="N306" s="11">
        <f>6.5819 * CHOOSE(CONTROL!$C$32, $C$9, 100%, $E$9)</f>
        <v>6.5819000000000001</v>
      </c>
      <c r="O306" s="11">
        <f>6.5861 * CHOOSE(CONTROL!$C$32, $C$9, 100%, $E$9)</f>
        <v>6.5861000000000001</v>
      </c>
    </row>
    <row r="307" spans="1:15" ht="15" x14ac:dyDescent="0.2">
      <c r="A307" s="13">
        <v>50192</v>
      </c>
      <c r="B307" s="9">
        <f>4.9307 * CHOOSE(CONTROL!$C$32, $C$9, 100%, $E$9)</f>
        <v>4.9306999999999999</v>
      </c>
      <c r="C307" s="9">
        <f>4.9307 * CHOOSE(CONTROL!$C$32, $C$9, 100%, $E$9)</f>
        <v>4.9306999999999999</v>
      </c>
      <c r="D307" s="9">
        <f>4.932 * CHOOSE(CONTROL!$C$32, $C$9, 100%, $E$9)</f>
        <v>4.9320000000000004</v>
      </c>
      <c r="E307" s="11">
        <f>6.553 * CHOOSE(CONTROL!$C$32, $C$9, 100%, $E$9)</f>
        <v>6.5529999999999999</v>
      </c>
      <c r="F307" s="11">
        <f>6.553 * CHOOSE(CONTROL!$C$32, $C$9, 100%, $E$9)</f>
        <v>6.5529999999999999</v>
      </c>
      <c r="G307" s="11">
        <f>6.5572 * CHOOSE(CONTROL!$C$32, $C$9, 100%, $E$9)</f>
        <v>6.5571999999999999</v>
      </c>
      <c r="H307" s="11">
        <f>10.6145 * CHOOSE(CONTROL!$C$32, $C$9, 100%, $E$9)</f>
        <v>10.6145</v>
      </c>
      <c r="I307" s="11">
        <f>10.6187 * CHOOSE(CONTROL!$C$32, $C$9, 100%, $E$9)</f>
        <v>10.6187</v>
      </c>
      <c r="J307" s="11">
        <f>10.6145 * CHOOSE(CONTROL!$C$32, $C$9, 100%, $E$9)</f>
        <v>10.6145</v>
      </c>
      <c r="K307" s="11">
        <f>10.6187 * CHOOSE(CONTROL!$C$32, $C$9, 100%, $E$9)</f>
        <v>10.6187</v>
      </c>
      <c r="L307" s="11">
        <f>6.553 * CHOOSE(CONTROL!$C$32, $C$9, 100%, $E$9)</f>
        <v>6.5529999999999999</v>
      </c>
      <c r="M307" s="11">
        <f>6.5572 * CHOOSE(CONTROL!$C$32, $C$9, 100%, $E$9)</f>
        <v>6.5571999999999999</v>
      </c>
      <c r="N307" s="11">
        <f>6.553 * CHOOSE(CONTROL!$C$32, $C$9, 100%, $E$9)</f>
        <v>6.5529999999999999</v>
      </c>
      <c r="O307" s="11">
        <f>6.5572 * CHOOSE(CONTROL!$C$32, $C$9, 100%, $E$9)</f>
        <v>6.5571999999999999</v>
      </c>
    </row>
    <row r="308" spans="1:15" ht="15" x14ac:dyDescent="0.2">
      <c r="A308" s="13">
        <v>50222</v>
      </c>
      <c r="B308" s="9">
        <f>4.9977 * CHOOSE(CONTROL!$C$32, $C$9, 100%, $E$9)</f>
        <v>4.9977</v>
      </c>
      <c r="C308" s="9">
        <f>4.9977 * CHOOSE(CONTROL!$C$32, $C$9, 100%, $E$9)</f>
        <v>4.9977</v>
      </c>
      <c r="D308" s="9">
        <f>4.999 * CHOOSE(CONTROL!$C$32, $C$9, 100%, $E$9)</f>
        <v>4.9989999999999997</v>
      </c>
      <c r="E308" s="11">
        <f>6.6146 * CHOOSE(CONTROL!$C$32, $C$9, 100%, $E$9)</f>
        <v>6.6146000000000003</v>
      </c>
      <c r="F308" s="11">
        <f>6.6146 * CHOOSE(CONTROL!$C$32, $C$9, 100%, $E$9)</f>
        <v>6.6146000000000003</v>
      </c>
      <c r="G308" s="11">
        <f>6.6188 * CHOOSE(CONTROL!$C$32, $C$9, 100%, $E$9)</f>
        <v>6.6188000000000002</v>
      </c>
      <c r="H308" s="11">
        <f>10.6366 * CHOOSE(CONTROL!$C$32, $C$9, 100%, $E$9)</f>
        <v>10.6366</v>
      </c>
      <c r="I308" s="11">
        <f>10.6408 * CHOOSE(CONTROL!$C$32, $C$9, 100%, $E$9)</f>
        <v>10.6408</v>
      </c>
      <c r="J308" s="11">
        <f>10.6366 * CHOOSE(CONTROL!$C$32, $C$9, 100%, $E$9)</f>
        <v>10.6366</v>
      </c>
      <c r="K308" s="11">
        <f>10.6408 * CHOOSE(CONTROL!$C$32, $C$9, 100%, $E$9)</f>
        <v>10.6408</v>
      </c>
      <c r="L308" s="11">
        <f>6.6146 * CHOOSE(CONTROL!$C$32, $C$9, 100%, $E$9)</f>
        <v>6.6146000000000003</v>
      </c>
      <c r="M308" s="11">
        <f>6.6188 * CHOOSE(CONTROL!$C$32, $C$9, 100%, $E$9)</f>
        <v>6.6188000000000002</v>
      </c>
      <c r="N308" s="11">
        <f>6.6146 * CHOOSE(CONTROL!$C$32, $C$9, 100%, $E$9)</f>
        <v>6.6146000000000003</v>
      </c>
      <c r="O308" s="11">
        <f>6.6188 * CHOOSE(CONTROL!$C$32, $C$9, 100%, $E$9)</f>
        <v>6.6188000000000002</v>
      </c>
    </row>
    <row r="309" spans="1:15" ht="15" x14ac:dyDescent="0.2">
      <c r="A309" s="13">
        <v>50253</v>
      </c>
      <c r="B309" s="9">
        <f>5.0044 * CHOOSE(CONTROL!$C$32, $C$9, 100%, $E$9)</f>
        <v>5.0044000000000004</v>
      </c>
      <c r="C309" s="9">
        <f>5.0044 * CHOOSE(CONTROL!$C$32, $C$9, 100%, $E$9)</f>
        <v>5.0044000000000004</v>
      </c>
      <c r="D309" s="9">
        <f>5.0057 * CHOOSE(CONTROL!$C$32, $C$9, 100%, $E$9)</f>
        <v>5.0057</v>
      </c>
      <c r="E309" s="11">
        <f>6.5198 * CHOOSE(CONTROL!$C$32, $C$9, 100%, $E$9)</f>
        <v>6.5198</v>
      </c>
      <c r="F309" s="11">
        <f>6.5198 * CHOOSE(CONTROL!$C$32, $C$9, 100%, $E$9)</f>
        <v>6.5198</v>
      </c>
      <c r="G309" s="11">
        <f>6.524 * CHOOSE(CONTROL!$C$32, $C$9, 100%, $E$9)</f>
        <v>6.524</v>
      </c>
      <c r="H309" s="11">
        <f>10.6588 * CHOOSE(CONTROL!$C$32, $C$9, 100%, $E$9)</f>
        <v>10.658799999999999</v>
      </c>
      <c r="I309" s="11">
        <f>10.663 * CHOOSE(CONTROL!$C$32, $C$9, 100%, $E$9)</f>
        <v>10.663</v>
      </c>
      <c r="J309" s="11">
        <f>10.6588 * CHOOSE(CONTROL!$C$32, $C$9, 100%, $E$9)</f>
        <v>10.658799999999999</v>
      </c>
      <c r="K309" s="11">
        <f>10.663 * CHOOSE(CONTROL!$C$32, $C$9, 100%, $E$9)</f>
        <v>10.663</v>
      </c>
      <c r="L309" s="11">
        <f>6.5198 * CHOOSE(CONTROL!$C$32, $C$9, 100%, $E$9)</f>
        <v>6.5198</v>
      </c>
      <c r="M309" s="11">
        <f>6.524 * CHOOSE(CONTROL!$C$32, $C$9, 100%, $E$9)</f>
        <v>6.524</v>
      </c>
      <c r="N309" s="11">
        <f>6.5198 * CHOOSE(CONTROL!$C$32, $C$9, 100%, $E$9)</f>
        <v>6.5198</v>
      </c>
      <c r="O309" s="11">
        <f>6.524 * CHOOSE(CONTROL!$C$32, $C$9, 100%, $E$9)</f>
        <v>6.524</v>
      </c>
    </row>
    <row r="310" spans="1:15" ht="15" x14ac:dyDescent="0.2">
      <c r="A310" s="13">
        <v>50284</v>
      </c>
      <c r="B310" s="9">
        <f>5.0014 * CHOOSE(CONTROL!$C$32, $C$9, 100%, $E$9)</f>
        <v>5.0014000000000003</v>
      </c>
      <c r="C310" s="9">
        <f>5.0014 * CHOOSE(CONTROL!$C$32, $C$9, 100%, $E$9)</f>
        <v>5.0014000000000003</v>
      </c>
      <c r="D310" s="9">
        <f>5.0026 * CHOOSE(CONTROL!$C$32, $C$9, 100%, $E$9)</f>
        <v>5.0026000000000002</v>
      </c>
      <c r="E310" s="11">
        <f>6.5066 * CHOOSE(CONTROL!$C$32, $C$9, 100%, $E$9)</f>
        <v>6.5065999999999997</v>
      </c>
      <c r="F310" s="11">
        <f>6.5066 * CHOOSE(CONTROL!$C$32, $C$9, 100%, $E$9)</f>
        <v>6.5065999999999997</v>
      </c>
      <c r="G310" s="11">
        <f>6.5108 * CHOOSE(CONTROL!$C$32, $C$9, 100%, $E$9)</f>
        <v>6.5107999999999997</v>
      </c>
      <c r="H310" s="11">
        <f>10.681 * CHOOSE(CONTROL!$C$32, $C$9, 100%, $E$9)</f>
        <v>10.680999999999999</v>
      </c>
      <c r="I310" s="11">
        <f>10.6852 * CHOOSE(CONTROL!$C$32, $C$9, 100%, $E$9)</f>
        <v>10.6852</v>
      </c>
      <c r="J310" s="11">
        <f>10.681 * CHOOSE(CONTROL!$C$32, $C$9, 100%, $E$9)</f>
        <v>10.680999999999999</v>
      </c>
      <c r="K310" s="11">
        <f>10.6852 * CHOOSE(CONTROL!$C$32, $C$9, 100%, $E$9)</f>
        <v>10.6852</v>
      </c>
      <c r="L310" s="11">
        <f>6.5066 * CHOOSE(CONTROL!$C$32, $C$9, 100%, $E$9)</f>
        <v>6.5065999999999997</v>
      </c>
      <c r="M310" s="11">
        <f>6.5108 * CHOOSE(CONTROL!$C$32, $C$9, 100%, $E$9)</f>
        <v>6.5107999999999997</v>
      </c>
      <c r="N310" s="11">
        <f>6.5066 * CHOOSE(CONTROL!$C$32, $C$9, 100%, $E$9)</f>
        <v>6.5065999999999997</v>
      </c>
      <c r="O310" s="11">
        <f>6.5108 * CHOOSE(CONTROL!$C$32, $C$9, 100%, $E$9)</f>
        <v>6.5107999999999997</v>
      </c>
    </row>
    <row r="311" spans="1:15" ht="15" x14ac:dyDescent="0.2">
      <c r="A311" s="13">
        <v>50314</v>
      </c>
      <c r="B311" s="9">
        <f>5.0002 * CHOOSE(CONTROL!$C$32, $C$9, 100%, $E$9)</f>
        <v>5.0002000000000004</v>
      </c>
      <c r="C311" s="9">
        <f>5.0002 * CHOOSE(CONTROL!$C$32, $C$9, 100%, $E$9)</f>
        <v>5.0002000000000004</v>
      </c>
      <c r="D311" s="9">
        <f>5.0011 * CHOOSE(CONTROL!$C$32, $C$9, 100%, $E$9)</f>
        <v>5.0011000000000001</v>
      </c>
      <c r="E311" s="11">
        <f>6.5374 * CHOOSE(CONTROL!$C$32, $C$9, 100%, $E$9)</f>
        <v>6.5373999999999999</v>
      </c>
      <c r="F311" s="11">
        <f>6.5374 * CHOOSE(CONTROL!$C$32, $C$9, 100%, $E$9)</f>
        <v>6.5373999999999999</v>
      </c>
      <c r="G311" s="11">
        <f>6.5406 * CHOOSE(CONTROL!$C$32, $C$9, 100%, $E$9)</f>
        <v>6.5406000000000004</v>
      </c>
      <c r="H311" s="11">
        <f>10.7032 * CHOOSE(CONTROL!$C$32, $C$9, 100%, $E$9)</f>
        <v>10.703200000000001</v>
      </c>
      <c r="I311" s="11">
        <f>10.7065 * CHOOSE(CONTROL!$C$32, $C$9, 100%, $E$9)</f>
        <v>10.7065</v>
      </c>
      <c r="J311" s="11">
        <f>10.7032 * CHOOSE(CONTROL!$C$32, $C$9, 100%, $E$9)</f>
        <v>10.703200000000001</v>
      </c>
      <c r="K311" s="11">
        <f>10.7065 * CHOOSE(CONTROL!$C$32, $C$9, 100%, $E$9)</f>
        <v>10.7065</v>
      </c>
      <c r="L311" s="11">
        <f>6.5374 * CHOOSE(CONTROL!$C$32, $C$9, 100%, $E$9)</f>
        <v>6.5373999999999999</v>
      </c>
      <c r="M311" s="11">
        <f>6.5406 * CHOOSE(CONTROL!$C$32, $C$9, 100%, $E$9)</f>
        <v>6.5406000000000004</v>
      </c>
      <c r="N311" s="11">
        <f>6.5374 * CHOOSE(CONTROL!$C$32, $C$9, 100%, $E$9)</f>
        <v>6.5373999999999999</v>
      </c>
      <c r="O311" s="11">
        <f>6.5406 * CHOOSE(CONTROL!$C$32, $C$9, 100%, $E$9)</f>
        <v>6.5406000000000004</v>
      </c>
    </row>
    <row r="312" spans="1:15" ht="15" x14ac:dyDescent="0.2">
      <c r="A312" s="13">
        <v>50345</v>
      </c>
      <c r="B312" s="9">
        <f>5.0032 * CHOOSE(CONTROL!$C$32, $C$9, 100%, $E$9)</f>
        <v>5.0031999999999996</v>
      </c>
      <c r="C312" s="9">
        <f>5.0032 * CHOOSE(CONTROL!$C$32, $C$9, 100%, $E$9)</f>
        <v>5.0031999999999996</v>
      </c>
      <c r="D312" s="9">
        <f>5.0042 * CHOOSE(CONTROL!$C$32, $C$9, 100%, $E$9)</f>
        <v>5.0042</v>
      </c>
      <c r="E312" s="11">
        <f>6.5616 * CHOOSE(CONTROL!$C$32, $C$9, 100%, $E$9)</f>
        <v>6.5616000000000003</v>
      </c>
      <c r="F312" s="11">
        <f>6.5616 * CHOOSE(CONTROL!$C$32, $C$9, 100%, $E$9)</f>
        <v>6.5616000000000003</v>
      </c>
      <c r="G312" s="11">
        <f>6.5649 * CHOOSE(CONTROL!$C$32, $C$9, 100%, $E$9)</f>
        <v>6.5648999999999997</v>
      </c>
      <c r="H312" s="11">
        <f>10.7255 * CHOOSE(CONTROL!$C$32, $C$9, 100%, $E$9)</f>
        <v>10.7255</v>
      </c>
      <c r="I312" s="11">
        <f>10.7288 * CHOOSE(CONTROL!$C$32, $C$9, 100%, $E$9)</f>
        <v>10.7288</v>
      </c>
      <c r="J312" s="11">
        <f>10.7255 * CHOOSE(CONTROL!$C$32, $C$9, 100%, $E$9)</f>
        <v>10.7255</v>
      </c>
      <c r="K312" s="11">
        <f>10.7288 * CHOOSE(CONTROL!$C$32, $C$9, 100%, $E$9)</f>
        <v>10.7288</v>
      </c>
      <c r="L312" s="11">
        <f>6.5616 * CHOOSE(CONTROL!$C$32, $C$9, 100%, $E$9)</f>
        <v>6.5616000000000003</v>
      </c>
      <c r="M312" s="11">
        <f>6.5649 * CHOOSE(CONTROL!$C$32, $C$9, 100%, $E$9)</f>
        <v>6.5648999999999997</v>
      </c>
      <c r="N312" s="11">
        <f>6.5616 * CHOOSE(CONTROL!$C$32, $C$9, 100%, $E$9)</f>
        <v>6.5616000000000003</v>
      </c>
      <c r="O312" s="11">
        <f>6.5649 * CHOOSE(CONTROL!$C$32, $C$9, 100%, $E$9)</f>
        <v>6.5648999999999997</v>
      </c>
    </row>
    <row r="313" spans="1:15" ht="15" x14ac:dyDescent="0.2">
      <c r="A313" s="13">
        <v>50375</v>
      </c>
      <c r="B313" s="9">
        <f>5.0032 * CHOOSE(CONTROL!$C$32, $C$9, 100%, $E$9)</f>
        <v>5.0031999999999996</v>
      </c>
      <c r="C313" s="9">
        <f>5.0032 * CHOOSE(CONTROL!$C$32, $C$9, 100%, $E$9)</f>
        <v>5.0031999999999996</v>
      </c>
      <c r="D313" s="9">
        <f>5.0042 * CHOOSE(CONTROL!$C$32, $C$9, 100%, $E$9)</f>
        <v>5.0042</v>
      </c>
      <c r="E313" s="11">
        <f>6.5063 * CHOOSE(CONTROL!$C$32, $C$9, 100%, $E$9)</f>
        <v>6.5063000000000004</v>
      </c>
      <c r="F313" s="11">
        <f>6.5063 * CHOOSE(CONTROL!$C$32, $C$9, 100%, $E$9)</f>
        <v>6.5063000000000004</v>
      </c>
      <c r="G313" s="11">
        <f>6.5096 * CHOOSE(CONTROL!$C$32, $C$9, 100%, $E$9)</f>
        <v>6.5095999999999998</v>
      </c>
      <c r="H313" s="11">
        <f>10.7479 * CHOOSE(CONTROL!$C$32, $C$9, 100%, $E$9)</f>
        <v>10.7479</v>
      </c>
      <c r="I313" s="11">
        <f>10.7511 * CHOOSE(CONTROL!$C$32, $C$9, 100%, $E$9)</f>
        <v>10.751099999999999</v>
      </c>
      <c r="J313" s="11">
        <f>10.7479 * CHOOSE(CONTROL!$C$32, $C$9, 100%, $E$9)</f>
        <v>10.7479</v>
      </c>
      <c r="K313" s="11">
        <f>10.7511 * CHOOSE(CONTROL!$C$32, $C$9, 100%, $E$9)</f>
        <v>10.751099999999999</v>
      </c>
      <c r="L313" s="11">
        <f>6.5063 * CHOOSE(CONTROL!$C$32, $C$9, 100%, $E$9)</f>
        <v>6.5063000000000004</v>
      </c>
      <c r="M313" s="11">
        <f>6.5096 * CHOOSE(CONTROL!$C$32, $C$9, 100%, $E$9)</f>
        <v>6.5095999999999998</v>
      </c>
      <c r="N313" s="11">
        <f>6.5063 * CHOOSE(CONTROL!$C$32, $C$9, 100%, $E$9)</f>
        <v>6.5063000000000004</v>
      </c>
      <c r="O313" s="11">
        <f>6.5096 * CHOOSE(CONTROL!$C$32, $C$9, 100%, $E$9)</f>
        <v>6.5095999999999998</v>
      </c>
    </row>
    <row r="314" spans="1:15" ht="15" x14ac:dyDescent="0.2">
      <c r="A314" s="13">
        <v>50406</v>
      </c>
      <c r="B314" s="9">
        <f>5.043 * CHOOSE(CONTROL!$C$32, $C$9, 100%, $E$9)</f>
        <v>5.0430000000000001</v>
      </c>
      <c r="C314" s="9">
        <f>5.043 * CHOOSE(CONTROL!$C$32, $C$9, 100%, $E$9)</f>
        <v>5.0430000000000001</v>
      </c>
      <c r="D314" s="9">
        <f>5.0439 * CHOOSE(CONTROL!$C$32, $C$9, 100%, $E$9)</f>
        <v>5.0438999999999998</v>
      </c>
      <c r="E314" s="11">
        <f>6.5545 * CHOOSE(CONTROL!$C$32, $C$9, 100%, $E$9)</f>
        <v>6.5545</v>
      </c>
      <c r="F314" s="11">
        <f>6.5545 * CHOOSE(CONTROL!$C$32, $C$9, 100%, $E$9)</f>
        <v>6.5545</v>
      </c>
      <c r="G314" s="11">
        <f>6.5578 * CHOOSE(CONTROL!$C$32, $C$9, 100%, $E$9)</f>
        <v>6.5578000000000003</v>
      </c>
      <c r="H314" s="11">
        <f>10.7703 * CHOOSE(CONTROL!$C$32, $C$9, 100%, $E$9)</f>
        <v>10.770300000000001</v>
      </c>
      <c r="I314" s="11">
        <f>10.7735 * CHOOSE(CONTROL!$C$32, $C$9, 100%, $E$9)</f>
        <v>10.7735</v>
      </c>
      <c r="J314" s="11">
        <f>10.7703 * CHOOSE(CONTROL!$C$32, $C$9, 100%, $E$9)</f>
        <v>10.770300000000001</v>
      </c>
      <c r="K314" s="11">
        <f>10.7735 * CHOOSE(CONTROL!$C$32, $C$9, 100%, $E$9)</f>
        <v>10.7735</v>
      </c>
      <c r="L314" s="11">
        <f>6.5545 * CHOOSE(CONTROL!$C$32, $C$9, 100%, $E$9)</f>
        <v>6.5545</v>
      </c>
      <c r="M314" s="11">
        <f>6.5578 * CHOOSE(CONTROL!$C$32, $C$9, 100%, $E$9)</f>
        <v>6.5578000000000003</v>
      </c>
      <c r="N314" s="11">
        <f>6.5545 * CHOOSE(CONTROL!$C$32, $C$9, 100%, $E$9)</f>
        <v>6.5545</v>
      </c>
      <c r="O314" s="11">
        <f>6.5578 * CHOOSE(CONTROL!$C$32, $C$9, 100%, $E$9)</f>
        <v>6.5578000000000003</v>
      </c>
    </row>
    <row r="315" spans="1:15" ht="15" x14ac:dyDescent="0.2">
      <c r="A315" s="13">
        <v>50437</v>
      </c>
      <c r="B315" s="9">
        <f>5.0399 * CHOOSE(CONTROL!$C$32, $C$9, 100%, $E$9)</f>
        <v>5.0399000000000003</v>
      </c>
      <c r="C315" s="9">
        <f>5.0399 * CHOOSE(CONTROL!$C$32, $C$9, 100%, $E$9)</f>
        <v>5.0399000000000003</v>
      </c>
      <c r="D315" s="9">
        <f>5.0409 * CHOOSE(CONTROL!$C$32, $C$9, 100%, $E$9)</f>
        <v>5.0408999999999997</v>
      </c>
      <c r="E315" s="11">
        <f>6.4445 * CHOOSE(CONTROL!$C$32, $C$9, 100%, $E$9)</f>
        <v>6.4444999999999997</v>
      </c>
      <c r="F315" s="11">
        <f>6.4445 * CHOOSE(CONTROL!$C$32, $C$9, 100%, $E$9)</f>
        <v>6.4444999999999997</v>
      </c>
      <c r="G315" s="11">
        <f>6.4478 * CHOOSE(CONTROL!$C$32, $C$9, 100%, $E$9)</f>
        <v>6.4478</v>
      </c>
      <c r="H315" s="11">
        <f>10.7927 * CHOOSE(CONTROL!$C$32, $C$9, 100%, $E$9)</f>
        <v>10.7927</v>
      </c>
      <c r="I315" s="11">
        <f>10.7959 * CHOOSE(CONTROL!$C$32, $C$9, 100%, $E$9)</f>
        <v>10.7959</v>
      </c>
      <c r="J315" s="11">
        <f>10.7927 * CHOOSE(CONTROL!$C$32, $C$9, 100%, $E$9)</f>
        <v>10.7927</v>
      </c>
      <c r="K315" s="11">
        <f>10.7959 * CHOOSE(CONTROL!$C$32, $C$9, 100%, $E$9)</f>
        <v>10.7959</v>
      </c>
      <c r="L315" s="11">
        <f>6.4445 * CHOOSE(CONTROL!$C$32, $C$9, 100%, $E$9)</f>
        <v>6.4444999999999997</v>
      </c>
      <c r="M315" s="11">
        <f>6.4478 * CHOOSE(CONTROL!$C$32, $C$9, 100%, $E$9)</f>
        <v>6.4478</v>
      </c>
      <c r="N315" s="11">
        <f>6.4445 * CHOOSE(CONTROL!$C$32, $C$9, 100%, $E$9)</f>
        <v>6.4444999999999997</v>
      </c>
      <c r="O315" s="11">
        <f>6.4478 * CHOOSE(CONTROL!$C$32, $C$9, 100%, $E$9)</f>
        <v>6.4478</v>
      </c>
    </row>
    <row r="316" spans="1:15" ht="15" x14ac:dyDescent="0.2">
      <c r="A316" s="13">
        <v>50465</v>
      </c>
      <c r="B316" s="9">
        <f>5.0369 * CHOOSE(CONTROL!$C$32, $C$9, 100%, $E$9)</f>
        <v>5.0369000000000002</v>
      </c>
      <c r="C316" s="9">
        <f>5.0369 * CHOOSE(CONTROL!$C$32, $C$9, 100%, $E$9)</f>
        <v>5.0369000000000002</v>
      </c>
      <c r="D316" s="9">
        <f>5.0379 * CHOOSE(CONTROL!$C$32, $C$9, 100%, $E$9)</f>
        <v>5.0378999999999996</v>
      </c>
      <c r="E316" s="11">
        <f>6.5275 * CHOOSE(CONTROL!$C$32, $C$9, 100%, $E$9)</f>
        <v>6.5274999999999999</v>
      </c>
      <c r="F316" s="11">
        <f>6.5275 * CHOOSE(CONTROL!$C$32, $C$9, 100%, $E$9)</f>
        <v>6.5274999999999999</v>
      </c>
      <c r="G316" s="11">
        <f>6.5307 * CHOOSE(CONTROL!$C$32, $C$9, 100%, $E$9)</f>
        <v>6.5307000000000004</v>
      </c>
      <c r="H316" s="11">
        <f>10.8152 * CHOOSE(CONTROL!$C$32, $C$9, 100%, $E$9)</f>
        <v>10.815200000000001</v>
      </c>
      <c r="I316" s="11">
        <f>10.8184 * CHOOSE(CONTROL!$C$32, $C$9, 100%, $E$9)</f>
        <v>10.8184</v>
      </c>
      <c r="J316" s="11">
        <f>10.8152 * CHOOSE(CONTROL!$C$32, $C$9, 100%, $E$9)</f>
        <v>10.815200000000001</v>
      </c>
      <c r="K316" s="11">
        <f>10.8184 * CHOOSE(CONTROL!$C$32, $C$9, 100%, $E$9)</f>
        <v>10.8184</v>
      </c>
      <c r="L316" s="11">
        <f>6.5275 * CHOOSE(CONTROL!$C$32, $C$9, 100%, $E$9)</f>
        <v>6.5274999999999999</v>
      </c>
      <c r="M316" s="11">
        <f>6.5307 * CHOOSE(CONTROL!$C$32, $C$9, 100%, $E$9)</f>
        <v>6.5307000000000004</v>
      </c>
      <c r="N316" s="11">
        <f>6.5275 * CHOOSE(CONTROL!$C$32, $C$9, 100%, $E$9)</f>
        <v>6.5274999999999999</v>
      </c>
      <c r="O316" s="11">
        <f>6.5307 * CHOOSE(CONTROL!$C$32, $C$9, 100%, $E$9)</f>
        <v>6.5307000000000004</v>
      </c>
    </row>
    <row r="317" spans="1:15" ht="15" x14ac:dyDescent="0.2">
      <c r="A317" s="13">
        <v>50496</v>
      </c>
      <c r="B317" s="9">
        <f>5.0356 * CHOOSE(CONTROL!$C$32, $C$9, 100%, $E$9)</f>
        <v>5.0355999999999996</v>
      </c>
      <c r="C317" s="9">
        <f>5.0356 * CHOOSE(CONTROL!$C$32, $C$9, 100%, $E$9)</f>
        <v>5.0355999999999996</v>
      </c>
      <c r="D317" s="9">
        <f>5.0365 * CHOOSE(CONTROL!$C$32, $C$9, 100%, $E$9)</f>
        <v>5.0365000000000002</v>
      </c>
      <c r="E317" s="11">
        <f>6.6146 * CHOOSE(CONTROL!$C$32, $C$9, 100%, $E$9)</f>
        <v>6.6146000000000003</v>
      </c>
      <c r="F317" s="11">
        <f>6.6146 * CHOOSE(CONTROL!$C$32, $C$9, 100%, $E$9)</f>
        <v>6.6146000000000003</v>
      </c>
      <c r="G317" s="11">
        <f>6.6178 * CHOOSE(CONTROL!$C$32, $C$9, 100%, $E$9)</f>
        <v>6.6177999999999999</v>
      </c>
      <c r="H317" s="11">
        <f>10.8377 * CHOOSE(CONTROL!$C$32, $C$9, 100%, $E$9)</f>
        <v>10.8377</v>
      </c>
      <c r="I317" s="11">
        <f>10.841 * CHOOSE(CONTROL!$C$32, $C$9, 100%, $E$9)</f>
        <v>10.840999999999999</v>
      </c>
      <c r="J317" s="11">
        <f>10.8377 * CHOOSE(CONTROL!$C$32, $C$9, 100%, $E$9)</f>
        <v>10.8377</v>
      </c>
      <c r="K317" s="11">
        <f>10.841 * CHOOSE(CONTROL!$C$32, $C$9, 100%, $E$9)</f>
        <v>10.840999999999999</v>
      </c>
      <c r="L317" s="11">
        <f>6.6146 * CHOOSE(CONTROL!$C$32, $C$9, 100%, $E$9)</f>
        <v>6.6146000000000003</v>
      </c>
      <c r="M317" s="11">
        <f>6.6178 * CHOOSE(CONTROL!$C$32, $C$9, 100%, $E$9)</f>
        <v>6.6177999999999999</v>
      </c>
      <c r="N317" s="11">
        <f>6.6146 * CHOOSE(CONTROL!$C$32, $C$9, 100%, $E$9)</f>
        <v>6.6146000000000003</v>
      </c>
      <c r="O317" s="11">
        <f>6.6178 * CHOOSE(CONTROL!$C$32, $C$9, 100%, $E$9)</f>
        <v>6.6177999999999999</v>
      </c>
    </row>
    <row r="318" spans="1:15" ht="15" x14ac:dyDescent="0.2">
      <c r="A318" s="13">
        <v>50526</v>
      </c>
      <c r="B318" s="9">
        <f>5.0356 * CHOOSE(CONTROL!$C$32, $C$9, 100%, $E$9)</f>
        <v>5.0355999999999996</v>
      </c>
      <c r="C318" s="9">
        <f>5.0356 * CHOOSE(CONTROL!$C$32, $C$9, 100%, $E$9)</f>
        <v>5.0355999999999996</v>
      </c>
      <c r="D318" s="9">
        <f>5.0368 * CHOOSE(CONTROL!$C$32, $C$9, 100%, $E$9)</f>
        <v>5.0368000000000004</v>
      </c>
      <c r="E318" s="11">
        <f>6.6488 * CHOOSE(CONTROL!$C$32, $C$9, 100%, $E$9)</f>
        <v>6.6487999999999996</v>
      </c>
      <c r="F318" s="11">
        <f>6.6488 * CHOOSE(CONTROL!$C$32, $C$9, 100%, $E$9)</f>
        <v>6.6487999999999996</v>
      </c>
      <c r="G318" s="11">
        <f>6.653 * CHOOSE(CONTROL!$C$32, $C$9, 100%, $E$9)</f>
        <v>6.6529999999999996</v>
      </c>
      <c r="H318" s="11">
        <f>10.8603 * CHOOSE(CONTROL!$C$32, $C$9, 100%, $E$9)</f>
        <v>10.860300000000001</v>
      </c>
      <c r="I318" s="11">
        <f>10.8645 * CHOOSE(CONTROL!$C$32, $C$9, 100%, $E$9)</f>
        <v>10.8645</v>
      </c>
      <c r="J318" s="11">
        <f>10.8603 * CHOOSE(CONTROL!$C$32, $C$9, 100%, $E$9)</f>
        <v>10.860300000000001</v>
      </c>
      <c r="K318" s="11">
        <f>10.8645 * CHOOSE(CONTROL!$C$32, $C$9, 100%, $E$9)</f>
        <v>10.8645</v>
      </c>
      <c r="L318" s="11">
        <f>6.6488 * CHOOSE(CONTROL!$C$32, $C$9, 100%, $E$9)</f>
        <v>6.6487999999999996</v>
      </c>
      <c r="M318" s="11">
        <f>6.653 * CHOOSE(CONTROL!$C$32, $C$9, 100%, $E$9)</f>
        <v>6.6529999999999996</v>
      </c>
      <c r="N318" s="11">
        <f>6.6488 * CHOOSE(CONTROL!$C$32, $C$9, 100%, $E$9)</f>
        <v>6.6487999999999996</v>
      </c>
      <c r="O318" s="11">
        <f>6.653 * CHOOSE(CONTROL!$C$32, $C$9, 100%, $E$9)</f>
        <v>6.6529999999999996</v>
      </c>
    </row>
    <row r="319" spans="1:15" ht="15" x14ac:dyDescent="0.2">
      <c r="A319" s="13">
        <v>50557</v>
      </c>
      <c r="B319" s="9">
        <f>5.0416 * CHOOSE(CONTROL!$C$32, $C$9, 100%, $E$9)</f>
        <v>5.0415999999999999</v>
      </c>
      <c r="C319" s="9">
        <f>5.0416 * CHOOSE(CONTROL!$C$32, $C$9, 100%, $E$9)</f>
        <v>5.0415999999999999</v>
      </c>
      <c r="D319" s="9">
        <f>5.0429 * CHOOSE(CONTROL!$C$32, $C$9, 100%, $E$9)</f>
        <v>5.0429000000000004</v>
      </c>
      <c r="E319" s="11">
        <f>6.6188 * CHOOSE(CONTROL!$C$32, $C$9, 100%, $E$9)</f>
        <v>6.6188000000000002</v>
      </c>
      <c r="F319" s="11">
        <f>6.6188 * CHOOSE(CONTROL!$C$32, $C$9, 100%, $E$9)</f>
        <v>6.6188000000000002</v>
      </c>
      <c r="G319" s="11">
        <f>6.623 * CHOOSE(CONTROL!$C$32, $C$9, 100%, $E$9)</f>
        <v>6.6230000000000002</v>
      </c>
      <c r="H319" s="11">
        <f>10.8829 * CHOOSE(CONTROL!$C$32, $C$9, 100%, $E$9)</f>
        <v>10.882899999999999</v>
      </c>
      <c r="I319" s="11">
        <f>10.8871 * CHOOSE(CONTROL!$C$32, $C$9, 100%, $E$9)</f>
        <v>10.8871</v>
      </c>
      <c r="J319" s="11">
        <f>10.8829 * CHOOSE(CONTROL!$C$32, $C$9, 100%, $E$9)</f>
        <v>10.882899999999999</v>
      </c>
      <c r="K319" s="11">
        <f>10.8871 * CHOOSE(CONTROL!$C$32, $C$9, 100%, $E$9)</f>
        <v>10.8871</v>
      </c>
      <c r="L319" s="11">
        <f>6.6188 * CHOOSE(CONTROL!$C$32, $C$9, 100%, $E$9)</f>
        <v>6.6188000000000002</v>
      </c>
      <c r="M319" s="11">
        <f>6.623 * CHOOSE(CONTROL!$C$32, $C$9, 100%, $E$9)</f>
        <v>6.6230000000000002</v>
      </c>
      <c r="N319" s="11">
        <f>6.6188 * CHOOSE(CONTROL!$C$32, $C$9, 100%, $E$9)</f>
        <v>6.6188000000000002</v>
      </c>
      <c r="O319" s="11">
        <f>6.623 * CHOOSE(CONTROL!$C$32, $C$9, 100%, $E$9)</f>
        <v>6.6230000000000002</v>
      </c>
    </row>
    <row r="320" spans="1:15" ht="15" x14ac:dyDescent="0.2">
      <c r="A320" s="13">
        <v>50587</v>
      </c>
      <c r="B320" s="9">
        <f>5.1131 * CHOOSE(CONTROL!$C$32, $C$9, 100%, $E$9)</f>
        <v>5.1131000000000002</v>
      </c>
      <c r="C320" s="9">
        <f>5.1131 * CHOOSE(CONTROL!$C$32, $C$9, 100%, $E$9)</f>
        <v>5.1131000000000002</v>
      </c>
      <c r="D320" s="9">
        <f>5.1143 * CHOOSE(CONTROL!$C$32, $C$9, 100%, $E$9)</f>
        <v>5.1143000000000001</v>
      </c>
      <c r="E320" s="11">
        <f>6.6086 * CHOOSE(CONTROL!$C$32, $C$9, 100%, $E$9)</f>
        <v>6.6086</v>
      </c>
      <c r="F320" s="11">
        <f>6.6086 * CHOOSE(CONTROL!$C$32, $C$9, 100%, $E$9)</f>
        <v>6.6086</v>
      </c>
      <c r="G320" s="11">
        <f>6.6128 * CHOOSE(CONTROL!$C$32, $C$9, 100%, $E$9)</f>
        <v>6.6128</v>
      </c>
      <c r="H320" s="11">
        <f>10.9056 * CHOOSE(CONTROL!$C$32, $C$9, 100%, $E$9)</f>
        <v>10.9056</v>
      </c>
      <c r="I320" s="11">
        <f>10.9098 * CHOOSE(CONTROL!$C$32, $C$9, 100%, $E$9)</f>
        <v>10.909800000000001</v>
      </c>
      <c r="J320" s="11">
        <f>10.9056 * CHOOSE(CONTROL!$C$32, $C$9, 100%, $E$9)</f>
        <v>10.9056</v>
      </c>
      <c r="K320" s="11">
        <f>10.9098 * CHOOSE(CONTROL!$C$32, $C$9, 100%, $E$9)</f>
        <v>10.909800000000001</v>
      </c>
      <c r="L320" s="11">
        <f>6.6086 * CHOOSE(CONTROL!$C$32, $C$9, 100%, $E$9)</f>
        <v>6.6086</v>
      </c>
      <c r="M320" s="11">
        <f>6.6128 * CHOOSE(CONTROL!$C$32, $C$9, 100%, $E$9)</f>
        <v>6.6128</v>
      </c>
      <c r="N320" s="11">
        <f>6.6086 * CHOOSE(CONTROL!$C$32, $C$9, 100%, $E$9)</f>
        <v>6.6086</v>
      </c>
      <c r="O320" s="11">
        <f>6.6128 * CHOOSE(CONTROL!$C$32, $C$9, 100%, $E$9)</f>
        <v>6.6128</v>
      </c>
    </row>
    <row r="321" spans="1:15" ht="15" x14ac:dyDescent="0.2">
      <c r="A321" s="13">
        <v>50618</v>
      </c>
      <c r="B321" s="9">
        <f>5.1198 * CHOOSE(CONTROL!$C$32, $C$9, 100%, $E$9)</f>
        <v>5.1197999999999997</v>
      </c>
      <c r="C321" s="9">
        <f>5.1198 * CHOOSE(CONTROL!$C$32, $C$9, 100%, $E$9)</f>
        <v>5.1197999999999997</v>
      </c>
      <c r="D321" s="9">
        <f>5.121 * CHOOSE(CONTROL!$C$32, $C$9, 100%, $E$9)</f>
        <v>5.1210000000000004</v>
      </c>
      <c r="E321" s="11">
        <f>6.5105 * CHOOSE(CONTROL!$C$32, $C$9, 100%, $E$9)</f>
        <v>6.5105000000000004</v>
      </c>
      <c r="F321" s="11">
        <f>6.5105 * CHOOSE(CONTROL!$C$32, $C$9, 100%, $E$9)</f>
        <v>6.5105000000000004</v>
      </c>
      <c r="G321" s="11">
        <f>6.5147 * CHOOSE(CONTROL!$C$32, $C$9, 100%, $E$9)</f>
        <v>6.5147000000000004</v>
      </c>
      <c r="H321" s="11">
        <f>10.9283 * CHOOSE(CONTROL!$C$32, $C$9, 100%, $E$9)</f>
        <v>10.9283</v>
      </c>
      <c r="I321" s="11">
        <f>10.9325 * CHOOSE(CONTROL!$C$32, $C$9, 100%, $E$9)</f>
        <v>10.932499999999999</v>
      </c>
      <c r="J321" s="11">
        <f>10.9283 * CHOOSE(CONTROL!$C$32, $C$9, 100%, $E$9)</f>
        <v>10.9283</v>
      </c>
      <c r="K321" s="11">
        <f>10.9325 * CHOOSE(CONTROL!$C$32, $C$9, 100%, $E$9)</f>
        <v>10.932499999999999</v>
      </c>
      <c r="L321" s="11">
        <f>6.5105 * CHOOSE(CONTROL!$C$32, $C$9, 100%, $E$9)</f>
        <v>6.5105000000000004</v>
      </c>
      <c r="M321" s="11">
        <f>6.5147 * CHOOSE(CONTROL!$C$32, $C$9, 100%, $E$9)</f>
        <v>6.5147000000000004</v>
      </c>
      <c r="N321" s="11">
        <f>6.5105 * CHOOSE(CONTROL!$C$32, $C$9, 100%, $E$9)</f>
        <v>6.5105000000000004</v>
      </c>
      <c r="O321" s="11">
        <f>6.5147 * CHOOSE(CONTROL!$C$32, $C$9, 100%, $E$9)</f>
        <v>6.5147000000000004</v>
      </c>
    </row>
    <row r="322" spans="1:15" ht="15" x14ac:dyDescent="0.2">
      <c r="A322" s="13">
        <v>50649</v>
      </c>
      <c r="B322" s="9">
        <f>5.1167 * CHOOSE(CONTROL!$C$32, $C$9, 100%, $E$9)</f>
        <v>5.1166999999999998</v>
      </c>
      <c r="C322" s="9">
        <f>5.1167 * CHOOSE(CONTROL!$C$32, $C$9, 100%, $E$9)</f>
        <v>5.1166999999999998</v>
      </c>
      <c r="D322" s="9">
        <f>5.118 * CHOOSE(CONTROL!$C$32, $C$9, 100%, $E$9)</f>
        <v>5.1180000000000003</v>
      </c>
      <c r="E322" s="11">
        <f>6.4969 * CHOOSE(CONTROL!$C$32, $C$9, 100%, $E$9)</f>
        <v>6.4969000000000001</v>
      </c>
      <c r="F322" s="11">
        <f>6.4969 * CHOOSE(CONTROL!$C$32, $C$9, 100%, $E$9)</f>
        <v>6.4969000000000001</v>
      </c>
      <c r="G322" s="11">
        <f>6.5011 * CHOOSE(CONTROL!$C$32, $C$9, 100%, $E$9)</f>
        <v>6.5011000000000001</v>
      </c>
      <c r="H322" s="11">
        <f>10.9511 * CHOOSE(CONTROL!$C$32, $C$9, 100%, $E$9)</f>
        <v>10.9511</v>
      </c>
      <c r="I322" s="11">
        <f>10.9553 * CHOOSE(CONTROL!$C$32, $C$9, 100%, $E$9)</f>
        <v>10.955299999999999</v>
      </c>
      <c r="J322" s="11">
        <f>10.9511 * CHOOSE(CONTROL!$C$32, $C$9, 100%, $E$9)</f>
        <v>10.9511</v>
      </c>
      <c r="K322" s="11">
        <f>10.9553 * CHOOSE(CONTROL!$C$32, $C$9, 100%, $E$9)</f>
        <v>10.955299999999999</v>
      </c>
      <c r="L322" s="11">
        <f>6.4969 * CHOOSE(CONTROL!$C$32, $C$9, 100%, $E$9)</f>
        <v>6.4969000000000001</v>
      </c>
      <c r="M322" s="11">
        <f>6.5011 * CHOOSE(CONTROL!$C$32, $C$9, 100%, $E$9)</f>
        <v>6.5011000000000001</v>
      </c>
      <c r="N322" s="11">
        <f>6.4969 * CHOOSE(CONTROL!$C$32, $C$9, 100%, $E$9)</f>
        <v>6.4969000000000001</v>
      </c>
      <c r="O322" s="11">
        <f>6.5011 * CHOOSE(CONTROL!$C$32, $C$9, 100%, $E$9)</f>
        <v>6.5011000000000001</v>
      </c>
    </row>
    <row r="323" spans="1:15" ht="15" x14ac:dyDescent="0.2">
      <c r="A323" s="13">
        <v>50679</v>
      </c>
      <c r="B323" s="9">
        <f>5.1159 * CHOOSE(CONTROL!$C$32, $C$9, 100%, $E$9)</f>
        <v>5.1158999999999999</v>
      </c>
      <c r="C323" s="9">
        <f>5.1159 * CHOOSE(CONTROL!$C$32, $C$9, 100%, $E$9)</f>
        <v>5.1158999999999999</v>
      </c>
      <c r="D323" s="9">
        <f>5.1169 * CHOOSE(CONTROL!$C$32, $C$9, 100%, $E$9)</f>
        <v>5.1169000000000002</v>
      </c>
      <c r="E323" s="11">
        <f>6.5292 * CHOOSE(CONTROL!$C$32, $C$9, 100%, $E$9)</f>
        <v>6.5292000000000003</v>
      </c>
      <c r="F323" s="11">
        <f>6.5292 * CHOOSE(CONTROL!$C$32, $C$9, 100%, $E$9)</f>
        <v>6.5292000000000003</v>
      </c>
      <c r="G323" s="11">
        <f>6.5324 * CHOOSE(CONTROL!$C$32, $C$9, 100%, $E$9)</f>
        <v>6.5324</v>
      </c>
      <c r="H323" s="11">
        <f>10.9739 * CHOOSE(CONTROL!$C$32, $C$9, 100%, $E$9)</f>
        <v>10.9739</v>
      </c>
      <c r="I323" s="11">
        <f>10.9771 * CHOOSE(CONTROL!$C$32, $C$9, 100%, $E$9)</f>
        <v>10.9771</v>
      </c>
      <c r="J323" s="11">
        <f>10.9739 * CHOOSE(CONTROL!$C$32, $C$9, 100%, $E$9)</f>
        <v>10.9739</v>
      </c>
      <c r="K323" s="11">
        <f>10.9771 * CHOOSE(CONTROL!$C$32, $C$9, 100%, $E$9)</f>
        <v>10.9771</v>
      </c>
      <c r="L323" s="11">
        <f>6.5292 * CHOOSE(CONTROL!$C$32, $C$9, 100%, $E$9)</f>
        <v>6.5292000000000003</v>
      </c>
      <c r="M323" s="11">
        <f>6.5324 * CHOOSE(CONTROL!$C$32, $C$9, 100%, $E$9)</f>
        <v>6.5324</v>
      </c>
      <c r="N323" s="11">
        <f>6.5292 * CHOOSE(CONTROL!$C$32, $C$9, 100%, $E$9)</f>
        <v>6.5292000000000003</v>
      </c>
      <c r="O323" s="11">
        <f>6.5324 * CHOOSE(CONTROL!$C$32, $C$9, 100%, $E$9)</f>
        <v>6.5324</v>
      </c>
    </row>
    <row r="324" spans="1:15" ht="15" x14ac:dyDescent="0.2">
      <c r="A324" s="13">
        <v>50710</v>
      </c>
      <c r="B324" s="9">
        <f>5.119 * CHOOSE(CONTROL!$C$32, $C$9, 100%, $E$9)</f>
        <v>5.1189999999999998</v>
      </c>
      <c r="C324" s="9">
        <f>5.119 * CHOOSE(CONTROL!$C$32, $C$9, 100%, $E$9)</f>
        <v>5.1189999999999998</v>
      </c>
      <c r="D324" s="9">
        <f>5.1199 * CHOOSE(CONTROL!$C$32, $C$9, 100%, $E$9)</f>
        <v>5.1199000000000003</v>
      </c>
      <c r="E324" s="11">
        <f>6.5541 * CHOOSE(CONTROL!$C$32, $C$9, 100%, $E$9)</f>
        <v>6.5541</v>
      </c>
      <c r="F324" s="11">
        <f>6.5541 * CHOOSE(CONTROL!$C$32, $C$9, 100%, $E$9)</f>
        <v>6.5541</v>
      </c>
      <c r="G324" s="11">
        <f>6.5574 * CHOOSE(CONTROL!$C$32, $C$9, 100%, $E$9)</f>
        <v>6.5574000000000003</v>
      </c>
      <c r="H324" s="11">
        <f>10.9968 * CHOOSE(CONTROL!$C$32, $C$9, 100%, $E$9)</f>
        <v>10.9968</v>
      </c>
      <c r="I324" s="11">
        <f>11 * CHOOSE(CONTROL!$C$32, $C$9, 100%, $E$9)</f>
        <v>11</v>
      </c>
      <c r="J324" s="11">
        <f>10.9968 * CHOOSE(CONTROL!$C$32, $C$9, 100%, $E$9)</f>
        <v>10.9968</v>
      </c>
      <c r="K324" s="11">
        <f>11 * CHOOSE(CONTROL!$C$32, $C$9, 100%, $E$9)</f>
        <v>11</v>
      </c>
      <c r="L324" s="11">
        <f>6.5541 * CHOOSE(CONTROL!$C$32, $C$9, 100%, $E$9)</f>
        <v>6.5541</v>
      </c>
      <c r="M324" s="11">
        <f>6.5574 * CHOOSE(CONTROL!$C$32, $C$9, 100%, $E$9)</f>
        <v>6.5574000000000003</v>
      </c>
      <c r="N324" s="11">
        <f>6.5541 * CHOOSE(CONTROL!$C$32, $C$9, 100%, $E$9)</f>
        <v>6.5541</v>
      </c>
      <c r="O324" s="11">
        <f>6.5574 * CHOOSE(CONTROL!$C$32, $C$9, 100%, $E$9)</f>
        <v>6.5574000000000003</v>
      </c>
    </row>
    <row r="325" spans="1:15" ht="15" x14ac:dyDescent="0.2">
      <c r="A325" s="13">
        <v>50740</v>
      </c>
      <c r="B325" s="9">
        <f>5.119 * CHOOSE(CONTROL!$C$32, $C$9, 100%, $E$9)</f>
        <v>5.1189999999999998</v>
      </c>
      <c r="C325" s="9">
        <f>5.119 * CHOOSE(CONTROL!$C$32, $C$9, 100%, $E$9)</f>
        <v>5.1189999999999998</v>
      </c>
      <c r="D325" s="9">
        <f>5.1199 * CHOOSE(CONTROL!$C$32, $C$9, 100%, $E$9)</f>
        <v>5.1199000000000003</v>
      </c>
      <c r="E325" s="11">
        <f>6.533 * CHOOSE(CONTROL!$C$32, $C$9, 100%, $E$9)</f>
        <v>6.5330000000000004</v>
      </c>
      <c r="F325" s="11">
        <f>6.533 * CHOOSE(CONTROL!$C$32, $C$9, 100%, $E$9)</f>
        <v>6.5330000000000004</v>
      </c>
      <c r="G325" s="11">
        <f>6.5363 * CHOOSE(CONTROL!$C$32, $C$9, 100%, $E$9)</f>
        <v>6.5362999999999998</v>
      </c>
      <c r="H325" s="11">
        <f>11.0197 * CHOOSE(CONTROL!$C$32, $C$9, 100%, $E$9)</f>
        <v>11.0197</v>
      </c>
      <c r="I325" s="11">
        <f>11.0229 * CHOOSE(CONTROL!$C$32, $C$9, 100%, $E$9)</f>
        <v>11.0229</v>
      </c>
      <c r="J325" s="11">
        <f>11.0197 * CHOOSE(CONTROL!$C$32, $C$9, 100%, $E$9)</f>
        <v>11.0197</v>
      </c>
      <c r="K325" s="11">
        <f>11.0229 * CHOOSE(CONTROL!$C$32, $C$9, 100%, $E$9)</f>
        <v>11.0229</v>
      </c>
      <c r="L325" s="11">
        <f>6.533 * CHOOSE(CONTROL!$C$32, $C$9, 100%, $E$9)</f>
        <v>6.5330000000000004</v>
      </c>
      <c r="M325" s="11">
        <f>6.5363 * CHOOSE(CONTROL!$C$32, $C$9, 100%, $E$9)</f>
        <v>6.5362999999999998</v>
      </c>
      <c r="N325" s="11">
        <f>6.533 * CHOOSE(CONTROL!$C$32, $C$9, 100%, $E$9)</f>
        <v>6.5330000000000004</v>
      </c>
      <c r="O325" s="11">
        <f>6.5363 * CHOOSE(CONTROL!$C$32, $C$9, 100%, $E$9)</f>
        <v>6.5362999999999998</v>
      </c>
    </row>
    <row r="326" spans="1:15" ht="15" x14ac:dyDescent="0.2">
      <c r="A326" s="13">
        <v>50771</v>
      </c>
      <c r="B326" s="9">
        <f>5.1575 * CHOOSE(CONTROL!$C$32, $C$9, 100%, $E$9)</f>
        <v>5.1574999999999998</v>
      </c>
      <c r="C326" s="9">
        <f>5.1575 * CHOOSE(CONTROL!$C$32, $C$9, 100%, $E$9)</f>
        <v>5.1574999999999998</v>
      </c>
      <c r="D326" s="9">
        <f>5.1584 * CHOOSE(CONTROL!$C$32, $C$9, 100%, $E$9)</f>
        <v>5.1584000000000003</v>
      </c>
      <c r="E326" s="11">
        <f>6.5634 * CHOOSE(CONTROL!$C$32, $C$9, 100%, $E$9)</f>
        <v>6.5633999999999997</v>
      </c>
      <c r="F326" s="11">
        <f>6.5634 * CHOOSE(CONTROL!$C$32, $C$9, 100%, $E$9)</f>
        <v>6.5633999999999997</v>
      </c>
      <c r="G326" s="11">
        <f>6.5666 * CHOOSE(CONTROL!$C$32, $C$9, 100%, $E$9)</f>
        <v>6.5666000000000002</v>
      </c>
      <c r="H326" s="11">
        <f>11.0426 * CHOOSE(CONTROL!$C$32, $C$9, 100%, $E$9)</f>
        <v>11.0426</v>
      </c>
      <c r="I326" s="11">
        <f>11.0459 * CHOOSE(CONTROL!$C$32, $C$9, 100%, $E$9)</f>
        <v>11.0459</v>
      </c>
      <c r="J326" s="11">
        <f>11.0426 * CHOOSE(CONTROL!$C$32, $C$9, 100%, $E$9)</f>
        <v>11.0426</v>
      </c>
      <c r="K326" s="11">
        <f>11.0459 * CHOOSE(CONTROL!$C$32, $C$9, 100%, $E$9)</f>
        <v>11.0459</v>
      </c>
      <c r="L326" s="11">
        <f>6.5634 * CHOOSE(CONTROL!$C$32, $C$9, 100%, $E$9)</f>
        <v>6.5633999999999997</v>
      </c>
      <c r="M326" s="11">
        <f>6.5666 * CHOOSE(CONTROL!$C$32, $C$9, 100%, $E$9)</f>
        <v>6.5666000000000002</v>
      </c>
      <c r="N326" s="11">
        <f>6.5634 * CHOOSE(CONTROL!$C$32, $C$9, 100%, $E$9)</f>
        <v>6.5633999999999997</v>
      </c>
      <c r="O326" s="11">
        <f>6.5666 * CHOOSE(CONTROL!$C$32, $C$9, 100%, $E$9)</f>
        <v>6.5666000000000002</v>
      </c>
    </row>
    <row r="327" spans="1:15" ht="15" x14ac:dyDescent="0.2">
      <c r="A327" s="13">
        <v>50802</v>
      </c>
      <c r="B327" s="9">
        <f>5.1544 * CHOOSE(CONTROL!$C$32, $C$9, 100%, $E$9)</f>
        <v>5.1543999999999999</v>
      </c>
      <c r="C327" s="9">
        <f>5.1544 * CHOOSE(CONTROL!$C$32, $C$9, 100%, $E$9)</f>
        <v>5.1543999999999999</v>
      </c>
      <c r="D327" s="9">
        <f>5.1554 * CHOOSE(CONTROL!$C$32, $C$9, 100%, $E$9)</f>
        <v>5.1554000000000002</v>
      </c>
      <c r="E327" s="11">
        <f>6.4498 * CHOOSE(CONTROL!$C$32, $C$9, 100%, $E$9)</f>
        <v>6.4497999999999998</v>
      </c>
      <c r="F327" s="11">
        <f>6.4498 * CHOOSE(CONTROL!$C$32, $C$9, 100%, $E$9)</f>
        <v>6.4497999999999998</v>
      </c>
      <c r="G327" s="11">
        <f>6.4531 * CHOOSE(CONTROL!$C$32, $C$9, 100%, $E$9)</f>
        <v>6.4531000000000001</v>
      </c>
      <c r="H327" s="11">
        <f>11.0656 * CHOOSE(CONTROL!$C$32, $C$9, 100%, $E$9)</f>
        <v>11.0656</v>
      </c>
      <c r="I327" s="11">
        <f>11.0689 * CHOOSE(CONTROL!$C$32, $C$9, 100%, $E$9)</f>
        <v>11.068899999999999</v>
      </c>
      <c r="J327" s="11">
        <f>11.0656 * CHOOSE(CONTROL!$C$32, $C$9, 100%, $E$9)</f>
        <v>11.0656</v>
      </c>
      <c r="K327" s="11">
        <f>11.0689 * CHOOSE(CONTROL!$C$32, $C$9, 100%, $E$9)</f>
        <v>11.068899999999999</v>
      </c>
      <c r="L327" s="11">
        <f>6.4498 * CHOOSE(CONTROL!$C$32, $C$9, 100%, $E$9)</f>
        <v>6.4497999999999998</v>
      </c>
      <c r="M327" s="11">
        <f>6.4531 * CHOOSE(CONTROL!$C$32, $C$9, 100%, $E$9)</f>
        <v>6.4531000000000001</v>
      </c>
      <c r="N327" s="11">
        <f>6.4498 * CHOOSE(CONTROL!$C$32, $C$9, 100%, $E$9)</f>
        <v>6.4497999999999998</v>
      </c>
      <c r="O327" s="11">
        <f>6.4531 * CHOOSE(CONTROL!$C$32, $C$9, 100%, $E$9)</f>
        <v>6.4531000000000001</v>
      </c>
    </row>
    <row r="328" spans="1:15" ht="15" x14ac:dyDescent="0.2">
      <c r="A328" s="13">
        <v>50830</v>
      </c>
      <c r="B328" s="9">
        <f>5.1514 * CHOOSE(CONTROL!$C$32, $C$9, 100%, $E$9)</f>
        <v>5.1513999999999998</v>
      </c>
      <c r="C328" s="9">
        <f>5.1514 * CHOOSE(CONTROL!$C$32, $C$9, 100%, $E$9)</f>
        <v>5.1513999999999998</v>
      </c>
      <c r="D328" s="9">
        <f>5.1524 * CHOOSE(CONTROL!$C$32, $C$9, 100%, $E$9)</f>
        <v>5.1524000000000001</v>
      </c>
      <c r="E328" s="11">
        <f>6.5356 * CHOOSE(CONTROL!$C$32, $C$9, 100%, $E$9)</f>
        <v>6.5355999999999996</v>
      </c>
      <c r="F328" s="11">
        <f>6.5356 * CHOOSE(CONTROL!$C$32, $C$9, 100%, $E$9)</f>
        <v>6.5355999999999996</v>
      </c>
      <c r="G328" s="11">
        <f>6.5388 * CHOOSE(CONTROL!$C$32, $C$9, 100%, $E$9)</f>
        <v>6.5388000000000002</v>
      </c>
      <c r="H328" s="11">
        <f>11.0887 * CHOOSE(CONTROL!$C$32, $C$9, 100%, $E$9)</f>
        <v>11.088699999999999</v>
      </c>
      <c r="I328" s="11">
        <f>11.0919 * CHOOSE(CONTROL!$C$32, $C$9, 100%, $E$9)</f>
        <v>11.091900000000001</v>
      </c>
      <c r="J328" s="11">
        <f>11.0887 * CHOOSE(CONTROL!$C$32, $C$9, 100%, $E$9)</f>
        <v>11.088699999999999</v>
      </c>
      <c r="K328" s="11">
        <f>11.0919 * CHOOSE(CONTROL!$C$32, $C$9, 100%, $E$9)</f>
        <v>11.091900000000001</v>
      </c>
      <c r="L328" s="11">
        <f>6.5356 * CHOOSE(CONTROL!$C$32, $C$9, 100%, $E$9)</f>
        <v>6.5355999999999996</v>
      </c>
      <c r="M328" s="11">
        <f>6.5388 * CHOOSE(CONTROL!$C$32, $C$9, 100%, $E$9)</f>
        <v>6.5388000000000002</v>
      </c>
      <c r="N328" s="11">
        <f>6.5356 * CHOOSE(CONTROL!$C$32, $C$9, 100%, $E$9)</f>
        <v>6.5355999999999996</v>
      </c>
      <c r="O328" s="11">
        <f>6.5388 * CHOOSE(CONTROL!$C$32, $C$9, 100%, $E$9)</f>
        <v>6.5388000000000002</v>
      </c>
    </row>
    <row r="329" spans="1:15" ht="15" x14ac:dyDescent="0.2">
      <c r="A329" s="13">
        <v>50861</v>
      </c>
      <c r="B329" s="9">
        <f>5.1502 * CHOOSE(CONTROL!$C$32, $C$9, 100%, $E$9)</f>
        <v>5.1501999999999999</v>
      </c>
      <c r="C329" s="9">
        <f>5.1502 * CHOOSE(CONTROL!$C$32, $C$9, 100%, $E$9)</f>
        <v>5.1501999999999999</v>
      </c>
      <c r="D329" s="9">
        <f>5.1511 * CHOOSE(CONTROL!$C$32, $C$9, 100%, $E$9)</f>
        <v>5.1510999999999996</v>
      </c>
      <c r="E329" s="11">
        <f>6.6256 * CHOOSE(CONTROL!$C$32, $C$9, 100%, $E$9)</f>
        <v>6.6256000000000004</v>
      </c>
      <c r="F329" s="11">
        <f>6.6256 * CHOOSE(CONTROL!$C$32, $C$9, 100%, $E$9)</f>
        <v>6.6256000000000004</v>
      </c>
      <c r="G329" s="11">
        <f>6.6289 * CHOOSE(CONTROL!$C$32, $C$9, 100%, $E$9)</f>
        <v>6.6288999999999998</v>
      </c>
      <c r="H329" s="11">
        <f>11.1118 * CHOOSE(CONTROL!$C$32, $C$9, 100%, $E$9)</f>
        <v>11.111800000000001</v>
      </c>
      <c r="I329" s="11">
        <f>11.115 * CHOOSE(CONTROL!$C$32, $C$9, 100%, $E$9)</f>
        <v>11.115</v>
      </c>
      <c r="J329" s="11">
        <f>11.1118 * CHOOSE(CONTROL!$C$32, $C$9, 100%, $E$9)</f>
        <v>11.111800000000001</v>
      </c>
      <c r="K329" s="11">
        <f>11.115 * CHOOSE(CONTROL!$C$32, $C$9, 100%, $E$9)</f>
        <v>11.115</v>
      </c>
      <c r="L329" s="11">
        <f>6.6256 * CHOOSE(CONTROL!$C$32, $C$9, 100%, $E$9)</f>
        <v>6.6256000000000004</v>
      </c>
      <c r="M329" s="11">
        <f>6.6289 * CHOOSE(CONTROL!$C$32, $C$9, 100%, $E$9)</f>
        <v>6.6288999999999998</v>
      </c>
      <c r="N329" s="11">
        <f>6.6256 * CHOOSE(CONTROL!$C$32, $C$9, 100%, $E$9)</f>
        <v>6.6256000000000004</v>
      </c>
      <c r="O329" s="11">
        <f>6.6289 * CHOOSE(CONTROL!$C$32, $C$9, 100%, $E$9)</f>
        <v>6.6288999999999998</v>
      </c>
    </row>
    <row r="330" spans="1:15" ht="15" x14ac:dyDescent="0.2">
      <c r="A330" s="13">
        <v>50891</v>
      </c>
      <c r="B330" s="9">
        <f>5.1502 * CHOOSE(CONTROL!$C$32, $C$9, 100%, $E$9)</f>
        <v>5.1501999999999999</v>
      </c>
      <c r="C330" s="9">
        <f>5.1502 * CHOOSE(CONTROL!$C$32, $C$9, 100%, $E$9)</f>
        <v>5.1501999999999999</v>
      </c>
      <c r="D330" s="9">
        <f>5.1514 * CHOOSE(CONTROL!$C$32, $C$9, 100%, $E$9)</f>
        <v>5.1513999999999998</v>
      </c>
      <c r="E330" s="11">
        <f>6.661 * CHOOSE(CONTROL!$C$32, $C$9, 100%, $E$9)</f>
        <v>6.6609999999999996</v>
      </c>
      <c r="F330" s="11">
        <f>6.661 * CHOOSE(CONTROL!$C$32, $C$9, 100%, $E$9)</f>
        <v>6.6609999999999996</v>
      </c>
      <c r="G330" s="11">
        <f>6.6652 * CHOOSE(CONTROL!$C$32, $C$9, 100%, $E$9)</f>
        <v>6.6651999999999996</v>
      </c>
      <c r="H330" s="11">
        <f>11.1349 * CHOOSE(CONTROL!$C$32, $C$9, 100%, $E$9)</f>
        <v>11.1349</v>
      </c>
      <c r="I330" s="11">
        <f>11.1391 * CHOOSE(CONTROL!$C$32, $C$9, 100%, $E$9)</f>
        <v>11.139099999999999</v>
      </c>
      <c r="J330" s="11">
        <f>11.1349 * CHOOSE(CONTROL!$C$32, $C$9, 100%, $E$9)</f>
        <v>11.1349</v>
      </c>
      <c r="K330" s="11">
        <f>11.1391 * CHOOSE(CONTROL!$C$32, $C$9, 100%, $E$9)</f>
        <v>11.139099999999999</v>
      </c>
      <c r="L330" s="11">
        <f>6.661 * CHOOSE(CONTROL!$C$32, $C$9, 100%, $E$9)</f>
        <v>6.6609999999999996</v>
      </c>
      <c r="M330" s="11">
        <f>6.6652 * CHOOSE(CONTROL!$C$32, $C$9, 100%, $E$9)</f>
        <v>6.6651999999999996</v>
      </c>
      <c r="N330" s="11">
        <f>6.661 * CHOOSE(CONTROL!$C$32, $C$9, 100%, $E$9)</f>
        <v>6.6609999999999996</v>
      </c>
      <c r="O330" s="11">
        <f>6.6652 * CHOOSE(CONTROL!$C$32, $C$9, 100%, $E$9)</f>
        <v>6.6651999999999996</v>
      </c>
    </row>
    <row r="331" spans="1:15" ht="15" x14ac:dyDescent="0.2">
      <c r="A331" s="13">
        <v>50922</v>
      </c>
      <c r="B331" s="9">
        <f>5.1562 * CHOOSE(CONTROL!$C$32, $C$9, 100%, $E$9)</f>
        <v>5.1562000000000001</v>
      </c>
      <c r="C331" s="9">
        <f>5.1562 * CHOOSE(CONTROL!$C$32, $C$9, 100%, $E$9)</f>
        <v>5.1562000000000001</v>
      </c>
      <c r="D331" s="9">
        <f>5.1575 * CHOOSE(CONTROL!$C$32, $C$9, 100%, $E$9)</f>
        <v>5.1574999999999998</v>
      </c>
      <c r="E331" s="11">
        <f>6.6299 * CHOOSE(CONTROL!$C$32, $C$9, 100%, $E$9)</f>
        <v>6.6299000000000001</v>
      </c>
      <c r="F331" s="11">
        <f>6.6299 * CHOOSE(CONTROL!$C$32, $C$9, 100%, $E$9)</f>
        <v>6.6299000000000001</v>
      </c>
      <c r="G331" s="11">
        <f>6.6341 * CHOOSE(CONTROL!$C$32, $C$9, 100%, $E$9)</f>
        <v>6.6341000000000001</v>
      </c>
      <c r="H331" s="11">
        <f>11.1581 * CHOOSE(CONTROL!$C$32, $C$9, 100%, $E$9)</f>
        <v>11.158099999999999</v>
      </c>
      <c r="I331" s="11">
        <f>11.1623 * CHOOSE(CONTROL!$C$32, $C$9, 100%, $E$9)</f>
        <v>11.1623</v>
      </c>
      <c r="J331" s="11">
        <f>11.1581 * CHOOSE(CONTROL!$C$32, $C$9, 100%, $E$9)</f>
        <v>11.158099999999999</v>
      </c>
      <c r="K331" s="11">
        <f>11.1623 * CHOOSE(CONTROL!$C$32, $C$9, 100%, $E$9)</f>
        <v>11.1623</v>
      </c>
      <c r="L331" s="11">
        <f>6.6299 * CHOOSE(CONTROL!$C$32, $C$9, 100%, $E$9)</f>
        <v>6.6299000000000001</v>
      </c>
      <c r="M331" s="11">
        <f>6.6341 * CHOOSE(CONTROL!$C$32, $C$9, 100%, $E$9)</f>
        <v>6.6341000000000001</v>
      </c>
      <c r="N331" s="11">
        <f>6.6299 * CHOOSE(CONTROL!$C$32, $C$9, 100%, $E$9)</f>
        <v>6.6299000000000001</v>
      </c>
      <c r="O331" s="11">
        <f>6.6341 * CHOOSE(CONTROL!$C$32, $C$9, 100%, $E$9)</f>
        <v>6.6341000000000001</v>
      </c>
    </row>
    <row r="332" spans="1:15" ht="15" x14ac:dyDescent="0.2">
      <c r="A332" s="13">
        <v>50952</v>
      </c>
      <c r="B332" s="9">
        <f>5.2245 * CHOOSE(CONTROL!$C$32, $C$9, 100%, $E$9)</f>
        <v>5.2244999999999999</v>
      </c>
      <c r="C332" s="9">
        <f>5.2245 * CHOOSE(CONTROL!$C$32, $C$9, 100%, $E$9)</f>
        <v>5.2244999999999999</v>
      </c>
      <c r="D332" s="9">
        <f>5.2257 * CHOOSE(CONTROL!$C$32, $C$9, 100%, $E$9)</f>
        <v>5.2256999999999998</v>
      </c>
      <c r="E332" s="11">
        <f>6.6597 * CHOOSE(CONTROL!$C$32, $C$9, 100%, $E$9)</f>
        <v>6.6597</v>
      </c>
      <c r="F332" s="11">
        <f>6.6597 * CHOOSE(CONTROL!$C$32, $C$9, 100%, $E$9)</f>
        <v>6.6597</v>
      </c>
      <c r="G332" s="11">
        <f>6.6639 * CHOOSE(CONTROL!$C$32, $C$9, 100%, $E$9)</f>
        <v>6.6638999999999999</v>
      </c>
      <c r="H332" s="11">
        <f>11.1814 * CHOOSE(CONTROL!$C$32, $C$9, 100%, $E$9)</f>
        <v>11.1814</v>
      </c>
      <c r="I332" s="11">
        <f>11.1856 * CHOOSE(CONTROL!$C$32, $C$9, 100%, $E$9)</f>
        <v>11.185600000000001</v>
      </c>
      <c r="J332" s="11">
        <f>11.1814 * CHOOSE(CONTROL!$C$32, $C$9, 100%, $E$9)</f>
        <v>11.1814</v>
      </c>
      <c r="K332" s="11">
        <f>11.1856 * CHOOSE(CONTROL!$C$32, $C$9, 100%, $E$9)</f>
        <v>11.185600000000001</v>
      </c>
      <c r="L332" s="11">
        <f>6.6597 * CHOOSE(CONTROL!$C$32, $C$9, 100%, $E$9)</f>
        <v>6.6597</v>
      </c>
      <c r="M332" s="11">
        <f>6.6639 * CHOOSE(CONTROL!$C$32, $C$9, 100%, $E$9)</f>
        <v>6.6638999999999999</v>
      </c>
      <c r="N332" s="11">
        <f>6.6597 * CHOOSE(CONTROL!$C$32, $C$9, 100%, $E$9)</f>
        <v>6.6597</v>
      </c>
      <c r="O332" s="11">
        <f>6.6639 * CHOOSE(CONTROL!$C$32, $C$9, 100%, $E$9)</f>
        <v>6.6638999999999999</v>
      </c>
    </row>
    <row r="333" spans="1:15" ht="15" x14ac:dyDescent="0.2">
      <c r="A333" s="13">
        <v>50983</v>
      </c>
      <c r="B333" s="9">
        <f>5.2312 * CHOOSE(CONTROL!$C$32, $C$9, 100%, $E$9)</f>
        <v>5.2312000000000003</v>
      </c>
      <c r="C333" s="9">
        <f>5.2312 * CHOOSE(CONTROL!$C$32, $C$9, 100%, $E$9)</f>
        <v>5.2312000000000003</v>
      </c>
      <c r="D333" s="9">
        <f>5.2324 * CHOOSE(CONTROL!$C$32, $C$9, 100%, $E$9)</f>
        <v>5.2324000000000002</v>
      </c>
      <c r="E333" s="11">
        <f>6.5583 * CHOOSE(CONTROL!$C$32, $C$9, 100%, $E$9)</f>
        <v>6.5583</v>
      </c>
      <c r="F333" s="11">
        <f>6.5583 * CHOOSE(CONTROL!$C$32, $C$9, 100%, $E$9)</f>
        <v>6.5583</v>
      </c>
      <c r="G333" s="11">
        <f>6.5625 * CHOOSE(CONTROL!$C$32, $C$9, 100%, $E$9)</f>
        <v>6.5625</v>
      </c>
      <c r="H333" s="11">
        <f>11.2047 * CHOOSE(CONTROL!$C$32, $C$9, 100%, $E$9)</f>
        <v>11.204700000000001</v>
      </c>
      <c r="I333" s="11">
        <f>11.2089 * CHOOSE(CONTROL!$C$32, $C$9, 100%, $E$9)</f>
        <v>11.2089</v>
      </c>
      <c r="J333" s="11">
        <f>11.2047 * CHOOSE(CONTROL!$C$32, $C$9, 100%, $E$9)</f>
        <v>11.204700000000001</v>
      </c>
      <c r="K333" s="11">
        <f>11.2089 * CHOOSE(CONTROL!$C$32, $C$9, 100%, $E$9)</f>
        <v>11.2089</v>
      </c>
      <c r="L333" s="11">
        <f>6.5583 * CHOOSE(CONTROL!$C$32, $C$9, 100%, $E$9)</f>
        <v>6.5583</v>
      </c>
      <c r="M333" s="11">
        <f>6.5625 * CHOOSE(CONTROL!$C$32, $C$9, 100%, $E$9)</f>
        <v>6.5625</v>
      </c>
      <c r="N333" s="11">
        <f>6.5583 * CHOOSE(CONTROL!$C$32, $C$9, 100%, $E$9)</f>
        <v>6.5583</v>
      </c>
      <c r="O333" s="11">
        <f>6.5625 * CHOOSE(CONTROL!$C$32, $C$9, 100%, $E$9)</f>
        <v>6.5625</v>
      </c>
    </row>
    <row r="334" spans="1:15" ht="15" x14ac:dyDescent="0.2">
      <c r="A334" s="13">
        <v>51014</v>
      </c>
      <c r="B334" s="9">
        <f>5.2281 * CHOOSE(CONTROL!$C$32, $C$9, 100%, $E$9)</f>
        <v>5.2281000000000004</v>
      </c>
      <c r="C334" s="9">
        <f>5.2281 * CHOOSE(CONTROL!$C$32, $C$9, 100%, $E$9)</f>
        <v>5.2281000000000004</v>
      </c>
      <c r="D334" s="9">
        <f>5.2294 * CHOOSE(CONTROL!$C$32, $C$9, 100%, $E$9)</f>
        <v>5.2294</v>
      </c>
      <c r="E334" s="11">
        <f>6.5443 * CHOOSE(CONTROL!$C$32, $C$9, 100%, $E$9)</f>
        <v>6.5442999999999998</v>
      </c>
      <c r="F334" s="11">
        <f>6.5443 * CHOOSE(CONTROL!$C$32, $C$9, 100%, $E$9)</f>
        <v>6.5442999999999998</v>
      </c>
      <c r="G334" s="11">
        <f>6.5485 * CHOOSE(CONTROL!$C$32, $C$9, 100%, $E$9)</f>
        <v>6.5484999999999998</v>
      </c>
      <c r="H334" s="11">
        <f>11.228 * CHOOSE(CONTROL!$C$32, $C$9, 100%, $E$9)</f>
        <v>11.228</v>
      </c>
      <c r="I334" s="11">
        <f>11.2322 * CHOOSE(CONTROL!$C$32, $C$9, 100%, $E$9)</f>
        <v>11.232200000000001</v>
      </c>
      <c r="J334" s="11">
        <f>11.228 * CHOOSE(CONTROL!$C$32, $C$9, 100%, $E$9)</f>
        <v>11.228</v>
      </c>
      <c r="K334" s="11">
        <f>11.2322 * CHOOSE(CONTROL!$C$32, $C$9, 100%, $E$9)</f>
        <v>11.232200000000001</v>
      </c>
      <c r="L334" s="11">
        <f>6.5443 * CHOOSE(CONTROL!$C$32, $C$9, 100%, $E$9)</f>
        <v>6.5442999999999998</v>
      </c>
      <c r="M334" s="11">
        <f>6.5485 * CHOOSE(CONTROL!$C$32, $C$9, 100%, $E$9)</f>
        <v>6.5484999999999998</v>
      </c>
      <c r="N334" s="11">
        <f>6.5443 * CHOOSE(CONTROL!$C$32, $C$9, 100%, $E$9)</f>
        <v>6.5442999999999998</v>
      </c>
      <c r="O334" s="11">
        <f>6.5485 * CHOOSE(CONTROL!$C$32, $C$9, 100%, $E$9)</f>
        <v>6.5484999999999998</v>
      </c>
    </row>
    <row r="335" spans="1:15" ht="15" x14ac:dyDescent="0.2">
      <c r="A335" s="13">
        <v>51044</v>
      </c>
      <c r="B335" s="9">
        <f>5.2277 * CHOOSE(CONTROL!$C$32, $C$9, 100%, $E$9)</f>
        <v>5.2276999999999996</v>
      </c>
      <c r="C335" s="9">
        <f>5.2277 * CHOOSE(CONTROL!$C$32, $C$9, 100%, $E$9)</f>
        <v>5.2276999999999996</v>
      </c>
      <c r="D335" s="9">
        <f>5.2287 * CHOOSE(CONTROL!$C$32, $C$9, 100%, $E$9)</f>
        <v>5.2286999999999999</v>
      </c>
      <c r="E335" s="11">
        <f>6.5781 * CHOOSE(CONTROL!$C$32, $C$9, 100%, $E$9)</f>
        <v>6.5781000000000001</v>
      </c>
      <c r="F335" s="11">
        <f>6.5781 * CHOOSE(CONTROL!$C$32, $C$9, 100%, $E$9)</f>
        <v>6.5781000000000001</v>
      </c>
      <c r="G335" s="11">
        <f>6.5813 * CHOOSE(CONTROL!$C$32, $C$9, 100%, $E$9)</f>
        <v>6.5812999999999997</v>
      </c>
      <c r="H335" s="11">
        <f>11.2514 * CHOOSE(CONTROL!$C$32, $C$9, 100%, $E$9)</f>
        <v>11.2514</v>
      </c>
      <c r="I335" s="11">
        <f>11.2546 * CHOOSE(CONTROL!$C$32, $C$9, 100%, $E$9)</f>
        <v>11.2546</v>
      </c>
      <c r="J335" s="11">
        <f>11.2514 * CHOOSE(CONTROL!$C$32, $C$9, 100%, $E$9)</f>
        <v>11.2514</v>
      </c>
      <c r="K335" s="11">
        <f>11.2546 * CHOOSE(CONTROL!$C$32, $C$9, 100%, $E$9)</f>
        <v>11.2546</v>
      </c>
      <c r="L335" s="11">
        <f>6.5781 * CHOOSE(CONTROL!$C$32, $C$9, 100%, $E$9)</f>
        <v>6.5781000000000001</v>
      </c>
      <c r="M335" s="11">
        <f>6.5813 * CHOOSE(CONTROL!$C$32, $C$9, 100%, $E$9)</f>
        <v>6.5812999999999997</v>
      </c>
      <c r="N335" s="11">
        <f>6.5781 * CHOOSE(CONTROL!$C$32, $C$9, 100%, $E$9)</f>
        <v>6.5781000000000001</v>
      </c>
      <c r="O335" s="11">
        <f>6.5813 * CHOOSE(CONTROL!$C$32, $C$9, 100%, $E$9)</f>
        <v>6.5812999999999997</v>
      </c>
    </row>
    <row r="336" spans="1:15" ht="15" x14ac:dyDescent="0.2">
      <c r="A336" s="13">
        <v>51075</v>
      </c>
      <c r="B336" s="9">
        <f>5.2308 * CHOOSE(CONTROL!$C$32, $C$9, 100%, $E$9)</f>
        <v>5.2308000000000003</v>
      </c>
      <c r="C336" s="9">
        <f>5.2308 * CHOOSE(CONTROL!$C$32, $C$9, 100%, $E$9)</f>
        <v>5.2308000000000003</v>
      </c>
      <c r="D336" s="9">
        <f>5.2317 * CHOOSE(CONTROL!$C$32, $C$9, 100%, $E$9)</f>
        <v>5.2317</v>
      </c>
      <c r="E336" s="11">
        <f>6.6038 * CHOOSE(CONTROL!$C$32, $C$9, 100%, $E$9)</f>
        <v>6.6037999999999997</v>
      </c>
      <c r="F336" s="11">
        <f>6.6038 * CHOOSE(CONTROL!$C$32, $C$9, 100%, $E$9)</f>
        <v>6.6037999999999997</v>
      </c>
      <c r="G336" s="11">
        <f>6.607 * CHOOSE(CONTROL!$C$32, $C$9, 100%, $E$9)</f>
        <v>6.6070000000000002</v>
      </c>
      <c r="H336" s="11">
        <f>11.2749 * CHOOSE(CONTROL!$C$32, $C$9, 100%, $E$9)</f>
        <v>11.274900000000001</v>
      </c>
      <c r="I336" s="11">
        <f>11.2781 * CHOOSE(CONTROL!$C$32, $C$9, 100%, $E$9)</f>
        <v>11.2781</v>
      </c>
      <c r="J336" s="11">
        <f>11.2749 * CHOOSE(CONTROL!$C$32, $C$9, 100%, $E$9)</f>
        <v>11.274900000000001</v>
      </c>
      <c r="K336" s="11">
        <f>11.2781 * CHOOSE(CONTROL!$C$32, $C$9, 100%, $E$9)</f>
        <v>11.2781</v>
      </c>
      <c r="L336" s="11">
        <f>6.6038 * CHOOSE(CONTROL!$C$32, $C$9, 100%, $E$9)</f>
        <v>6.6037999999999997</v>
      </c>
      <c r="M336" s="11">
        <f>6.607 * CHOOSE(CONTROL!$C$32, $C$9, 100%, $E$9)</f>
        <v>6.6070000000000002</v>
      </c>
      <c r="N336" s="11">
        <f>6.6038 * CHOOSE(CONTROL!$C$32, $C$9, 100%, $E$9)</f>
        <v>6.6037999999999997</v>
      </c>
      <c r="O336" s="11">
        <f>6.607 * CHOOSE(CONTROL!$C$32, $C$9, 100%, $E$9)</f>
        <v>6.6070000000000002</v>
      </c>
    </row>
    <row r="337" spans="1:15" ht="15" x14ac:dyDescent="0.2">
      <c r="A337" s="13">
        <v>51105</v>
      </c>
      <c r="B337" s="9">
        <f>5.2308 * CHOOSE(CONTROL!$C$32, $C$9, 100%, $E$9)</f>
        <v>5.2308000000000003</v>
      </c>
      <c r="C337" s="9">
        <f>5.2308 * CHOOSE(CONTROL!$C$32, $C$9, 100%, $E$9)</f>
        <v>5.2308000000000003</v>
      </c>
      <c r="D337" s="9">
        <f>5.2317 * CHOOSE(CONTROL!$C$32, $C$9, 100%, $E$9)</f>
        <v>5.2317</v>
      </c>
      <c r="E337" s="11">
        <f>6.5448 * CHOOSE(CONTROL!$C$32, $C$9, 100%, $E$9)</f>
        <v>6.5448000000000004</v>
      </c>
      <c r="F337" s="11">
        <f>6.5448 * CHOOSE(CONTROL!$C$32, $C$9, 100%, $E$9)</f>
        <v>6.5448000000000004</v>
      </c>
      <c r="G337" s="11">
        <f>6.5481 * CHOOSE(CONTROL!$C$32, $C$9, 100%, $E$9)</f>
        <v>6.5480999999999998</v>
      </c>
      <c r="H337" s="11">
        <f>11.2983 * CHOOSE(CONTROL!$C$32, $C$9, 100%, $E$9)</f>
        <v>11.298299999999999</v>
      </c>
      <c r="I337" s="11">
        <f>11.3016 * CHOOSE(CONTROL!$C$32, $C$9, 100%, $E$9)</f>
        <v>11.301600000000001</v>
      </c>
      <c r="J337" s="11">
        <f>11.2983 * CHOOSE(CONTROL!$C$32, $C$9, 100%, $E$9)</f>
        <v>11.298299999999999</v>
      </c>
      <c r="K337" s="11">
        <f>11.3016 * CHOOSE(CONTROL!$C$32, $C$9, 100%, $E$9)</f>
        <v>11.301600000000001</v>
      </c>
      <c r="L337" s="11">
        <f>6.5448 * CHOOSE(CONTROL!$C$32, $C$9, 100%, $E$9)</f>
        <v>6.5448000000000004</v>
      </c>
      <c r="M337" s="11">
        <f>6.5481 * CHOOSE(CONTROL!$C$32, $C$9, 100%, $E$9)</f>
        <v>6.5480999999999998</v>
      </c>
      <c r="N337" s="11">
        <f>6.5448 * CHOOSE(CONTROL!$C$32, $C$9, 100%, $E$9)</f>
        <v>6.5448000000000004</v>
      </c>
      <c r="O337" s="11">
        <f>6.5481 * CHOOSE(CONTROL!$C$32, $C$9, 100%, $E$9)</f>
        <v>6.5480999999999998</v>
      </c>
    </row>
    <row r="338" spans="1:15" ht="15" x14ac:dyDescent="0.2">
      <c r="A338" s="13">
        <v>51136</v>
      </c>
      <c r="B338" s="9">
        <f>5.2721 * CHOOSE(CONTROL!$C$32, $C$9, 100%, $E$9)</f>
        <v>5.2721</v>
      </c>
      <c r="C338" s="9">
        <f>5.2721 * CHOOSE(CONTROL!$C$32, $C$9, 100%, $E$9)</f>
        <v>5.2721</v>
      </c>
      <c r="D338" s="9">
        <f>5.2731 * CHOOSE(CONTROL!$C$32, $C$9, 100%, $E$9)</f>
        <v>5.2731000000000003</v>
      </c>
      <c r="E338" s="11">
        <f>6.6042 * CHOOSE(CONTROL!$C$32, $C$9, 100%, $E$9)</f>
        <v>6.6041999999999996</v>
      </c>
      <c r="F338" s="11">
        <f>6.6042 * CHOOSE(CONTROL!$C$32, $C$9, 100%, $E$9)</f>
        <v>6.6041999999999996</v>
      </c>
      <c r="G338" s="11">
        <f>6.6074 * CHOOSE(CONTROL!$C$32, $C$9, 100%, $E$9)</f>
        <v>6.6074000000000002</v>
      </c>
      <c r="H338" s="11">
        <f>11.3219 * CHOOSE(CONTROL!$C$32, $C$9, 100%, $E$9)</f>
        <v>11.321899999999999</v>
      </c>
      <c r="I338" s="11">
        <f>11.3251 * CHOOSE(CONTROL!$C$32, $C$9, 100%, $E$9)</f>
        <v>11.325100000000001</v>
      </c>
      <c r="J338" s="11">
        <f>11.3219 * CHOOSE(CONTROL!$C$32, $C$9, 100%, $E$9)</f>
        <v>11.321899999999999</v>
      </c>
      <c r="K338" s="11">
        <f>11.3251 * CHOOSE(CONTROL!$C$32, $C$9, 100%, $E$9)</f>
        <v>11.325100000000001</v>
      </c>
      <c r="L338" s="11">
        <f>6.6042 * CHOOSE(CONTROL!$C$32, $C$9, 100%, $E$9)</f>
        <v>6.6041999999999996</v>
      </c>
      <c r="M338" s="11">
        <f>6.6074 * CHOOSE(CONTROL!$C$32, $C$9, 100%, $E$9)</f>
        <v>6.6074000000000002</v>
      </c>
      <c r="N338" s="11">
        <f>6.6042 * CHOOSE(CONTROL!$C$32, $C$9, 100%, $E$9)</f>
        <v>6.6041999999999996</v>
      </c>
      <c r="O338" s="11">
        <f>6.6074 * CHOOSE(CONTROL!$C$32, $C$9, 100%, $E$9)</f>
        <v>6.6074000000000002</v>
      </c>
    </row>
    <row r="339" spans="1:15" ht="15" x14ac:dyDescent="0.2">
      <c r="A339" s="13">
        <v>51167</v>
      </c>
      <c r="B339" s="9">
        <f>5.2691 * CHOOSE(CONTROL!$C$32, $C$9, 100%, $E$9)</f>
        <v>5.2690999999999999</v>
      </c>
      <c r="C339" s="9">
        <f>5.2691 * CHOOSE(CONTROL!$C$32, $C$9, 100%, $E$9)</f>
        <v>5.2690999999999999</v>
      </c>
      <c r="D339" s="9">
        <f>5.27 * CHOOSE(CONTROL!$C$32, $C$9, 100%, $E$9)</f>
        <v>5.27</v>
      </c>
      <c r="E339" s="11">
        <f>6.487 * CHOOSE(CONTROL!$C$32, $C$9, 100%, $E$9)</f>
        <v>6.4870000000000001</v>
      </c>
      <c r="F339" s="11">
        <f>6.487 * CHOOSE(CONTROL!$C$32, $C$9, 100%, $E$9)</f>
        <v>6.4870000000000001</v>
      </c>
      <c r="G339" s="11">
        <f>6.4902 * CHOOSE(CONTROL!$C$32, $C$9, 100%, $E$9)</f>
        <v>6.4901999999999997</v>
      </c>
      <c r="H339" s="11">
        <f>11.3455 * CHOOSE(CONTROL!$C$32, $C$9, 100%, $E$9)</f>
        <v>11.345499999999999</v>
      </c>
      <c r="I339" s="11">
        <f>11.3487 * CHOOSE(CONTROL!$C$32, $C$9, 100%, $E$9)</f>
        <v>11.348699999999999</v>
      </c>
      <c r="J339" s="11">
        <f>11.3455 * CHOOSE(CONTROL!$C$32, $C$9, 100%, $E$9)</f>
        <v>11.345499999999999</v>
      </c>
      <c r="K339" s="11">
        <f>11.3487 * CHOOSE(CONTROL!$C$32, $C$9, 100%, $E$9)</f>
        <v>11.348699999999999</v>
      </c>
      <c r="L339" s="11">
        <f>6.487 * CHOOSE(CONTROL!$C$32, $C$9, 100%, $E$9)</f>
        <v>6.4870000000000001</v>
      </c>
      <c r="M339" s="11">
        <f>6.4902 * CHOOSE(CONTROL!$C$32, $C$9, 100%, $E$9)</f>
        <v>6.4901999999999997</v>
      </c>
      <c r="N339" s="11">
        <f>6.487 * CHOOSE(CONTROL!$C$32, $C$9, 100%, $E$9)</f>
        <v>6.4870000000000001</v>
      </c>
      <c r="O339" s="11">
        <f>6.4902 * CHOOSE(CONTROL!$C$32, $C$9, 100%, $E$9)</f>
        <v>6.4901999999999997</v>
      </c>
    </row>
    <row r="340" spans="1:15" ht="15" x14ac:dyDescent="0.2">
      <c r="A340" s="13">
        <v>51196</v>
      </c>
      <c r="B340" s="9">
        <f>5.266 * CHOOSE(CONTROL!$C$32, $C$9, 100%, $E$9)</f>
        <v>5.266</v>
      </c>
      <c r="C340" s="9">
        <f>5.266 * CHOOSE(CONTROL!$C$32, $C$9, 100%, $E$9)</f>
        <v>5.266</v>
      </c>
      <c r="D340" s="9">
        <f>5.267 * CHOOSE(CONTROL!$C$32, $C$9, 100%, $E$9)</f>
        <v>5.2670000000000003</v>
      </c>
      <c r="E340" s="11">
        <f>6.5756 * CHOOSE(CONTROL!$C$32, $C$9, 100%, $E$9)</f>
        <v>6.5755999999999997</v>
      </c>
      <c r="F340" s="11">
        <f>6.5756 * CHOOSE(CONTROL!$C$32, $C$9, 100%, $E$9)</f>
        <v>6.5755999999999997</v>
      </c>
      <c r="G340" s="11">
        <f>6.5788 * CHOOSE(CONTROL!$C$32, $C$9, 100%, $E$9)</f>
        <v>6.5788000000000002</v>
      </c>
      <c r="H340" s="11">
        <f>11.3691 * CHOOSE(CONTROL!$C$32, $C$9, 100%, $E$9)</f>
        <v>11.3691</v>
      </c>
      <c r="I340" s="11">
        <f>11.3723 * CHOOSE(CONTROL!$C$32, $C$9, 100%, $E$9)</f>
        <v>11.372299999999999</v>
      </c>
      <c r="J340" s="11">
        <f>11.3691 * CHOOSE(CONTROL!$C$32, $C$9, 100%, $E$9)</f>
        <v>11.3691</v>
      </c>
      <c r="K340" s="11">
        <f>11.3723 * CHOOSE(CONTROL!$C$32, $C$9, 100%, $E$9)</f>
        <v>11.372299999999999</v>
      </c>
      <c r="L340" s="11">
        <f>6.5756 * CHOOSE(CONTROL!$C$32, $C$9, 100%, $E$9)</f>
        <v>6.5755999999999997</v>
      </c>
      <c r="M340" s="11">
        <f>6.5788 * CHOOSE(CONTROL!$C$32, $C$9, 100%, $E$9)</f>
        <v>6.5788000000000002</v>
      </c>
      <c r="N340" s="11">
        <f>6.5756 * CHOOSE(CONTROL!$C$32, $C$9, 100%, $E$9)</f>
        <v>6.5755999999999997</v>
      </c>
      <c r="O340" s="11">
        <f>6.5788 * CHOOSE(CONTROL!$C$32, $C$9, 100%, $E$9)</f>
        <v>6.5788000000000002</v>
      </c>
    </row>
    <row r="341" spans="1:15" ht="15" x14ac:dyDescent="0.2">
      <c r="A341" s="13">
        <v>51227</v>
      </c>
      <c r="B341" s="9">
        <f>5.2649 * CHOOSE(CONTROL!$C$32, $C$9, 100%, $E$9)</f>
        <v>5.2648999999999999</v>
      </c>
      <c r="C341" s="9">
        <f>5.2649 * CHOOSE(CONTROL!$C$32, $C$9, 100%, $E$9)</f>
        <v>5.2648999999999999</v>
      </c>
      <c r="D341" s="9">
        <f>5.2659 * CHOOSE(CONTROL!$C$32, $C$9, 100%, $E$9)</f>
        <v>5.2659000000000002</v>
      </c>
      <c r="E341" s="11">
        <f>6.6687 * CHOOSE(CONTROL!$C$32, $C$9, 100%, $E$9)</f>
        <v>6.6687000000000003</v>
      </c>
      <c r="F341" s="11">
        <f>6.6687 * CHOOSE(CONTROL!$C$32, $C$9, 100%, $E$9)</f>
        <v>6.6687000000000003</v>
      </c>
      <c r="G341" s="11">
        <f>6.6719 * CHOOSE(CONTROL!$C$32, $C$9, 100%, $E$9)</f>
        <v>6.6718999999999999</v>
      </c>
      <c r="H341" s="11">
        <f>11.3928 * CHOOSE(CONTROL!$C$32, $C$9, 100%, $E$9)</f>
        <v>11.392799999999999</v>
      </c>
      <c r="I341" s="11">
        <f>11.396 * CHOOSE(CONTROL!$C$32, $C$9, 100%, $E$9)</f>
        <v>11.396000000000001</v>
      </c>
      <c r="J341" s="11">
        <f>11.3928 * CHOOSE(CONTROL!$C$32, $C$9, 100%, $E$9)</f>
        <v>11.392799999999999</v>
      </c>
      <c r="K341" s="11">
        <f>11.396 * CHOOSE(CONTROL!$C$32, $C$9, 100%, $E$9)</f>
        <v>11.396000000000001</v>
      </c>
      <c r="L341" s="11">
        <f>6.6687 * CHOOSE(CONTROL!$C$32, $C$9, 100%, $E$9)</f>
        <v>6.6687000000000003</v>
      </c>
      <c r="M341" s="11">
        <f>6.6719 * CHOOSE(CONTROL!$C$32, $C$9, 100%, $E$9)</f>
        <v>6.6718999999999999</v>
      </c>
      <c r="N341" s="11">
        <f>6.6687 * CHOOSE(CONTROL!$C$32, $C$9, 100%, $E$9)</f>
        <v>6.6687000000000003</v>
      </c>
      <c r="O341" s="11">
        <f>6.6719 * CHOOSE(CONTROL!$C$32, $C$9, 100%, $E$9)</f>
        <v>6.6718999999999999</v>
      </c>
    </row>
    <row r="342" spans="1:15" ht="15" x14ac:dyDescent="0.2">
      <c r="A342" s="13">
        <v>51257</v>
      </c>
      <c r="B342" s="9">
        <f>5.2649 * CHOOSE(CONTROL!$C$32, $C$9, 100%, $E$9)</f>
        <v>5.2648999999999999</v>
      </c>
      <c r="C342" s="9">
        <f>5.2649 * CHOOSE(CONTROL!$C$32, $C$9, 100%, $E$9)</f>
        <v>5.2648999999999999</v>
      </c>
      <c r="D342" s="9">
        <f>5.2662 * CHOOSE(CONTROL!$C$32, $C$9, 100%, $E$9)</f>
        <v>5.2662000000000004</v>
      </c>
      <c r="E342" s="11">
        <f>6.7052 * CHOOSE(CONTROL!$C$32, $C$9, 100%, $E$9)</f>
        <v>6.7051999999999996</v>
      </c>
      <c r="F342" s="11">
        <f>6.7052 * CHOOSE(CONTROL!$C$32, $C$9, 100%, $E$9)</f>
        <v>6.7051999999999996</v>
      </c>
      <c r="G342" s="11">
        <f>6.7094 * CHOOSE(CONTROL!$C$32, $C$9, 100%, $E$9)</f>
        <v>6.7093999999999996</v>
      </c>
      <c r="H342" s="11">
        <f>11.4165 * CHOOSE(CONTROL!$C$32, $C$9, 100%, $E$9)</f>
        <v>11.416499999999999</v>
      </c>
      <c r="I342" s="11">
        <f>11.4207 * CHOOSE(CONTROL!$C$32, $C$9, 100%, $E$9)</f>
        <v>11.4207</v>
      </c>
      <c r="J342" s="11">
        <f>11.4165 * CHOOSE(CONTROL!$C$32, $C$9, 100%, $E$9)</f>
        <v>11.416499999999999</v>
      </c>
      <c r="K342" s="11">
        <f>11.4207 * CHOOSE(CONTROL!$C$32, $C$9, 100%, $E$9)</f>
        <v>11.4207</v>
      </c>
      <c r="L342" s="11">
        <f>6.7052 * CHOOSE(CONTROL!$C$32, $C$9, 100%, $E$9)</f>
        <v>6.7051999999999996</v>
      </c>
      <c r="M342" s="11">
        <f>6.7094 * CHOOSE(CONTROL!$C$32, $C$9, 100%, $E$9)</f>
        <v>6.7093999999999996</v>
      </c>
      <c r="N342" s="11">
        <f>6.7052 * CHOOSE(CONTROL!$C$32, $C$9, 100%, $E$9)</f>
        <v>6.7051999999999996</v>
      </c>
      <c r="O342" s="11">
        <f>6.7094 * CHOOSE(CONTROL!$C$32, $C$9, 100%, $E$9)</f>
        <v>6.7093999999999996</v>
      </c>
    </row>
    <row r="343" spans="1:15" ht="15" x14ac:dyDescent="0.2">
      <c r="A343" s="13">
        <v>51288</v>
      </c>
      <c r="B343" s="9">
        <f>5.271 * CHOOSE(CONTROL!$C$32, $C$9, 100%, $E$9)</f>
        <v>5.2709999999999999</v>
      </c>
      <c r="C343" s="9">
        <f>5.271 * CHOOSE(CONTROL!$C$32, $C$9, 100%, $E$9)</f>
        <v>5.2709999999999999</v>
      </c>
      <c r="D343" s="9">
        <f>5.2722 * CHOOSE(CONTROL!$C$32, $C$9, 100%, $E$9)</f>
        <v>5.2721999999999998</v>
      </c>
      <c r="E343" s="11">
        <f>6.673 * CHOOSE(CONTROL!$C$32, $C$9, 100%, $E$9)</f>
        <v>6.673</v>
      </c>
      <c r="F343" s="11">
        <f>6.673 * CHOOSE(CONTROL!$C$32, $C$9, 100%, $E$9)</f>
        <v>6.673</v>
      </c>
      <c r="G343" s="11">
        <f>6.6772 * CHOOSE(CONTROL!$C$32, $C$9, 100%, $E$9)</f>
        <v>6.6772</v>
      </c>
      <c r="H343" s="11">
        <f>11.4403 * CHOOSE(CONTROL!$C$32, $C$9, 100%, $E$9)</f>
        <v>11.440300000000001</v>
      </c>
      <c r="I343" s="11">
        <f>11.4445 * CHOOSE(CONTROL!$C$32, $C$9, 100%, $E$9)</f>
        <v>11.4445</v>
      </c>
      <c r="J343" s="11">
        <f>11.4403 * CHOOSE(CONTROL!$C$32, $C$9, 100%, $E$9)</f>
        <v>11.440300000000001</v>
      </c>
      <c r="K343" s="11">
        <f>11.4445 * CHOOSE(CONTROL!$C$32, $C$9, 100%, $E$9)</f>
        <v>11.4445</v>
      </c>
      <c r="L343" s="11">
        <f>6.673 * CHOOSE(CONTROL!$C$32, $C$9, 100%, $E$9)</f>
        <v>6.673</v>
      </c>
      <c r="M343" s="11">
        <f>6.6772 * CHOOSE(CONTROL!$C$32, $C$9, 100%, $E$9)</f>
        <v>6.6772</v>
      </c>
      <c r="N343" s="11">
        <f>6.673 * CHOOSE(CONTROL!$C$32, $C$9, 100%, $E$9)</f>
        <v>6.673</v>
      </c>
      <c r="O343" s="11">
        <f>6.6772 * CHOOSE(CONTROL!$C$32, $C$9, 100%, $E$9)</f>
        <v>6.6772</v>
      </c>
    </row>
    <row r="344" spans="1:15" ht="15" x14ac:dyDescent="0.2">
      <c r="A344" s="13">
        <v>51318</v>
      </c>
      <c r="B344" s="9">
        <f>5.345 * CHOOSE(CONTROL!$C$32, $C$9, 100%, $E$9)</f>
        <v>5.3449999999999998</v>
      </c>
      <c r="C344" s="9">
        <f>5.345 * CHOOSE(CONTROL!$C$32, $C$9, 100%, $E$9)</f>
        <v>5.3449999999999998</v>
      </c>
      <c r="D344" s="9">
        <f>5.3463 * CHOOSE(CONTROL!$C$32, $C$9, 100%, $E$9)</f>
        <v>5.3463000000000003</v>
      </c>
      <c r="E344" s="11">
        <f>6.6813 * CHOOSE(CONTROL!$C$32, $C$9, 100%, $E$9)</f>
        <v>6.6813000000000002</v>
      </c>
      <c r="F344" s="11">
        <f>6.6813 * CHOOSE(CONTROL!$C$32, $C$9, 100%, $E$9)</f>
        <v>6.6813000000000002</v>
      </c>
      <c r="G344" s="11">
        <f>6.6855 * CHOOSE(CONTROL!$C$32, $C$9, 100%, $E$9)</f>
        <v>6.6855000000000002</v>
      </c>
      <c r="H344" s="11">
        <f>11.4641 * CHOOSE(CONTROL!$C$32, $C$9, 100%, $E$9)</f>
        <v>11.4641</v>
      </c>
      <c r="I344" s="11">
        <f>11.4683 * CHOOSE(CONTROL!$C$32, $C$9, 100%, $E$9)</f>
        <v>11.468299999999999</v>
      </c>
      <c r="J344" s="11">
        <f>11.4641 * CHOOSE(CONTROL!$C$32, $C$9, 100%, $E$9)</f>
        <v>11.4641</v>
      </c>
      <c r="K344" s="11">
        <f>11.4683 * CHOOSE(CONTROL!$C$32, $C$9, 100%, $E$9)</f>
        <v>11.468299999999999</v>
      </c>
      <c r="L344" s="11">
        <f>6.6813 * CHOOSE(CONTROL!$C$32, $C$9, 100%, $E$9)</f>
        <v>6.6813000000000002</v>
      </c>
      <c r="M344" s="11">
        <f>6.6855 * CHOOSE(CONTROL!$C$32, $C$9, 100%, $E$9)</f>
        <v>6.6855000000000002</v>
      </c>
      <c r="N344" s="11">
        <f>6.6813 * CHOOSE(CONTROL!$C$32, $C$9, 100%, $E$9)</f>
        <v>6.6813000000000002</v>
      </c>
      <c r="O344" s="11">
        <f>6.6855 * CHOOSE(CONTROL!$C$32, $C$9, 100%, $E$9)</f>
        <v>6.6855000000000002</v>
      </c>
    </row>
    <row r="345" spans="1:15" ht="15" x14ac:dyDescent="0.2">
      <c r="A345" s="13">
        <v>51349</v>
      </c>
      <c r="B345" s="9">
        <f>5.3517 * CHOOSE(CONTROL!$C$32, $C$9, 100%, $E$9)</f>
        <v>5.3517000000000001</v>
      </c>
      <c r="C345" s="9">
        <f>5.3517 * CHOOSE(CONTROL!$C$32, $C$9, 100%, $E$9)</f>
        <v>5.3517000000000001</v>
      </c>
      <c r="D345" s="9">
        <f>5.3529 * CHOOSE(CONTROL!$C$32, $C$9, 100%, $E$9)</f>
        <v>5.3529</v>
      </c>
      <c r="E345" s="11">
        <f>6.5764 * CHOOSE(CONTROL!$C$32, $C$9, 100%, $E$9)</f>
        <v>6.5763999999999996</v>
      </c>
      <c r="F345" s="11">
        <f>6.5764 * CHOOSE(CONTROL!$C$32, $C$9, 100%, $E$9)</f>
        <v>6.5763999999999996</v>
      </c>
      <c r="G345" s="11">
        <f>6.5806 * CHOOSE(CONTROL!$C$32, $C$9, 100%, $E$9)</f>
        <v>6.5805999999999996</v>
      </c>
      <c r="H345" s="11">
        <f>11.488 * CHOOSE(CONTROL!$C$32, $C$9, 100%, $E$9)</f>
        <v>11.488</v>
      </c>
      <c r="I345" s="11">
        <f>11.4922 * CHOOSE(CONTROL!$C$32, $C$9, 100%, $E$9)</f>
        <v>11.4922</v>
      </c>
      <c r="J345" s="11">
        <f>11.488 * CHOOSE(CONTROL!$C$32, $C$9, 100%, $E$9)</f>
        <v>11.488</v>
      </c>
      <c r="K345" s="11">
        <f>11.4922 * CHOOSE(CONTROL!$C$32, $C$9, 100%, $E$9)</f>
        <v>11.4922</v>
      </c>
      <c r="L345" s="11">
        <f>6.5764 * CHOOSE(CONTROL!$C$32, $C$9, 100%, $E$9)</f>
        <v>6.5763999999999996</v>
      </c>
      <c r="M345" s="11">
        <f>6.5806 * CHOOSE(CONTROL!$C$32, $C$9, 100%, $E$9)</f>
        <v>6.5805999999999996</v>
      </c>
      <c r="N345" s="11">
        <f>6.5764 * CHOOSE(CONTROL!$C$32, $C$9, 100%, $E$9)</f>
        <v>6.5763999999999996</v>
      </c>
      <c r="O345" s="11">
        <f>6.5806 * CHOOSE(CONTROL!$C$32, $C$9, 100%, $E$9)</f>
        <v>6.5805999999999996</v>
      </c>
    </row>
    <row r="346" spans="1:15" ht="15" x14ac:dyDescent="0.2">
      <c r="A346" s="13">
        <v>51380</v>
      </c>
      <c r="B346" s="9">
        <f>5.3487 * CHOOSE(CONTROL!$C$32, $C$9, 100%, $E$9)</f>
        <v>5.3487</v>
      </c>
      <c r="C346" s="9">
        <f>5.3487 * CHOOSE(CONTROL!$C$32, $C$9, 100%, $E$9)</f>
        <v>5.3487</v>
      </c>
      <c r="D346" s="9">
        <f>5.3499 * CHOOSE(CONTROL!$C$32, $C$9, 100%, $E$9)</f>
        <v>5.3498999999999999</v>
      </c>
      <c r="E346" s="11">
        <f>6.5621 * CHOOSE(CONTROL!$C$32, $C$9, 100%, $E$9)</f>
        <v>6.5621</v>
      </c>
      <c r="F346" s="11">
        <f>6.5621 * CHOOSE(CONTROL!$C$32, $C$9, 100%, $E$9)</f>
        <v>6.5621</v>
      </c>
      <c r="G346" s="11">
        <f>6.5663 * CHOOSE(CONTROL!$C$32, $C$9, 100%, $E$9)</f>
        <v>6.5663</v>
      </c>
      <c r="H346" s="11">
        <f>11.512 * CHOOSE(CONTROL!$C$32, $C$9, 100%, $E$9)</f>
        <v>11.512</v>
      </c>
      <c r="I346" s="11">
        <f>11.5162 * CHOOSE(CONTROL!$C$32, $C$9, 100%, $E$9)</f>
        <v>11.5162</v>
      </c>
      <c r="J346" s="11">
        <f>11.512 * CHOOSE(CONTROL!$C$32, $C$9, 100%, $E$9)</f>
        <v>11.512</v>
      </c>
      <c r="K346" s="11">
        <f>11.5162 * CHOOSE(CONTROL!$C$32, $C$9, 100%, $E$9)</f>
        <v>11.5162</v>
      </c>
      <c r="L346" s="11">
        <f>6.5621 * CHOOSE(CONTROL!$C$32, $C$9, 100%, $E$9)</f>
        <v>6.5621</v>
      </c>
      <c r="M346" s="11">
        <f>6.5663 * CHOOSE(CONTROL!$C$32, $C$9, 100%, $E$9)</f>
        <v>6.5663</v>
      </c>
      <c r="N346" s="11">
        <f>6.5621 * CHOOSE(CONTROL!$C$32, $C$9, 100%, $E$9)</f>
        <v>6.5621</v>
      </c>
      <c r="O346" s="11">
        <f>6.5663 * CHOOSE(CONTROL!$C$32, $C$9, 100%, $E$9)</f>
        <v>6.5663</v>
      </c>
    </row>
    <row r="347" spans="1:15" ht="15" x14ac:dyDescent="0.2">
      <c r="A347" s="13">
        <v>51410</v>
      </c>
      <c r="B347" s="9">
        <f>5.3487 * CHOOSE(CONTROL!$C$32, $C$9, 100%, $E$9)</f>
        <v>5.3487</v>
      </c>
      <c r="C347" s="9">
        <f>5.3487 * CHOOSE(CONTROL!$C$32, $C$9, 100%, $E$9)</f>
        <v>5.3487</v>
      </c>
      <c r="D347" s="9">
        <f>5.3497 * CHOOSE(CONTROL!$C$32, $C$9, 100%, $E$9)</f>
        <v>5.3497000000000003</v>
      </c>
      <c r="E347" s="11">
        <f>6.5974 * CHOOSE(CONTROL!$C$32, $C$9, 100%, $E$9)</f>
        <v>6.5974000000000004</v>
      </c>
      <c r="F347" s="11">
        <f>6.5974 * CHOOSE(CONTROL!$C$32, $C$9, 100%, $E$9)</f>
        <v>6.5974000000000004</v>
      </c>
      <c r="G347" s="11">
        <f>6.6006 * CHOOSE(CONTROL!$C$32, $C$9, 100%, $E$9)</f>
        <v>6.6006</v>
      </c>
      <c r="H347" s="11">
        <f>11.5359 * CHOOSE(CONTROL!$C$32, $C$9, 100%, $E$9)</f>
        <v>11.5359</v>
      </c>
      <c r="I347" s="11">
        <f>11.5392 * CHOOSE(CONTROL!$C$32, $C$9, 100%, $E$9)</f>
        <v>11.539199999999999</v>
      </c>
      <c r="J347" s="11">
        <f>11.5359 * CHOOSE(CONTROL!$C$32, $C$9, 100%, $E$9)</f>
        <v>11.5359</v>
      </c>
      <c r="K347" s="11">
        <f>11.5392 * CHOOSE(CONTROL!$C$32, $C$9, 100%, $E$9)</f>
        <v>11.539199999999999</v>
      </c>
      <c r="L347" s="11">
        <f>6.5974 * CHOOSE(CONTROL!$C$32, $C$9, 100%, $E$9)</f>
        <v>6.5974000000000004</v>
      </c>
      <c r="M347" s="11">
        <f>6.6006 * CHOOSE(CONTROL!$C$32, $C$9, 100%, $E$9)</f>
        <v>6.6006</v>
      </c>
      <c r="N347" s="11">
        <f>6.5974 * CHOOSE(CONTROL!$C$32, $C$9, 100%, $E$9)</f>
        <v>6.5974000000000004</v>
      </c>
      <c r="O347" s="11">
        <f>6.6006 * CHOOSE(CONTROL!$C$32, $C$9, 100%, $E$9)</f>
        <v>6.6006</v>
      </c>
    </row>
    <row r="348" spans="1:15" ht="15" x14ac:dyDescent="0.2">
      <c r="A348" s="13">
        <v>51441</v>
      </c>
      <c r="B348" s="9">
        <f>5.3518 * CHOOSE(CONTROL!$C$32, $C$9, 100%, $E$9)</f>
        <v>5.3517999999999999</v>
      </c>
      <c r="C348" s="9">
        <f>5.3518 * CHOOSE(CONTROL!$C$32, $C$9, 100%, $E$9)</f>
        <v>5.3517999999999999</v>
      </c>
      <c r="D348" s="9">
        <f>5.3527 * CHOOSE(CONTROL!$C$32, $C$9, 100%, $E$9)</f>
        <v>5.3526999999999996</v>
      </c>
      <c r="E348" s="11">
        <f>6.6239 * CHOOSE(CONTROL!$C$32, $C$9, 100%, $E$9)</f>
        <v>6.6238999999999999</v>
      </c>
      <c r="F348" s="11">
        <f>6.6239 * CHOOSE(CONTROL!$C$32, $C$9, 100%, $E$9)</f>
        <v>6.6238999999999999</v>
      </c>
      <c r="G348" s="11">
        <f>6.6271 * CHOOSE(CONTROL!$C$32, $C$9, 100%, $E$9)</f>
        <v>6.6271000000000004</v>
      </c>
      <c r="H348" s="11">
        <f>11.56 * CHOOSE(CONTROL!$C$32, $C$9, 100%, $E$9)</f>
        <v>11.56</v>
      </c>
      <c r="I348" s="11">
        <f>11.5632 * CHOOSE(CONTROL!$C$32, $C$9, 100%, $E$9)</f>
        <v>11.5632</v>
      </c>
      <c r="J348" s="11">
        <f>11.56 * CHOOSE(CONTROL!$C$32, $C$9, 100%, $E$9)</f>
        <v>11.56</v>
      </c>
      <c r="K348" s="11">
        <f>11.5632 * CHOOSE(CONTROL!$C$32, $C$9, 100%, $E$9)</f>
        <v>11.5632</v>
      </c>
      <c r="L348" s="11">
        <f>6.6239 * CHOOSE(CONTROL!$C$32, $C$9, 100%, $E$9)</f>
        <v>6.6238999999999999</v>
      </c>
      <c r="M348" s="11">
        <f>6.6271 * CHOOSE(CONTROL!$C$32, $C$9, 100%, $E$9)</f>
        <v>6.6271000000000004</v>
      </c>
      <c r="N348" s="11">
        <f>6.6239 * CHOOSE(CONTROL!$C$32, $C$9, 100%, $E$9)</f>
        <v>6.6238999999999999</v>
      </c>
      <c r="O348" s="11">
        <f>6.6271 * CHOOSE(CONTROL!$C$32, $C$9, 100%, $E$9)</f>
        <v>6.6271000000000004</v>
      </c>
    </row>
    <row r="349" spans="1:15" ht="15" x14ac:dyDescent="0.2">
      <c r="A349" s="13">
        <v>51471</v>
      </c>
      <c r="B349" s="9">
        <f>5.3518 * CHOOSE(CONTROL!$C$32, $C$9, 100%, $E$9)</f>
        <v>5.3517999999999999</v>
      </c>
      <c r="C349" s="9">
        <f>5.3518 * CHOOSE(CONTROL!$C$32, $C$9, 100%, $E$9)</f>
        <v>5.3517999999999999</v>
      </c>
      <c r="D349" s="9">
        <f>5.3527 * CHOOSE(CONTROL!$C$32, $C$9, 100%, $E$9)</f>
        <v>5.3526999999999996</v>
      </c>
      <c r="E349" s="11">
        <f>6.563 * CHOOSE(CONTROL!$C$32, $C$9, 100%, $E$9)</f>
        <v>6.5629999999999997</v>
      </c>
      <c r="F349" s="11">
        <f>6.563 * CHOOSE(CONTROL!$C$32, $C$9, 100%, $E$9)</f>
        <v>6.5629999999999997</v>
      </c>
      <c r="G349" s="11">
        <f>6.5662 * CHOOSE(CONTROL!$C$32, $C$9, 100%, $E$9)</f>
        <v>6.5662000000000003</v>
      </c>
      <c r="H349" s="11">
        <f>11.5841 * CHOOSE(CONTROL!$C$32, $C$9, 100%, $E$9)</f>
        <v>11.584099999999999</v>
      </c>
      <c r="I349" s="11">
        <f>11.5873 * CHOOSE(CONTROL!$C$32, $C$9, 100%, $E$9)</f>
        <v>11.587300000000001</v>
      </c>
      <c r="J349" s="11">
        <f>11.5841 * CHOOSE(CONTROL!$C$32, $C$9, 100%, $E$9)</f>
        <v>11.584099999999999</v>
      </c>
      <c r="K349" s="11">
        <f>11.5873 * CHOOSE(CONTROL!$C$32, $C$9, 100%, $E$9)</f>
        <v>11.587300000000001</v>
      </c>
      <c r="L349" s="11">
        <f>6.563 * CHOOSE(CONTROL!$C$32, $C$9, 100%, $E$9)</f>
        <v>6.5629999999999997</v>
      </c>
      <c r="M349" s="11">
        <f>6.5662 * CHOOSE(CONTROL!$C$32, $C$9, 100%, $E$9)</f>
        <v>6.5662000000000003</v>
      </c>
      <c r="N349" s="11">
        <f>6.563 * CHOOSE(CONTROL!$C$32, $C$9, 100%, $E$9)</f>
        <v>6.5629999999999997</v>
      </c>
      <c r="O349" s="11">
        <f>6.5662 * CHOOSE(CONTROL!$C$32, $C$9, 100%, $E$9)</f>
        <v>6.5662000000000003</v>
      </c>
    </row>
    <row r="350" spans="1:15" ht="15" x14ac:dyDescent="0.2">
      <c r="A350" s="13">
        <v>51502</v>
      </c>
      <c r="B350" s="9">
        <f>5.3929 * CHOOSE(CONTROL!$C$32, $C$9, 100%, $E$9)</f>
        <v>5.3929</v>
      </c>
      <c r="C350" s="9">
        <f>5.3929 * CHOOSE(CONTROL!$C$32, $C$9, 100%, $E$9)</f>
        <v>5.3929</v>
      </c>
      <c r="D350" s="9">
        <f>5.3938 * CHOOSE(CONTROL!$C$32, $C$9, 100%, $E$9)</f>
        <v>5.3937999999999997</v>
      </c>
      <c r="E350" s="11">
        <f>6.6304 * CHOOSE(CONTROL!$C$32, $C$9, 100%, $E$9)</f>
        <v>6.6303999999999998</v>
      </c>
      <c r="F350" s="11">
        <f>6.6304 * CHOOSE(CONTROL!$C$32, $C$9, 100%, $E$9)</f>
        <v>6.6303999999999998</v>
      </c>
      <c r="G350" s="11">
        <f>6.6337 * CHOOSE(CONTROL!$C$32, $C$9, 100%, $E$9)</f>
        <v>6.6337000000000002</v>
      </c>
      <c r="H350" s="11">
        <f>11.6082 * CHOOSE(CONTROL!$C$32, $C$9, 100%, $E$9)</f>
        <v>11.6082</v>
      </c>
      <c r="I350" s="11">
        <f>11.6114 * CHOOSE(CONTROL!$C$32, $C$9, 100%, $E$9)</f>
        <v>11.6114</v>
      </c>
      <c r="J350" s="11">
        <f>11.6082 * CHOOSE(CONTROL!$C$32, $C$9, 100%, $E$9)</f>
        <v>11.6082</v>
      </c>
      <c r="K350" s="11">
        <f>11.6114 * CHOOSE(CONTROL!$C$32, $C$9, 100%, $E$9)</f>
        <v>11.6114</v>
      </c>
      <c r="L350" s="11">
        <f>6.6304 * CHOOSE(CONTROL!$C$32, $C$9, 100%, $E$9)</f>
        <v>6.6303999999999998</v>
      </c>
      <c r="M350" s="11">
        <f>6.6337 * CHOOSE(CONTROL!$C$32, $C$9, 100%, $E$9)</f>
        <v>6.6337000000000002</v>
      </c>
      <c r="N350" s="11">
        <f>6.6304 * CHOOSE(CONTROL!$C$32, $C$9, 100%, $E$9)</f>
        <v>6.6303999999999998</v>
      </c>
      <c r="O350" s="11">
        <f>6.6337 * CHOOSE(CONTROL!$C$32, $C$9, 100%, $E$9)</f>
        <v>6.6337000000000002</v>
      </c>
    </row>
    <row r="351" spans="1:15" ht="15" x14ac:dyDescent="0.2">
      <c r="A351" s="13">
        <v>51533</v>
      </c>
      <c r="B351" s="9">
        <f>5.3898 * CHOOSE(CONTROL!$C$32, $C$9, 100%, $E$9)</f>
        <v>5.3898000000000001</v>
      </c>
      <c r="C351" s="9">
        <f>5.3898 * CHOOSE(CONTROL!$C$32, $C$9, 100%, $E$9)</f>
        <v>5.3898000000000001</v>
      </c>
      <c r="D351" s="9">
        <f>5.3908 * CHOOSE(CONTROL!$C$32, $C$9, 100%, $E$9)</f>
        <v>5.3907999999999996</v>
      </c>
      <c r="E351" s="11">
        <f>6.5096 * CHOOSE(CONTROL!$C$32, $C$9, 100%, $E$9)</f>
        <v>6.5095999999999998</v>
      </c>
      <c r="F351" s="11">
        <f>6.5096 * CHOOSE(CONTROL!$C$32, $C$9, 100%, $E$9)</f>
        <v>6.5095999999999998</v>
      </c>
      <c r="G351" s="11">
        <f>6.5128 * CHOOSE(CONTROL!$C$32, $C$9, 100%, $E$9)</f>
        <v>6.5128000000000004</v>
      </c>
      <c r="H351" s="11">
        <f>11.6324 * CHOOSE(CONTROL!$C$32, $C$9, 100%, $E$9)</f>
        <v>11.632400000000001</v>
      </c>
      <c r="I351" s="11">
        <f>11.6356 * CHOOSE(CONTROL!$C$32, $C$9, 100%, $E$9)</f>
        <v>11.6356</v>
      </c>
      <c r="J351" s="11">
        <f>11.6324 * CHOOSE(CONTROL!$C$32, $C$9, 100%, $E$9)</f>
        <v>11.632400000000001</v>
      </c>
      <c r="K351" s="11">
        <f>11.6356 * CHOOSE(CONTROL!$C$32, $C$9, 100%, $E$9)</f>
        <v>11.6356</v>
      </c>
      <c r="L351" s="11">
        <f>6.5096 * CHOOSE(CONTROL!$C$32, $C$9, 100%, $E$9)</f>
        <v>6.5095999999999998</v>
      </c>
      <c r="M351" s="11">
        <f>6.5128 * CHOOSE(CONTROL!$C$32, $C$9, 100%, $E$9)</f>
        <v>6.5128000000000004</v>
      </c>
      <c r="N351" s="11">
        <f>6.5096 * CHOOSE(CONTROL!$C$32, $C$9, 100%, $E$9)</f>
        <v>6.5095999999999998</v>
      </c>
      <c r="O351" s="11">
        <f>6.5128 * CHOOSE(CONTROL!$C$32, $C$9, 100%, $E$9)</f>
        <v>6.5128000000000004</v>
      </c>
    </row>
    <row r="352" spans="1:15" ht="15" x14ac:dyDescent="0.2">
      <c r="A352" s="13">
        <v>51561</v>
      </c>
      <c r="B352" s="9">
        <f>5.3868 * CHOOSE(CONTROL!$C$32, $C$9, 100%, $E$9)</f>
        <v>5.3868</v>
      </c>
      <c r="C352" s="9">
        <f>5.3868 * CHOOSE(CONTROL!$C$32, $C$9, 100%, $E$9)</f>
        <v>5.3868</v>
      </c>
      <c r="D352" s="9">
        <f>5.3877 * CHOOSE(CONTROL!$C$32, $C$9, 100%, $E$9)</f>
        <v>5.3876999999999997</v>
      </c>
      <c r="E352" s="11">
        <f>6.6011 * CHOOSE(CONTROL!$C$32, $C$9, 100%, $E$9)</f>
        <v>6.6010999999999997</v>
      </c>
      <c r="F352" s="11">
        <f>6.6011 * CHOOSE(CONTROL!$C$32, $C$9, 100%, $E$9)</f>
        <v>6.6010999999999997</v>
      </c>
      <c r="G352" s="11">
        <f>6.6043 * CHOOSE(CONTROL!$C$32, $C$9, 100%, $E$9)</f>
        <v>6.6043000000000003</v>
      </c>
      <c r="H352" s="11">
        <f>11.6566 * CHOOSE(CONTROL!$C$32, $C$9, 100%, $E$9)</f>
        <v>11.656599999999999</v>
      </c>
      <c r="I352" s="11">
        <f>11.6598 * CHOOSE(CONTROL!$C$32, $C$9, 100%, $E$9)</f>
        <v>11.659800000000001</v>
      </c>
      <c r="J352" s="11">
        <f>11.6566 * CHOOSE(CONTROL!$C$32, $C$9, 100%, $E$9)</f>
        <v>11.656599999999999</v>
      </c>
      <c r="K352" s="11">
        <f>11.6598 * CHOOSE(CONTROL!$C$32, $C$9, 100%, $E$9)</f>
        <v>11.659800000000001</v>
      </c>
      <c r="L352" s="11">
        <f>6.6011 * CHOOSE(CONTROL!$C$32, $C$9, 100%, $E$9)</f>
        <v>6.6010999999999997</v>
      </c>
      <c r="M352" s="11">
        <f>6.6043 * CHOOSE(CONTROL!$C$32, $C$9, 100%, $E$9)</f>
        <v>6.6043000000000003</v>
      </c>
      <c r="N352" s="11">
        <f>6.6011 * CHOOSE(CONTROL!$C$32, $C$9, 100%, $E$9)</f>
        <v>6.6010999999999997</v>
      </c>
      <c r="O352" s="11">
        <f>6.6043 * CHOOSE(CONTROL!$C$32, $C$9, 100%, $E$9)</f>
        <v>6.6043000000000003</v>
      </c>
    </row>
    <row r="353" spans="1:15" ht="15" x14ac:dyDescent="0.2">
      <c r="A353" s="13">
        <v>51592</v>
      </c>
      <c r="B353" s="9">
        <f>5.3858 * CHOOSE(CONTROL!$C$32, $C$9, 100%, $E$9)</f>
        <v>5.3857999999999997</v>
      </c>
      <c r="C353" s="9">
        <f>5.3858 * CHOOSE(CONTROL!$C$32, $C$9, 100%, $E$9)</f>
        <v>5.3857999999999997</v>
      </c>
      <c r="D353" s="9">
        <f>5.3867 * CHOOSE(CONTROL!$C$32, $C$9, 100%, $E$9)</f>
        <v>5.3867000000000003</v>
      </c>
      <c r="E353" s="11">
        <f>6.6974 * CHOOSE(CONTROL!$C$32, $C$9, 100%, $E$9)</f>
        <v>6.6974</v>
      </c>
      <c r="F353" s="11">
        <f>6.6974 * CHOOSE(CONTROL!$C$32, $C$9, 100%, $E$9)</f>
        <v>6.6974</v>
      </c>
      <c r="G353" s="11">
        <f>6.7006 * CHOOSE(CONTROL!$C$32, $C$9, 100%, $E$9)</f>
        <v>6.7005999999999997</v>
      </c>
      <c r="H353" s="11">
        <f>11.6809 * CHOOSE(CONTROL!$C$32, $C$9, 100%, $E$9)</f>
        <v>11.680899999999999</v>
      </c>
      <c r="I353" s="11">
        <f>11.6841 * CHOOSE(CONTROL!$C$32, $C$9, 100%, $E$9)</f>
        <v>11.684100000000001</v>
      </c>
      <c r="J353" s="11">
        <f>11.6809 * CHOOSE(CONTROL!$C$32, $C$9, 100%, $E$9)</f>
        <v>11.680899999999999</v>
      </c>
      <c r="K353" s="11">
        <f>11.6841 * CHOOSE(CONTROL!$C$32, $C$9, 100%, $E$9)</f>
        <v>11.684100000000001</v>
      </c>
      <c r="L353" s="11">
        <f>6.6974 * CHOOSE(CONTROL!$C$32, $C$9, 100%, $E$9)</f>
        <v>6.6974</v>
      </c>
      <c r="M353" s="11">
        <f>6.7006 * CHOOSE(CONTROL!$C$32, $C$9, 100%, $E$9)</f>
        <v>6.7005999999999997</v>
      </c>
      <c r="N353" s="11">
        <f>6.6974 * CHOOSE(CONTROL!$C$32, $C$9, 100%, $E$9)</f>
        <v>6.6974</v>
      </c>
      <c r="O353" s="11">
        <f>6.7006 * CHOOSE(CONTROL!$C$32, $C$9, 100%, $E$9)</f>
        <v>6.7005999999999997</v>
      </c>
    </row>
    <row r="354" spans="1:15" ht="15" x14ac:dyDescent="0.2">
      <c r="A354" s="13">
        <v>51622</v>
      </c>
      <c r="B354" s="9">
        <f>5.3858 * CHOOSE(CONTROL!$C$32, $C$9, 100%, $E$9)</f>
        <v>5.3857999999999997</v>
      </c>
      <c r="C354" s="9">
        <f>5.3858 * CHOOSE(CONTROL!$C$32, $C$9, 100%, $E$9)</f>
        <v>5.3857999999999997</v>
      </c>
      <c r="D354" s="9">
        <f>5.387 * CHOOSE(CONTROL!$C$32, $C$9, 100%, $E$9)</f>
        <v>5.3869999999999996</v>
      </c>
      <c r="E354" s="11">
        <f>6.7351 * CHOOSE(CONTROL!$C$32, $C$9, 100%, $E$9)</f>
        <v>6.7351000000000001</v>
      </c>
      <c r="F354" s="11">
        <f>6.7351 * CHOOSE(CONTROL!$C$32, $C$9, 100%, $E$9)</f>
        <v>6.7351000000000001</v>
      </c>
      <c r="G354" s="11">
        <f>6.7393 * CHOOSE(CONTROL!$C$32, $C$9, 100%, $E$9)</f>
        <v>6.7393000000000001</v>
      </c>
      <c r="H354" s="11">
        <f>11.7052 * CHOOSE(CONTROL!$C$32, $C$9, 100%, $E$9)</f>
        <v>11.7052</v>
      </c>
      <c r="I354" s="11">
        <f>11.7094 * CHOOSE(CONTROL!$C$32, $C$9, 100%, $E$9)</f>
        <v>11.7094</v>
      </c>
      <c r="J354" s="11">
        <f>11.7052 * CHOOSE(CONTROL!$C$32, $C$9, 100%, $E$9)</f>
        <v>11.7052</v>
      </c>
      <c r="K354" s="11">
        <f>11.7094 * CHOOSE(CONTROL!$C$32, $C$9, 100%, $E$9)</f>
        <v>11.7094</v>
      </c>
      <c r="L354" s="11">
        <f>6.7351 * CHOOSE(CONTROL!$C$32, $C$9, 100%, $E$9)</f>
        <v>6.7351000000000001</v>
      </c>
      <c r="M354" s="11">
        <f>6.7393 * CHOOSE(CONTROL!$C$32, $C$9, 100%, $E$9)</f>
        <v>6.7393000000000001</v>
      </c>
      <c r="N354" s="11">
        <f>6.7351 * CHOOSE(CONTROL!$C$32, $C$9, 100%, $E$9)</f>
        <v>6.7351000000000001</v>
      </c>
      <c r="O354" s="11">
        <f>6.7393 * CHOOSE(CONTROL!$C$32, $C$9, 100%, $E$9)</f>
        <v>6.7393000000000001</v>
      </c>
    </row>
    <row r="355" spans="1:15" ht="15" x14ac:dyDescent="0.2">
      <c r="A355" s="13">
        <v>51653</v>
      </c>
      <c r="B355" s="9">
        <f>5.3918 * CHOOSE(CONTROL!$C$32, $C$9, 100%, $E$9)</f>
        <v>5.3917999999999999</v>
      </c>
      <c r="C355" s="9">
        <f>5.3918 * CHOOSE(CONTROL!$C$32, $C$9, 100%, $E$9)</f>
        <v>5.3917999999999999</v>
      </c>
      <c r="D355" s="9">
        <f>5.3931 * CHOOSE(CONTROL!$C$32, $C$9, 100%, $E$9)</f>
        <v>5.3930999999999996</v>
      </c>
      <c r="E355" s="11">
        <f>6.7016 * CHOOSE(CONTROL!$C$32, $C$9, 100%, $E$9)</f>
        <v>6.7016</v>
      </c>
      <c r="F355" s="11">
        <f>6.7016 * CHOOSE(CONTROL!$C$32, $C$9, 100%, $E$9)</f>
        <v>6.7016</v>
      </c>
      <c r="G355" s="11">
        <f>6.7058 * CHOOSE(CONTROL!$C$32, $C$9, 100%, $E$9)</f>
        <v>6.7058</v>
      </c>
      <c r="H355" s="11">
        <f>11.7296 * CHOOSE(CONTROL!$C$32, $C$9, 100%, $E$9)</f>
        <v>11.7296</v>
      </c>
      <c r="I355" s="11">
        <f>11.7338 * CHOOSE(CONTROL!$C$32, $C$9, 100%, $E$9)</f>
        <v>11.7338</v>
      </c>
      <c r="J355" s="11">
        <f>11.7296 * CHOOSE(CONTROL!$C$32, $C$9, 100%, $E$9)</f>
        <v>11.7296</v>
      </c>
      <c r="K355" s="11">
        <f>11.7338 * CHOOSE(CONTROL!$C$32, $C$9, 100%, $E$9)</f>
        <v>11.7338</v>
      </c>
      <c r="L355" s="11">
        <f>6.7016 * CHOOSE(CONTROL!$C$32, $C$9, 100%, $E$9)</f>
        <v>6.7016</v>
      </c>
      <c r="M355" s="11">
        <f>6.7058 * CHOOSE(CONTROL!$C$32, $C$9, 100%, $E$9)</f>
        <v>6.7058</v>
      </c>
      <c r="N355" s="11">
        <f>6.7016 * CHOOSE(CONTROL!$C$32, $C$9, 100%, $E$9)</f>
        <v>6.7016</v>
      </c>
      <c r="O355" s="11">
        <f>6.7058 * CHOOSE(CONTROL!$C$32, $C$9, 100%, $E$9)</f>
        <v>6.7058</v>
      </c>
    </row>
    <row r="356" spans="1:15" ht="15" x14ac:dyDescent="0.2">
      <c r="A356" s="13">
        <v>51683</v>
      </c>
      <c r="B356" s="9">
        <f>5.4648 * CHOOSE(CONTROL!$C$32, $C$9, 100%, $E$9)</f>
        <v>5.4648000000000003</v>
      </c>
      <c r="C356" s="9">
        <f>5.4648 * CHOOSE(CONTROL!$C$32, $C$9, 100%, $E$9)</f>
        <v>5.4648000000000003</v>
      </c>
      <c r="D356" s="9">
        <f>5.4661 * CHOOSE(CONTROL!$C$32, $C$9, 100%, $E$9)</f>
        <v>5.4661</v>
      </c>
      <c r="E356" s="11">
        <f>6.7253 * CHOOSE(CONTROL!$C$32, $C$9, 100%, $E$9)</f>
        <v>6.7252999999999998</v>
      </c>
      <c r="F356" s="11">
        <f>6.7253 * CHOOSE(CONTROL!$C$32, $C$9, 100%, $E$9)</f>
        <v>6.7252999999999998</v>
      </c>
      <c r="G356" s="11">
        <f>6.7295 * CHOOSE(CONTROL!$C$32, $C$9, 100%, $E$9)</f>
        <v>6.7294999999999998</v>
      </c>
      <c r="H356" s="11">
        <f>11.7541 * CHOOSE(CONTROL!$C$32, $C$9, 100%, $E$9)</f>
        <v>11.754099999999999</v>
      </c>
      <c r="I356" s="11">
        <f>11.7583 * CHOOSE(CONTROL!$C$32, $C$9, 100%, $E$9)</f>
        <v>11.7583</v>
      </c>
      <c r="J356" s="11">
        <f>11.7541 * CHOOSE(CONTROL!$C$32, $C$9, 100%, $E$9)</f>
        <v>11.754099999999999</v>
      </c>
      <c r="K356" s="11">
        <f>11.7583 * CHOOSE(CONTROL!$C$32, $C$9, 100%, $E$9)</f>
        <v>11.7583</v>
      </c>
      <c r="L356" s="11">
        <f>6.7253 * CHOOSE(CONTROL!$C$32, $C$9, 100%, $E$9)</f>
        <v>6.7252999999999998</v>
      </c>
      <c r="M356" s="11">
        <f>6.7295 * CHOOSE(CONTROL!$C$32, $C$9, 100%, $E$9)</f>
        <v>6.7294999999999998</v>
      </c>
      <c r="N356" s="11">
        <f>6.7253 * CHOOSE(CONTROL!$C$32, $C$9, 100%, $E$9)</f>
        <v>6.7252999999999998</v>
      </c>
      <c r="O356" s="11">
        <f>6.7295 * CHOOSE(CONTROL!$C$32, $C$9, 100%, $E$9)</f>
        <v>6.7294999999999998</v>
      </c>
    </row>
    <row r="357" spans="1:15" ht="15" x14ac:dyDescent="0.2">
      <c r="A357" s="13">
        <v>51714</v>
      </c>
      <c r="B357" s="9">
        <f>5.4715 * CHOOSE(CONTROL!$C$32, $C$9, 100%, $E$9)</f>
        <v>5.4714999999999998</v>
      </c>
      <c r="C357" s="9">
        <f>5.4715 * CHOOSE(CONTROL!$C$32, $C$9, 100%, $E$9)</f>
        <v>5.4714999999999998</v>
      </c>
      <c r="D357" s="9">
        <f>5.4727 * CHOOSE(CONTROL!$C$32, $C$9, 100%, $E$9)</f>
        <v>5.4726999999999997</v>
      </c>
      <c r="E357" s="11">
        <f>6.6169 * CHOOSE(CONTROL!$C$32, $C$9, 100%, $E$9)</f>
        <v>6.6169000000000002</v>
      </c>
      <c r="F357" s="11">
        <f>6.6169 * CHOOSE(CONTROL!$C$32, $C$9, 100%, $E$9)</f>
        <v>6.6169000000000002</v>
      </c>
      <c r="G357" s="11">
        <f>6.6211 * CHOOSE(CONTROL!$C$32, $C$9, 100%, $E$9)</f>
        <v>6.6211000000000002</v>
      </c>
      <c r="H357" s="11">
        <f>11.7785 * CHOOSE(CONTROL!$C$32, $C$9, 100%, $E$9)</f>
        <v>11.778499999999999</v>
      </c>
      <c r="I357" s="11">
        <f>11.7827 * CHOOSE(CONTROL!$C$32, $C$9, 100%, $E$9)</f>
        <v>11.7827</v>
      </c>
      <c r="J357" s="11">
        <f>11.7785 * CHOOSE(CONTROL!$C$32, $C$9, 100%, $E$9)</f>
        <v>11.778499999999999</v>
      </c>
      <c r="K357" s="11">
        <f>11.7827 * CHOOSE(CONTROL!$C$32, $C$9, 100%, $E$9)</f>
        <v>11.7827</v>
      </c>
      <c r="L357" s="11">
        <f>6.6169 * CHOOSE(CONTROL!$C$32, $C$9, 100%, $E$9)</f>
        <v>6.6169000000000002</v>
      </c>
      <c r="M357" s="11">
        <f>6.6211 * CHOOSE(CONTROL!$C$32, $C$9, 100%, $E$9)</f>
        <v>6.6211000000000002</v>
      </c>
      <c r="N357" s="11">
        <f>6.6169 * CHOOSE(CONTROL!$C$32, $C$9, 100%, $E$9)</f>
        <v>6.6169000000000002</v>
      </c>
      <c r="O357" s="11">
        <f>6.6211 * CHOOSE(CONTROL!$C$32, $C$9, 100%, $E$9)</f>
        <v>6.6211000000000002</v>
      </c>
    </row>
    <row r="358" spans="1:15" ht="15" x14ac:dyDescent="0.2">
      <c r="A358" s="13">
        <v>51745</v>
      </c>
      <c r="B358" s="9">
        <f>5.4685 * CHOOSE(CONTROL!$C$32, $C$9, 100%, $E$9)</f>
        <v>5.4684999999999997</v>
      </c>
      <c r="C358" s="9">
        <f>5.4685 * CHOOSE(CONTROL!$C$32, $C$9, 100%, $E$9)</f>
        <v>5.4684999999999997</v>
      </c>
      <c r="D358" s="9">
        <f>5.4697 * CHOOSE(CONTROL!$C$32, $C$9, 100%, $E$9)</f>
        <v>5.4696999999999996</v>
      </c>
      <c r="E358" s="11">
        <f>6.6022 * CHOOSE(CONTROL!$C$32, $C$9, 100%, $E$9)</f>
        <v>6.6021999999999998</v>
      </c>
      <c r="F358" s="11">
        <f>6.6022 * CHOOSE(CONTROL!$C$32, $C$9, 100%, $E$9)</f>
        <v>6.6021999999999998</v>
      </c>
      <c r="G358" s="11">
        <f>6.6064 * CHOOSE(CONTROL!$C$32, $C$9, 100%, $E$9)</f>
        <v>6.6063999999999998</v>
      </c>
      <c r="H358" s="11">
        <f>11.8031 * CHOOSE(CONTROL!$C$32, $C$9, 100%, $E$9)</f>
        <v>11.803100000000001</v>
      </c>
      <c r="I358" s="11">
        <f>11.8073 * CHOOSE(CONTROL!$C$32, $C$9, 100%, $E$9)</f>
        <v>11.8073</v>
      </c>
      <c r="J358" s="11">
        <f>11.8031 * CHOOSE(CONTROL!$C$32, $C$9, 100%, $E$9)</f>
        <v>11.803100000000001</v>
      </c>
      <c r="K358" s="11">
        <f>11.8073 * CHOOSE(CONTROL!$C$32, $C$9, 100%, $E$9)</f>
        <v>11.8073</v>
      </c>
      <c r="L358" s="11">
        <f>6.6022 * CHOOSE(CONTROL!$C$32, $C$9, 100%, $E$9)</f>
        <v>6.6021999999999998</v>
      </c>
      <c r="M358" s="11">
        <f>6.6064 * CHOOSE(CONTROL!$C$32, $C$9, 100%, $E$9)</f>
        <v>6.6063999999999998</v>
      </c>
      <c r="N358" s="11">
        <f>6.6022 * CHOOSE(CONTROL!$C$32, $C$9, 100%, $E$9)</f>
        <v>6.6021999999999998</v>
      </c>
      <c r="O358" s="11">
        <f>6.6064 * CHOOSE(CONTROL!$C$32, $C$9, 100%, $E$9)</f>
        <v>6.6063999999999998</v>
      </c>
    </row>
    <row r="359" spans="1:15" ht="15" x14ac:dyDescent="0.2">
      <c r="A359" s="13">
        <v>51775</v>
      </c>
      <c r="B359" s="9">
        <f>5.469 * CHOOSE(CONTROL!$C$32, $C$9, 100%, $E$9)</f>
        <v>5.4690000000000003</v>
      </c>
      <c r="C359" s="9">
        <f>5.469 * CHOOSE(CONTROL!$C$32, $C$9, 100%, $E$9)</f>
        <v>5.4690000000000003</v>
      </c>
      <c r="D359" s="9">
        <f>5.4699 * CHOOSE(CONTROL!$C$32, $C$9, 100%, $E$9)</f>
        <v>5.4699</v>
      </c>
      <c r="E359" s="11">
        <f>6.639 * CHOOSE(CONTROL!$C$32, $C$9, 100%, $E$9)</f>
        <v>6.6390000000000002</v>
      </c>
      <c r="F359" s="11">
        <f>6.639 * CHOOSE(CONTROL!$C$32, $C$9, 100%, $E$9)</f>
        <v>6.6390000000000002</v>
      </c>
      <c r="G359" s="11">
        <f>6.6423 * CHOOSE(CONTROL!$C$32, $C$9, 100%, $E$9)</f>
        <v>6.6422999999999996</v>
      </c>
      <c r="H359" s="11">
        <f>11.8277 * CHOOSE(CONTROL!$C$32, $C$9, 100%, $E$9)</f>
        <v>11.8277</v>
      </c>
      <c r="I359" s="11">
        <f>11.8309 * CHOOSE(CONTROL!$C$32, $C$9, 100%, $E$9)</f>
        <v>11.8309</v>
      </c>
      <c r="J359" s="11">
        <f>11.8277 * CHOOSE(CONTROL!$C$32, $C$9, 100%, $E$9)</f>
        <v>11.8277</v>
      </c>
      <c r="K359" s="11">
        <f>11.8309 * CHOOSE(CONTROL!$C$32, $C$9, 100%, $E$9)</f>
        <v>11.8309</v>
      </c>
      <c r="L359" s="11">
        <f>6.639 * CHOOSE(CONTROL!$C$32, $C$9, 100%, $E$9)</f>
        <v>6.6390000000000002</v>
      </c>
      <c r="M359" s="11">
        <f>6.6423 * CHOOSE(CONTROL!$C$32, $C$9, 100%, $E$9)</f>
        <v>6.6422999999999996</v>
      </c>
      <c r="N359" s="11">
        <f>6.639 * CHOOSE(CONTROL!$C$32, $C$9, 100%, $E$9)</f>
        <v>6.6390000000000002</v>
      </c>
      <c r="O359" s="11">
        <f>6.6423 * CHOOSE(CONTROL!$C$32, $C$9, 100%, $E$9)</f>
        <v>6.6422999999999996</v>
      </c>
    </row>
    <row r="360" spans="1:15" ht="15" x14ac:dyDescent="0.2">
      <c r="A360" s="13">
        <v>51806</v>
      </c>
      <c r="B360" s="9">
        <f>5.472 * CHOOSE(CONTROL!$C$32, $C$9, 100%, $E$9)</f>
        <v>5.4720000000000004</v>
      </c>
      <c r="C360" s="9">
        <f>5.472 * CHOOSE(CONTROL!$C$32, $C$9, 100%, $E$9)</f>
        <v>5.4720000000000004</v>
      </c>
      <c r="D360" s="9">
        <f>5.473 * CHOOSE(CONTROL!$C$32, $C$9, 100%, $E$9)</f>
        <v>5.4729999999999999</v>
      </c>
      <c r="E360" s="11">
        <f>6.6663 * CHOOSE(CONTROL!$C$32, $C$9, 100%, $E$9)</f>
        <v>6.6662999999999997</v>
      </c>
      <c r="F360" s="11">
        <f>6.6663 * CHOOSE(CONTROL!$C$32, $C$9, 100%, $E$9)</f>
        <v>6.6662999999999997</v>
      </c>
      <c r="G360" s="11">
        <f>6.6695 * CHOOSE(CONTROL!$C$32, $C$9, 100%, $E$9)</f>
        <v>6.6695000000000002</v>
      </c>
      <c r="H360" s="11">
        <f>11.8523 * CHOOSE(CONTROL!$C$32, $C$9, 100%, $E$9)</f>
        <v>11.8523</v>
      </c>
      <c r="I360" s="11">
        <f>11.8555 * CHOOSE(CONTROL!$C$32, $C$9, 100%, $E$9)</f>
        <v>11.855499999999999</v>
      </c>
      <c r="J360" s="11">
        <f>11.8523 * CHOOSE(CONTROL!$C$32, $C$9, 100%, $E$9)</f>
        <v>11.8523</v>
      </c>
      <c r="K360" s="11">
        <f>11.8555 * CHOOSE(CONTROL!$C$32, $C$9, 100%, $E$9)</f>
        <v>11.855499999999999</v>
      </c>
      <c r="L360" s="11">
        <f>6.6663 * CHOOSE(CONTROL!$C$32, $C$9, 100%, $E$9)</f>
        <v>6.6662999999999997</v>
      </c>
      <c r="M360" s="11">
        <f>6.6695 * CHOOSE(CONTROL!$C$32, $C$9, 100%, $E$9)</f>
        <v>6.6695000000000002</v>
      </c>
      <c r="N360" s="11">
        <f>6.6663 * CHOOSE(CONTROL!$C$32, $C$9, 100%, $E$9)</f>
        <v>6.6662999999999997</v>
      </c>
      <c r="O360" s="11">
        <f>6.6695 * CHOOSE(CONTROL!$C$32, $C$9, 100%, $E$9)</f>
        <v>6.6695000000000002</v>
      </c>
    </row>
    <row r="361" spans="1:15" ht="15" x14ac:dyDescent="0.2">
      <c r="A361" s="13">
        <v>51836</v>
      </c>
      <c r="B361" s="9">
        <f>5.472 * CHOOSE(CONTROL!$C$32, $C$9, 100%, $E$9)</f>
        <v>5.4720000000000004</v>
      </c>
      <c r="C361" s="9">
        <f>5.472 * CHOOSE(CONTROL!$C$32, $C$9, 100%, $E$9)</f>
        <v>5.4720000000000004</v>
      </c>
      <c r="D361" s="9">
        <f>5.473 * CHOOSE(CONTROL!$C$32, $C$9, 100%, $E$9)</f>
        <v>5.4729999999999999</v>
      </c>
      <c r="E361" s="11">
        <f>6.6035 * CHOOSE(CONTROL!$C$32, $C$9, 100%, $E$9)</f>
        <v>6.6035000000000004</v>
      </c>
      <c r="F361" s="11">
        <f>6.6035 * CHOOSE(CONTROL!$C$32, $C$9, 100%, $E$9)</f>
        <v>6.6035000000000004</v>
      </c>
      <c r="G361" s="11">
        <f>6.6067 * CHOOSE(CONTROL!$C$32, $C$9, 100%, $E$9)</f>
        <v>6.6067</v>
      </c>
      <c r="H361" s="11">
        <f>11.877 * CHOOSE(CONTROL!$C$32, $C$9, 100%, $E$9)</f>
        <v>11.877000000000001</v>
      </c>
      <c r="I361" s="11">
        <f>11.8802 * CHOOSE(CONTROL!$C$32, $C$9, 100%, $E$9)</f>
        <v>11.8802</v>
      </c>
      <c r="J361" s="11">
        <f>11.877 * CHOOSE(CONTROL!$C$32, $C$9, 100%, $E$9)</f>
        <v>11.877000000000001</v>
      </c>
      <c r="K361" s="11">
        <f>11.8802 * CHOOSE(CONTROL!$C$32, $C$9, 100%, $E$9)</f>
        <v>11.8802</v>
      </c>
      <c r="L361" s="11">
        <f>6.6035 * CHOOSE(CONTROL!$C$32, $C$9, 100%, $E$9)</f>
        <v>6.6035000000000004</v>
      </c>
      <c r="M361" s="11">
        <f>6.6067 * CHOOSE(CONTROL!$C$32, $C$9, 100%, $E$9)</f>
        <v>6.6067</v>
      </c>
      <c r="N361" s="11">
        <f>6.6035 * CHOOSE(CONTROL!$C$32, $C$9, 100%, $E$9)</f>
        <v>6.6035000000000004</v>
      </c>
      <c r="O361" s="11">
        <f>6.6067 * CHOOSE(CONTROL!$C$32, $C$9, 100%, $E$9)</f>
        <v>6.6067</v>
      </c>
    </row>
    <row r="362" spans="1:15" ht="15" x14ac:dyDescent="0.2">
      <c r="A362" s="13">
        <v>51867</v>
      </c>
      <c r="B362" s="9">
        <f>5.5145 * CHOOSE(CONTROL!$C$32, $C$9, 100%, $E$9)</f>
        <v>5.5145</v>
      </c>
      <c r="C362" s="9">
        <f>5.5145 * CHOOSE(CONTROL!$C$32, $C$9, 100%, $E$9)</f>
        <v>5.5145</v>
      </c>
      <c r="D362" s="9">
        <f>5.5154 * CHOOSE(CONTROL!$C$32, $C$9, 100%, $E$9)</f>
        <v>5.5153999999999996</v>
      </c>
      <c r="E362" s="11">
        <f>6.6708 * CHOOSE(CONTROL!$C$32, $C$9, 100%, $E$9)</f>
        <v>6.6707999999999998</v>
      </c>
      <c r="F362" s="11">
        <f>6.6708 * CHOOSE(CONTROL!$C$32, $C$9, 100%, $E$9)</f>
        <v>6.6707999999999998</v>
      </c>
      <c r="G362" s="11">
        <f>6.674 * CHOOSE(CONTROL!$C$32, $C$9, 100%, $E$9)</f>
        <v>6.6740000000000004</v>
      </c>
      <c r="H362" s="11">
        <f>11.9018 * CHOOSE(CONTROL!$C$32, $C$9, 100%, $E$9)</f>
        <v>11.9018</v>
      </c>
      <c r="I362" s="11">
        <f>11.905 * CHOOSE(CONTROL!$C$32, $C$9, 100%, $E$9)</f>
        <v>11.904999999999999</v>
      </c>
      <c r="J362" s="11">
        <f>11.9018 * CHOOSE(CONTROL!$C$32, $C$9, 100%, $E$9)</f>
        <v>11.9018</v>
      </c>
      <c r="K362" s="11">
        <f>11.905 * CHOOSE(CONTROL!$C$32, $C$9, 100%, $E$9)</f>
        <v>11.904999999999999</v>
      </c>
      <c r="L362" s="11">
        <f>6.6708 * CHOOSE(CONTROL!$C$32, $C$9, 100%, $E$9)</f>
        <v>6.6707999999999998</v>
      </c>
      <c r="M362" s="11">
        <f>6.674 * CHOOSE(CONTROL!$C$32, $C$9, 100%, $E$9)</f>
        <v>6.6740000000000004</v>
      </c>
      <c r="N362" s="11">
        <f>6.6708 * CHOOSE(CONTROL!$C$32, $C$9, 100%, $E$9)</f>
        <v>6.6707999999999998</v>
      </c>
      <c r="O362" s="11">
        <f>6.674 * CHOOSE(CONTROL!$C$32, $C$9, 100%, $E$9)</f>
        <v>6.6740000000000004</v>
      </c>
    </row>
    <row r="363" spans="1:15" ht="15" x14ac:dyDescent="0.2">
      <c r="A363" s="13">
        <v>51898</v>
      </c>
      <c r="B363" s="9">
        <f>5.5115 * CHOOSE(CONTROL!$C$32, $C$9, 100%, $E$9)</f>
        <v>5.5114999999999998</v>
      </c>
      <c r="C363" s="9">
        <f>5.5115 * CHOOSE(CONTROL!$C$32, $C$9, 100%, $E$9)</f>
        <v>5.5114999999999998</v>
      </c>
      <c r="D363" s="9">
        <f>5.5124 * CHOOSE(CONTROL!$C$32, $C$9, 100%, $E$9)</f>
        <v>5.5124000000000004</v>
      </c>
      <c r="E363" s="11">
        <f>6.5461 * CHOOSE(CONTROL!$C$32, $C$9, 100%, $E$9)</f>
        <v>6.5461</v>
      </c>
      <c r="F363" s="11">
        <f>6.5461 * CHOOSE(CONTROL!$C$32, $C$9, 100%, $E$9)</f>
        <v>6.5461</v>
      </c>
      <c r="G363" s="11">
        <f>6.5493 * CHOOSE(CONTROL!$C$32, $C$9, 100%, $E$9)</f>
        <v>6.5492999999999997</v>
      </c>
      <c r="H363" s="11">
        <f>11.9265 * CHOOSE(CONTROL!$C$32, $C$9, 100%, $E$9)</f>
        <v>11.926500000000001</v>
      </c>
      <c r="I363" s="11">
        <f>11.9298 * CHOOSE(CONTROL!$C$32, $C$9, 100%, $E$9)</f>
        <v>11.9298</v>
      </c>
      <c r="J363" s="11">
        <f>11.9265 * CHOOSE(CONTROL!$C$32, $C$9, 100%, $E$9)</f>
        <v>11.926500000000001</v>
      </c>
      <c r="K363" s="11">
        <f>11.9298 * CHOOSE(CONTROL!$C$32, $C$9, 100%, $E$9)</f>
        <v>11.9298</v>
      </c>
      <c r="L363" s="11">
        <f>6.5461 * CHOOSE(CONTROL!$C$32, $C$9, 100%, $E$9)</f>
        <v>6.5461</v>
      </c>
      <c r="M363" s="11">
        <f>6.5493 * CHOOSE(CONTROL!$C$32, $C$9, 100%, $E$9)</f>
        <v>6.5492999999999997</v>
      </c>
      <c r="N363" s="11">
        <f>6.5461 * CHOOSE(CONTROL!$C$32, $C$9, 100%, $E$9)</f>
        <v>6.5461</v>
      </c>
      <c r="O363" s="11">
        <f>6.5493 * CHOOSE(CONTROL!$C$32, $C$9, 100%, $E$9)</f>
        <v>6.5492999999999997</v>
      </c>
    </row>
    <row r="364" spans="1:15" ht="15" x14ac:dyDescent="0.2">
      <c r="A364" s="13">
        <v>51926</v>
      </c>
      <c r="B364" s="9">
        <f>5.5084 * CHOOSE(CONTROL!$C$32, $C$9, 100%, $E$9)</f>
        <v>5.5084</v>
      </c>
      <c r="C364" s="9">
        <f>5.5084 * CHOOSE(CONTROL!$C$32, $C$9, 100%, $E$9)</f>
        <v>5.5084</v>
      </c>
      <c r="D364" s="9">
        <f>5.5094 * CHOOSE(CONTROL!$C$32, $C$9, 100%, $E$9)</f>
        <v>5.5094000000000003</v>
      </c>
      <c r="E364" s="11">
        <f>6.6406 * CHOOSE(CONTROL!$C$32, $C$9, 100%, $E$9)</f>
        <v>6.6406000000000001</v>
      </c>
      <c r="F364" s="11">
        <f>6.6406 * CHOOSE(CONTROL!$C$32, $C$9, 100%, $E$9)</f>
        <v>6.6406000000000001</v>
      </c>
      <c r="G364" s="11">
        <f>6.6438 * CHOOSE(CONTROL!$C$32, $C$9, 100%, $E$9)</f>
        <v>6.6437999999999997</v>
      </c>
      <c r="H364" s="11">
        <f>11.9514 * CHOOSE(CONTROL!$C$32, $C$9, 100%, $E$9)</f>
        <v>11.9514</v>
      </c>
      <c r="I364" s="11">
        <f>11.9546 * CHOOSE(CONTROL!$C$32, $C$9, 100%, $E$9)</f>
        <v>11.954599999999999</v>
      </c>
      <c r="J364" s="11">
        <f>11.9514 * CHOOSE(CONTROL!$C$32, $C$9, 100%, $E$9)</f>
        <v>11.9514</v>
      </c>
      <c r="K364" s="11">
        <f>11.9546 * CHOOSE(CONTROL!$C$32, $C$9, 100%, $E$9)</f>
        <v>11.954599999999999</v>
      </c>
      <c r="L364" s="11">
        <f>6.6406 * CHOOSE(CONTROL!$C$32, $C$9, 100%, $E$9)</f>
        <v>6.6406000000000001</v>
      </c>
      <c r="M364" s="11">
        <f>6.6438 * CHOOSE(CONTROL!$C$32, $C$9, 100%, $E$9)</f>
        <v>6.6437999999999997</v>
      </c>
      <c r="N364" s="11">
        <f>6.6406 * CHOOSE(CONTROL!$C$32, $C$9, 100%, $E$9)</f>
        <v>6.6406000000000001</v>
      </c>
      <c r="O364" s="11">
        <f>6.6438 * CHOOSE(CONTROL!$C$32, $C$9, 100%, $E$9)</f>
        <v>6.6437999999999997</v>
      </c>
    </row>
    <row r="365" spans="1:15" ht="15" x14ac:dyDescent="0.2">
      <c r="A365" s="13">
        <v>51957</v>
      </c>
      <c r="B365" s="9">
        <f>5.5075 * CHOOSE(CONTROL!$C$32, $C$9, 100%, $E$9)</f>
        <v>5.5075000000000003</v>
      </c>
      <c r="C365" s="9">
        <f>5.5075 * CHOOSE(CONTROL!$C$32, $C$9, 100%, $E$9)</f>
        <v>5.5075000000000003</v>
      </c>
      <c r="D365" s="9">
        <f>5.5085 * CHOOSE(CONTROL!$C$32, $C$9, 100%, $E$9)</f>
        <v>5.5084999999999997</v>
      </c>
      <c r="E365" s="11">
        <f>6.7402 * CHOOSE(CONTROL!$C$32, $C$9, 100%, $E$9)</f>
        <v>6.7401999999999997</v>
      </c>
      <c r="F365" s="11">
        <f>6.7402 * CHOOSE(CONTROL!$C$32, $C$9, 100%, $E$9)</f>
        <v>6.7401999999999997</v>
      </c>
      <c r="G365" s="11">
        <f>6.7434 * CHOOSE(CONTROL!$C$32, $C$9, 100%, $E$9)</f>
        <v>6.7434000000000003</v>
      </c>
      <c r="H365" s="11">
        <f>11.9763 * CHOOSE(CONTROL!$C$32, $C$9, 100%, $E$9)</f>
        <v>11.9763</v>
      </c>
      <c r="I365" s="11">
        <f>11.9795 * CHOOSE(CONTROL!$C$32, $C$9, 100%, $E$9)</f>
        <v>11.9795</v>
      </c>
      <c r="J365" s="11">
        <f>11.9763 * CHOOSE(CONTROL!$C$32, $C$9, 100%, $E$9)</f>
        <v>11.9763</v>
      </c>
      <c r="K365" s="11">
        <f>11.9795 * CHOOSE(CONTROL!$C$32, $C$9, 100%, $E$9)</f>
        <v>11.9795</v>
      </c>
      <c r="L365" s="11">
        <f>6.7402 * CHOOSE(CONTROL!$C$32, $C$9, 100%, $E$9)</f>
        <v>6.7401999999999997</v>
      </c>
      <c r="M365" s="11">
        <f>6.7434 * CHOOSE(CONTROL!$C$32, $C$9, 100%, $E$9)</f>
        <v>6.7434000000000003</v>
      </c>
      <c r="N365" s="11">
        <f>6.7402 * CHOOSE(CONTROL!$C$32, $C$9, 100%, $E$9)</f>
        <v>6.7401999999999997</v>
      </c>
      <c r="O365" s="11">
        <f>6.7434 * CHOOSE(CONTROL!$C$32, $C$9, 100%, $E$9)</f>
        <v>6.7434000000000003</v>
      </c>
    </row>
    <row r="366" spans="1:15" ht="15" x14ac:dyDescent="0.2">
      <c r="A366" s="13">
        <v>51987</v>
      </c>
      <c r="B366" s="9">
        <f>5.5075 * CHOOSE(CONTROL!$C$32, $C$9, 100%, $E$9)</f>
        <v>5.5075000000000003</v>
      </c>
      <c r="C366" s="9">
        <f>5.5075 * CHOOSE(CONTROL!$C$32, $C$9, 100%, $E$9)</f>
        <v>5.5075000000000003</v>
      </c>
      <c r="D366" s="9">
        <f>5.5088 * CHOOSE(CONTROL!$C$32, $C$9, 100%, $E$9)</f>
        <v>5.5087999999999999</v>
      </c>
      <c r="E366" s="11">
        <f>6.7791 * CHOOSE(CONTROL!$C$32, $C$9, 100%, $E$9)</f>
        <v>6.7790999999999997</v>
      </c>
      <c r="F366" s="11">
        <f>6.7791 * CHOOSE(CONTROL!$C$32, $C$9, 100%, $E$9)</f>
        <v>6.7790999999999997</v>
      </c>
      <c r="G366" s="11">
        <f>6.7833 * CHOOSE(CONTROL!$C$32, $C$9, 100%, $E$9)</f>
        <v>6.7832999999999997</v>
      </c>
      <c r="H366" s="11">
        <f>12.0012 * CHOOSE(CONTROL!$C$32, $C$9, 100%, $E$9)</f>
        <v>12.001200000000001</v>
      </c>
      <c r="I366" s="11">
        <f>12.0054 * CHOOSE(CONTROL!$C$32, $C$9, 100%, $E$9)</f>
        <v>12.0054</v>
      </c>
      <c r="J366" s="11">
        <f>12.0012 * CHOOSE(CONTROL!$C$32, $C$9, 100%, $E$9)</f>
        <v>12.001200000000001</v>
      </c>
      <c r="K366" s="11">
        <f>12.0054 * CHOOSE(CONTROL!$C$32, $C$9, 100%, $E$9)</f>
        <v>12.0054</v>
      </c>
      <c r="L366" s="11">
        <f>6.7791 * CHOOSE(CONTROL!$C$32, $C$9, 100%, $E$9)</f>
        <v>6.7790999999999997</v>
      </c>
      <c r="M366" s="11">
        <f>6.7833 * CHOOSE(CONTROL!$C$32, $C$9, 100%, $E$9)</f>
        <v>6.7832999999999997</v>
      </c>
      <c r="N366" s="11">
        <f>6.7791 * CHOOSE(CONTROL!$C$32, $C$9, 100%, $E$9)</f>
        <v>6.7790999999999997</v>
      </c>
      <c r="O366" s="11">
        <f>6.7833 * CHOOSE(CONTROL!$C$32, $C$9, 100%, $E$9)</f>
        <v>6.7832999999999997</v>
      </c>
    </row>
    <row r="367" spans="1:15" ht="15" x14ac:dyDescent="0.2">
      <c r="A367" s="13">
        <v>52018</v>
      </c>
      <c r="B367" s="9">
        <f>5.5136 * CHOOSE(CONTROL!$C$32, $C$9, 100%, $E$9)</f>
        <v>5.5136000000000003</v>
      </c>
      <c r="C367" s="9">
        <f>5.5136 * CHOOSE(CONTROL!$C$32, $C$9, 100%, $E$9)</f>
        <v>5.5136000000000003</v>
      </c>
      <c r="D367" s="9">
        <f>5.5149 * CHOOSE(CONTROL!$C$32, $C$9, 100%, $E$9)</f>
        <v>5.5148999999999999</v>
      </c>
      <c r="E367" s="11">
        <f>6.7444 * CHOOSE(CONTROL!$C$32, $C$9, 100%, $E$9)</f>
        <v>6.7443999999999997</v>
      </c>
      <c r="F367" s="11">
        <f>6.7444 * CHOOSE(CONTROL!$C$32, $C$9, 100%, $E$9)</f>
        <v>6.7443999999999997</v>
      </c>
      <c r="G367" s="11">
        <f>6.7486 * CHOOSE(CONTROL!$C$32, $C$9, 100%, $E$9)</f>
        <v>6.7485999999999997</v>
      </c>
      <c r="H367" s="11">
        <f>12.0262 * CHOOSE(CONTROL!$C$32, $C$9, 100%, $E$9)</f>
        <v>12.026199999999999</v>
      </c>
      <c r="I367" s="11">
        <f>12.0304 * CHOOSE(CONTROL!$C$32, $C$9, 100%, $E$9)</f>
        <v>12.0304</v>
      </c>
      <c r="J367" s="11">
        <f>12.0262 * CHOOSE(CONTROL!$C$32, $C$9, 100%, $E$9)</f>
        <v>12.026199999999999</v>
      </c>
      <c r="K367" s="11">
        <f>12.0304 * CHOOSE(CONTROL!$C$32, $C$9, 100%, $E$9)</f>
        <v>12.0304</v>
      </c>
      <c r="L367" s="11">
        <f>6.7444 * CHOOSE(CONTROL!$C$32, $C$9, 100%, $E$9)</f>
        <v>6.7443999999999997</v>
      </c>
      <c r="M367" s="11">
        <f>6.7486 * CHOOSE(CONTROL!$C$32, $C$9, 100%, $E$9)</f>
        <v>6.7485999999999997</v>
      </c>
      <c r="N367" s="11">
        <f>6.7444 * CHOOSE(CONTROL!$C$32, $C$9, 100%, $E$9)</f>
        <v>6.7443999999999997</v>
      </c>
      <c r="O367" s="11">
        <f>6.7486 * CHOOSE(CONTROL!$C$32, $C$9, 100%, $E$9)</f>
        <v>6.7485999999999997</v>
      </c>
    </row>
    <row r="368" spans="1:15" ht="15" x14ac:dyDescent="0.2">
      <c r="A368" s="13">
        <v>52048</v>
      </c>
      <c r="B368" s="9">
        <f>5.5892 * CHOOSE(CONTROL!$C$32, $C$9, 100%, $E$9)</f>
        <v>5.5891999999999999</v>
      </c>
      <c r="C368" s="9">
        <f>5.5892 * CHOOSE(CONTROL!$C$32, $C$9, 100%, $E$9)</f>
        <v>5.5891999999999999</v>
      </c>
      <c r="D368" s="9">
        <f>5.5904 * CHOOSE(CONTROL!$C$32, $C$9, 100%, $E$9)</f>
        <v>5.5903999999999998</v>
      </c>
      <c r="E368" s="11">
        <f>6.7633 * CHOOSE(CONTROL!$C$32, $C$9, 100%, $E$9)</f>
        <v>6.7633000000000001</v>
      </c>
      <c r="F368" s="11">
        <f>6.7633 * CHOOSE(CONTROL!$C$32, $C$9, 100%, $E$9)</f>
        <v>6.7633000000000001</v>
      </c>
      <c r="G368" s="11">
        <f>6.7675 * CHOOSE(CONTROL!$C$32, $C$9, 100%, $E$9)</f>
        <v>6.7675000000000001</v>
      </c>
      <c r="H368" s="11">
        <f>12.0513 * CHOOSE(CONTROL!$C$32, $C$9, 100%, $E$9)</f>
        <v>12.051299999999999</v>
      </c>
      <c r="I368" s="11">
        <f>12.0555 * CHOOSE(CONTROL!$C$32, $C$9, 100%, $E$9)</f>
        <v>12.0555</v>
      </c>
      <c r="J368" s="11">
        <f>12.0513 * CHOOSE(CONTROL!$C$32, $C$9, 100%, $E$9)</f>
        <v>12.051299999999999</v>
      </c>
      <c r="K368" s="11">
        <f>12.0555 * CHOOSE(CONTROL!$C$32, $C$9, 100%, $E$9)</f>
        <v>12.0555</v>
      </c>
      <c r="L368" s="11">
        <f>6.7633 * CHOOSE(CONTROL!$C$32, $C$9, 100%, $E$9)</f>
        <v>6.7633000000000001</v>
      </c>
      <c r="M368" s="11">
        <f>6.7675 * CHOOSE(CONTROL!$C$32, $C$9, 100%, $E$9)</f>
        <v>6.7675000000000001</v>
      </c>
      <c r="N368" s="11">
        <f>6.7633 * CHOOSE(CONTROL!$C$32, $C$9, 100%, $E$9)</f>
        <v>6.7633000000000001</v>
      </c>
      <c r="O368" s="11">
        <f>6.7675 * CHOOSE(CONTROL!$C$32, $C$9, 100%, $E$9)</f>
        <v>6.7675000000000001</v>
      </c>
    </row>
    <row r="369" spans="1:15" ht="15" x14ac:dyDescent="0.2">
      <c r="A369" s="13">
        <v>52079</v>
      </c>
      <c r="B369" s="9">
        <f>5.5958 * CHOOSE(CONTROL!$C$32, $C$9, 100%, $E$9)</f>
        <v>5.5957999999999997</v>
      </c>
      <c r="C369" s="9">
        <f>5.5958 * CHOOSE(CONTROL!$C$32, $C$9, 100%, $E$9)</f>
        <v>5.5957999999999997</v>
      </c>
      <c r="D369" s="9">
        <f>5.5971 * CHOOSE(CONTROL!$C$32, $C$9, 100%, $E$9)</f>
        <v>5.5971000000000002</v>
      </c>
      <c r="E369" s="11">
        <f>6.6512 * CHOOSE(CONTROL!$C$32, $C$9, 100%, $E$9)</f>
        <v>6.6512000000000002</v>
      </c>
      <c r="F369" s="11">
        <f>6.6512 * CHOOSE(CONTROL!$C$32, $C$9, 100%, $E$9)</f>
        <v>6.6512000000000002</v>
      </c>
      <c r="G369" s="11">
        <f>6.6554 * CHOOSE(CONTROL!$C$32, $C$9, 100%, $E$9)</f>
        <v>6.6554000000000002</v>
      </c>
      <c r="H369" s="11">
        <f>12.0764 * CHOOSE(CONTROL!$C$32, $C$9, 100%, $E$9)</f>
        <v>12.0764</v>
      </c>
      <c r="I369" s="11">
        <f>12.0806 * CHOOSE(CONTROL!$C$32, $C$9, 100%, $E$9)</f>
        <v>12.0806</v>
      </c>
      <c r="J369" s="11">
        <f>12.0764 * CHOOSE(CONTROL!$C$32, $C$9, 100%, $E$9)</f>
        <v>12.0764</v>
      </c>
      <c r="K369" s="11">
        <f>12.0806 * CHOOSE(CONTROL!$C$32, $C$9, 100%, $E$9)</f>
        <v>12.0806</v>
      </c>
      <c r="L369" s="11">
        <f>6.6512 * CHOOSE(CONTROL!$C$32, $C$9, 100%, $E$9)</f>
        <v>6.6512000000000002</v>
      </c>
      <c r="M369" s="11">
        <f>6.6554 * CHOOSE(CONTROL!$C$32, $C$9, 100%, $E$9)</f>
        <v>6.6554000000000002</v>
      </c>
      <c r="N369" s="11">
        <f>6.6512 * CHOOSE(CONTROL!$C$32, $C$9, 100%, $E$9)</f>
        <v>6.6512000000000002</v>
      </c>
      <c r="O369" s="11">
        <f>6.6554 * CHOOSE(CONTROL!$C$32, $C$9, 100%, $E$9)</f>
        <v>6.6554000000000002</v>
      </c>
    </row>
    <row r="370" spans="1:15" ht="15" x14ac:dyDescent="0.2">
      <c r="A370" s="13">
        <v>52110</v>
      </c>
      <c r="B370" s="9">
        <f>5.5928 * CHOOSE(CONTROL!$C$32, $C$9, 100%, $E$9)</f>
        <v>5.5928000000000004</v>
      </c>
      <c r="C370" s="9">
        <f>5.5928 * CHOOSE(CONTROL!$C$32, $C$9, 100%, $E$9)</f>
        <v>5.5928000000000004</v>
      </c>
      <c r="D370" s="9">
        <f>5.5941 * CHOOSE(CONTROL!$C$32, $C$9, 100%, $E$9)</f>
        <v>5.5941000000000001</v>
      </c>
      <c r="E370" s="11">
        <f>6.6361 * CHOOSE(CONTROL!$C$32, $C$9, 100%, $E$9)</f>
        <v>6.6360999999999999</v>
      </c>
      <c r="F370" s="11">
        <f>6.6361 * CHOOSE(CONTROL!$C$32, $C$9, 100%, $E$9)</f>
        <v>6.6360999999999999</v>
      </c>
      <c r="G370" s="11">
        <f>6.6403 * CHOOSE(CONTROL!$C$32, $C$9, 100%, $E$9)</f>
        <v>6.6402999999999999</v>
      </c>
      <c r="H370" s="11">
        <f>12.1016 * CHOOSE(CONTROL!$C$32, $C$9, 100%, $E$9)</f>
        <v>12.101599999999999</v>
      </c>
      <c r="I370" s="11">
        <f>12.1058 * CHOOSE(CONTROL!$C$32, $C$9, 100%, $E$9)</f>
        <v>12.1058</v>
      </c>
      <c r="J370" s="11">
        <f>12.1016 * CHOOSE(CONTROL!$C$32, $C$9, 100%, $E$9)</f>
        <v>12.101599999999999</v>
      </c>
      <c r="K370" s="11">
        <f>12.1058 * CHOOSE(CONTROL!$C$32, $C$9, 100%, $E$9)</f>
        <v>12.1058</v>
      </c>
      <c r="L370" s="11">
        <f>6.6361 * CHOOSE(CONTROL!$C$32, $C$9, 100%, $E$9)</f>
        <v>6.6360999999999999</v>
      </c>
      <c r="M370" s="11">
        <f>6.6403 * CHOOSE(CONTROL!$C$32, $C$9, 100%, $E$9)</f>
        <v>6.6402999999999999</v>
      </c>
      <c r="N370" s="11">
        <f>6.6361 * CHOOSE(CONTROL!$C$32, $C$9, 100%, $E$9)</f>
        <v>6.6360999999999999</v>
      </c>
      <c r="O370" s="11">
        <f>6.6403 * CHOOSE(CONTROL!$C$32, $C$9, 100%, $E$9)</f>
        <v>6.6402999999999999</v>
      </c>
    </row>
    <row r="371" spans="1:15" ht="15" x14ac:dyDescent="0.2">
      <c r="A371" s="13">
        <v>52140</v>
      </c>
      <c r="B371" s="9">
        <f>5.5938 * CHOOSE(CONTROL!$C$32, $C$9, 100%, $E$9)</f>
        <v>5.5937999999999999</v>
      </c>
      <c r="C371" s="9">
        <f>5.5938 * CHOOSE(CONTROL!$C$32, $C$9, 100%, $E$9)</f>
        <v>5.5937999999999999</v>
      </c>
      <c r="D371" s="9">
        <f>5.5947 * CHOOSE(CONTROL!$C$32, $C$9, 100%, $E$9)</f>
        <v>5.5946999999999996</v>
      </c>
      <c r="E371" s="11">
        <f>6.6746 * CHOOSE(CONTROL!$C$32, $C$9, 100%, $E$9)</f>
        <v>6.6745999999999999</v>
      </c>
      <c r="F371" s="11">
        <f>6.6746 * CHOOSE(CONTROL!$C$32, $C$9, 100%, $E$9)</f>
        <v>6.6745999999999999</v>
      </c>
      <c r="G371" s="11">
        <f>6.6778 * CHOOSE(CONTROL!$C$32, $C$9, 100%, $E$9)</f>
        <v>6.6778000000000004</v>
      </c>
      <c r="H371" s="11">
        <f>12.1268 * CHOOSE(CONTROL!$C$32, $C$9, 100%, $E$9)</f>
        <v>12.126799999999999</v>
      </c>
      <c r="I371" s="11">
        <f>12.13 * CHOOSE(CONTROL!$C$32, $C$9, 100%, $E$9)</f>
        <v>12.13</v>
      </c>
      <c r="J371" s="11">
        <f>12.1268 * CHOOSE(CONTROL!$C$32, $C$9, 100%, $E$9)</f>
        <v>12.126799999999999</v>
      </c>
      <c r="K371" s="11">
        <f>12.13 * CHOOSE(CONTROL!$C$32, $C$9, 100%, $E$9)</f>
        <v>12.13</v>
      </c>
      <c r="L371" s="11">
        <f>6.6746 * CHOOSE(CONTROL!$C$32, $C$9, 100%, $E$9)</f>
        <v>6.6745999999999999</v>
      </c>
      <c r="M371" s="11">
        <f>6.6778 * CHOOSE(CONTROL!$C$32, $C$9, 100%, $E$9)</f>
        <v>6.6778000000000004</v>
      </c>
      <c r="N371" s="11">
        <f>6.6746 * CHOOSE(CONTROL!$C$32, $C$9, 100%, $E$9)</f>
        <v>6.6745999999999999</v>
      </c>
      <c r="O371" s="11">
        <f>6.6778 * CHOOSE(CONTROL!$C$32, $C$9, 100%, $E$9)</f>
        <v>6.6778000000000004</v>
      </c>
    </row>
    <row r="372" spans="1:15" ht="15" x14ac:dyDescent="0.2">
      <c r="A372" s="13">
        <v>52171</v>
      </c>
      <c r="B372" s="9">
        <f>5.5968 * CHOOSE(CONTROL!$C$32, $C$9, 100%, $E$9)</f>
        <v>5.5968</v>
      </c>
      <c r="C372" s="9">
        <f>5.5968 * CHOOSE(CONTROL!$C$32, $C$9, 100%, $E$9)</f>
        <v>5.5968</v>
      </c>
      <c r="D372" s="9">
        <f>5.5978 * CHOOSE(CONTROL!$C$32, $C$9, 100%, $E$9)</f>
        <v>5.5978000000000003</v>
      </c>
      <c r="E372" s="11">
        <f>6.7026 * CHOOSE(CONTROL!$C$32, $C$9, 100%, $E$9)</f>
        <v>6.7026000000000003</v>
      </c>
      <c r="F372" s="11">
        <f>6.7026 * CHOOSE(CONTROL!$C$32, $C$9, 100%, $E$9)</f>
        <v>6.7026000000000003</v>
      </c>
      <c r="G372" s="11">
        <f>6.7059 * CHOOSE(CONTROL!$C$32, $C$9, 100%, $E$9)</f>
        <v>6.7058999999999997</v>
      </c>
      <c r="H372" s="11">
        <f>12.152 * CHOOSE(CONTROL!$C$32, $C$9, 100%, $E$9)</f>
        <v>12.151999999999999</v>
      </c>
      <c r="I372" s="11">
        <f>12.1553 * CHOOSE(CONTROL!$C$32, $C$9, 100%, $E$9)</f>
        <v>12.1553</v>
      </c>
      <c r="J372" s="11">
        <f>12.152 * CHOOSE(CONTROL!$C$32, $C$9, 100%, $E$9)</f>
        <v>12.151999999999999</v>
      </c>
      <c r="K372" s="11">
        <f>12.1553 * CHOOSE(CONTROL!$C$32, $C$9, 100%, $E$9)</f>
        <v>12.1553</v>
      </c>
      <c r="L372" s="11">
        <f>6.7026 * CHOOSE(CONTROL!$C$32, $C$9, 100%, $E$9)</f>
        <v>6.7026000000000003</v>
      </c>
      <c r="M372" s="11">
        <f>6.7059 * CHOOSE(CONTROL!$C$32, $C$9, 100%, $E$9)</f>
        <v>6.7058999999999997</v>
      </c>
      <c r="N372" s="11">
        <f>6.7026 * CHOOSE(CONTROL!$C$32, $C$9, 100%, $E$9)</f>
        <v>6.7026000000000003</v>
      </c>
      <c r="O372" s="11">
        <f>6.7059 * CHOOSE(CONTROL!$C$32, $C$9, 100%, $E$9)</f>
        <v>6.7058999999999997</v>
      </c>
    </row>
    <row r="373" spans="1:15" ht="15" x14ac:dyDescent="0.2">
      <c r="A373" s="13">
        <v>52201</v>
      </c>
      <c r="B373" s="9">
        <f>5.5968 * CHOOSE(CONTROL!$C$32, $C$9, 100%, $E$9)</f>
        <v>5.5968</v>
      </c>
      <c r="C373" s="9">
        <f>5.5968 * CHOOSE(CONTROL!$C$32, $C$9, 100%, $E$9)</f>
        <v>5.5968</v>
      </c>
      <c r="D373" s="9">
        <f>5.5978 * CHOOSE(CONTROL!$C$32, $C$9, 100%, $E$9)</f>
        <v>5.5978000000000003</v>
      </c>
      <c r="E373" s="11">
        <f>6.6378 * CHOOSE(CONTROL!$C$32, $C$9, 100%, $E$9)</f>
        <v>6.6378000000000004</v>
      </c>
      <c r="F373" s="11">
        <f>6.6378 * CHOOSE(CONTROL!$C$32, $C$9, 100%, $E$9)</f>
        <v>6.6378000000000004</v>
      </c>
      <c r="G373" s="11">
        <f>6.641 * CHOOSE(CONTROL!$C$32, $C$9, 100%, $E$9)</f>
        <v>6.641</v>
      </c>
      <c r="H373" s="11">
        <f>12.1774 * CHOOSE(CONTROL!$C$32, $C$9, 100%, $E$9)</f>
        <v>12.1774</v>
      </c>
      <c r="I373" s="11">
        <f>12.1806 * CHOOSE(CONTROL!$C$32, $C$9, 100%, $E$9)</f>
        <v>12.1806</v>
      </c>
      <c r="J373" s="11">
        <f>12.1774 * CHOOSE(CONTROL!$C$32, $C$9, 100%, $E$9)</f>
        <v>12.1774</v>
      </c>
      <c r="K373" s="11">
        <f>12.1806 * CHOOSE(CONTROL!$C$32, $C$9, 100%, $E$9)</f>
        <v>12.1806</v>
      </c>
      <c r="L373" s="11">
        <f>6.6378 * CHOOSE(CONTROL!$C$32, $C$9, 100%, $E$9)</f>
        <v>6.6378000000000004</v>
      </c>
      <c r="M373" s="11">
        <f>6.641 * CHOOSE(CONTROL!$C$32, $C$9, 100%, $E$9)</f>
        <v>6.641</v>
      </c>
      <c r="N373" s="11">
        <f>6.6378 * CHOOSE(CONTROL!$C$32, $C$9, 100%, $E$9)</f>
        <v>6.6378000000000004</v>
      </c>
      <c r="O373" s="11">
        <f>6.641 * CHOOSE(CONTROL!$C$32, $C$9, 100%, $E$9)</f>
        <v>6.641</v>
      </c>
    </row>
    <row r="374" spans="1:15" ht="15" x14ac:dyDescent="0.2">
      <c r="A374" s="13">
        <v>52232</v>
      </c>
      <c r="B374" s="9">
        <f>5.6399 * CHOOSE(CONTROL!$C$32, $C$9, 100%, $E$9)</f>
        <v>5.6398999999999999</v>
      </c>
      <c r="C374" s="9">
        <f>5.6399 * CHOOSE(CONTROL!$C$32, $C$9, 100%, $E$9)</f>
        <v>5.6398999999999999</v>
      </c>
      <c r="D374" s="9">
        <f>5.6408 * CHOOSE(CONTROL!$C$32, $C$9, 100%, $E$9)</f>
        <v>5.6407999999999996</v>
      </c>
      <c r="E374" s="11">
        <f>6.7096 * CHOOSE(CONTROL!$C$32, $C$9, 100%, $E$9)</f>
        <v>6.7096</v>
      </c>
      <c r="F374" s="11">
        <f>6.7096 * CHOOSE(CONTROL!$C$32, $C$9, 100%, $E$9)</f>
        <v>6.7096</v>
      </c>
      <c r="G374" s="11">
        <f>6.7129 * CHOOSE(CONTROL!$C$32, $C$9, 100%, $E$9)</f>
        <v>6.7129000000000003</v>
      </c>
      <c r="H374" s="11">
        <f>12.2027 * CHOOSE(CONTROL!$C$32, $C$9, 100%, $E$9)</f>
        <v>12.2027</v>
      </c>
      <c r="I374" s="11">
        <f>12.206 * CHOOSE(CONTROL!$C$32, $C$9, 100%, $E$9)</f>
        <v>12.206</v>
      </c>
      <c r="J374" s="11">
        <f>12.2027 * CHOOSE(CONTROL!$C$32, $C$9, 100%, $E$9)</f>
        <v>12.2027</v>
      </c>
      <c r="K374" s="11">
        <f>12.206 * CHOOSE(CONTROL!$C$32, $C$9, 100%, $E$9)</f>
        <v>12.206</v>
      </c>
      <c r="L374" s="11">
        <f>6.7096 * CHOOSE(CONTROL!$C$32, $C$9, 100%, $E$9)</f>
        <v>6.7096</v>
      </c>
      <c r="M374" s="11">
        <f>6.7129 * CHOOSE(CONTROL!$C$32, $C$9, 100%, $E$9)</f>
        <v>6.7129000000000003</v>
      </c>
      <c r="N374" s="11">
        <f>6.7096 * CHOOSE(CONTROL!$C$32, $C$9, 100%, $E$9)</f>
        <v>6.7096</v>
      </c>
      <c r="O374" s="11">
        <f>6.7129 * CHOOSE(CONTROL!$C$32, $C$9, 100%, $E$9)</f>
        <v>6.7129000000000003</v>
      </c>
    </row>
    <row r="375" spans="1:15" ht="15" x14ac:dyDescent="0.2">
      <c r="A375" s="13">
        <v>52263</v>
      </c>
      <c r="B375" s="9">
        <f>5.6368 * CHOOSE(CONTROL!$C$32, $C$9, 100%, $E$9)</f>
        <v>5.6368</v>
      </c>
      <c r="C375" s="9">
        <f>5.6368 * CHOOSE(CONTROL!$C$32, $C$9, 100%, $E$9)</f>
        <v>5.6368</v>
      </c>
      <c r="D375" s="9">
        <f>5.6378 * CHOOSE(CONTROL!$C$32, $C$9, 100%, $E$9)</f>
        <v>5.6378000000000004</v>
      </c>
      <c r="E375" s="11">
        <f>6.5809 * CHOOSE(CONTROL!$C$32, $C$9, 100%, $E$9)</f>
        <v>6.5808999999999997</v>
      </c>
      <c r="F375" s="11">
        <f>6.5809 * CHOOSE(CONTROL!$C$32, $C$9, 100%, $E$9)</f>
        <v>6.5808999999999997</v>
      </c>
      <c r="G375" s="11">
        <f>6.5841 * CHOOSE(CONTROL!$C$32, $C$9, 100%, $E$9)</f>
        <v>6.5841000000000003</v>
      </c>
      <c r="H375" s="11">
        <f>12.2281 * CHOOSE(CONTROL!$C$32, $C$9, 100%, $E$9)</f>
        <v>12.2281</v>
      </c>
      <c r="I375" s="11">
        <f>12.2314 * CHOOSE(CONTROL!$C$32, $C$9, 100%, $E$9)</f>
        <v>12.231400000000001</v>
      </c>
      <c r="J375" s="11">
        <f>12.2281 * CHOOSE(CONTROL!$C$32, $C$9, 100%, $E$9)</f>
        <v>12.2281</v>
      </c>
      <c r="K375" s="11">
        <f>12.2314 * CHOOSE(CONTROL!$C$32, $C$9, 100%, $E$9)</f>
        <v>12.231400000000001</v>
      </c>
      <c r="L375" s="11">
        <f>6.5809 * CHOOSE(CONTROL!$C$32, $C$9, 100%, $E$9)</f>
        <v>6.5808999999999997</v>
      </c>
      <c r="M375" s="11">
        <f>6.5841 * CHOOSE(CONTROL!$C$32, $C$9, 100%, $E$9)</f>
        <v>6.5841000000000003</v>
      </c>
      <c r="N375" s="11">
        <f>6.5809 * CHOOSE(CONTROL!$C$32, $C$9, 100%, $E$9)</f>
        <v>6.5808999999999997</v>
      </c>
      <c r="O375" s="11">
        <f>6.5841 * CHOOSE(CONTROL!$C$32, $C$9, 100%, $E$9)</f>
        <v>6.5841000000000003</v>
      </c>
    </row>
    <row r="376" spans="1:15" ht="15" x14ac:dyDescent="0.2">
      <c r="A376" s="13">
        <v>52291</v>
      </c>
      <c r="B376" s="9">
        <f>5.6338 * CHOOSE(CONTROL!$C$32, $C$9, 100%, $E$9)</f>
        <v>5.6337999999999999</v>
      </c>
      <c r="C376" s="9">
        <f>5.6338 * CHOOSE(CONTROL!$C$32, $C$9, 100%, $E$9)</f>
        <v>5.6337999999999999</v>
      </c>
      <c r="D376" s="9">
        <f>5.6347 * CHOOSE(CONTROL!$C$32, $C$9, 100%, $E$9)</f>
        <v>5.6346999999999996</v>
      </c>
      <c r="E376" s="11">
        <f>6.6786 * CHOOSE(CONTROL!$C$32, $C$9, 100%, $E$9)</f>
        <v>6.6786000000000003</v>
      </c>
      <c r="F376" s="11">
        <f>6.6786 * CHOOSE(CONTROL!$C$32, $C$9, 100%, $E$9)</f>
        <v>6.6786000000000003</v>
      </c>
      <c r="G376" s="11">
        <f>6.6818 * CHOOSE(CONTROL!$C$32, $C$9, 100%, $E$9)</f>
        <v>6.6818</v>
      </c>
      <c r="H376" s="11">
        <f>12.2536 * CHOOSE(CONTROL!$C$32, $C$9, 100%, $E$9)</f>
        <v>12.2536</v>
      </c>
      <c r="I376" s="11">
        <f>12.2569 * CHOOSE(CONTROL!$C$32, $C$9, 100%, $E$9)</f>
        <v>12.2569</v>
      </c>
      <c r="J376" s="11">
        <f>12.2536 * CHOOSE(CONTROL!$C$32, $C$9, 100%, $E$9)</f>
        <v>12.2536</v>
      </c>
      <c r="K376" s="11">
        <f>12.2569 * CHOOSE(CONTROL!$C$32, $C$9, 100%, $E$9)</f>
        <v>12.2569</v>
      </c>
      <c r="L376" s="11">
        <f>6.6786 * CHOOSE(CONTROL!$C$32, $C$9, 100%, $E$9)</f>
        <v>6.6786000000000003</v>
      </c>
      <c r="M376" s="11">
        <f>6.6818 * CHOOSE(CONTROL!$C$32, $C$9, 100%, $E$9)</f>
        <v>6.6818</v>
      </c>
      <c r="N376" s="11">
        <f>6.6786 * CHOOSE(CONTROL!$C$32, $C$9, 100%, $E$9)</f>
        <v>6.6786000000000003</v>
      </c>
      <c r="O376" s="11">
        <f>6.6818 * CHOOSE(CONTROL!$C$32, $C$9, 100%, $E$9)</f>
        <v>6.6818</v>
      </c>
    </row>
    <row r="377" spans="1:15" ht="15" x14ac:dyDescent="0.2">
      <c r="A377" s="13">
        <v>52322</v>
      </c>
      <c r="B377" s="9">
        <f>5.633 * CHOOSE(CONTROL!$C$32, $C$9, 100%, $E$9)</f>
        <v>5.633</v>
      </c>
      <c r="C377" s="9">
        <f>5.633 * CHOOSE(CONTROL!$C$32, $C$9, 100%, $E$9)</f>
        <v>5.633</v>
      </c>
      <c r="D377" s="9">
        <f>5.634 * CHOOSE(CONTROL!$C$32, $C$9, 100%, $E$9)</f>
        <v>5.6340000000000003</v>
      </c>
      <c r="E377" s="11">
        <f>6.7815 * CHOOSE(CONTROL!$C$32, $C$9, 100%, $E$9)</f>
        <v>6.7815000000000003</v>
      </c>
      <c r="F377" s="11">
        <f>6.7815 * CHOOSE(CONTROL!$C$32, $C$9, 100%, $E$9)</f>
        <v>6.7815000000000003</v>
      </c>
      <c r="G377" s="11">
        <f>6.7848 * CHOOSE(CONTROL!$C$32, $C$9, 100%, $E$9)</f>
        <v>6.7847999999999997</v>
      </c>
      <c r="H377" s="11">
        <f>12.2792 * CHOOSE(CONTROL!$C$32, $C$9, 100%, $E$9)</f>
        <v>12.279199999999999</v>
      </c>
      <c r="I377" s="11">
        <f>12.2824 * CHOOSE(CONTROL!$C$32, $C$9, 100%, $E$9)</f>
        <v>12.282400000000001</v>
      </c>
      <c r="J377" s="11">
        <f>12.2792 * CHOOSE(CONTROL!$C$32, $C$9, 100%, $E$9)</f>
        <v>12.279199999999999</v>
      </c>
      <c r="K377" s="11">
        <f>12.2824 * CHOOSE(CONTROL!$C$32, $C$9, 100%, $E$9)</f>
        <v>12.282400000000001</v>
      </c>
      <c r="L377" s="11">
        <f>6.7815 * CHOOSE(CONTROL!$C$32, $C$9, 100%, $E$9)</f>
        <v>6.7815000000000003</v>
      </c>
      <c r="M377" s="11">
        <f>6.7848 * CHOOSE(CONTROL!$C$32, $C$9, 100%, $E$9)</f>
        <v>6.7847999999999997</v>
      </c>
      <c r="N377" s="11">
        <f>6.7815 * CHOOSE(CONTROL!$C$32, $C$9, 100%, $E$9)</f>
        <v>6.7815000000000003</v>
      </c>
      <c r="O377" s="11">
        <f>6.7848 * CHOOSE(CONTROL!$C$32, $C$9, 100%, $E$9)</f>
        <v>6.7847999999999997</v>
      </c>
    </row>
    <row r="378" spans="1:15" ht="15" x14ac:dyDescent="0.2">
      <c r="A378" s="13">
        <v>52352</v>
      </c>
      <c r="B378" s="9">
        <f>5.633 * CHOOSE(CONTROL!$C$32, $C$9, 100%, $E$9)</f>
        <v>5.633</v>
      </c>
      <c r="C378" s="9">
        <f>5.633 * CHOOSE(CONTROL!$C$32, $C$9, 100%, $E$9)</f>
        <v>5.633</v>
      </c>
      <c r="D378" s="9">
        <f>5.6343 * CHOOSE(CONTROL!$C$32, $C$9, 100%, $E$9)</f>
        <v>5.6342999999999996</v>
      </c>
      <c r="E378" s="11">
        <f>6.8217 * CHOOSE(CONTROL!$C$32, $C$9, 100%, $E$9)</f>
        <v>6.8216999999999999</v>
      </c>
      <c r="F378" s="11">
        <f>6.8217 * CHOOSE(CONTROL!$C$32, $C$9, 100%, $E$9)</f>
        <v>6.8216999999999999</v>
      </c>
      <c r="G378" s="11">
        <f>6.8259 * CHOOSE(CONTROL!$C$32, $C$9, 100%, $E$9)</f>
        <v>6.8258999999999999</v>
      </c>
      <c r="H378" s="11">
        <f>12.3047 * CHOOSE(CONTROL!$C$32, $C$9, 100%, $E$9)</f>
        <v>12.3047</v>
      </c>
      <c r="I378" s="11">
        <f>12.3089 * CHOOSE(CONTROL!$C$32, $C$9, 100%, $E$9)</f>
        <v>12.3089</v>
      </c>
      <c r="J378" s="11">
        <f>12.3047 * CHOOSE(CONTROL!$C$32, $C$9, 100%, $E$9)</f>
        <v>12.3047</v>
      </c>
      <c r="K378" s="11">
        <f>12.3089 * CHOOSE(CONTROL!$C$32, $C$9, 100%, $E$9)</f>
        <v>12.3089</v>
      </c>
      <c r="L378" s="11">
        <f>6.8217 * CHOOSE(CONTROL!$C$32, $C$9, 100%, $E$9)</f>
        <v>6.8216999999999999</v>
      </c>
      <c r="M378" s="11">
        <f>6.8259 * CHOOSE(CONTROL!$C$32, $C$9, 100%, $E$9)</f>
        <v>6.8258999999999999</v>
      </c>
      <c r="N378" s="11">
        <f>6.8217 * CHOOSE(CONTROL!$C$32, $C$9, 100%, $E$9)</f>
        <v>6.8216999999999999</v>
      </c>
      <c r="O378" s="11">
        <f>6.8259 * CHOOSE(CONTROL!$C$32, $C$9, 100%, $E$9)</f>
        <v>6.8258999999999999</v>
      </c>
    </row>
    <row r="379" spans="1:15" ht="15" x14ac:dyDescent="0.2">
      <c r="A379" s="13">
        <v>52383</v>
      </c>
      <c r="B379" s="9">
        <f>5.6391 * CHOOSE(CONTROL!$C$32, $C$9, 100%, $E$9)</f>
        <v>5.6391</v>
      </c>
      <c r="C379" s="9">
        <f>5.6391 * CHOOSE(CONTROL!$C$32, $C$9, 100%, $E$9)</f>
        <v>5.6391</v>
      </c>
      <c r="D379" s="9">
        <f>5.6403 * CHOOSE(CONTROL!$C$32, $C$9, 100%, $E$9)</f>
        <v>5.6402999999999999</v>
      </c>
      <c r="E379" s="11">
        <f>6.7858 * CHOOSE(CONTROL!$C$32, $C$9, 100%, $E$9)</f>
        <v>6.7858000000000001</v>
      </c>
      <c r="F379" s="11">
        <f>6.7858 * CHOOSE(CONTROL!$C$32, $C$9, 100%, $E$9)</f>
        <v>6.7858000000000001</v>
      </c>
      <c r="G379" s="11">
        <f>6.79 * CHOOSE(CONTROL!$C$32, $C$9, 100%, $E$9)</f>
        <v>6.79</v>
      </c>
      <c r="H379" s="11">
        <f>12.3304 * CHOOSE(CONTROL!$C$32, $C$9, 100%, $E$9)</f>
        <v>12.330399999999999</v>
      </c>
      <c r="I379" s="11">
        <f>12.3346 * CHOOSE(CONTROL!$C$32, $C$9, 100%, $E$9)</f>
        <v>12.3346</v>
      </c>
      <c r="J379" s="11">
        <f>12.3304 * CHOOSE(CONTROL!$C$32, $C$9, 100%, $E$9)</f>
        <v>12.330399999999999</v>
      </c>
      <c r="K379" s="11">
        <f>12.3346 * CHOOSE(CONTROL!$C$32, $C$9, 100%, $E$9)</f>
        <v>12.3346</v>
      </c>
      <c r="L379" s="11">
        <f>6.7858 * CHOOSE(CONTROL!$C$32, $C$9, 100%, $E$9)</f>
        <v>6.7858000000000001</v>
      </c>
      <c r="M379" s="11">
        <f>6.79 * CHOOSE(CONTROL!$C$32, $C$9, 100%, $E$9)</f>
        <v>6.79</v>
      </c>
      <c r="N379" s="11">
        <f>6.7858 * CHOOSE(CONTROL!$C$32, $C$9, 100%, $E$9)</f>
        <v>6.7858000000000001</v>
      </c>
      <c r="O379" s="11">
        <f>6.79 * CHOOSE(CONTROL!$C$32, $C$9, 100%, $E$9)</f>
        <v>6.79</v>
      </c>
    </row>
    <row r="380" spans="1:15" ht="15" x14ac:dyDescent="0.2">
      <c r="A380" s="13">
        <v>52413</v>
      </c>
      <c r="B380" s="9">
        <f>5.7154 * CHOOSE(CONTROL!$C$32, $C$9, 100%, $E$9)</f>
        <v>5.7153999999999998</v>
      </c>
      <c r="C380" s="9">
        <f>5.7154 * CHOOSE(CONTROL!$C$32, $C$9, 100%, $E$9)</f>
        <v>5.7153999999999998</v>
      </c>
      <c r="D380" s="9">
        <f>5.7166 * CHOOSE(CONTROL!$C$32, $C$9, 100%, $E$9)</f>
        <v>5.7165999999999997</v>
      </c>
      <c r="E380" s="11">
        <f>6.8109 * CHOOSE(CONTROL!$C$32, $C$9, 100%, $E$9)</f>
        <v>6.8109000000000002</v>
      </c>
      <c r="F380" s="11">
        <f>6.8109 * CHOOSE(CONTROL!$C$32, $C$9, 100%, $E$9)</f>
        <v>6.8109000000000002</v>
      </c>
      <c r="G380" s="11">
        <f>6.8151 * CHOOSE(CONTROL!$C$32, $C$9, 100%, $E$9)</f>
        <v>6.8151000000000002</v>
      </c>
      <c r="H380" s="11">
        <f>12.3561 * CHOOSE(CONTROL!$C$32, $C$9, 100%, $E$9)</f>
        <v>12.3561</v>
      </c>
      <c r="I380" s="11">
        <f>12.3603 * CHOOSE(CONTROL!$C$32, $C$9, 100%, $E$9)</f>
        <v>12.360300000000001</v>
      </c>
      <c r="J380" s="11">
        <f>12.3561 * CHOOSE(CONTROL!$C$32, $C$9, 100%, $E$9)</f>
        <v>12.3561</v>
      </c>
      <c r="K380" s="11">
        <f>12.3603 * CHOOSE(CONTROL!$C$32, $C$9, 100%, $E$9)</f>
        <v>12.360300000000001</v>
      </c>
      <c r="L380" s="11">
        <f>6.8109 * CHOOSE(CONTROL!$C$32, $C$9, 100%, $E$9)</f>
        <v>6.8109000000000002</v>
      </c>
      <c r="M380" s="11">
        <f>6.8151 * CHOOSE(CONTROL!$C$32, $C$9, 100%, $E$9)</f>
        <v>6.8151000000000002</v>
      </c>
      <c r="N380" s="11">
        <f>6.8109 * CHOOSE(CONTROL!$C$32, $C$9, 100%, $E$9)</f>
        <v>6.8109000000000002</v>
      </c>
      <c r="O380" s="11">
        <f>6.8151 * CHOOSE(CONTROL!$C$32, $C$9, 100%, $E$9)</f>
        <v>6.8151000000000002</v>
      </c>
    </row>
    <row r="381" spans="1:15" ht="15" x14ac:dyDescent="0.2">
      <c r="A381" s="13">
        <v>52444</v>
      </c>
      <c r="B381" s="9">
        <f>5.7221 * CHOOSE(CONTROL!$C$32, $C$9, 100%, $E$9)</f>
        <v>5.7221000000000002</v>
      </c>
      <c r="C381" s="9">
        <f>5.7221 * CHOOSE(CONTROL!$C$32, $C$9, 100%, $E$9)</f>
        <v>5.7221000000000002</v>
      </c>
      <c r="D381" s="9">
        <f>5.7233 * CHOOSE(CONTROL!$C$32, $C$9, 100%, $E$9)</f>
        <v>5.7233000000000001</v>
      </c>
      <c r="E381" s="11">
        <f>6.695 * CHOOSE(CONTROL!$C$32, $C$9, 100%, $E$9)</f>
        <v>6.6950000000000003</v>
      </c>
      <c r="F381" s="11">
        <f>6.695 * CHOOSE(CONTROL!$C$32, $C$9, 100%, $E$9)</f>
        <v>6.6950000000000003</v>
      </c>
      <c r="G381" s="11">
        <f>6.6992 * CHOOSE(CONTROL!$C$32, $C$9, 100%, $E$9)</f>
        <v>6.6992000000000003</v>
      </c>
      <c r="H381" s="11">
        <f>12.3818 * CHOOSE(CONTROL!$C$32, $C$9, 100%, $E$9)</f>
        <v>12.3818</v>
      </c>
      <c r="I381" s="11">
        <f>12.386 * CHOOSE(CONTROL!$C$32, $C$9, 100%, $E$9)</f>
        <v>12.385999999999999</v>
      </c>
      <c r="J381" s="11">
        <f>12.3818 * CHOOSE(CONTROL!$C$32, $C$9, 100%, $E$9)</f>
        <v>12.3818</v>
      </c>
      <c r="K381" s="11">
        <f>12.386 * CHOOSE(CONTROL!$C$32, $C$9, 100%, $E$9)</f>
        <v>12.385999999999999</v>
      </c>
      <c r="L381" s="11">
        <f>6.695 * CHOOSE(CONTROL!$C$32, $C$9, 100%, $E$9)</f>
        <v>6.6950000000000003</v>
      </c>
      <c r="M381" s="11">
        <f>6.6992 * CHOOSE(CONTROL!$C$32, $C$9, 100%, $E$9)</f>
        <v>6.6992000000000003</v>
      </c>
      <c r="N381" s="11">
        <f>6.695 * CHOOSE(CONTROL!$C$32, $C$9, 100%, $E$9)</f>
        <v>6.6950000000000003</v>
      </c>
      <c r="O381" s="11">
        <f>6.6992 * CHOOSE(CONTROL!$C$32, $C$9, 100%, $E$9)</f>
        <v>6.6992000000000003</v>
      </c>
    </row>
    <row r="382" spans="1:15" ht="15" x14ac:dyDescent="0.2">
      <c r="A382" s="13">
        <v>52475</v>
      </c>
      <c r="B382" s="9">
        <f>5.719 * CHOOSE(CONTROL!$C$32, $C$9, 100%, $E$9)</f>
        <v>5.7190000000000003</v>
      </c>
      <c r="C382" s="9">
        <f>5.719 * CHOOSE(CONTROL!$C$32, $C$9, 100%, $E$9)</f>
        <v>5.7190000000000003</v>
      </c>
      <c r="D382" s="9">
        <f>5.7203 * CHOOSE(CONTROL!$C$32, $C$9, 100%, $E$9)</f>
        <v>5.7202999999999999</v>
      </c>
      <c r="E382" s="11">
        <f>6.6795 * CHOOSE(CONTROL!$C$32, $C$9, 100%, $E$9)</f>
        <v>6.6795</v>
      </c>
      <c r="F382" s="11">
        <f>6.6795 * CHOOSE(CONTROL!$C$32, $C$9, 100%, $E$9)</f>
        <v>6.6795</v>
      </c>
      <c r="G382" s="11">
        <f>6.6837 * CHOOSE(CONTROL!$C$32, $C$9, 100%, $E$9)</f>
        <v>6.6837</v>
      </c>
      <c r="H382" s="11">
        <f>12.4076 * CHOOSE(CONTROL!$C$32, $C$9, 100%, $E$9)</f>
        <v>12.4076</v>
      </c>
      <c r="I382" s="11">
        <f>12.4118 * CHOOSE(CONTROL!$C$32, $C$9, 100%, $E$9)</f>
        <v>12.411799999999999</v>
      </c>
      <c r="J382" s="11">
        <f>12.4076 * CHOOSE(CONTROL!$C$32, $C$9, 100%, $E$9)</f>
        <v>12.4076</v>
      </c>
      <c r="K382" s="11">
        <f>12.4118 * CHOOSE(CONTROL!$C$32, $C$9, 100%, $E$9)</f>
        <v>12.411799999999999</v>
      </c>
      <c r="L382" s="11">
        <f>6.6795 * CHOOSE(CONTROL!$C$32, $C$9, 100%, $E$9)</f>
        <v>6.6795</v>
      </c>
      <c r="M382" s="11">
        <f>6.6837 * CHOOSE(CONTROL!$C$32, $C$9, 100%, $E$9)</f>
        <v>6.6837</v>
      </c>
      <c r="N382" s="11">
        <f>6.6795 * CHOOSE(CONTROL!$C$32, $C$9, 100%, $E$9)</f>
        <v>6.6795</v>
      </c>
      <c r="O382" s="11">
        <f>6.6837 * CHOOSE(CONTROL!$C$32, $C$9, 100%, $E$9)</f>
        <v>6.6837</v>
      </c>
    </row>
    <row r="383" spans="1:15" ht="15" x14ac:dyDescent="0.2">
      <c r="A383" s="13">
        <v>52505</v>
      </c>
      <c r="B383" s="9">
        <f>5.7205 * CHOOSE(CONTROL!$C$32, $C$9, 100%, $E$9)</f>
        <v>5.7205000000000004</v>
      </c>
      <c r="C383" s="9">
        <f>5.7205 * CHOOSE(CONTROL!$C$32, $C$9, 100%, $E$9)</f>
        <v>5.7205000000000004</v>
      </c>
      <c r="D383" s="9">
        <f>5.7214 * CHOOSE(CONTROL!$C$32, $C$9, 100%, $E$9)</f>
        <v>5.7214</v>
      </c>
      <c r="E383" s="11">
        <f>6.7197 * CHOOSE(CONTROL!$C$32, $C$9, 100%, $E$9)</f>
        <v>6.7196999999999996</v>
      </c>
      <c r="F383" s="11">
        <f>6.7197 * CHOOSE(CONTROL!$C$32, $C$9, 100%, $E$9)</f>
        <v>6.7196999999999996</v>
      </c>
      <c r="G383" s="11">
        <f>6.7229 * CHOOSE(CONTROL!$C$32, $C$9, 100%, $E$9)</f>
        <v>6.7229000000000001</v>
      </c>
      <c r="H383" s="11">
        <f>12.4334 * CHOOSE(CONTROL!$C$32, $C$9, 100%, $E$9)</f>
        <v>12.433400000000001</v>
      </c>
      <c r="I383" s="11">
        <f>12.4367 * CHOOSE(CONTROL!$C$32, $C$9, 100%, $E$9)</f>
        <v>12.4367</v>
      </c>
      <c r="J383" s="11">
        <f>12.4334 * CHOOSE(CONTROL!$C$32, $C$9, 100%, $E$9)</f>
        <v>12.433400000000001</v>
      </c>
      <c r="K383" s="11">
        <f>12.4367 * CHOOSE(CONTROL!$C$32, $C$9, 100%, $E$9)</f>
        <v>12.4367</v>
      </c>
      <c r="L383" s="11">
        <f>6.7197 * CHOOSE(CONTROL!$C$32, $C$9, 100%, $E$9)</f>
        <v>6.7196999999999996</v>
      </c>
      <c r="M383" s="11">
        <f>6.7229 * CHOOSE(CONTROL!$C$32, $C$9, 100%, $E$9)</f>
        <v>6.7229000000000001</v>
      </c>
      <c r="N383" s="11">
        <f>6.7197 * CHOOSE(CONTROL!$C$32, $C$9, 100%, $E$9)</f>
        <v>6.7196999999999996</v>
      </c>
      <c r="O383" s="11">
        <f>6.7229 * CHOOSE(CONTROL!$C$32, $C$9, 100%, $E$9)</f>
        <v>6.7229000000000001</v>
      </c>
    </row>
    <row r="384" spans="1:15" ht="15" x14ac:dyDescent="0.2">
      <c r="A384" s="13">
        <v>52536</v>
      </c>
      <c r="B384" s="9">
        <f>5.7235 * CHOOSE(CONTROL!$C$32, $C$9, 100%, $E$9)</f>
        <v>5.7234999999999996</v>
      </c>
      <c r="C384" s="9">
        <f>5.7235 * CHOOSE(CONTROL!$C$32, $C$9, 100%, $E$9)</f>
        <v>5.7234999999999996</v>
      </c>
      <c r="D384" s="9">
        <f>5.7245 * CHOOSE(CONTROL!$C$32, $C$9, 100%, $E$9)</f>
        <v>5.7244999999999999</v>
      </c>
      <c r="E384" s="11">
        <f>6.7486 * CHOOSE(CONTROL!$C$32, $C$9, 100%, $E$9)</f>
        <v>6.7485999999999997</v>
      </c>
      <c r="F384" s="11">
        <f>6.7486 * CHOOSE(CONTROL!$C$32, $C$9, 100%, $E$9)</f>
        <v>6.7485999999999997</v>
      </c>
      <c r="G384" s="11">
        <f>6.7518 * CHOOSE(CONTROL!$C$32, $C$9, 100%, $E$9)</f>
        <v>6.7518000000000002</v>
      </c>
      <c r="H384" s="11">
        <f>12.4593 * CHOOSE(CONTROL!$C$32, $C$9, 100%, $E$9)</f>
        <v>12.459300000000001</v>
      </c>
      <c r="I384" s="11">
        <f>12.4626 * CHOOSE(CONTROL!$C$32, $C$9, 100%, $E$9)</f>
        <v>12.4626</v>
      </c>
      <c r="J384" s="11">
        <f>12.4593 * CHOOSE(CONTROL!$C$32, $C$9, 100%, $E$9)</f>
        <v>12.459300000000001</v>
      </c>
      <c r="K384" s="11">
        <f>12.4626 * CHOOSE(CONTROL!$C$32, $C$9, 100%, $E$9)</f>
        <v>12.4626</v>
      </c>
      <c r="L384" s="11">
        <f>6.7486 * CHOOSE(CONTROL!$C$32, $C$9, 100%, $E$9)</f>
        <v>6.7485999999999997</v>
      </c>
      <c r="M384" s="11">
        <f>6.7518 * CHOOSE(CONTROL!$C$32, $C$9, 100%, $E$9)</f>
        <v>6.7518000000000002</v>
      </c>
      <c r="N384" s="11">
        <f>6.7486 * CHOOSE(CONTROL!$C$32, $C$9, 100%, $E$9)</f>
        <v>6.7485999999999997</v>
      </c>
      <c r="O384" s="11">
        <f>6.7518 * CHOOSE(CONTROL!$C$32, $C$9, 100%, $E$9)</f>
        <v>6.7518000000000002</v>
      </c>
    </row>
    <row r="385" spans="1:15" ht="15" x14ac:dyDescent="0.2">
      <c r="A385" s="13">
        <v>52566</v>
      </c>
      <c r="B385" s="9">
        <f>5.7235 * CHOOSE(CONTROL!$C$32, $C$9, 100%, $E$9)</f>
        <v>5.7234999999999996</v>
      </c>
      <c r="C385" s="9">
        <f>5.7235 * CHOOSE(CONTROL!$C$32, $C$9, 100%, $E$9)</f>
        <v>5.7234999999999996</v>
      </c>
      <c r="D385" s="9">
        <f>5.7245 * CHOOSE(CONTROL!$C$32, $C$9, 100%, $E$9)</f>
        <v>5.7244999999999999</v>
      </c>
      <c r="E385" s="11">
        <f>6.6816 * CHOOSE(CONTROL!$C$32, $C$9, 100%, $E$9)</f>
        <v>6.6816000000000004</v>
      </c>
      <c r="F385" s="11">
        <f>6.6816 * CHOOSE(CONTROL!$C$32, $C$9, 100%, $E$9)</f>
        <v>6.6816000000000004</v>
      </c>
      <c r="G385" s="11">
        <f>6.6848 * CHOOSE(CONTROL!$C$32, $C$9, 100%, $E$9)</f>
        <v>6.6848000000000001</v>
      </c>
      <c r="H385" s="11">
        <f>12.4853 * CHOOSE(CONTROL!$C$32, $C$9, 100%, $E$9)</f>
        <v>12.485300000000001</v>
      </c>
      <c r="I385" s="11">
        <f>12.4885 * CHOOSE(CONTROL!$C$32, $C$9, 100%, $E$9)</f>
        <v>12.4885</v>
      </c>
      <c r="J385" s="11">
        <f>12.4853 * CHOOSE(CONTROL!$C$32, $C$9, 100%, $E$9)</f>
        <v>12.485300000000001</v>
      </c>
      <c r="K385" s="11">
        <f>12.4885 * CHOOSE(CONTROL!$C$32, $C$9, 100%, $E$9)</f>
        <v>12.4885</v>
      </c>
      <c r="L385" s="11">
        <f>6.6816 * CHOOSE(CONTROL!$C$32, $C$9, 100%, $E$9)</f>
        <v>6.6816000000000004</v>
      </c>
      <c r="M385" s="11">
        <f>6.6848 * CHOOSE(CONTROL!$C$32, $C$9, 100%, $E$9)</f>
        <v>6.6848000000000001</v>
      </c>
      <c r="N385" s="11">
        <f>6.6816 * CHOOSE(CONTROL!$C$32, $C$9, 100%, $E$9)</f>
        <v>6.6816000000000004</v>
      </c>
      <c r="O385" s="11">
        <f>6.6848 * CHOOSE(CONTROL!$C$32, $C$9, 100%, $E$9)</f>
        <v>6.6848000000000001</v>
      </c>
    </row>
    <row r="386" spans="1:15" ht="15" x14ac:dyDescent="0.2">
      <c r="A386" s="13">
        <v>52597</v>
      </c>
      <c r="B386" s="9">
        <f>5.7676 * CHOOSE(CONTROL!$C$32, $C$9, 100%, $E$9)</f>
        <v>5.7675999999999998</v>
      </c>
      <c r="C386" s="9">
        <f>5.7676 * CHOOSE(CONTROL!$C$32, $C$9, 100%, $E$9)</f>
        <v>5.7675999999999998</v>
      </c>
      <c r="D386" s="9">
        <f>5.7685 * CHOOSE(CONTROL!$C$32, $C$9, 100%, $E$9)</f>
        <v>5.7685000000000004</v>
      </c>
      <c r="E386" s="11">
        <f>6.7573 * CHOOSE(CONTROL!$C$32, $C$9, 100%, $E$9)</f>
        <v>6.7572999999999999</v>
      </c>
      <c r="F386" s="11">
        <f>6.7573 * CHOOSE(CONTROL!$C$32, $C$9, 100%, $E$9)</f>
        <v>6.7572999999999999</v>
      </c>
      <c r="G386" s="11">
        <f>6.7605 * CHOOSE(CONTROL!$C$32, $C$9, 100%, $E$9)</f>
        <v>6.7605000000000004</v>
      </c>
      <c r="H386" s="11">
        <f>12.5113 * CHOOSE(CONTROL!$C$32, $C$9, 100%, $E$9)</f>
        <v>12.5113</v>
      </c>
      <c r="I386" s="11">
        <f>12.5145 * CHOOSE(CONTROL!$C$32, $C$9, 100%, $E$9)</f>
        <v>12.5145</v>
      </c>
      <c r="J386" s="11">
        <f>12.5113 * CHOOSE(CONTROL!$C$32, $C$9, 100%, $E$9)</f>
        <v>12.5113</v>
      </c>
      <c r="K386" s="11">
        <f>12.5145 * CHOOSE(CONTROL!$C$32, $C$9, 100%, $E$9)</f>
        <v>12.5145</v>
      </c>
      <c r="L386" s="11">
        <f>6.7573 * CHOOSE(CONTROL!$C$32, $C$9, 100%, $E$9)</f>
        <v>6.7572999999999999</v>
      </c>
      <c r="M386" s="11">
        <f>6.7605 * CHOOSE(CONTROL!$C$32, $C$9, 100%, $E$9)</f>
        <v>6.7605000000000004</v>
      </c>
      <c r="N386" s="11">
        <f>6.7573 * CHOOSE(CONTROL!$C$32, $C$9, 100%, $E$9)</f>
        <v>6.7572999999999999</v>
      </c>
      <c r="O386" s="11">
        <f>6.7605 * CHOOSE(CONTROL!$C$32, $C$9, 100%, $E$9)</f>
        <v>6.7605000000000004</v>
      </c>
    </row>
    <row r="387" spans="1:15" ht="15" x14ac:dyDescent="0.2">
      <c r="A387" s="13">
        <v>52628</v>
      </c>
      <c r="B387" s="9">
        <f>5.7645 * CHOOSE(CONTROL!$C$32, $C$9, 100%, $E$9)</f>
        <v>5.7645</v>
      </c>
      <c r="C387" s="9">
        <f>5.7645 * CHOOSE(CONTROL!$C$32, $C$9, 100%, $E$9)</f>
        <v>5.7645</v>
      </c>
      <c r="D387" s="9">
        <f>5.7655 * CHOOSE(CONTROL!$C$32, $C$9, 100%, $E$9)</f>
        <v>5.7655000000000003</v>
      </c>
      <c r="E387" s="11">
        <f>6.6244 * CHOOSE(CONTROL!$C$32, $C$9, 100%, $E$9)</f>
        <v>6.6243999999999996</v>
      </c>
      <c r="F387" s="11">
        <f>6.6244 * CHOOSE(CONTROL!$C$32, $C$9, 100%, $E$9)</f>
        <v>6.6243999999999996</v>
      </c>
      <c r="G387" s="11">
        <f>6.6276 * CHOOSE(CONTROL!$C$32, $C$9, 100%, $E$9)</f>
        <v>6.6276000000000002</v>
      </c>
      <c r="H387" s="11">
        <f>12.5374 * CHOOSE(CONTROL!$C$32, $C$9, 100%, $E$9)</f>
        <v>12.5374</v>
      </c>
      <c r="I387" s="11">
        <f>12.5406 * CHOOSE(CONTROL!$C$32, $C$9, 100%, $E$9)</f>
        <v>12.5406</v>
      </c>
      <c r="J387" s="11">
        <f>12.5374 * CHOOSE(CONTROL!$C$32, $C$9, 100%, $E$9)</f>
        <v>12.5374</v>
      </c>
      <c r="K387" s="11">
        <f>12.5406 * CHOOSE(CONTROL!$C$32, $C$9, 100%, $E$9)</f>
        <v>12.5406</v>
      </c>
      <c r="L387" s="11">
        <f>6.6244 * CHOOSE(CONTROL!$C$32, $C$9, 100%, $E$9)</f>
        <v>6.6243999999999996</v>
      </c>
      <c r="M387" s="11">
        <f>6.6276 * CHOOSE(CONTROL!$C$32, $C$9, 100%, $E$9)</f>
        <v>6.6276000000000002</v>
      </c>
      <c r="N387" s="11">
        <f>6.6244 * CHOOSE(CONTROL!$C$32, $C$9, 100%, $E$9)</f>
        <v>6.6243999999999996</v>
      </c>
      <c r="O387" s="11">
        <f>6.6276 * CHOOSE(CONTROL!$C$32, $C$9, 100%, $E$9)</f>
        <v>6.6276000000000002</v>
      </c>
    </row>
    <row r="388" spans="1:15" ht="15" x14ac:dyDescent="0.2">
      <c r="A388" s="13">
        <v>52657</v>
      </c>
      <c r="B388" s="9">
        <f>5.7615 * CHOOSE(CONTROL!$C$32, $C$9, 100%, $E$9)</f>
        <v>5.7614999999999998</v>
      </c>
      <c r="C388" s="9">
        <f>5.7615 * CHOOSE(CONTROL!$C$32, $C$9, 100%, $E$9)</f>
        <v>5.7614999999999998</v>
      </c>
      <c r="D388" s="9">
        <f>5.7624 * CHOOSE(CONTROL!$C$32, $C$9, 100%, $E$9)</f>
        <v>5.7624000000000004</v>
      </c>
      <c r="E388" s="11">
        <f>6.7254 * CHOOSE(CONTROL!$C$32, $C$9, 100%, $E$9)</f>
        <v>6.7253999999999996</v>
      </c>
      <c r="F388" s="11">
        <f>6.7254 * CHOOSE(CONTROL!$C$32, $C$9, 100%, $E$9)</f>
        <v>6.7253999999999996</v>
      </c>
      <c r="G388" s="11">
        <f>6.7286 * CHOOSE(CONTROL!$C$32, $C$9, 100%, $E$9)</f>
        <v>6.7286000000000001</v>
      </c>
      <c r="H388" s="11">
        <f>12.5635 * CHOOSE(CONTROL!$C$32, $C$9, 100%, $E$9)</f>
        <v>12.563499999999999</v>
      </c>
      <c r="I388" s="11">
        <f>12.5667 * CHOOSE(CONTROL!$C$32, $C$9, 100%, $E$9)</f>
        <v>12.566700000000001</v>
      </c>
      <c r="J388" s="11">
        <f>12.5635 * CHOOSE(CONTROL!$C$32, $C$9, 100%, $E$9)</f>
        <v>12.563499999999999</v>
      </c>
      <c r="K388" s="11">
        <f>12.5667 * CHOOSE(CONTROL!$C$32, $C$9, 100%, $E$9)</f>
        <v>12.566700000000001</v>
      </c>
      <c r="L388" s="11">
        <f>6.7254 * CHOOSE(CONTROL!$C$32, $C$9, 100%, $E$9)</f>
        <v>6.7253999999999996</v>
      </c>
      <c r="M388" s="11">
        <f>6.7286 * CHOOSE(CONTROL!$C$32, $C$9, 100%, $E$9)</f>
        <v>6.7286000000000001</v>
      </c>
      <c r="N388" s="11">
        <f>6.7254 * CHOOSE(CONTROL!$C$32, $C$9, 100%, $E$9)</f>
        <v>6.7253999999999996</v>
      </c>
      <c r="O388" s="11">
        <f>6.7286 * CHOOSE(CONTROL!$C$32, $C$9, 100%, $E$9)</f>
        <v>6.7286000000000001</v>
      </c>
    </row>
    <row r="389" spans="1:15" ht="15" x14ac:dyDescent="0.2">
      <c r="A389" s="13">
        <v>52688</v>
      </c>
      <c r="B389" s="9">
        <f>5.7608 * CHOOSE(CONTROL!$C$32, $C$9, 100%, $E$9)</f>
        <v>5.7607999999999997</v>
      </c>
      <c r="C389" s="9">
        <f>5.7608 * CHOOSE(CONTROL!$C$32, $C$9, 100%, $E$9)</f>
        <v>5.7607999999999997</v>
      </c>
      <c r="D389" s="9">
        <f>5.7618 * CHOOSE(CONTROL!$C$32, $C$9, 100%, $E$9)</f>
        <v>5.7618</v>
      </c>
      <c r="E389" s="11">
        <f>6.8318 * CHOOSE(CONTROL!$C$32, $C$9, 100%, $E$9)</f>
        <v>6.8318000000000003</v>
      </c>
      <c r="F389" s="11">
        <f>6.8318 * CHOOSE(CONTROL!$C$32, $C$9, 100%, $E$9)</f>
        <v>6.8318000000000003</v>
      </c>
      <c r="G389" s="11">
        <f>6.835 * CHOOSE(CONTROL!$C$32, $C$9, 100%, $E$9)</f>
        <v>6.835</v>
      </c>
      <c r="H389" s="11">
        <f>12.5897 * CHOOSE(CONTROL!$C$32, $C$9, 100%, $E$9)</f>
        <v>12.589700000000001</v>
      </c>
      <c r="I389" s="11">
        <f>12.5929 * CHOOSE(CONTROL!$C$32, $C$9, 100%, $E$9)</f>
        <v>12.5929</v>
      </c>
      <c r="J389" s="11">
        <f>12.5897 * CHOOSE(CONTROL!$C$32, $C$9, 100%, $E$9)</f>
        <v>12.589700000000001</v>
      </c>
      <c r="K389" s="11">
        <f>12.5929 * CHOOSE(CONTROL!$C$32, $C$9, 100%, $E$9)</f>
        <v>12.5929</v>
      </c>
      <c r="L389" s="11">
        <f>6.8318 * CHOOSE(CONTROL!$C$32, $C$9, 100%, $E$9)</f>
        <v>6.8318000000000003</v>
      </c>
      <c r="M389" s="11">
        <f>6.835 * CHOOSE(CONTROL!$C$32, $C$9, 100%, $E$9)</f>
        <v>6.835</v>
      </c>
      <c r="N389" s="11">
        <f>6.8318 * CHOOSE(CONTROL!$C$32, $C$9, 100%, $E$9)</f>
        <v>6.8318000000000003</v>
      </c>
      <c r="O389" s="11">
        <f>6.835 * CHOOSE(CONTROL!$C$32, $C$9, 100%, $E$9)</f>
        <v>6.835</v>
      </c>
    </row>
    <row r="390" spans="1:15" ht="15" x14ac:dyDescent="0.2">
      <c r="A390" s="13">
        <v>52718</v>
      </c>
      <c r="B390" s="9">
        <f>5.7608 * CHOOSE(CONTROL!$C$32, $C$9, 100%, $E$9)</f>
        <v>5.7607999999999997</v>
      </c>
      <c r="C390" s="9">
        <f>5.7608 * CHOOSE(CONTROL!$C$32, $C$9, 100%, $E$9)</f>
        <v>5.7607999999999997</v>
      </c>
      <c r="D390" s="9">
        <f>5.7621 * CHOOSE(CONTROL!$C$32, $C$9, 100%, $E$9)</f>
        <v>5.7621000000000002</v>
      </c>
      <c r="E390" s="11">
        <f>6.8733 * CHOOSE(CONTROL!$C$32, $C$9, 100%, $E$9)</f>
        <v>6.8733000000000004</v>
      </c>
      <c r="F390" s="11">
        <f>6.8733 * CHOOSE(CONTROL!$C$32, $C$9, 100%, $E$9)</f>
        <v>6.8733000000000004</v>
      </c>
      <c r="G390" s="11">
        <f>6.8775 * CHOOSE(CONTROL!$C$32, $C$9, 100%, $E$9)</f>
        <v>6.8775000000000004</v>
      </c>
      <c r="H390" s="11">
        <f>12.6159 * CHOOSE(CONTROL!$C$32, $C$9, 100%, $E$9)</f>
        <v>12.6159</v>
      </c>
      <c r="I390" s="11">
        <f>12.6201 * CHOOSE(CONTROL!$C$32, $C$9, 100%, $E$9)</f>
        <v>12.620100000000001</v>
      </c>
      <c r="J390" s="11">
        <f>12.6159 * CHOOSE(CONTROL!$C$32, $C$9, 100%, $E$9)</f>
        <v>12.6159</v>
      </c>
      <c r="K390" s="11">
        <f>12.6201 * CHOOSE(CONTROL!$C$32, $C$9, 100%, $E$9)</f>
        <v>12.620100000000001</v>
      </c>
      <c r="L390" s="11">
        <f>6.8733 * CHOOSE(CONTROL!$C$32, $C$9, 100%, $E$9)</f>
        <v>6.8733000000000004</v>
      </c>
      <c r="M390" s="11">
        <f>6.8775 * CHOOSE(CONTROL!$C$32, $C$9, 100%, $E$9)</f>
        <v>6.8775000000000004</v>
      </c>
      <c r="N390" s="11">
        <f>6.8733 * CHOOSE(CONTROL!$C$32, $C$9, 100%, $E$9)</f>
        <v>6.8733000000000004</v>
      </c>
      <c r="O390" s="11">
        <f>6.8775 * CHOOSE(CONTROL!$C$32, $C$9, 100%, $E$9)</f>
        <v>6.8775000000000004</v>
      </c>
    </row>
    <row r="391" spans="1:15" ht="15" x14ac:dyDescent="0.2">
      <c r="A391" s="13">
        <v>52749</v>
      </c>
      <c r="B391" s="9">
        <f>5.7669 * CHOOSE(CONTROL!$C$32, $C$9, 100%, $E$9)</f>
        <v>5.7668999999999997</v>
      </c>
      <c r="C391" s="9">
        <f>5.7669 * CHOOSE(CONTROL!$C$32, $C$9, 100%, $E$9)</f>
        <v>5.7668999999999997</v>
      </c>
      <c r="D391" s="9">
        <f>5.7682 * CHOOSE(CONTROL!$C$32, $C$9, 100%, $E$9)</f>
        <v>5.7682000000000002</v>
      </c>
      <c r="E391" s="11">
        <f>6.836 * CHOOSE(CONTROL!$C$32, $C$9, 100%, $E$9)</f>
        <v>6.8360000000000003</v>
      </c>
      <c r="F391" s="11">
        <f>6.836 * CHOOSE(CONTROL!$C$32, $C$9, 100%, $E$9)</f>
        <v>6.8360000000000003</v>
      </c>
      <c r="G391" s="11">
        <f>6.8402 * CHOOSE(CONTROL!$C$32, $C$9, 100%, $E$9)</f>
        <v>6.8402000000000003</v>
      </c>
      <c r="H391" s="11">
        <f>12.6422 * CHOOSE(CONTROL!$C$32, $C$9, 100%, $E$9)</f>
        <v>12.642200000000001</v>
      </c>
      <c r="I391" s="11">
        <f>12.6464 * CHOOSE(CONTROL!$C$32, $C$9, 100%, $E$9)</f>
        <v>12.6464</v>
      </c>
      <c r="J391" s="11">
        <f>12.6422 * CHOOSE(CONTROL!$C$32, $C$9, 100%, $E$9)</f>
        <v>12.642200000000001</v>
      </c>
      <c r="K391" s="11">
        <f>12.6464 * CHOOSE(CONTROL!$C$32, $C$9, 100%, $E$9)</f>
        <v>12.6464</v>
      </c>
      <c r="L391" s="11">
        <f>6.836 * CHOOSE(CONTROL!$C$32, $C$9, 100%, $E$9)</f>
        <v>6.8360000000000003</v>
      </c>
      <c r="M391" s="11">
        <f>6.8402 * CHOOSE(CONTROL!$C$32, $C$9, 100%, $E$9)</f>
        <v>6.8402000000000003</v>
      </c>
      <c r="N391" s="11">
        <f>6.836 * CHOOSE(CONTROL!$C$32, $C$9, 100%, $E$9)</f>
        <v>6.8360000000000003</v>
      </c>
      <c r="O391" s="11">
        <f>6.8402 * CHOOSE(CONTROL!$C$32, $C$9, 100%, $E$9)</f>
        <v>6.8402000000000003</v>
      </c>
    </row>
    <row r="392" spans="1:15" ht="15" x14ac:dyDescent="0.2">
      <c r="A392" s="13">
        <v>52779</v>
      </c>
      <c r="B392" s="9">
        <f>5.845 * CHOOSE(CONTROL!$C$32, $C$9, 100%, $E$9)</f>
        <v>5.8449999999999998</v>
      </c>
      <c r="C392" s="9">
        <f>5.845 * CHOOSE(CONTROL!$C$32, $C$9, 100%, $E$9)</f>
        <v>5.8449999999999998</v>
      </c>
      <c r="D392" s="9">
        <f>5.8462 * CHOOSE(CONTROL!$C$32, $C$9, 100%, $E$9)</f>
        <v>5.8461999999999996</v>
      </c>
      <c r="E392" s="11">
        <f>6.8655 * CHOOSE(CONTROL!$C$32, $C$9, 100%, $E$9)</f>
        <v>6.8654999999999999</v>
      </c>
      <c r="F392" s="11">
        <f>6.8655 * CHOOSE(CONTROL!$C$32, $C$9, 100%, $E$9)</f>
        <v>6.8654999999999999</v>
      </c>
      <c r="G392" s="11">
        <f>6.8697 * CHOOSE(CONTROL!$C$32, $C$9, 100%, $E$9)</f>
        <v>6.8696999999999999</v>
      </c>
      <c r="H392" s="11">
        <f>12.6685 * CHOOSE(CONTROL!$C$32, $C$9, 100%, $E$9)</f>
        <v>12.6685</v>
      </c>
      <c r="I392" s="11">
        <f>12.6727 * CHOOSE(CONTROL!$C$32, $C$9, 100%, $E$9)</f>
        <v>12.672700000000001</v>
      </c>
      <c r="J392" s="11">
        <f>12.6685 * CHOOSE(CONTROL!$C$32, $C$9, 100%, $E$9)</f>
        <v>12.6685</v>
      </c>
      <c r="K392" s="11">
        <f>12.6727 * CHOOSE(CONTROL!$C$32, $C$9, 100%, $E$9)</f>
        <v>12.672700000000001</v>
      </c>
      <c r="L392" s="11">
        <f>6.8655 * CHOOSE(CONTROL!$C$32, $C$9, 100%, $E$9)</f>
        <v>6.8654999999999999</v>
      </c>
      <c r="M392" s="11">
        <f>6.8697 * CHOOSE(CONTROL!$C$32, $C$9, 100%, $E$9)</f>
        <v>6.8696999999999999</v>
      </c>
      <c r="N392" s="11">
        <f>6.8655 * CHOOSE(CONTROL!$C$32, $C$9, 100%, $E$9)</f>
        <v>6.8654999999999999</v>
      </c>
      <c r="O392" s="11">
        <f>6.8697 * CHOOSE(CONTROL!$C$32, $C$9, 100%, $E$9)</f>
        <v>6.8696999999999999</v>
      </c>
    </row>
    <row r="393" spans="1:15" ht="15" x14ac:dyDescent="0.2">
      <c r="A393" s="13">
        <v>52810</v>
      </c>
      <c r="B393" s="9">
        <f>5.8516 * CHOOSE(CONTROL!$C$32, $C$9, 100%, $E$9)</f>
        <v>5.8516000000000004</v>
      </c>
      <c r="C393" s="9">
        <f>5.8516 * CHOOSE(CONTROL!$C$32, $C$9, 100%, $E$9)</f>
        <v>5.8516000000000004</v>
      </c>
      <c r="D393" s="9">
        <f>5.8529 * CHOOSE(CONTROL!$C$32, $C$9, 100%, $E$9)</f>
        <v>5.8529</v>
      </c>
      <c r="E393" s="11">
        <f>6.7456 * CHOOSE(CONTROL!$C$32, $C$9, 100%, $E$9)</f>
        <v>6.7455999999999996</v>
      </c>
      <c r="F393" s="11">
        <f>6.7456 * CHOOSE(CONTROL!$C$32, $C$9, 100%, $E$9)</f>
        <v>6.7455999999999996</v>
      </c>
      <c r="G393" s="11">
        <f>6.7498 * CHOOSE(CONTROL!$C$32, $C$9, 100%, $E$9)</f>
        <v>6.7497999999999996</v>
      </c>
      <c r="H393" s="11">
        <f>12.6949 * CHOOSE(CONTROL!$C$32, $C$9, 100%, $E$9)</f>
        <v>12.694900000000001</v>
      </c>
      <c r="I393" s="11">
        <f>12.6991 * CHOOSE(CONTROL!$C$32, $C$9, 100%, $E$9)</f>
        <v>12.6991</v>
      </c>
      <c r="J393" s="11">
        <f>12.6949 * CHOOSE(CONTROL!$C$32, $C$9, 100%, $E$9)</f>
        <v>12.694900000000001</v>
      </c>
      <c r="K393" s="11">
        <f>12.6991 * CHOOSE(CONTROL!$C$32, $C$9, 100%, $E$9)</f>
        <v>12.6991</v>
      </c>
      <c r="L393" s="11">
        <f>6.7456 * CHOOSE(CONTROL!$C$32, $C$9, 100%, $E$9)</f>
        <v>6.7455999999999996</v>
      </c>
      <c r="M393" s="11">
        <f>6.7498 * CHOOSE(CONTROL!$C$32, $C$9, 100%, $E$9)</f>
        <v>6.7497999999999996</v>
      </c>
      <c r="N393" s="11">
        <f>6.7456 * CHOOSE(CONTROL!$C$32, $C$9, 100%, $E$9)</f>
        <v>6.7455999999999996</v>
      </c>
      <c r="O393" s="11">
        <f>6.7498 * CHOOSE(CONTROL!$C$32, $C$9, 100%, $E$9)</f>
        <v>6.7497999999999996</v>
      </c>
    </row>
    <row r="394" spans="1:15" ht="15" x14ac:dyDescent="0.2">
      <c r="A394" s="13">
        <v>52841</v>
      </c>
      <c r="B394" s="9">
        <f>5.8486 * CHOOSE(CONTROL!$C$32, $C$9, 100%, $E$9)</f>
        <v>5.8486000000000002</v>
      </c>
      <c r="C394" s="9">
        <f>5.8486 * CHOOSE(CONTROL!$C$32, $C$9, 100%, $E$9)</f>
        <v>5.8486000000000002</v>
      </c>
      <c r="D394" s="9">
        <f>5.8498 * CHOOSE(CONTROL!$C$32, $C$9, 100%, $E$9)</f>
        <v>5.8498000000000001</v>
      </c>
      <c r="E394" s="11">
        <f>6.7297 * CHOOSE(CONTROL!$C$32, $C$9, 100%, $E$9)</f>
        <v>6.7297000000000002</v>
      </c>
      <c r="F394" s="11">
        <f>6.7297 * CHOOSE(CONTROL!$C$32, $C$9, 100%, $E$9)</f>
        <v>6.7297000000000002</v>
      </c>
      <c r="G394" s="11">
        <f>6.7339 * CHOOSE(CONTROL!$C$32, $C$9, 100%, $E$9)</f>
        <v>6.7339000000000002</v>
      </c>
      <c r="H394" s="11">
        <f>12.7214 * CHOOSE(CONTROL!$C$32, $C$9, 100%, $E$9)</f>
        <v>12.721399999999999</v>
      </c>
      <c r="I394" s="11">
        <f>12.7256 * CHOOSE(CONTROL!$C$32, $C$9, 100%, $E$9)</f>
        <v>12.7256</v>
      </c>
      <c r="J394" s="11">
        <f>12.7214 * CHOOSE(CONTROL!$C$32, $C$9, 100%, $E$9)</f>
        <v>12.721399999999999</v>
      </c>
      <c r="K394" s="11">
        <f>12.7256 * CHOOSE(CONTROL!$C$32, $C$9, 100%, $E$9)</f>
        <v>12.7256</v>
      </c>
      <c r="L394" s="11">
        <f>6.7297 * CHOOSE(CONTROL!$C$32, $C$9, 100%, $E$9)</f>
        <v>6.7297000000000002</v>
      </c>
      <c r="M394" s="11">
        <f>6.7339 * CHOOSE(CONTROL!$C$32, $C$9, 100%, $E$9)</f>
        <v>6.7339000000000002</v>
      </c>
      <c r="N394" s="11">
        <f>6.7297 * CHOOSE(CONTROL!$C$32, $C$9, 100%, $E$9)</f>
        <v>6.7297000000000002</v>
      </c>
      <c r="O394" s="11">
        <f>6.7339 * CHOOSE(CONTROL!$C$32, $C$9, 100%, $E$9)</f>
        <v>6.7339000000000002</v>
      </c>
    </row>
    <row r="395" spans="1:15" ht="15" x14ac:dyDescent="0.2">
      <c r="A395" s="13">
        <v>52871</v>
      </c>
      <c r="B395" s="9">
        <f>5.8505 * CHOOSE(CONTROL!$C$32, $C$9, 100%, $E$9)</f>
        <v>5.8505000000000003</v>
      </c>
      <c r="C395" s="9">
        <f>5.8505 * CHOOSE(CONTROL!$C$32, $C$9, 100%, $E$9)</f>
        <v>5.8505000000000003</v>
      </c>
      <c r="D395" s="9">
        <f>5.8515 * CHOOSE(CONTROL!$C$32, $C$9, 100%, $E$9)</f>
        <v>5.8514999999999997</v>
      </c>
      <c r="E395" s="11">
        <f>6.7716 * CHOOSE(CONTROL!$C$32, $C$9, 100%, $E$9)</f>
        <v>6.7716000000000003</v>
      </c>
      <c r="F395" s="11">
        <f>6.7716 * CHOOSE(CONTROL!$C$32, $C$9, 100%, $E$9)</f>
        <v>6.7716000000000003</v>
      </c>
      <c r="G395" s="11">
        <f>6.7748 * CHOOSE(CONTROL!$C$32, $C$9, 100%, $E$9)</f>
        <v>6.7747999999999999</v>
      </c>
      <c r="H395" s="11">
        <f>12.7479 * CHOOSE(CONTROL!$C$32, $C$9, 100%, $E$9)</f>
        <v>12.7479</v>
      </c>
      <c r="I395" s="11">
        <f>12.7511 * CHOOSE(CONTROL!$C$32, $C$9, 100%, $E$9)</f>
        <v>12.751099999999999</v>
      </c>
      <c r="J395" s="11">
        <f>12.7479 * CHOOSE(CONTROL!$C$32, $C$9, 100%, $E$9)</f>
        <v>12.7479</v>
      </c>
      <c r="K395" s="11">
        <f>12.7511 * CHOOSE(CONTROL!$C$32, $C$9, 100%, $E$9)</f>
        <v>12.751099999999999</v>
      </c>
      <c r="L395" s="11">
        <f>6.7716 * CHOOSE(CONTROL!$C$32, $C$9, 100%, $E$9)</f>
        <v>6.7716000000000003</v>
      </c>
      <c r="M395" s="11">
        <f>6.7748 * CHOOSE(CONTROL!$C$32, $C$9, 100%, $E$9)</f>
        <v>6.7747999999999999</v>
      </c>
      <c r="N395" s="11">
        <f>6.7716 * CHOOSE(CONTROL!$C$32, $C$9, 100%, $E$9)</f>
        <v>6.7716000000000003</v>
      </c>
      <c r="O395" s="11">
        <f>6.7748 * CHOOSE(CONTROL!$C$32, $C$9, 100%, $E$9)</f>
        <v>6.7747999999999999</v>
      </c>
    </row>
    <row r="396" spans="1:15" ht="15" x14ac:dyDescent="0.2">
      <c r="A396" s="13">
        <v>52902</v>
      </c>
      <c r="B396" s="9">
        <f>5.8536 * CHOOSE(CONTROL!$C$32, $C$9, 100%, $E$9)</f>
        <v>5.8536000000000001</v>
      </c>
      <c r="C396" s="9">
        <f>5.8536 * CHOOSE(CONTROL!$C$32, $C$9, 100%, $E$9)</f>
        <v>5.8536000000000001</v>
      </c>
      <c r="D396" s="9">
        <f>5.8545 * CHOOSE(CONTROL!$C$32, $C$9, 100%, $E$9)</f>
        <v>5.8544999999999998</v>
      </c>
      <c r="E396" s="11">
        <f>6.8014 * CHOOSE(CONTROL!$C$32, $C$9, 100%, $E$9)</f>
        <v>6.8014000000000001</v>
      </c>
      <c r="F396" s="11">
        <f>6.8014 * CHOOSE(CONTROL!$C$32, $C$9, 100%, $E$9)</f>
        <v>6.8014000000000001</v>
      </c>
      <c r="G396" s="11">
        <f>6.8046 * CHOOSE(CONTROL!$C$32, $C$9, 100%, $E$9)</f>
        <v>6.8045999999999998</v>
      </c>
      <c r="H396" s="11">
        <f>12.7744 * CHOOSE(CONTROL!$C$32, $C$9, 100%, $E$9)</f>
        <v>12.7744</v>
      </c>
      <c r="I396" s="11">
        <f>12.7777 * CHOOSE(CONTROL!$C$32, $C$9, 100%, $E$9)</f>
        <v>12.777699999999999</v>
      </c>
      <c r="J396" s="11">
        <f>12.7744 * CHOOSE(CONTROL!$C$32, $C$9, 100%, $E$9)</f>
        <v>12.7744</v>
      </c>
      <c r="K396" s="11">
        <f>12.7777 * CHOOSE(CONTROL!$C$32, $C$9, 100%, $E$9)</f>
        <v>12.777699999999999</v>
      </c>
      <c r="L396" s="11">
        <f>6.8014 * CHOOSE(CONTROL!$C$32, $C$9, 100%, $E$9)</f>
        <v>6.8014000000000001</v>
      </c>
      <c r="M396" s="11">
        <f>6.8046 * CHOOSE(CONTROL!$C$32, $C$9, 100%, $E$9)</f>
        <v>6.8045999999999998</v>
      </c>
      <c r="N396" s="11">
        <f>6.8014 * CHOOSE(CONTROL!$C$32, $C$9, 100%, $E$9)</f>
        <v>6.8014000000000001</v>
      </c>
      <c r="O396" s="11">
        <f>6.8046 * CHOOSE(CONTROL!$C$32, $C$9, 100%, $E$9)</f>
        <v>6.8045999999999998</v>
      </c>
    </row>
    <row r="397" spans="1:15" ht="15" x14ac:dyDescent="0.2">
      <c r="A397" s="13">
        <v>52932</v>
      </c>
      <c r="B397" s="9">
        <f>5.8536 * CHOOSE(CONTROL!$C$32, $C$9, 100%, $E$9)</f>
        <v>5.8536000000000001</v>
      </c>
      <c r="C397" s="9">
        <f>5.8536 * CHOOSE(CONTROL!$C$32, $C$9, 100%, $E$9)</f>
        <v>5.8536000000000001</v>
      </c>
      <c r="D397" s="9">
        <f>5.8545 * CHOOSE(CONTROL!$C$32, $C$9, 100%, $E$9)</f>
        <v>5.8544999999999998</v>
      </c>
      <c r="E397" s="11">
        <f>6.7322 * CHOOSE(CONTROL!$C$32, $C$9, 100%, $E$9)</f>
        <v>6.7321999999999997</v>
      </c>
      <c r="F397" s="11">
        <f>6.7322 * CHOOSE(CONTROL!$C$32, $C$9, 100%, $E$9)</f>
        <v>6.7321999999999997</v>
      </c>
      <c r="G397" s="11">
        <f>6.7354 * CHOOSE(CONTROL!$C$32, $C$9, 100%, $E$9)</f>
        <v>6.7354000000000003</v>
      </c>
      <c r="H397" s="11">
        <f>12.801 * CHOOSE(CONTROL!$C$32, $C$9, 100%, $E$9)</f>
        <v>12.801</v>
      </c>
      <c r="I397" s="11">
        <f>12.8043 * CHOOSE(CONTROL!$C$32, $C$9, 100%, $E$9)</f>
        <v>12.8043</v>
      </c>
      <c r="J397" s="11">
        <f>12.801 * CHOOSE(CONTROL!$C$32, $C$9, 100%, $E$9)</f>
        <v>12.801</v>
      </c>
      <c r="K397" s="11">
        <f>12.8043 * CHOOSE(CONTROL!$C$32, $C$9, 100%, $E$9)</f>
        <v>12.8043</v>
      </c>
      <c r="L397" s="11">
        <f>6.7322 * CHOOSE(CONTROL!$C$32, $C$9, 100%, $E$9)</f>
        <v>6.7321999999999997</v>
      </c>
      <c r="M397" s="11">
        <f>6.7354 * CHOOSE(CONTROL!$C$32, $C$9, 100%, $E$9)</f>
        <v>6.7354000000000003</v>
      </c>
      <c r="N397" s="11">
        <f>6.7322 * CHOOSE(CONTROL!$C$32, $C$9, 100%, $E$9)</f>
        <v>6.7321999999999997</v>
      </c>
      <c r="O397" s="11">
        <f>6.7354 * CHOOSE(CONTROL!$C$32, $C$9, 100%, $E$9)</f>
        <v>6.7354000000000003</v>
      </c>
    </row>
    <row r="398" spans="1:15" ht="15" x14ac:dyDescent="0.2">
      <c r="A398" s="13">
        <v>52963</v>
      </c>
      <c r="B398" s="9">
        <f>5.8984 * CHOOSE(CONTROL!$C$32, $C$9, 100%, $E$9)</f>
        <v>5.8983999999999996</v>
      </c>
      <c r="C398" s="9">
        <f>5.8984 * CHOOSE(CONTROL!$C$32, $C$9, 100%, $E$9)</f>
        <v>5.8983999999999996</v>
      </c>
      <c r="D398" s="9">
        <f>5.8994 * CHOOSE(CONTROL!$C$32, $C$9, 100%, $E$9)</f>
        <v>5.8994</v>
      </c>
      <c r="E398" s="11">
        <f>6.8151 * CHOOSE(CONTROL!$C$32, $C$9, 100%, $E$9)</f>
        <v>6.8151000000000002</v>
      </c>
      <c r="F398" s="11">
        <f>6.8151 * CHOOSE(CONTROL!$C$32, $C$9, 100%, $E$9)</f>
        <v>6.8151000000000002</v>
      </c>
      <c r="G398" s="11">
        <f>6.8183 * CHOOSE(CONTROL!$C$32, $C$9, 100%, $E$9)</f>
        <v>6.8182999999999998</v>
      </c>
      <c r="H398" s="11">
        <f>12.8277 * CHOOSE(CONTROL!$C$32, $C$9, 100%, $E$9)</f>
        <v>12.8277</v>
      </c>
      <c r="I398" s="11">
        <f>12.8309 * CHOOSE(CONTROL!$C$32, $C$9, 100%, $E$9)</f>
        <v>12.8309</v>
      </c>
      <c r="J398" s="11">
        <f>12.8277 * CHOOSE(CONTROL!$C$32, $C$9, 100%, $E$9)</f>
        <v>12.8277</v>
      </c>
      <c r="K398" s="11">
        <f>12.8309 * CHOOSE(CONTROL!$C$32, $C$9, 100%, $E$9)</f>
        <v>12.8309</v>
      </c>
      <c r="L398" s="11">
        <f>6.8151 * CHOOSE(CONTROL!$C$32, $C$9, 100%, $E$9)</f>
        <v>6.8151000000000002</v>
      </c>
      <c r="M398" s="11">
        <f>6.8183 * CHOOSE(CONTROL!$C$32, $C$9, 100%, $E$9)</f>
        <v>6.8182999999999998</v>
      </c>
      <c r="N398" s="11">
        <f>6.8151 * CHOOSE(CONTROL!$C$32, $C$9, 100%, $E$9)</f>
        <v>6.8151000000000002</v>
      </c>
      <c r="O398" s="11">
        <f>6.8183 * CHOOSE(CONTROL!$C$32, $C$9, 100%, $E$9)</f>
        <v>6.8182999999999998</v>
      </c>
    </row>
    <row r="399" spans="1:15" ht="15" x14ac:dyDescent="0.2">
      <c r="A399" s="13">
        <v>52994</v>
      </c>
      <c r="B399" s="9">
        <f>5.8954 * CHOOSE(CONTROL!$C$32, $C$9, 100%, $E$9)</f>
        <v>5.8954000000000004</v>
      </c>
      <c r="C399" s="9">
        <f>5.8954 * CHOOSE(CONTROL!$C$32, $C$9, 100%, $E$9)</f>
        <v>5.8954000000000004</v>
      </c>
      <c r="D399" s="9">
        <f>5.8964 * CHOOSE(CONTROL!$C$32, $C$9, 100%, $E$9)</f>
        <v>5.8963999999999999</v>
      </c>
      <c r="E399" s="11">
        <f>6.678 * CHOOSE(CONTROL!$C$32, $C$9, 100%, $E$9)</f>
        <v>6.6779999999999999</v>
      </c>
      <c r="F399" s="11">
        <f>6.678 * CHOOSE(CONTROL!$C$32, $C$9, 100%, $E$9)</f>
        <v>6.6779999999999999</v>
      </c>
      <c r="G399" s="11">
        <f>6.6813 * CHOOSE(CONTROL!$C$32, $C$9, 100%, $E$9)</f>
        <v>6.6813000000000002</v>
      </c>
      <c r="H399" s="11">
        <f>12.8544 * CHOOSE(CONTROL!$C$32, $C$9, 100%, $E$9)</f>
        <v>12.8544</v>
      </c>
      <c r="I399" s="11">
        <f>12.8577 * CHOOSE(CONTROL!$C$32, $C$9, 100%, $E$9)</f>
        <v>12.857699999999999</v>
      </c>
      <c r="J399" s="11">
        <f>12.8544 * CHOOSE(CONTROL!$C$32, $C$9, 100%, $E$9)</f>
        <v>12.8544</v>
      </c>
      <c r="K399" s="11">
        <f>12.8577 * CHOOSE(CONTROL!$C$32, $C$9, 100%, $E$9)</f>
        <v>12.857699999999999</v>
      </c>
      <c r="L399" s="11">
        <f>6.678 * CHOOSE(CONTROL!$C$32, $C$9, 100%, $E$9)</f>
        <v>6.6779999999999999</v>
      </c>
      <c r="M399" s="11">
        <f>6.6813 * CHOOSE(CONTROL!$C$32, $C$9, 100%, $E$9)</f>
        <v>6.6813000000000002</v>
      </c>
      <c r="N399" s="11">
        <f>6.678 * CHOOSE(CONTROL!$C$32, $C$9, 100%, $E$9)</f>
        <v>6.6779999999999999</v>
      </c>
      <c r="O399" s="11">
        <f>6.6813 * CHOOSE(CONTROL!$C$32, $C$9, 100%, $E$9)</f>
        <v>6.6813000000000002</v>
      </c>
    </row>
    <row r="400" spans="1:15" ht="15" x14ac:dyDescent="0.2">
      <c r="A400" s="13">
        <v>53022</v>
      </c>
      <c r="B400" s="9">
        <f>5.8924 * CHOOSE(CONTROL!$C$32, $C$9, 100%, $E$9)</f>
        <v>5.8924000000000003</v>
      </c>
      <c r="C400" s="9">
        <f>5.8924 * CHOOSE(CONTROL!$C$32, $C$9, 100%, $E$9)</f>
        <v>5.8924000000000003</v>
      </c>
      <c r="D400" s="9">
        <f>5.8933 * CHOOSE(CONTROL!$C$32, $C$9, 100%, $E$9)</f>
        <v>5.8933</v>
      </c>
      <c r="E400" s="11">
        <f>6.7823 * CHOOSE(CONTROL!$C$32, $C$9, 100%, $E$9)</f>
        <v>6.7823000000000002</v>
      </c>
      <c r="F400" s="11">
        <f>6.7823 * CHOOSE(CONTROL!$C$32, $C$9, 100%, $E$9)</f>
        <v>6.7823000000000002</v>
      </c>
      <c r="G400" s="11">
        <f>6.7855 * CHOOSE(CONTROL!$C$32, $C$9, 100%, $E$9)</f>
        <v>6.7854999999999999</v>
      </c>
      <c r="H400" s="11">
        <f>12.8812 * CHOOSE(CONTROL!$C$32, $C$9, 100%, $E$9)</f>
        <v>12.8812</v>
      </c>
      <c r="I400" s="11">
        <f>12.8844 * CHOOSE(CONTROL!$C$32, $C$9, 100%, $E$9)</f>
        <v>12.884399999999999</v>
      </c>
      <c r="J400" s="11">
        <f>12.8812 * CHOOSE(CONTROL!$C$32, $C$9, 100%, $E$9)</f>
        <v>12.8812</v>
      </c>
      <c r="K400" s="11">
        <f>12.8844 * CHOOSE(CONTROL!$C$32, $C$9, 100%, $E$9)</f>
        <v>12.884399999999999</v>
      </c>
      <c r="L400" s="11">
        <f>6.7823 * CHOOSE(CONTROL!$C$32, $C$9, 100%, $E$9)</f>
        <v>6.7823000000000002</v>
      </c>
      <c r="M400" s="11">
        <f>6.7855 * CHOOSE(CONTROL!$C$32, $C$9, 100%, $E$9)</f>
        <v>6.7854999999999999</v>
      </c>
      <c r="N400" s="11">
        <f>6.7823 * CHOOSE(CONTROL!$C$32, $C$9, 100%, $E$9)</f>
        <v>6.7823000000000002</v>
      </c>
      <c r="O400" s="11">
        <f>6.7855 * CHOOSE(CONTROL!$C$32, $C$9, 100%, $E$9)</f>
        <v>6.7854999999999999</v>
      </c>
    </row>
    <row r="401" spans="1:15" ht="15" x14ac:dyDescent="0.2">
      <c r="A401" s="13">
        <v>53053</v>
      </c>
      <c r="B401" s="9">
        <f>5.8918 * CHOOSE(CONTROL!$C$32, $C$9, 100%, $E$9)</f>
        <v>5.8917999999999999</v>
      </c>
      <c r="C401" s="9">
        <f>5.8918 * CHOOSE(CONTROL!$C$32, $C$9, 100%, $E$9)</f>
        <v>5.8917999999999999</v>
      </c>
      <c r="D401" s="9">
        <f>5.8928 * CHOOSE(CONTROL!$C$32, $C$9, 100%, $E$9)</f>
        <v>5.8928000000000003</v>
      </c>
      <c r="E401" s="11">
        <f>6.8923 * CHOOSE(CONTROL!$C$32, $C$9, 100%, $E$9)</f>
        <v>6.8922999999999996</v>
      </c>
      <c r="F401" s="11">
        <f>6.8923 * CHOOSE(CONTROL!$C$32, $C$9, 100%, $E$9)</f>
        <v>6.8922999999999996</v>
      </c>
      <c r="G401" s="11">
        <f>6.8956 * CHOOSE(CONTROL!$C$32, $C$9, 100%, $E$9)</f>
        <v>6.8956</v>
      </c>
      <c r="H401" s="11">
        <f>12.908 * CHOOSE(CONTROL!$C$32, $C$9, 100%, $E$9)</f>
        <v>12.907999999999999</v>
      </c>
      <c r="I401" s="11">
        <f>12.9113 * CHOOSE(CONTROL!$C$32, $C$9, 100%, $E$9)</f>
        <v>12.911300000000001</v>
      </c>
      <c r="J401" s="11">
        <f>12.908 * CHOOSE(CONTROL!$C$32, $C$9, 100%, $E$9)</f>
        <v>12.907999999999999</v>
      </c>
      <c r="K401" s="11">
        <f>12.9113 * CHOOSE(CONTROL!$C$32, $C$9, 100%, $E$9)</f>
        <v>12.911300000000001</v>
      </c>
      <c r="L401" s="11">
        <f>6.8923 * CHOOSE(CONTROL!$C$32, $C$9, 100%, $E$9)</f>
        <v>6.8922999999999996</v>
      </c>
      <c r="M401" s="11">
        <f>6.8956 * CHOOSE(CONTROL!$C$32, $C$9, 100%, $E$9)</f>
        <v>6.8956</v>
      </c>
      <c r="N401" s="11">
        <f>6.8923 * CHOOSE(CONTROL!$C$32, $C$9, 100%, $E$9)</f>
        <v>6.8922999999999996</v>
      </c>
      <c r="O401" s="11">
        <f>6.8956 * CHOOSE(CONTROL!$C$32, $C$9, 100%, $E$9)</f>
        <v>6.8956</v>
      </c>
    </row>
    <row r="402" spans="1:15" ht="15" x14ac:dyDescent="0.2">
      <c r="A402" s="13">
        <v>53083</v>
      </c>
      <c r="B402" s="9">
        <f>5.8918 * CHOOSE(CONTROL!$C$32, $C$9, 100%, $E$9)</f>
        <v>5.8917999999999999</v>
      </c>
      <c r="C402" s="9">
        <f>5.8918 * CHOOSE(CONTROL!$C$32, $C$9, 100%, $E$9)</f>
        <v>5.8917999999999999</v>
      </c>
      <c r="D402" s="9">
        <f>5.8931 * CHOOSE(CONTROL!$C$32, $C$9, 100%, $E$9)</f>
        <v>5.8930999999999996</v>
      </c>
      <c r="E402" s="11">
        <f>6.9352 * CHOOSE(CONTROL!$C$32, $C$9, 100%, $E$9)</f>
        <v>6.9352</v>
      </c>
      <c r="F402" s="11">
        <f>6.9352 * CHOOSE(CONTROL!$C$32, $C$9, 100%, $E$9)</f>
        <v>6.9352</v>
      </c>
      <c r="G402" s="11">
        <f>6.9394 * CHOOSE(CONTROL!$C$32, $C$9, 100%, $E$9)</f>
        <v>6.9394</v>
      </c>
      <c r="H402" s="11">
        <f>12.9349 * CHOOSE(CONTROL!$C$32, $C$9, 100%, $E$9)</f>
        <v>12.934900000000001</v>
      </c>
      <c r="I402" s="11">
        <f>12.9391 * CHOOSE(CONTROL!$C$32, $C$9, 100%, $E$9)</f>
        <v>12.9391</v>
      </c>
      <c r="J402" s="11">
        <f>12.9349 * CHOOSE(CONTROL!$C$32, $C$9, 100%, $E$9)</f>
        <v>12.934900000000001</v>
      </c>
      <c r="K402" s="11">
        <f>12.9391 * CHOOSE(CONTROL!$C$32, $C$9, 100%, $E$9)</f>
        <v>12.9391</v>
      </c>
      <c r="L402" s="11">
        <f>6.9352 * CHOOSE(CONTROL!$C$32, $C$9, 100%, $E$9)</f>
        <v>6.9352</v>
      </c>
      <c r="M402" s="11">
        <f>6.9394 * CHOOSE(CONTROL!$C$32, $C$9, 100%, $E$9)</f>
        <v>6.9394</v>
      </c>
      <c r="N402" s="11">
        <f>6.9352 * CHOOSE(CONTROL!$C$32, $C$9, 100%, $E$9)</f>
        <v>6.9352</v>
      </c>
      <c r="O402" s="11">
        <f>6.9394 * CHOOSE(CONTROL!$C$32, $C$9, 100%, $E$9)</f>
        <v>6.9394</v>
      </c>
    </row>
    <row r="403" spans="1:15" ht="15" x14ac:dyDescent="0.2">
      <c r="A403" s="13">
        <v>53114</v>
      </c>
      <c r="B403" s="9">
        <f>5.8979 * CHOOSE(CONTROL!$C$32, $C$9, 100%, $E$9)</f>
        <v>5.8978999999999999</v>
      </c>
      <c r="C403" s="9">
        <f>5.8979 * CHOOSE(CONTROL!$C$32, $C$9, 100%, $E$9)</f>
        <v>5.8978999999999999</v>
      </c>
      <c r="D403" s="9">
        <f>5.8992 * CHOOSE(CONTROL!$C$32, $C$9, 100%, $E$9)</f>
        <v>5.8992000000000004</v>
      </c>
      <c r="E403" s="11">
        <f>6.8966 * CHOOSE(CONTROL!$C$32, $C$9, 100%, $E$9)</f>
        <v>6.8966000000000003</v>
      </c>
      <c r="F403" s="11">
        <f>6.8966 * CHOOSE(CONTROL!$C$32, $C$9, 100%, $E$9)</f>
        <v>6.8966000000000003</v>
      </c>
      <c r="G403" s="11">
        <f>6.9008 * CHOOSE(CONTROL!$C$32, $C$9, 100%, $E$9)</f>
        <v>6.9008000000000003</v>
      </c>
      <c r="H403" s="11">
        <f>12.9619 * CHOOSE(CONTROL!$C$32, $C$9, 100%, $E$9)</f>
        <v>12.9619</v>
      </c>
      <c r="I403" s="11">
        <f>12.9661 * CHOOSE(CONTROL!$C$32, $C$9, 100%, $E$9)</f>
        <v>12.966100000000001</v>
      </c>
      <c r="J403" s="11">
        <f>12.9619 * CHOOSE(CONTROL!$C$32, $C$9, 100%, $E$9)</f>
        <v>12.9619</v>
      </c>
      <c r="K403" s="11">
        <f>12.9661 * CHOOSE(CONTROL!$C$32, $C$9, 100%, $E$9)</f>
        <v>12.966100000000001</v>
      </c>
      <c r="L403" s="11">
        <f>6.8966 * CHOOSE(CONTROL!$C$32, $C$9, 100%, $E$9)</f>
        <v>6.8966000000000003</v>
      </c>
      <c r="M403" s="11">
        <f>6.9008 * CHOOSE(CONTROL!$C$32, $C$9, 100%, $E$9)</f>
        <v>6.9008000000000003</v>
      </c>
      <c r="N403" s="11">
        <f>6.8966 * CHOOSE(CONTROL!$C$32, $C$9, 100%, $E$9)</f>
        <v>6.8966000000000003</v>
      </c>
      <c r="O403" s="11">
        <f>6.9008 * CHOOSE(CONTROL!$C$32, $C$9, 100%, $E$9)</f>
        <v>6.9008000000000003</v>
      </c>
    </row>
    <row r="404" spans="1:15" ht="15" x14ac:dyDescent="0.2">
      <c r="A404" s="13">
        <v>53144</v>
      </c>
      <c r="B404" s="9">
        <f>5.9772 * CHOOSE(CONTROL!$C$32, $C$9, 100%, $E$9)</f>
        <v>5.9771999999999998</v>
      </c>
      <c r="C404" s="9">
        <f>5.9772 * CHOOSE(CONTROL!$C$32, $C$9, 100%, $E$9)</f>
        <v>5.9771999999999998</v>
      </c>
      <c r="D404" s="9">
        <f>5.9785 * CHOOSE(CONTROL!$C$32, $C$9, 100%, $E$9)</f>
        <v>5.9785000000000004</v>
      </c>
      <c r="E404" s="11">
        <f>6.9386 * CHOOSE(CONTROL!$C$32, $C$9, 100%, $E$9)</f>
        <v>6.9386000000000001</v>
      </c>
      <c r="F404" s="11">
        <f>6.9386 * CHOOSE(CONTROL!$C$32, $C$9, 100%, $E$9)</f>
        <v>6.9386000000000001</v>
      </c>
      <c r="G404" s="11">
        <f>6.9428 * CHOOSE(CONTROL!$C$32, $C$9, 100%, $E$9)</f>
        <v>6.9428000000000001</v>
      </c>
      <c r="H404" s="11">
        <f>12.9889 * CHOOSE(CONTROL!$C$32, $C$9, 100%, $E$9)</f>
        <v>12.988899999999999</v>
      </c>
      <c r="I404" s="11">
        <f>12.9931 * CHOOSE(CONTROL!$C$32, $C$9, 100%, $E$9)</f>
        <v>12.9931</v>
      </c>
      <c r="J404" s="11">
        <f>12.9889 * CHOOSE(CONTROL!$C$32, $C$9, 100%, $E$9)</f>
        <v>12.988899999999999</v>
      </c>
      <c r="K404" s="11">
        <f>12.9931 * CHOOSE(CONTROL!$C$32, $C$9, 100%, $E$9)</f>
        <v>12.9931</v>
      </c>
      <c r="L404" s="11">
        <f>6.9386 * CHOOSE(CONTROL!$C$32, $C$9, 100%, $E$9)</f>
        <v>6.9386000000000001</v>
      </c>
      <c r="M404" s="11">
        <f>6.9428 * CHOOSE(CONTROL!$C$32, $C$9, 100%, $E$9)</f>
        <v>6.9428000000000001</v>
      </c>
      <c r="N404" s="11">
        <f>6.9386 * CHOOSE(CONTROL!$C$32, $C$9, 100%, $E$9)</f>
        <v>6.9386000000000001</v>
      </c>
      <c r="O404" s="11">
        <f>6.9428 * CHOOSE(CONTROL!$C$32, $C$9, 100%, $E$9)</f>
        <v>6.9428000000000001</v>
      </c>
    </row>
    <row r="405" spans="1:15" ht="15" x14ac:dyDescent="0.2">
      <c r="A405" s="13">
        <v>53175</v>
      </c>
      <c r="B405" s="9">
        <f>5.9839 * CHOOSE(CONTROL!$C$32, $C$9, 100%, $E$9)</f>
        <v>5.9839000000000002</v>
      </c>
      <c r="C405" s="9">
        <f>5.9839 * CHOOSE(CONTROL!$C$32, $C$9, 100%, $E$9)</f>
        <v>5.9839000000000002</v>
      </c>
      <c r="D405" s="9">
        <f>5.9851 * CHOOSE(CONTROL!$C$32, $C$9, 100%, $E$9)</f>
        <v>5.9851000000000001</v>
      </c>
      <c r="E405" s="11">
        <f>6.8147 * CHOOSE(CONTROL!$C$32, $C$9, 100%, $E$9)</f>
        <v>6.8147000000000002</v>
      </c>
      <c r="F405" s="11">
        <f>6.8147 * CHOOSE(CONTROL!$C$32, $C$9, 100%, $E$9)</f>
        <v>6.8147000000000002</v>
      </c>
      <c r="G405" s="11">
        <f>6.8189 * CHOOSE(CONTROL!$C$32, $C$9, 100%, $E$9)</f>
        <v>6.8189000000000002</v>
      </c>
      <c r="H405" s="11">
        <f>13.016 * CHOOSE(CONTROL!$C$32, $C$9, 100%, $E$9)</f>
        <v>13.016</v>
      </c>
      <c r="I405" s="11">
        <f>13.0202 * CHOOSE(CONTROL!$C$32, $C$9, 100%, $E$9)</f>
        <v>13.020200000000001</v>
      </c>
      <c r="J405" s="11">
        <f>13.016 * CHOOSE(CONTROL!$C$32, $C$9, 100%, $E$9)</f>
        <v>13.016</v>
      </c>
      <c r="K405" s="11">
        <f>13.0202 * CHOOSE(CONTROL!$C$32, $C$9, 100%, $E$9)</f>
        <v>13.020200000000001</v>
      </c>
      <c r="L405" s="11">
        <f>6.8147 * CHOOSE(CONTROL!$C$32, $C$9, 100%, $E$9)</f>
        <v>6.8147000000000002</v>
      </c>
      <c r="M405" s="11">
        <f>6.8189 * CHOOSE(CONTROL!$C$32, $C$9, 100%, $E$9)</f>
        <v>6.8189000000000002</v>
      </c>
      <c r="N405" s="11">
        <f>6.8147 * CHOOSE(CONTROL!$C$32, $C$9, 100%, $E$9)</f>
        <v>6.8147000000000002</v>
      </c>
      <c r="O405" s="11">
        <f>6.8189 * CHOOSE(CONTROL!$C$32, $C$9, 100%, $E$9)</f>
        <v>6.8189000000000002</v>
      </c>
    </row>
    <row r="406" spans="1:15" ht="15" x14ac:dyDescent="0.2">
      <c r="A406" s="13">
        <v>53206</v>
      </c>
      <c r="B406" s="9">
        <f>5.9809 * CHOOSE(CONTROL!$C$32, $C$9, 100%, $E$9)</f>
        <v>5.9809000000000001</v>
      </c>
      <c r="C406" s="9">
        <f>5.9809 * CHOOSE(CONTROL!$C$32, $C$9, 100%, $E$9)</f>
        <v>5.9809000000000001</v>
      </c>
      <c r="D406" s="9">
        <f>5.9821 * CHOOSE(CONTROL!$C$32, $C$9, 100%, $E$9)</f>
        <v>5.9821</v>
      </c>
      <c r="E406" s="11">
        <f>6.7983 * CHOOSE(CONTROL!$C$32, $C$9, 100%, $E$9)</f>
        <v>6.7983000000000002</v>
      </c>
      <c r="F406" s="11">
        <f>6.7983 * CHOOSE(CONTROL!$C$32, $C$9, 100%, $E$9)</f>
        <v>6.7983000000000002</v>
      </c>
      <c r="G406" s="11">
        <f>6.8025 * CHOOSE(CONTROL!$C$32, $C$9, 100%, $E$9)</f>
        <v>6.8025000000000002</v>
      </c>
      <c r="H406" s="11">
        <f>13.0431 * CHOOSE(CONTROL!$C$32, $C$9, 100%, $E$9)</f>
        <v>13.043100000000001</v>
      </c>
      <c r="I406" s="11">
        <f>13.0473 * CHOOSE(CONTROL!$C$32, $C$9, 100%, $E$9)</f>
        <v>13.0473</v>
      </c>
      <c r="J406" s="11">
        <f>13.0431 * CHOOSE(CONTROL!$C$32, $C$9, 100%, $E$9)</f>
        <v>13.043100000000001</v>
      </c>
      <c r="K406" s="11">
        <f>13.0473 * CHOOSE(CONTROL!$C$32, $C$9, 100%, $E$9)</f>
        <v>13.0473</v>
      </c>
      <c r="L406" s="11">
        <f>6.7983 * CHOOSE(CONTROL!$C$32, $C$9, 100%, $E$9)</f>
        <v>6.7983000000000002</v>
      </c>
      <c r="M406" s="11">
        <f>6.8025 * CHOOSE(CONTROL!$C$32, $C$9, 100%, $E$9)</f>
        <v>6.8025000000000002</v>
      </c>
      <c r="N406" s="11">
        <f>6.7983 * CHOOSE(CONTROL!$C$32, $C$9, 100%, $E$9)</f>
        <v>6.7983000000000002</v>
      </c>
      <c r="O406" s="11">
        <f>6.8025 * CHOOSE(CONTROL!$C$32, $C$9, 100%, $E$9)</f>
        <v>6.8025000000000002</v>
      </c>
    </row>
    <row r="407" spans="1:15" ht="15" x14ac:dyDescent="0.2">
      <c r="A407" s="13">
        <v>53236</v>
      </c>
      <c r="B407" s="9">
        <f>5.9833 * CHOOSE(CONTROL!$C$32, $C$9, 100%, $E$9)</f>
        <v>5.9832999999999998</v>
      </c>
      <c r="C407" s="9">
        <f>5.9833 * CHOOSE(CONTROL!$C$32, $C$9, 100%, $E$9)</f>
        <v>5.9832999999999998</v>
      </c>
      <c r="D407" s="9">
        <f>5.9842 * CHOOSE(CONTROL!$C$32, $C$9, 100%, $E$9)</f>
        <v>5.9842000000000004</v>
      </c>
      <c r="E407" s="11">
        <f>6.842 * CHOOSE(CONTROL!$C$32, $C$9, 100%, $E$9)</f>
        <v>6.8419999999999996</v>
      </c>
      <c r="F407" s="11">
        <f>6.842 * CHOOSE(CONTROL!$C$32, $C$9, 100%, $E$9)</f>
        <v>6.8419999999999996</v>
      </c>
      <c r="G407" s="11">
        <f>6.8452 * CHOOSE(CONTROL!$C$32, $C$9, 100%, $E$9)</f>
        <v>6.8452000000000002</v>
      </c>
      <c r="H407" s="11">
        <f>13.0702 * CHOOSE(CONTROL!$C$32, $C$9, 100%, $E$9)</f>
        <v>13.0702</v>
      </c>
      <c r="I407" s="11">
        <f>13.0735 * CHOOSE(CONTROL!$C$32, $C$9, 100%, $E$9)</f>
        <v>13.073499999999999</v>
      </c>
      <c r="J407" s="11">
        <f>13.0702 * CHOOSE(CONTROL!$C$32, $C$9, 100%, $E$9)</f>
        <v>13.0702</v>
      </c>
      <c r="K407" s="11">
        <f>13.0735 * CHOOSE(CONTROL!$C$32, $C$9, 100%, $E$9)</f>
        <v>13.073499999999999</v>
      </c>
      <c r="L407" s="11">
        <f>6.842 * CHOOSE(CONTROL!$C$32, $C$9, 100%, $E$9)</f>
        <v>6.8419999999999996</v>
      </c>
      <c r="M407" s="11">
        <f>6.8452 * CHOOSE(CONTROL!$C$32, $C$9, 100%, $E$9)</f>
        <v>6.8452000000000002</v>
      </c>
      <c r="N407" s="11">
        <f>6.842 * CHOOSE(CONTROL!$C$32, $C$9, 100%, $E$9)</f>
        <v>6.8419999999999996</v>
      </c>
      <c r="O407" s="11">
        <f>6.8452 * CHOOSE(CONTROL!$C$32, $C$9, 100%, $E$9)</f>
        <v>6.8452000000000002</v>
      </c>
    </row>
    <row r="408" spans="1:15" ht="15" x14ac:dyDescent="0.2">
      <c r="A408" s="13">
        <v>53267</v>
      </c>
      <c r="B408" s="9">
        <f>5.9863 * CHOOSE(CONTROL!$C$32, $C$9, 100%, $E$9)</f>
        <v>5.9863</v>
      </c>
      <c r="C408" s="9">
        <f>5.9863 * CHOOSE(CONTROL!$C$32, $C$9, 100%, $E$9)</f>
        <v>5.9863</v>
      </c>
      <c r="D408" s="9">
        <f>5.9873 * CHOOSE(CONTROL!$C$32, $C$9, 100%, $E$9)</f>
        <v>5.9873000000000003</v>
      </c>
      <c r="E408" s="11">
        <f>6.8727 * CHOOSE(CONTROL!$C$32, $C$9, 100%, $E$9)</f>
        <v>6.8727</v>
      </c>
      <c r="F408" s="11">
        <f>6.8727 * CHOOSE(CONTROL!$C$32, $C$9, 100%, $E$9)</f>
        <v>6.8727</v>
      </c>
      <c r="G408" s="11">
        <f>6.8759 * CHOOSE(CONTROL!$C$32, $C$9, 100%, $E$9)</f>
        <v>6.8758999999999997</v>
      </c>
      <c r="H408" s="11">
        <f>13.0975 * CHOOSE(CONTROL!$C$32, $C$9, 100%, $E$9)</f>
        <v>13.0975</v>
      </c>
      <c r="I408" s="11">
        <f>13.1007 * CHOOSE(CONTROL!$C$32, $C$9, 100%, $E$9)</f>
        <v>13.1007</v>
      </c>
      <c r="J408" s="11">
        <f>13.0975 * CHOOSE(CONTROL!$C$32, $C$9, 100%, $E$9)</f>
        <v>13.0975</v>
      </c>
      <c r="K408" s="11">
        <f>13.1007 * CHOOSE(CONTROL!$C$32, $C$9, 100%, $E$9)</f>
        <v>13.1007</v>
      </c>
      <c r="L408" s="11">
        <f>6.8727 * CHOOSE(CONTROL!$C$32, $C$9, 100%, $E$9)</f>
        <v>6.8727</v>
      </c>
      <c r="M408" s="11">
        <f>6.8759 * CHOOSE(CONTROL!$C$32, $C$9, 100%, $E$9)</f>
        <v>6.8758999999999997</v>
      </c>
      <c r="N408" s="11">
        <f>6.8727 * CHOOSE(CONTROL!$C$32, $C$9, 100%, $E$9)</f>
        <v>6.8727</v>
      </c>
      <c r="O408" s="11">
        <f>6.8759 * CHOOSE(CONTROL!$C$32, $C$9, 100%, $E$9)</f>
        <v>6.8758999999999997</v>
      </c>
    </row>
    <row r="409" spans="1:15" ht="15" x14ac:dyDescent="0.2">
      <c r="A409" s="13">
        <v>53297</v>
      </c>
      <c r="B409" s="9">
        <f>5.9863 * CHOOSE(CONTROL!$C$32, $C$9, 100%, $E$9)</f>
        <v>5.9863</v>
      </c>
      <c r="C409" s="9">
        <f>5.9863 * CHOOSE(CONTROL!$C$32, $C$9, 100%, $E$9)</f>
        <v>5.9863</v>
      </c>
      <c r="D409" s="9">
        <f>5.9873 * CHOOSE(CONTROL!$C$32, $C$9, 100%, $E$9)</f>
        <v>5.9873000000000003</v>
      </c>
      <c r="E409" s="11">
        <f>6.8013 * CHOOSE(CONTROL!$C$32, $C$9, 100%, $E$9)</f>
        <v>6.8013000000000003</v>
      </c>
      <c r="F409" s="11">
        <f>6.8013 * CHOOSE(CONTROL!$C$32, $C$9, 100%, $E$9)</f>
        <v>6.8013000000000003</v>
      </c>
      <c r="G409" s="11">
        <f>6.8045 * CHOOSE(CONTROL!$C$32, $C$9, 100%, $E$9)</f>
        <v>6.8045</v>
      </c>
      <c r="H409" s="11">
        <f>13.1248 * CHOOSE(CONTROL!$C$32, $C$9, 100%, $E$9)</f>
        <v>13.1248</v>
      </c>
      <c r="I409" s="11">
        <f>13.128 * CHOOSE(CONTROL!$C$32, $C$9, 100%, $E$9)</f>
        <v>13.128</v>
      </c>
      <c r="J409" s="11">
        <f>13.1248 * CHOOSE(CONTROL!$C$32, $C$9, 100%, $E$9)</f>
        <v>13.1248</v>
      </c>
      <c r="K409" s="11">
        <f>13.128 * CHOOSE(CONTROL!$C$32, $C$9, 100%, $E$9)</f>
        <v>13.128</v>
      </c>
      <c r="L409" s="11">
        <f>6.8013 * CHOOSE(CONTROL!$C$32, $C$9, 100%, $E$9)</f>
        <v>6.8013000000000003</v>
      </c>
      <c r="M409" s="11">
        <f>6.8045 * CHOOSE(CONTROL!$C$32, $C$9, 100%, $E$9)</f>
        <v>6.8045</v>
      </c>
      <c r="N409" s="11">
        <f>6.8013 * CHOOSE(CONTROL!$C$32, $C$9, 100%, $E$9)</f>
        <v>6.8013000000000003</v>
      </c>
      <c r="O409" s="11">
        <f>6.8045 * CHOOSE(CONTROL!$C$32, $C$9, 100%, $E$9)</f>
        <v>6.8045</v>
      </c>
    </row>
    <row r="410" spans="1:15" ht="15" x14ac:dyDescent="0.2">
      <c r="A410" s="13">
        <v>53328</v>
      </c>
      <c r="B410" s="9">
        <f>6.0321 * CHOOSE(CONTROL!$C$32, $C$9, 100%, $E$9)</f>
        <v>6.0320999999999998</v>
      </c>
      <c r="C410" s="9">
        <f>6.0321 * CHOOSE(CONTROL!$C$32, $C$9, 100%, $E$9)</f>
        <v>6.0320999999999998</v>
      </c>
      <c r="D410" s="9">
        <f>6.0331 * CHOOSE(CONTROL!$C$32, $C$9, 100%, $E$9)</f>
        <v>6.0331000000000001</v>
      </c>
      <c r="E410" s="11">
        <f>6.8926 * CHOOSE(CONTROL!$C$32, $C$9, 100%, $E$9)</f>
        <v>6.8925999999999998</v>
      </c>
      <c r="F410" s="11">
        <f>6.8926 * CHOOSE(CONTROL!$C$32, $C$9, 100%, $E$9)</f>
        <v>6.8925999999999998</v>
      </c>
      <c r="G410" s="11">
        <f>6.8958 * CHOOSE(CONTROL!$C$32, $C$9, 100%, $E$9)</f>
        <v>6.8958000000000004</v>
      </c>
      <c r="H410" s="11">
        <f>13.1521 * CHOOSE(CONTROL!$C$32, $C$9, 100%, $E$9)</f>
        <v>13.152100000000001</v>
      </c>
      <c r="I410" s="11">
        <f>13.1553 * CHOOSE(CONTROL!$C$32, $C$9, 100%, $E$9)</f>
        <v>13.1553</v>
      </c>
      <c r="J410" s="11">
        <f>13.1521 * CHOOSE(CONTROL!$C$32, $C$9, 100%, $E$9)</f>
        <v>13.152100000000001</v>
      </c>
      <c r="K410" s="11">
        <f>13.1553 * CHOOSE(CONTROL!$C$32, $C$9, 100%, $E$9)</f>
        <v>13.1553</v>
      </c>
      <c r="L410" s="11">
        <f>6.8926 * CHOOSE(CONTROL!$C$32, $C$9, 100%, $E$9)</f>
        <v>6.8925999999999998</v>
      </c>
      <c r="M410" s="11">
        <f>6.8958 * CHOOSE(CONTROL!$C$32, $C$9, 100%, $E$9)</f>
        <v>6.8958000000000004</v>
      </c>
      <c r="N410" s="11">
        <f>6.8926 * CHOOSE(CONTROL!$C$32, $C$9, 100%, $E$9)</f>
        <v>6.8925999999999998</v>
      </c>
      <c r="O410" s="11">
        <f>6.8958 * CHOOSE(CONTROL!$C$32, $C$9, 100%, $E$9)</f>
        <v>6.8958000000000004</v>
      </c>
    </row>
    <row r="411" spans="1:15" ht="15" x14ac:dyDescent="0.2">
      <c r="A411" s="13">
        <v>53359</v>
      </c>
      <c r="B411" s="9">
        <f>6.0291 * CHOOSE(CONTROL!$C$32, $C$9, 100%, $E$9)</f>
        <v>6.0290999999999997</v>
      </c>
      <c r="C411" s="9">
        <f>6.0291 * CHOOSE(CONTROL!$C$32, $C$9, 100%, $E$9)</f>
        <v>6.0290999999999997</v>
      </c>
      <c r="D411" s="9">
        <f>6.0301 * CHOOSE(CONTROL!$C$32, $C$9, 100%, $E$9)</f>
        <v>6.0301</v>
      </c>
      <c r="E411" s="11">
        <f>6.7511 * CHOOSE(CONTROL!$C$32, $C$9, 100%, $E$9)</f>
        <v>6.7511000000000001</v>
      </c>
      <c r="F411" s="11">
        <f>6.7511 * CHOOSE(CONTROL!$C$32, $C$9, 100%, $E$9)</f>
        <v>6.7511000000000001</v>
      </c>
      <c r="G411" s="11">
        <f>6.7543 * CHOOSE(CONTROL!$C$32, $C$9, 100%, $E$9)</f>
        <v>6.7542999999999997</v>
      </c>
      <c r="H411" s="11">
        <f>13.1795 * CHOOSE(CONTROL!$C$32, $C$9, 100%, $E$9)</f>
        <v>13.179500000000001</v>
      </c>
      <c r="I411" s="11">
        <f>13.1827 * CHOOSE(CONTROL!$C$32, $C$9, 100%, $E$9)</f>
        <v>13.182700000000001</v>
      </c>
      <c r="J411" s="11">
        <f>13.1795 * CHOOSE(CONTROL!$C$32, $C$9, 100%, $E$9)</f>
        <v>13.179500000000001</v>
      </c>
      <c r="K411" s="11">
        <f>13.1827 * CHOOSE(CONTROL!$C$32, $C$9, 100%, $E$9)</f>
        <v>13.182700000000001</v>
      </c>
      <c r="L411" s="11">
        <f>6.7511 * CHOOSE(CONTROL!$C$32, $C$9, 100%, $E$9)</f>
        <v>6.7511000000000001</v>
      </c>
      <c r="M411" s="11">
        <f>6.7543 * CHOOSE(CONTROL!$C$32, $C$9, 100%, $E$9)</f>
        <v>6.7542999999999997</v>
      </c>
      <c r="N411" s="11">
        <f>6.7511 * CHOOSE(CONTROL!$C$32, $C$9, 100%, $E$9)</f>
        <v>6.7511000000000001</v>
      </c>
      <c r="O411" s="11">
        <f>6.7543 * CHOOSE(CONTROL!$C$32, $C$9, 100%, $E$9)</f>
        <v>6.7542999999999997</v>
      </c>
    </row>
    <row r="412" spans="1:15" ht="15" x14ac:dyDescent="0.2">
      <c r="A412" s="13">
        <v>53387</v>
      </c>
      <c r="B412" s="9">
        <f>6.0261 * CHOOSE(CONTROL!$C$32, $C$9, 100%, $E$9)</f>
        <v>6.0260999999999996</v>
      </c>
      <c r="C412" s="9">
        <f>6.0261 * CHOOSE(CONTROL!$C$32, $C$9, 100%, $E$9)</f>
        <v>6.0260999999999996</v>
      </c>
      <c r="D412" s="9">
        <f>6.027 * CHOOSE(CONTROL!$C$32, $C$9, 100%, $E$9)</f>
        <v>6.0270000000000001</v>
      </c>
      <c r="E412" s="11">
        <f>6.8589 * CHOOSE(CONTROL!$C$32, $C$9, 100%, $E$9)</f>
        <v>6.8589000000000002</v>
      </c>
      <c r="F412" s="11">
        <f>6.8589 * CHOOSE(CONTROL!$C$32, $C$9, 100%, $E$9)</f>
        <v>6.8589000000000002</v>
      </c>
      <c r="G412" s="11">
        <f>6.8621 * CHOOSE(CONTROL!$C$32, $C$9, 100%, $E$9)</f>
        <v>6.8620999999999999</v>
      </c>
      <c r="H412" s="11">
        <f>13.207 * CHOOSE(CONTROL!$C$32, $C$9, 100%, $E$9)</f>
        <v>13.207000000000001</v>
      </c>
      <c r="I412" s="11">
        <f>13.2102 * CHOOSE(CONTROL!$C$32, $C$9, 100%, $E$9)</f>
        <v>13.2102</v>
      </c>
      <c r="J412" s="11">
        <f>13.207 * CHOOSE(CONTROL!$C$32, $C$9, 100%, $E$9)</f>
        <v>13.207000000000001</v>
      </c>
      <c r="K412" s="11">
        <f>13.2102 * CHOOSE(CONTROL!$C$32, $C$9, 100%, $E$9)</f>
        <v>13.2102</v>
      </c>
      <c r="L412" s="11">
        <f>6.8589 * CHOOSE(CONTROL!$C$32, $C$9, 100%, $E$9)</f>
        <v>6.8589000000000002</v>
      </c>
      <c r="M412" s="11">
        <f>6.8621 * CHOOSE(CONTROL!$C$32, $C$9, 100%, $E$9)</f>
        <v>6.8620999999999999</v>
      </c>
      <c r="N412" s="11">
        <f>6.8589 * CHOOSE(CONTROL!$C$32, $C$9, 100%, $E$9)</f>
        <v>6.8589000000000002</v>
      </c>
      <c r="O412" s="11">
        <f>6.8621 * CHOOSE(CONTROL!$C$32, $C$9, 100%, $E$9)</f>
        <v>6.8620999999999999</v>
      </c>
    </row>
    <row r="413" spans="1:15" ht="15" x14ac:dyDescent="0.2">
      <c r="A413" s="13">
        <v>53418</v>
      </c>
      <c r="B413" s="9">
        <f>6.0257 * CHOOSE(CONTROL!$C$32, $C$9, 100%, $E$9)</f>
        <v>6.0256999999999996</v>
      </c>
      <c r="C413" s="9">
        <f>6.0257 * CHOOSE(CONTROL!$C$32, $C$9, 100%, $E$9)</f>
        <v>6.0256999999999996</v>
      </c>
      <c r="D413" s="9">
        <f>6.0266 * CHOOSE(CONTROL!$C$32, $C$9, 100%, $E$9)</f>
        <v>6.0266000000000002</v>
      </c>
      <c r="E413" s="11">
        <f>6.9726 * CHOOSE(CONTROL!$C$32, $C$9, 100%, $E$9)</f>
        <v>6.9725999999999999</v>
      </c>
      <c r="F413" s="11">
        <f>6.9726 * CHOOSE(CONTROL!$C$32, $C$9, 100%, $E$9)</f>
        <v>6.9725999999999999</v>
      </c>
      <c r="G413" s="11">
        <f>6.9758 * CHOOSE(CONTROL!$C$32, $C$9, 100%, $E$9)</f>
        <v>6.9757999999999996</v>
      </c>
      <c r="H413" s="11">
        <f>13.2345 * CHOOSE(CONTROL!$C$32, $C$9, 100%, $E$9)</f>
        <v>13.234500000000001</v>
      </c>
      <c r="I413" s="11">
        <f>13.2377 * CHOOSE(CONTROL!$C$32, $C$9, 100%, $E$9)</f>
        <v>13.2377</v>
      </c>
      <c r="J413" s="11">
        <f>13.2345 * CHOOSE(CONTROL!$C$32, $C$9, 100%, $E$9)</f>
        <v>13.234500000000001</v>
      </c>
      <c r="K413" s="11">
        <f>13.2377 * CHOOSE(CONTROL!$C$32, $C$9, 100%, $E$9)</f>
        <v>13.2377</v>
      </c>
      <c r="L413" s="11">
        <f>6.9726 * CHOOSE(CONTROL!$C$32, $C$9, 100%, $E$9)</f>
        <v>6.9725999999999999</v>
      </c>
      <c r="M413" s="11">
        <f>6.9758 * CHOOSE(CONTROL!$C$32, $C$9, 100%, $E$9)</f>
        <v>6.9757999999999996</v>
      </c>
      <c r="N413" s="11">
        <f>6.9726 * CHOOSE(CONTROL!$C$32, $C$9, 100%, $E$9)</f>
        <v>6.9725999999999999</v>
      </c>
      <c r="O413" s="11">
        <f>6.9758 * CHOOSE(CONTROL!$C$32, $C$9, 100%, $E$9)</f>
        <v>6.9757999999999996</v>
      </c>
    </row>
    <row r="414" spans="1:15" ht="15" x14ac:dyDescent="0.2">
      <c r="A414" s="13">
        <v>53448</v>
      </c>
      <c r="B414" s="9">
        <f>6.0257 * CHOOSE(CONTROL!$C$32, $C$9, 100%, $E$9)</f>
        <v>6.0256999999999996</v>
      </c>
      <c r="C414" s="9">
        <f>6.0257 * CHOOSE(CONTROL!$C$32, $C$9, 100%, $E$9)</f>
        <v>6.0256999999999996</v>
      </c>
      <c r="D414" s="9">
        <f>6.0269 * CHOOSE(CONTROL!$C$32, $C$9, 100%, $E$9)</f>
        <v>6.0269000000000004</v>
      </c>
      <c r="E414" s="11">
        <f>7.0168 * CHOOSE(CONTROL!$C$32, $C$9, 100%, $E$9)</f>
        <v>7.0167999999999999</v>
      </c>
      <c r="F414" s="11">
        <f>7.0168 * CHOOSE(CONTROL!$C$32, $C$9, 100%, $E$9)</f>
        <v>7.0167999999999999</v>
      </c>
      <c r="G414" s="11">
        <f>7.0211 * CHOOSE(CONTROL!$C$32, $C$9, 100%, $E$9)</f>
        <v>7.0210999999999997</v>
      </c>
      <c r="H414" s="11">
        <f>13.262 * CHOOSE(CONTROL!$C$32, $C$9, 100%, $E$9)</f>
        <v>13.262</v>
      </c>
      <c r="I414" s="11">
        <f>13.2662 * CHOOSE(CONTROL!$C$32, $C$9, 100%, $E$9)</f>
        <v>13.2662</v>
      </c>
      <c r="J414" s="11">
        <f>13.262 * CHOOSE(CONTROL!$C$32, $C$9, 100%, $E$9)</f>
        <v>13.262</v>
      </c>
      <c r="K414" s="11">
        <f>13.2662 * CHOOSE(CONTROL!$C$32, $C$9, 100%, $E$9)</f>
        <v>13.2662</v>
      </c>
      <c r="L414" s="11">
        <f>7.0168 * CHOOSE(CONTROL!$C$32, $C$9, 100%, $E$9)</f>
        <v>7.0167999999999999</v>
      </c>
      <c r="M414" s="11">
        <f>7.0211 * CHOOSE(CONTROL!$C$32, $C$9, 100%, $E$9)</f>
        <v>7.0210999999999997</v>
      </c>
      <c r="N414" s="11">
        <f>7.0168 * CHOOSE(CONTROL!$C$32, $C$9, 100%, $E$9)</f>
        <v>7.0167999999999999</v>
      </c>
      <c r="O414" s="11">
        <f>7.0211 * CHOOSE(CONTROL!$C$32, $C$9, 100%, $E$9)</f>
        <v>7.0210999999999997</v>
      </c>
    </row>
    <row r="415" spans="1:15" ht="15" x14ac:dyDescent="0.2">
      <c r="A415" s="13">
        <v>53479</v>
      </c>
      <c r="B415" s="9">
        <f>6.0318 * CHOOSE(CONTROL!$C$32, $C$9, 100%, $E$9)</f>
        <v>6.0317999999999996</v>
      </c>
      <c r="C415" s="9">
        <f>6.0318 * CHOOSE(CONTROL!$C$32, $C$9, 100%, $E$9)</f>
        <v>6.0317999999999996</v>
      </c>
      <c r="D415" s="9">
        <f>6.033 * CHOOSE(CONTROL!$C$32, $C$9, 100%, $E$9)</f>
        <v>6.0330000000000004</v>
      </c>
      <c r="E415" s="11">
        <f>6.9768 * CHOOSE(CONTROL!$C$32, $C$9, 100%, $E$9)</f>
        <v>6.9767999999999999</v>
      </c>
      <c r="F415" s="11">
        <f>6.9768 * CHOOSE(CONTROL!$C$32, $C$9, 100%, $E$9)</f>
        <v>6.9767999999999999</v>
      </c>
      <c r="G415" s="11">
        <f>6.981 * CHOOSE(CONTROL!$C$32, $C$9, 100%, $E$9)</f>
        <v>6.9809999999999999</v>
      </c>
      <c r="H415" s="11">
        <f>13.2897 * CHOOSE(CONTROL!$C$32, $C$9, 100%, $E$9)</f>
        <v>13.2897</v>
      </c>
      <c r="I415" s="11">
        <f>13.2939 * CHOOSE(CONTROL!$C$32, $C$9, 100%, $E$9)</f>
        <v>13.293900000000001</v>
      </c>
      <c r="J415" s="11">
        <f>13.2897 * CHOOSE(CONTROL!$C$32, $C$9, 100%, $E$9)</f>
        <v>13.2897</v>
      </c>
      <c r="K415" s="11">
        <f>13.2939 * CHOOSE(CONTROL!$C$32, $C$9, 100%, $E$9)</f>
        <v>13.293900000000001</v>
      </c>
      <c r="L415" s="11">
        <f>6.9768 * CHOOSE(CONTROL!$C$32, $C$9, 100%, $E$9)</f>
        <v>6.9767999999999999</v>
      </c>
      <c r="M415" s="11">
        <f>6.981 * CHOOSE(CONTROL!$C$32, $C$9, 100%, $E$9)</f>
        <v>6.9809999999999999</v>
      </c>
      <c r="N415" s="11">
        <f>6.9768 * CHOOSE(CONTROL!$C$32, $C$9, 100%, $E$9)</f>
        <v>6.9767999999999999</v>
      </c>
      <c r="O415" s="11">
        <f>6.981 * CHOOSE(CONTROL!$C$32, $C$9, 100%, $E$9)</f>
        <v>6.9809999999999999</v>
      </c>
    </row>
    <row r="416" spans="1:15" ht="15" x14ac:dyDescent="0.2">
      <c r="A416" s="13">
        <v>53509</v>
      </c>
      <c r="B416" s="9">
        <f>6.1126 * CHOOSE(CONTROL!$C$32, $C$9, 100%, $E$9)</f>
        <v>6.1125999999999996</v>
      </c>
      <c r="C416" s="9">
        <f>6.1126 * CHOOSE(CONTROL!$C$32, $C$9, 100%, $E$9)</f>
        <v>6.1125999999999996</v>
      </c>
      <c r="D416" s="9">
        <f>6.1139 * CHOOSE(CONTROL!$C$32, $C$9, 100%, $E$9)</f>
        <v>6.1139000000000001</v>
      </c>
      <c r="E416" s="11">
        <f>7.0342 * CHOOSE(CONTROL!$C$32, $C$9, 100%, $E$9)</f>
        <v>7.0342000000000002</v>
      </c>
      <c r="F416" s="11">
        <f>7.0342 * CHOOSE(CONTROL!$C$32, $C$9, 100%, $E$9)</f>
        <v>7.0342000000000002</v>
      </c>
      <c r="G416" s="11">
        <f>7.0384 * CHOOSE(CONTROL!$C$32, $C$9, 100%, $E$9)</f>
        <v>7.0384000000000002</v>
      </c>
      <c r="H416" s="11">
        <f>13.3174 * CHOOSE(CONTROL!$C$32, $C$9, 100%, $E$9)</f>
        <v>13.317399999999999</v>
      </c>
      <c r="I416" s="11">
        <f>13.3216 * CHOOSE(CONTROL!$C$32, $C$9, 100%, $E$9)</f>
        <v>13.3216</v>
      </c>
      <c r="J416" s="11">
        <f>13.3174 * CHOOSE(CONTROL!$C$32, $C$9, 100%, $E$9)</f>
        <v>13.317399999999999</v>
      </c>
      <c r="K416" s="11">
        <f>13.3216 * CHOOSE(CONTROL!$C$32, $C$9, 100%, $E$9)</f>
        <v>13.3216</v>
      </c>
      <c r="L416" s="11">
        <f>7.0342 * CHOOSE(CONTROL!$C$32, $C$9, 100%, $E$9)</f>
        <v>7.0342000000000002</v>
      </c>
      <c r="M416" s="11">
        <f>7.0384 * CHOOSE(CONTROL!$C$32, $C$9, 100%, $E$9)</f>
        <v>7.0384000000000002</v>
      </c>
      <c r="N416" s="11">
        <f>7.0342 * CHOOSE(CONTROL!$C$32, $C$9, 100%, $E$9)</f>
        <v>7.0342000000000002</v>
      </c>
      <c r="O416" s="11">
        <f>7.0384 * CHOOSE(CONTROL!$C$32, $C$9, 100%, $E$9)</f>
        <v>7.0384000000000002</v>
      </c>
    </row>
    <row r="417" spans="1:15" ht="15" x14ac:dyDescent="0.2">
      <c r="A417" s="13">
        <v>53540</v>
      </c>
      <c r="B417" s="9">
        <f>6.1193 * CHOOSE(CONTROL!$C$32, $C$9, 100%, $E$9)</f>
        <v>6.1193</v>
      </c>
      <c r="C417" s="9">
        <f>6.1193 * CHOOSE(CONTROL!$C$32, $C$9, 100%, $E$9)</f>
        <v>6.1193</v>
      </c>
      <c r="D417" s="9">
        <f>6.1206 * CHOOSE(CONTROL!$C$32, $C$9, 100%, $E$9)</f>
        <v>6.1205999999999996</v>
      </c>
      <c r="E417" s="11">
        <f>6.9061 * CHOOSE(CONTROL!$C$32, $C$9, 100%, $E$9)</f>
        <v>6.9061000000000003</v>
      </c>
      <c r="F417" s="11">
        <f>6.9061 * CHOOSE(CONTROL!$C$32, $C$9, 100%, $E$9)</f>
        <v>6.9061000000000003</v>
      </c>
      <c r="G417" s="11">
        <f>6.9103 * CHOOSE(CONTROL!$C$32, $C$9, 100%, $E$9)</f>
        <v>6.9103000000000003</v>
      </c>
      <c r="H417" s="11">
        <f>13.3451 * CHOOSE(CONTROL!$C$32, $C$9, 100%, $E$9)</f>
        <v>13.3451</v>
      </c>
      <c r="I417" s="11">
        <f>13.3493 * CHOOSE(CONTROL!$C$32, $C$9, 100%, $E$9)</f>
        <v>13.349299999999999</v>
      </c>
      <c r="J417" s="11">
        <f>13.3451 * CHOOSE(CONTROL!$C$32, $C$9, 100%, $E$9)</f>
        <v>13.3451</v>
      </c>
      <c r="K417" s="11">
        <f>13.3493 * CHOOSE(CONTROL!$C$32, $C$9, 100%, $E$9)</f>
        <v>13.349299999999999</v>
      </c>
      <c r="L417" s="11">
        <f>6.9061 * CHOOSE(CONTROL!$C$32, $C$9, 100%, $E$9)</f>
        <v>6.9061000000000003</v>
      </c>
      <c r="M417" s="11">
        <f>6.9103 * CHOOSE(CONTROL!$C$32, $C$9, 100%, $E$9)</f>
        <v>6.9103000000000003</v>
      </c>
      <c r="N417" s="11">
        <f>6.9061 * CHOOSE(CONTROL!$C$32, $C$9, 100%, $E$9)</f>
        <v>6.9061000000000003</v>
      </c>
      <c r="O417" s="11">
        <f>6.9103 * CHOOSE(CONTROL!$C$32, $C$9, 100%, $E$9)</f>
        <v>6.9103000000000003</v>
      </c>
    </row>
    <row r="418" spans="1:15" ht="15" x14ac:dyDescent="0.2">
      <c r="A418" s="13">
        <v>53571</v>
      </c>
      <c r="B418" s="9">
        <f>6.1163 * CHOOSE(CONTROL!$C$32, $C$9, 100%, $E$9)</f>
        <v>6.1162999999999998</v>
      </c>
      <c r="C418" s="9">
        <f>6.1163 * CHOOSE(CONTROL!$C$32, $C$9, 100%, $E$9)</f>
        <v>6.1162999999999998</v>
      </c>
      <c r="D418" s="9">
        <f>6.1175 * CHOOSE(CONTROL!$C$32, $C$9, 100%, $E$9)</f>
        <v>6.1174999999999997</v>
      </c>
      <c r="E418" s="11">
        <f>6.8892 * CHOOSE(CONTROL!$C$32, $C$9, 100%, $E$9)</f>
        <v>6.8891999999999998</v>
      </c>
      <c r="F418" s="11">
        <f>6.8892 * CHOOSE(CONTROL!$C$32, $C$9, 100%, $E$9)</f>
        <v>6.8891999999999998</v>
      </c>
      <c r="G418" s="11">
        <f>6.8934 * CHOOSE(CONTROL!$C$32, $C$9, 100%, $E$9)</f>
        <v>6.8933999999999997</v>
      </c>
      <c r="H418" s="11">
        <f>13.3729 * CHOOSE(CONTROL!$C$32, $C$9, 100%, $E$9)</f>
        <v>13.3729</v>
      </c>
      <c r="I418" s="11">
        <f>13.3771 * CHOOSE(CONTROL!$C$32, $C$9, 100%, $E$9)</f>
        <v>13.3771</v>
      </c>
      <c r="J418" s="11">
        <f>13.3729 * CHOOSE(CONTROL!$C$32, $C$9, 100%, $E$9)</f>
        <v>13.3729</v>
      </c>
      <c r="K418" s="11">
        <f>13.3771 * CHOOSE(CONTROL!$C$32, $C$9, 100%, $E$9)</f>
        <v>13.3771</v>
      </c>
      <c r="L418" s="11">
        <f>6.8892 * CHOOSE(CONTROL!$C$32, $C$9, 100%, $E$9)</f>
        <v>6.8891999999999998</v>
      </c>
      <c r="M418" s="11">
        <f>6.8934 * CHOOSE(CONTROL!$C$32, $C$9, 100%, $E$9)</f>
        <v>6.8933999999999997</v>
      </c>
      <c r="N418" s="11">
        <f>6.8892 * CHOOSE(CONTROL!$C$32, $C$9, 100%, $E$9)</f>
        <v>6.8891999999999998</v>
      </c>
      <c r="O418" s="11">
        <f>6.8934 * CHOOSE(CONTROL!$C$32, $C$9, 100%, $E$9)</f>
        <v>6.8933999999999997</v>
      </c>
    </row>
    <row r="419" spans="1:15" ht="15" x14ac:dyDescent="0.2">
      <c r="A419" s="13">
        <v>53601</v>
      </c>
      <c r="B419" s="9">
        <f>6.1192 * CHOOSE(CONTROL!$C$32, $C$9, 100%, $E$9)</f>
        <v>6.1192000000000002</v>
      </c>
      <c r="C419" s="9">
        <f>6.1192 * CHOOSE(CONTROL!$C$32, $C$9, 100%, $E$9)</f>
        <v>6.1192000000000002</v>
      </c>
      <c r="D419" s="9">
        <f>6.1201 * CHOOSE(CONTROL!$C$32, $C$9, 100%, $E$9)</f>
        <v>6.1200999999999999</v>
      </c>
      <c r="E419" s="11">
        <f>6.9348 * CHOOSE(CONTROL!$C$32, $C$9, 100%, $E$9)</f>
        <v>6.9348000000000001</v>
      </c>
      <c r="F419" s="11">
        <f>6.9348 * CHOOSE(CONTROL!$C$32, $C$9, 100%, $E$9)</f>
        <v>6.9348000000000001</v>
      </c>
      <c r="G419" s="11">
        <f>6.938 * CHOOSE(CONTROL!$C$32, $C$9, 100%, $E$9)</f>
        <v>6.9379999999999997</v>
      </c>
      <c r="H419" s="11">
        <f>13.4008 * CHOOSE(CONTROL!$C$32, $C$9, 100%, $E$9)</f>
        <v>13.4008</v>
      </c>
      <c r="I419" s="11">
        <f>13.404 * CHOOSE(CONTROL!$C$32, $C$9, 100%, $E$9)</f>
        <v>13.404</v>
      </c>
      <c r="J419" s="11">
        <f>13.4008 * CHOOSE(CONTROL!$C$32, $C$9, 100%, $E$9)</f>
        <v>13.4008</v>
      </c>
      <c r="K419" s="11">
        <f>13.404 * CHOOSE(CONTROL!$C$32, $C$9, 100%, $E$9)</f>
        <v>13.404</v>
      </c>
      <c r="L419" s="11">
        <f>6.9348 * CHOOSE(CONTROL!$C$32, $C$9, 100%, $E$9)</f>
        <v>6.9348000000000001</v>
      </c>
      <c r="M419" s="11">
        <f>6.938 * CHOOSE(CONTROL!$C$32, $C$9, 100%, $E$9)</f>
        <v>6.9379999999999997</v>
      </c>
      <c r="N419" s="11">
        <f>6.9348 * CHOOSE(CONTROL!$C$32, $C$9, 100%, $E$9)</f>
        <v>6.9348000000000001</v>
      </c>
      <c r="O419" s="11">
        <f>6.938 * CHOOSE(CONTROL!$C$32, $C$9, 100%, $E$9)</f>
        <v>6.9379999999999997</v>
      </c>
    </row>
    <row r="420" spans="1:15" ht="15" x14ac:dyDescent="0.2">
      <c r="A420" s="13">
        <v>53632</v>
      </c>
      <c r="B420" s="9">
        <f>6.1222 * CHOOSE(CONTROL!$C$32, $C$9, 100%, $E$9)</f>
        <v>6.1222000000000003</v>
      </c>
      <c r="C420" s="9">
        <f>6.1222 * CHOOSE(CONTROL!$C$32, $C$9, 100%, $E$9)</f>
        <v>6.1222000000000003</v>
      </c>
      <c r="D420" s="9">
        <f>6.1232 * CHOOSE(CONTROL!$C$32, $C$9, 100%, $E$9)</f>
        <v>6.1231999999999998</v>
      </c>
      <c r="E420" s="11">
        <f>6.9664 * CHOOSE(CONTROL!$C$32, $C$9, 100%, $E$9)</f>
        <v>6.9664000000000001</v>
      </c>
      <c r="F420" s="11">
        <f>6.9664 * CHOOSE(CONTROL!$C$32, $C$9, 100%, $E$9)</f>
        <v>6.9664000000000001</v>
      </c>
      <c r="G420" s="11">
        <f>6.9696 * CHOOSE(CONTROL!$C$32, $C$9, 100%, $E$9)</f>
        <v>6.9695999999999998</v>
      </c>
      <c r="H420" s="11">
        <f>13.4287 * CHOOSE(CONTROL!$C$32, $C$9, 100%, $E$9)</f>
        <v>13.428699999999999</v>
      </c>
      <c r="I420" s="11">
        <f>13.4319 * CHOOSE(CONTROL!$C$32, $C$9, 100%, $E$9)</f>
        <v>13.431900000000001</v>
      </c>
      <c r="J420" s="11">
        <f>13.4287 * CHOOSE(CONTROL!$C$32, $C$9, 100%, $E$9)</f>
        <v>13.428699999999999</v>
      </c>
      <c r="K420" s="11">
        <f>13.4319 * CHOOSE(CONTROL!$C$32, $C$9, 100%, $E$9)</f>
        <v>13.431900000000001</v>
      </c>
      <c r="L420" s="11">
        <f>6.9664 * CHOOSE(CONTROL!$C$32, $C$9, 100%, $E$9)</f>
        <v>6.9664000000000001</v>
      </c>
      <c r="M420" s="11">
        <f>6.9696 * CHOOSE(CONTROL!$C$32, $C$9, 100%, $E$9)</f>
        <v>6.9695999999999998</v>
      </c>
      <c r="N420" s="11">
        <f>6.9664 * CHOOSE(CONTROL!$C$32, $C$9, 100%, $E$9)</f>
        <v>6.9664000000000001</v>
      </c>
      <c r="O420" s="11">
        <f>6.9696 * CHOOSE(CONTROL!$C$32, $C$9, 100%, $E$9)</f>
        <v>6.9695999999999998</v>
      </c>
    </row>
    <row r="421" spans="1:15" ht="15" x14ac:dyDescent="0.2">
      <c r="A421" s="13">
        <v>53662</v>
      </c>
      <c r="B421" s="9">
        <f>6.1222 * CHOOSE(CONTROL!$C$32, $C$9, 100%, $E$9)</f>
        <v>6.1222000000000003</v>
      </c>
      <c r="C421" s="9">
        <f>6.1222 * CHOOSE(CONTROL!$C$32, $C$9, 100%, $E$9)</f>
        <v>6.1222000000000003</v>
      </c>
      <c r="D421" s="9">
        <f>6.1232 * CHOOSE(CONTROL!$C$32, $C$9, 100%, $E$9)</f>
        <v>6.1231999999999998</v>
      </c>
      <c r="E421" s="11">
        <f>6.8927 * CHOOSE(CONTROL!$C$32, $C$9, 100%, $E$9)</f>
        <v>6.8926999999999996</v>
      </c>
      <c r="F421" s="11">
        <f>6.8927 * CHOOSE(CONTROL!$C$32, $C$9, 100%, $E$9)</f>
        <v>6.8926999999999996</v>
      </c>
      <c r="G421" s="11">
        <f>6.8959 * CHOOSE(CONTROL!$C$32, $C$9, 100%, $E$9)</f>
        <v>6.8959000000000001</v>
      </c>
      <c r="H421" s="11">
        <f>13.4567 * CHOOSE(CONTROL!$C$32, $C$9, 100%, $E$9)</f>
        <v>13.4567</v>
      </c>
      <c r="I421" s="11">
        <f>13.4599 * CHOOSE(CONTROL!$C$32, $C$9, 100%, $E$9)</f>
        <v>13.459899999999999</v>
      </c>
      <c r="J421" s="11">
        <f>13.4567 * CHOOSE(CONTROL!$C$32, $C$9, 100%, $E$9)</f>
        <v>13.4567</v>
      </c>
      <c r="K421" s="11">
        <f>13.4599 * CHOOSE(CONTROL!$C$32, $C$9, 100%, $E$9)</f>
        <v>13.459899999999999</v>
      </c>
      <c r="L421" s="11">
        <f>6.8927 * CHOOSE(CONTROL!$C$32, $C$9, 100%, $E$9)</f>
        <v>6.8926999999999996</v>
      </c>
      <c r="M421" s="11">
        <f>6.8959 * CHOOSE(CONTROL!$C$32, $C$9, 100%, $E$9)</f>
        <v>6.8959000000000001</v>
      </c>
      <c r="N421" s="11">
        <f>6.8927 * CHOOSE(CONTROL!$C$32, $C$9, 100%, $E$9)</f>
        <v>6.8926999999999996</v>
      </c>
      <c r="O421" s="11">
        <f>6.8959 * CHOOSE(CONTROL!$C$32, $C$9, 100%, $E$9)</f>
        <v>6.8959000000000001</v>
      </c>
    </row>
    <row r="422" spans="1:15" ht="15" x14ac:dyDescent="0.2">
      <c r="A422" s="13">
        <v>53693</v>
      </c>
      <c r="B422" s="9">
        <f>6.169 * CHOOSE(CONTROL!$C$32, $C$9, 100%, $E$9)</f>
        <v>6.1689999999999996</v>
      </c>
      <c r="C422" s="9">
        <f>6.169 * CHOOSE(CONTROL!$C$32, $C$9, 100%, $E$9)</f>
        <v>6.1689999999999996</v>
      </c>
      <c r="D422" s="9">
        <f>6.1699 * CHOOSE(CONTROL!$C$32, $C$9, 100%, $E$9)</f>
        <v>6.1699000000000002</v>
      </c>
      <c r="E422" s="11">
        <f>6.9915 * CHOOSE(CONTROL!$C$32, $C$9, 100%, $E$9)</f>
        <v>6.9915000000000003</v>
      </c>
      <c r="F422" s="11">
        <f>6.9915 * CHOOSE(CONTROL!$C$32, $C$9, 100%, $E$9)</f>
        <v>6.9915000000000003</v>
      </c>
      <c r="G422" s="11">
        <f>6.9948 * CHOOSE(CONTROL!$C$32, $C$9, 100%, $E$9)</f>
        <v>6.9947999999999997</v>
      </c>
      <c r="H422" s="11">
        <f>13.4847 * CHOOSE(CONTROL!$C$32, $C$9, 100%, $E$9)</f>
        <v>13.4847</v>
      </c>
      <c r="I422" s="11">
        <f>13.4879 * CHOOSE(CONTROL!$C$32, $C$9, 100%, $E$9)</f>
        <v>13.4879</v>
      </c>
      <c r="J422" s="11">
        <f>13.4847 * CHOOSE(CONTROL!$C$32, $C$9, 100%, $E$9)</f>
        <v>13.4847</v>
      </c>
      <c r="K422" s="11">
        <f>13.4879 * CHOOSE(CONTROL!$C$32, $C$9, 100%, $E$9)</f>
        <v>13.4879</v>
      </c>
      <c r="L422" s="11">
        <f>6.9915 * CHOOSE(CONTROL!$C$32, $C$9, 100%, $E$9)</f>
        <v>6.9915000000000003</v>
      </c>
      <c r="M422" s="11">
        <f>6.9948 * CHOOSE(CONTROL!$C$32, $C$9, 100%, $E$9)</f>
        <v>6.9947999999999997</v>
      </c>
      <c r="N422" s="11">
        <f>6.9915 * CHOOSE(CONTROL!$C$32, $C$9, 100%, $E$9)</f>
        <v>6.9915000000000003</v>
      </c>
      <c r="O422" s="11">
        <f>6.9948 * CHOOSE(CONTROL!$C$32, $C$9, 100%, $E$9)</f>
        <v>6.9947999999999997</v>
      </c>
    </row>
    <row r="423" spans="1:15" ht="15" x14ac:dyDescent="0.2">
      <c r="A423" s="13">
        <v>53724</v>
      </c>
      <c r="B423" s="9">
        <f>6.1659 * CHOOSE(CONTROL!$C$32, $C$9, 100%, $E$9)</f>
        <v>6.1658999999999997</v>
      </c>
      <c r="C423" s="9">
        <f>6.1659 * CHOOSE(CONTROL!$C$32, $C$9, 100%, $E$9)</f>
        <v>6.1658999999999997</v>
      </c>
      <c r="D423" s="9">
        <f>6.1669 * CHOOSE(CONTROL!$C$32, $C$9, 100%, $E$9)</f>
        <v>6.1669</v>
      </c>
      <c r="E423" s="11">
        <f>6.8455 * CHOOSE(CONTROL!$C$32, $C$9, 100%, $E$9)</f>
        <v>6.8455000000000004</v>
      </c>
      <c r="F423" s="11">
        <f>6.8455 * CHOOSE(CONTROL!$C$32, $C$9, 100%, $E$9)</f>
        <v>6.8455000000000004</v>
      </c>
      <c r="G423" s="11">
        <f>6.8488 * CHOOSE(CONTROL!$C$32, $C$9, 100%, $E$9)</f>
        <v>6.8487999999999998</v>
      </c>
      <c r="H423" s="11">
        <f>13.5128 * CHOOSE(CONTROL!$C$32, $C$9, 100%, $E$9)</f>
        <v>13.5128</v>
      </c>
      <c r="I423" s="11">
        <f>13.516 * CHOOSE(CONTROL!$C$32, $C$9, 100%, $E$9)</f>
        <v>13.516</v>
      </c>
      <c r="J423" s="11">
        <f>13.5128 * CHOOSE(CONTROL!$C$32, $C$9, 100%, $E$9)</f>
        <v>13.5128</v>
      </c>
      <c r="K423" s="11">
        <f>13.516 * CHOOSE(CONTROL!$C$32, $C$9, 100%, $E$9)</f>
        <v>13.516</v>
      </c>
      <c r="L423" s="11">
        <f>6.8455 * CHOOSE(CONTROL!$C$32, $C$9, 100%, $E$9)</f>
        <v>6.8455000000000004</v>
      </c>
      <c r="M423" s="11">
        <f>6.8488 * CHOOSE(CONTROL!$C$32, $C$9, 100%, $E$9)</f>
        <v>6.8487999999999998</v>
      </c>
      <c r="N423" s="11">
        <f>6.8455 * CHOOSE(CONTROL!$C$32, $C$9, 100%, $E$9)</f>
        <v>6.8455000000000004</v>
      </c>
      <c r="O423" s="11">
        <f>6.8488 * CHOOSE(CONTROL!$C$32, $C$9, 100%, $E$9)</f>
        <v>6.8487999999999998</v>
      </c>
    </row>
    <row r="424" spans="1:15" ht="15" x14ac:dyDescent="0.2">
      <c r="A424" s="13">
        <v>53752</v>
      </c>
      <c r="B424" s="9">
        <f>6.1629 * CHOOSE(CONTROL!$C$32, $C$9, 100%, $E$9)</f>
        <v>6.1628999999999996</v>
      </c>
      <c r="C424" s="9">
        <f>6.1629 * CHOOSE(CONTROL!$C$32, $C$9, 100%, $E$9)</f>
        <v>6.1628999999999996</v>
      </c>
      <c r="D424" s="9">
        <f>6.1638 * CHOOSE(CONTROL!$C$32, $C$9, 100%, $E$9)</f>
        <v>6.1638000000000002</v>
      </c>
      <c r="E424" s="11">
        <f>6.9568 * CHOOSE(CONTROL!$C$32, $C$9, 100%, $E$9)</f>
        <v>6.9568000000000003</v>
      </c>
      <c r="F424" s="11">
        <f>6.9568 * CHOOSE(CONTROL!$C$32, $C$9, 100%, $E$9)</f>
        <v>6.9568000000000003</v>
      </c>
      <c r="G424" s="11">
        <f>6.9601 * CHOOSE(CONTROL!$C$32, $C$9, 100%, $E$9)</f>
        <v>6.9600999999999997</v>
      </c>
      <c r="H424" s="11">
        <f>13.5409 * CHOOSE(CONTROL!$C$32, $C$9, 100%, $E$9)</f>
        <v>13.540900000000001</v>
      </c>
      <c r="I424" s="11">
        <f>13.5442 * CHOOSE(CONTROL!$C$32, $C$9, 100%, $E$9)</f>
        <v>13.5442</v>
      </c>
      <c r="J424" s="11">
        <f>13.5409 * CHOOSE(CONTROL!$C$32, $C$9, 100%, $E$9)</f>
        <v>13.540900000000001</v>
      </c>
      <c r="K424" s="11">
        <f>13.5442 * CHOOSE(CONTROL!$C$32, $C$9, 100%, $E$9)</f>
        <v>13.5442</v>
      </c>
      <c r="L424" s="11">
        <f>6.9568 * CHOOSE(CONTROL!$C$32, $C$9, 100%, $E$9)</f>
        <v>6.9568000000000003</v>
      </c>
      <c r="M424" s="11">
        <f>6.9601 * CHOOSE(CONTROL!$C$32, $C$9, 100%, $E$9)</f>
        <v>6.9600999999999997</v>
      </c>
      <c r="N424" s="11">
        <f>6.9568 * CHOOSE(CONTROL!$C$32, $C$9, 100%, $E$9)</f>
        <v>6.9568000000000003</v>
      </c>
      <c r="O424" s="11">
        <f>6.9601 * CHOOSE(CONTROL!$C$32, $C$9, 100%, $E$9)</f>
        <v>6.9600999999999997</v>
      </c>
    </row>
    <row r="425" spans="1:15" ht="15" x14ac:dyDescent="0.2">
      <c r="A425" s="13">
        <v>53783</v>
      </c>
      <c r="B425" s="9">
        <f>6.1626 * CHOOSE(CONTROL!$C$32, $C$9, 100%, $E$9)</f>
        <v>6.1626000000000003</v>
      </c>
      <c r="C425" s="9">
        <f>6.1626 * CHOOSE(CONTROL!$C$32, $C$9, 100%, $E$9)</f>
        <v>6.1626000000000003</v>
      </c>
      <c r="D425" s="9">
        <f>6.1636 * CHOOSE(CONTROL!$C$32, $C$9, 100%, $E$9)</f>
        <v>6.1635999999999997</v>
      </c>
      <c r="E425" s="11">
        <f>7.0744 * CHOOSE(CONTROL!$C$32, $C$9, 100%, $E$9)</f>
        <v>7.0743999999999998</v>
      </c>
      <c r="F425" s="11">
        <f>7.0744 * CHOOSE(CONTROL!$C$32, $C$9, 100%, $E$9)</f>
        <v>7.0743999999999998</v>
      </c>
      <c r="G425" s="11">
        <f>7.0776 * CHOOSE(CONTROL!$C$32, $C$9, 100%, $E$9)</f>
        <v>7.0776000000000003</v>
      </c>
      <c r="H425" s="11">
        <f>13.5692 * CHOOSE(CONTROL!$C$32, $C$9, 100%, $E$9)</f>
        <v>13.5692</v>
      </c>
      <c r="I425" s="11">
        <f>13.5724 * CHOOSE(CONTROL!$C$32, $C$9, 100%, $E$9)</f>
        <v>13.5724</v>
      </c>
      <c r="J425" s="11">
        <f>13.5692 * CHOOSE(CONTROL!$C$32, $C$9, 100%, $E$9)</f>
        <v>13.5692</v>
      </c>
      <c r="K425" s="11">
        <f>13.5724 * CHOOSE(CONTROL!$C$32, $C$9, 100%, $E$9)</f>
        <v>13.5724</v>
      </c>
      <c r="L425" s="11">
        <f>7.0744 * CHOOSE(CONTROL!$C$32, $C$9, 100%, $E$9)</f>
        <v>7.0743999999999998</v>
      </c>
      <c r="M425" s="11">
        <f>7.0776 * CHOOSE(CONTROL!$C$32, $C$9, 100%, $E$9)</f>
        <v>7.0776000000000003</v>
      </c>
      <c r="N425" s="11">
        <f>7.0744 * CHOOSE(CONTROL!$C$32, $C$9, 100%, $E$9)</f>
        <v>7.0743999999999998</v>
      </c>
      <c r="O425" s="11">
        <f>7.0776 * CHOOSE(CONTROL!$C$32, $C$9, 100%, $E$9)</f>
        <v>7.0776000000000003</v>
      </c>
    </row>
    <row r="426" spans="1:15" ht="15" x14ac:dyDescent="0.2">
      <c r="A426" s="13">
        <v>53813</v>
      </c>
      <c r="B426" s="9">
        <f>6.1626 * CHOOSE(CONTROL!$C$32, $C$9, 100%, $E$9)</f>
        <v>6.1626000000000003</v>
      </c>
      <c r="C426" s="9">
        <f>6.1626 * CHOOSE(CONTROL!$C$32, $C$9, 100%, $E$9)</f>
        <v>6.1626000000000003</v>
      </c>
      <c r="D426" s="9">
        <f>6.1639 * CHOOSE(CONTROL!$C$32, $C$9, 100%, $E$9)</f>
        <v>6.1638999999999999</v>
      </c>
      <c r="E426" s="11">
        <f>7.1201 * CHOOSE(CONTROL!$C$32, $C$9, 100%, $E$9)</f>
        <v>7.1200999999999999</v>
      </c>
      <c r="F426" s="11">
        <f>7.1201 * CHOOSE(CONTROL!$C$32, $C$9, 100%, $E$9)</f>
        <v>7.1200999999999999</v>
      </c>
      <c r="G426" s="11">
        <f>7.1243 * CHOOSE(CONTROL!$C$32, $C$9, 100%, $E$9)</f>
        <v>7.1242999999999999</v>
      </c>
      <c r="H426" s="11">
        <f>13.5974 * CHOOSE(CONTROL!$C$32, $C$9, 100%, $E$9)</f>
        <v>13.5974</v>
      </c>
      <c r="I426" s="11">
        <f>13.6016 * CHOOSE(CONTROL!$C$32, $C$9, 100%, $E$9)</f>
        <v>13.601599999999999</v>
      </c>
      <c r="J426" s="11">
        <f>13.5974 * CHOOSE(CONTROL!$C$32, $C$9, 100%, $E$9)</f>
        <v>13.5974</v>
      </c>
      <c r="K426" s="11">
        <f>13.6016 * CHOOSE(CONTROL!$C$32, $C$9, 100%, $E$9)</f>
        <v>13.601599999999999</v>
      </c>
      <c r="L426" s="11">
        <f>7.1201 * CHOOSE(CONTROL!$C$32, $C$9, 100%, $E$9)</f>
        <v>7.1200999999999999</v>
      </c>
      <c r="M426" s="11">
        <f>7.1243 * CHOOSE(CONTROL!$C$32, $C$9, 100%, $E$9)</f>
        <v>7.1242999999999999</v>
      </c>
      <c r="N426" s="11">
        <f>7.1201 * CHOOSE(CONTROL!$C$32, $C$9, 100%, $E$9)</f>
        <v>7.1200999999999999</v>
      </c>
      <c r="O426" s="11">
        <f>7.1243 * CHOOSE(CONTROL!$C$32, $C$9, 100%, $E$9)</f>
        <v>7.1242999999999999</v>
      </c>
    </row>
    <row r="427" spans="1:15" ht="15" x14ac:dyDescent="0.2">
      <c r="A427" s="13">
        <v>53844</v>
      </c>
      <c r="B427" s="9">
        <f>6.1687 * CHOOSE(CONTROL!$C$32, $C$9, 100%, $E$9)</f>
        <v>6.1687000000000003</v>
      </c>
      <c r="C427" s="9">
        <f>6.1687 * CHOOSE(CONTROL!$C$32, $C$9, 100%, $E$9)</f>
        <v>6.1687000000000003</v>
      </c>
      <c r="D427" s="9">
        <f>6.17 * CHOOSE(CONTROL!$C$32, $C$9, 100%, $E$9)</f>
        <v>6.17</v>
      </c>
      <c r="E427" s="11">
        <f>7.0787 * CHOOSE(CONTROL!$C$32, $C$9, 100%, $E$9)</f>
        <v>7.0787000000000004</v>
      </c>
      <c r="F427" s="11">
        <f>7.0787 * CHOOSE(CONTROL!$C$32, $C$9, 100%, $E$9)</f>
        <v>7.0787000000000004</v>
      </c>
      <c r="G427" s="11">
        <f>7.0829 * CHOOSE(CONTROL!$C$32, $C$9, 100%, $E$9)</f>
        <v>7.0829000000000004</v>
      </c>
      <c r="H427" s="11">
        <f>13.6257 * CHOOSE(CONTROL!$C$32, $C$9, 100%, $E$9)</f>
        <v>13.6257</v>
      </c>
      <c r="I427" s="11">
        <f>13.63 * CHOOSE(CONTROL!$C$32, $C$9, 100%, $E$9)</f>
        <v>13.63</v>
      </c>
      <c r="J427" s="11">
        <f>13.6257 * CHOOSE(CONTROL!$C$32, $C$9, 100%, $E$9)</f>
        <v>13.6257</v>
      </c>
      <c r="K427" s="11">
        <f>13.63 * CHOOSE(CONTROL!$C$32, $C$9, 100%, $E$9)</f>
        <v>13.63</v>
      </c>
      <c r="L427" s="11">
        <f>7.0787 * CHOOSE(CONTROL!$C$32, $C$9, 100%, $E$9)</f>
        <v>7.0787000000000004</v>
      </c>
      <c r="M427" s="11">
        <f>7.0829 * CHOOSE(CONTROL!$C$32, $C$9, 100%, $E$9)</f>
        <v>7.0829000000000004</v>
      </c>
      <c r="N427" s="11">
        <f>7.0787 * CHOOSE(CONTROL!$C$32, $C$9, 100%, $E$9)</f>
        <v>7.0787000000000004</v>
      </c>
      <c r="O427" s="11">
        <f>7.0829 * CHOOSE(CONTROL!$C$32, $C$9, 100%, $E$9)</f>
        <v>7.0829000000000004</v>
      </c>
    </row>
    <row r="428" spans="1:15" ht="15" x14ac:dyDescent="0.2">
      <c r="A428" s="13">
        <v>53874</v>
      </c>
      <c r="B428" s="9">
        <f>6.251 * CHOOSE(CONTROL!$C$32, $C$9, 100%, $E$9)</f>
        <v>6.2510000000000003</v>
      </c>
      <c r="C428" s="9">
        <f>6.251 * CHOOSE(CONTROL!$C$32, $C$9, 100%, $E$9)</f>
        <v>6.2510000000000003</v>
      </c>
      <c r="D428" s="9">
        <f>6.2523 * CHOOSE(CONTROL!$C$32, $C$9, 100%, $E$9)</f>
        <v>6.2523</v>
      </c>
      <c r="E428" s="11">
        <f>7.149 * CHOOSE(CONTROL!$C$32, $C$9, 100%, $E$9)</f>
        <v>7.149</v>
      </c>
      <c r="F428" s="11">
        <f>7.149 * CHOOSE(CONTROL!$C$32, $C$9, 100%, $E$9)</f>
        <v>7.149</v>
      </c>
      <c r="G428" s="11">
        <f>7.1532 * CHOOSE(CONTROL!$C$32, $C$9, 100%, $E$9)</f>
        <v>7.1532</v>
      </c>
      <c r="H428" s="11">
        <f>13.6541 * CHOOSE(CONTROL!$C$32, $C$9, 100%, $E$9)</f>
        <v>13.6541</v>
      </c>
      <c r="I428" s="11">
        <f>13.6583 * CHOOSE(CONTROL!$C$32, $C$9, 100%, $E$9)</f>
        <v>13.658300000000001</v>
      </c>
      <c r="J428" s="11">
        <f>13.6541 * CHOOSE(CONTROL!$C$32, $C$9, 100%, $E$9)</f>
        <v>13.6541</v>
      </c>
      <c r="K428" s="11">
        <f>13.6583 * CHOOSE(CONTROL!$C$32, $C$9, 100%, $E$9)</f>
        <v>13.658300000000001</v>
      </c>
      <c r="L428" s="11">
        <f>7.149 * CHOOSE(CONTROL!$C$32, $C$9, 100%, $E$9)</f>
        <v>7.149</v>
      </c>
      <c r="M428" s="11">
        <f>7.1532 * CHOOSE(CONTROL!$C$32, $C$9, 100%, $E$9)</f>
        <v>7.1532</v>
      </c>
      <c r="N428" s="11">
        <f>7.149 * CHOOSE(CONTROL!$C$32, $C$9, 100%, $E$9)</f>
        <v>7.149</v>
      </c>
      <c r="O428" s="11">
        <f>7.1532 * CHOOSE(CONTROL!$C$32, $C$9, 100%, $E$9)</f>
        <v>7.1532</v>
      </c>
    </row>
    <row r="429" spans="1:15" ht="15" x14ac:dyDescent="0.2">
      <c r="A429" s="13">
        <v>53905</v>
      </c>
      <c r="B429" s="9">
        <f>6.2577 * CHOOSE(CONTROL!$C$32, $C$9, 100%, $E$9)</f>
        <v>6.2576999999999998</v>
      </c>
      <c r="C429" s="9">
        <f>6.2577 * CHOOSE(CONTROL!$C$32, $C$9, 100%, $E$9)</f>
        <v>6.2576999999999998</v>
      </c>
      <c r="D429" s="9">
        <f>6.259 * CHOOSE(CONTROL!$C$32, $C$9, 100%, $E$9)</f>
        <v>6.2590000000000003</v>
      </c>
      <c r="E429" s="11">
        <f>7.0166 * CHOOSE(CONTROL!$C$32, $C$9, 100%, $E$9)</f>
        <v>7.0166000000000004</v>
      </c>
      <c r="F429" s="11">
        <f>7.0166 * CHOOSE(CONTROL!$C$32, $C$9, 100%, $E$9)</f>
        <v>7.0166000000000004</v>
      </c>
      <c r="G429" s="11">
        <f>7.0208 * CHOOSE(CONTROL!$C$32, $C$9, 100%, $E$9)</f>
        <v>7.0208000000000004</v>
      </c>
      <c r="H429" s="11">
        <f>13.6826 * CHOOSE(CONTROL!$C$32, $C$9, 100%, $E$9)</f>
        <v>13.682600000000001</v>
      </c>
      <c r="I429" s="11">
        <f>13.6868 * CHOOSE(CONTROL!$C$32, $C$9, 100%, $E$9)</f>
        <v>13.6868</v>
      </c>
      <c r="J429" s="11">
        <f>13.6826 * CHOOSE(CONTROL!$C$32, $C$9, 100%, $E$9)</f>
        <v>13.682600000000001</v>
      </c>
      <c r="K429" s="11">
        <f>13.6868 * CHOOSE(CONTROL!$C$32, $C$9, 100%, $E$9)</f>
        <v>13.6868</v>
      </c>
      <c r="L429" s="11">
        <f>7.0166 * CHOOSE(CONTROL!$C$32, $C$9, 100%, $E$9)</f>
        <v>7.0166000000000004</v>
      </c>
      <c r="M429" s="11">
        <f>7.0208 * CHOOSE(CONTROL!$C$32, $C$9, 100%, $E$9)</f>
        <v>7.0208000000000004</v>
      </c>
      <c r="N429" s="11">
        <f>7.0166 * CHOOSE(CONTROL!$C$32, $C$9, 100%, $E$9)</f>
        <v>7.0166000000000004</v>
      </c>
      <c r="O429" s="11">
        <f>7.0208 * CHOOSE(CONTROL!$C$32, $C$9, 100%, $E$9)</f>
        <v>7.0208000000000004</v>
      </c>
    </row>
    <row r="430" spans="1:15" ht="15" x14ac:dyDescent="0.2">
      <c r="A430" s="13">
        <v>53936</v>
      </c>
      <c r="B430" s="9">
        <f>6.2547 * CHOOSE(CONTROL!$C$32, $C$9, 100%, $E$9)</f>
        <v>6.2546999999999997</v>
      </c>
      <c r="C430" s="9">
        <f>6.2547 * CHOOSE(CONTROL!$C$32, $C$9, 100%, $E$9)</f>
        <v>6.2546999999999997</v>
      </c>
      <c r="D430" s="9">
        <f>6.2559 * CHOOSE(CONTROL!$C$32, $C$9, 100%, $E$9)</f>
        <v>6.2558999999999996</v>
      </c>
      <c r="E430" s="11">
        <f>6.9993 * CHOOSE(CONTROL!$C$32, $C$9, 100%, $E$9)</f>
        <v>6.9992999999999999</v>
      </c>
      <c r="F430" s="11">
        <f>6.9993 * CHOOSE(CONTROL!$C$32, $C$9, 100%, $E$9)</f>
        <v>6.9992999999999999</v>
      </c>
      <c r="G430" s="11">
        <f>7.0035 * CHOOSE(CONTROL!$C$32, $C$9, 100%, $E$9)</f>
        <v>7.0034999999999998</v>
      </c>
      <c r="H430" s="11">
        <f>13.7111 * CHOOSE(CONTROL!$C$32, $C$9, 100%, $E$9)</f>
        <v>13.7111</v>
      </c>
      <c r="I430" s="11">
        <f>13.7153 * CHOOSE(CONTROL!$C$32, $C$9, 100%, $E$9)</f>
        <v>13.715299999999999</v>
      </c>
      <c r="J430" s="11">
        <f>13.7111 * CHOOSE(CONTROL!$C$32, $C$9, 100%, $E$9)</f>
        <v>13.7111</v>
      </c>
      <c r="K430" s="11">
        <f>13.7153 * CHOOSE(CONTROL!$C$32, $C$9, 100%, $E$9)</f>
        <v>13.715299999999999</v>
      </c>
      <c r="L430" s="11">
        <f>6.9993 * CHOOSE(CONTROL!$C$32, $C$9, 100%, $E$9)</f>
        <v>6.9992999999999999</v>
      </c>
      <c r="M430" s="11">
        <f>7.0035 * CHOOSE(CONTROL!$C$32, $C$9, 100%, $E$9)</f>
        <v>7.0034999999999998</v>
      </c>
      <c r="N430" s="11">
        <f>6.9993 * CHOOSE(CONTROL!$C$32, $C$9, 100%, $E$9)</f>
        <v>6.9992999999999999</v>
      </c>
      <c r="O430" s="11">
        <f>7.0035 * CHOOSE(CONTROL!$C$32, $C$9, 100%, $E$9)</f>
        <v>7.0034999999999998</v>
      </c>
    </row>
    <row r="431" spans="1:15" ht="15" x14ac:dyDescent="0.2">
      <c r="A431" s="13">
        <v>53966</v>
      </c>
      <c r="B431" s="9">
        <f>6.2581 * CHOOSE(CONTROL!$C$32, $C$9, 100%, $E$9)</f>
        <v>6.2580999999999998</v>
      </c>
      <c r="C431" s="9">
        <f>6.2581 * CHOOSE(CONTROL!$C$32, $C$9, 100%, $E$9)</f>
        <v>6.2580999999999998</v>
      </c>
      <c r="D431" s="9">
        <f>6.2591 * CHOOSE(CONTROL!$C$32, $C$9, 100%, $E$9)</f>
        <v>6.2591000000000001</v>
      </c>
      <c r="E431" s="11">
        <f>7.0467 * CHOOSE(CONTROL!$C$32, $C$9, 100%, $E$9)</f>
        <v>7.0467000000000004</v>
      </c>
      <c r="F431" s="11">
        <f>7.0467 * CHOOSE(CONTROL!$C$32, $C$9, 100%, $E$9)</f>
        <v>7.0467000000000004</v>
      </c>
      <c r="G431" s="11">
        <f>7.05 * CHOOSE(CONTROL!$C$32, $C$9, 100%, $E$9)</f>
        <v>7.05</v>
      </c>
      <c r="H431" s="11">
        <f>13.7397 * CHOOSE(CONTROL!$C$32, $C$9, 100%, $E$9)</f>
        <v>13.739699999999999</v>
      </c>
      <c r="I431" s="11">
        <f>13.7429 * CHOOSE(CONTROL!$C$32, $C$9, 100%, $E$9)</f>
        <v>13.742900000000001</v>
      </c>
      <c r="J431" s="11">
        <f>13.7397 * CHOOSE(CONTROL!$C$32, $C$9, 100%, $E$9)</f>
        <v>13.739699999999999</v>
      </c>
      <c r="K431" s="11">
        <f>13.7429 * CHOOSE(CONTROL!$C$32, $C$9, 100%, $E$9)</f>
        <v>13.742900000000001</v>
      </c>
      <c r="L431" s="11">
        <f>7.0467 * CHOOSE(CONTROL!$C$32, $C$9, 100%, $E$9)</f>
        <v>7.0467000000000004</v>
      </c>
      <c r="M431" s="11">
        <f>7.05 * CHOOSE(CONTROL!$C$32, $C$9, 100%, $E$9)</f>
        <v>7.05</v>
      </c>
      <c r="N431" s="11">
        <f>7.0467 * CHOOSE(CONTROL!$C$32, $C$9, 100%, $E$9)</f>
        <v>7.0467000000000004</v>
      </c>
      <c r="O431" s="11">
        <f>7.05 * CHOOSE(CONTROL!$C$32, $C$9, 100%, $E$9)</f>
        <v>7.05</v>
      </c>
    </row>
    <row r="432" spans="1:15" ht="15" x14ac:dyDescent="0.2">
      <c r="A432" s="13">
        <v>53997</v>
      </c>
      <c r="B432" s="9">
        <f>6.2611 * CHOOSE(CONTROL!$C$32, $C$9, 100%, $E$9)</f>
        <v>6.2610999999999999</v>
      </c>
      <c r="C432" s="9">
        <f>6.2611 * CHOOSE(CONTROL!$C$32, $C$9, 100%, $E$9)</f>
        <v>6.2610999999999999</v>
      </c>
      <c r="D432" s="9">
        <f>6.2621 * CHOOSE(CONTROL!$C$32, $C$9, 100%, $E$9)</f>
        <v>6.2621000000000002</v>
      </c>
      <c r="E432" s="11">
        <f>7.0793 * CHOOSE(CONTROL!$C$32, $C$9, 100%, $E$9)</f>
        <v>7.0792999999999999</v>
      </c>
      <c r="F432" s="11">
        <f>7.0793 * CHOOSE(CONTROL!$C$32, $C$9, 100%, $E$9)</f>
        <v>7.0792999999999999</v>
      </c>
      <c r="G432" s="11">
        <f>7.0825 * CHOOSE(CONTROL!$C$32, $C$9, 100%, $E$9)</f>
        <v>7.0824999999999996</v>
      </c>
      <c r="H432" s="11">
        <f>13.7683 * CHOOSE(CONTROL!$C$32, $C$9, 100%, $E$9)</f>
        <v>13.7683</v>
      </c>
      <c r="I432" s="11">
        <f>13.7715 * CHOOSE(CONTROL!$C$32, $C$9, 100%, $E$9)</f>
        <v>13.7715</v>
      </c>
      <c r="J432" s="11">
        <f>13.7683 * CHOOSE(CONTROL!$C$32, $C$9, 100%, $E$9)</f>
        <v>13.7683</v>
      </c>
      <c r="K432" s="11">
        <f>13.7715 * CHOOSE(CONTROL!$C$32, $C$9, 100%, $E$9)</f>
        <v>13.7715</v>
      </c>
      <c r="L432" s="11">
        <f>7.0793 * CHOOSE(CONTROL!$C$32, $C$9, 100%, $E$9)</f>
        <v>7.0792999999999999</v>
      </c>
      <c r="M432" s="11">
        <f>7.0825 * CHOOSE(CONTROL!$C$32, $C$9, 100%, $E$9)</f>
        <v>7.0824999999999996</v>
      </c>
      <c r="N432" s="11">
        <f>7.0793 * CHOOSE(CONTROL!$C$32, $C$9, 100%, $E$9)</f>
        <v>7.0792999999999999</v>
      </c>
      <c r="O432" s="11">
        <f>7.0825 * CHOOSE(CONTROL!$C$32, $C$9, 100%, $E$9)</f>
        <v>7.0824999999999996</v>
      </c>
    </row>
    <row r="433" spans="1:15" ht="15" x14ac:dyDescent="0.2">
      <c r="A433" s="13">
        <v>54027</v>
      </c>
      <c r="B433" s="9">
        <f>6.2611 * CHOOSE(CONTROL!$C$32, $C$9, 100%, $E$9)</f>
        <v>6.2610999999999999</v>
      </c>
      <c r="C433" s="9">
        <f>6.2611 * CHOOSE(CONTROL!$C$32, $C$9, 100%, $E$9)</f>
        <v>6.2610999999999999</v>
      </c>
      <c r="D433" s="9">
        <f>6.2621 * CHOOSE(CONTROL!$C$32, $C$9, 100%, $E$9)</f>
        <v>6.2621000000000002</v>
      </c>
      <c r="E433" s="11">
        <f>7.0032 * CHOOSE(CONTROL!$C$32, $C$9, 100%, $E$9)</f>
        <v>7.0031999999999996</v>
      </c>
      <c r="F433" s="11">
        <f>7.0032 * CHOOSE(CONTROL!$C$32, $C$9, 100%, $E$9)</f>
        <v>7.0031999999999996</v>
      </c>
      <c r="G433" s="11">
        <f>7.0064 * CHOOSE(CONTROL!$C$32, $C$9, 100%, $E$9)</f>
        <v>7.0064000000000002</v>
      </c>
      <c r="H433" s="11">
        <f>13.797 * CHOOSE(CONTROL!$C$32, $C$9, 100%, $E$9)</f>
        <v>13.797000000000001</v>
      </c>
      <c r="I433" s="11">
        <f>13.8002 * CHOOSE(CONTROL!$C$32, $C$9, 100%, $E$9)</f>
        <v>13.8002</v>
      </c>
      <c r="J433" s="11">
        <f>13.797 * CHOOSE(CONTROL!$C$32, $C$9, 100%, $E$9)</f>
        <v>13.797000000000001</v>
      </c>
      <c r="K433" s="11">
        <f>13.8002 * CHOOSE(CONTROL!$C$32, $C$9, 100%, $E$9)</f>
        <v>13.8002</v>
      </c>
      <c r="L433" s="11">
        <f>7.0032 * CHOOSE(CONTROL!$C$32, $C$9, 100%, $E$9)</f>
        <v>7.0031999999999996</v>
      </c>
      <c r="M433" s="11">
        <f>7.0064 * CHOOSE(CONTROL!$C$32, $C$9, 100%, $E$9)</f>
        <v>7.0064000000000002</v>
      </c>
      <c r="N433" s="11">
        <f>7.0032 * CHOOSE(CONTROL!$C$32, $C$9, 100%, $E$9)</f>
        <v>7.0031999999999996</v>
      </c>
      <c r="O433" s="11">
        <f>7.0064 * CHOOSE(CONTROL!$C$32, $C$9, 100%, $E$9)</f>
        <v>7.0064000000000002</v>
      </c>
    </row>
    <row r="434" spans="1:15" ht="15" x14ac:dyDescent="0.2">
      <c r="A434" s="13">
        <v>54058</v>
      </c>
      <c r="B434" s="9">
        <f>6.3089 * CHOOSE(CONTROL!$C$32, $C$9, 100%, $E$9)</f>
        <v>6.3089000000000004</v>
      </c>
      <c r="C434" s="9">
        <f>6.3089 * CHOOSE(CONTROL!$C$32, $C$9, 100%, $E$9)</f>
        <v>6.3089000000000004</v>
      </c>
      <c r="D434" s="9">
        <f>6.3098 * CHOOSE(CONTROL!$C$32, $C$9, 100%, $E$9)</f>
        <v>6.3098000000000001</v>
      </c>
      <c r="E434" s="11">
        <f>7.1107 * CHOOSE(CONTROL!$C$32, $C$9, 100%, $E$9)</f>
        <v>7.1106999999999996</v>
      </c>
      <c r="F434" s="11">
        <f>7.1107 * CHOOSE(CONTROL!$C$32, $C$9, 100%, $E$9)</f>
        <v>7.1106999999999996</v>
      </c>
      <c r="G434" s="11">
        <f>7.1139 * CHOOSE(CONTROL!$C$32, $C$9, 100%, $E$9)</f>
        <v>7.1139000000000001</v>
      </c>
      <c r="H434" s="11">
        <f>13.8257 * CHOOSE(CONTROL!$C$32, $C$9, 100%, $E$9)</f>
        <v>13.825699999999999</v>
      </c>
      <c r="I434" s="11">
        <f>13.8289 * CHOOSE(CONTROL!$C$32, $C$9, 100%, $E$9)</f>
        <v>13.828900000000001</v>
      </c>
      <c r="J434" s="11">
        <f>13.8257 * CHOOSE(CONTROL!$C$32, $C$9, 100%, $E$9)</f>
        <v>13.825699999999999</v>
      </c>
      <c r="K434" s="11">
        <f>13.8289 * CHOOSE(CONTROL!$C$32, $C$9, 100%, $E$9)</f>
        <v>13.828900000000001</v>
      </c>
      <c r="L434" s="11">
        <f>7.1107 * CHOOSE(CONTROL!$C$32, $C$9, 100%, $E$9)</f>
        <v>7.1106999999999996</v>
      </c>
      <c r="M434" s="11">
        <f>7.1139 * CHOOSE(CONTROL!$C$32, $C$9, 100%, $E$9)</f>
        <v>7.1139000000000001</v>
      </c>
      <c r="N434" s="11">
        <f>7.1107 * CHOOSE(CONTROL!$C$32, $C$9, 100%, $E$9)</f>
        <v>7.1106999999999996</v>
      </c>
      <c r="O434" s="11">
        <f>7.1139 * CHOOSE(CONTROL!$C$32, $C$9, 100%, $E$9)</f>
        <v>7.1139000000000001</v>
      </c>
    </row>
    <row r="435" spans="1:15" ht="15" x14ac:dyDescent="0.2">
      <c r="A435" s="13">
        <v>54089</v>
      </c>
      <c r="B435" s="9">
        <f>6.3058 * CHOOSE(CONTROL!$C$32, $C$9, 100%, $E$9)</f>
        <v>6.3057999999999996</v>
      </c>
      <c r="C435" s="9">
        <f>6.3058 * CHOOSE(CONTROL!$C$32, $C$9, 100%, $E$9)</f>
        <v>6.3057999999999996</v>
      </c>
      <c r="D435" s="9">
        <f>6.3068 * CHOOSE(CONTROL!$C$32, $C$9, 100%, $E$9)</f>
        <v>6.3068</v>
      </c>
      <c r="E435" s="11">
        <f>6.96 * CHOOSE(CONTROL!$C$32, $C$9, 100%, $E$9)</f>
        <v>6.96</v>
      </c>
      <c r="F435" s="11">
        <f>6.96 * CHOOSE(CONTROL!$C$32, $C$9, 100%, $E$9)</f>
        <v>6.96</v>
      </c>
      <c r="G435" s="11">
        <f>6.9632 * CHOOSE(CONTROL!$C$32, $C$9, 100%, $E$9)</f>
        <v>6.9631999999999996</v>
      </c>
      <c r="H435" s="11">
        <f>13.8545 * CHOOSE(CONTROL!$C$32, $C$9, 100%, $E$9)</f>
        <v>13.8545</v>
      </c>
      <c r="I435" s="11">
        <f>13.8577 * CHOOSE(CONTROL!$C$32, $C$9, 100%, $E$9)</f>
        <v>13.857699999999999</v>
      </c>
      <c r="J435" s="11">
        <f>13.8545 * CHOOSE(CONTROL!$C$32, $C$9, 100%, $E$9)</f>
        <v>13.8545</v>
      </c>
      <c r="K435" s="11">
        <f>13.8577 * CHOOSE(CONTROL!$C$32, $C$9, 100%, $E$9)</f>
        <v>13.857699999999999</v>
      </c>
      <c r="L435" s="11">
        <f>6.96 * CHOOSE(CONTROL!$C$32, $C$9, 100%, $E$9)</f>
        <v>6.96</v>
      </c>
      <c r="M435" s="11">
        <f>6.9632 * CHOOSE(CONTROL!$C$32, $C$9, 100%, $E$9)</f>
        <v>6.9631999999999996</v>
      </c>
      <c r="N435" s="11">
        <f>6.96 * CHOOSE(CONTROL!$C$32, $C$9, 100%, $E$9)</f>
        <v>6.96</v>
      </c>
      <c r="O435" s="11">
        <f>6.9632 * CHOOSE(CONTROL!$C$32, $C$9, 100%, $E$9)</f>
        <v>6.9631999999999996</v>
      </c>
    </row>
    <row r="436" spans="1:15" ht="15" x14ac:dyDescent="0.2">
      <c r="A436" s="13">
        <v>54118</v>
      </c>
      <c r="B436" s="9">
        <f>6.3028 * CHOOSE(CONTROL!$C$32, $C$9, 100%, $E$9)</f>
        <v>6.3028000000000004</v>
      </c>
      <c r="C436" s="9">
        <f>6.3028 * CHOOSE(CONTROL!$C$32, $C$9, 100%, $E$9)</f>
        <v>6.3028000000000004</v>
      </c>
      <c r="D436" s="9">
        <f>6.3037 * CHOOSE(CONTROL!$C$32, $C$9, 100%, $E$9)</f>
        <v>6.3037000000000001</v>
      </c>
      <c r="E436" s="11">
        <f>7.075 * CHOOSE(CONTROL!$C$32, $C$9, 100%, $E$9)</f>
        <v>7.0750000000000002</v>
      </c>
      <c r="F436" s="11">
        <f>7.075 * CHOOSE(CONTROL!$C$32, $C$9, 100%, $E$9)</f>
        <v>7.0750000000000002</v>
      </c>
      <c r="G436" s="11">
        <f>7.0782 * CHOOSE(CONTROL!$C$32, $C$9, 100%, $E$9)</f>
        <v>7.0781999999999998</v>
      </c>
      <c r="H436" s="11">
        <f>13.8834 * CHOOSE(CONTROL!$C$32, $C$9, 100%, $E$9)</f>
        <v>13.8834</v>
      </c>
      <c r="I436" s="11">
        <f>13.8866 * CHOOSE(CONTROL!$C$32, $C$9, 100%, $E$9)</f>
        <v>13.8866</v>
      </c>
      <c r="J436" s="11">
        <f>13.8834 * CHOOSE(CONTROL!$C$32, $C$9, 100%, $E$9)</f>
        <v>13.8834</v>
      </c>
      <c r="K436" s="11">
        <f>13.8866 * CHOOSE(CONTROL!$C$32, $C$9, 100%, $E$9)</f>
        <v>13.8866</v>
      </c>
      <c r="L436" s="11">
        <f>7.075 * CHOOSE(CONTROL!$C$32, $C$9, 100%, $E$9)</f>
        <v>7.0750000000000002</v>
      </c>
      <c r="M436" s="11">
        <f>7.0782 * CHOOSE(CONTROL!$C$32, $C$9, 100%, $E$9)</f>
        <v>7.0781999999999998</v>
      </c>
      <c r="N436" s="11">
        <f>7.075 * CHOOSE(CONTROL!$C$32, $C$9, 100%, $E$9)</f>
        <v>7.0750000000000002</v>
      </c>
      <c r="O436" s="11">
        <f>7.0782 * CHOOSE(CONTROL!$C$32, $C$9, 100%, $E$9)</f>
        <v>7.0781999999999998</v>
      </c>
    </row>
    <row r="437" spans="1:15" ht="15" x14ac:dyDescent="0.2">
      <c r="A437" s="13">
        <v>54149</v>
      </c>
      <c r="B437" s="9">
        <f>6.3027 * CHOOSE(CONTROL!$C$32, $C$9, 100%, $E$9)</f>
        <v>6.3026999999999997</v>
      </c>
      <c r="C437" s="9">
        <f>6.3027 * CHOOSE(CONTROL!$C$32, $C$9, 100%, $E$9)</f>
        <v>6.3026999999999997</v>
      </c>
      <c r="D437" s="9">
        <f>6.3036 * CHOOSE(CONTROL!$C$32, $C$9, 100%, $E$9)</f>
        <v>6.3036000000000003</v>
      </c>
      <c r="E437" s="11">
        <f>7.1965 * CHOOSE(CONTROL!$C$32, $C$9, 100%, $E$9)</f>
        <v>7.1965000000000003</v>
      </c>
      <c r="F437" s="11">
        <f>7.1965 * CHOOSE(CONTROL!$C$32, $C$9, 100%, $E$9)</f>
        <v>7.1965000000000003</v>
      </c>
      <c r="G437" s="11">
        <f>7.1997 * CHOOSE(CONTROL!$C$32, $C$9, 100%, $E$9)</f>
        <v>7.1997</v>
      </c>
      <c r="H437" s="11">
        <f>13.9123 * CHOOSE(CONTROL!$C$32, $C$9, 100%, $E$9)</f>
        <v>13.9123</v>
      </c>
      <c r="I437" s="11">
        <f>13.9155 * CHOOSE(CONTROL!$C$32, $C$9, 100%, $E$9)</f>
        <v>13.9155</v>
      </c>
      <c r="J437" s="11">
        <f>13.9123 * CHOOSE(CONTROL!$C$32, $C$9, 100%, $E$9)</f>
        <v>13.9123</v>
      </c>
      <c r="K437" s="11">
        <f>13.9155 * CHOOSE(CONTROL!$C$32, $C$9, 100%, $E$9)</f>
        <v>13.9155</v>
      </c>
      <c r="L437" s="11">
        <f>7.1965 * CHOOSE(CONTROL!$C$32, $C$9, 100%, $E$9)</f>
        <v>7.1965000000000003</v>
      </c>
      <c r="M437" s="11">
        <f>7.1997 * CHOOSE(CONTROL!$C$32, $C$9, 100%, $E$9)</f>
        <v>7.1997</v>
      </c>
      <c r="N437" s="11">
        <f>7.1965 * CHOOSE(CONTROL!$C$32, $C$9, 100%, $E$9)</f>
        <v>7.1965000000000003</v>
      </c>
      <c r="O437" s="11">
        <f>7.1997 * CHOOSE(CONTROL!$C$32, $C$9, 100%, $E$9)</f>
        <v>7.1997</v>
      </c>
    </row>
    <row r="438" spans="1:15" ht="15" x14ac:dyDescent="0.2">
      <c r="A438" s="13">
        <v>54179</v>
      </c>
      <c r="B438" s="9">
        <f>6.3027 * CHOOSE(CONTROL!$C$32, $C$9, 100%, $E$9)</f>
        <v>6.3026999999999997</v>
      </c>
      <c r="C438" s="9">
        <f>6.3027 * CHOOSE(CONTROL!$C$32, $C$9, 100%, $E$9)</f>
        <v>6.3026999999999997</v>
      </c>
      <c r="D438" s="9">
        <f>6.3039 * CHOOSE(CONTROL!$C$32, $C$9, 100%, $E$9)</f>
        <v>6.3038999999999996</v>
      </c>
      <c r="E438" s="11">
        <f>7.2437 * CHOOSE(CONTROL!$C$32, $C$9, 100%, $E$9)</f>
        <v>7.2436999999999996</v>
      </c>
      <c r="F438" s="11">
        <f>7.2437 * CHOOSE(CONTROL!$C$32, $C$9, 100%, $E$9)</f>
        <v>7.2436999999999996</v>
      </c>
      <c r="G438" s="11">
        <f>7.2479 * CHOOSE(CONTROL!$C$32, $C$9, 100%, $E$9)</f>
        <v>7.2478999999999996</v>
      </c>
      <c r="H438" s="11">
        <f>13.9413 * CHOOSE(CONTROL!$C$32, $C$9, 100%, $E$9)</f>
        <v>13.9413</v>
      </c>
      <c r="I438" s="11">
        <f>13.9455 * CHOOSE(CONTROL!$C$32, $C$9, 100%, $E$9)</f>
        <v>13.945499999999999</v>
      </c>
      <c r="J438" s="11">
        <f>13.9413 * CHOOSE(CONTROL!$C$32, $C$9, 100%, $E$9)</f>
        <v>13.9413</v>
      </c>
      <c r="K438" s="11">
        <f>13.9455 * CHOOSE(CONTROL!$C$32, $C$9, 100%, $E$9)</f>
        <v>13.945499999999999</v>
      </c>
      <c r="L438" s="11">
        <f>7.2437 * CHOOSE(CONTROL!$C$32, $C$9, 100%, $E$9)</f>
        <v>7.2436999999999996</v>
      </c>
      <c r="M438" s="11">
        <f>7.2479 * CHOOSE(CONTROL!$C$32, $C$9, 100%, $E$9)</f>
        <v>7.2478999999999996</v>
      </c>
      <c r="N438" s="11">
        <f>7.2437 * CHOOSE(CONTROL!$C$32, $C$9, 100%, $E$9)</f>
        <v>7.2436999999999996</v>
      </c>
      <c r="O438" s="11">
        <f>7.2479 * CHOOSE(CONTROL!$C$32, $C$9, 100%, $E$9)</f>
        <v>7.2478999999999996</v>
      </c>
    </row>
    <row r="439" spans="1:15" ht="15" x14ac:dyDescent="0.2">
      <c r="A439" s="13">
        <v>54210</v>
      </c>
      <c r="B439" s="9">
        <f>6.3087 * CHOOSE(CONTROL!$C$32, $C$9, 100%, $E$9)</f>
        <v>6.3087</v>
      </c>
      <c r="C439" s="9">
        <f>6.3087 * CHOOSE(CONTROL!$C$32, $C$9, 100%, $E$9)</f>
        <v>6.3087</v>
      </c>
      <c r="D439" s="9">
        <f>6.31 * CHOOSE(CONTROL!$C$32, $C$9, 100%, $E$9)</f>
        <v>6.31</v>
      </c>
      <c r="E439" s="11">
        <f>7.2008 * CHOOSE(CONTROL!$C$32, $C$9, 100%, $E$9)</f>
        <v>7.2008000000000001</v>
      </c>
      <c r="F439" s="11">
        <f>7.2008 * CHOOSE(CONTROL!$C$32, $C$9, 100%, $E$9)</f>
        <v>7.2008000000000001</v>
      </c>
      <c r="G439" s="11">
        <f>7.205 * CHOOSE(CONTROL!$C$32, $C$9, 100%, $E$9)</f>
        <v>7.2050000000000001</v>
      </c>
      <c r="H439" s="11">
        <f>13.9703 * CHOOSE(CONTROL!$C$32, $C$9, 100%, $E$9)</f>
        <v>13.9703</v>
      </c>
      <c r="I439" s="11">
        <f>13.9745 * CHOOSE(CONTROL!$C$32, $C$9, 100%, $E$9)</f>
        <v>13.974500000000001</v>
      </c>
      <c r="J439" s="11">
        <f>13.9703 * CHOOSE(CONTROL!$C$32, $C$9, 100%, $E$9)</f>
        <v>13.9703</v>
      </c>
      <c r="K439" s="11">
        <f>13.9745 * CHOOSE(CONTROL!$C$32, $C$9, 100%, $E$9)</f>
        <v>13.974500000000001</v>
      </c>
      <c r="L439" s="11">
        <f>7.2008 * CHOOSE(CONTROL!$C$32, $C$9, 100%, $E$9)</f>
        <v>7.2008000000000001</v>
      </c>
      <c r="M439" s="11">
        <f>7.205 * CHOOSE(CONTROL!$C$32, $C$9, 100%, $E$9)</f>
        <v>7.2050000000000001</v>
      </c>
      <c r="N439" s="11">
        <f>7.2008 * CHOOSE(CONTROL!$C$32, $C$9, 100%, $E$9)</f>
        <v>7.2008000000000001</v>
      </c>
      <c r="O439" s="11">
        <f>7.205 * CHOOSE(CONTROL!$C$32, $C$9, 100%, $E$9)</f>
        <v>7.2050000000000001</v>
      </c>
    </row>
    <row r="440" spans="1:15" ht="15" x14ac:dyDescent="0.2">
      <c r="A440" s="13">
        <v>54240</v>
      </c>
      <c r="B440" s="9">
        <f>6.3926 * CHOOSE(CONTROL!$C$32, $C$9, 100%, $E$9)</f>
        <v>6.3925999999999998</v>
      </c>
      <c r="C440" s="9">
        <f>6.3926 * CHOOSE(CONTROL!$C$32, $C$9, 100%, $E$9)</f>
        <v>6.3925999999999998</v>
      </c>
      <c r="D440" s="9">
        <f>6.3939 * CHOOSE(CONTROL!$C$32, $C$9, 100%, $E$9)</f>
        <v>6.3939000000000004</v>
      </c>
      <c r="E440" s="11">
        <f>7.2866 * CHOOSE(CONTROL!$C$32, $C$9, 100%, $E$9)</f>
        <v>7.2866</v>
      </c>
      <c r="F440" s="11">
        <f>7.2866 * CHOOSE(CONTROL!$C$32, $C$9, 100%, $E$9)</f>
        <v>7.2866</v>
      </c>
      <c r="G440" s="11">
        <f>7.2908 * CHOOSE(CONTROL!$C$32, $C$9, 100%, $E$9)</f>
        <v>7.2907999999999999</v>
      </c>
      <c r="H440" s="11">
        <f>13.9994 * CHOOSE(CONTROL!$C$32, $C$9, 100%, $E$9)</f>
        <v>13.9994</v>
      </c>
      <c r="I440" s="11">
        <f>14.0036 * CHOOSE(CONTROL!$C$32, $C$9, 100%, $E$9)</f>
        <v>14.0036</v>
      </c>
      <c r="J440" s="11">
        <f>13.9994 * CHOOSE(CONTROL!$C$32, $C$9, 100%, $E$9)</f>
        <v>13.9994</v>
      </c>
      <c r="K440" s="11">
        <f>14.0036 * CHOOSE(CONTROL!$C$32, $C$9, 100%, $E$9)</f>
        <v>14.0036</v>
      </c>
      <c r="L440" s="11">
        <f>7.2866 * CHOOSE(CONTROL!$C$32, $C$9, 100%, $E$9)</f>
        <v>7.2866</v>
      </c>
      <c r="M440" s="11">
        <f>7.2908 * CHOOSE(CONTROL!$C$32, $C$9, 100%, $E$9)</f>
        <v>7.2907999999999999</v>
      </c>
      <c r="N440" s="11">
        <f>7.2866 * CHOOSE(CONTROL!$C$32, $C$9, 100%, $E$9)</f>
        <v>7.2866</v>
      </c>
      <c r="O440" s="11">
        <f>7.2908 * CHOOSE(CONTROL!$C$32, $C$9, 100%, $E$9)</f>
        <v>7.2907999999999999</v>
      </c>
    </row>
    <row r="441" spans="1:15" ht="15" x14ac:dyDescent="0.2">
      <c r="A441" s="13">
        <v>54271</v>
      </c>
      <c r="B441" s="9">
        <f>6.3993 * CHOOSE(CONTROL!$C$32, $C$9, 100%, $E$9)</f>
        <v>6.3993000000000002</v>
      </c>
      <c r="C441" s="9">
        <f>6.3993 * CHOOSE(CONTROL!$C$32, $C$9, 100%, $E$9)</f>
        <v>6.3993000000000002</v>
      </c>
      <c r="D441" s="9">
        <f>6.4005 * CHOOSE(CONTROL!$C$32, $C$9, 100%, $E$9)</f>
        <v>6.4005000000000001</v>
      </c>
      <c r="E441" s="11">
        <f>7.1497 * CHOOSE(CONTROL!$C$32, $C$9, 100%, $E$9)</f>
        <v>7.1497000000000002</v>
      </c>
      <c r="F441" s="11">
        <f>7.1497 * CHOOSE(CONTROL!$C$32, $C$9, 100%, $E$9)</f>
        <v>7.1497000000000002</v>
      </c>
      <c r="G441" s="11">
        <f>7.1539 * CHOOSE(CONTROL!$C$32, $C$9, 100%, $E$9)</f>
        <v>7.1539000000000001</v>
      </c>
      <c r="H441" s="11">
        <f>14.0286 * CHOOSE(CONTROL!$C$32, $C$9, 100%, $E$9)</f>
        <v>14.028600000000001</v>
      </c>
      <c r="I441" s="11">
        <f>14.0328 * CHOOSE(CONTROL!$C$32, $C$9, 100%, $E$9)</f>
        <v>14.0328</v>
      </c>
      <c r="J441" s="11">
        <f>14.0286 * CHOOSE(CONTROL!$C$32, $C$9, 100%, $E$9)</f>
        <v>14.028600000000001</v>
      </c>
      <c r="K441" s="11">
        <f>14.0328 * CHOOSE(CONTROL!$C$32, $C$9, 100%, $E$9)</f>
        <v>14.0328</v>
      </c>
      <c r="L441" s="11">
        <f>7.1497 * CHOOSE(CONTROL!$C$32, $C$9, 100%, $E$9)</f>
        <v>7.1497000000000002</v>
      </c>
      <c r="M441" s="11">
        <f>7.1539 * CHOOSE(CONTROL!$C$32, $C$9, 100%, $E$9)</f>
        <v>7.1539000000000001</v>
      </c>
      <c r="N441" s="11">
        <f>7.1497 * CHOOSE(CONTROL!$C$32, $C$9, 100%, $E$9)</f>
        <v>7.1497000000000002</v>
      </c>
      <c r="O441" s="11">
        <f>7.1539 * CHOOSE(CONTROL!$C$32, $C$9, 100%, $E$9)</f>
        <v>7.1539000000000001</v>
      </c>
    </row>
    <row r="442" spans="1:15" ht="15" x14ac:dyDescent="0.2">
      <c r="A442" s="13">
        <v>54302</v>
      </c>
      <c r="B442" s="9">
        <f>6.3963 * CHOOSE(CONTROL!$C$32, $C$9, 100%, $E$9)</f>
        <v>6.3963000000000001</v>
      </c>
      <c r="C442" s="9">
        <f>6.3963 * CHOOSE(CONTROL!$C$32, $C$9, 100%, $E$9)</f>
        <v>6.3963000000000001</v>
      </c>
      <c r="D442" s="9">
        <f>6.3975 * CHOOSE(CONTROL!$C$32, $C$9, 100%, $E$9)</f>
        <v>6.3975</v>
      </c>
      <c r="E442" s="11">
        <f>7.1319 * CHOOSE(CONTROL!$C$32, $C$9, 100%, $E$9)</f>
        <v>7.1318999999999999</v>
      </c>
      <c r="F442" s="11">
        <f>7.1319 * CHOOSE(CONTROL!$C$32, $C$9, 100%, $E$9)</f>
        <v>7.1318999999999999</v>
      </c>
      <c r="G442" s="11">
        <f>7.1361 * CHOOSE(CONTROL!$C$32, $C$9, 100%, $E$9)</f>
        <v>7.1360999999999999</v>
      </c>
      <c r="H442" s="11">
        <f>14.0578 * CHOOSE(CONTROL!$C$32, $C$9, 100%, $E$9)</f>
        <v>14.0578</v>
      </c>
      <c r="I442" s="11">
        <f>14.062 * CHOOSE(CONTROL!$C$32, $C$9, 100%, $E$9)</f>
        <v>14.061999999999999</v>
      </c>
      <c r="J442" s="11">
        <f>14.0578 * CHOOSE(CONTROL!$C$32, $C$9, 100%, $E$9)</f>
        <v>14.0578</v>
      </c>
      <c r="K442" s="11">
        <f>14.062 * CHOOSE(CONTROL!$C$32, $C$9, 100%, $E$9)</f>
        <v>14.061999999999999</v>
      </c>
      <c r="L442" s="11">
        <f>7.1319 * CHOOSE(CONTROL!$C$32, $C$9, 100%, $E$9)</f>
        <v>7.1318999999999999</v>
      </c>
      <c r="M442" s="11">
        <f>7.1361 * CHOOSE(CONTROL!$C$32, $C$9, 100%, $E$9)</f>
        <v>7.1360999999999999</v>
      </c>
      <c r="N442" s="11">
        <f>7.1319 * CHOOSE(CONTROL!$C$32, $C$9, 100%, $E$9)</f>
        <v>7.1318999999999999</v>
      </c>
      <c r="O442" s="11">
        <f>7.1361 * CHOOSE(CONTROL!$C$32, $C$9, 100%, $E$9)</f>
        <v>7.1360999999999999</v>
      </c>
    </row>
    <row r="443" spans="1:15" ht="15" x14ac:dyDescent="0.2">
      <c r="A443" s="13">
        <v>54332</v>
      </c>
      <c r="B443" s="9">
        <f>6.4002 * CHOOSE(CONTROL!$C$32, $C$9, 100%, $E$9)</f>
        <v>6.4001999999999999</v>
      </c>
      <c r="C443" s="9">
        <f>6.4002 * CHOOSE(CONTROL!$C$32, $C$9, 100%, $E$9)</f>
        <v>6.4001999999999999</v>
      </c>
      <c r="D443" s="9">
        <f>6.4012 * CHOOSE(CONTROL!$C$32, $C$9, 100%, $E$9)</f>
        <v>6.4012000000000002</v>
      </c>
      <c r="E443" s="11">
        <f>7.1814 * CHOOSE(CONTROL!$C$32, $C$9, 100%, $E$9)</f>
        <v>7.1814</v>
      </c>
      <c r="F443" s="11">
        <f>7.1814 * CHOOSE(CONTROL!$C$32, $C$9, 100%, $E$9)</f>
        <v>7.1814</v>
      </c>
      <c r="G443" s="11">
        <f>7.1846 * CHOOSE(CONTROL!$C$32, $C$9, 100%, $E$9)</f>
        <v>7.1845999999999997</v>
      </c>
      <c r="H443" s="11">
        <f>14.0871 * CHOOSE(CONTROL!$C$32, $C$9, 100%, $E$9)</f>
        <v>14.0871</v>
      </c>
      <c r="I443" s="11">
        <f>14.0903 * CHOOSE(CONTROL!$C$32, $C$9, 100%, $E$9)</f>
        <v>14.090299999999999</v>
      </c>
      <c r="J443" s="11">
        <f>14.0871 * CHOOSE(CONTROL!$C$32, $C$9, 100%, $E$9)</f>
        <v>14.0871</v>
      </c>
      <c r="K443" s="11">
        <f>14.0903 * CHOOSE(CONTROL!$C$32, $C$9, 100%, $E$9)</f>
        <v>14.090299999999999</v>
      </c>
      <c r="L443" s="11">
        <f>7.1814 * CHOOSE(CONTROL!$C$32, $C$9, 100%, $E$9)</f>
        <v>7.1814</v>
      </c>
      <c r="M443" s="11">
        <f>7.1846 * CHOOSE(CONTROL!$C$32, $C$9, 100%, $E$9)</f>
        <v>7.1845999999999997</v>
      </c>
      <c r="N443" s="11">
        <f>7.1814 * CHOOSE(CONTROL!$C$32, $C$9, 100%, $E$9)</f>
        <v>7.1814</v>
      </c>
      <c r="O443" s="11">
        <f>7.1846 * CHOOSE(CONTROL!$C$32, $C$9, 100%, $E$9)</f>
        <v>7.1845999999999997</v>
      </c>
    </row>
    <row r="444" spans="1:15" ht="15" x14ac:dyDescent="0.2">
      <c r="A444" s="13">
        <v>54363</v>
      </c>
      <c r="B444" s="9">
        <f>6.4033 * CHOOSE(CONTROL!$C$32, $C$9, 100%, $E$9)</f>
        <v>6.4032999999999998</v>
      </c>
      <c r="C444" s="9">
        <f>6.4033 * CHOOSE(CONTROL!$C$32, $C$9, 100%, $E$9)</f>
        <v>6.4032999999999998</v>
      </c>
      <c r="D444" s="9">
        <f>6.4042 * CHOOSE(CONTROL!$C$32, $C$9, 100%, $E$9)</f>
        <v>6.4042000000000003</v>
      </c>
      <c r="E444" s="11">
        <f>7.2149 * CHOOSE(CONTROL!$C$32, $C$9, 100%, $E$9)</f>
        <v>7.2149000000000001</v>
      </c>
      <c r="F444" s="11">
        <f>7.2149 * CHOOSE(CONTROL!$C$32, $C$9, 100%, $E$9)</f>
        <v>7.2149000000000001</v>
      </c>
      <c r="G444" s="11">
        <f>7.2181 * CHOOSE(CONTROL!$C$32, $C$9, 100%, $E$9)</f>
        <v>7.2180999999999997</v>
      </c>
      <c r="H444" s="11">
        <f>14.1165 * CHOOSE(CONTROL!$C$32, $C$9, 100%, $E$9)</f>
        <v>14.1165</v>
      </c>
      <c r="I444" s="11">
        <f>14.1197 * CHOOSE(CONTROL!$C$32, $C$9, 100%, $E$9)</f>
        <v>14.1197</v>
      </c>
      <c r="J444" s="11">
        <f>14.1165 * CHOOSE(CONTROL!$C$32, $C$9, 100%, $E$9)</f>
        <v>14.1165</v>
      </c>
      <c r="K444" s="11">
        <f>14.1197 * CHOOSE(CONTROL!$C$32, $C$9, 100%, $E$9)</f>
        <v>14.1197</v>
      </c>
      <c r="L444" s="11">
        <f>7.2149 * CHOOSE(CONTROL!$C$32, $C$9, 100%, $E$9)</f>
        <v>7.2149000000000001</v>
      </c>
      <c r="M444" s="11">
        <f>7.2181 * CHOOSE(CONTROL!$C$32, $C$9, 100%, $E$9)</f>
        <v>7.2180999999999997</v>
      </c>
      <c r="N444" s="11">
        <f>7.2149 * CHOOSE(CONTROL!$C$32, $C$9, 100%, $E$9)</f>
        <v>7.2149000000000001</v>
      </c>
      <c r="O444" s="11">
        <f>7.2181 * CHOOSE(CONTROL!$C$32, $C$9, 100%, $E$9)</f>
        <v>7.2180999999999997</v>
      </c>
    </row>
    <row r="445" spans="1:15" ht="15" x14ac:dyDescent="0.2">
      <c r="A445" s="13">
        <v>54393</v>
      </c>
      <c r="B445" s="9">
        <f>6.4033 * CHOOSE(CONTROL!$C$32, $C$9, 100%, $E$9)</f>
        <v>6.4032999999999998</v>
      </c>
      <c r="C445" s="9">
        <f>6.4033 * CHOOSE(CONTROL!$C$32, $C$9, 100%, $E$9)</f>
        <v>6.4032999999999998</v>
      </c>
      <c r="D445" s="9">
        <f>6.4042 * CHOOSE(CONTROL!$C$32, $C$9, 100%, $E$9)</f>
        <v>6.4042000000000003</v>
      </c>
      <c r="E445" s="11">
        <f>7.1363 * CHOOSE(CONTROL!$C$32, $C$9, 100%, $E$9)</f>
        <v>7.1363000000000003</v>
      </c>
      <c r="F445" s="11">
        <f>7.1363 * CHOOSE(CONTROL!$C$32, $C$9, 100%, $E$9)</f>
        <v>7.1363000000000003</v>
      </c>
      <c r="G445" s="11">
        <f>7.1395 * CHOOSE(CONTROL!$C$32, $C$9, 100%, $E$9)</f>
        <v>7.1395</v>
      </c>
      <c r="H445" s="11">
        <f>14.1459 * CHOOSE(CONTROL!$C$32, $C$9, 100%, $E$9)</f>
        <v>14.145899999999999</v>
      </c>
      <c r="I445" s="11">
        <f>14.1491 * CHOOSE(CONTROL!$C$32, $C$9, 100%, $E$9)</f>
        <v>14.149100000000001</v>
      </c>
      <c r="J445" s="11">
        <f>14.1459 * CHOOSE(CONTROL!$C$32, $C$9, 100%, $E$9)</f>
        <v>14.145899999999999</v>
      </c>
      <c r="K445" s="11">
        <f>14.1491 * CHOOSE(CONTROL!$C$32, $C$9, 100%, $E$9)</f>
        <v>14.149100000000001</v>
      </c>
      <c r="L445" s="11">
        <f>7.1363 * CHOOSE(CONTROL!$C$32, $C$9, 100%, $E$9)</f>
        <v>7.1363000000000003</v>
      </c>
      <c r="M445" s="11">
        <f>7.1395 * CHOOSE(CONTROL!$C$32, $C$9, 100%, $E$9)</f>
        <v>7.1395</v>
      </c>
      <c r="N445" s="11">
        <f>7.1363 * CHOOSE(CONTROL!$C$32, $C$9, 100%, $E$9)</f>
        <v>7.1363000000000003</v>
      </c>
      <c r="O445" s="11">
        <f>7.1395 * CHOOSE(CONTROL!$C$32, $C$9, 100%, $E$9)</f>
        <v>7.1395</v>
      </c>
    </row>
    <row r="446" spans="1:15" ht="15" x14ac:dyDescent="0.2">
      <c r="A446" s="13">
        <v>54424</v>
      </c>
      <c r="B446" s="9">
        <f>6.4519 * CHOOSE(CONTROL!$C$32, $C$9, 100%, $E$9)</f>
        <v>6.4519000000000002</v>
      </c>
      <c r="C446" s="9">
        <f>6.4519 * CHOOSE(CONTROL!$C$32, $C$9, 100%, $E$9)</f>
        <v>6.4519000000000002</v>
      </c>
      <c r="D446" s="9">
        <f>6.4529 * CHOOSE(CONTROL!$C$32, $C$9, 100%, $E$9)</f>
        <v>6.4528999999999996</v>
      </c>
      <c r="E446" s="11">
        <f>7.2513 * CHOOSE(CONTROL!$C$32, $C$9, 100%, $E$9)</f>
        <v>7.2512999999999996</v>
      </c>
      <c r="F446" s="11">
        <f>7.2513 * CHOOSE(CONTROL!$C$32, $C$9, 100%, $E$9)</f>
        <v>7.2512999999999996</v>
      </c>
      <c r="G446" s="11">
        <f>7.2545 * CHOOSE(CONTROL!$C$32, $C$9, 100%, $E$9)</f>
        <v>7.2545000000000002</v>
      </c>
      <c r="H446" s="11">
        <f>14.1753 * CHOOSE(CONTROL!$C$32, $C$9, 100%, $E$9)</f>
        <v>14.1753</v>
      </c>
      <c r="I446" s="11">
        <f>14.1786 * CHOOSE(CONTROL!$C$32, $C$9, 100%, $E$9)</f>
        <v>14.178599999999999</v>
      </c>
      <c r="J446" s="11">
        <f>14.1753 * CHOOSE(CONTROL!$C$32, $C$9, 100%, $E$9)</f>
        <v>14.1753</v>
      </c>
      <c r="K446" s="11">
        <f>14.1786 * CHOOSE(CONTROL!$C$32, $C$9, 100%, $E$9)</f>
        <v>14.178599999999999</v>
      </c>
      <c r="L446" s="11">
        <f>7.2513 * CHOOSE(CONTROL!$C$32, $C$9, 100%, $E$9)</f>
        <v>7.2512999999999996</v>
      </c>
      <c r="M446" s="11">
        <f>7.2545 * CHOOSE(CONTROL!$C$32, $C$9, 100%, $E$9)</f>
        <v>7.2545000000000002</v>
      </c>
      <c r="N446" s="11">
        <f>7.2513 * CHOOSE(CONTROL!$C$32, $C$9, 100%, $E$9)</f>
        <v>7.2512999999999996</v>
      </c>
      <c r="O446" s="11">
        <f>7.2545 * CHOOSE(CONTROL!$C$32, $C$9, 100%, $E$9)</f>
        <v>7.2545000000000002</v>
      </c>
    </row>
    <row r="447" spans="1:15" ht="15" x14ac:dyDescent="0.2">
      <c r="A447" s="13">
        <v>54455</v>
      </c>
      <c r="B447" s="9">
        <f>6.4489 * CHOOSE(CONTROL!$C$32, $C$9, 100%, $E$9)</f>
        <v>6.4489000000000001</v>
      </c>
      <c r="C447" s="9">
        <f>6.4489 * CHOOSE(CONTROL!$C$32, $C$9, 100%, $E$9)</f>
        <v>6.4489000000000001</v>
      </c>
      <c r="D447" s="9">
        <f>6.4499 * CHOOSE(CONTROL!$C$32, $C$9, 100%, $E$9)</f>
        <v>6.4499000000000004</v>
      </c>
      <c r="E447" s="11">
        <f>7.0958 * CHOOSE(CONTROL!$C$32, $C$9, 100%, $E$9)</f>
        <v>7.0957999999999997</v>
      </c>
      <c r="F447" s="11">
        <f>7.0958 * CHOOSE(CONTROL!$C$32, $C$9, 100%, $E$9)</f>
        <v>7.0957999999999997</v>
      </c>
      <c r="G447" s="11">
        <f>7.099 * CHOOSE(CONTROL!$C$32, $C$9, 100%, $E$9)</f>
        <v>7.0990000000000002</v>
      </c>
      <c r="H447" s="11">
        <f>14.2049 * CHOOSE(CONTROL!$C$32, $C$9, 100%, $E$9)</f>
        <v>14.2049</v>
      </c>
      <c r="I447" s="11">
        <f>14.2081 * CHOOSE(CONTROL!$C$32, $C$9, 100%, $E$9)</f>
        <v>14.2081</v>
      </c>
      <c r="J447" s="11">
        <f>14.2049 * CHOOSE(CONTROL!$C$32, $C$9, 100%, $E$9)</f>
        <v>14.2049</v>
      </c>
      <c r="K447" s="11">
        <f>14.2081 * CHOOSE(CONTROL!$C$32, $C$9, 100%, $E$9)</f>
        <v>14.2081</v>
      </c>
      <c r="L447" s="11">
        <f>7.0958 * CHOOSE(CONTROL!$C$32, $C$9, 100%, $E$9)</f>
        <v>7.0957999999999997</v>
      </c>
      <c r="M447" s="11">
        <f>7.099 * CHOOSE(CONTROL!$C$32, $C$9, 100%, $E$9)</f>
        <v>7.0990000000000002</v>
      </c>
      <c r="N447" s="11">
        <f>7.0958 * CHOOSE(CONTROL!$C$32, $C$9, 100%, $E$9)</f>
        <v>7.0957999999999997</v>
      </c>
      <c r="O447" s="11">
        <f>7.099 * CHOOSE(CONTROL!$C$32, $C$9, 100%, $E$9)</f>
        <v>7.0990000000000002</v>
      </c>
    </row>
    <row r="448" spans="1:15" ht="15" x14ac:dyDescent="0.2">
      <c r="A448" s="13">
        <v>54483</v>
      </c>
      <c r="B448" s="9">
        <f>6.4459 * CHOOSE(CONTROL!$C$32, $C$9, 100%, $E$9)</f>
        <v>6.4459</v>
      </c>
      <c r="C448" s="9">
        <f>6.4459 * CHOOSE(CONTROL!$C$32, $C$9, 100%, $E$9)</f>
        <v>6.4459</v>
      </c>
      <c r="D448" s="9">
        <f>6.4468 * CHOOSE(CONTROL!$C$32, $C$9, 100%, $E$9)</f>
        <v>6.4467999999999996</v>
      </c>
      <c r="E448" s="11">
        <f>7.2146 * CHOOSE(CONTROL!$C$32, $C$9, 100%, $E$9)</f>
        <v>7.2145999999999999</v>
      </c>
      <c r="F448" s="11">
        <f>7.2146 * CHOOSE(CONTROL!$C$32, $C$9, 100%, $E$9)</f>
        <v>7.2145999999999999</v>
      </c>
      <c r="G448" s="11">
        <f>7.2178 * CHOOSE(CONTROL!$C$32, $C$9, 100%, $E$9)</f>
        <v>7.2178000000000004</v>
      </c>
      <c r="H448" s="11">
        <f>14.2345 * CHOOSE(CONTROL!$C$32, $C$9, 100%, $E$9)</f>
        <v>14.234500000000001</v>
      </c>
      <c r="I448" s="11">
        <f>14.2377 * CHOOSE(CONTROL!$C$32, $C$9, 100%, $E$9)</f>
        <v>14.2377</v>
      </c>
      <c r="J448" s="11">
        <f>14.2345 * CHOOSE(CONTROL!$C$32, $C$9, 100%, $E$9)</f>
        <v>14.234500000000001</v>
      </c>
      <c r="K448" s="11">
        <f>14.2377 * CHOOSE(CONTROL!$C$32, $C$9, 100%, $E$9)</f>
        <v>14.2377</v>
      </c>
      <c r="L448" s="11">
        <f>7.2146 * CHOOSE(CONTROL!$C$32, $C$9, 100%, $E$9)</f>
        <v>7.2145999999999999</v>
      </c>
      <c r="M448" s="11">
        <f>7.2178 * CHOOSE(CONTROL!$C$32, $C$9, 100%, $E$9)</f>
        <v>7.2178000000000004</v>
      </c>
      <c r="N448" s="11">
        <f>7.2146 * CHOOSE(CONTROL!$C$32, $C$9, 100%, $E$9)</f>
        <v>7.2145999999999999</v>
      </c>
      <c r="O448" s="11">
        <f>7.2178 * CHOOSE(CONTROL!$C$32, $C$9, 100%, $E$9)</f>
        <v>7.2178000000000004</v>
      </c>
    </row>
    <row r="449" spans="1:15" ht="15" x14ac:dyDescent="0.2">
      <c r="A449" s="13">
        <v>54514</v>
      </c>
      <c r="B449" s="9">
        <f>6.4459 * CHOOSE(CONTROL!$C$32, $C$9, 100%, $E$9)</f>
        <v>6.4459</v>
      </c>
      <c r="C449" s="9">
        <f>6.4459 * CHOOSE(CONTROL!$C$32, $C$9, 100%, $E$9)</f>
        <v>6.4459</v>
      </c>
      <c r="D449" s="9">
        <f>6.4468 * CHOOSE(CONTROL!$C$32, $C$9, 100%, $E$9)</f>
        <v>6.4467999999999996</v>
      </c>
      <c r="E449" s="11">
        <f>7.3402 * CHOOSE(CONTROL!$C$32, $C$9, 100%, $E$9)</f>
        <v>7.3402000000000003</v>
      </c>
      <c r="F449" s="11">
        <f>7.3402 * CHOOSE(CONTROL!$C$32, $C$9, 100%, $E$9)</f>
        <v>7.3402000000000003</v>
      </c>
      <c r="G449" s="11">
        <f>7.3434 * CHOOSE(CONTROL!$C$32, $C$9, 100%, $E$9)</f>
        <v>7.3433999999999999</v>
      </c>
      <c r="H449" s="11">
        <f>14.2641 * CHOOSE(CONTROL!$C$32, $C$9, 100%, $E$9)</f>
        <v>14.264099999999999</v>
      </c>
      <c r="I449" s="11">
        <f>14.2673 * CHOOSE(CONTROL!$C$32, $C$9, 100%, $E$9)</f>
        <v>14.267300000000001</v>
      </c>
      <c r="J449" s="11">
        <f>14.2641 * CHOOSE(CONTROL!$C$32, $C$9, 100%, $E$9)</f>
        <v>14.264099999999999</v>
      </c>
      <c r="K449" s="11">
        <f>14.2673 * CHOOSE(CONTROL!$C$32, $C$9, 100%, $E$9)</f>
        <v>14.267300000000001</v>
      </c>
      <c r="L449" s="11">
        <f>7.3402 * CHOOSE(CONTROL!$C$32, $C$9, 100%, $E$9)</f>
        <v>7.3402000000000003</v>
      </c>
      <c r="M449" s="11">
        <f>7.3434 * CHOOSE(CONTROL!$C$32, $C$9, 100%, $E$9)</f>
        <v>7.3433999999999999</v>
      </c>
      <c r="N449" s="11">
        <f>7.3402 * CHOOSE(CONTROL!$C$32, $C$9, 100%, $E$9)</f>
        <v>7.3402000000000003</v>
      </c>
      <c r="O449" s="11">
        <f>7.3434 * CHOOSE(CONTROL!$C$32, $C$9, 100%, $E$9)</f>
        <v>7.3433999999999999</v>
      </c>
    </row>
    <row r="450" spans="1:15" ht="15" x14ac:dyDescent="0.2">
      <c r="A450" s="13">
        <v>54544</v>
      </c>
      <c r="B450" s="9">
        <f>6.4459 * CHOOSE(CONTROL!$C$32, $C$9, 100%, $E$9)</f>
        <v>6.4459</v>
      </c>
      <c r="C450" s="9">
        <f>6.4459 * CHOOSE(CONTROL!$C$32, $C$9, 100%, $E$9)</f>
        <v>6.4459</v>
      </c>
      <c r="D450" s="9">
        <f>6.4471 * CHOOSE(CONTROL!$C$32, $C$9, 100%, $E$9)</f>
        <v>6.4470999999999998</v>
      </c>
      <c r="E450" s="11">
        <f>7.3889 * CHOOSE(CONTROL!$C$32, $C$9, 100%, $E$9)</f>
        <v>7.3888999999999996</v>
      </c>
      <c r="F450" s="11">
        <f>7.3889 * CHOOSE(CONTROL!$C$32, $C$9, 100%, $E$9)</f>
        <v>7.3888999999999996</v>
      </c>
      <c r="G450" s="11">
        <f>7.3931 * CHOOSE(CONTROL!$C$32, $C$9, 100%, $E$9)</f>
        <v>7.3930999999999996</v>
      </c>
      <c r="H450" s="11">
        <f>14.2938 * CHOOSE(CONTROL!$C$32, $C$9, 100%, $E$9)</f>
        <v>14.293799999999999</v>
      </c>
      <c r="I450" s="11">
        <f>14.298 * CHOOSE(CONTROL!$C$32, $C$9, 100%, $E$9)</f>
        <v>14.298</v>
      </c>
      <c r="J450" s="11">
        <f>14.2938 * CHOOSE(CONTROL!$C$32, $C$9, 100%, $E$9)</f>
        <v>14.293799999999999</v>
      </c>
      <c r="K450" s="11">
        <f>14.298 * CHOOSE(CONTROL!$C$32, $C$9, 100%, $E$9)</f>
        <v>14.298</v>
      </c>
      <c r="L450" s="11">
        <f>7.3889 * CHOOSE(CONTROL!$C$32, $C$9, 100%, $E$9)</f>
        <v>7.3888999999999996</v>
      </c>
      <c r="M450" s="11">
        <f>7.3931 * CHOOSE(CONTROL!$C$32, $C$9, 100%, $E$9)</f>
        <v>7.3930999999999996</v>
      </c>
      <c r="N450" s="11">
        <f>7.3889 * CHOOSE(CONTROL!$C$32, $C$9, 100%, $E$9)</f>
        <v>7.3888999999999996</v>
      </c>
      <c r="O450" s="11">
        <f>7.3931 * CHOOSE(CONTROL!$C$32, $C$9, 100%, $E$9)</f>
        <v>7.3930999999999996</v>
      </c>
    </row>
    <row r="451" spans="1:15" ht="15" x14ac:dyDescent="0.2">
      <c r="A451" s="13">
        <v>54575</v>
      </c>
      <c r="B451" s="9">
        <f>6.452 * CHOOSE(CONTROL!$C$32, $C$9, 100%, $E$9)</f>
        <v>6.452</v>
      </c>
      <c r="C451" s="9">
        <f>6.452 * CHOOSE(CONTROL!$C$32, $C$9, 100%, $E$9)</f>
        <v>6.452</v>
      </c>
      <c r="D451" s="9">
        <f>6.4532 * CHOOSE(CONTROL!$C$32, $C$9, 100%, $E$9)</f>
        <v>6.4531999999999998</v>
      </c>
      <c r="E451" s="11">
        <f>7.3444 * CHOOSE(CONTROL!$C$32, $C$9, 100%, $E$9)</f>
        <v>7.3444000000000003</v>
      </c>
      <c r="F451" s="11">
        <f>7.3444 * CHOOSE(CONTROL!$C$32, $C$9, 100%, $E$9)</f>
        <v>7.3444000000000003</v>
      </c>
      <c r="G451" s="11">
        <f>7.3486 * CHOOSE(CONTROL!$C$32, $C$9, 100%, $E$9)</f>
        <v>7.3486000000000002</v>
      </c>
      <c r="H451" s="11">
        <f>14.3236 * CHOOSE(CONTROL!$C$32, $C$9, 100%, $E$9)</f>
        <v>14.323600000000001</v>
      </c>
      <c r="I451" s="11">
        <f>14.3278 * CHOOSE(CONTROL!$C$32, $C$9, 100%, $E$9)</f>
        <v>14.3278</v>
      </c>
      <c r="J451" s="11">
        <f>14.3236 * CHOOSE(CONTROL!$C$32, $C$9, 100%, $E$9)</f>
        <v>14.323600000000001</v>
      </c>
      <c r="K451" s="11">
        <f>14.3278 * CHOOSE(CONTROL!$C$32, $C$9, 100%, $E$9)</f>
        <v>14.3278</v>
      </c>
      <c r="L451" s="11">
        <f>7.3444 * CHOOSE(CONTROL!$C$32, $C$9, 100%, $E$9)</f>
        <v>7.3444000000000003</v>
      </c>
      <c r="M451" s="11">
        <f>7.3486 * CHOOSE(CONTROL!$C$32, $C$9, 100%, $E$9)</f>
        <v>7.3486000000000002</v>
      </c>
      <c r="N451" s="11">
        <f>7.3444 * CHOOSE(CONTROL!$C$32, $C$9, 100%, $E$9)</f>
        <v>7.3444000000000003</v>
      </c>
      <c r="O451" s="11">
        <f>7.3486 * CHOOSE(CONTROL!$C$32, $C$9, 100%, $E$9)</f>
        <v>7.3486000000000002</v>
      </c>
    </row>
    <row r="452" spans="1:15" ht="15" x14ac:dyDescent="0.2">
      <c r="A452" s="13">
        <v>54605</v>
      </c>
      <c r="B452" s="9">
        <f>6.5374 * CHOOSE(CONTROL!$C$32, $C$9, 100%, $E$9)</f>
        <v>6.5373999999999999</v>
      </c>
      <c r="C452" s="9">
        <f>6.5374 * CHOOSE(CONTROL!$C$32, $C$9, 100%, $E$9)</f>
        <v>6.5373999999999999</v>
      </c>
      <c r="D452" s="9">
        <f>6.5386 * CHOOSE(CONTROL!$C$32, $C$9, 100%, $E$9)</f>
        <v>6.5385999999999997</v>
      </c>
      <c r="E452" s="11">
        <f>7.4428 * CHOOSE(CONTROL!$C$32, $C$9, 100%, $E$9)</f>
        <v>7.4428000000000001</v>
      </c>
      <c r="F452" s="11">
        <f>7.4428 * CHOOSE(CONTROL!$C$32, $C$9, 100%, $E$9)</f>
        <v>7.4428000000000001</v>
      </c>
      <c r="G452" s="11">
        <f>7.447 * CHOOSE(CONTROL!$C$32, $C$9, 100%, $E$9)</f>
        <v>7.4470000000000001</v>
      </c>
      <c r="H452" s="11">
        <f>14.3535 * CHOOSE(CONTROL!$C$32, $C$9, 100%, $E$9)</f>
        <v>14.3535</v>
      </c>
      <c r="I452" s="11">
        <f>14.3577 * CHOOSE(CONTROL!$C$32, $C$9, 100%, $E$9)</f>
        <v>14.357699999999999</v>
      </c>
      <c r="J452" s="11">
        <f>14.3535 * CHOOSE(CONTROL!$C$32, $C$9, 100%, $E$9)</f>
        <v>14.3535</v>
      </c>
      <c r="K452" s="11">
        <f>14.3577 * CHOOSE(CONTROL!$C$32, $C$9, 100%, $E$9)</f>
        <v>14.357699999999999</v>
      </c>
      <c r="L452" s="11">
        <f>7.4428 * CHOOSE(CONTROL!$C$32, $C$9, 100%, $E$9)</f>
        <v>7.4428000000000001</v>
      </c>
      <c r="M452" s="11">
        <f>7.447 * CHOOSE(CONTROL!$C$32, $C$9, 100%, $E$9)</f>
        <v>7.4470000000000001</v>
      </c>
      <c r="N452" s="11">
        <f>7.4428 * CHOOSE(CONTROL!$C$32, $C$9, 100%, $E$9)</f>
        <v>7.4428000000000001</v>
      </c>
      <c r="O452" s="11">
        <f>7.447 * CHOOSE(CONTROL!$C$32, $C$9, 100%, $E$9)</f>
        <v>7.4470000000000001</v>
      </c>
    </row>
    <row r="453" spans="1:15" ht="15" x14ac:dyDescent="0.2">
      <c r="A453" s="13">
        <v>54636</v>
      </c>
      <c r="B453" s="9">
        <f>6.5441 * CHOOSE(CONTROL!$C$32, $C$9, 100%, $E$9)</f>
        <v>6.5441000000000003</v>
      </c>
      <c r="C453" s="9">
        <f>6.5441 * CHOOSE(CONTROL!$C$32, $C$9, 100%, $E$9)</f>
        <v>6.5441000000000003</v>
      </c>
      <c r="D453" s="9">
        <f>6.5453 * CHOOSE(CONTROL!$C$32, $C$9, 100%, $E$9)</f>
        <v>6.5453000000000001</v>
      </c>
      <c r="E453" s="11">
        <f>7.3013 * CHOOSE(CONTROL!$C$32, $C$9, 100%, $E$9)</f>
        <v>7.3013000000000003</v>
      </c>
      <c r="F453" s="11">
        <f>7.3013 * CHOOSE(CONTROL!$C$32, $C$9, 100%, $E$9)</f>
        <v>7.3013000000000003</v>
      </c>
      <c r="G453" s="11">
        <f>7.3055 * CHOOSE(CONTROL!$C$32, $C$9, 100%, $E$9)</f>
        <v>7.3055000000000003</v>
      </c>
      <c r="H453" s="11">
        <f>14.3834 * CHOOSE(CONTROL!$C$32, $C$9, 100%, $E$9)</f>
        <v>14.3834</v>
      </c>
      <c r="I453" s="11">
        <f>14.3876 * CHOOSE(CONTROL!$C$32, $C$9, 100%, $E$9)</f>
        <v>14.387600000000001</v>
      </c>
      <c r="J453" s="11">
        <f>14.3834 * CHOOSE(CONTROL!$C$32, $C$9, 100%, $E$9)</f>
        <v>14.3834</v>
      </c>
      <c r="K453" s="11">
        <f>14.3876 * CHOOSE(CONTROL!$C$32, $C$9, 100%, $E$9)</f>
        <v>14.387600000000001</v>
      </c>
      <c r="L453" s="11">
        <f>7.3013 * CHOOSE(CONTROL!$C$32, $C$9, 100%, $E$9)</f>
        <v>7.3013000000000003</v>
      </c>
      <c r="M453" s="11">
        <f>7.3055 * CHOOSE(CONTROL!$C$32, $C$9, 100%, $E$9)</f>
        <v>7.3055000000000003</v>
      </c>
      <c r="N453" s="11">
        <f>7.3013 * CHOOSE(CONTROL!$C$32, $C$9, 100%, $E$9)</f>
        <v>7.3013000000000003</v>
      </c>
      <c r="O453" s="11">
        <f>7.3055 * CHOOSE(CONTROL!$C$32, $C$9, 100%, $E$9)</f>
        <v>7.3055000000000003</v>
      </c>
    </row>
    <row r="454" spans="1:15" ht="15" x14ac:dyDescent="0.2">
      <c r="A454" s="13">
        <v>54667</v>
      </c>
      <c r="B454" s="9">
        <f>6.541 * CHOOSE(CONTROL!$C$32, $C$9, 100%, $E$9)</f>
        <v>6.5410000000000004</v>
      </c>
      <c r="C454" s="9">
        <f>6.541 * CHOOSE(CONTROL!$C$32, $C$9, 100%, $E$9)</f>
        <v>6.5410000000000004</v>
      </c>
      <c r="D454" s="9">
        <f>6.5423 * CHOOSE(CONTROL!$C$32, $C$9, 100%, $E$9)</f>
        <v>6.5423</v>
      </c>
      <c r="E454" s="11">
        <f>7.283 * CHOOSE(CONTROL!$C$32, $C$9, 100%, $E$9)</f>
        <v>7.2830000000000004</v>
      </c>
      <c r="F454" s="11">
        <f>7.283 * CHOOSE(CONTROL!$C$32, $C$9, 100%, $E$9)</f>
        <v>7.2830000000000004</v>
      </c>
      <c r="G454" s="11">
        <f>7.2872 * CHOOSE(CONTROL!$C$32, $C$9, 100%, $E$9)</f>
        <v>7.2872000000000003</v>
      </c>
      <c r="H454" s="11">
        <f>14.4133 * CHOOSE(CONTROL!$C$32, $C$9, 100%, $E$9)</f>
        <v>14.4133</v>
      </c>
      <c r="I454" s="11">
        <f>14.4175 * CHOOSE(CONTROL!$C$32, $C$9, 100%, $E$9)</f>
        <v>14.4175</v>
      </c>
      <c r="J454" s="11">
        <f>14.4133 * CHOOSE(CONTROL!$C$32, $C$9, 100%, $E$9)</f>
        <v>14.4133</v>
      </c>
      <c r="K454" s="11">
        <f>14.4175 * CHOOSE(CONTROL!$C$32, $C$9, 100%, $E$9)</f>
        <v>14.4175</v>
      </c>
      <c r="L454" s="11">
        <f>7.283 * CHOOSE(CONTROL!$C$32, $C$9, 100%, $E$9)</f>
        <v>7.2830000000000004</v>
      </c>
      <c r="M454" s="11">
        <f>7.2872 * CHOOSE(CONTROL!$C$32, $C$9, 100%, $E$9)</f>
        <v>7.2872000000000003</v>
      </c>
      <c r="N454" s="11">
        <f>7.283 * CHOOSE(CONTROL!$C$32, $C$9, 100%, $E$9)</f>
        <v>7.2830000000000004</v>
      </c>
      <c r="O454" s="11">
        <f>7.2872 * CHOOSE(CONTROL!$C$32, $C$9, 100%, $E$9)</f>
        <v>7.2872000000000003</v>
      </c>
    </row>
    <row r="455" spans="1:15" ht="15" x14ac:dyDescent="0.2">
      <c r="A455" s="13">
        <v>54697</v>
      </c>
      <c r="B455" s="9">
        <f>6.5456 * CHOOSE(CONTROL!$C$32, $C$9, 100%, $E$9)</f>
        <v>6.5456000000000003</v>
      </c>
      <c r="C455" s="9">
        <f>6.5456 * CHOOSE(CONTROL!$C$32, $C$9, 100%, $E$9)</f>
        <v>6.5456000000000003</v>
      </c>
      <c r="D455" s="9">
        <f>6.5465 * CHOOSE(CONTROL!$C$32, $C$9, 100%, $E$9)</f>
        <v>6.5465</v>
      </c>
      <c r="E455" s="11">
        <f>7.3345 * CHOOSE(CONTROL!$C$32, $C$9, 100%, $E$9)</f>
        <v>7.3345000000000002</v>
      </c>
      <c r="F455" s="11">
        <f>7.3345 * CHOOSE(CONTROL!$C$32, $C$9, 100%, $E$9)</f>
        <v>7.3345000000000002</v>
      </c>
      <c r="G455" s="11">
        <f>7.3377 * CHOOSE(CONTROL!$C$32, $C$9, 100%, $E$9)</f>
        <v>7.3376999999999999</v>
      </c>
      <c r="H455" s="11">
        <f>14.4433 * CHOOSE(CONTROL!$C$32, $C$9, 100%, $E$9)</f>
        <v>14.443300000000001</v>
      </c>
      <c r="I455" s="11">
        <f>14.4466 * CHOOSE(CONTROL!$C$32, $C$9, 100%, $E$9)</f>
        <v>14.4466</v>
      </c>
      <c r="J455" s="11">
        <f>14.4433 * CHOOSE(CONTROL!$C$32, $C$9, 100%, $E$9)</f>
        <v>14.443300000000001</v>
      </c>
      <c r="K455" s="11">
        <f>14.4466 * CHOOSE(CONTROL!$C$32, $C$9, 100%, $E$9)</f>
        <v>14.4466</v>
      </c>
      <c r="L455" s="11">
        <f>7.3345 * CHOOSE(CONTROL!$C$32, $C$9, 100%, $E$9)</f>
        <v>7.3345000000000002</v>
      </c>
      <c r="M455" s="11">
        <f>7.3377 * CHOOSE(CONTROL!$C$32, $C$9, 100%, $E$9)</f>
        <v>7.3376999999999999</v>
      </c>
      <c r="N455" s="11">
        <f>7.3345 * CHOOSE(CONTROL!$C$32, $C$9, 100%, $E$9)</f>
        <v>7.3345000000000002</v>
      </c>
      <c r="O455" s="11">
        <f>7.3377 * CHOOSE(CONTROL!$C$32, $C$9, 100%, $E$9)</f>
        <v>7.3376999999999999</v>
      </c>
    </row>
    <row r="456" spans="1:15" ht="15" x14ac:dyDescent="0.2">
      <c r="A456" s="13">
        <v>54728</v>
      </c>
      <c r="B456" s="9">
        <f>6.5486 * CHOOSE(CONTROL!$C$32, $C$9, 100%, $E$9)</f>
        <v>6.5486000000000004</v>
      </c>
      <c r="C456" s="9">
        <f>6.5486 * CHOOSE(CONTROL!$C$32, $C$9, 100%, $E$9)</f>
        <v>6.5486000000000004</v>
      </c>
      <c r="D456" s="9">
        <f>6.5495 * CHOOSE(CONTROL!$C$32, $C$9, 100%, $E$9)</f>
        <v>6.5495000000000001</v>
      </c>
      <c r="E456" s="11">
        <f>7.3691 * CHOOSE(CONTROL!$C$32, $C$9, 100%, $E$9)</f>
        <v>7.3691000000000004</v>
      </c>
      <c r="F456" s="11">
        <f>7.3691 * CHOOSE(CONTROL!$C$32, $C$9, 100%, $E$9)</f>
        <v>7.3691000000000004</v>
      </c>
      <c r="G456" s="11">
        <f>7.3723 * CHOOSE(CONTROL!$C$32, $C$9, 100%, $E$9)</f>
        <v>7.3723000000000001</v>
      </c>
      <c r="H456" s="11">
        <f>14.4734 * CHOOSE(CONTROL!$C$32, $C$9, 100%, $E$9)</f>
        <v>14.4734</v>
      </c>
      <c r="I456" s="11">
        <f>14.4767 * CHOOSE(CONTROL!$C$32, $C$9, 100%, $E$9)</f>
        <v>14.476699999999999</v>
      </c>
      <c r="J456" s="11">
        <f>14.4734 * CHOOSE(CONTROL!$C$32, $C$9, 100%, $E$9)</f>
        <v>14.4734</v>
      </c>
      <c r="K456" s="11">
        <f>14.4767 * CHOOSE(CONTROL!$C$32, $C$9, 100%, $E$9)</f>
        <v>14.476699999999999</v>
      </c>
      <c r="L456" s="11">
        <f>7.3691 * CHOOSE(CONTROL!$C$32, $C$9, 100%, $E$9)</f>
        <v>7.3691000000000004</v>
      </c>
      <c r="M456" s="11">
        <f>7.3723 * CHOOSE(CONTROL!$C$32, $C$9, 100%, $E$9)</f>
        <v>7.3723000000000001</v>
      </c>
      <c r="N456" s="11">
        <f>7.3691 * CHOOSE(CONTROL!$C$32, $C$9, 100%, $E$9)</f>
        <v>7.3691000000000004</v>
      </c>
      <c r="O456" s="11">
        <f>7.3723 * CHOOSE(CONTROL!$C$32, $C$9, 100%, $E$9)</f>
        <v>7.3723000000000001</v>
      </c>
    </row>
    <row r="457" spans="1:15" ht="15" x14ac:dyDescent="0.2">
      <c r="A457" s="13">
        <v>54758</v>
      </c>
      <c r="B457" s="9">
        <f>6.5486 * CHOOSE(CONTROL!$C$32, $C$9, 100%, $E$9)</f>
        <v>6.5486000000000004</v>
      </c>
      <c r="C457" s="9">
        <f>6.5486 * CHOOSE(CONTROL!$C$32, $C$9, 100%, $E$9)</f>
        <v>6.5486000000000004</v>
      </c>
      <c r="D457" s="9">
        <f>6.5495 * CHOOSE(CONTROL!$C$32, $C$9, 100%, $E$9)</f>
        <v>6.5495000000000001</v>
      </c>
      <c r="E457" s="11">
        <f>7.2879 * CHOOSE(CONTROL!$C$32, $C$9, 100%, $E$9)</f>
        <v>7.2878999999999996</v>
      </c>
      <c r="F457" s="11">
        <f>7.2879 * CHOOSE(CONTROL!$C$32, $C$9, 100%, $E$9)</f>
        <v>7.2878999999999996</v>
      </c>
      <c r="G457" s="11">
        <f>7.2911 * CHOOSE(CONTROL!$C$32, $C$9, 100%, $E$9)</f>
        <v>7.2911000000000001</v>
      </c>
      <c r="H457" s="11">
        <f>14.5036 * CHOOSE(CONTROL!$C$32, $C$9, 100%, $E$9)</f>
        <v>14.5036</v>
      </c>
      <c r="I457" s="11">
        <f>14.5068 * CHOOSE(CONTROL!$C$32, $C$9, 100%, $E$9)</f>
        <v>14.5068</v>
      </c>
      <c r="J457" s="11">
        <f>14.5036 * CHOOSE(CONTROL!$C$32, $C$9, 100%, $E$9)</f>
        <v>14.5036</v>
      </c>
      <c r="K457" s="11">
        <f>14.5068 * CHOOSE(CONTROL!$C$32, $C$9, 100%, $E$9)</f>
        <v>14.5068</v>
      </c>
      <c r="L457" s="11">
        <f>7.2879 * CHOOSE(CONTROL!$C$32, $C$9, 100%, $E$9)</f>
        <v>7.2878999999999996</v>
      </c>
      <c r="M457" s="11">
        <f>7.2911 * CHOOSE(CONTROL!$C$32, $C$9, 100%, $E$9)</f>
        <v>7.2911000000000001</v>
      </c>
      <c r="N457" s="11">
        <f>7.2879 * CHOOSE(CONTROL!$C$32, $C$9, 100%, $E$9)</f>
        <v>7.2878999999999996</v>
      </c>
      <c r="O457" s="11">
        <f>7.2911 * CHOOSE(CONTROL!$C$32, $C$9, 100%, $E$9)</f>
        <v>7.2911000000000001</v>
      </c>
    </row>
    <row r="458" spans="1:15" ht="15" x14ac:dyDescent="0.2">
      <c r="A458" s="13">
        <v>54789</v>
      </c>
      <c r="B458" s="9">
        <f>6.5983 * CHOOSE(CONTROL!$C$32, $C$9, 100%, $E$9)</f>
        <v>6.5983000000000001</v>
      </c>
      <c r="C458" s="9">
        <f>6.5983 * CHOOSE(CONTROL!$C$32, $C$9, 100%, $E$9)</f>
        <v>6.5983000000000001</v>
      </c>
      <c r="D458" s="9">
        <f>6.5992 * CHOOSE(CONTROL!$C$32, $C$9, 100%, $E$9)</f>
        <v>6.5991999999999997</v>
      </c>
      <c r="E458" s="11">
        <f>7.4077 * CHOOSE(CONTROL!$C$32, $C$9, 100%, $E$9)</f>
        <v>7.4077000000000002</v>
      </c>
      <c r="F458" s="11">
        <f>7.4077 * CHOOSE(CONTROL!$C$32, $C$9, 100%, $E$9)</f>
        <v>7.4077000000000002</v>
      </c>
      <c r="G458" s="11">
        <f>7.4109 * CHOOSE(CONTROL!$C$32, $C$9, 100%, $E$9)</f>
        <v>7.4108999999999998</v>
      </c>
      <c r="H458" s="11">
        <f>14.5338 * CHOOSE(CONTROL!$C$32, $C$9, 100%, $E$9)</f>
        <v>14.533799999999999</v>
      </c>
      <c r="I458" s="11">
        <f>14.537 * CHOOSE(CONTROL!$C$32, $C$9, 100%, $E$9)</f>
        <v>14.537000000000001</v>
      </c>
      <c r="J458" s="11">
        <f>14.5338 * CHOOSE(CONTROL!$C$32, $C$9, 100%, $E$9)</f>
        <v>14.533799999999999</v>
      </c>
      <c r="K458" s="11">
        <f>14.537 * CHOOSE(CONTROL!$C$32, $C$9, 100%, $E$9)</f>
        <v>14.537000000000001</v>
      </c>
      <c r="L458" s="11">
        <f>7.4077 * CHOOSE(CONTROL!$C$32, $C$9, 100%, $E$9)</f>
        <v>7.4077000000000002</v>
      </c>
      <c r="M458" s="11">
        <f>7.4109 * CHOOSE(CONTROL!$C$32, $C$9, 100%, $E$9)</f>
        <v>7.4108999999999998</v>
      </c>
      <c r="N458" s="11">
        <f>7.4077 * CHOOSE(CONTROL!$C$32, $C$9, 100%, $E$9)</f>
        <v>7.4077000000000002</v>
      </c>
      <c r="O458" s="11">
        <f>7.4109 * CHOOSE(CONTROL!$C$32, $C$9, 100%, $E$9)</f>
        <v>7.4108999999999998</v>
      </c>
    </row>
    <row r="459" spans="1:15" ht="15" x14ac:dyDescent="0.2">
      <c r="A459" s="13">
        <v>54820</v>
      </c>
      <c r="B459" s="9">
        <f>6.5952 * CHOOSE(CONTROL!$C$32, $C$9, 100%, $E$9)</f>
        <v>6.5952000000000002</v>
      </c>
      <c r="C459" s="9">
        <f>6.5952 * CHOOSE(CONTROL!$C$32, $C$9, 100%, $E$9)</f>
        <v>6.5952000000000002</v>
      </c>
      <c r="D459" s="9">
        <f>6.5962 * CHOOSE(CONTROL!$C$32, $C$9, 100%, $E$9)</f>
        <v>6.5961999999999996</v>
      </c>
      <c r="E459" s="11">
        <f>7.2472 * CHOOSE(CONTROL!$C$32, $C$9, 100%, $E$9)</f>
        <v>7.2472000000000003</v>
      </c>
      <c r="F459" s="11">
        <f>7.2472 * CHOOSE(CONTROL!$C$32, $C$9, 100%, $E$9)</f>
        <v>7.2472000000000003</v>
      </c>
      <c r="G459" s="11">
        <f>7.2504 * CHOOSE(CONTROL!$C$32, $C$9, 100%, $E$9)</f>
        <v>7.2504</v>
      </c>
      <c r="H459" s="11">
        <f>14.5641 * CHOOSE(CONTROL!$C$32, $C$9, 100%, $E$9)</f>
        <v>14.5641</v>
      </c>
      <c r="I459" s="11">
        <f>14.5673 * CHOOSE(CONTROL!$C$32, $C$9, 100%, $E$9)</f>
        <v>14.567299999999999</v>
      </c>
      <c r="J459" s="11">
        <f>14.5641 * CHOOSE(CONTROL!$C$32, $C$9, 100%, $E$9)</f>
        <v>14.5641</v>
      </c>
      <c r="K459" s="11">
        <f>14.5673 * CHOOSE(CONTROL!$C$32, $C$9, 100%, $E$9)</f>
        <v>14.567299999999999</v>
      </c>
      <c r="L459" s="11">
        <f>7.2472 * CHOOSE(CONTROL!$C$32, $C$9, 100%, $E$9)</f>
        <v>7.2472000000000003</v>
      </c>
      <c r="M459" s="11">
        <f>7.2504 * CHOOSE(CONTROL!$C$32, $C$9, 100%, $E$9)</f>
        <v>7.2504</v>
      </c>
      <c r="N459" s="11">
        <f>7.2472 * CHOOSE(CONTROL!$C$32, $C$9, 100%, $E$9)</f>
        <v>7.2472000000000003</v>
      </c>
      <c r="O459" s="11">
        <f>7.2504 * CHOOSE(CONTROL!$C$32, $C$9, 100%, $E$9)</f>
        <v>7.2504</v>
      </c>
    </row>
    <row r="460" spans="1:15" ht="15" x14ac:dyDescent="0.2">
      <c r="A460" s="13">
        <v>54848</v>
      </c>
      <c r="B460" s="9">
        <f>6.5922 * CHOOSE(CONTROL!$C$32, $C$9, 100%, $E$9)</f>
        <v>6.5922000000000001</v>
      </c>
      <c r="C460" s="9">
        <f>6.5922 * CHOOSE(CONTROL!$C$32, $C$9, 100%, $E$9)</f>
        <v>6.5922000000000001</v>
      </c>
      <c r="D460" s="9">
        <f>6.5931 * CHOOSE(CONTROL!$C$32, $C$9, 100%, $E$9)</f>
        <v>6.5930999999999997</v>
      </c>
      <c r="E460" s="11">
        <f>7.3699 * CHOOSE(CONTROL!$C$32, $C$9, 100%, $E$9)</f>
        <v>7.3699000000000003</v>
      </c>
      <c r="F460" s="11">
        <f>7.3699 * CHOOSE(CONTROL!$C$32, $C$9, 100%, $E$9)</f>
        <v>7.3699000000000003</v>
      </c>
      <c r="G460" s="11">
        <f>7.3731 * CHOOSE(CONTROL!$C$32, $C$9, 100%, $E$9)</f>
        <v>7.3731</v>
      </c>
      <c r="H460" s="11">
        <f>14.5944 * CHOOSE(CONTROL!$C$32, $C$9, 100%, $E$9)</f>
        <v>14.5944</v>
      </c>
      <c r="I460" s="11">
        <f>14.5977 * CHOOSE(CONTROL!$C$32, $C$9, 100%, $E$9)</f>
        <v>14.5977</v>
      </c>
      <c r="J460" s="11">
        <f>14.5944 * CHOOSE(CONTROL!$C$32, $C$9, 100%, $E$9)</f>
        <v>14.5944</v>
      </c>
      <c r="K460" s="11">
        <f>14.5977 * CHOOSE(CONTROL!$C$32, $C$9, 100%, $E$9)</f>
        <v>14.5977</v>
      </c>
      <c r="L460" s="11">
        <f>7.3699 * CHOOSE(CONTROL!$C$32, $C$9, 100%, $E$9)</f>
        <v>7.3699000000000003</v>
      </c>
      <c r="M460" s="11">
        <f>7.3731 * CHOOSE(CONTROL!$C$32, $C$9, 100%, $E$9)</f>
        <v>7.3731</v>
      </c>
      <c r="N460" s="11">
        <f>7.3699 * CHOOSE(CONTROL!$C$32, $C$9, 100%, $E$9)</f>
        <v>7.3699000000000003</v>
      </c>
      <c r="O460" s="11">
        <f>7.3731 * CHOOSE(CONTROL!$C$32, $C$9, 100%, $E$9)</f>
        <v>7.3731</v>
      </c>
    </row>
    <row r="461" spans="1:15" ht="15" x14ac:dyDescent="0.2">
      <c r="A461" s="13">
        <v>54879</v>
      </c>
      <c r="B461" s="9">
        <f>6.5923 * CHOOSE(CONTROL!$C$32, $C$9, 100%, $E$9)</f>
        <v>6.5922999999999998</v>
      </c>
      <c r="C461" s="9">
        <f>6.5923 * CHOOSE(CONTROL!$C$32, $C$9, 100%, $E$9)</f>
        <v>6.5922999999999998</v>
      </c>
      <c r="D461" s="9">
        <f>6.5933 * CHOOSE(CONTROL!$C$32, $C$9, 100%, $E$9)</f>
        <v>6.5933000000000002</v>
      </c>
      <c r="E461" s="11">
        <f>7.4998 * CHOOSE(CONTROL!$C$32, $C$9, 100%, $E$9)</f>
        <v>7.4997999999999996</v>
      </c>
      <c r="F461" s="11">
        <f>7.4998 * CHOOSE(CONTROL!$C$32, $C$9, 100%, $E$9)</f>
        <v>7.4997999999999996</v>
      </c>
      <c r="G461" s="11">
        <f>7.503 * CHOOSE(CONTROL!$C$32, $C$9, 100%, $E$9)</f>
        <v>7.5030000000000001</v>
      </c>
      <c r="H461" s="11">
        <f>14.6248 * CHOOSE(CONTROL!$C$32, $C$9, 100%, $E$9)</f>
        <v>14.6248</v>
      </c>
      <c r="I461" s="11">
        <f>14.6281 * CHOOSE(CONTROL!$C$32, $C$9, 100%, $E$9)</f>
        <v>14.6281</v>
      </c>
      <c r="J461" s="11">
        <f>14.6248 * CHOOSE(CONTROL!$C$32, $C$9, 100%, $E$9)</f>
        <v>14.6248</v>
      </c>
      <c r="K461" s="11">
        <f>14.6281 * CHOOSE(CONTROL!$C$32, $C$9, 100%, $E$9)</f>
        <v>14.6281</v>
      </c>
      <c r="L461" s="11">
        <f>7.4998 * CHOOSE(CONTROL!$C$32, $C$9, 100%, $E$9)</f>
        <v>7.4997999999999996</v>
      </c>
      <c r="M461" s="11">
        <f>7.503 * CHOOSE(CONTROL!$C$32, $C$9, 100%, $E$9)</f>
        <v>7.5030000000000001</v>
      </c>
      <c r="N461" s="11">
        <f>7.4998 * CHOOSE(CONTROL!$C$32, $C$9, 100%, $E$9)</f>
        <v>7.4997999999999996</v>
      </c>
      <c r="O461" s="11">
        <f>7.503 * CHOOSE(CONTROL!$C$32, $C$9, 100%, $E$9)</f>
        <v>7.5030000000000001</v>
      </c>
    </row>
    <row r="462" spans="1:15" ht="15" x14ac:dyDescent="0.2">
      <c r="A462" s="13">
        <v>54909</v>
      </c>
      <c r="B462" s="9">
        <f>6.5923 * CHOOSE(CONTROL!$C$32, $C$9, 100%, $E$9)</f>
        <v>6.5922999999999998</v>
      </c>
      <c r="C462" s="9">
        <f>6.5923 * CHOOSE(CONTROL!$C$32, $C$9, 100%, $E$9)</f>
        <v>6.5922999999999998</v>
      </c>
      <c r="D462" s="9">
        <f>6.5936 * CHOOSE(CONTROL!$C$32, $C$9, 100%, $E$9)</f>
        <v>6.5936000000000003</v>
      </c>
      <c r="E462" s="11">
        <f>7.55 * CHOOSE(CONTROL!$C$32, $C$9, 100%, $E$9)</f>
        <v>7.55</v>
      </c>
      <c r="F462" s="11">
        <f>7.55 * CHOOSE(CONTROL!$C$32, $C$9, 100%, $E$9)</f>
        <v>7.55</v>
      </c>
      <c r="G462" s="11">
        <f>7.5542 * CHOOSE(CONTROL!$C$32, $C$9, 100%, $E$9)</f>
        <v>7.5541999999999998</v>
      </c>
      <c r="H462" s="11">
        <f>14.6553 * CHOOSE(CONTROL!$C$32, $C$9, 100%, $E$9)</f>
        <v>14.6553</v>
      </c>
      <c r="I462" s="11">
        <f>14.6595 * CHOOSE(CONTROL!$C$32, $C$9, 100%, $E$9)</f>
        <v>14.6595</v>
      </c>
      <c r="J462" s="11">
        <f>14.6553 * CHOOSE(CONTROL!$C$32, $C$9, 100%, $E$9)</f>
        <v>14.6553</v>
      </c>
      <c r="K462" s="11">
        <f>14.6595 * CHOOSE(CONTROL!$C$32, $C$9, 100%, $E$9)</f>
        <v>14.6595</v>
      </c>
      <c r="L462" s="11">
        <f>7.55 * CHOOSE(CONTROL!$C$32, $C$9, 100%, $E$9)</f>
        <v>7.55</v>
      </c>
      <c r="M462" s="11">
        <f>7.5542 * CHOOSE(CONTROL!$C$32, $C$9, 100%, $E$9)</f>
        <v>7.5541999999999998</v>
      </c>
      <c r="N462" s="11">
        <f>7.55 * CHOOSE(CONTROL!$C$32, $C$9, 100%, $E$9)</f>
        <v>7.55</v>
      </c>
      <c r="O462" s="11">
        <f>7.5542 * CHOOSE(CONTROL!$C$32, $C$9, 100%, $E$9)</f>
        <v>7.5541999999999998</v>
      </c>
    </row>
    <row r="463" spans="1:15" ht="15" x14ac:dyDescent="0.2">
      <c r="A463" s="13">
        <v>54940</v>
      </c>
      <c r="B463" s="9">
        <f>6.5984 * CHOOSE(CONTROL!$C$32, $C$9, 100%, $E$9)</f>
        <v>6.5983999999999998</v>
      </c>
      <c r="C463" s="9">
        <f>6.5984 * CHOOSE(CONTROL!$C$32, $C$9, 100%, $E$9)</f>
        <v>6.5983999999999998</v>
      </c>
      <c r="D463" s="9">
        <f>6.5997 * CHOOSE(CONTROL!$C$32, $C$9, 100%, $E$9)</f>
        <v>6.5997000000000003</v>
      </c>
      <c r="E463" s="11">
        <f>7.504 * CHOOSE(CONTROL!$C$32, $C$9, 100%, $E$9)</f>
        <v>7.5039999999999996</v>
      </c>
      <c r="F463" s="11">
        <f>7.504 * CHOOSE(CONTROL!$C$32, $C$9, 100%, $E$9)</f>
        <v>7.5039999999999996</v>
      </c>
      <c r="G463" s="11">
        <f>7.5082 * CHOOSE(CONTROL!$C$32, $C$9, 100%, $E$9)</f>
        <v>7.5082000000000004</v>
      </c>
      <c r="H463" s="11">
        <f>14.6858 * CHOOSE(CONTROL!$C$32, $C$9, 100%, $E$9)</f>
        <v>14.6858</v>
      </c>
      <c r="I463" s="11">
        <f>14.69 * CHOOSE(CONTROL!$C$32, $C$9, 100%, $E$9)</f>
        <v>14.69</v>
      </c>
      <c r="J463" s="11">
        <f>14.6858 * CHOOSE(CONTROL!$C$32, $C$9, 100%, $E$9)</f>
        <v>14.6858</v>
      </c>
      <c r="K463" s="11">
        <f>14.69 * CHOOSE(CONTROL!$C$32, $C$9, 100%, $E$9)</f>
        <v>14.69</v>
      </c>
      <c r="L463" s="11">
        <f>7.504 * CHOOSE(CONTROL!$C$32, $C$9, 100%, $E$9)</f>
        <v>7.5039999999999996</v>
      </c>
      <c r="M463" s="11">
        <f>7.5082 * CHOOSE(CONTROL!$C$32, $C$9, 100%, $E$9)</f>
        <v>7.5082000000000004</v>
      </c>
      <c r="N463" s="11">
        <f>7.504 * CHOOSE(CONTROL!$C$32, $C$9, 100%, $E$9)</f>
        <v>7.5039999999999996</v>
      </c>
      <c r="O463" s="11">
        <f>7.5082 * CHOOSE(CONTROL!$C$32, $C$9, 100%, $E$9)</f>
        <v>7.5082000000000004</v>
      </c>
    </row>
    <row r="464" spans="1:15" ht="15" x14ac:dyDescent="0.2">
      <c r="A464" s="13">
        <v>54970</v>
      </c>
      <c r="B464" s="9">
        <f>6.6855 * CHOOSE(CONTROL!$C$32, $C$9, 100%, $E$9)</f>
        <v>6.6855000000000002</v>
      </c>
      <c r="C464" s="9">
        <f>6.6855 * CHOOSE(CONTROL!$C$32, $C$9, 100%, $E$9)</f>
        <v>6.6855000000000002</v>
      </c>
      <c r="D464" s="9">
        <f>6.6867 * CHOOSE(CONTROL!$C$32, $C$9, 100%, $E$9)</f>
        <v>6.6867000000000001</v>
      </c>
      <c r="E464" s="11">
        <f>7.6081 * CHOOSE(CONTROL!$C$32, $C$9, 100%, $E$9)</f>
        <v>7.6081000000000003</v>
      </c>
      <c r="F464" s="11">
        <f>7.6081 * CHOOSE(CONTROL!$C$32, $C$9, 100%, $E$9)</f>
        <v>7.6081000000000003</v>
      </c>
      <c r="G464" s="11">
        <f>7.6123 * CHOOSE(CONTROL!$C$32, $C$9, 100%, $E$9)</f>
        <v>7.6123000000000003</v>
      </c>
      <c r="H464" s="11">
        <f>14.7164 * CHOOSE(CONTROL!$C$32, $C$9, 100%, $E$9)</f>
        <v>14.7164</v>
      </c>
      <c r="I464" s="11">
        <f>14.7206 * CHOOSE(CONTROL!$C$32, $C$9, 100%, $E$9)</f>
        <v>14.720599999999999</v>
      </c>
      <c r="J464" s="11">
        <f>14.7164 * CHOOSE(CONTROL!$C$32, $C$9, 100%, $E$9)</f>
        <v>14.7164</v>
      </c>
      <c r="K464" s="11">
        <f>14.7206 * CHOOSE(CONTROL!$C$32, $C$9, 100%, $E$9)</f>
        <v>14.720599999999999</v>
      </c>
      <c r="L464" s="11">
        <f>7.6081 * CHOOSE(CONTROL!$C$32, $C$9, 100%, $E$9)</f>
        <v>7.6081000000000003</v>
      </c>
      <c r="M464" s="11">
        <f>7.6123 * CHOOSE(CONTROL!$C$32, $C$9, 100%, $E$9)</f>
        <v>7.6123000000000003</v>
      </c>
      <c r="N464" s="11">
        <f>7.6081 * CHOOSE(CONTROL!$C$32, $C$9, 100%, $E$9)</f>
        <v>7.6081000000000003</v>
      </c>
      <c r="O464" s="11">
        <f>7.6123 * CHOOSE(CONTROL!$C$32, $C$9, 100%, $E$9)</f>
        <v>7.6123000000000003</v>
      </c>
    </row>
    <row r="465" spans="1:15" ht="15" x14ac:dyDescent="0.2">
      <c r="A465" s="13">
        <v>55001</v>
      </c>
      <c r="B465" s="9">
        <f>6.6922 * CHOOSE(CONTROL!$C$32, $C$9, 100%, $E$9)</f>
        <v>6.6921999999999997</v>
      </c>
      <c r="C465" s="9">
        <f>6.6922 * CHOOSE(CONTROL!$C$32, $C$9, 100%, $E$9)</f>
        <v>6.6921999999999997</v>
      </c>
      <c r="D465" s="9">
        <f>6.6934 * CHOOSE(CONTROL!$C$32, $C$9, 100%, $E$9)</f>
        <v>6.6933999999999996</v>
      </c>
      <c r="E465" s="11">
        <f>7.4619 * CHOOSE(CONTROL!$C$32, $C$9, 100%, $E$9)</f>
        <v>7.4619</v>
      </c>
      <c r="F465" s="11">
        <f>7.4619 * CHOOSE(CONTROL!$C$32, $C$9, 100%, $E$9)</f>
        <v>7.4619</v>
      </c>
      <c r="G465" s="11">
        <f>7.4661 * CHOOSE(CONTROL!$C$32, $C$9, 100%, $E$9)</f>
        <v>7.4661</v>
      </c>
      <c r="H465" s="11">
        <f>14.7471 * CHOOSE(CONTROL!$C$32, $C$9, 100%, $E$9)</f>
        <v>14.7471</v>
      </c>
      <c r="I465" s="11">
        <f>14.7513 * CHOOSE(CONTROL!$C$32, $C$9, 100%, $E$9)</f>
        <v>14.751300000000001</v>
      </c>
      <c r="J465" s="11">
        <f>14.7471 * CHOOSE(CONTROL!$C$32, $C$9, 100%, $E$9)</f>
        <v>14.7471</v>
      </c>
      <c r="K465" s="11">
        <f>14.7513 * CHOOSE(CONTROL!$C$32, $C$9, 100%, $E$9)</f>
        <v>14.751300000000001</v>
      </c>
      <c r="L465" s="11">
        <f>7.4619 * CHOOSE(CONTROL!$C$32, $C$9, 100%, $E$9)</f>
        <v>7.4619</v>
      </c>
      <c r="M465" s="11">
        <f>7.4661 * CHOOSE(CONTROL!$C$32, $C$9, 100%, $E$9)</f>
        <v>7.4661</v>
      </c>
      <c r="N465" s="11">
        <f>7.4619 * CHOOSE(CONTROL!$C$32, $C$9, 100%, $E$9)</f>
        <v>7.4619</v>
      </c>
      <c r="O465" s="11">
        <f>7.4661 * CHOOSE(CONTROL!$C$32, $C$9, 100%, $E$9)</f>
        <v>7.4661</v>
      </c>
    </row>
    <row r="466" spans="1:15" ht="15" x14ac:dyDescent="0.2">
      <c r="A466" s="13">
        <v>55032</v>
      </c>
      <c r="B466" s="9">
        <f>6.6891 * CHOOSE(CONTROL!$C$32, $C$9, 100%, $E$9)</f>
        <v>6.6890999999999998</v>
      </c>
      <c r="C466" s="9">
        <f>6.6891 * CHOOSE(CONTROL!$C$32, $C$9, 100%, $E$9)</f>
        <v>6.6890999999999998</v>
      </c>
      <c r="D466" s="9">
        <f>6.6904 * CHOOSE(CONTROL!$C$32, $C$9, 100%, $E$9)</f>
        <v>6.6904000000000003</v>
      </c>
      <c r="E466" s="11">
        <f>7.443 * CHOOSE(CONTROL!$C$32, $C$9, 100%, $E$9)</f>
        <v>7.4429999999999996</v>
      </c>
      <c r="F466" s="11">
        <f>7.443 * CHOOSE(CONTROL!$C$32, $C$9, 100%, $E$9)</f>
        <v>7.4429999999999996</v>
      </c>
      <c r="G466" s="11">
        <f>7.4472 * CHOOSE(CONTROL!$C$32, $C$9, 100%, $E$9)</f>
        <v>7.4471999999999996</v>
      </c>
      <c r="H466" s="11">
        <f>14.7778 * CHOOSE(CONTROL!$C$32, $C$9, 100%, $E$9)</f>
        <v>14.777799999999999</v>
      </c>
      <c r="I466" s="11">
        <f>14.782 * CHOOSE(CONTROL!$C$32, $C$9, 100%, $E$9)</f>
        <v>14.782</v>
      </c>
      <c r="J466" s="11">
        <f>14.7778 * CHOOSE(CONTROL!$C$32, $C$9, 100%, $E$9)</f>
        <v>14.777799999999999</v>
      </c>
      <c r="K466" s="11">
        <f>14.782 * CHOOSE(CONTROL!$C$32, $C$9, 100%, $E$9)</f>
        <v>14.782</v>
      </c>
      <c r="L466" s="11">
        <f>7.443 * CHOOSE(CONTROL!$C$32, $C$9, 100%, $E$9)</f>
        <v>7.4429999999999996</v>
      </c>
      <c r="M466" s="11">
        <f>7.4472 * CHOOSE(CONTROL!$C$32, $C$9, 100%, $E$9)</f>
        <v>7.4471999999999996</v>
      </c>
      <c r="N466" s="11">
        <f>7.443 * CHOOSE(CONTROL!$C$32, $C$9, 100%, $E$9)</f>
        <v>7.4429999999999996</v>
      </c>
      <c r="O466" s="11">
        <f>7.4472 * CHOOSE(CONTROL!$C$32, $C$9, 100%, $E$9)</f>
        <v>7.4471999999999996</v>
      </c>
    </row>
    <row r="467" spans="1:15" ht="15" x14ac:dyDescent="0.2">
      <c r="A467" s="13">
        <v>55062</v>
      </c>
      <c r="B467" s="9">
        <f>6.6942 * CHOOSE(CONTROL!$C$32, $C$9, 100%, $E$9)</f>
        <v>6.6942000000000004</v>
      </c>
      <c r="C467" s="9">
        <f>6.6942 * CHOOSE(CONTROL!$C$32, $C$9, 100%, $E$9)</f>
        <v>6.6942000000000004</v>
      </c>
      <c r="D467" s="9">
        <f>6.6951 * CHOOSE(CONTROL!$C$32, $C$9, 100%, $E$9)</f>
        <v>6.6951000000000001</v>
      </c>
      <c r="E467" s="11">
        <f>7.4966 * CHOOSE(CONTROL!$C$32, $C$9, 100%, $E$9)</f>
        <v>7.4965999999999999</v>
      </c>
      <c r="F467" s="11">
        <f>7.4966 * CHOOSE(CONTROL!$C$32, $C$9, 100%, $E$9)</f>
        <v>7.4965999999999999</v>
      </c>
      <c r="G467" s="11">
        <f>7.4998 * CHOOSE(CONTROL!$C$32, $C$9, 100%, $E$9)</f>
        <v>7.4997999999999996</v>
      </c>
      <c r="H467" s="11">
        <f>14.8086 * CHOOSE(CONTROL!$C$32, $C$9, 100%, $E$9)</f>
        <v>14.8086</v>
      </c>
      <c r="I467" s="11">
        <f>14.8118 * CHOOSE(CONTROL!$C$32, $C$9, 100%, $E$9)</f>
        <v>14.8118</v>
      </c>
      <c r="J467" s="11">
        <f>14.8086 * CHOOSE(CONTROL!$C$32, $C$9, 100%, $E$9)</f>
        <v>14.8086</v>
      </c>
      <c r="K467" s="11">
        <f>14.8118 * CHOOSE(CONTROL!$C$32, $C$9, 100%, $E$9)</f>
        <v>14.8118</v>
      </c>
      <c r="L467" s="11">
        <f>7.4966 * CHOOSE(CONTROL!$C$32, $C$9, 100%, $E$9)</f>
        <v>7.4965999999999999</v>
      </c>
      <c r="M467" s="11">
        <f>7.4998 * CHOOSE(CONTROL!$C$32, $C$9, 100%, $E$9)</f>
        <v>7.4997999999999996</v>
      </c>
      <c r="N467" s="11">
        <f>7.4966 * CHOOSE(CONTROL!$C$32, $C$9, 100%, $E$9)</f>
        <v>7.4965999999999999</v>
      </c>
      <c r="O467" s="11">
        <f>7.4998 * CHOOSE(CONTROL!$C$32, $C$9, 100%, $E$9)</f>
        <v>7.4997999999999996</v>
      </c>
    </row>
    <row r="468" spans="1:15" ht="15" x14ac:dyDescent="0.2">
      <c r="A468" s="13">
        <v>55093</v>
      </c>
      <c r="B468" s="9">
        <f>6.6972 * CHOOSE(CONTROL!$C$32, $C$9, 100%, $E$9)</f>
        <v>6.6971999999999996</v>
      </c>
      <c r="C468" s="9">
        <f>6.6972 * CHOOSE(CONTROL!$C$32, $C$9, 100%, $E$9)</f>
        <v>6.6971999999999996</v>
      </c>
      <c r="D468" s="9">
        <f>6.6982 * CHOOSE(CONTROL!$C$32, $C$9, 100%, $E$9)</f>
        <v>6.6981999999999999</v>
      </c>
      <c r="E468" s="11">
        <f>7.5323 * CHOOSE(CONTROL!$C$32, $C$9, 100%, $E$9)</f>
        <v>7.5323000000000002</v>
      </c>
      <c r="F468" s="11">
        <f>7.5323 * CHOOSE(CONTROL!$C$32, $C$9, 100%, $E$9)</f>
        <v>7.5323000000000002</v>
      </c>
      <c r="G468" s="11">
        <f>7.5355 * CHOOSE(CONTROL!$C$32, $C$9, 100%, $E$9)</f>
        <v>7.5354999999999999</v>
      </c>
      <c r="H468" s="11">
        <f>14.8394 * CHOOSE(CONTROL!$C$32, $C$9, 100%, $E$9)</f>
        <v>14.839399999999999</v>
      </c>
      <c r="I468" s="11">
        <f>14.8427 * CHOOSE(CONTROL!$C$32, $C$9, 100%, $E$9)</f>
        <v>14.842700000000001</v>
      </c>
      <c r="J468" s="11">
        <f>14.8394 * CHOOSE(CONTROL!$C$32, $C$9, 100%, $E$9)</f>
        <v>14.839399999999999</v>
      </c>
      <c r="K468" s="11">
        <f>14.8427 * CHOOSE(CONTROL!$C$32, $C$9, 100%, $E$9)</f>
        <v>14.842700000000001</v>
      </c>
      <c r="L468" s="11">
        <f>7.5323 * CHOOSE(CONTROL!$C$32, $C$9, 100%, $E$9)</f>
        <v>7.5323000000000002</v>
      </c>
      <c r="M468" s="11">
        <f>7.5355 * CHOOSE(CONTROL!$C$32, $C$9, 100%, $E$9)</f>
        <v>7.5354999999999999</v>
      </c>
      <c r="N468" s="11">
        <f>7.5323 * CHOOSE(CONTROL!$C$32, $C$9, 100%, $E$9)</f>
        <v>7.5323000000000002</v>
      </c>
      <c r="O468" s="11">
        <f>7.5355 * CHOOSE(CONTROL!$C$32, $C$9, 100%, $E$9)</f>
        <v>7.5354999999999999</v>
      </c>
    </row>
    <row r="469" spans="1:15" ht="15" x14ac:dyDescent="0.2">
      <c r="A469" s="13">
        <v>55123</v>
      </c>
      <c r="B469" s="9">
        <f>6.6972 * CHOOSE(CONTROL!$C$32, $C$9, 100%, $E$9)</f>
        <v>6.6971999999999996</v>
      </c>
      <c r="C469" s="9">
        <f>6.6972 * CHOOSE(CONTROL!$C$32, $C$9, 100%, $E$9)</f>
        <v>6.6971999999999996</v>
      </c>
      <c r="D469" s="9">
        <f>6.6982 * CHOOSE(CONTROL!$C$32, $C$9, 100%, $E$9)</f>
        <v>6.6981999999999999</v>
      </c>
      <c r="E469" s="11">
        <f>7.4485 * CHOOSE(CONTROL!$C$32, $C$9, 100%, $E$9)</f>
        <v>7.4485000000000001</v>
      </c>
      <c r="F469" s="11">
        <f>7.4485 * CHOOSE(CONTROL!$C$32, $C$9, 100%, $E$9)</f>
        <v>7.4485000000000001</v>
      </c>
      <c r="G469" s="11">
        <f>7.4517 * CHOOSE(CONTROL!$C$32, $C$9, 100%, $E$9)</f>
        <v>7.4516999999999998</v>
      </c>
      <c r="H469" s="11">
        <f>14.8704 * CHOOSE(CONTROL!$C$32, $C$9, 100%, $E$9)</f>
        <v>14.8704</v>
      </c>
      <c r="I469" s="11">
        <f>14.8736 * CHOOSE(CONTROL!$C$32, $C$9, 100%, $E$9)</f>
        <v>14.8736</v>
      </c>
      <c r="J469" s="11">
        <f>14.8704 * CHOOSE(CONTROL!$C$32, $C$9, 100%, $E$9)</f>
        <v>14.8704</v>
      </c>
      <c r="K469" s="11">
        <f>14.8736 * CHOOSE(CONTROL!$C$32, $C$9, 100%, $E$9)</f>
        <v>14.8736</v>
      </c>
      <c r="L469" s="11">
        <f>7.4485 * CHOOSE(CONTROL!$C$32, $C$9, 100%, $E$9)</f>
        <v>7.4485000000000001</v>
      </c>
      <c r="M469" s="11">
        <f>7.4517 * CHOOSE(CONTROL!$C$32, $C$9, 100%, $E$9)</f>
        <v>7.4516999999999998</v>
      </c>
      <c r="N469" s="11">
        <f>7.4485 * CHOOSE(CONTROL!$C$32, $C$9, 100%, $E$9)</f>
        <v>7.4485000000000001</v>
      </c>
      <c r="O469" s="11">
        <f>7.4517 * CHOOSE(CONTROL!$C$32, $C$9, 100%, $E$9)</f>
        <v>7.4516999999999998</v>
      </c>
    </row>
    <row r="470" spans="1:15" ht="15" x14ac:dyDescent="0.2">
      <c r="A470" s="13">
        <v>55154</v>
      </c>
      <c r="B470" s="9">
        <f>6.7479 * CHOOSE(CONTROL!$C$32, $C$9, 100%, $E$9)</f>
        <v>6.7478999999999996</v>
      </c>
      <c r="C470" s="9">
        <f>6.7479 * CHOOSE(CONTROL!$C$32, $C$9, 100%, $E$9)</f>
        <v>6.7478999999999996</v>
      </c>
      <c r="D470" s="9">
        <f>6.7489 * CHOOSE(CONTROL!$C$32, $C$9, 100%, $E$9)</f>
        <v>6.7488999999999999</v>
      </c>
      <c r="E470" s="11">
        <f>7.571 * CHOOSE(CONTROL!$C$32, $C$9, 100%, $E$9)</f>
        <v>7.5709999999999997</v>
      </c>
      <c r="F470" s="11">
        <f>7.571 * CHOOSE(CONTROL!$C$32, $C$9, 100%, $E$9)</f>
        <v>7.5709999999999997</v>
      </c>
      <c r="G470" s="11">
        <f>7.5742 * CHOOSE(CONTROL!$C$32, $C$9, 100%, $E$9)</f>
        <v>7.5742000000000003</v>
      </c>
      <c r="H470" s="11">
        <f>14.9013 * CHOOSE(CONTROL!$C$32, $C$9, 100%, $E$9)</f>
        <v>14.901300000000001</v>
      </c>
      <c r="I470" s="11">
        <f>14.9046 * CHOOSE(CONTROL!$C$32, $C$9, 100%, $E$9)</f>
        <v>14.9046</v>
      </c>
      <c r="J470" s="11">
        <f>14.9013 * CHOOSE(CONTROL!$C$32, $C$9, 100%, $E$9)</f>
        <v>14.901300000000001</v>
      </c>
      <c r="K470" s="11">
        <f>14.9046 * CHOOSE(CONTROL!$C$32, $C$9, 100%, $E$9)</f>
        <v>14.9046</v>
      </c>
      <c r="L470" s="11">
        <f>7.571 * CHOOSE(CONTROL!$C$32, $C$9, 100%, $E$9)</f>
        <v>7.5709999999999997</v>
      </c>
      <c r="M470" s="11">
        <f>7.5742 * CHOOSE(CONTROL!$C$32, $C$9, 100%, $E$9)</f>
        <v>7.5742000000000003</v>
      </c>
      <c r="N470" s="11">
        <f>7.571 * CHOOSE(CONTROL!$C$32, $C$9, 100%, $E$9)</f>
        <v>7.5709999999999997</v>
      </c>
      <c r="O470" s="11">
        <f>7.5742 * CHOOSE(CONTROL!$C$32, $C$9, 100%, $E$9)</f>
        <v>7.5742000000000003</v>
      </c>
    </row>
    <row r="471" spans="1:15" ht="15" x14ac:dyDescent="0.2">
      <c r="A471" s="13">
        <v>55185</v>
      </c>
      <c r="B471" s="9">
        <f>6.7449 * CHOOSE(CONTROL!$C$32, $C$9, 100%, $E$9)</f>
        <v>6.7449000000000003</v>
      </c>
      <c r="C471" s="9">
        <f>6.7449 * CHOOSE(CONTROL!$C$32, $C$9, 100%, $E$9)</f>
        <v>6.7449000000000003</v>
      </c>
      <c r="D471" s="9">
        <f>6.7458 * CHOOSE(CONTROL!$C$32, $C$9, 100%, $E$9)</f>
        <v>6.7458</v>
      </c>
      <c r="E471" s="11">
        <f>7.4053 * CHOOSE(CONTROL!$C$32, $C$9, 100%, $E$9)</f>
        <v>7.4053000000000004</v>
      </c>
      <c r="F471" s="11">
        <f>7.4053 * CHOOSE(CONTROL!$C$32, $C$9, 100%, $E$9)</f>
        <v>7.4053000000000004</v>
      </c>
      <c r="G471" s="11">
        <f>7.4086 * CHOOSE(CONTROL!$C$32, $C$9, 100%, $E$9)</f>
        <v>7.4085999999999999</v>
      </c>
      <c r="H471" s="11">
        <f>14.9324 * CHOOSE(CONTROL!$C$32, $C$9, 100%, $E$9)</f>
        <v>14.932399999999999</v>
      </c>
      <c r="I471" s="11">
        <f>14.9356 * CHOOSE(CONTROL!$C$32, $C$9, 100%, $E$9)</f>
        <v>14.935600000000001</v>
      </c>
      <c r="J471" s="11">
        <f>14.9324 * CHOOSE(CONTROL!$C$32, $C$9, 100%, $E$9)</f>
        <v>14.932399999999999</v>
      </c>
      <c r="K471" s="11">
        <f>14.9356 * CHOOSE(CONTROL!$C$32, $C$9, 100%, $E$9)</f>
        <v>14.935600000000001</v>
      </c>
      <c r="L471" s="11">
        <f>7.4053 * CHOOSE(CONTROL!$C$32, $C$9, 100%, $E$9)</f>
        <v>7.4053000000000004</v>
      </c>
      <c r="M471" s="11">
        <f>7.4086 * CHOOSE(CONTROL!$C$32, $C$9, 100%, $E$9)</f>
        <v>7.4085999999999999</v>
      </c>
      <c r="N471" s="11">
        <f>7.4053 * CHOOSE(CONTROL!$C$32, $C$9, 100%, $E$9)</f>
        <v>7.4053000000000004</v>
      </c>
      <c r="O471" s="11">
        <f>7.4086 * CHOOSE(CONTROL!$C$32, $C$9, 100%, $E$9)</f>
        <v>7.4085999999999999</v>
      </c>
    </row>
    <row r="472" spans="1:15" ht="15" x14ac:dyDescent="0.2">
      <c r="A472" s="13">
        <v>55213</v>
      </c>
      <c r="B472" s="9">
        <f>6.7418 * CHOOSE(CONTROL!$C$32, $C$9, 100%, $E$9)</f>
        <v>6.7417999999999996</v>
      </c>
      <c r="C472" s="9">
        <f>6.7418 * CHOOSE(CONTROL!$C$32, $C$9, 100%, $E$9)</f>
        <v>6.7417999999999996</v>
      </c>
      <c r="D472" s="9">
        <f>6.7428 * CHOOSE(CONTROL!$C$32, $C$9, 100%, $E$9)</f>
        <v>6.7427999999999999</v>
      </c>
      <c r="E472" s="11">
        <f>7.5321 * CHOOSE(CONTROL!$C$32, $C$9, 100%, $E$9)</f>
        <v>7.5320999999999998</v>
      </c>
      <c r="F472" s="11">
        <f>7.5321 * CHOOSE(CONTROL!$C$32, $C$9, 100%, $E$9)</f>
        <v>7.5320999999999998</v>
      </c>
      <c r="G472" s="11">
        <f>7.5354 * CHOOSE(CONTROL!$C$32, $C$9, 100%, $E$9)</f>
        <v>7.5354000000000001</v>
      </c>
      <c r="H472" s="11">
        <f>14.9635 * CHOOSE(CONTROL!$C$32, $C$9, 100%, $E$9)</f>
        <v>14.9635</v>
      </c>
      <c r="I472" s="11">
        <f>14.9667 * CHOOSE(CONTROL!$C$32, $C$9, 100%, $E$9)</f>
        <v>14.966699999999999</v>
      </c>
      <c r="J472" s="11">
        <f>14.9635 * CHOOSE(CONTROL!$C$32, $C$9, 100%, $E$9)</f>
        <v>14.9635</v>
      </c>
      <c r="K472" s="11">
        <f>14.9667 * CHOOSE(CONTROL!$C$32, $C$9, 100%, $E$9)</f>
        <v>14.966699999999999</v>
      </c>
      <c r="L472" s="11">
        <f>7.5321 * CHOOSE(CONTROL!$C$32, $C$9, 100%, $E$9)</f>
        <v>7.5320999999999998</v>
      </c>
      <c r="M472" s="11">
        <f>7.5354 * CHOOSE(CONTROL!$C$32, $C$9, 100%, $E$9)</f>
        <v>7.5354000000000001</v>
      </c>
      <c r="N472" s="11">
        <f>7.5321 * CHOOSE(CONTROL!$C$32, $C$9, 100%, $E$9)</f>
        <v>7.5320999999999998</v>
      </c>
      <c r="O472" s="11">
        <f>7.5354 * CHOOSE(CONTROL!$C$32, $C$9, 100%, $E$9)</f>
        <v>7.5354000000000001</v>
      </c>
    </row>
    <row r="473" spans="1:15" ht="15" x14ac:dyDescent="0.2">
      <c r="A473" s="13">
        <v>55244</v>
      </c>
      <c r="B473" s="9">
        <f>6.7421 * CHOOSE(CONTROL!$C$32, $C$9, 100%, $E$9)</f>
        <v>6.7420999999999998</v>
      </c>
      <c r="C473" s="9">
        <f>6.7421 * CHOOSE(CONTROL!$C$32, $C$9, 100%, $E$9)</f>
        <v>6.7420999999999998</v>
      </c>
      <c r="D473" s="9">
        <f>6.7431 * CHOOSE(CONTROL!$C$32, $C$9, 100%, $E$9)</f>
        <v>6.7431000000000001</v>
      </c>
      <c r="E473" s="11">
        <f>7.6663 * CHOOSE(CONTROL!$C$32, $C$9, 100%, $E$9)</f>
        <v>7.6662999999999997</v>
      </c>
      <c r="F473" s="11">
        <f>7.6663 * CHOOSE(CONTROL!$C$32, $C$9, 100%, $E$9)</f>
        <v>7.6662999999999997</v>
      </c>
      <c r="G473" s="11">
        <f>7.6696 * CHOOSE(CONTROL!$C$32, $C$9, 100%, $E$9)</f>
        <v>7.6696</v>
      </c>
      <c r="H473" s="11">
        <f>14.9947 * CHOOSE(CONTROL!$C$32, $C$9, 100%, $E$9)</f>
        <v>14.9947</v>
      </c>
      <c r="I473" s="11">
        <f>14.9979 * CHOOSE(CONTROL!$C$32, $C$9, 100%, $E$9)</f>
        <v>14.9979</v>
      </c>
      <c r="J473" s="11">
        <f>14.9947 * CHOOSE(CONTROL!$C$32, $C$9, 100%, $E$9)</f>
        <v>14.9947</v>
      </c>
      <c r="K473" s="11">
        <f>14.9979 * CHOOSE(CONTROL!$C$32, $C$9, 100%, $E$9)</f>
        <v>14.9979</v>
      </c>
      <c r="L473" s="11">
        <f>7.6663 * CHOOSE(CONTROL!$C$32, $C$9, 100%, $E$9)</f>
        <v>7.6662999999999997</v>
      </c>
      <c r="M473" s="11">
        <f>7.6696 * CHOOSE(CONTROL!$C$32, $C$9, 100%, $E$9)</f>
        <v>7.6696</v>
      </c>
      <c r="N473" s="11">
        <f>7.6663 * CHOOSE(CONTROL!$C$32, $C$9, 100%, $E$9)</f>
        <v>7.6662999999999997</v>
      </c>
      <c r="O473" s="11">
        <f>7.6696 * CHOOSE(CONTROL!$C$32, $C$9, 100%, $E$9)</f>
        <v>7.6696</v>
      </c>
    </row>
    <row r="474" spans="1:15" ht="15" x14ac:dyDescent="0.2">
      <c r="A474" s="13">
        <v>55274</v>
      </c>
      <c r="B474" s="9">
        <f>6.7421 * CHOOSE(CONTROL!$C$32, $C$9, 100%, $E$9)</f>
        <v>6.7420999999999998</v>
      </c>
      <c r="C474" s="9">
        <f>6.7421 * CHOOSE(CONTROL!$C$32, $C$9, 100%, $E$9)</f>
        <v>6.7420999999999998</v>
      </c>
      <c r="D474" s="9">
        <f>6.7434 * CHOOSE(CONTROL!$C$32, $C$9, 100%, $E$9)</f>
        <v>6.7434000000000003</v>
      </c>
      <c r="E474" s="11">
        <f>7.7182 * CHOOSE(CONTROL!$C$32, $C$9, 100%, $E$9)</f>
        <v>7.7182000000000004</v>
      </c>
      <c r="F474" s="11">
        <f>7.7182 * CHOOSE(CONTROL!$C$32, $C$9, 100%, $E$9)</f>
        <v>7.7182000000000004</v>
      </c>
      <c r="G474" s="11">
        <f>7.7224 * CHOOSE(CONTROL!$C$32, $C$9, 100%, $E$9)</f>
        <v>7.7224000000000004</v>
      </c>
      <c r="H474" s="11">
        <f>15.0259 * CHOOSE(CONTROL!$C$32, $C$9, 100%, $E$9)</f>
        <v>15.0259</v>
      </c>
      <c r="I474" s="11">
        <f>15.0301 * CHOOSE(CONTROL!$C$32, $C$9, 100%, $E$9)</f>
        <v>15.030099999999999</v>
      </c>
      <c r="J474" s="11">
        <f>15.0259 * CHOOSE(CONTROL!$C$32, $C$9, 100%, $E$9)</f>
        <v>15.0259</v>
      </c>
      <c r="K474" s="11">
        <f>15.0301 * CHOOSE(CONTROL!$C$32, $C$9, 100%, $E$9)</f>
        <v>15.030099999999999</v>
      </c>
      <c r="L474" s="11">
        <f>7.7182 * CHOOSE(CONTROL!$C$32, $C$9, 100%, $E$9)</f>
        <v>7.7182000000000004</v>
      </c>
      <c r="M474" s="11">
        <f>7.7224 * CHOOSE(CONTROL!$C$32, $C$9, 100%, $E$9)</f>
        <v>7.7224000000000004</v>
      </c>
      <c r="N474" s="11">
        <f>7.7182 * CHOOSE(CONTROL!$C$32, $C$9, 100%, $E$9)</f>
        <v>7.7182000000000004</v>
      </c>
      <c r="O474" s="11">
        <f>7.7224 * CHOOSE(CONTROL!$C$32, $C$9, 100%, $E$9)</f>
        <v>7.7224000000000004</v>
      </c>
    </row>
    <row r="475" spans="1:15" ht="15" x14ac:dyDescent="0.2">
      <c r="A475" s="13">
        <v>55305</v>
      </c>
      <c r="B475" s="9">
        <f>6.7482 * CHOOSE(CONTROL!$C$32, $C$9, 100%, $E$9)</f>
        <v>6.7481999999999998</v>
      </c>
      <c r="C475" s="9">
        <f>6.7482 * CHOOSE(CONTROL!$C$32, $C$9, 100%, $E$9)</f>
        <v>6.7481999999999998</v>
      </c>
      <c r="D475" s="9">
        <f>6.7495 * CHOOSE(CONTROL!$C$32, $C$9, 100%, $E$9)</f>
        <v>6.7495000000000003</v>
      </c>
      <c r="E475" s="11">
        <f>7.6706 * CHOOSE(CONTROL!$C$32, $C$9, 100%, $E$9)</f>
        <v>7.6706000000000003</v>
      </c>
      <c r="F475" s="11">
        <f>7.6706 * CHOOSE(CONTROL!$C$32, $C$9, 100%, $E$9)</f>
        <v>7.6706000000000003</v>
      </c>
      <c r="G475" s="11">
        <f>7.6748 * CHOOSE(CONTROL!$C$32, $C$9, 100%, $E$9)</f>
        <v>7.6748000000000003</v>
      </c>
      <c r="H475" s="11">
        <f>15.0572 * CHOOSE(CONTROL!$C$32, $C$9, 100%, $E$9)</f>
        <v>15.0572</v>
      </c>
      <c r="I475" s="11">
        <f>15.0614 * CHOOSE(CONTROL!$C$32, $C$9, 100%, $E$9)</f>
        <v>15.061400000000001</v>
      </c>
      <c r="J475" s="11">
        <f>15.0572 * CHOOSE(CONTROL!$C$32, $C$9, 100%, $E$9)</f>
        <v>15.0572</v>
      </c>
      <c r="K475" s="11">
        <f>15.0614 * CHOOSE(CONTROL!$C$32, $C$9, 100%, $E$9)</f>
        <v>15.061400000000001</v>
      </c>
      <c r="L475" s="11">
        <f>7.6706 * CHOOSE(CONTROL!$C$32, $C$9, 100%, $E$9)</f>
        <v>7.6706000000000003</v>
      </c>
      <c r="M475" s="11">
        <f>7.6748 * CHOOSE(CONTROL!$C$32, $C$9, 100%, $E$9)</f>
        <v>7.6748000000000003</v>
      </c>
      <c r="N475" s="11">
        <f>7.6706 * CHOOSE(CONTROL!$C$32, $C$9, 100%, $E$9)</f>
        <v>7.6706000000000003</v>
      </c>
      <c r="O475" s="11">
        <f>7.6748 * CHOOSE(CONTROL!$C$32, $C$9, 100%, $E$9)</f>
        <v>7.6748000000000003</v>
      </c>
    </row>
    <row r="476" spans="1:15" ht="15" x14ac:dyDescent="0.2">
      <c r="A476" s="13">
        <v>55335</v>
      </c>
      <c r="B476" s="9">
        <f>6.8369 * CHOOSE(CONTROL!$C$32, $C$9, 100%, $E$9)</f>
        <v>6.8369</v>
      </c>
      <c r="C476" s="9">
        <f>6.8369 * CHOOSE(CONTROL!$C$32, $C$9, 100%, $E$9)</f>
        <v>6.8369</v>
      </c>
      <c r="D476" s="9">
        <f>6.8382 * CHOOSE(CONTROL!$C$32, $C$9, 100%, $E$9)</f>
        <v>6.8381999999999996</v>
      </c>
      <c r="E476" s="11">
        <f>7.7751 * CHOOSE(CONTROL!$C$32, $C$9, 100%, $E$9)</f>
        <v>7.7751000000000001</v>
      </c>
      <c r="F476" s="11">
        <f>7.7751 * CHOOSE(CONTROL!$C$32, $C$9, 100%, $E$9)</f>
        <v>7.7751000000000001</v>
      </c>
      <c r="G476" s="11">
        <f>7.7793 * CHOOSE(CONTROL!$C$32, $C$9, 100%, $E$9)</f>
        <v>7.7793000000000001</v>
      </c>
      <c r="H476" s="11">
        <f>15.0886 * CHOOSE(CONTROL!$C$32, $C$9, 100%, $E$9)</f>
        <v>15.0886</v>
      </c>
      <c r="I476" s="11">
        <f>15.0928 * CHOOSE(CONTROL!$C$32, $C$9, 100%, $E$9)</f>
        <v>15.0928</v>
      </c>
      <c r="J476" s="11">
        <f>15.0886 * CHOOSE(CONTROL!$C$32, $C$9, 100%, $E$9)</f>
        <v>15.0886</v>
      </c>
      <c r="K476" s="11">
        <f>15.0928 * CHOOSE(CONTROL!$C$32, $C$9, 100%, $E$9)</f>
        <v>15.0928</v>
      </c>
      <c r="L476" s="11">
        <f>7.7751 * CHOOSE(CONTROL!$C$32, $C$9, 100%, $E$9)</f>
        <v>7.7751000000000001</v>
      </c>
      <c r="M476" s="11">
        <f>7.7793 * CHOOSE(CONTROL!$C$32, $C$9, 100%, $E$9)</f>
        <v>7.7793000000000001</v>
      </c>
      <c r="N476" s="11">
        <f>7.7751 * CHOOSE(CONTROL!$C$32, $C$9, 100%, $E$9)</f>
        <v>7.7751000000000001</v>
      </c>
      <c r="O476" s="11">
        <f>7.7793 * CHOOSE(CONTROL!$C$32, $C$9, 100%, $E$9)</f>
        <v>7.7793000000000001</v>
      </c>
    </row>
    <row r="477" spans="1:15" ht="15" x14ac:dyDescent="0.2">
      <c r="A477" s="13">
        <v>55366</v>
      </c>
      <c r="B477" s="9">
        <f>6.8436 * CHOOSE(CONTROL!$C$32, $C$9, 100%, $E$9)</f>
        <v>6.8436000000000003</v>
      </c>
      <c r="C477" s="9">
        <f>6.8436 * CHOOSE(CONTROL!$C$32, $C$9, 100%, $E$9)</f>
        <v>6.8436000000000003</v>
      </c>
      <c r="D477" s="9">
        <f>6.8449 * CHOOSE(CONTROL!$C$32, $C$9, 100%, $E$9)</f>
        <v>6.8449</v>
      </c>
      <c r="E477" s="11">
        <f>7.6241 * CHOOSE(CONTROL!$C$32, $C$9, 100%, $E$9)</f>
        <v>7.6241000000000003</v>
      </c>
      <c r="F477" s="11">
        <f>7.6241 * CHOOSE(CONTROL!$C$32, $C$9, 100%, $E$9)</f>
        <v>7.6241000000000003</v>
      </c>
      <c r="G477" s="11">
        <f>7.6283 * CHOOSE(CONTROL!$C$32, $C$9, 100%, $E$9)</f>
        <v>7.6283000000000003</v>
      </c>
      <c r="H477" s="11">
        <f>15.12 * CHOOSE(CONTROL!$C$32, $C$9, 100%, $E$9)</f>
        <v>15.12</v>
      </c>
      <c r="I477" s="11">
        <f>15.1242 * CHOOSE(CONTROL!$C$32, $C$9, 100%, $E$9)</f>
        <v>15.1242</v>
      </c>
      <c r="J477" s="11">
        <f>15.12 * CHOOSE(CONTROL!$C$32, $C$9, 100%, $E$9)</f>
        <v>15.12</v>
      </c>
      <c r="K477" s="11">
        <f>15.1242 * CHOOSE(CONTROL!$C$32, $C$9, 100%, $E$9)</f>
        <v>15.1242</v>
      </c>
      <c r="L477" s="11">
        <f>7.6241 * CHOOSE(CONTROL!$C$32, $C$9, 100%, $E$9)</f>
        <v>7.6241000000000003</v>
      </c>
      <c r="M477" s="11">
        <f>7.6283 * CHOOSE(CONTROL!$C$32, $C$9, 100%, $E$9)</f>
        <v>7.6283000000000003</v>
      </c>
      <c r="N477" s="11">
        <f>7.6241 * CHOOSE(CONTROL!$C$32, $C$9, 100%, $E$9)</f>
        <v>7.6241000000000003</v>
      </c>
      <c r="O477" s="11">
        <f>7.6283 * CHOOSE(CONTROL!$C$32, $C$9, 100%, $E$9)</f>
        <v>7.6283000000000003</v>
      </c>
    </row>
    <row r="478" spans="1:15" ht="15" x14ac:dyDescent="0.2">
      <c r="A478" s="13">
        <v>55397</v>
      </c>
      <c r="B478" s="9">
        <f>6.8406 * CHOOSE(CONTROL!$C$32, $C$9, 100%, $E$9)</f>
        <v>6.8406000000000002</v>
      </c>
      <c r="C478" s="9">
        <f>6.8406 * CHOOSE(CONTROL!$C$32, $C$9, 100%, $E$9)</f>
        <v>6.8406000000000002</v>
      </c>
      <c r="D478" s="9">
        <f>6.8418 * CHOOSE(CONTROL!$C$32, $C$9, 100%, $E$9)</f>
        <v>6.8418000000000001</v>
      </c>
      <c r="E478" s="11">
        <f>7.6046 * CHOOSE(CONTROL!$C$32, $C$9, 100%, $E$9)</f>
        <v>7.6045999999999996</v>
      </c>
      <c r="F478" s="11">
        <f>7.6046 * CHOOSE(CONTROL!$C$32, $C$9, 100%, $E$9)</f>
        <v>7.6045999999999996</v>
      </c>
      <c r="G478" s="11">
        <f>7.6088 * CHOOSE(CONTROL!$C$32, $C$9, 100%, $E$9)</f>
        <v>7.6087999999999996</v>
      </c>
      <c r="H478" s="11">
        <f>15.1515 * CHOOSE(CONTROL!$C$32, $C$9, 100%, $E$9)</f>
        <v>15.1515</v>
      </c>
      <c r="I478" s="11">
        <f>15.1557 * CHOOSE(CONTROL!$C$32, $C$9, 100%, $E$9)</f>
        <v>15.1557</v>
      </c>
      <c r="J478" s="11">
        <f>15.1515 * CHOOSE(CONTROL!$C$32, $C$9, 100%, $E$9)</f>
        <v>15.1515</v>
      </c>
      <c r="K478" s="11">
        <f>15.1557 * CHOOSE(CONTROL!$C$32, $C$9, 100%, $E$9)</f>
        <v>15.1557</v>
      </c>
      <c r="L478" s="11">
        <f>7.6046 * CHOOSE(CONTROL!$C$32, $C$9, 100%, $E$9)</f>
        <v>7.6045999999999996</v>
      </c>
      <c r="M478" s="11">
        <f>7.6088 * CHOOSE(CONTROL!$C$32, $C$9, 100%, $E$9)</f>
        <v>7.6087999999999996</v>
      </c>
      <c r="N478" s="11">
        <f>7.6046 * CHOOSE(CONTROL!$C$32, $C$9, 100%, $E$9)</f>
        <v>7.6045999999999996</v>
      </c>
      <c r="O478" s="11">
        <f>7.6088 * CHOOSE(CONTROL!$C$32, $C$9, 100%, $E$9)</f>
        <v>7.6087999999999996</v>
      </c>
    </row>
    <row r="479" spans="1:15" ht="15" x14ac:dyDescent="0.2">
      <c r="A479" s="13">
        <v>55427</v>
      </c>
      <c r="B479" s="9">
        <f>6.8462 * CHOOSE(CONTROL!$C$32, $C$9, 100%, $E$9)</f>
        <v>6.8461999999999996</v>
      </c>
      <c r="C479" s="9">
        <f>6.8462 * CHOOSE(CONTROL!$C$32, $C$9, 100%, $E$9)</f>
        <v>6.8461999999999996</v>
      </c>
      <c r="D479" s="9">
        <f>6.8472 * CHOOSE(CONTROL!$C$32, $C$9, 100%, $E$9)</f>
        <v>6.8472</v>
      </c>
      <c r="E479" s="11">
        <f>7.6604 * CHOOSE(CONTROL!$C$32, $C$9, 100%, $E$9)</f>
        <v>7.6604000000000001</v>
      </c>
      <c r="F479" s="11">
        <f>7.6604 * CHOOSE(CONTROL!$C$32, $C$9, 100%, $E$9)</f>
        <v>7.6604000000000001</v>
      </c>
      <c r="G479" s="11">
        <f>7.6637 * CHOOSE(CONTROL!$C$32, $C$9, 100%, $E$9)</f>
        <v>7.6637000000000004</v>
      </c>
      <c r="H479" s="11">
        <f>15.1831 * CHOOSE(CONTROL!$C$32, $C$9, 100%, $E$9)</f>
        <v>15.1831</v>
      </c>
      <c r="I479" s="11">
        <f>15.1863 * CHOOSE(CONTROL!$C$32, $C$9, 100%, $E$9)</f>
        <v>15.186299999999999</v>
      </c>
      <c r="J479" s="11">
        <f>15.1831 * CHOOSE(CONTROL!$C$32, $C$9, 100%, $E$9)</f>
        <v>15.1831</v>
      </c>
      <c r="K479" s="11">
        <f>15.1863 * CHOOSE(CONTROL!$C$32, $C$9, 100%, $E$9)</f>
        <v>15.186299999999999</v>
      </c>
      <c r="L479" s="11">
        <f>7.6604 * CHOOSE(CONTROL!$C$32, $C$9, 100%, $E$9)</f>
        <v>7.6604000000000001</v>
      </c>
      <c r="M479" s="11">
        <f>7.6637 * CHOOSE(CONTROL!$C$32, $C$9, 100%, $E$9)</f>
        <v>7.6637000000000004</v>
      </c>
      <c r="N479" s="11">
        <f>7.6604 * CHOOSE(CONTROL!$C$32, $C$9, 100%, $E$9)</f>
        <v>7.6604000000000001</v>
      </c>
      <c r="O479" s="11">
        <f>7.6637 * CHOOSE(CONTROL!$C$32, $C$9, 100%, $E$9)</f>
        <v>7.6637000000000004</v>
      </c>
    </row>
    <row r="480" spans="1:15" ht="15" x14ac:dyDescent="0.2">
      <c r="A480" s="13">
        <v>55458</v>
      </c>
      <c r="B480" s="9">
        <f>6.8492 * CHOOSE(CONTROL!$C$32, $C$9, 100%, $E$9)</f>
        <v>6.8491999999999997</v>
      </c>
      <c r="C480" s="9">
        <f>6.8492 * CHOOSE(CONTROL!$C$32, $C$9, 100%, $E$9)</f>
        <v>6.8491999999999997</v>
      </c>
      <c r="D480" s="9">
        <f>6.8502 * CHOOSE(CONTROL!$C$32, $C$9, 100%, $E$9)</f>
        <v>6.8502000000000001</v>
      </c>
      <c r="E480" s="11">
        <f>7.6972 * CHOOSE(CONTROL!$C$32, $C$9, 100%, $E$9)</f>
        <v>7.6971999999999996</v>
      </c>
      <c r="F480" s="11">
        <f>7.6972 * CHOOSE(CONTROL!$C$32, $C$9, 100%, $E$9)</f>
        <v>7.6971999999999996</v>
      </c>
      <c r="G480" s="11">
        <f>7.7004 * CHOOSE(CONTROL!$C$32, $C$9, 100%, $E$9)</f>
        <v>7.7004000000000001</v>
      </c>
      <c r="H480" s="11">
        <f>15.2147 * CHOOSE(CONTROL!$C$32, $C$9, 100%, $E$9)</f>
        <v>15.214700000000001</v>
      </c>
      <c r="I480" s="11">
        <f>15.2179 * CHOOSE(CONTROL!$C$32, $C$9, 100%, $E$9)</f>
        <v>15.2179</v>
      </c>
      <c r="J480" s="11">
        <f>15.2147 * CHOOSE(CONTROL!$C$32, $C$9, 100%, $E$9)</f>
        <v>15.214700000000001</v>
      </c>
      <c r="K480" s="11">
        <f>15.2179 * CHOOSE(CONTROL!$C$32, $C$9, 100%, $E$9)</f>
        <v>15.2179</v>
      </c>
      <c r="L480" s="11">
        <f>7.6972 * CHOOSE(CONTROL!$C$32, $C$9, 100%, $E$9)</f>
        <v>7.6971999999999996</v>
      </c>
      <c r="M480" s="11">
        <f>7.7004 * CHOOSE(CONTROL!$C$32, $C$9, 100%, $E$9)</f>
        <v>7.7004000000000001</v>
      </c>
      <c r="N480" s="11">
        <f>7.6972 * CHOOSE(CONTROL!$C$32, $C$9, 100%, $E$9)</f>
        <v>7.6971999999999996</v>
      </c>
      <c r="O480" s="11">
        <f>7.7004 * CHOOSE(CONTROL!$C$32, $C$9, 100%, $E$9)</f>
        <v>7.7004000000000001</v>
      </c>
    </row>
    <row r="481" spans="1:15" ht="15" x14ac:dyDescent="0.2">
      <c r="A481" s="13">
        <v>55488</v>
      </c>
      <c r="B481" s="9">
        <f>6.8492 * CHOOSE(CONTROL!$C$32, $C$9, 100%, $E$9)</f>
        <v>6.8491999999999997</v>
      </c>
      <c r="C481" s="9">
        <f>6.8492 * CHOOSE(CONTROL!$C$32, $C$9, 100%, $E$9)</f>
        <v>6.8491999999999997</v>
      </c>
      <c r="D481" s="9">
        <f>6.8502 * CHOOSE(CONTROL!$C$32, $C$9, 100%, $E$9)</f>
        <v>6.8502000000000001</v>
      </c>
      <c r="E481" s="11">
        <f>7.6106 * CHOOSE(CONTROL!$C$32, $C$9, 100%, $E$9)</f>
        <v>7.6105999999999998</v>
      </c>
      <c r="F481" s="11">
        <f>7.6106 * CHOOSE(CONTROL!$C$32, $C$9, 100%, $E$9)</f>
        <v>7.6105999999999998</v>
      </c>
      <c r="G481" s="11">
        <f>7.6139 * CHOOSE(CONTROL!$C$32, $C$9, 100%, $E$9)</f>
        <v>7.6139000000000001</v>
      </c>
      <c r="H481" s="11">
        <f>15.2464 * CHOOSE(CONTROL!$C$32, $C$9, 100%, $E$9)</f>
        <v>15.2464</v>
      </c>
      <c r="I481" s="11">
        <f>15.2496 * CHOOSE(CONTROL!$C$32, $C$9, 100%, $E$9)</f>
        <v>15.249599999999999</v>
      </c>
      <c r="J481" s="11">
        <f>15.2464 * CHOOSE(CONTROL!$C$32, $C$9, 100%, $E$9)</f>
        <v>15.2464</v>
      </c>
      <c r="K481" s="11">
        <f>15.2496 * CHOOSE(CONTROL!$C$32, $C$9, 100%, $E$9)</f>
        <v>15.249599999999999</v>
      </c>
      <c r="L481" s="11">
        <f>7.6106 * CHOOSE(CONTROL!$C$32, $C$9, 100%, $E$9)</f>
        <v>7.6105999999999998</v>
      </c>
      <c r="M481" s="11">
        <f>7.6139 * CHOOSE(CONTROL!$C$32, $C$9, 100%, $E$9)</f>
        <v>7.6139000000000001</v>
      </c>
      <c r="N481" s="11">
        <f>7.6106 * CHOOSE(CONTROL!$C$32, $C$9, 100%, $E$9)</f>
        <v>7.6105999999999998</v>
      </c>
      <c r="O481" s="11">
        <f>7.6139 * CHOOSE(CONTROL!$C$32, $C$9, 100%, $E$9)</f>
        <v>7.6139000000000001</v>
      </c>
    </row>
    <row r="482" spans="1:15" ht="15" x14ac:dyDescent="0.2">
      <c r="A482" s="13">
        <v>55519</v>
      </c>
      <c r="B482" s="9">
        <f>6.901 * CHOOSE(CONTROL!$C$32, $C$9, 100%, $E$9)</f>
        <v>6.9009999999999998</v>
      </c>
      <c r="C482" s="9">
        <f>6.901 * CHOOSE(CONTROL!$C$32, $C$9, 100%, $E$9)</f>
        <v>6.9009999999999998</v>
      </c>
      <c r="D482" s="9">
        <f>6.9019 * CHOOSE(CONTROL!$C$32, $C$9, 100%, $E$9)</f>
        <v>6.9019000000000004</v>
      </c>
      <c r="E482" s="11">
        <f>7.7372 * CHOOSE(CONTROL!$C$32, $C$9, 100%, $E$9)</f>
        <v>7.7371999999999996</v>
      </c>
      <c r="F482" s="11">
        <f>7.7372 * CHOOSE(CONTROL!$C$32, $C$9, 100%, $E$9)</f>
        <v>7.7371999999999996</v>
      </c>
      <c r="G482" s="11">
        <f>7.7404 * CHOOSE(CONTROL!$C$32, $C$9, 100%, $E$9)</f>
        <v>7.7404000000000002</v>
      </c>
      <c r="H482" s="11">
        <f>15.2782 * CHOOSE(CONTROL!$C$32, $C$9, 100%, $E$9)</f>
        <v>15.2782</v>
      </c>
      <c r="I482" s="11">
        <f>15.2814 * CHOOSE(CONTROL!$C$32, $C$9, 100%, $E$9)</f>
        <v>15.2814</v>
      </c>
      <c r="J482" s="11">
        <f>15.2782 * CHOOSE(CONTROL!$C$32, $C$9, 100%, $E$9)</f>
        <v>15.2782</v>
      </c>
      <c r="K482" s="11">
        <f>15.2814 * CHOOSE(CONTROL!$C$32, $C$9, 100%, $E$9)</f>
        <v>15.2814</v>
      </c>
      <c r="L482" s="11">
        <f>7.7372 * CHOOSE(CONTROL!$C$32, $C$9, 100%, $E$9)</f>
        <v>7.7371999999999996</v>
      </c>
      <c r="M482" s="11">
        <f>7.7404 * CHOOSE(CONTROL!$C$32, $C$9, 100%, $E$9)</f>
        <v>7.7404000000000002</v>
      </c>
      <c r="N482" s="11">
        <f>7.7372 * CHOOSE(CONTROL!$C$32, $C$9, 100%, $E$9)</f>
        <v>7.7371999999999996</v>
      </c>
      <c r="O482" s="11">
        <f>7.7404 * CHOOSE(CONTROL!$C$32, $C$9, 100%, $E$9)</f>
        <v>7.7404000000000002</v>
      </c>
    </row>
    <row r="483" spans="1:15" ht="15" x14ac:dyDescent="0.2">
      <c r="A483" s="13">
        <v>55550</v>
      </c>
      <c r="B483" s="9">
        <f>6.8979 * CHOOSE(CONTROL!$C$32, $C$9, 100%, $E$9)</f>
        <v>6.8978999999999999</v>
      </c>
      <c r="C483" s="9">
        <f>6.8979 * CHOOSE(CONTROL!$C$32, $C$9, 100%, $E$9)</f>
        <v>6.8978999999999999</v>
      </c>
      <c r="D483" s="9">
        <f>6.8989 * CHOOSE(CONTROL!$C$32, $C$9, 100%, $E$9)</f>
        <v>6.8989000000000003</v>
      </c>
      <c r="E483" s="11">
        <f>7.5663 * CHOOSE(CONTROL!$C$32, $C$9, 100%, $E$9)</f>
        <v>7.5663</v>
      </c>
      <c r="F483" s="11">
        <f>7.5663 * CHOOSE(CONTROL!$C$32, $C$9, 100%, $E$9)</f>
        <v>7.5663</v>
      </c>
      <c r="G483" s="11">
        <f>7.5695 * CHOOSE(CONTROL!$C$32, $C$9, 100%, $E$9)</f>
        <v>7.5694999999999997</v>
      </c>
      <c r="H483" s="11">
        <f>15.31 * CHOOSE(CONTROL!$C$32, $C$9, 100%, $E$9)</f>
        <v>15.31</v>
      </c>
      <c r="I483" s="11">
        <f>15.3132 * CHOOSE(CONTROL!$C$32, $C$9, 100%, $E$9)</f>
        <v>15.3132</v>
      </c>
      <c r="J483" s="11">
        <f>15.31 * CHOOSE(CONTROL!$C$32, $C$9, 100%, $E$9)</f>
        <v>15.31</v>
      </c>
      <c r="K483" s="11">
        <f>15.3132 * CHOOSE(CONTROL!$C$32, $C$9, 100%, $E$9)</f>
        <v>15.3132</v>
      </c>
      <c r="L483" s="11">
        <f>7.5663 * CHOOSE(CONTROL!$C$32, $C$9, 100%, $E$9)</f>
        <v>7.5663</v>
      </c>
      <c r="M483" s="11">
        <f>7.5695 * CHOOSE(CONTROL!$C$32, $C$9, 100%, $E$9)</f>
        <v>7.5694999999999997</v>
      </c>
      <c r="N483" s="11">
        <f>7.5663 * CHOOSE(CONTROL!$C$32, $C$9, 100%, $E$9)</f>
        <v>7.5663</v>
      </c>
      <c r="O483" s="11">
        <f>7.5695 * CHOOSE(CONTROL!$C$32, $C$9, 100%, $E$9)</f>
        <v>7.5694999999999997</v>
      </c>
    </row>
    <row r="484" spans="1:15" ht="15" x14ac:dyDescent="0.2">
      <c r="A484" s="13">
        <v>55579</v>
      </c>
      <c r="B484" s="9">
        <f>6.8949 * CHOOSE(CONTROL!$C$32, $C$9, 100%, $E$9)</f>
        <v>6.8948999999999998</v>
      </c>
      <c r="C484" s="9">
        <f>6.8949 * CHOOSE(CONTROL!$C$32, $C$9, 100%, $E$9)</f>
        <v>6.8948999999999998</v>
      </c>
      <c r="D484" s="9">
        <f>6.8959 * CHOOSE(CONTROL!$C$32, $C$9, 100%, $E$9)</f>
        <v>6.8959000000000001</v>
      </c>
      <c r="E484" s="11">
        <f>7.6972 * CHOOSE(CONTROL!$C$32, $C$9, 100%, $E$9)</f>
        <v>7.6971999999999996</v>
      </c>
      <c r="F484" s="11">
        <f>7.6972 * CHOOSE(CONTROL!$C$32, $C$9, 100%, $E$9)</f>
        <v>7.6971999999999996</v>
      </c>
      <c r="G484" s="11">
        <f>7.7005 * CHOOSE(CONTROL!$C$32, $C$9, 100%, $E$9)</f>
        <v>7.7004999999999999</v>
      </c>
      <c r="H484" s="11">
        <f>15.3419 * CHOOSE(CONTROL!$C$32, $C$9, 100%, $E$9)</f>
        <v>15.341900000000001</v>
      </c>
      <c r="I484" s="11">
        <f>15.3451 * CHOOSE(CONTROL!$C$32, $C$9, 100%, $E$9)</f>
        <v>15.3451</v>
      </c>
      <c r="J484" s="11">
        <f>15.3419 * CHOOSE(CONTROL!$C$32, $C$9, 100%, $E$9)</f>
        <v>15.341900000000001</v>
      </c>
      <c r="K484" s="11">
        <f>15.3451 * CHOOSE(CONTROL!$C$32, $C$9, 100%, $E$9)</f>
        <v>15.3451</v>
      </c>
      <c r="L484" s="11">
        <f>7.6972 * CHOOSE(CONTROL!$C$32, $C$9, 100%, $E$9)</f>
        <v>7.6971999999999996</v>
      </c>
      <c r="M484" s="11">
        <f>7.7005 * CHOOSE(CONTROL!$C$32, $C$9, 100%, $E$9)</f>
        <v>7.7004999999999999</v>
      </c>
      <c r="N484" s="11">
        <f>7.6972 * CHOOSE(CONTROL!$C$32, $C$9, 100%, $E$9)</f>
        <v>7.6971999999999996</v>
      </c>
      <c r="O484" s="11">
        <f>7.7005 * CHOOSE(CONTROL!$C$32, $C$9, 100%, $E$9)</f>
        <v>7.7004999999999999</v>
      </c>
    </row>
    <row r="485" spans="1:15" ht="15" x14ac:dyDescent="0.2">
      <c r="A485" s="13">
        <v>55610</v>
      </c>
      <c r="B485" s="9">
        <f>6.8953 * CHOOSE(CONTROL!$C$32, $C$9, 100%, $E$9)</f>
        <v>6.8952999999999998</v>
      </c>
      <c r="C485" s="9">
        <f>6.8953 * CHOOSE(CONTROL!$C$32, $C$9, 100%, $E$9)</f>
        <v>6.8952999999999998</v>
      </c>
      <c r="D485" s="9">
        <f>6.8963 * CHOOSE(CONTROL!$C$32, $C$9, 100%, $E$9)</f>
        <v>6.8963000000000001</v>
      </c>
      <c r="E485" s="11">
        <f>7.8359 * CHOOSE(CONTROL!$C$32, $C$9, 100%, $E$9)</f>
        <v>7.8358999999999996</v>
      </c>
      <c r="F485" s="11">
        <f>7.8359 * CHOOSE(CONTROL!$C$32, $C$9, 100%, $E$9)</f>
        <v>7.8358999999999996</v>
      </c>
      <c r="G485" s="11">
        <f>7.8392 * CHOOSE(CONTROL!$C$32, $C$9, 100%, $E$9)</f>
        <v>7.8391999999999999</v>
      </c>
      <c r="H485" s="11">
        <f>15.3739 * CHOOSE(CONTROL!$C$32, $C$9, 100%, $E$9)</f>
        <v>15.373900000000001</v>
      </c>
      <c r="I485" s="11">
        <f>15.3771 * CHOOSE(CONTROL!$C$32, $C$9, 100%, $E$9)</f>
        <v>15.3771</v>
      </c>
      <c r="J485" s="11">
        <f>15.3739 * CHOOSE(CONTROL!$C$32, $C$9, 100%, $E$9)</f>
        <v>15.373900000000001</v>
      </c>
      <c r="K485" s="11">
        <f>15.3771 * CHOOSE(CONTROL!$C$32, $C$9, 100%, $E$9)</f>
        <v>15.3771</v>
      </c>
      <c r="L485" s="11">
        <f>7.8359 * CHOOSE(CONTROL!$C$32, $C$9, 100%, $E$9)</f>
        <v>7.8358999999999996</v>
      </c>
      <c r="M485" s="11">
        <f>7.8392 * CHOOSE(CONTROL!$C$32, $C$9, 100%, $E$9)</f>
        <v>7.8391999999999999</v>
      </c>
      <c r="N485" s="11">
        <f>7.8359 * CHOOSE(CONTROL!$C$32, $C$9, 100%, $E$9)</f>
        <v>7.8358999999999996</v>
      </c>
      <c r="O485" s="11">
        <f>7.8392 * CHOOSE(CONTROL!$C$32, $C$9, 100%, $E$9)</f>
        <v>7.8391999999999999</v>
      </c>
    </row>
    <row r="486" spans="1:15" ht="15" x14ac:dyDescent="0.2">
      <c r="A486" s="13">
        <v>55640</v>
      </c>
      <c r="B486" s="9">
        <f>6.8953 * CHOOSE(CONTROL!$C$32, $C$9, 100%, $E$9)</f>
        <v>6.8952999999999998</v>
      </c>
      <c r="C486" s="9">
        <f>6.8953 * CHOOSE(CONTROL!$C$32, $C$9, 100%, $E$9)</f>
        <v>6.8952999999999998</v>
      </c>
      <c r="D486" s="9">
        <f>6.8966 * CHOOSE(CONTROL!$C$32, $C$9, 100%, $E$9)</f>
        <v>6.8966000000000003</v>
      </c>
      <c r="E486" s="11">
        <f>7.8895 * CHOOSE(CONTROL!$C$32, $C$9, 100%, $E$9)</f>
        <v>7.8895</v>
      </c>
      <c r="F486" s="11">
        <f>7.8895 * CHOOSE(CONTROL!$C$32, $C$9, 100%, $E$9)</f>
        <v>7.8895</v>
      </c>
      <c r="G486" s="11">
        <f>7.8937 * CHOOSE(CONTROL!$C$32, $C$9, 100%, $E$9)</f>
        <v>7.8936999999999999</v>
      </c>
      <c r="H486" s="11">
        <f>15.4059 * CHOOSE(CONTROL!$C$32, $C$9, 100%, $E$9)</f>
        <v>15.405900000000001</v>
      </c>
      <c r="I486" s="11">
        <f>15.4101 * CHOOSE(CONTROL!$C$32, $C$9, 100%, $E$9)</f>
        <v>15.4101</v>
      </c>
      <c r="J486" s="11">
        <f>15.4059 * CHOOSE(CONTROL!$C$32, $C$9, 100%, $E$9)</f>
        <v>15.405900000000001</v>
      </c>
      <c r="K486" s="11">
        <f>15.4101 * CHOOSE(CONTROL!$C$32, $C$9, 100%, $E$9)</f>
        <v>15.4101</v>
      </c>
      <c r="L486" s="11">
        <f>7.8895 * CHOOSE(CONTROL!$C$32, $C$9, 100%, $E$9)</f>
        <v>7.8895</v>
      </c>
      <c r="M486" s="11">
        <f>7.8937 * CHOOSE(CONTROL!$C$32, $C$9, 100%, $E$9)</f>
        <v>7.8936999999999999</v>
      </c>
      <c r="N486" s="11">
        <f>7.8895 * CHOOSE(CONTROL!$C$32, $C$9, 100%, $E$9)</f>
        <v>7.8895</v>
      </c>
      <c r="O486" s="11">
        <f>7.8937 * CHOOSE(CONTROL!$C$32, $C$9, 100%, $E$9)</f>
        <v>7.8936999999999999</v>
      </c>
    </row>
    <row r="487" spans="1:15" ht="15" x14ac:dyDescent="0.2">
      <c r="A487" s="13">
        <v>55671</v>
      </c>
      <c r="B487" s="9">
        <f>6.9014 * CHOOSE(CONTROL!$C$32, $C$9, 100%, $E$9)</f>
        <v>6.9013999999999998</v>
      </c>
      <c r="C487" s="9">
        <f>6.9014 * CHOOSE(CONTROL!$C$32, $C$9, 100%, $E$9)</f>
        <v>6.9013999999999998</v>
      </c>
      <c r="D487" s="9">
        <f>6.9027 * CHOOSE(CONTROL!$C$32, $C$9, 100%, $E$9)</f>
        <v>6.9027000000000003</v>
      </c>
      <c r="E487" s="11">
        <f>7.8402 * CHOOSE(CONTROL!$C$32, $C$9, 100%, $E$9)</f>
        <v>7.8402000000000003</v>
      </c>
      <c r="F487" s="11">
        <f>7.8402 * CHOOSE(CONTROL!$C$32, $C$9, 100%, $E$9)</f>
        <v>7.8402000000000003</v>
      </c>
      <c r="G487" s="11">
        <f>7.8444 * CHOOSE(CONTROL!$C$32, $C$9, 100%, $E$9)</f>
        <v>7.8444000000000003</v>
      </c>
      <c r="H487" s="11">
        <f>15.438 * CHOOSE(CONTROL!$C$32, $C$9, 100%, $E$9)</f>
        <v>15.438000000000001</v>
      </c>
      <c r="I487" s="11">
        <f>15.4422 * CHOOSE(CONTROL!$C$32, $C$9, 100%, $E$9)</f>
        <v>15.4422</v>
      </c>
      <c r="J487" s="11">
        <f>15.438 * CHOOSE(CONTROL!$C$32, $C$9, 100%, $E$9)</f>
        <v>15.438000000000001</v>
      </c>
      <c r="K487" s="11">
        <f>15.4422 * CHOOSE(CONTROL!$C$32, $C$9, 100%, $E$9)</f>
        <v>15.4422</v>
      </c>
      <c r="L487" s="11">
        <f>7.8402 * CHOOSE(CONTROL!$C$32, $C$9, 100%, $E$9)</f>
        <v>7.8402000000000003</v>
      </c>
      <c r="M487" s="11">
        <f>7.8444 * CHOOSE(CONTROL!$C$32, $C$9, 100%, $E$9)</f>
        <v>7.8444000000000003</v>
      </c>
      <c r="N487" s="11">
        <f>7.8402 * CHOOSE(CONTROL!$C$32, $C$9, 100%, $E$9)</f>
        <v>7.8402000000000003</v>
      </c>
      <c r="O487" s="11">
        <f>7.8444 * CHOOSE(CONTROL!$C$32, $C$9, 100%, $E$9)</f>
        <v>7.8444000000000003</v>
      </c>
    </row>
    <row r="488" spans="1:15" ht="15" x14ac:dyDescent="0.2">
      <c r="A488" s="13">
        <v>55701</v>
      </c>
      <c r="B488" s="9">
        <f>6.9918 * CHOOSE(CONTROL!$C$32, $C$9, 100%, $E$9)</f>
        <v>6.9917999999999996</v>
      </c>
      <c r="C488" s="9">
        <f>6.9918 * CHOOSE(CONTROL!$C$32, $C$9, 100%, $E$9)</f>
        <v>6.9917999999999996</v>
      </c>
      <c r="D488" s="9">
        <f>6.9931 * CHOOSE(CONTROL!$C$32, $C$9, 100%, $E$9)</f>
        <v>6.9931000000000001</v>
      </c>
      <c r="E488" s="11">
        <f>7.9482 * CHOOSE(CONTROL!$C$32, $C$9, 100%, $E$9)</f>
        <v>7.9481999999999999</v>
      </c>
      <c r="F488" s="11">
        <f>7.9482 * CHOOSE(CONTROL!$C$32, $C$9, 100%, $E$9)</f>
        <v>7.9481999999999999</v>
      </c>
      <c r="G488" s="11">
        <f>7.9524 * CHOOSE(CONTROL!$C$32, $C$9, 100%, $E$9)</f>
        <v>7.9523999999999999</v>
      </c>
      <c r="H488" s="11">
        <f>15.4702 * CHOOSE(CONTROL!$C$32, $C$9, 100%, $E$9)</f>
        <v>15.4702</v>
      </c>
      <c r="I488" s="11">
        <f>15.4744 * CHOOSE(CONTROL!$C$32, $C$9, 100%, $E$9)</f>
        <v>15.474399999999999</v>
      </c>
      <c r="J488" s="11">
        <f>15.4702 * CHOOSE(CONTROL!$C$32, $C$9, 100%, $E$9)</f>
        <v>15.4702</v>
      </c>
      <c r="K488" s="11">
        <f>15.4744 * CHOOSE(CONTROL!$C$32, $C$9, 100%, $E$9)</f>
        <v>15.474399999999999</v>
      </c>
      <c r="L488" s="11">
        <f>7.9482 * CHOOSE(CONTROL!$C$32, $C$9, 100%, $E$9)</f>
        <v>7.9481999999999999</v>
      </c>
      <c r="M488" s="11">
        <f>7.9524 * CHOOSE(CONTROL!$C$32, $C$9, 100%, $E$9)</f>
        <v>7.9523999999999999</v>
      </c>
      <c r="N488" s="11">
        <f>7.9482 * CHOOSE(CONTROL!$C$32, $C$9, 100%, $E$9)</f>
        <v>7.9481999999999999</v>
      </c>
      <c r="O488" s="11">
        <f>7.9524 * CHOOSE(CONTROL!$C$32, $C$9, 100%, $E$9)</f>
        <v>7.9523999999999999</v>
      </c>
    </row>
    <row r="489" spans="1:15" ht="15" x14ac:dyDescent="0.2">
      <c r="A489" s="13">
        <v>55732</v>
      </c>
      <c r="B489" s="9">
        <f>6.9985 * CHOOSE(CONTROL!$C$32, $C$9, 100%, $E$9)</f>
        <v>6.9984999999999999</v>
      </c>
      <c r="C489" s="9">
        <f>6.9985 * CHOOSE(CONTROL!$C$32, $C$9, 100%, $E$9)</f>
        <v>6.9984999999999999</v>
      </c>
      <c r="D489" s="9">
        <f>6.9997 * CHOOSE(CONTROL!$C$32, $C$9, 100%, $E$9)</f>
        <v>6.9996999999999998</v>
      </c>
      <c r="E489" s="11">
        <f>7.7921 * CHOOSE(CONTROL!$C$32, $C$9, 100%, $E$9)</f>
        <v>7.7920999999999996</v>
      </c>
      <c r="F489" s="11">
        <f>7.7921 * CHOOSE(CONTROL!$C$32, $C$9, 100%, $E$9)</f>
        <v>7.7920999999999996</v>
      </c>
      <c r="G489" s="11">
        <f>7.7963 * CHOOSE(CONTROL!$C$32, $C$9, 100%, $E$9)</f>
        <v>7.7962999999999996</v>
      </c>
      <c r="H489" s="11">
        <f>15.5024 * CHOOSE(CONTROL!$C$32, $C$9, 100%, $E$9)</f>
        <v>15.5024</v>
      </c>
      <c r="I489" s="11">
        <f>15.5066 * CHOOSE(CONTROL!$C$32, $C$9, 100%, $E$9)</f>
        <v>15.506600000000001</v>
      </c>
      <c r="J489" s="11">
        <f>15.5024 * CHOOSE(CONTROL!$C$32, $C$9, 100%, $E$9)</f>
        <v>15.5024</v>
      </c>
      <c r="K489" s="11">
        <f>15.5066 * CHOOSE(CONTROL!$C$32, $C$9, 100%, $E$9)</f>
        <v>15.506600000000001</v>
      </c>
      <c r="L489" s="11">
        <f>7.7921 * CHOOSE(CONTROL!$C$32, $C$9, 100%, $E$9)</f>
        <v>7.7920999999999996</v>
      </c>
      <c r="M489" s="11">
        <f>7.7963 * CHOOSE(CONTROL!$C$32, $C$9, 100%, $E$9)</f>
        <v>7.7962999999999996</v>
      </c>
      <c r="N489" s="11">
        <f>7.7921 * CHOOSE(CONTROL!$C$32, $C$9, 100%, $E$9)</f>
        <v>7.7920999999999996</v>
      </c>
      <c r="O489" s="11">
        <f>7.7963 * CHOOSE(CONTROL!$C$32, $C$9, 100%, $E$9)</f>
        <v>7.7962999999999996</v>
      </c>
    </row>
    <row r="490" spans="1:15" ht="15" x14ac:dyDescent="0.2">
      <c r="A490" s="13">
        <v>55763</v>
      </c>
      <c r="B490" s="9">
        <f>6.9955 * CHOOSE(CONTROL!$C$32, $C$9, 100%, $E$9)</f>
        <v>6.9954999999999998</v>
      </c>
      <c r="C490" s="9">
        <f>6.9955 * CHOOSE(CONTROL!$C$32, $C$9, 100%, $E$9)</f>
        <v>6.9954999999999998</v>
      </c>
      <c r="D490" s="9">
        <f>6.9967 * CHOOSE(CONTROL!$C$32, $C$9, 100%, $E$9)</f>
        <v>6.9966999999999997</v>
      </c>
      <c r="E490" s="11">
        <f>7.7721 * CHOOSE(CONTROL!$C$32, $C$9, 100%, $E$9)</f>
        <v>7.7721</v>
      </c>
      <c r="F490" s="11">
        <f>7.7721 * CHOOSE(CONTROL!$C$32, $C$9, 100%, $E$9)</f>
        <v>7.7721</v>
      </c>
      <c r="G490" s="11">
        <f>7.7763 * CHOOSE(CONTROL!$C$32, $C$9, 100%, $E$9)</f>
        <v>7.7763</v>
      </c>
      <c r="H490" s="11">
        <f>15.5347 * CHOOSE(CONTROL!$C$32, $C$9, 100%, $E$9)</f>
        <v>15.534700000000001</v>
      </c>
      <c r="I490" s="11">
        <f>15.5389 * CHOOSE(CONTROL!$C$32, $C$9, 100%, $E$9)</f>
        <v>15.5389</v>
      </c>
      <c r="J490" s="11">
        <f>15.5347 * CHOOSE(CONTROL!$C$32, $C$9, 100%, $E$9)</f>
        <v>15.534700000000001</v>
      </c>
      <c r="K490" s="11">
        <f>15.5389 * CHOOSE(CONTROL!$C$32, $C$9, 100%, $E$9)</f>
        <v>15.5389</v>
      </c>
      <c r="L490" s="11">
        <f>7.7721 * CHOOSE(CONTROL!$C$32, $C$9, 100%, $E$9)</f>
        <v>7.7721</v>
      </c>
      <c r="M490" s="11">
        <f>7.7763 * CHOOSE(CONTROL!$C$32, $C$9, 100%, $E$9)</f>
        <v>7.7763</v>
      </c>
      <c r="N490" s="11">
        <f>7.7721 * CHOOSE(CONTROL!$C$32, $C$9, 100%, $E$9)</f>
        <v>7.7721</v>
      </c>
      <c r="O490" s="11">
        <f>7.7763 * CHOOSE(CONTROL!$C$32, $C$9, 100%, $E$9)</f>
        <v>7.7763</v>
      </c>
    </row>
    <row r="491" spans="1:15" ht="15" x14ac:dyDescent="0.2">
      <c r="A491" s="13">
        <v>55793</v>
      </c>
      <c r="B491" s="9">
        <f>7.0017 * CHOOSE(CONTROL!$C$32, $C$9, 100%, $E$9)</f>
        <v>7.0016999999999996</v>
      </c>
      <c r="C491" s="9">
        <f>7.0017 * CHOOSE(CONTROL!$C$32, $C$9, 100%, $E$9)</f>
        <v>7.0016999999999996</v>
      </c>
      <c r="D491" s="9">
        <f>7.0026 * CHOOSE(CONTROL!$C$32, $C$9, 100%, $E$9)</f>
        <v>7.0026000000000002</v>
      </c>
      <c r="E491" s="11">
        <f>7.8302 * CHOOSE(CONTROL!$C$32, $C$9, 100%, $E$9)</f>
        <v>7.8301999999999996</v>
      </c>
      <c r="F491" s="11">
        <f>7.8302 * CHOOSE(CONTROL!$C$32, $C$9, 100%, $E$9)</f>
        <v>7.8301999999999996</v>
      </c>
      <c r="G491" s="11">
        <f>7.8334 * CHOOSE(CONTROL!$C$32, $C$9, 100%, $E$9)</f>
        <v>7.8334000000000001</v>
      </c>
      <c r="H491" s="11">
        <f>15.567 * CHOOSE(CONTROL!$C$32, $C$9, 100%, $E$9)</f>
        <v>15.567</v>
      </c>
      <c r="I491" s="11">
        <f>15.5703 * CHOOSE(CONTROL!$C$32, $C$9, 100%, $E$9)</f>
        <v>15.5703</v>
      </c>
      <c r="J491" s="11">
        <f>15.567 * CHOOSE(CONTROL!$C$32, $C$9, 100%, $E$9)</f>
        <v>15.567</v>
      </c>
      <c r="K491" s="11">
        <f>15.5703 * CHOOSE(CONTROL!$C$32, $C$9, 100%, $E$9)</f>
        <v>15.5703</v>
      </c>
      <c r="L491" s="11">
        <f>7.8302 * CHOOSE(CONTROL!$C$32, $C$9, 100%, $E$9)</f>
        <v>7.8301999999999996</v>
      </c>
      <c r="M491" s="11">
        <f>7.8334 * CHOOSE(CONTROL!$C$32, $C$9, 100%, $E$9)</f>
        <v>7.8334000000000001</v>
      </c>
      <c r="N491" s="11">
        <f>7.8302 * CHOOSE(CONTROL!$C$32, $C$9, 100%, $E$9)</f>
        <v>7.8301999999999996</v>
      </c>
      <c r="O491" s="11">
        <f>7.8334 * CHOOSE(CONTROL!$C$32, $C$9, 100%, $E$9)</f>
        <v>7.8334000000000001</v>
      </c>
    </row>
    <row r="492" spans="1:15" ht="15" x14ac:dyDescent="0.2">
      <c r="A492" s="13">
        <v>55824</v>
      </c>
      <c r="B492" s="9">
        <f>7.0047 * CHOOSE(CONTROL!$C$32, $C$9, 100%, $E$9)</f>
        <v>7.0046999999999997</v>
      </c>
      <c r="C492" s="9">
        <f>7.0047 * CHOOSE(CONTROL!$C$32, $C$9, 100%, $E$9)</f>
        <v>7.0046999999999997</v>
      </c>
      <c r="D492" s="9">
        <f>7.0057 * CHOOSE(CONTROL!$C$32, $C$9, 100%, $E$9)</f>
        <v>7.0057</v>
      </c>
      <c r="E492" s="11">
        <f>7.868 * CHOOSE(CONTROL!$C$32, $C$9, 100%, $E$9)</f>
        <v>7.8680000000000003</v>
      </c>
      <c r="F492" s="11">
        <f>7.868 * CHOOSE(CONTROL!$C$32, $C$9, 100%, $E$9)</f>
        <v>7.8680000000000003</v>
      </c>
      <c r="G492" s="11">
        <f>7.8712 * CHOOSE(CONTROL!$C$32, $C$9, 100%, $E$9)</f>
        <v>7.8712</v>
      </c>
      <c r="H492" s="11">
        <f>15.5995 * CHOOSE(CONTROL!$C$32, $C$9, 100%, $E$9)</f>
        <v>15.599500000000001</v>
      </c>
      <c r="I492" s="11">
        <f>15.6027 * CHOOSE(CONTROL!$C$32, $C$9, 100%, $E$9)</f>
        <v>15.6027</v>
      </c>
      <c r="J492" s="11">
        <f>15.5995 * CHOOSE(CONTROL!$C$32, $C$9, 100%, $E$9)</f>
        <v>15.599500000000001</v>
      </c>
      <c r="K492" s="11">
        <f>15.6027 * CHOOSE(CONTROL!$C$32, $C$9, 100%, $E$9)</f>
        <v>15.6027</v>
      </c>
      <c r="L492" s="11">
        <f>7.868 * CHOOSE(CONTROL!$C$32, $C$9, 100%, $E$9)</f>
        <v>7.8680000000000003</v>
      </c>
      <c r="M492" s="11">
        <f>7.8712 * CHOOSE(CONTROL!$C$32, $C$9, 100%, $E$9)</f>
        <v>7.8712</v>
      </c>
      <c r="N492" s="11">
        <f>7.868 * CHOOSE(CONTROL!$C$32, $C$9, 100%, $E$9)</f>
        <v>7.8680000000000003</v>
      </c>
      <c r="O492" s="11">
        <f>7.8712 * CHOOSE(CONTROL!$C$32, $C$9, 100%, $E$9)</f>
        <v>7.8712</v>
      </c>
    </row>
    <row r="493" spans="1:15" ht="15" x14ac:dyDescent="0.2">
      <c r="A493" s="13">
        <v>55854</v>
      </c>
      <c r="B493" s="9">
        <f>7.0047 * CHOOSE(CONTROL!$C$32, $C$9, 100%, $E$9)</f>
        <v>7.0046999999999997</v>
      </c>
      <c r="C493" s="9">
        <f>7.0047 * CHOOSE(CONTROL!$C$32, $C$9, 100%, $E$9)</f>
        <v>7.0046999999999997</v>
      </c>
      <c r="D493" s="9">
        <f>7.0057 * CHOOSE(CONTROL!$C$32, $C$9, 100%, $E$9)</f>
        <v>7.0057</v>
      </c>
      <c r="E493" s="11">
        <f>7.7787 * CHOOSE(CONTROL!$C$32, $C$9, 100%, $E$9)</f>
        <v>7.7786999999999997</v>
      </c>
      <c r="F493" s="11">
        <f>7.7787 * CHOOSE(CONTROL!$C$32, $C$9, 100%, $E$9)</f>
        <v>7.7786999999999997</v>
      </c>
      <c r="G493" s="11">
        <f>7.7819 * CHOOSE(CONTROL!$C$32, $C$9, 100%, $E$9)</f>
        <v>7.7819000000000003</v>
      </c>
      <c r="H493" s="11">
        <f>15.632 * CHOOSE(CONTROL!$C$32, $C$9, 100%, $E$9)</f>
        <v>15.632</v>
      </c>
      <c r="I493" s="11">
        <f>15.6352 * CHOOSE(CONTROL!$C$32, $C$9, 100%, $E$9)</f>
        <v>15.635199999999999</v>
      </c>
      <c r="J493" s="11">
        <f>15.632 * CHOOSE(CONTROL!$C$32, $C$9, 100%, $E$9)</f>
        <v>15.632</v>
      </c>
      <c r="K493" s="11">
        <f>15.6352 * CHOOSE(CONTROL!$C$32, $C$9, 100%, $E$9)</f>
        <v>15.635199999999999</v>
      </c>
      <c r="L493" s="11">
        <f>7.7787 * CHOOSE(CONTROL!$C$32, $C$9, 100%, $E$9)</f>
        <v>7.7786999999999997</v>
      </c>
      <c r="M493" s="11">
        <f>7.7819 * CHOOSE(CONTROL!$C$32, $C$9, 100%, $E$9)</f>
        <v>7.7819000000000003</v>
      </c>
      <c r="N493" s="11">
        <f>7.7787 * CHOOSE(CONTROL!$C$32, $C$9, 100%, $E$9)</f>
        <v>7.7786999999999997</v>
      </c>
      <c r="O493" s="11">
        <f>7.7819 * CHOOSE(CONTROL!$C$32, $C$9, 100%, $E$9)</f>
        <v>7.7819000000000003</v>
      </c>
    </row>
    <row r="494" spans="1:15" ht="15" x14ac:dyDescent="0.2">
      <c r="A494" s="13">
        <v>55885</v>
      </c>
      <c r="B494" s="9">
        <f>7.0575 * CHOOSE(CONTROL!$C$32, $C$9, 100%, $E$9)</f>
        <v>7.0575000000000001</v>
      </c>
      <c r="C494" s="9">
        <f>7.0575 * CHOOSE(CONTROL!$C$32, $C$9, 100%, $E$9)</f>
        <v>7.0575000000000001</v>
      </c>
      <c r="D494" s="9">
        <f>7.0585 * CHOOSE(CONTROL!$C$32, $C$9, 100%, $E$9)</f>
        <v>7.0585000000000004</v>
      </c>
      <c r="E494" s="11">
        <f>7.9087 * CHOOSE(CONTROL!$C$32, $C$9, 100%, $E$9)</f>
        <v>7.9086999999999996</v>
      </c>
      <c r="F494" s="11">
        <f>7.9087 * CHOOSE(CONTROL!$C$32, $C$9, 100%, $E$9)</f>
        <v>7.9086999999999996</v>
      </c>
      <c r="G494" s="11">
        <f>7.912 * CHOOSE(CONTROL!$C$32, $C$9, 100%, $E$9)</f>
        <v>7.9119999999999999</v>
      </c>
      <c r="H494" s="11">
        <f>15.6645 * CHOOSE(CONTROL!$C$32, $C$9, 100%, $E$9)</f>
        <v>15.6645</v>
      </c>
      <c r="I494" s="11">
        <f>15.6678 * CHOOSE(CONTROL!$C$32, $C$9, 100%, $E$9)</f>
        <v>15.6678</v>
      </c>
      <c r="J494" s="11">
        <f>15.6645 * CHOOSE(CONTROL!$C$32, $C$9, 100%, $E$9)</f>
        <v>15.6645</v>
      </c>
      <c r="K494" s="11">
        <f>15.6678 * CHOOSE(CONTROL!$C$32, $C$9, 100%, $E$9)</f>
        <v>15.6678</v>
      </c>
      <c r="L494" s="11">
        <f>7.9087 * CHOOSE(CONTROL!$C$32, $C$9, 100%, $E$9)</f>
        <v>7.9086999999999996</v>
      </c>
      <c r="M494" s="11">
        <f>7.912 * CHOOSE(CONTROL!$C$32, $C$9, 100%, $E$9)</f>
        <v>7.9119999999999999</v>
      </c>
      <c r="N494" s="11">
        <f>7.9087 * CHOOSE(CONTROL!$C$32, $C$9, 100%, $E$9)</f>
        <v>7.9086999999999996</v>
      </c>
      <c r="O494" s="11">
        <f>7.912 * CHOOSE(CONTROL!$C$32, $C$9, 100%, $E$9)</f>
        <v>7.9119999999999999</v>
      </c>
    </row>
    <row r="495" spans="1:15" ht="15" x14ac:dyDescent="0.2">
      <c r="A495" s="13">
        <v>55916</v>
      </c>
      <c r="B495" s="9">
        <f>7.0545 * CHOOSE(CONTROL!$C$32, $C$9, 100%, $E$9)</f>
        <v>7.0545</v>
      </c>
      <c r="C495" s="9">
        <f>7.0545 * CHOOSE(CONTROL!$C$32, $C$9, 100%, $E$9)</f>
        <v>7.0545</v>
      </c>
      <c r="D495" s="9">
        <f>7.0554 * CHOOSE(CONTROL!$C$32, $C$9, 100%, $E$9)</f>
        <v>7.0553999999999997</v>
      </c>
      <c r="E495" s="11">
        <f>7.7323 * CHOOSE(CONTROL!$C$32, $C$9, 100%, $E$9)</f>
        <v>7.7323000000000004</v>
      </c>
      <c r="F495" s="11">
        <f>7.7323 * CHOOSE(CONTROL!$C$32, $C$9, 100%, $E$9)</f>
        <v>7.7323000000000004</v>
      </c>
      <c r="G495" s="11">
        <f>7.7355 * CHOOSE(CONTROL!$C$32, $C$9, 100%, $E$9)</f>
        <v>7.7355</v>
      </c>
      <c r="H495" s="11">
        <f>15.6972 * CHOOSE(CONTROL!$C$32, $C$9, 100%, $E$9)</f>
        <v>15.6972</v>
      </c>
      <c r="I495" s="11">
        <f>15.7004 * CHOOSE(CONTROL!$C$32, $C$9, 100%, $E$9)</f>
        <v>15.7004</v>
      </c>
      <c r="J495" s="11">
        <f>15.6972 * CHOOSE(CONTROL!$C$32, $C$9, 100%, $E$9)</f>
        <v>15.6972</v>
      </c>
      <c r="K495" s="11">
        <f>15.7004 * CHOOSE(CONTROL!$C$32, $C$9, 100%, $E$9)</f>
        <v>15.7004</v>
      </c>
      <c r="L495" s="11">
        <f>7.7323 * CHOOSE(CONTROL!$C$32, $C$9, 100%, $E$9)</f>
        <v>7.7323000000000004</v>
      </c>
      <c r="M495" s="11">
        <f>7.7355 * CHOOSE(CONTROL!$C$32, $C$9, 100%, $E$9)</f>
        <v>7.7355</v>
      </c>
      <c r="N495" s="11">
        <f>7.7323 * CHOOSE(CONTROL!$C$32, $C$9, 100%, $E$9)</f>
        <v>7.7323000000000004</v>
      </c>
      <c r="O495" s="11">
        <f>7.7355 * CHOOSE(CONTROL!$C$32, $C$9, 100%, $E$9)</f>
        <v>7.7355</v>
      </c>
    </row>
    <row r="496" spans="1:15" ht="15" x14ac:dyDescent="0.2">
      <c r="A496" s="13">
        <v>55944</v>
      </c>
      <c r="B496" s="9">
        <f>7.0514 * CHOOSE(CONTROL!$C$32, $C$9, 100%, $E$9)</f>
        <v>7.0514000000000001</v>
      </c>
      <c r="C496" s="9">
        <f>7.0514 * CHOOSE(CONTROL!$C$32, $C$9, 100%, $E$9)</f>
        <v>7.0514000000000001</v>
      </c>
      <c r="D496" s="9">
        <f>7.0524 * CHOOSE(CONTROL!$C$32, $C$9, 100%, $E$9)</f>
        <v>7.0523999999999996</v>
      </c>
      <c r="E496" s="11">
        <f>7.8676 * CHOOSE(CONTROL!$C$32, $C$9, 100%, $E$9)</f>
        <v>7.8676000000000004</v>
      </c>
      <c r="F496" s="11">
        <f>7.8676 * CHOOSE(CONTROL!$C$32, $C$9, 100%, $E$9)</f>
        <v>7.8676000000000004</v>
      </c>
      <c r="G496" s="11">
        <f>7.8708 * CHOOSE(CONTROL!$C$32, $C$9, 100%, $E$9)</f>
        <v>7.8708</v>
      </c>
      <c r="H496" s="11">
        <f>15.7299 * CHOOSE(CONTROL!$C$32, $C$9, 100%, $E$9)</f>
        <v>15.729900000000001</v>
      </c>
      <c r="I496" s="11">
        <f>15.7331 * CHOOSE(CONTROL!$C$32, $C$9, 100%, $E$9)</f>
        <v>15.7331</v>
      </c>
      <c r="J496" s="11">
        <f>15.7299 * CHOOSE(CONTROL!$C$32, $C$9, 100%, $E$9)</f>
        <v>15.729900000000001</v>
      </c>
      <c r="K496" s="11">
        <f>15.7331 * CHOOSE(CONTROL!$C$32, $C$9, 100%, $E$9)</f>
        <v>15.7331</v>
      </c>
      <c r="L496" s="11">
        <f>7.8676 * CHOOSE(CONTROL!$C$32, $C$9, 100%, $E$9)</f>
        <v>7.8676000000000004</v>
      </c>
      <c r="M496" s="11">
        <f>7.8708 * CHOOSE(CONTROL!$C$32, $C$9, 100%, $E$9)</f>
        <v>7.8708</v>
      </c>
      <c r="N496" s="11">
        <f>7.8676 * CHOOSE(CONTROL!$C$32, $C$9, 100%, $E$9)</f>
        <v>7.8676000000000004</v>
      </c>
      <c r="O496" s="11">
        <f>7.8708 * CHOOSE(CONTROL!$C$32, $C$9, 100%, $E$9)</f>
        <v>7.8708</v>
      </c>
    </row>
    <row r="497" spans="1:15" ht="15" x14ac:dyDescent="0.2">
      <c r="A497" s="13">
        <v>55975</v>
      </c>
      <c r="B497" s="9">
        <f>7.052 * CHOOSE(CONTROL!$C$32, $C$9, 100%, $E$9)</f>
        <v>7.0519999999999996</v>
      </c>
      <c r="C497" s="9">
        <f>7.052 * CHOOSE(CONTROL!$C$32, $C$9, 100%, $E$9)</f>
        <v>7.0519999999999996</v>
      </c>
      <c r="D497" s="9">
        <f>7.053 * CHOOSE(CONTROL!$C$32, $C$9, 100%, $E$9)</f>
        <v>7.0529999999999999</v>
      </c>
      <c r="E497" s="11">
        <f>8.011 * CHOOSE(CONTROL!$C$32, $C$9, 100%, $E$9)</f>
        <v>8.0109999999999992</v>
      </c>
      <c r="F497" s="11">
        <f>8.011 * CHOOSE(CONTROL!$C$32, $C$9, 100%, $E$9)</f>
        <v>8.0109999999999992</v>
      </c>
      <c r="G497" s="11">
        <f>8.0142 * CHOOSE(CONTROL!$C$32, $C$9, 100%, $E$9)</f>
        <v>8.0142000000000007</v>
      </c>
      <c r="H497" s="11">
        <f>15.7626 * CHOOSE(CONTROL!$C$32, $C$9, 100%, $E$9)</f>
        <v>15.762600000000001</v>
      </c>
      <c r="I497" s="11">
        <f>15.7659 * CHOOSE(CONTROL!$C$32, $C$9, 100%, $E$9)</f>
        <v>15.7659</v>
      </c>
      <c r="J497" s="11">
        <f>15.7626 * CHOOSE(CONTROL!$C$32, $C$9, 100%, $E$9)</f>
        <v>15.762600000000001</v>
      </c>
      <c r="K497" s="11">
        <f>15.7659 * CHOOSE(CONTROL!$C$32, $C$9, 100%, $E$9)</f>
        <v>15.7659</v>
      </c>
      <c r="L497" s="11">
        <f>8.011 * CHOOSE(CONTROL!$C$32, $C$9, 100%, $E$9)</f>
        <v>8.0109999999999992</v>
      </c>
      <c r="M497" s="11">
        <f>8.0142 * CHOOSE(CONTROL!$C$32, $C$9, 100%, $E$9)</f>
        <v>8.0142000000000007</v>
      </c>
      <c r="N497" s="11">
        <f>8.011 * CHOOSE(CONTROL!$C$32, $C$9, 100%, $E$9)</f>
        <v>8.0109999999999992</v>
      </c>
      <c r="O497" s="11">
        <f>8.0142 * CHOOSE(CONTROL!$C$32, $C$9, 100%, $E$9)</f>
        <v>8.0142000000000007</v>
      </c>
    </row>
    <row r="498" spans="1:15" ht="15" x14ac:dyDescent="0.2">
      <c r="A498" s="13">
        <v>56005</v>
      </c>
      <c r="B498" s="9">
        <f>7.052 * CHOOSE(CONTROL!$C$32, $C$9, 100%, $E$9)</f>
        <v>7.0519999999999996</v>
      </c>
      <c r="C498" s="9">
        <f>7.052 * CHOOSE(CONTROL!$C$32, $C$9, 100%, $E$9)</f>
        <v>7.0519999999999996</v>
      </c>
      <c r="D498" s="9">
        <f>7.0533 * CHOOSE(CONTROL!$C$32, $C$9, 100%, $E$9)</f>
        <v>7.0533000000000001</v>
      </c>
      <c r="E498" s="11">
        <f>8.0663 * CHOOSE(CONTROL!$C$32, $C$9, 100%, $E$9)</f>
        <v>8.0663</v>
      </c>
      <c r="F498" s="11">
        <f>8.0663 * CHOOSE(CONTROL!$C$32, $C$9, 100%, $E$9)</f>
        <v>8.0663</v>
      </c>
      <c r="G498" s="11">
        <f>8.0705 * CHOOSE(CONTROL!$C$32, $C$9, 100%, $E$9)</f>
        <v>8.0704999999999991</v>
      </c>
      <c r="H498" s="11">
        <f>15.7955 * CHOOSE(CONTROL!$C$32, $C$9, 100%, $E$9)</f>
        <v>15.795500000000001</v>
      </c>
      <c r="I498" s="11">
        <f>15.7997 * CHOOSE(CONTROL!$C$32, $C$9, 100%, $E$9)</f>
        <v>15.7997</v>
      </c>
      <c r="J498" s="11">
        <f>15.7955 * CHOOSE(CONTROL!$C$32, $C$9, 100%, $E$9)</f>
        <v>15.795500000000001</v>
      </c>
      <c r="K498" s="11">
        <f>15.7997 * CHOOSE(CONTROL!$C$32, $C$9, 100%, $E$9)</f>
        <v>15.7997</v>
      </c>
      <c r="L498" s="11">
        <f>8.0663 * CHOOSE(CONTROL!$C$32, $C$9, 100%, $E$9)</f>
        <v>8.0663</v>
      </c>
      <c r="M498" s="11">
        <f>8.0705 * CHOOSE(CONTROL!$C$32, $C$9, 100%, $E$9)</f>
        <v>8.0704999999999991</v>
      </c>
      <c r="N498" s="11">
        <f>8.0663 * CHOOSE(CONTROL!$C$32, $C$9, 100%, $E$9)</f>
        <v>8.0663</v>
      </c>
      <c r="O498" s="11">
        <f>8.0705 * CHOOSE(CONTROL!$C$32, $C$9, 100%, $E$9)</f>
        <v>8.0704999999999991</v>
      </c>
    </row>
    <row r="499" spans="1:15" ht="15" x14ac:dyDescent="0.2">
      <c r="A499" s="13">
        <v>56036</v>
      </c>
      <c r="B499" s="9">
        <f>7.0581 * CHOOSE(CONTROL!$C$32, $C$9, 100%, $E$9)</f>
        <v>7.0580999999999996</v>
      </c>
      <c r="C499" s="9">
        <f>7.0581 * CHOOSE(CONTROL!$C$32, $C$9, 100%, $E$9)</f>
        <v>7.0580999999999996</v>
      </c>
      <c r="D499" s="9">
        <f>7.0594 * CHOOSE(CONTROL!$C$32, $C$9, 100%, $E$9)</f>
        <v>7.0594000000000001</v>
      </c>
      <c r="E499" s="11">
        <f>8.0152 * CHOOSE(CONTROL!$C$32, $C$9, 100%, $E$9)</f>
        <v>8.0152000000000001</v>
      </c>
      <c r="F499" s="11">
        <f>8.0152 * CHOOSE(CONTROL!$C$32, $C$9, 100%, $E$9)</f>
        <v>8.0152000000000001</v>
      </c>
      <c r="G499" s="11">
        <f>8.0194 * CHOOSE(CONTROL!$C$32, $C$9, 100%, $E$9)</f>
        <v>8.0193999999999992</v>
      </c>
      <c r="H499" s="11">
        <f>15.8284 * CHOOSE(CONTROL!$C$32, $C$9, 100%, $E$9)</f>
        <v>15.8284</v>
      </c>
      <c r="I499" s="11">
        <f>15.8326 * CHOOSE(CONTROL!$C$32, $C$9, 100%, $E$9)</f>
        <v>15.832599999999999</v>
      </c>
      <c r="J499" s="11">
        <f>15.8284 * CHOOSE(CONTROL!$C$32, $C$9, 100%, $E$9)</f>
        <v>15.8284</v>
      </c>
      <c r="K499" s="11">
        <f>15.8326 * CHOOSE(CONTROL!$C$32, $C$9, 100%, $E$9)</f>
        <v>15.832599999999999</v>
      </c>
      <c r="L499" s="11">
        <f>8.0152 * CHOOSE(CONTROL!$C$32, $C$9, 100%, $E$9)</f>
        <v>8.0152000000000001</v>
      </c>
      <c r="M499" s="11">
        <f>8.0194 * CHOOSE(CONTROL!$C$32, $C$9, 100%, $E$9)</f>
        <v>8.0193999999999992</v>
      </c>
      <c r="N499" s="11">
        <f>8.0152 * CHOOSE(CONTROL!$C$32, $C$9, 100%, $E$9)</f>
        <v>8.0152000000000001</v>
      </c>
      <c r="O499" s="11">
        <f>8.0194 * CHOOSE(CONTROL!$C$32, $C$9, 100%, $E$9)</f>
        <v>8.0193999999999992</v>
      </c>
    </row>
    <row r="500" spans="1:15" ht="15" x14ac:dyDescent="0.2">
      <c r="A500" s="13">
        <v>56066</v>
      </c>
      <c r="B500" s="9">
        <f>7.1502 * CHOOSE(CONTROL!$C$32, $C$9, 100%, $E$9)</f>
        <v>7.1501999999999999</v>
      </c>
      <c r="C500" s="9">
        <f>7.1502 * CHOOSE(CONTROL!$C$32, $C$9, 100%, $E$9)</f>
        <v>7.1501999999999999</v>
      </c>
      <c r="D500" s="9">
        <f>7.1515 * CHOOSE(CONTROL!$C$32, $C$9, 100%, $E$9)</f>
        <v>7.1515000000000004</v>
      </c>
      <c r="E500" s="11">
        <f>8.1252 * CHOOSE(CONTROL!$C$32, $C$9, 100%, $E$9)</f>
        <v>8.1251999999999995</v>
      </c>
      <c r="F500" s="11">
        <f>8.1252 * CHOOSE(CONTROL!$C$32, $C$9, 100%, $E$9)</f>
        <v>8.1251999999999995</v>
      </c>
      <c r="G500" s="11">
        <f>8.1294 * CHOOSE(CONTROL!$C$32, $C$9, 100%, $E$9)</f>
        <v>8.1294000000000004</v>
      </c>
      <c r="H500" s="11">
        <f>15.8614 * CHOOSE(CONTROL!$C$32, $C$9, 100%, $E$9)</f>
        <v>15.8614</v>
      </c>
      <c r="I500" s="11">
        <f>15.8656 * CHOOSE(CONTROL!$C$32, $C$9, 100%, $E$9)</f>
        <v>15.865600000000001</v>
      </c>
      <c r="J500" s="11">
        <f>15.8614 * CHOOSE(CONTROL!$C$32, $C$9, 100%, $E$9)</f>
        <v>15.8614</v>
      </c>
      <c r="K500" s="11">
        <f>15.8656 * CHOOSE(CONTROL!$C$32, $C$9, 100%, $E$9)</f>
        <v>15.865600000000001</v>
      </c>
      <c r="L500" s="11">
        <f>8.1252 * CHOOSE(CONTROL!$C$32, $C$9, 100%, $E$9)</f>
        <v>8.1251999999999995</v>
      </c>
      <c r="M500" s="11">
        <f>8.1294 * CHOOSE(CONTROL!$C$32, $C$9, 100%, $E$9)</f>
        <v>8.1294000000000004</v>
      </c>
      <c r="N500" s="11">
        <f>8.1252 * CHOOSE(CONTROL!$C$32, $C$9, 100%, $E$9)</f>
        <v>8.1251999999999995</v>
      </c>
      <c r="O500" s="11">
        <f>8.1294 * CHOOSE(CONTROL!$C$32, $C$9, 100%, $E$9)</f>
        <v>8.1294000000000004</v>
      </c>
    </row>
    <row r="501" spans="1:15" ht="15" x14ac:dyDescent="0.2">
      <c r="A501" s="13">
        <v>56097</v>
      </c>
      <c r="B501" s="9">
        <f>7.1569 * CHOOSE(CONTROL!$C$32, $C$9, 100%, $E$9)</f>
        <v>7.1569000000000003</v>
      </c>
      <c r="C501" s="9">
        <f>7.1569 * CHOOSE(CONTROL!$C$32, $C$9, 100%, $E$9)</f>
        <v>7.1569000000000003</v>
      </c>
      <c r="D501" s="9">
        <f>7.1582 * CHOOSE(CONTROL!$C$32, $C$9, 100%, $E$9)</f>
        <v>7.1581999999999999</v>
      </c>
      <c r="E501" s="11">
        <f>7.9639 * CHOOSE(CONTROL!$C$32, $C$9, 100%, $E$9)</f>
        <v>7.9638999999999998</v>
      </c>
      <c r="F501" s="11">
        <f>7.9639 * CHOOSE(CONTROL!$C$32, $C$9, 100%, $E$9)</f>
        <v>7.9638999999999998</v>
      </c>
      <c r="G501" s="11">
        <f>7.9681 * CHOOSE(CONTROL!$C$32, $C$9, 100%, $E$9)</f>
        <v>7.9680999999999997</v>
      </c>
      <c r="H501" s="11">
        <f>15.8944 * CHOOSE(CONTROL!$C$32, $C$9, 100%, $E$9)</f>
        <v>15.894399999999999</v>
      </c>
      <c r="I501" s="11">
        <f>15.8986 * CHOOSE(CONTROL!$C$32, $C$9, 100%, $E$9)</f>
        <v>15.8986</v>
      </c>
      <c r="J501" s="11">
        <f>15.8944 * CHOOSE(CONTROL!$C$32, $C$9, 100%, $E$9)</f>
        <v>15.894399999999999</v>
      </c>
      <c r="K501" s="11">
        <f>15.8986 * CHOOSE(CONTROL!$C$32, $C$9, 100%, $E$9)</f>
        <v>15.8986</v>
      </c>
      <c r="L501" s="11">
        <f>7.9639 * CHOOSE(CONTROL!$C$32, $C$9, 100%, $E$9)</f>
        <v>7.9638999999999998</v>
      </c>
      <c r="M501" s="11">
        <f>7.9681 * CHOOSE(CONTROL!$C$32, $C$9, 100%, $E$9)</f>
        <v>7.9680999999999997</v>
      </c>
      <c r="N501" s="11">
        <f>7.9639 * CHOOSE(CONTROL!$C$32, $C$9, 100%, $E$9)</f>
        <v>7.9638999999999998</v>
      </c>
      <c r="O501" s="11">
        <f>7.9681 * CHOOSE(CONTROL!$C$32, $C$9, 100%, $E$9)</f>
        <v>7.9680999999999997</v>
      </c>
    </row>
    <row r="502" spans="1:15" ht="15" x14ac:dyDescent="0.2">
      <c r="A502" s="13">
        <v>56128</v>
      </c>
      <c r="B502" s="9">
        <f>7.1539 * CHOOSE(CONTROL!$C$32, $C$9, 100%, $E$9)</f>
        <v>7.1539000000000001</v>
      </c>
      <c r="C502" s="9">
        <f>7.1539 * CHOOSE(CONTROL!$C$32, $C$9, 100%, $E$9)</f>
        <v>7.1539000000000001</v>
      </c>
      <c r="D502" s="9">
        <f>7.1551 * CHOOSE(CONTROL!$C$32, $C$9, 100%, $E$9)</f>
        <v>7.1551</v>
      </c>
      <c r="E502" s="11">
        <f>7.9433 * CHOOSE(CONTROL!$C$32, $C$9, 100%, $E$9)</f>
        <v>7.9432999999999998</v>
      </c>
      <c r="F502" s="11">
        <f>7.9433 * CHOOSE(CONTROL!$C$32, $C$9, 100%, $E$9)</f>
        <v>7.9432999999999998</v>
      </c>
      <c r="G502" s="11">
        <f>7.9475 * CHOOSE(CONTROL!$C$32, $C$9, 100%, $E$9)</f>
        <v>7.9474999999999998</v>
      </c>
      <c r="H502" s="11">
        <f>15.9275 * CHOOSE(CONTROL!$C$32, $C$9, 100%, $E$9)</f>
        <v>15.9275</v>
      </c>
      <c r="I502" s="11">
        <f>15.9317 * CHOOSE(CONTROL!$C$32, $C$9, 100%, $E$9)</f>
        <v>15.931699999999999</v>
      </c>
      <c r="J502" s="11">
        <f>15.9275 * CHOOSE(CONTROL!$C$32, $C$9, 100%, $E$9)</f>
        <v>15.9275</v>
      </c>
      <c r="K502" s="11">
        <f>15.9317 * CHOOSE(CONTROL!$C$32, $C$9, 100%, $E$9)</f>
        <v>15.931699999999999</v>
      </c>
      <c r="L502" s="11">
        <f>7.9433 * CHOOSE(CONTROL!$C$32, $C$9, 100%, $E$9)</f>
        <v>7.9432999999999998</v>
      </c>
      <c r="M502" s="11">
        <f>7.9475 * CHOOSE(CONTROL!$C$32, $C$9, 100%, $E$9)</f>
        <v>7.9474999999999998</v>
      </c>
      <c r="N502" s="11">
        <f>7.9433 * CHOOSE(CONTROL!$C$32, $C$9, 100%, $E$9)</f>
        <v>7.9432999999999998</v>
      </c>
      <c r="O502" s="11">
        <f>7.9475 * CHOOSE(CONTROL!$C$32, $C$9, 100%, $E$9)</f>
        <v>7.9474999999999998</v>
      </c>
    </row>
    <row r="503" spans="1:15" ht="15" x14ac:dyDescent="0.2">
      <c r="A503" s="13">
        <v>56158</v>
      </c>
      <c r="B503" s="9">
        <f>7.1607 * CHOOSE(CONTROL!$C$32, $C$9, 100%, $E$9)</f>
        <v>7.1607000000000003</v>
      </c>
      <c r="C503" s="9">
        <f>7.1607 * CHOOSE(CONTROL!$C$32, $C$9, 100%, $E$9)</f>
        <v>7.1607000000000003</v>
      </c>
      <c r="D503" s="9">
        <f>7.1616 * CHOOSE(CONTROL!$C$32, $C$9, 100%, $E$9)</f>
        <v>7.1616</v>
      </c>
      <c r="E503" s="11">
        <f>8.0037 * CHOOSE(CONTROL!$C$32, $C$9, 100%, $E$9)</f>
        <v>8.0037000000000003</v>
      </c>
      <c r="F503" s="11">
        <f>8.0037 * CHOOSE(CONTROL!$C$32, $C$9, 100%, $E$9)</f>
        <v>8.0037000000000003</v>
      </c>
      <c r="G503" s="11">
        <f>8.0069 * CHOOSE(CONTROL!$C$32, $C$9, 100%, $E$9)</f>
        <v>8.0068999999999999</v>
      </c>
      <c r="H503" s="11">
        <f>15.9607 * CHOOSE(CONTROL!$C$32, $C$9, 100%, $E$9)</f>
        <v>15.960699999999999</v>
      </c>
      <c r="I503" s="11">
        <f>15.9639 * CHOOSE(CONTROL!$C$32, $C$9, 100%, $E$9)</f>
        <v>15.963900000000001</v>
      </c>
      <c r="J503" s="11">
        <f>15.9607 * CHOOSE(CONTROL!$C$32, $C$9, 100%, $E$9)</f>
        <v>15.960699999999999</v>
      </c>
      <c r="K503" s="11">
        <f>15.9639 * CHOOSE(CONTROL!$C$32, $C$9, 100%, $E$9)</f>
        <v>15.963900000000001</v>
      </c>
      <c r="L503" s="11">
        <f>8.0037 * CHOOSE(CONTROL!$C$32, $C$9, 100%, $E$9)</f>
        <v>8.0037000000000003</v>
      </c>
      <c r="M503" s="11">
        <f>8.0069 * CHOOSE(CONTROL!$C$32, $C$9, 100%, $E$9)</f>
        <v>8.0068999999999999</v>
      </c>
      <c r="N503" s="11">
        <f>8.0037 * CHOOSE(CONTROL!$C$32, $C$9, 100%, $E$9)</f>
        <v>8.0037000000000003</v>
      </c>
      <c r="O503" s="11">
        <f>8.0069 * CHOOSE(CONTROL!$C$32, $C$9, 100%, $E$9)</f>
        <v>8.0068999999999999</v>
      </c>
    </row>
    <row r="504" spans="1:15" ht="15" x14ac:dyDescent="0.2">
      <c r="A504" s="13">
        <v>56189</v>
      </c>
      <c r="B504" s="9">
        <f>7.1637 * CHOOSE(CONTROL!$C$32, $C$9, 100%, $E$9)</f>
        <v>7.1637000000000004</v>
      </c>
      <c r="C504" s="9">
        <f>7.1637 * CHOOSE(CONTROL!$C$32, $C$9, 100%, $E$9)</f>
        <v>7.1637000000000004</v>
      </c>
      <c r="D504" s="9">
        <f>7.1647 * CHOOSE(CONTROL!$C$32, $C$9, 100%, $E$9)</f>
        <v>7.1646999999999998</v>
      </c>
      <c r="E504" s="11">
        <f>8.0427 * CHOOSE(CONTROL!$C$32, $C$9, 100%, $E$9)</f>
        <v>8.0427</v>
      </c>
      <c r="F504" s="11">
        <f>8.0427 * CHOOSE(CONTROL!$C$32, $C$9, 100%, $E$9)</f>
        <v>8.0427</v>
      </c>
      <c r="G504" s="11">
        <f>8.0459 * CHOOSE(CONTROL!$C$32, $C$9, 100%, $E$9)</f>
        <v>8.0458999999999996</v>
      </c>
      <c r="H504" s="11">
        <f>15.994 * CHOOSE(CONTROL!$C$32, $C$9, 100%, $E$9)</f>
        <v>15.994</v>
      </c>
      <c r="I504" s="11">
        <f>15.9972 * CHOOSE(CONTROL!$C$32, $C$9, 100%, $E$9)</f>
        <v>15.997199999999999</v>
      </c>
      <c r="J504" s="11">
        <f>15.994 * CHOOSE(CONTROL!$C$32, $C$9, 100%, $E$9)</f>
        <v>15.994</v>
      </c>
      <c r="K504" s="11">
        <f>15.9972 * CHOOSE(CONTROL!$C$32, $C$9, 100%, $E$9)</f>
        <v>15.997199999999999</v>
      </c>
      <c r="L504" s="11">
        <f>8.0427 * CHOOSE(CONTROL!$C$32, $C$9, 100%, $E$9)</f>
        <v>8.0427</v>
      </c>
      <c r="M504" s="11">
        <f>8.0459 * CHOOSE(CONTROL!$C$32, $C$9, 100%, $E$9)</f>
        <v>8.0458999999999996</v>
      </c>
      <c r="N504" s="11">
        <f>8.0427 * CHOOSE(CONTROL!$C$32, $C$9, 100%, $E$9)</f>
        <v>8.0427</v>
      </c>
      <c r="O504" s="11">
        <f>8.0459 * CHOOSE(CONTROL!$C$32, $C$9, 100%, $E$9)</f>
        <v>8.0458999999999996</v>
      </c>
    </row>
    <row r="505" spans="1:15" ht="15" x14ac:dyDescent="0.2">
      <c r="A505" s="13">
        <v>56219</v>
      </c>
      <c r="B505" s="9">
        <f>7.1637 * CHOOSE(CONTROL!$C$32, $C$9, 100%, $E$9)</f>
        <v>7.1637000000000004</v>
      </c>
      <c r="C505" s="9">
        <f>7.1637 * CHOOSE(CONTROL!$C$32, $C$9, 100%, $E$9)</f>
        <v>7.1637000000000004</v>
      </c>
      <c r="D505" s="9">
        <f>7.1647 * CHOOSE(CONTROL!$C$32, $C$9, 100%, $E$9)</f>
        <v>7.1646999999999998</v>
      </c>
      <c r="E505" s="11">
        <f>7.9504 * CHOOSE(CONTROL!$C$32, $C$9, 100%, $E$9)</f>
        <v>7.9504000000000001</v>
      </c>
      <c r="F505" s="11">
        <f>7.9504 * CHOOSE(CONTROL!$C$32, $C$9, 100%, $E$9)</f>
        <v>7.9504000000000001</v>
      </c>
      <c r="G505" s="11">
        <f>7.9537 * CHOOSE(CONTROL!$C$32, $C$9, 100%, $E$9)</f>
        <v>7.9537000000000004</v>
      </c>
      <c r="H505" s="11">
        <f>16.0273 * CHOOSE(CONTROL!$C$32, $C$9, 100%, $E$9)</f>
        <v>16.0273</v>
      </c>
      <c r="I505" s="11">
        <f>16.0305 * CHOOSE(CONTROL!$C$32, $C$9, 100%, $E$9)</f>
        <v>16.0305</v>
      </c>
      <c r="J505" s="11">
        <f>16.0273 * CHOOSE(CONTROL!$C$32, $C$9, 100%, $E$9)</f>
        <v>16.0273</v>
      </c>
      <c r="K505" s="11">
        <f>16.0305 * CHOOSE(CONTROL!$C$32, $C$9, 100%, $E$9)</f>
        <v>16.0305</v>
      </c>
      <c r="L505" s="11">
        <f>7.9504 * CHOOSE(CONTROL!$C$32, $C$9, 100%, $E$9)</f>
        <v>7.9504000000000001</v>
      </c>
      <c r="M505" s="11">
        <f>7.9537 * CHOOSE(CONTROL!$C$32, $C$9, 100%, $E$9)</f>
        <v>7.9537000000000004</v>
      </c>
      <c r="N505" s="11">
        <f>7.9504 * CHOOSE(CONTROL!$C$32, $C$9, 100%, $E$9)</f>
        <v>7.9504000000000001</v>
      </c>
      <c r="O505" s="11">
        <f>7.9537 * CHOOSE(CONTROL!$C$32, $C$9, 100%, $E$9)</f>
        <v>7.9537000000000004</v>
      </c>
    </row>
    <row r="506" spans="1:15" ht="15" x14ac:dyDescent="0.2">
      <c r="A506" s="13">
        <v>56250</v>
      </c>
      <c r="B506" s="9">
        <f>7.2176 * CHOOSE(CONTROL!$C$32, $C$9, 100%, $E$9)</f>
        <v>7.2176</v>
      </c>
      <c r="C506" s="9">
        <f>7.2176 * CHOOSE(CONTROL!$C$32, $C$9, 100%, $E$9)</f>
        <v>7.2176</v>
      </c>
      <c r="D506" s="9">
        <f>7.2186 * CHOOSE(CONTROL!$C$32, $C$9, 100%, $E$9)</f>
        <v>7.2186000000000003</v>
      </c>
      <c r="E506" s="11">
        <f>8.0845 * CHOOSE(CONTROL!$C$32, $C$9, 100%, $E$9)</f>
        <v>8.0845000000000002</v>
      </c>
      <c r="F506" s="11">
        <f>8.0845 * CHOOSE(CONTROL!$C$32, $C$9, 100%, $E$9)</f>
        <v>8.0845000000000002</v>
      </c>
      <c r="G506" s="11">
        <f>8.0877 * CHOOSE(CONTROL!$C$32, $C$9, 100%, $E$9)</f>
        <v>8.0876999999999999</v>
      </c>
      <c r="H506" s="11">
        <f>16.0607 * CHOOSE(CONTROL!$C$32, $C$9, 100%, $E$9)</f>
        <v>16.060700000000001</v>
      </c>
      <c r="I506" s="11">
        <f>16.0639 * CHOOSE(CONTROL!$C$32, $C$9, 100%, $E$9)</f>
        <v>16.0639</v>
      </c>
      <c r="J506" s="11">
        <f>16.0607 * CHOOSE(CONTROL!$C$32, $C$9, 100%, $E$9)</f>
        <v>16.060700000000001</v>
      </c>
      <c r="K506" s="11">
        <f>16.0639 * CHOOSE(CONTROL!$C$32, $C$9, 100%, $E$9)</f>
        <v>16.0639</v>
      </c>
      <c r="L506" s="11">
        <f>8.0845 * CHOOSE(CONTROL!$C$32, $C$9, 100%, $E$9)</f>
        <v>8.0845000000000002</v>
      </c>
      <c r="M506" s="11">
        <f>8.0877 * CHOOSE(CONTROL!$C$32, $C$9, 100%, $E$9)</f>
        <v>8.0876999999999999</v>
      </c>
      <c r="N506" s="11">
        <f>8.0845 * CHOOSE(CONTROL!$C$32, $C$9, 100%, $E$9)</f>
        <v>8.0845000000000002</v>
      </c>
      <c r="O506" s="11">
        <f>8.0877 * CHOOSE(CONTROL!$C$32, $C$9, 100%, $E$9)</f>
        <v>8.0876999999999999</v>
      </c>
    </row>
    <row r="507" spans="1:15" ht="15" x14ac:dyDescent="0.2">
      <c r="A507" s="13">
        <v>56281</v>
      </c>
      <c r="B507" s="9">
        <f>7.2146 * CHOOSE(CONTROL!$C$32, $C$9, 100%, $E$9)</f>
        <v>7.2145999999999999</v>
      </c>
      <c r="C507" s="9">
        <f>7.2146 * CHOOSE(CONTROL!$C$32, $C$9, 100%, $E$9)</f>
        <v>7.2145999999999999</v>
      </c>
      <c r="D507" s="9">
        <f>7.2155 * CHOOSE(CONTROL!$C$32, $C$9, 100%, $E$9)</f>
        <v>7.2154999999999996</v>
      </c>
      <c r="E507" s="11">
        <f>7.9024 * CHOOSE(CONTROL!$C$32, $C$9, 100%, $E$9)</f>
        <v>7.9024000000000001</v>
      </c>
      <c r="F507" s="11">
        <f>7.9024 * CHOOSE(CONTROL!$C$32, $C$9, 100%, $E$9)</f>
        <v>7.9024000000000001</v>
      </c>
      <c r="G507" s="11">
        <f>7.9056 * CHOOSE(CONTROL!$C$32, $C$9, 100%, $E$9)</f>
        <v>7.9055999999999997</v>
      </c>
      <c r="H507" s="11">
        <f>16.0941 * CHOOSE(CONTROL!$C$32, $C$9, 100%, $E$9)</f>
        <v>16.094100000000001</v>
      </c>
      <c r="I507" s="11">
        <f>16.0974 * CHOOSE(CONTROL!$C$32, $C$9, 100%, $E$9)</f>
        <v>16.0974</v>
      </c>
      <c r="J507" s="11">
        <f>16.0941 * CHOOSE(CONTROL!$C$32, $C$9, 100%, $E$9)</f>
        <v>16.094100000000001</v>
      </c>
      <c r="K507" s="11">
        <f>16.0974 * CHOOSE(CONTROL!$C$32, $C$9, 100%, $E$9)</f>
        <v>16.0974</v>
      </c>
      <c r="L507" s="11">
        <f>7.9024 * CHOOSE(CONTROL!$C$32, $C$9, 100%, $E$9)</f>
        <v>7.9024000000000001</v>
      </c>
      <c r="M507" s="11">
        <f>7.9056 * CHOOSE(CONTROL!$C$32, $C$9, 100%, $E$9)</f>
        <v>7.9055999999999997</v>
      </c>
      <c r="N507" s="11">
        <f>7.9024 * CHOOSE(CONTROL!$C$32, $C$9, 100%, $E$9)</f>
        <v>7.9024000000000001</v>
      </c>
      <c r="O507" s="11">
        <f>7.9056 * CHOOSE(CONTROL!$C$32, $C$9, 100%, $E$9)</f>
        <v>7.9055999999999997</v>
      </c>
    </row>
    <row r="508" spans="1:15" ht="15" x14ac:dyDescent="0.2">
      <c r="A508" s="13">
        <v>56309</v>
      </c>
      <c r="B508" s="9">
        <f>7.2115 * CHOOSE(CONTROL!$C$32, $C$9, 100%, $E$9)</f>
        <v>7.2115</v>
      </c>
      <c r="C508" s="9">
        <f>7.2115 * CHOOSE(CONTROL!$C$32, $C$9, 100%, $E$9)</f>
        <v>7.2115</v>
      </c>
      <c r="D508" s="9">
        <f>7.2125 * CHOOSE(CONTROL!$C$32, $C$9, 100%, $E$9)</f>
        <v>7.2125000000000004</v>
      </c>
      <c r="E508" s="11">
        <f>8.0422 * CHOOSE(CONTROL!$C$32, $C$9, 100%, $E$9)</f>
        <v>8.0421999999999993</v>
      </c>
      <c r="F508" s="11">
        <f>8.0422 * CHOOSE(CONTROL!$C$32, $C$9, 100%, $E$9)</f>
        <v>8.0421999999999993</v>
      </c>
      <c r="G508" s="11">
        <f>8.0454 * CHOOSE(CONTROL!$C$32, $C$9, 100%, $E$9)</f>
        <v>8.0454000000000008</v>
      </c>
      <c r="H508" s="11">
        <f>16.1277 * CHOOSE(CONTROL!$C$32, $C$9, 100%, $E$9)</f>
        <v>16.127700000000001</v>
      </c>
      <c r="I508" s="11">
        <f>16.1309 * CHOOSE(CONTROL!$C$32, $C$9, 100%, $E$9)</f>
        <v>16.1309</v>
      </c>
      <c r="J508" s="11">
        <f>16.1277 * CHOOSE(CONTROL!$C$32, $C$9, 100%, $E$9)</f>
        <v>16.127700000000001</v>
      </c>
      <c r="K508" s="11">
        <f>16.1309 * CHOOSE(CONTROL!$C$32, $C$9, 100%, $E$9)</f>
        <v>16.1309</v>
      </c>
      <c r="L508" s="11">
        <f>8.0422 * CHOOSE(CONTROL!$C$32, $C$9, 100%, $E$9)</f>
        <v>8.0421999999999993</v>
      </c>
      <c r="M508" s="11">
        <f>8.0454 * CHOOSE(CONTROL!$C$32, $C$9, 100%, $E$9)</f>
        <v>8.0454000000000008</v>
      </c>
      <c r="N508" s="11">
        <f>8.0422 * CHOOSE(CONTROL!$C$32, $C$9, 100%, $E$9)</f>
        <v>8.0421999999999993</v>
      </c>
      <c r="O508" s="11">
        <f>8.0454 * CHOOSE(CONTROL!$C$32, $C$9, 100%, $E$9)</f>
        <v>8.0454000000000008</v>
      </c>
    </row>
    <row r="509" spans="1:15" ht="15" x14ac:dyDescent="0.2">
      <c r="A509" s="13">
        <v>56340</v>
      </c>
      <c r="B509" s="9">
        <f>7.2123 * CHOOSE(CONTROL!$C$32, $C$9, 100%, $E$9)</f>
        <v>7.2122999999999999</v>
      </c>
      <c r="C509" s="9">
        <f>7.2123 * CHOOSE(CONTROL!$C$32, $C$9, 100%, $E$9)</f>
        <v>7.2122999999999999</v>
      </c>
      <c r="D509" s="9">
        <f>7.2132 * CHOOSE(CONTROL!$C$32, $C$9, 100%, $E$9)</f>
        <v>7.2131999999999996</v>
      </c>
      <c r="E509" s="11">
        <f>8.1903 * CHOOSE(CONTROL!$C$32, $C$9, 100%, $E$9)</f>
        <v>8.1903000000000006</v>
      </c>
      <c r="F509" s="11">
        <f>8.1903 * CHOOSE(CONTROL!$C$32, $C$9, 100%, $E$9)</f>
        <v>8.1903000000000006</v>
      </c>
      <c r="G509" s="11">
        <f>8.1935 * CHOOSE(CONTROL!$C$32, $C$9, 100%, $E$9)</f>
        <v>8.1935000000000002</v>
      </c>
      <c r="H509" s="11">
        <f>16.1613 * CHOOSE(CONTROL!$C$32, $C$9, 100%, $E$9)</f>
        <v>16.161300000000001</v>
      </c>
      <c r="I509" s="11">
        <f>16.1645 * CHOOSE(CONTROL!$C$32, $C$9, 100%, $E$9)</f>
        <v>16.1645</v>
      </c>
      <c r="J509" s="11">
        <f>16.1613 * CHOOSE(CONTROL!$C$32, $C$9, 100%, $E$9)</f>
        <v>16.161300000000001</v>
      </c>
      <c r="K509" s="11">
        <f>16.1645 * CHOOSE(CONTROL!$C$32, $C$9, 100%, $E$9)</f>
        <v>16.1645</v>
      </c>
      <c r="L509" s="11">
        <f>8.1903 * CHOOSE(CONTROL!$C$32, $C$9, 100%, $E$9)</f>
        <v>8.1903000000000006</v>
      </c>
      <c r="M509" s="11">
        <f>8.1935 * CHOOSE(CONTROL!$C$32, $C$9, 100%, $E$9)</f>
        <v>8.1935000000000002</v>
      </c>
      <c r="N509" s="11">
        <f>8.1903 * CHOOSE(CONTROL!$C$32, $C$9, 100%, $E$9)</f>
        <v>8.1903000000000006</v>
      </c>
      <c r="O509" s="11">
        <f>8.1935 * CHOOSE(CONTROL!$C$32, $C$9, 100%, $E$9)</f>
        <v>8.1935000000000002</v>
      </c>
    </row>
    <row r="510" spans="1:15" ht="15" x14ac:dyDescent="0.2">
      <c r="A510" s="13">
        <v>56370</v>
      </c>
      <c r="B510" s="9">
        <f>7.2123 * CHOOSE(CONTROL!$C$32, $C$9, 100%, $E$9)</f>
        <v>7.2122999999999999</v>
      </c>
      <c r="C510" s="9">
        <f>7.2123 * CHOOSE(CONTROL!$C$32, $C$9, 100%, $E$9)</f>
        <v>7.2122999999999999</v>
      </c>
      <c r="D510" s="9">
        <f>7.2135 * CHOOSE(CONTROL!$C$32, $C$9, 100%, $E$9)</f>
        <v>7.2134999999999998</v>
      </c>
      <c r="E510" s="11">
        <f>8.2474 * CHOOSE(CONTROL!$C$32, $C$9, 100%, $E$9)</f>
        <v>8.2474000000000007</v>
      </c>
      <c r="F510" s="11">
        <f>8.2474 * CHOOSE(CONTROL!$C$32, $C$9, 100%, $E$9)</f>
        <v>8.2474000000000007</v>
      </c>
      <c r="G510" s="11">
        <f>8.2516 * CHOOSE(CONTROL!$C$32, $C$9, 100%, $E$9)</f>
        <v>8.2515999999999998</v>
      </c>
      <c r="H510" s="11">
        <f>16.1949 * CHOOSE(CONTROL!$C$32, $C$9, 100%, $E$9)</f>
        <v>16.194900000000001</v>
      </c>
      <c r="I510" s="11">
        <f>16.1991 * CHOOSE(CONTROL!$C$32, $C$9, 100%, $E$9)</f>
        <v>16.199100000000001</v>
      </c>
      <c r="J510" s="11">
        <f>16.1949 * CHOOSE(CONTROL!$C$32, $C$9, 100%, $E$9)</f>
        <v>16.194900000000001</v>
      </c>
      <c r="K510" s="11">
        <f>16.1991 * CHOOSE(CONTROL!$C$32, $C$9, 100%, $E$9)</f>
        <v>16.199100000000001</v>
      </c>
      <c r="L510" s="11">
        <f>8.2474 * CHOOSE(CONTROL!$C$32, $C$9, 100%, $E$9)</f>
        <v>8.2474000000000007</v>
      </c>
      <c r="M510" s="11">
        <f>8.2516 * CHOOSE(CONTROL!$C$32, $C$9, 100%, $E$9)</f>
        <v>8.2515999999999998</v>
      </c>
      <c r="N510" s="11">
        <f>8.2474 * CHOOSE(CONTROL!$C$32, $C$9, 100%, $E$9)</f>
        <v>8.2474000000000007</v>
      </c>
      <c r="O510" s="11">
        <f>8.2516 * CHOOSE(CONTROL!$C$32, $C$9, 100%, $E$9)</f>
        <v>8.2515999999999998</v>
      </c>
    </row>
    <row r="511" spans="1:15" ht="15" x14ac:dyDescent="0.2">
      <c r="A511" s="13">
        <v>56401</v>
      </c>
      <c r="B511" s="9">
        <f>7.2184 * CHOOSE(CONTROL!$C$32, $C$9, 100%, $E$9)</f>
        <v>7.2183999999999999</v>
      </c>
      <c r="C511" s="9">
        <f>7.2184 * CHOOSE(CONTROL!$C$32, $C$9, 100%, $E$9)</f>
        <v>7.2183999999999999</v>
      </c>
      <c r="D511" s="9">
        <f>7.2196 * CHOOSE(CONTROL!$C$32, $C$9, 100%, $E$9)</f>
        <v>7.2195999999999998</v>
      </c>
      <c r="E511" s="11">
        <f>8.1945 * CHOOSE(CONTROL!$C$32, $C$9, 100%, $E$9)</f>
        <v>8.1944999999999997</v>
      </c>
      <c r="F511" s="11">
        <f>8.1945 * CHOOSE(CONTROL!$C$32, $C$9, 100%, $E$9)</f>
        <v>8.1944999999999997</v>
      </c>
      <c r="G511" s="11">
        <f>8.1987 * CHOOSE(CONTROL!$C$32, $C$9, 100%, $E$9)</f>
        <v>8.1987000000000005</v>
      </c>
      <c r="H511" s="11">
        <f>16.2287 * CHOOSE(CONTROL!$C$32, $C$9, 100%, $E$9)</f>
        <v>16.2287</v>
      </c>
      <c r="I511" s="11">
        <f>16.2329 * CHOOSE(CONTROL!$C$32, $C$9, 100%, $E$9)</f>
        <v>16.232900000000001</v>
      </c>
      <c r="J511" s="11">
        <f>16.2287 * CHOOSE(CONTROL!$C$32, $C$9, 100%, $E$9)</f>
        <v>16.2287</v>
      </c>
      <c r="K511" s="11">
        <f>16.2329 * CHOOSE(CONTROL!$C$32, $C$9, 100%, $E$9)</f>
        <v>16.232900000000001</v>
      </c>
      <c r="L511" s="11">
        <f>8.1945 * CHOOSE(CONTROL!$C$32, $C$9, 100%, $E$9)</f>
        <v>8.1944999999999997</v>
      </c>
      <c r="M511" s="11">
        <f>8.1987 * CHOOSE(CONTROL!$C$32, $C$9, 100%, $E$9)</f>
        <v>8.1987000000000005</v>
      </c>
      <c r="N511" s="11">
        <f>8.1945 * CHOOSE(CONTROL!$C$32, $C$9, 100%, $E$9)</f>
        <v>8.1944999999999997</v>
      </c>
      <c r="O511" s="11">
        <f>8.1987 * CHOOSE(CONTROL!$C$32, $C$9, 100%, $E$9)</f>
        <v>8.1987000000000005</v>
      </c>
    </row>
    <row r="512" spans="1:15" ht="15" x14ac:dyDescent="0.2">
      <c r="A512" s="13">
        <v>56431</v>
      </c>
      <c r="B512" s="9">
        <f>7.3122 * CHOOSE(CONTROL!$C$32, $C$9, 100%, $E$9)</f>
        <v>7.3121999999999998</v>
      </c>
      <c r="C512" s="9">
        <f>7.3122 * CHOOSE(CONTROL!$C$32, $C$9, 100%, $E$9)</f>
        <v>7.3121999999999998</v>
      </c>
      <c r="D512" s="9">
        <f>7.3135 * CHOOSE(CONTROL!$C$32, $C$9, 100%, $E$9)</f>
        <v>7.3135000000000003</v>
      </c>
      <c r="E512" s="11">
        <f>8.3075 * CHOOSE(CONTROL!$C$32, $C$9, 100%, $E$9)</f>
        <v>8.3074999999999992</v>
      </c>
      <c r="F512" s="11">
        <f>8.3075 * CHOOSE(CONTROL!$C$32, $C$9, 100%, $E$9)</f>
        <v>8.3074999999999992</v>
      </c>
      <c r="G512" s="11">
        <f>8.3117 * CHOOSE(CONTROL!$C$32, $C$9, 100%, $E$9)</f>
        <v>8.3117000000000001</v>
      </c>
      <c r="H512" s="11">
        <f>16.2625 * CHOOSE(CONTROL!$C$32, $C$9, 100%, $E$9)</f>
        <v>16.262499999999999</v>
      </c>
      <c r="I512" s="11">
        <f>16.2667 * CHOOSE(CONTROL!$C$32, $C$9, 100%, $E$9)</f>
        <v>16.2667</v>
      </c>
      <c r="J512" s="11">
        <f>16.2625 * CHOOSE(CONTROL!$C$32, $C$9, 100%, $E$9)</f>
        <v>16.262499999999999</v>
      </c>
      <c r="K512" s="11">
        <f>16.2667 * CHOOSE(CONTROL!$C$32, $C$9, 100%, $E$9)</f>
        <v>16.2667</v>
      </c>
      <c r="L512" s="11">
        <f>8.3075 * CHOOSE(CONTROL!$C$32, $C$9, 100%, $E$9)</f>
        <v>8.3074999999999992</v>
      </c>
      <c r="M512" s="11">
        <f>8.3117 * CHOOSE(CONTROL!$C$32, $C$9, 100%, $E$9)</f>
        <v>8.3117000000000001</v>
      </c>
      <c r="N512" s="11">
        <f>8.3075 * CHOOSE(CONTROL!$C$32, $C$9, 100%, $E$9)</f>
        <v>8.3074999999999992</v>
      </c>
      <c r="O512" s="11">
        <f>8.3117 * CHOOSE(CONTROL!$C$32, $C$9, 100%, $E$9)</f>
        <v>8.3117000000000001</v>
      </c>
    </row>
    <row r="513" spans="1:15" ht="15" x14ac:dyDescent="0.2">
      <c r="A513" s="13">
        <v>56462</v>
      </c>
      <c r="B513" s="9">
        <f>7.3189 * CHOOSE(CONTROL!$C$32, $C$9, 100%, $E$9)</f>
        <v>7.3189000000000002</v>
      </c>
      <c r="C513" s="9">
        <f>7.3189 * CHOOSE(CONTROL!$C$32, $C$9, 100%, $E$9)</f>
        <v>7.3189000000000002</v>
      </c>
      <c r="D513" s="9">
        <f>7.3202 * CHOOSE(CONTROL!$C$32, $C$9, 100%, $E$9)</f>
        <v>7.3201999999999998</v>
      </c>
      <c r="E513" s="11">
        <f>8.1407 * CHOOSE(CONTROL!$C$32, $C$9, 100%, $E$9)</f>
        <v>8.1407000000000007</v>
      </c>
      <c r="F513" s="11">
        <f>8.1407 * CHOOSE(CONTROL!$C$32, $C$9, 100%, $E$9)</f>
        <v>8.1407000000000007</v>
      </c>
      <c r="G513" s="11">
        <f>8.1449 * CHOOSE(CONTROL!$C$32, $C$9, 100%, $E$9)</f>
        <v>8.1448999999999998</v>
      </c>
      <c r="H513" s="11">
        <f>16.2964 * CHOOSE(CONTROL!$C$32, $C$9, 100%, $E$9)</f>
        <v>16.296399999999998</v>
      </c>
      <c r="I513" s="11">
        <f>16.3006 * CHOOSE(CONTROL!$C$32, $C$9, 100%, $E$9)</f>
        <v>16.300599999999999</v>
      </c>
      <c r="J513" s="11">
        <f>16.2964 * CHOOSE(CONTROL!$C$32, $C$9, 100%, $E$9)</f>
        <v>16.296399999999998</v>
      </c>
      <c r="K513" s="11">
        <f>16.3006 * CHOOSE(CONTROL!$C$32, $C$9, 100%, $E$9)</f>
        <v>16.300599999999999</v>
      </c>
      <c r="L513" s="11">
        <f>8.1407 * CHOOSE(CONTROL!$C$32, $C$9, 100%, $E$9)</f>
        <v>8.1407000000000007</v>
      </c>
      <c r="M513" s="11">
        <f>8.1449 * CHOOSE(CONTROL!$C$32, $C$9, 100%, $E$9)</f>
        <v>8.1448999999999998</v>
      </c>
      <c r="N513" s="11">
        <f>8.1407 * CHOOSE(CONTROL!$C$32, $C$9, 100%, $E$9)</f>
        <v>8.1407000000000007</v>
      </c>
      <c r="O513" s="11">
        <f>8.1449 * CHOOSE(CONTROL!$C$32, $C$9, 100%, $E$9)</f>
        <v>8.1448999999999998</v>
      </c>
    </row>
    <row r="514" spans="1:15" ht="15" x14ac:dyDescent="0.2">
      <c r="A514" s="13">
        <v>56493</v>
      </c>
      <c r="B514" s="9">
        <f>7.3159 * CHOOSE(CONTROL!$C$32, $C$9, 100%, $E$9)</f>
        <v>7.3159000000000001</v>
      </c>
      <c r="C514" s="9">
        <f>7.3159 * CHOOSE(CONTROL!$C$32, $C$9, 100%, $E$9)</f>
        <v>7.3159000000000001</v>
      </c>
      <c r="D514" s="9">
        <f>7.3171 * CHOOSE(CONTROL!$C$32, $C$9, 100%, $E$9)</f>
        <v>7.3170999999999999</v>
      </c>
      <c r="E514" s="11">
        <f>8.1196 * CHOOSE(CONTROL!$C$32, $C$9, 100%, $E$9)</f>
        <v>8.1196000000000002</v>
      </c>
      <c r="F514" s="11">
        <f>8.1196 * CHOOSE(CONTROL!$C$32, $C$9, 100%, $E$9)</f>
        <v>8.1196000000000002</v>
      </c>
      <c r="G514" s="11">
        <f>8.1238 * CHOOSE(CONTROL!$C$32, $C$9, 100%, $E$9)</f>
        <v>8.1237999999999992</v>
      </c>
      <c r="H514" s="11">
        <f>16.3303 * CHOOSE(CONTROL!$C$32, $C$9, 100%, $E$9)</f>
        <v>16.330300000000001</v>
      </c>
      <c r="I514" s="11">
        <f>16.3345 * CHOOSE(CONTROL!$C$32, $C$9, 100%, $E$9)</f>
        <v>16.334499999999998</v>
      </c>
      <c r="J514" s="11">
        <f>16.3303 * CHOOSE(CONTROL!$C$32, $C$9, 100%, $E$9)</f>
        <v>16.330300000000001</v>
      </c>
      <c r="K514" s="11">
        <f>16.3345 * CHOOSE(CONTROL!$C$32, $C$9, 100%, $E$9)</f>
        <v>16.334499999999998</v>
      </c>
      <c r="L514" s="11">
        <f>8.1196 * CHOOSE(CONTROL!$C$32, $C$9, 100%, $E$9)</f>
        <v>8.1196000000000002</v>
      </c>
      <c r="M514" s="11">
        <f>8.1238 * CHOOSE(CONTROL!$C$32, $C$9, 100%, $E$9)</f>
        <v>8.1237999999999992</v>
      </c>
      <c r="N514" s="11">
        <f>8.1196 * CHOOSE(CONTROL!$C$32, $C$9, 100%, $E$9)</f>
        <v>8.1196000000000002</v>
      </c>
      <c r="O514" s="11">
        <f>8.1238 * CHOOSE(CONTROL!$C$32, $C$9, 100%, $E$9)</f>
        <v>8.1237999999999992</v>
      </c>
    </row>
    <row r="515" spans="1:15" ht="15" x14ac:dyDescent="0.2">
      <c r="A515" s="13">
        <v>56523</v>
      </c>
      <c r="B515" s="9">
        <f>7.3233 * CHOOSE(CONTROL!$C$32, $C$9, 100%, $E$9)</f>
        <v>7.3232999999999997</v>
      </c>
      <c r="C515" s="9">
        <f>7.3233 * CHOOSE(CONTROL!$C$32, $C$9, 100%, $E$9)</f>
        <v>7.3232999999999997</v>
      </c>
      <c r="D515" s="9">
        <f>7.3242 * CHOOSE(CONTROL!$C$32, $C$9, 100%, $E$9)</f>
        <v>7.3242000000000003</v>
      </c>
      <c r="E515" s="11">
        <f>8.1823 * CHOOSE(CONTROL!$C$32, $C$9, 100%, $E$9)</f>
        <v>8.1822999999999997</v>
      </c>
      <c r="F515" s="11">
        <f>8.1823 * CHOOSE(CONTROL!$C$32, $C$9, 100%, $E$9)</f>
        <v>8.1822999999999997</v>
      </c>
      <c r="G515" s="11">
        <f>8.1856 * CHOOSE(CONTROL!$C$32, $C$9, 100%, $E$9)</f>
        <v>8.1856000000000009</v>
      </c>
      <c r="H515" s="11">
        <f>16.3643 * CHOOSE(CONTROL!$C$32, $C$9, 100%, $E$9)</f>
        <v>16.3643</v>
      </c>
      <c r="I515" s="11">
        <f>16.3676 * CHOOSE(CONTROL!$C$32, $C$9, 100%, $E$9)</f>
        <v>16.367599999999999</v>
      </c>
      <c r="J515" s="11">
        <f>16.3643 * CHOOSE(CONTROL!$C$32, $C$9, 100%, $E$9)</f>
        <v>16.3643</v>
      </c>
      <c r="K515" s="11">
        <f>16.3676 * CHOOSE(CONTROL!$C$32, $C$9, 100%, $E$9)</f>
        <v>16.367599999999999</v>
      </c>
      <c r="L515" s="11">
        <f>8.1823 * CHOOSE(CONTROL!$C$32, $C$9, 100%, $E$9)</f>
        <v>8.1822999999999997</v>
      </c>
      <c r="M515" s="11">
        <f>8.1856 * CHOOSE(CONTROL!$C$32, $C$9, 100%, $E$9)</f>
        <v>8.1856000000000009</v>
      </c>
      <c r="N515" s="11">
        <f>8.1823 * CHOOSE(CONTROL!$C$32, $C$9, 100%, $E$9)</f>
        <v>8.1822999999999997</v>
      </c>
      <c r="O515" s="11">
        <f>8.1856 * CHOOSE(CONTROL!$C$32, $C$9, 100%, $E$9)</f>
        <v>8.1856000000000009</v>
      </c>
    </row>
    <row r="516" spans="1:15" ht="15" x14ac:dyDescent="0.2">
      <c r="A516" s="13">
        <v>56554</v>
      </c>
      <c r="B516" s="9">
        <f>7.3263 * CHOOSE(CONTROL!$C$32, $C$9, 100%, $E$9)</f>
        <v>7.3262999999999998</v>
      </c>
      <c r="C516" s="9">
        <f>7.3263 * CHOOSE(CONTROL!$C$32, $C$9, 100%, $E$9)</f>
        <v>7.3262999999999998</v>
      </c>
      <c r="D516" s="9">
        <f>7.3273 * CHOOSE(CONTROL!$C$32, $C$9, 100%, $E$9)</f>
        <v>7.3273000000000001</v>
      </c>
      <c r="E516" s="11">
        <f>8.2226 * CHOOSE(CONTROL!$C$32, $C$9, 100%, $E$9)</f>
        <v>8.2225999999999999</v>
      </c>
      <c r="F516" s="11">
        <f>8.2226 * CHOOSE(CONTROL!$C$32, $C$9, 100%, $E$9)</f>
        <v>8.2225999999999999</v>
      </c>
      <c r="G516" s="11">
        <f>8.2258 * CHOOSE(CONTROL!$C$32, $C$9, 100%, $E$9)</f>
        <v>8.2257999999999996</v>
      </c>
      <c r="H516" s="11">
        <f>16.3984 * CHOOSE(CONTROL!$C$32, $C$9, 100%, $E$9)</f>
        <v>16.398399999999999</v>
      </c>
      <c r="I516" s="11">
        <f>16.4016 * CHOOSE(CONTROL!$C$32, $C$9, 100%, $E$9)</f>
        <v>16.401599999999998</v>
      </c>
      <c r="J516" s="11">
        <f>16.3984 * CHOOSE(CONTROL!$C$32, $C$9, 100%, $E$9)</f>
        <v>16.398399999999999</v>
      </c>
      <c r="K516" s="11">
        <f>16.4016 * CHOOSE(CONTROL!$C$32, $C$9, 100%, $E$9)</f>
        <v>16.401599999999998</v>
      </c>
      <c r="L516" s="11">
        <f>8.2226 * CHOOSE(CONTROL!$C$32, $C$9, 100%, $E$9)</f>
        <v>8.2225999999999999</v>
      </c>
      <c r="M516" s="11">
        <f>8.2258 * CHOOSE(CONTROL!$C$32, $C$9, 100%, $E$9)</f>
        <v>8.2257999999999996</v>
      </c>
      <c r="N516" s="11">
        <f>8.2226 * CHOOSE(CONTROL!$C$32, $C$9, 100%, $E$9)</f>
        <v>8.2225999999999999</v>
      </c>
      <c r="O516" s="11">
        <f>8.2258 * CHOOSE(CONTROL!$C$32, $C$9, 100%, $E$9)</f>
        <v>8.2257999999999996</v>
      </c>
    </row>
    <row r="517" spans="1:15" ht="15" x14ac:dyDescent="0.2">
      <c r="A517" s="13">
        <v>56584</v>
      </c>
      <c r="B517" s="9">
        <f>7.3263 * CHOOSE(CONTROL!$C$32, $C$9, 100%, $E$9)</f>
        <v>7.3262999999999998</v>
      </c>
      <c r="C517" s="9">
        <f>7.3263 * CHOOSE(CONTROL!$C$32, $C$9, 100%, $E$9)</f>
        <v>7.3262999999999998</v>
      </c>
      <c r="D517" s="9">
        <f>7.3273 * CHOOSE(CONTROL!$C$32, $C$9, 100%, $E$9)</f>
        <v>7.3273000000000001</v>
      </c>
      <c r="E517" s="11">
        <f>8.1273 * CHOOSE(CONTROL!$C$32, $C$9, 100%, $E$9)</f>
        <v>8.1273</v>
      </c>
      <c r="F517" s="11">
        <f>8.1273 * CHOOSE(CONTROL!$C$32, $C$9, 100%, $E$9)</f>
        <v>8.1273</v>
      </c>
      <c r="G517" s="11">
        <f>8.1305 * CHOOSE(CONTROL!$C$32, $C$9, 100%, $E$9)</f>
        <v>8.1304999999999996</v>
      </c>
      <c r="H517" s="11">
        <f>16.4326 * CHOOSE(CONTROL!$C$32, $C$9, 100%, $E$9)</f>
        <v>16.432600000000001</v>
      </c>
      <c r="I517" s="11">
        <f>16.4358 * CHOOSE(CONTROL!$C$32, $C$9, 100%, $E$9)</f>
        <v>16.4358</v>
      </c>
      <c r="J517" s="11">
        <f>16.4326 * CHOOSE(CONTROL!$C$32, $C$9, 100%, $E$9)</f>
        <v>16.432600000000001</v>
      </c>
      <c r="K517" s="11">
        <f>16.4358 * CHOOSE(CONTROL!$C$32, $C$9, 100%, $E$9)</f>
        <v>16.4358</v>
      </c>
      <c r="L517" s="11">
        <f>8.1273 * CHOOSE(CONTROL!$C$32, $C$9, 100%, $E$9)</f>
        <v>8.1273</v>
      </c>
      <c r="M517" s="11">
        <f>8.1305 * CHOOSE(CONTROL!$C$32, $C$9, 100%, $E$9)</f>
        <v>8.1304999999999996</v>
      </c>
      <c r="N517" s="11">
        <f>8.1273 * CHOOSE(CONTROL!$C$32, $C$9, 100%, $E$9)</f>
        <v>8.1273</v>
      </c>
      <c r="O517" s="11">
        <f>8.1305 * CHOOSE(CONTROL!$C$32, $C$9, 100%, $E$9)</f>
        <v>8.1304999999999996</v>
      </c>
    </row>
    <row r="518" spans="1:15" ht="15" x14ac:dyDescent="0.2">
      <c r="A518" s="13">
        <v>56615</v>
      </c>
      <c r="B518" s="9">
        <f>7.3813 * CHOOSE(CONTROL!$C$32, $C$9, 100%, $E$9)</f>
        <v>7.3813000000000004</v>
      </c>
      <c r="C518" s="9">
        <f>7.3813 * CHOOSE(CONTROL!$C$32, $C$9, 100%, $E$9)</f>
        <v>7.3813000000000004</v>
      </c>
      <c r="D518" s="9">
        <f>7.3823 * CHOOSE(CONTROL!$C$32, $C$9, 100%, $E$9)</f>
        <v>7.3822999999999999</v>
      </c>
      <c r="E518" s="11">
        <f>8.2653 * CHOOSE(CONTROL!$C$32, $C$9, 100%, $E$9)</f>
        <v>8.2652999999999999</v>
      </c>
      <c r="F518" s="11">
        <f>8.2653 * CHOOSE(CONTROL!$C$32, $C$9, 100%, $E$9)</f>
        <v>8.2652999999999999</v>
      </c>
      <c r="G518" s="11">
        <f>8.2685 * CHOOSE(CONTROL!$C$32, $C$9, 100%, $E$9)</f>
        <v>8.2684999999999995</v>
      </c>
      <c r="H518" s="11">
        <f>16.4668 * CHOOSE(CONTROL!$C$32, $C$9, 100%, $E$9)</f>
        <v>16.466799999999999</v>
      </c>
      <c r="I518" s="11">
        <f>16.47 * CHOOSE(CONTROL!$C$32, $C$9, 100%, $E$9)</f>
        <v>16.47</v>
      </c>
      <c r="J518" s="11">
        <f>16.4668 * CHOOSE(CONTROL!$C$32, $C$9, 100%, $E$9)</f>
        <v>16.466799999999999</v>
      </c>
      <c r="K518" s="11">
        <f>16.47 * CHOOSE(CONTROL!$C$32, $C$9, 100%, $E$9)</f>
        <v>16.47</v>
      </c>
      <c r="L518" s="11">
        <f>8.2653 * CHOOSE(CONTROL!$C$32, $C$9, 100%, $E$9)</f>
        <v>8.2652999999999999</v>
      </c>
      <c r="M518" s="11">
        <f>8.2685 * CHOOSE(CONTROL!$C$32, $C$9, 100%, $E$9)</f>
        <v>8.2684999999999995</v>
      </c>
      <c r="N518" s="11">
        <f>8.2653 * CHOOSE(CONTROL!$C$32, $C$9, 100%, $E$9)</f>
        <v>8.2652999999999999</v>
      </c>
      <c r="O518" s="11">
        <f>8.2685 * CHOOSE(CONTROL!$C$32, $C$9, 100%, $E$9)</f>
        <v>8.2684999999999995</v>
      </c>
    </row>
    <row r="519" spans="1:15" ht="15" x14ac:dyDescent="0.2">
      <c r="A519" s="13">
        <v>56646</v>
      </c>
      <c r="B519" s="9">
        <f>7.3783 * CHOOSE(CONTROL!$C$32, $C$9, 100%, $E$9)</f>
        <v>7.3783000000000003</v>
      </c>
      <c r="C519" s="9">
        <f>7.3783 * CHOOSE(CONTROL!$C$32, $C$9, 100%, $E$9)</f>
        <v>7.3783000000000003</v>
      </c>
      <c r="D519" s="9">
        <f>7.3792 * CHOOSE(CONTROL!$C$32, $C$9, 100%, $E$9)</f>
        <v>7.3792</v>
      </c>
      <c r="E519" s="11">
        <f>8.0773 * CHOOSE(CONTROL!$C$32, $C$9, 100%, $E$9)</f>
        <v>8.0772999999999993</v>
      </c>
      <c r="F519" s="11">
        <f>8.0773 * CHOOSE(CONTROL!$C$32, $C$9, 100%, $E$9)</f>
        <v>8.0772999999999993</v>
      </c>
      <c r="G519" s="11">
        <f>8.0805 * CHOOSE(CONTROL!$C$32, $C$9, 100%, $E$9)</f>
        <v>8.0805000000000007</v>
      </c>
      <c r="H519" s="11">
        <f>16.5011 * CHOOSE(CONTROL!$C$32, $C$9, 100%, $E$9)</f>
        <v>16.501100000000001</v>
      </c>
      <c r="I519" s="11">
        <f>16.5044 * CHOOSE(CONTROL!$C$32, $C$9, 100%, $E$9)</f>
        <v>16.5044</v>
      </c>
      <c r="J519" s="11">
        <f>16.5011 * CHOOSE(CONTROL!$C$32, $C$9, 100%, $E$9)</f>
        <v>16.501100000000001</v>
      </c>
      <c r="K519" s="11">
        <f>16.5044 * CHOOSE(CONTROL!$C$32, $C$9, 100%, $E$9)</f>
        <v>16.5044</v>
      </c>
      <c r="L519" s="11">
        <f>8.0773 * CHOOSE(CONTROL!$C$32, $C$9, 100%, $E$9)</f>
        <v>8.0772999999999993</v>
      </c>
      <c r="M519" s="11">
        <f>8.0805 * CHOOSE(CONTROL!$C$32, $C$9, 100%, $E$9)</f>
        <v>8.0805000000000007</v>
      </c>
      <c r="N519" s="11">
        <f>8.0773 * CHOOSE(CONTROL!$C$32, $C$9, 100%, $E$9)</f>
        <v>8.0772999999999993</v>
      </c>
      <c r="O519" s="11">
        <f>8.0805 * CHOOSE(CONTROL!$C$32, $C$9, 100%, $E$9)</f>
        <v>8.0805000000000007</v>
      </c>
    </row>
    <row r="520" spans="1:15" ht="15" x14ac:dyDescent="0.2">
      <c r="A520" s="13">
        <v>56674</v>
      </c>
      <c r="B520" s="9">
        <f>7.3752 * CHOOSE(CONTROL!$C$32, $C$9, 100%, $E$9)</f>
        <v>7.3752000000000004</v>
      </c>
      <c r="C520" s="9">
        <f>7.3752 * CHOOSE(CONTROL!$C$32, $C$9, 100%, $E$9)</f>
        <v>7.3752000000000004</v>
      </c>
      <c r="D520" s="9">
        <f>7.3762 * CHOOSE(CONTROL!$C$32, $C$9, 100%, $E$9)</f>
        <v>7.3761999999999999</v>
      </c>
      <c r="E520" s="11">
        <f>8.2217 * CHOOSE(CONTROL!$C$32, $C$9, 100%, $E$9)</f>
        <v>8.2217000000000002</v>
      </c>
      <c r="F520" s="11">
        <f>8.2217 * CHOOSE(CONTROL!$C$32, $C$9, 100%, $E$9)</f>
        <v>8.2217000000000002</v>
      </c>
      <c r="G520" s="11">
        <f>8.2249 * CHOOSE(CONTROL!$C$32, $C$9, 100%, $E$9)</f>
        <v>8.2248999999999999</v>
      </c>
      <c r="H520" s="11">
        <f>16.5355 * CHOOSE(CONTROL!$C$32, $C$9, 100%, $E$9)</f>
        <v>16.535499999999999</v>
      </c>
      <c r="I520" s="11">
        <f>16.5387 * CHOOSE(CONTROL!$C$32, $C$9, 100%, $E$9)</f>
        <v>16.538699999999999</v>
      </c>
      <c r="J520" s="11">
        <f>16.5355 * CHOOSE(CONTROL!$C$32, $C$9, 100%, $E$9)</f>
        <v>16.535499999999999</v>
      </c>
      <c r="K520" s="11">
        <f>16.5387 * CHOOSE(CONTROL!$C$32, $C$9, 100%, $E$9)</f>
        <v>16.538699999999999</v>
      </c>
      <c r="L520" s="11">
        <f>8.2217 * CHOOSE(CONTROL!$C$32, $C$9, 100%, $E$9)</f>
        <v>8.2217000000000002</v>
      </c>
      <c r="M520" s="11">
        <f>8.2249 * CHOOSE(CONTROL!$C$32, $C$9, 100%, $E$9)</f>
        <v>8.2248999999999999</v>
      </c>
      <c r="N520" s="11">
        <f>8.2217 * CHOOSE(CONTROL!$C$32, $C$9, 100%, $E$9)</f>
        <v>8.2217000000000002</v>
      </c>
      <c r="O520" s="11">
        <f>8.2249 * CHOOSE(CONTROL!$C$32, $C$9, 100%, $E$9)</f>
        <v>8.2248999999999999</v>
      </c>
    </row>
    <row r="521" spans="1:15" ht="15" x14ac:dyDescent="0.2">
      <c r="A521" s="13">
        <v>56705</v>
      </c>
      <c r="B521" s="9">
        <f>7.3762 * CHOOSE(CONTROL!$C$32, $C$9, 100%, $E$9)</f>
        <v>7.3761999999999999</v>
      </c>
      <c r="C521" s="9">
        <f>7.3762 * CHOOSE(CONTROL!$C$32, $C$9, 100%, $E$9)</f>
        <v>7.3761999999999999</v>
      </c>
      <c r="D521" s="9">
        <f>7.3771 * CHOOSE(CONTROL!$C$32, $C$9, 100%, $E$9)</f>
        <v>7.3771000000000004</v>
      </c>
      <c r="E521" s="11">
        <f>8.3748 * CHOOSE(CONTROL!$C$32, $C$9, 100%, $E$9)</f>
        <v>8.3748000000000005</v>
      </c>
      <c r="F521" s="11">
        <f>8.3748 * CHOOSE(CONTROL!$C$32, $C$9, 100%, $E$9)</f>
        <v>8.3748000000000005</v>
      </c>
      <c r="G521" s="11">
        <f>8.378 * CHOOSE(CONTROL!$C$32, $C$9, 100%, $E$9)</f>
        <v>8.3780000000000001</v>
      </c>
      <c r="H521" s="11">
        <f>16.57 * CHOOSE(CONTROL!$C$32, $C$9, 100%, $E$9)</f>
        <v>16.57</v>
      </c>
      <c r="I521" s="11">
        <f>16.5732 * CHOOSE(CONTROL!$C$32, $C$9, 100%, $E$9)</f>
        <v>16.5732</v>
      </c>
      <c r="J521" s="11">
        <f>16.57 * CHOOSE(CONTROL!$C$32, $C$9, 100%, $E$9)</f>
        <v>16.57</v>
      </c>
      <c r="K521" s="11">
        <f>16.5732 * CHOOSE(CONTROL!$C$32, $C$9, 100%, $E$9)</f>
        <v>16.5732</v>
      </c>
      <c r="L521" s="11">
        <f>8.3748 * CHOOSE(CONTROL!$C$32, $C$9, 100%, $E$9)</f>
        <v>8.3748000000000005</v>
      </c>
      <c r="M521" s="11">
        <f>8.378 * CHOOSE(CONTROL!$C$32, $C$9, 100%, $E$9)</f>
        <v>8.3780000000000001</v>
      </c>
      <c r="N521" s="11">
        <f>8.3748 * CHOOSE(CONTROL!$C$32, $C$9, 100%, $E$9)</f>
        <v>8.3748000000000005</v>
      </c>
      <c r="O521" s="11">
        <f>8.378 * CHOOSE(CONTROL!$C$32, $C$9, 100%, $E$9)</f>
        <v>8.3780000000000001</v>
      </c>
    </row>
    <row r="522" spans="1:15" ht="15" x14ac:dyDescent="0.2">
      <c r="A522" s="13">
        <v>56735</v>
      </c>
      <c r="B522" s="9">
        <f>7.3762 * CHOOSE(CONTROL!$C$32, $C$9, 100%, $E$9)</f>
        <v>7.3761999999999999</v>
      </c>
      <c r="C522" s="9">
        <f>7.3762 * CHOOSE(CONTROL!$C$32, $C$9, 100%, $E$9)</f>
        <v>7.3761999999999999</v>
      </c>
      <c r="D522" s="9">
        <f>7.3774 * CHOOSE(CONTROL!$C$32, $C$9, 100%, $E$9)</f>
        <v>7.3773999999999997</v>
      </c>
      <c r="E522" s="11">
        <f>8.4338 * CHOOSE(CONTROL!$C$32, $C$9, 100%, $E$9)</f>
        <v>8.4337999999999997</v>
      </c>
      <c r="F522" s="11">
        <f>8.4338 * CHOOSE(CONTROL!$C$32, $C$9, 100%, $E$9)</f>
        <v>8.4337999999999997</v>
      </c>
      <c r="G522" s="11">
        <f>8.438 * CHOOSE(CONTROL!$C$32, $C$9, 100%, $E$9)</f>
        <v>8.4380000000000006</v>
      </c>
      <c r="H522" s="11">
        <f>16.6045 * CHOOSE(CONTROL!$C$32, $C$9, 100%, $E$9)</f>
        <v>16.604500000000002</v>
      </c>
      <c r="I522" s="11">
        <f>16.6087 * CHOOSE(CONTROL!$C$32, $C$9, 100%, $E$9)</f>
        <v>16.608699999999999</v>
      </c>
      <c r="J522" s="11">
        <f>16.6045 * CHOOSE(CONTROL!$C$32, $C$9, 100%, $E$9)</f>
        <v>16.604500000000002</v>
      </c>
      <c r="K522" s="11">
        <f>16.6087 * CHOOSE(CONTROL!$C$32, $C$9, 100%, $E$9)</f>
        <v>16.608699999999999</v>
      </c>
      <c r="L522" s="11">
        <f>8.4338 * CHOOSE(CONTROL!$C$32, $C$9, 100%, $E$9)</f>
        <v>8.4337999999999997</v>
      </c>
      <c r="M522" s="11">
        <f>8.438 * CHOOSE(CONTROL!$C$32, $C$9, 100%, $E$9)</f>
        <v>8.4380000000000006</v>
      </c>
      <c r="N522" s="11">
        <f>8.4338 * CHOOSE(CONTROL!$C$32, $C$9, 100%, $E$9)</f>
        <v>8.4337999999999997</v>
      </c>
      <c r="O522" s="11">
        <f>8.438 * CHOOSE(CONTROL!$C$32, $C$9, 100%, $E$9)</f>
        <v>8.4380000000000006</v>
      </c>
    </row>
    <row r="523" spans="1:15" ht="15" x14ac:dyDescent="0.2">
      <c r="A523" s="13">
        <v>56766</v>
      </c>
      <c r="B523" s="9">
        <f>7.3822 * CHOOSE(CONTROL!$C$32, $C$9, 100%, $E$9)</f>
        <v>7.3822000000000001</v>
      </c>
      <c r="C523" s="9">
        <f>7.3822 * CHOOSE(CONTROL!$C$32, $C$9, 100%, $E$9)</f>
        <v>7.3822000000000001</v>
      </c>
      <c r="D523" s="9">
        <f>7.3835 * CHOOSE(CONTROL!$C$32, $C$9, 100%, $E$9)</f>
        <v>7.3834999999999997</v>
      </c>
      <c r="E523" s="11">
        <f>8.379 * CHOOSE(CONTROL!$C$32, $C$9, 100%, $E$9)</f>
        <v>8.3789999999999996</v>
      </c>
      <c r="F523" s="11">
        <f>8.379 * CHOOSE(CONTROL!$C$32, $C$9, 100%, $E$9)</f>
        <v>8.3789999999999996</v>
      </c>
      <c r="G523" s="11">
        <f>8.3832 * CHOOSE(CONTROL!$C$32, $C$9, 100%, $E$9)</f>
        <v>8.3832000000000004</v>
      </c>
      <c r="H523" s="11">
        <f>16.6391 * CHOOSE(CONTROL!$C$32, $C$9, 100%, $E$9)</f>
        <v>16.639099999999999</v>
      </c>
      <c r="I523" s="11">
        <f>16.6433 * CHOOSE(CONTROL!$C$32, $C$9, 100%, $E$9)</f>
        <v>16.6433</v>
      </c>
      <c r="J523" s="11">
        <f>16.6391 * CHOOSE(CONTROL!$C$32, $C$9, 100%, $E$9)</f>
        <v>16.639099999999999</v>
      </c>
      <c r="K523" s="11">
        <f>16.6433 * CHOOSE(CONTROL!$C$32, $C$9, 100%, $E$9)</f>
        <v>16.6433</v>
      </c>
      <c r="L523" s="11">
        <f>8.379 * CHOOSE(CONTROL!$C$32, $C$9, 100%, $E$9)</f>
        <v>8.3789999999999996</v>
      </c>
      <c r="M523" s="11">
        <f>8.3832 * CHOOSE(CONTROL!$C$32, $C$9, 100%, $E$9)</f>
        <v>8.3832000000000004</v>
      </c>
      <c r="N523" s="11">
        <f>8.379 * CHOOSE(CONTROL!$C$32, $C$9, 100%, $E$9)</f>
        <v>8.3789999999999996</v>
      </c>
      <c r="O523" s="11">
        <f>8.3832 * CHOOSE(CONTROL!$C$32, $C$9, 100%, $E$9)</f>
        <v>8.3832000000000004</v>
      </c>
    </row>
    <row r="524" spans="1:15" ht="15" x14ac:dyDescent="0.2">
      <c r="A524" s="13">
        <v>56796</v>
      </c>
      <c r="B524" s="9">
        <f>7.4779 * CHOOSE(CONTROL!$C$32, $C$9, 100%, $E$9)</f>
        <v>7.4779</v>
      </c>
      <c r="C524" s="9">
        <f>7.4779 * CHOOSE(CONTROL!$C$32, $C$9, 100%, $E$9)</f>
        <v>7.4779</v>
      </c>
      <c r="D524" s="9">
        <f>7.4792 * CHOOSE(CONTROL!$C$32, $C$9, 100%, $E$9)</f>
        <v>7.4791999999999996</v>
      </c>
      <c r="E524" s="11">
        <f>8.4945 * CHOOSE(CONTROL!$C$32, $C$9, 100%, $E$9)</f>
        <v>8.4945000000000004</v>
      </c>
      <c r="F524" s="11">
        <f>8.4945 * CHOOSE(CONTROL!$C$32, $C$9, 100%, $E$9)</f>
        <v>8.4945000000000004</v>
      </c>
      <c r="G524" s="11">
        <f>8.4987 * CHOOSE(CONTROL!$C$32, $C$9, 100%, $E$9)</f>
        <v>8.4986999999999995</v>
      </c>
      <c r="H524" s="11">
        <f>16.6737 * CHOOSE(CONTROL!$C$32, $C$9, 100%, $E$9)</f>
        <v>16.6737</v>
      </c>
      <c r="I524" s="11">
        <f>16.6779 * CHOOSE(CONTROL!$C$32, $C$9, 100%, $E$9)</f>
        <v>16.677900000000001</v>
      </c>
      <c r="J524" s="11">
        <f>16.6737 * CHOOSE(CONTROL!$C$32, $C$9, 100%, $E$9)</f>
        <v>16.6737</v>
      </c>
      <c r="K524" s="11">
        <f>16.6779 * CHOOSE(CONTROL!$C$32, $C$9, 100%, $E$9)</f>
        <v>16.677900000000001</v>
      </c>
      <c r="L524" s="11">
        <f>8.4945 * CHOOSE(CONTROL!$C$32, $C$9, 100%, $E$9)</f>
        <v>8.4945000000000004</v>
      </c>
      <c r="M524" s="11">
        <f>8.4987 * CHOOSE(CONTROL!$C$32, $C$9, 100%, $E$9)</f>
        <v>8.4986999999999995</v>
      </c>
      <c r="N524" s="11">
        <f>8.4945 * CHOOSE(CONTROL!$C$32, $C$9, 100%, $E$9)</f>
        <v>8.4945000000000004</v>
      </c>
      <c r="O524" s="11">
        <f>8.4987 * CHOOSE(CONTROL!$C$32, $C$9, 100%, $E$9)</f>
        <v>8.4986999999999995</v>
      </c>
    </row>
    <row r="525" spans="1:15" ht="15" x14ac:dyDescent="0.2">
      <c r="A525" s="13">
        <v>56827</v>
      </c>
      <c r="B525" s="9">
        <f>7.4846 * CHOOSE(CONTROL!$C$32, $C$9, 100%, $E$9)</f>
        <v>7.4846000000000004</v>
      </c>
      <c r="C525" s="9">
        <f>7.4846 * CHOOSE(CONTROL!$C$32, $C$9, 100%, $E$9)</f>
        <v>7.4846000000000004</v>
      </c>
      <c r="D525" s="9">
        <f>7.4858 * CHOOSE(CONTROL!$C$32, $C$9, 100%, $E$9)</f>
        <v>7.4858000000000002</v>
      </c>
      <c r="E525" s="11">
        <f>8.3222 * CHOOSE(CONTROL!$C$32, $C$9, 100%, $E$9)</f>
        <v>8.3222000000000005</v>
      </c>
      <c r="F525" s="11">
        <f>8.3222 * CHOOSE(CONTROL!$C$32, $C$9, 100%, $E$9)</f>
        <v>8.3222000000000005</v>
      </c>
      <c r="G525" s="11">
        <f>8.3264 * CHOOSE(CONTROL!$C$32, $C$9, 100%, $E$9)</f>
        <v>8.3263999999999996</v>
      </c>
      <c r="H525" s="11">
        <f>16.7085 * CHOOSE(CONTROL!$C$32, $C$9, 100%, $E$9)</f>
        <v>16.708500000000001</v>
      </c>
      <c r="I525" s="11">
        <f>16.7127 * CHOOSE(CONTROL!$C$32, $C$9, 100%, $E$9)</f>
        <v>16.712700000000002</v>
      </c>
      <c r="J525" s="11">
        <f>16.7085 * CHOOSE(CONTROL!$C$32, $C$9, 100%, $E$9)</f>
        <v>16.708500000000001</v>
      </c>
      <c r="K525" s="11">
        <f>16.7127 * CHOOSE(CONTROL!$C$32, $C$9, 100%, $E$9)</f>
        <v>16.712700000000002</v>
      </c>
      <c r="L525" s="11">
        <f>8.3222 * CHOOSE(CONTROL!$C$32, $C$9, 100%, $E$9)</f>
        <v>8.3222000000000005</v>
      </c>
      <c r="M525" s="11">
        <f>8.3264 * CHOOSE(CONTROL!$C$32, $C$9, 100%, $E$9)</f>
        <v>8.3263999999999996</v>
      </c>
      <c r="N525" s="11">
        <f>8.3222 * CHOOSE(CONTROL!$C$32, $C$9, 100%, $E$9)</f>
        <v>8.3222000000000005</v>
      </c>
      <c r="O525" s="11">
        <f>8.3264 * CHOOSE(CONTROL!$C$32, $C$9, 100%, $E$9)</f>
        <v>8.3263999999999996</v>
      </c>
    </row>
    <row r="526" spans="1:15" ht="15" x14ac:dyDescent="0.2">
      <c r="A526" s="13">
        <v>56858</v>
      </c>
      <c r="B526" s="9">
        <f>7.4816 * CHOOSE(CONTROL!$C$32, $C$9, 100%, $E$9)</f>
        <v>7.4816000000000003</v>
      </c>
      <c r="C526" s="9">
        <f>7.4816 * CHOOSE(CONTROL!$C$32, $C$9, 100%, $E$9)</f>
        <v>7.4816000000000003</v>
      </c>
      <c r="D526" s="9">
        <f>7.4828 * CHOOSE(CONTROL!$C$32, $C$9, 100%, $E$9)</f>
        <v>7.4828000000000001</v>
      </c>
      <c r="E526" s="11">
        <f>8.3004 * CHOOSE(CONTROL!$C$32, $C$9, 100%, $E$9)</f>
        <v>8.3003999999999998</v>
      </c>
      <c r="F526" s="11">
        <f>8.3004 * CHOOSE(CONTROL!$C$32, $C$9, 100%, $E$9)</f>
        <v>8.3003999999999998</v>
      </c>
      <c r="G526" s="11">
        <f>8.3046 * CHOOSE(CONTROL!$C$32, $C$9, 100%, $E$9)</f>
        <v>8.3046000000000006</v>
      </c>
      <c r="H526" s="11">
        <f>16.7433 * CHOOSE(CONTROL!$C$32, $C$9, 100%, $E$9)</f>
        <v>16.743300000000001</v>
      </c>
      <c r="I526" s="11">
        <f>16.7475 * CHOOSE(CONTROL!$C$32, $C$9, 100%, $E$9)</f>
        <v>16.747499999999999</v>
      </c>
      <c r="J526" s="11">
        <f>16.7433 * CHOOSE(CONTROL!$C$32, $C$9, 100%, $E$9)</f>
        <v>16.743300000000001</v>
      </c>
      <c r="K526" s="11">
        <f>16.7475 * CHOOSE(CONTROL!$C$32, $C$9, 100%, $E$9)</f>
        <v>16.747499999999999</v>
      </c>
      <c r="L526" s="11">
        <f>8.3004 * CHOOSE(CONTROL!$C$32, $C$9, 100%, $E$9)</f>
        <v>8.3003999999999998</v>
      </c>
      <c r="M526" s="11">
        <f>8.3046 * CHOOSE(CONTROL!$C$32, $C$9, 100%, $E$9)</f>
        <v>8.3046000000000006</v>
      </c>
      <c r="N526" s="11">
        <f>8.3004 * CHOOSE(CONTROL!$C$32, $C$9, 100%, $E$9)</f>
        <v>8.3003999999999998</v>
      </c>
      <c r="O526" s="11">
        <f>8.3046 * CHOOSE(CONTROL!$C$32, $C$9, 100%, $E$9)</f>
        <v>8.3046000000000006</v>
      </c>
    </row>
    <row r="527" spans="1:15" ht="15" x14ac:dyDescent="0.2">
      <c r="A527" s="13">
        <v>56888</v>
      </c>
      <c r="B527" s="9">
        <f>7.4896 * CHOOSE(CONTROL!$C$32, $C$9, 100%, $E$9)</f>
        <v>7.4896000000000003</v>
      </c>
      <c r="C527" s="9">
        <f>7.4896 * CHOOSE(CONTROL!$C$32, $C$9, 100%, $E$9)</f>
        <v>7.4896000000000003</v>
      </c>
      <c r="D527" s="9">
        <f>7.4905 * CHOOSE(CONTROL!$C$32, $C$9, 100%, $E$9)</f>
        <v>7.4904999999999999</v>
      </c>
      <c r="E527" s="11">
        <f>8.3656 * CHOOSE(CONTROL!$C$32, $C$9, 100%, $E$9)</f>
        <v>8.3656000000000006</v>
      </c>
      <c r="F527" s="11">
        <f>8.3656 * CHOOSE(CONTROL!$C$32, $C$9, 100%, $E$9)</f>
        <v>8.3656000000000006</v>
      </c>
      <c r="G527" s="11">
        <f>8.3688 * CHOOSE(CONTROL!$C$32, $C$9, 100%, $E$9)</f>
        <v>8.3688000000000002</v>
      </c>
      <c r="H527" s="11">
        <f>16.7782 * CHOOSE(CONTROL!$C$32, $C$9, 100%, $E$9)</f>
        <v>16.778199999999998</v>
      </c>
      <c r="I527" s="11">
        <f>16.7814 * CHOOSE(CONTROL!$C$32, $C$9, 100%, $E$9)</f>
        <v>16.781400000000001</v>
      </c>
      <c r="J527" s="11">
        <f>16.7782 * CHOOSE(CONTROL!$C$32, $C$9, 100%, $E$9)</f>
        <v>16.778199999999998</v>
      </c>
      <c r="K527" s="11">
        <f>16.7814 * CHOOSE(CONTROL!$C$32, $C$9, 100%, $E$9)</f>
        <v>16.781400000000001</v>
      </c>
      <c r="L527" s="11">
        <f>8.3656 * CHOOSE(CONTROL!$C$32, $C$9, 100%, $E$9)</f>
        <v>8.3656000000000006</v>
      </c>
      <c r="M527" s="11">
        <f>8.3688 * CHOOSE(CONTROL!$C$32, $C$9, 100%, $E$9)</f>
        <v>8.3688000000000002</v>
      </c>
      <c r="N527" s="11">
        <f>8.3656 * CHOOSE(CONTROL!$C$32, $C$9, 100%, $E$9)</f>
        <v>8.3656000000000006</v>
      </c>
      <c r="O527" s="11">
        <f>8.3688 * CHOOSE(CONTROL!$C$32, $C$9, 100%, $E$9)</f>
        <v>8.3688000000000002</v>
      </c>
    </row>
    <row r="528" spans="1:15" ht="15" x14ac:dyDescent="0.2">
      <c r="A528" s="13">
        <v>56919</v>
      </c>
      <c r="B528" s="9">
        <f>7.4926 * CHOOSE(CONTROL!$C$32, $C$9, 100%, $E$9)</f>
        <v>7.4926000000000004</v>
      </c>
      <c r="C528" s="9">
        <f>7.4926 * CHOOSE(CONTROL!$C$32, $C$9, 100%, $E$9)</f>
        <v>7.4926000000000004</v>
      </c>
      <c r="D528" s="9">
        <f>7.4936 * CHOOSE(CONTROL!$C$32, $C$9, 100%, $E$9)</f>
        <v>7.4935999999999998</v>
      </c>
      <c r="E528" s="11">
        <f>8.4071 * CHOOSE(CONTROL!$C$32, $C$9, 100%, $E$9)</f>
        <v>8.4070999999999998</v>
      </c>
      <c r="F528" s="11">
        <f>8.4071 * CHOOSE(CONTROL!$C$32, $C$9, 100%, $E$9)</f>
        <v>8.4070999999999998</v>
      </c>
      <c r="G528" s="11">
        <f>8.4103 * CHOOSE(CONTROL!$C$32, $C$9, 100%, $E$9)</f>
        <v>8.4102999999999994</v>
      </c>
      <c r="H528" s="11">
        <f>16.8131 * CHOOSE(CONTROL!$C$32, $C$9, 100%, $E$9)</f>
        <v>16.813099999999999</v>
      </c>
      <c r="I528" s="11">
        <f>16.8163 * CHOOSE(CONTROL!$C$32, $C$9, 100%, $E$9)</f>
        <v>16.816299999999998</v>
      </c>
      <c r="J528" s="11">
        <f>16.8131 * CHOOSE(CONTROL!$C$32, $C$9, 100%, $E$9)</f>
        <v>16.813099999999999</v>
      </c>
      <c r="K528" s="11">
        <f>16.8163 * CHOOSE(CONTROL!$C$32, $C$9, 100%, $E$9)</f>
        <v>16.816299999999998</v>
      </c>
      <c r="L528" s="11">
        <f>8.4071 * CHOOSE(CONTROL!$C$32, $C$9, 100%, $E$9)</f>
        <v>8.4070999999999998</v>
      </c>
      <c r="M528" s="11">
        <f>8.4103 * CHOOSE(CONTROL!$C$32, $C$9, 100%, $E$9)</f>
        <v>8.4102999999999994</v>
      </c>
      <c r="N528" s="11">
        <f>8.4071 * CHOOSE(CONTROL!$C$32, $C$9, 100%, $E$9)</f>
        <v>8.4070999999999998</v>
      </c>
      <c r="O528" s="11">
        <f>8.4103 * CHOOSE(CONTROL!$C$32, $C$9, 100%, $E$9)</f>
        <v>8.4102999999999994</v>
      </c>
    </row>
    <row r="529" spans="1:15" ht="15" x14ac:dyDescent="0.2">
      <c r="A529" s="13">
        <v>56949</v>
      </c>
      <c r="B529" s="9">
        <f>7.4926 * CHOOSE(CONTROL!$C$32, $C$9, 100%, $E$9)</f>
        <v>7.4926000000000004</v>
      </c>
      <c r="C529" s="9">
        <f>7.4926 * CHOOSE(CONTROL!$C$32, $C$9, 100%, $E$9)</f>
        <v>7.4926000000000004</v>
      </c>
      <c r="D529" s="9">
        <f>7.4936 * CHOOSE(CONTROL!$C$32, $C$9, 100%, $E$9)</f>
        <v>7.4935999999999998</v>
      </c>
      <c r="E529" s="11">
        <f>8.3087 * CHOOSE(CONTROL!$C$32, $C$9, 100%, $E$9)</f>
        <v>8.3087</v>
      </c>
      <c r="F529" s="11">
        <f>8.3087 * CHOOSE(CONTROL!$C$32, $C$9, 100%, $E$9)</f>
        <v>8.3087</v>
      </c>
      <c r="G529" s="11">
        <f>8.312 * CHOOSE(CONTROL!$C$32, $C$9, 100%, $E$9)</f>
        <v>8.3119999999999994</v>
      </c>
      <c r="H529" s="11">
        <f>16.8481 * CHOOSE(CONTROL!$C$32, $C$9, 100%, $E$9)</f>
        <v>16.848099999999999</v>
      </c>
      <c r="I529" s="11">
        <f>16.8514 * CHOOSE(CONTROL!$C$32, $C$9, 100%, $E$9)</f>
        <v>16.851400000000002</v>
      </c>
      <c r="J529" s="11">
        <f>16.8481 * CHOOSE(CONTROL!$C$32, $C$9, 100%, $E$9)</f>
        <v>16.848099999999999</v>
      </c>
      <c r="K529" s="11">
        <f>16.8514 * CHOOSE(CONTROL!$C$32, $C$9, 100%, $E$9)</f>
        <v>16.851400000000002</v>
      </c>
      <c r="L529" s="11">
        <f>8.3087 * CHOOSE(CONTROL!$C$32, $C$9, 100%, $E$9)</f>
        <v>8.3087</v>
      </c>
      <c r="M529" s="11">
        <f>8.312 * CHOOSE(CONTROL!$C$32, $C$9, 100%, $E$9)</f>
        <v>8.3119999999999994</v>
      </c>
      <c r="N529" s="11">
        <f>8.3087 * CHOOSE(CONTROL!$C$32, $C$9, 100%, $E$9)</f>
        <v>8.3087</v>
      </c>
      <c r="O529" s="11">
        <f>8.312 * CHOOSE(CONTROL!$C$32, $C$9, 100%, $E$9)</f>
        <v>8.3119999999999994</v>
      </c>
    </row>
    <row r="530" spans="1:15" ht="15" x14ac:dyDescent="0.2">
      <c r="A530" s="13">
        <v>56980</v>
      </c>
      <c r="B530" s="9">
        <f>7.5488 * CHOOSE(CONTROL!$C$32, $C$9, 100%, $E$9)</f>
        <v>7.5488</v>
      </c>
      <c r="C530" s="9">
        <f>7.5488 * CHOOSE(CONTROL!$C$32, $C$9, 100%, $E$9)</f>
        <v>7.5488</v>
      </c>
      <c r="D530" s="9">
        <f>7.5497 * CHOOSE(CONTROL!$C$32, $C$9, 100%, $E$9)</f>
        <v>7.5496999999999996</v>
      </c>
      <c r="E530" s="11">
        <f>8.4508 * CHOOSE(CONTROL!$C$32, $C$9, 100%, $E$9)</f>
        <v>8.4507999999999992</v>
      </c>
      <c r="F530" s="11">
        <f>8.4508 * CHOOSE(CONTROL!$C$32, $C$9, 100%, $E$9)</f>
        <v>8.4507999999999992</v>
      </c>
      <c r="G530" s="11">
        <f>8.454 * CHOOSE(CONTROL!$C$32, $C$9, 100%, $E$9)</f>
        <v>8.4540000000000006</v>
      </c>
      <c r="H530" s="11">
        <f>16.8832 * CHOOSE(CONTROL!$C$32, $C$9, 100%, $E$9)</f>
        <v>16.883199999999999</v>
      </c>
      <c r="I530" s="11">
        <f>16.8865 * CHOOSE(CONTROL!$C$32, $C$9, 100%, $E$9)</f>
        <v>16.886500000000002</v>
      </c>
      <c r="J530" s="11">
        <f>16.8832 * CHOOSE(CONTROL!$C$32, $C$9, 100%, $E$9)</f>
        <v>16.883199999999999</v>
      </c>
      <c r="K530" s="11">
        <f>16.8865 * CHOOSE(CONTROL!$C$32, $C$9, 100%, $E$9)</f>
        <v>16.886500000000002</v>
      </c>
      <c r="L530" s="11">
        <f>8.4508 * CHOOSE(CONTROL!$C$32, $C$9, 100%, $E$9)</f>
        <v>8.4507999999999992</v>
      </c>
      <c r="M530" s="11">
        <f>8.454 * CHOOSE(CONTROL!$C$32, $C$9, 100%, $E$9)</f>
        <v>8.4540000000000006</v>
      </c>
      <c r="N530" s="11">
        <f>8.4508 * CHOOSE(CONTROL!$C$32, $C$9, 100%, $E$9)</f>
        <v>8.4507999999999992</v>
      </c>
      <c r="O530" s="11">
        <f>8.454 * CHOOSE(CONTROL!$C$32, $C$9, 100%, $E$9)</f>
        <v>8.4540000000000006</v>
      </c>
    </row>
    <row r="531" spans="1:15" ht="15" x14ac:dyDescent="0.2">
      <c r="A531" s="13">
        <v>57011</v>
      </c>
      <c r="B531" s="9">
        <f>7.5457 * CHOOSE(CONTROL!$C$32, $C$9, 100%, $E$9)</f>
        <v>7.5457000000000001</v>
      </c>
      <c r="C531" s="9">
        <f>7.5457 * CHOOSE(CONTROL!$C$32, $C$9, 100%, $E$9)</f>
        <v>7.5457000000000001</v>
      </c>
      <c r="D531" s="9">
        <f>7.5467 * CHOOSE(CONTROL!$C$32, $C$9, 100%, $E$9)</f>
        <v>7.5467000000000004</v>
      </c>
      <c r="E531" s="11">
        <f>8.2568 * CHOOSE(CONTROL!$C$32, $C$9, 100%, $E$9)</f>
        <v>8.2568000000000001</v>
      </c>
      <c r="F531" s="11">
        <f>8.2568 * CHOOSE(CONTROL!$C$32, $C$9, 100%, $E$9)</f>
        <v>8.2568000000000001</v>
      </c>
      <c r="G531" s="11">
        <f>8.2601 * CHOOSE(CONTROL!$C$32, $C$9, 100%, $E$9)</f>
        <v>8.2600999999999996</v>
      </c>
      <c r="H531" s="11">
        <f>16.9184 * CHOOSE(CONTROL!$C$32, $C$9, 100%, $E$9)</f>
        <v>16.918399999999998</v>
      </c>
      <c r="I531" s="11">
        <f>16.9216 * CHOOSE(CONTROL!$C$32, $C$9, 100%, $E$9)</f>
        <v>16.921600000000002</v>
      </c>
      <c r="J531" s="11">
        <f>16.9184 * CHOOSE(CONTROL!$C$32, $C$9, 100%, $E$9)</f>
        <v>16.918399999999998</v>
      </c>
      <c r="K531" s="11">
        <f>16.9216 * CHOOSE(CONTROL!$C$32, $C$9, 100%, $E$9)</f>
        <v>16.921600000000002</v>
      </c>
      <c r="L531" s="11">
        <f>8.2568 * CHOOSE(CONTROL!$C$32, $C$9, 100%, $E$9)</f>
        <v>8.2568000000000001</v>
      </c>
      <c r="M531" s="11">
        <f>8.2601 * CHOOSE(CONTROL!$C$32, $C$9, 100%, $E$9)</f>
        <v>8.2600999999999996</v>
      </c>
      <c r="N531" s="11">
        <f>8.2568 * CHOOSE(CONTROL!$C$32, $C$9, 100%, $E$9)</f>
        <v>8.2568000000000001</v>
      </c>
      <c r="O531" s="11">
        <f>8.2601 * CHOOSE(CONTROL!$C$32, $C$9, 100%, $E$9)</f>
        <v>8.2600999999999996</v>
      </c>
    </row>
    <row r="532" spans="1:15" ht="15" x14ac:dyDescent="0.2">
      <c r="A532" s="13">
        <v>57040</v>
      </c>
      <c r="B532" s="9">
        <f>7.5427 * CHOOSE(CONTROL!$C$32, $C$9, 100%, $E$9)</f>
        <v>7.5427</v>
      </c>
      <c r="C532" s="9">
        <f>7.5427 * CHOOSE(CONTROL!$C$32, $C$9, 100%, $E$9)</f>
        <v>7.5427</v>
      </c>
      <c r="D532" s="9">
        <f>7.5436 * CHOOSE(CONTROL!$C$32, $C$9, 100%, $E$9)</f>
        <v>7.5435999999999996</v>
      </c>
      <c r="E532" s="11">
        <f>8.406 * CHOOSE(CONTROL!$C$32, $C$9, 100%, $E$9)</f>
        <v>8.4060000000000006</v>
      </c>
      <c r="F532" s="11">
        <f>8.406 * CHOOSE(CONTROL!$C$32, $C$9, 100%, $E$9)</f>
        <v>8.4060000000000006</v>
      </c>
      <c r="G532" s="11">
        <f>8.4092 * CHOOSE(CONTROL!$C$32, $C$9, 100%, $E$9)</f>
        <v>8.4092000000000002</v>
      </c>
      <c r="H532" s="11">
        <f>16.9537 * CHOOSE(CONTROL!$C$32, $C$9, 100%, $E$9)</f>
        <v>16.953700000000001</v>
      </c>
      <c r="I532" s="11">
        <f>16.9569 * CHOOSE(CONTROL!$C$32, $C$9, 100%, $E$9)</f>
        <v>16.956900000000001</v>
      </c>
      <c r="J532" s="11">
        <f>16.9537 * CHOOSE(CONTROL!$C$32, $C$9, 100%, $E$9)</f>
        <v>16.953700000000001</v>
      </c>
      <c r="K532" s="11">
        <f>16.9569 * CHOOSE(CONTROL!$C$32, $C$9, 100%, $E$9)</f>
        <v>16.956900000000001</v>
      </c>
      <c r="L532" s="11">
        <f>8.406 * CHOOSE(CONTROL!$C$32, $C$9, 100%, $E$9)</f>
        <v>8.4060000000000006</v>
      </c>
      <c r="M532" s="11">
        <f>8.4092 * CHOOSE(CONTROL!$C$32, $C$9, 100%, $E$9)</f>
        <v>8.4092000000000002</v>
      </c>
      <c r="N532" s="11">
        <f>8.406 * CHOOSE(CONTROL!$C$32, $C$9, 100%, $E$9)</f>
        <v>8.4060000000000006</v>
      </c>
      <c r="O532" s="11">
        <f>8.4092 * CHOOSE(CONTROL!$C$32, $C$9, 100%, $E$9)</f>
        <v>8.4092000000000002</v>
      </c>
    </row>
    <row r="533" spans="1:15" ht="15" x14ac:dyDescent="0.2">
      <c r="A533" s="13">
        <v>57071</v>
      </c>
      <c r="B533" s="9">
        <f>7.5438 * CHOOSE(CONTROL!$C$32, $C$9, 100%, $E$9)</f>
        <v>7.5438000000000001</v>
      </c>
      <c r="C533" s="9">
        <f>7.5438 * CHOOSE(CONTROL!$C$32, $C$9, 100%, $E$9)</f>
        <v>7.5438000000000001</v>
      </c>
      <c r="D533" s="9">
        <f>7.5447 * CHOOSE(CONTROL!$C$32, $C$9, 100%, $E$9)</f>
        <v>7.5446999999999997</v>
      </c>
      <c r="E533" s="11">
        <f>8.5642 * CHOOSE(CONTROL!$C$32, $C$9, 100%, $E$9)</f>
        <v>8.5641999999999996</v>
      </c>
      <c r="F533" s="11">
        <f>8.5642 * CHOOSE(CONTROL!$C$32, $C$9, 100%, $E$9)</f>
        <v>8.5641999999999996</v>
      </c>
      <c r="G533" s="11">
        <f>8.5674 * CHOOSE(CONTROL!$C$32, $C$9, 100%, $E$9)</f>
        <v>8.5673999999999992</v>
      </c>
      <c r="H533" s="11">
        <f>16.989 * CHOOSE(CONTROL!$C$32, $C$9, 100%, $E$9)</f>
        <v>16.989000000000001</v>
      </c>
      <c r="I533" s="11">
        <f>16.9922 * CHOOSE(CONTROL!$C$32, $C$9, 100%, $E$9)</f>
        <v>16.9922</v>
      </c>
      <c r="J533" s="11">
        <f>16.989 * CHOOSE(CONTROL!$C$32, $C$9, 100%, $E$9)</f>
        <v>16.989000000000001</v>
      </c>
      <c r="K533" s="11">
        <f>16.9922 * CHOOSE(CONTROL!$C$32, $C$9, 100%, $E$9)</f>
        <v>16.9922</v>
      </c>
      <c r="L533" s="11">
        <f>8.5642 * CHOOSE(CONTROL!$C$32, $C$9, 100%, $E$9)</f>
        <v>8.5641999999999996</v>
      </c>
      <c r="M533" s="11">
        <f>8.5674 * CHOOSE(CONTROL!$C$32, $C$9, 100%, $E$9)</f>
        <v>8.5673999999999992</v>
      </c>
      <c r="N533" s="11">
        <f>8.5642 * CHOOSE(CONTROL!$C$32, $C$9, 100%, $E$9)</f>
        <v>8.5641999999999996</v>
      </c>
      <c r="O533" s="11">
        <f>8.5674 * CHOOSE(CONTROL!$C$32, $C$9, 100%, $E$9)</f>
        <v>8.5673999999999992</v>
      </c>
    </row>
    <row r="534" spans="1:15" ht="15" x14ac:dyDescent="0.2">
      <c r="A534" s="13">
        <v>57101</v>
      </c>
      <c r="B534" s="9">
        <f>7.5438 * CHOOSE(CONTROL!$C$32, $C$9, 100%, $E$9)</f>
        <v>7.5438000000000001</v>
      </c>
      <c r="C534" s="9">
        <f>7.5438 * CHOOSE(CONTROL!$C$32, $C$9, 100%, $E$9)</f>
        <v>7.5438000000000001</v>
      </c>
      <c r="D534" s="9">
        <f>7.545 * CHOOSE(CONTROL!$C$32, $C$9, 100%, $E$9)</f>
        <v>7.5449999999999999</v>
      </c>
      <c r="E534" s="11">
        <f>8.6251 * CHOOSE(CONTROL!$C$32, $C$9, 100%, $E$9)</f>
        <v>8.6250999999999998</v>
      </c>
      <c r="F534" s="11">
        <f>8.6251 * CHOOSE(CONTROL!$C$32, $C$9, 100%, $E$9)</f>
        <v>8.6250999999999998</v>
      </c>
      <c r="G534" s="11">
        <f>8.6293 * CHOOSE(CONTROL!$C$32, $C$9, 100%, $E$9)</f>
        <v>8.6293000000000006</v>
      </c>
      <c r="H534" s="11">
        <f>17.0244 * CHOOSE(CONTROL!$C$32, $C$9, 100%, $E$9)</f>
        <v>17.0244</v>
      </c>
      <c r="I534" s="11">
        <f>17.0286 * CHOOSE(CONTROL!$C$32, $C$9, 100%, $E$9)</f>
        <v>17.028600000000001</v>
      </c>
      <c r="J534" s="11">
        <f>17.0244 * CHOOSE(CONTROL!$C$32, $C$9, 100%, $E$9)</f>
        <v>17.0244</v>
      </c>
      <c r="K534" s="11">
        <f>17.0286 * CHOOSE(CONTROL!$C$32, $C$9, 100%, $E$9)</f>
        <v>17.028600000000001</v>
      </c>
      <c r="L534" s="11">
        <f>8.6251 * CHOOSE(CONTROL!$C$32, $C$9, 100%, $E$9)</f>
        <v>8.6250999999999998</v>
      </c>
      <c r="M534" s="11">
        <f>8.6293 * CHOOSE(CONTROL!$C$32, $C$9, 100%, $E$9)</f>
        <v>8.6293000000000006</v>
      </c>
      <c r="N534" s="11">
        <f>8.6251 * CHOOSE(CONTROL!$C$32, $C$9, 100%, $E$9)</f>
        <v>8.6250999999999998</v>
      </c>
      <c r="O534" s="11">
        <f>8.6293 * CHOOSE(CONTROL!$C$32, $C$9, 100%, $E$9)</f>
        <v>8.6293000000000006</v>
      </c>
    </row>
    <row r="535" spans="1:15" ht="15" x14ac:dyDescent="0.2">
      <c r="A535" s="13">
        <v>57132</v>
      </c>
      <c r="B535" s="9">
        <f>7.5499 * CHOOSE(CONTROL!$C$32, $C$9, 100%, $E$9)</f>
        <v>7.5499000000000001</v>
      </c>
      <c r="C535" s="9">
        <f>7.5499 * CHOOSE(CONTROL!$C$32, $C$9, 100%, $E$9)</f>
        <v>7.5499000000000001</v>
      </c>
      <c r="D535" s="9">
        <f>7.5511 * CHOOSE(CONTROL!$C$32, $C$9, 100%, $E$9)</f>
        <v>7.5510999999999999</v>
      </c>
      <c r="E535" s="11">
        <f>8.5684 * CHOOSE(CONTROL!$C$32, $C$9, 100%, $E$9)</f>
        <v>8.5684000000000005</v>
      </c>
      <c r="F535" s="11">
        <f>8.5684 * CHOOSE(CONTROL!$C$32, $C$9, 100%, $E$9)</f>
        <v>8.5684000000000005</v>
      </c>
      <c r="G535" s="11">
        <f>8.5726 * CHOOSE(CONTROL!$C$32, $C$9, 100%, $E$9)</f>
        <v>8.5725999999999996</v>
      </c>
      <c r="H535" s="11">
        <f>17.0598 * CHOOSE(CONTROL!$C$32, $C$9, 100%, $E$9)</f>
        <v>17.059799999999999</v>
      </c>
      <c r="I535" s="11">
        <f>17.064 * CHOOSE(CONTROL!$C$32, $C$9, 100%, $E$9)</f>
        <v>17.064</v>
      </c>
      <c r="J535" s="11">
        <f>17.0598 * CHOOSE(CONTROL!$C$32, $C$9, 100%, $E$9)</f>
        <v>17.059799999999999</v>
      </c>
      <c r="K535" s="11">
        <f>17.064 * CHOOSE(CONTROL!$C$32, $C$9, 100%, $E$9)</f>
        <v>17.064</v>
      </c>
      <c r="L535" s="11">
        <f>8.5684 * CHOOSE(CONTROL!$C$32, $C$9, 100%, $E$9)</f>
        <v>8.5684000000000005</v>
      </c>
      <c r="M535" s="11">
        <f>8.5726 * CHOOSE(CONTROL!$C$32, $C$9, 100%, $E$9)</f>
        <v>8.5725999999999996</v>
      </c>
      <c r="N535" s="11">
        <f>8.5684 * CHOOSE(CONTROL!$C$32, $C$9, 100%, $E$9)</f>
        <v>8.5684000000000005</v>
      </c>
      <c r="O535" s="11">
        <f>8.5726 * CHOOSE(CONTROL!$C$32, $C$9, 100%, $E$9)</f>
        <v>8.5725999999999996</v>
      </c>
    </row>
    <row r="536" spans="1:15" ht="15" x14ac:dyDescent="0.2">
      <c r="A536" s="13">
        <v>57162</v>
      </c>
      <c r="B536" s="9">
        <f>7.6474 * CHOOSE(CONTROL!$C$32, $C$9, 100%, $E$9)</f>
        <v>7.6474000000000002</v>
      </c>
      <c r="C536" s="9">
        <f>7.6474 * CHOOSE(CONTROL!$C$32, $C$9, 100%, $E$9)</f>
        <v>7.6474000000000002</v>
      </c>
      <c r="D536" s="9">
        <f>7.6486 * CHOOSE(CONTROL!$C$32, $C$9, 100%, $E$9)</f>
        <v>7.6486000000000001</v>
      </c>
      <c r="E536" s="11">
        <f>8.6867 * CHOOSE(CONTROL!$C$32, $C$9, 100%, $E$9)</f>
        <v>8.6867000000000001</v>
      </c>
      <c r="F536" s="11">
        <f>8.6867 * CHOOSE(CONTROL!$C$32, $C$9, 100%, $E$9)</f>
        <v>8.6867000000000001</v>
      </c>
      <c r="G536" s="11">
        <f>8.6909 * CHOOSE(CONTROL!$C$32, $C$9, 100%, $E$9)</f>
        <v>8.6908999999999992</v>
      </c>
      <c r="H536" s="11">
        <f>17.0954 * CHOOSE(CONTROL!$C$32, $C$9, 100%, $E$9)</f>
        <v>17.095400000000001</v>
      </c>
      <c r="I536" s="11">
        <f>17.0996 * CHOOSE(CONTROL!$C$32, $C$9, 100%, $E$9)</f>
        <v>17.099599999999999</v>
      </c>
      <c r="J536" s="11">
        <f>17.0954 * CHOOSE(CONTROL!$C$32, $C$9, 100%, $E$9)</f>
        <v>17.095400000000001</v>
      </c>
      <c r="K536" s="11">
        <f>17.0996 * CHOOSE(CONTROL!$C$32, $C$9, 100%, $E$9)</f>
        <v>17.099599999999999</v>
      </c>
      <c r="L536" s="11">
        <f>8.6867 * CHOOSE(CONTROL!$C$32, $C$9, 100%, $E$9)</f>
        <v>8.6867000000000001</v>
      </c>
      <c r="M536" s="11">
        <f>8.6909 * CHOOSE(CONTROL!$C$32, $C$9, 100%, $E$9)</f>
        <v>8.6908999999999992</v>
      </c>
      <c r="N536" s="11">
        <f>8.6867 * CHOOSE(CONTROL!$C$32, $C$9, 100%, $E$9)</f>
        <v>8.6867000000000001</v>
      </c>
      <c r="O536" s="11">
        <f>8.6909 * CHOOSE(CONTROL!$C$32, $C$9, 100%, $E$9)</f>
        <v>8.6908999999999992</v>
      </c>
    </row>
    <row r="537" spans="1:15" ht="15" x14ac:dyDescent="0.2">
      <c r="A537" s="13">
        <v>57193</v>
      </c>
      <c r="B537" s="9">
        <f>7.654 * CHOOSE(CONTROL!$C$32, $C$9, 100%, $E$9)</f>
        <v>7.6539999999999999</v>
      </c>
      <c r="C537" s="9">
        <f>7.654 * CHOOSE(CONTROL!$C$32, $C$9, 100%, $E$9)</f>
        <v>7.6539999999999999</v>
      </c>
      <c r="D537" s="9">
        <f>7.6553 * CHOOSE(CONTROL!$C$32, $C$9, 100%, $E$9)</f>
        <v>7.6553000000000004</v>
      </c>
      <c r="E537" s="11">
        <f>8.5087 * CHOOSE(CONTROL!$C$32, $C$9, 100%, $E$9)</f>
        <v>8.5086999999999993</v>
      </c>
      <c r="F537" s="11">
        <f>8.5087 * CHOOSE(CONTROL!$C$32, $C$9, 100%, $E$9)</f>
        <v>8.5086999999999993</v>
      </c>
      <c r="G537" s="11">
        <f>8.5129 * CHOOSE(CONTROL!$C$32, $C$9, 100%, $E$9)</f>
        <v>8.5129000000000001</v>
      </c>
      <c r="H537" s="11">
        <f>17.131 * CHOOSE(CONTROL!$C$32, $C$9, 100%, $E$9)</f>
        <v>17.131</v>
      </c>
      <c r="I537" s="11">
        <f>17.1352 * CHOOSE(CONTROL!$C$32, $C$9, 100%, $E$9)</f>
        <v>17.135200000000001</v>
      </c>
      <c r="J537" s="11">
        <f>17.131 * CHOOSE(CONTROL!$C$32, $C$9, 100%, $E$9)</f>
        <v>17.131</v>
      </c>
      <c r="K537" s="11">
        <f>17.1352 * CHOOSE(CONTROL!$C$32, $C$9, 100%, $E$9)</f>
        <v>17.135200000000001</v>
      </c>
      <c r="L537" s="11">
        <f>8.5087 * CHOOSE(CONTROL!$C$32, $C$9, 100%, $E$9)</f>
        <v>8.5086999999999993</v>
      </c>
      <c r="M537" s="11">
        <f>8.5129 * CHOOSE(CONTROL!$C$32, $C$9, 100%, $E$9)</f>
        <v>8.5129000000000001</v>
      </c>
      <c r="N537" s="11">
        <f>8.5087 * CHOOSE(CONTROL!$C$32, $C$9, 100%, $E$9)</f>
        <v>8.5086999999999993</v>
      </c>
      <c r="O537" s="11">
        <f>8.5129 * CHOOSE(CONTROL!$C$32, $C$9, 100%, $E$9)</f>
        <v>8.5129000000000001</v>
      </c>
    </row>
    <row r="538" spans="1:15" ht="15" x14ac:dyDescent="0.2">
      <c r="A538" s="13">
        <v>57224</v>
      </c>
      <c r="B538" s="9">
        <f>7.651 * CHOOSE(CONTROL!$C$32, $C$9, 100%, $E$9)</f>
        <v>7.6509999999999998</v>
      </c>
      <c r="C538" s="9">
        <f>7.651 * CHOOSE(CONTROL!$C$32, $C$9, 100%, $E$9)</f>
        <v>7.6509999999999998</v>
      </c>
      <c r="D538" s="9">
        <f>7.6523 * CHOOSE(CONTROL!$C$32, $C$9, 100%, $E$9)</f>
        <v>7.6523000000000003</v>
      </c>
      <c r="E538" s="11">
        <f>8.4862 * CHOOSE(CONTROL!$C$32, $C$9, 100%, $E$9)</f>
        <v>8.4862000000000002</v>
      </c>
      <c r="F538" s="11">
        <f>8.4862 * CHOOSE(CONTROL!$C$32, $C$9, 100%, $E$9)</f>
        <v>8.4862000000000002</v>
      </c>
      <c r="G538" s="11">
        <f>8.4904 * CHOOSE(CONTROL!$C$32, $C$9, 100%, $E$9)</f>
        <v>8.4903999999999993</v>
      </c>
      <c r="H538" s="11">
        <f>17.1667 * CHOOSE(CONTROL!$C$32, $C$9, 100%, $E$9)</f>
        <v>17.166699999999999</v>
      </c>
      <c r="I538" s="11">
        <f>17.1709 * CHOOSE(CONTROL!$C$32, $C$9, 100%, $E$9)</f>
        <v>17.1709</v>
      </c>
      <c r="J538" s="11">
        <f>17.1667 * CHOOSE(CONTROL!$C$32, $C$9, 100%, $E$9)</f>
        <v>17.166699999999999</v>
      </c>
      <c r="K538" s="11">
        <f>17.1709 * CHOOSE(CONTROL!$C$32, $C$9, 100%, $E$9)</f>
        <v>17.1709</v>
      </c>
      <c r="L538" s="11">
        <f>8.4862 * CHOOSE(CONTROL!$C$32, $C$9, 100%, $E$9)</f>
        <v>8.4862000000000002</v>
      </c>
      <c r="M538" s="11">
        <f>8.4904 * CHOOSE(CONTROL!$C$32, $C$9, 100%, $E$9)</f>
        <v>8.4903999999999993</v>
      </c>
      <c r="N538" s="11">
        <f>8.4862 * CHOOSE(CONTROL!$C$32, $C$9, 100%, $E$9)</f>
        <v>8.4862000000000002</v>
      </c>
      <c r="O538" s="11">
        <f>8.4904 * CHOOSE(CONTROL!$C$32, $C$9, 100%, $E$9)</f>
        <v>8.4903999999999993</v>
      </c>
    </row>
    <row r="539" spans="1:15" ht="15" x14ac:dyDescent="0.2">
      <c r="A539" s="13">
        <v>57254</v>
      </c>
      <c r="B539" s="9">
        <f>7.6597 * CHOOSE(CONTROL!$C$32, $C$9, 100%, $E$9)</f>
        <v>7.6597</v>
      </c>
      <c r="C539" s="9">
        <f>7.6597 * CHOOSE(CONTROL!$C$32, $C$9, 100%, $E$9)</f>
        <v>7.6597</v>
      </c>
      <c r="D539" s="9">
        <f>7.6606 * CHOOSE(CONTROL!$C$32, $C$9, 100%, $E$9)</f>
        <v>7.6605999999999996</v>
      </c>
      <c r="E539" s="11">
        <f>8.554 * CHOOSE(CONTROL!$C$32, $C$9, 100%, $E$9)</f>
        <v>8.5540000000000003</v>
      </c>
      <c r="F539" s="11">
        <f>8.554 * CHOOSE(CONTROL!$C$32, $C$9, 100%, $E$9)</f>
        <v>8.5540000000000003</v>
      </c>
      <c r="G539" s="11">
        <f>8.5573 * CHOOSE(CONTROL!$C$32, $C$9, 100%, $E$9)</f>
        <v>8.5572999999999997</v>
      </c>
      <c r="H539" s="11">
        <f>17.2025 * CHOOSE(CONTROL!$C$32, $C$9, 100%, $E$9)</f>
        <v>17.202500000000001</v>
      </c>
      <c r="I539" s="11">
        <f>17.2057 * CHOOSE(CONTROL!$C$32, $C$9, 100%, $E$9)</f>
        <v>17.2057</v>
      </c>
      <c r="J539" s="11">
        <f>17.2025 * CHOOSE(CONTROL!$C$32, $C$9, 100%, $E$9)</f>
        <v>17.202500000000001</v>
      </c>
      <c r="K539" s="11">
        <f>17.2057 * CHOOSE(CONTROL!$C$32, $C$9, 100%, $E$9)</f>
        <v>17.2057</v>
      </c>
      <c r="L539" s="11">
        <f>8.554 * CHOOSE(CONTROL!$C$32, $C$9, 100%, $E$9)</f>
        <v>8.5540000000000003</v>
      </c>
      <c r="M539" s="11">
        <f>8.5573 * CHOOSE(CONTROL!$C$32, $C$9, 100%, $E$9)</f>
        <v>8.5572999999999997</v>
      </c>
      <c r="N539" s="11">
        <f>8.554 * CHOOSE(CONTROL!$C$32, $C$9, 100%, $E$9)</f>
        <v>8.5540000000000003</v>
      </c>
      <c r="O539" s="11">
        <f>8.5573 * CHOOSE(CONTROL!$C$32, $C$9, 100%, $E$9)</f>
        <v>8.5572999999999997</v>
      </c>
    </row>
    <row r="540" spans="1:15" ht="15" x14ac:dyDescent="0.2">
      <c r="A540" s="13">
        <v>57285</v>
      </c>
      <c r="B540" s="9">
        <f>7.6627 * CHOOSE(CONTROL!$C$32, $C$9, 100%, $E$9)</f>
        <v>7.6627000000000001</v>
      </c>
      <c r="C540" s="9">
        <f>7.6627 * CHOOSE(CONTROL!$C$32, $C$9, 100%, $E$9)</f>
        <v>7.6627000000000001</v>
      </c>
      <c r="D540" s="9">
        <f>7.6636 * CHOOSE(CONTROL!$C$32, $C$9, 100%, $E$9)</f>
        <v>7.6635999999999997</v>
      </c>
      <c r="E540" s="11">
        <f>8.5968 * CHOOSE(CONTROL!$C$32, $C$9, 100%, $E$9)</f>
        <v>8.5968</v>
      </c>
      <c r="F540" s="11">
        <f>8.5968 * CHOOSE(CONTROL!$C$32, $C$9, 100%, $E$9)</f>
        <v>8.5968</v>
      </c>
      <c r="G540" s="11">
        <f>8.6 * CHOOSE(CONTROL!$C$32, $C$9, 100%, $E$9)</f>
        <v>8.6</v>
      </c>
      <c r="H540" s="11">
        <f>17.2383 * CHOOSE(CONTROL!$C$32, $C$9, 100%, $E$9)</f>
        <v>17.238299999999999</v>
      </c>
      <c r="I540" s="11">
        <f>17.2415 * CHOOSE(CONTROL!$C$32, $C$9, 100%, $E$9)</f>
        <v>17.241499999999998</v>
      </c>
      <c r="J540" s="11">
        <f>17.2383 * CHOOSE(CONTROL!$C$32, $C$9, 100%, $E$9)</f>
        <v>17.238299999999999</v>
      </c>
      <c r="K540" s="11">
        <f>17.2415 * CHOOSE(CONTROL!$C$32, $C$9, 100%, $E$9)</f>
        <v>17.241499999999998</v>
      </c>
      <c r="L540" s="11">
        <f>8.5968 * CHOOSE(CONTROL!$C$32, $C$9, 100%, $E$9)</f>
        <v>8.5968</v>
      </c>
      <c r="M540" s="11">
        <f>8.6 * CHOOSE(CONTROL!$C$32, $C$9, 100%, $E$9)</f>
        <v>8.6</v>
      </c>
      <c r="N540" s="11">
        <f>8.5968 * CHOOSE(CONTROL!$C$32, $C$9, 100%, $E$9)</f>
        <v>8.5968</v>
      </c>
      <c r="O540" s="11">
        <f>8.6 * CHOOSE(CONTROL!$C$32, $C$9, 100%, $E$9)</f>
        <v>8.6</v>
      </c>
    </row>
    <row r="541" spans="1:15" ht="15" x14ac:dyDescent="0.2">
      <c r="A541" s="13">
        <v>57315</v>
      </c>
      <c r="B541" s="9">
        <f>7.6627 * CHOOSE(CONTROL!$C$32, $C$9, 100%, $E$9)</f>
        <v>7.6627000000000001</v>
      </c>
      <c r="C541" s="9">
        <f>7.6627 * CHOOSE(CONTROL!$C$32, $C$9, 100%, $E$9)</f>
        <v>7.6627000000000001</v>
      </c>
      <c r="D541" s="9">
        <f>7.6636 * CHOOSE(CONTROL!$C$32, $C$9, 100%, $E$9)</f>
        <v>7.6635999999999997</v>
      </c>
      <c r="E541" s="11">
        <f>8.4952 * CHOOSE(CONTROL!$C$32, $C$9, 100%, $E$9)</f>
        <v>8.4952000000000005</v>
      </c>
      <c r="F541" s="11">
        <f>8.4952 * CHOOSE(CONTROL!$C$32, $C$9, 100%, $E$9)</f>
        <v>8.4952000000000005</v>
      </c>
      <c r="G541" s="11">
        <f>8.4985 * CHOOSE(CONTROL!$C$32, $C$9, 100%, $E$9)</f>
        <v>8.4984999999999999</v>
      </c>
      <c r="H541" s="11">
        <f>17.2742 * CHOOSE(CONTROL!$C$32, $C$9, 100%, $E$9)</f>
        <v>17.2742</v>
      </c>
      <c r="I541" s="11">
        <f>17.2774 * CHOOSE(CONTROL!$C$32, $C$9, 100%, $E$9)</f>
        <v>17.2774</v>
      </c>
      <c r="J541" s="11">
        <f>17.2742 * CHOOSE(CONTROL!$C$32, $C$9, 100%, $E$9)</f>
        <v>17.2742</v>
      </c>
      <c r="K541" s="11">
        <f>17.2774 * CHOOSE(CONTROL!$C$32, $C$9, 100%, $E$9)</f>
        <v>17.2774</v>
      </c>
      <c r="L541" s="11">
        <f>8.4952 * CHOOSE(CONTROL!$C$32, $C$9, 100%, $E$9)</f>
        <v>8.4952000000000005</v>
      </c>
      <c r="M541" s="11">
        <f>8.4985 * CHOOSE(CONTROL!$C$32, $C$9, 100%, $E$9)</f>
        <v>8.4984999999999999</v>
      </c>
      <c r="N541" s="11">
        <f>8.4952 * CHOOSE(CONTROL!$C$32, $C$9, 100%, $E$9)</f>
        <v>8.4952000000000005</v>
      </c>
      <c r="O541" s="11">
        <f>8.4985 * CHOOSE(CONTROL!$C$32, $C$9, 100%, $E$9)</f>
        <v>8.4984999999999999</v>
      </c>
    </row>
    <row r="542" spans="1:15" ht="15" x14ac:dyDescent="0.2">
      <c r="A542" s="13">
        <v>57346</v>
      </c>
      <c r="B542" s="9">
        <f>7.72 * CHOOSE(CONTROL!$C$32, $C$9, 100%, $E$9)</f>
        <v>7.72</v>
      </c>
      <c r="C542" s="9">
        <f>7.72 * CHOOSE(CONTROL!$C$32, $C$9, 100%, $E$9)</f>
        <v>7.72</v>
      </c>
      <c r="D542" s="9">
        <f>7.721 * CHOOSE(CONTROL!$C$32, $C$9, 100%, $E$9)</f>
        <v>7.7210000000000001</v>
      </c>
      <c r="E542" s="11">
        <f>8.6415 * CHOOSE(CONTROL!$C$32, $C$9, 100%, $E$9)</f>
        <v>8.6415000000000006</v>
      </c>
      <c r="F542" s="11">
        <f>8.6415 * CHOOSE(CONTROL!$C$32, $C$9, 100%, $E$9)</f>
        <v>8.6415000000000006</v>
      </c>
      <c r="G542" s="11">
        <f>8.6447 * CHOOSE(CONTROL!$C$32, $C$9, 100%, $E$9)</f>
        <v>8.6447000000000003</v>
      </c>
      <c r="H542" s="11">
        <f>17.3102 * CHOOSE(CONTROL!$C$32, $C$9, 100%, $E$9)</f>
        <v>17.310199999999998</v>
      </c>
      <c r="I542" s="11">
        <f>17.3134 * CHOOSE(CONTROL!$C$32, $C$9, 100%, $E$9)</f>
        <v>17.313400000000001</v>
      </c>
      <c r="J542" s="11">
        <f>17.3102 * CHOOSE(CONTROL!$C$32, $C$9, 100%, $E$9)</f>
        <v>17.310199999999998</v>
      </c>
      <c r="K542" s="11">
        <f>17.3134 * CHOOSE(CONTROL!$C$32, $C$9, 100%, $E$9)</f>
        <v>17.313400000000001</v>
      </c>
      <c r="L542" s="11">
        <f>8.6415 * CHOOSE(CONTROL!$C$32, $C$9, 100%, $E$9)</f>
        <v>8.6415000000000006</v>
      </c>
      <c r="M542" s="11">
        <f>8.6447 * CHOOSE(CONTROL!$C$32, $C$9, 100%, $E$9)</f>
        <v>8.6447000000000003</v>
      </c>
      <c r="N542" s="11">
        <f>8.6415 * CHOOSE(CONTROL!$C$32, $C$9, 100%, $E$9)</f>
        <v>8.6415000000000006</v>
      </c>
      <c r="O542" s="11">
        <f>8.6447 * CHOOSE(CONTROL!$C$32, $C$9, 100%, $E$9)</f>
        <v>8.6447000000000003</v>
      </c>
    </row>
    <row r="543" spans="1:15" ht="15" x14ac:dyDescent="0.2">
      <c r="A543" s="13">
        <v>57377</v>
      </c>
      <c r="B543" s="9">
        <f>7.717 * CHOOSE(CONTROL!$C$32, $C$9, 100%, $E$9)</f>
        <v>7.7169999999999996</v>
      </c>
      <c r="C543" s="9">
        <f>7.717 * CHOOSE(CONTROL!$C$32, $C$9, 100%, $E$9)</f>
        <v>7.7169999999999996</v>
      </c>
      <c r="D543" s="9">
        <f>7.7179 * CHOOSE(CONTROL!$C$32, $C$9, 100%, $E$9)</f>
        <v>7.7179000000000002</v>
      </c>
      <c r="E543" s="11">
        <f>8.4413 * CHOOSE(CONTROL!$C$32, $C$9, 100%, $E$9)</f>
        <v>8.4413</v>
      </c>
      <c r="F543" s="11">
        <f>8.4413 * CHOOSE(CONTROL!$C$32, $C$9, 100%, $E$9)</f>
        <v>8.4413</v>
      </c>
      <c r="G543" s="11">
        <f>8.4445 * CHOOSE(CONTROL!$C$32, $C$9, 100%, $E$9)</f>
        <v>8.4444999999999997</v>
      </c>
      <c r="H543" s="11">
        <f>17.3463 * CHOOSE(CONTROL!$C$32, $C$9, 100%, $E$9)</f>
        <v>17.346299999999999</v>
      </c>
      <c r="I543" s="11">
        <f>17.3495 * CHOOSE(CONTROL!$C$32, $C$9, 100%, $E$9)</f>
        <v>17.349499999999999</v>
      </c>
      <c r="J543" s="11">
        <f>17.3463 * CHOOSE(CONTROL!$C$32, $C$9, 100%, $E$9)</f>
        <v>17.346299999999999</v>
      </c>
      <c r="K543" s="11">
        <f>17.3495 * CHOOSE(CONTROL!$C$32, $C$9, 100%, $E$9)</f>
        <v>17.349499999999999</v>
      </c>
      <c r="L543" s="11">
        <f>8.4413 * CHOOSE(CONTROL!$C$32, $C$9, 100%, $E$9)</f>
        <v>8.4413</v>
      </c>
      <c r="M543" s="11">
        <f>8.4445 * CHOOSE(CONTROL!$C$32, $C$9, 100%, $E$9)</f>
        <v>8.4444999999999997</v>
      </c>
      <c r="N543" s="11">
        <f>8.4413 * CHOOSE(CONTROL!$C$32, $C$9, 100%, $E$9)</f>
        <v>8.4413</v>
      </c>
      <c r="O543" s="11">
        <f>8.4445 * CHOOSE(CONTROL!$C$32, $C$9, 100%, $E$9)</f>
        <v>8.4444999999999997</v>
      </c>
    </row>
    <row r="544" spans="1:15" ht="15" x14ac:dyDescent="0.2">
      <c r="A544" s="13">
        <v>57405</v>
      </c>
      <c r="B544" s="9">
        <f>7.7139 * CHOOSE(CONTROL!$C$32, $C$9, 100%, $E$9)</f>
        <v>7.7138999999999998</v>
      </c>
      <c r="C544" s="9">
        <f>7.7139 * CHOOSE(CONTROL!$C$32, $C$9, 100%, $E$9)</f>
        <v>7.7138999999999998</v>
      </c>
      <c r="D544" s="9">
        <f>7.7149 * CHOOSE(CONTROL!$C$32, $C$9, 100%, $E$9)</f>
        <v>7.7149000000000001</v>
      </c>
      <c r="E544" s="11">
        <f>8.5954 * CHOOSE(CONTROL!$C$32, $C$9, 100%, $E$9)</f>
        <v>8.5953999999999997</v>
      </c>
      <c r="F544" s="11">
        <f>8.5954 * CHOOSE(CONTROL!$C$32, $C$9, 100%, $E$9)</f>
        <v>8.5953999999999997</v>
      </c>
      <c r="G544" s="11">
        <f>8.5986 * CHOOSE(CONTROL!$C$32, $C$9, 100%, $E$9)</f>
        <v>8.5985999999999994</v>
      </c>
      <c r="H544" s="11">
        <f>17.3824 * CHOOSE(CONTROL!$C$32, $C$9, 100%, $E$9)</f>
        <v>17.382400000000001</v>
      </c>
      <c r="I544" s="11">
        <f>17.3856 * CHOOSE(CONTROL!$C$32, $C$9, 100%, $E$9)</f>
        <v>17.3856</v>
      </c>
      <c r="J544" s="11">
        <f>17.3824 * CHOOSE(CONTROL!$C$32, $C$9, 100%, $E$9)</f>
        <v>17.382400000000001</v>
      </c>
      <c r="K544" s="11">
        <f>17.3856 * CHOOSE(CONTROL!$C$32, $C$9, 100%, $E$9)</f>
        <v>17.3856</v>
      </c>
      <c r="L544" s="11">
        <f>8.5954 * CHOOSE(CONTROL!$C$32, $C$9, 100%, $E$9)</f>
        <v>8.5953999999999997</v>
      </c>
      <c r="M544" s="11">
        <f>8.5986 * CHOOSE(CONTROL!$C$32, $C$9, 100%, $E$9)</f>
        <v>8.5985999999999994</v>
      </c>
      <c r="N544" s="11">
        <f>8.5954 * CHOOSE(CONTROL!$C$32, $C$9, 100%, $E$9)</f>
        <v>8.5953999999999997</v>
      </c>
      <c r="O544" s="11">
        <f>8.5986 * CHOOSE(CONTROL!$C$32, $C$9, 100%, $E$9)</f>
        <v>8.5985999999999994</v>
      </c>
    </row>
    <row r="545" spans="1:15" ht="15" x14ac:dyDescent="0.2">
      <c r="A545" s="13">
        <v>57436</v>
      </c>
      <c r="B545" s="9">
        <f>7.7152 * CHOOSE(CONTROL!$C$32, $C$9, 100%, $E$9)</f>
        <v>7.7152000000000003</v>
      </c>
      <c r="C545" s="9">
        <f>7.7152 * CHOOSE(CONTROL!$C$32, $C$9, 100%, $E$9)</f>
        <v>7.7152000000000003</v>
      </c>
      <c r="D545" s="9">
        <f>7.7161 * CHOOSE(CONTROL!$C$32, $C$9, 100%, $E$9)</f>
        <v>7.7161</v>
      </c>
      <c r="E545" s="11">
        <f>8.7588 * CHOOSE(CONTROL!$C$32, $C$9, 100%, $E$9)</f>
        <v>8.7588000000000008</v>
      </c>
      <c r="F545" s="11">
        <f>8.7588 * CHOOSE(CONTROL!$C$32, $C$9, 100%, $E$9)</f>
        <v>8.7588000000000008</v>
      </c>
      <c r="G545" s="11">
        <f>8.7621 * CHOOSE(CONTROL!$C$32, $C$9, 100%, $E$9)</f>
        <v>8.7621000000000002</v>
      </c>
      <c r="H545" s="11">
        <f>17.4186 * CHOOSE(CONTROL!$C$32, $C$9, 100%, $E$9)</f>
        <v>17.418600000000001</v>
      </c>
      <c r="I545" s="11">
        <f>17.4218 * CHOOSE(CONTROL!$C$32, $C$9, 100%, $E$9)</f>
        <v>17.421800000000001</v>
      </c>
      <c r="J545" s="11">
        <f>17.4186 * CHOOSE(CONTROL!$C$32, $C$9, 100%, $E$9)</f>
        <v>17.418600000000001</v>
      </c>
      <c r="K545" s="11">
        <f>17.4218 * CHOOSE(CONTROL!$C$32, $C$9, 100%, $E$9)</f>
        <v>17.421800000000001</v>
      </c>
      <c r="L545" s="11">
        <f>8.7588 * CHOOSE(CONTROL!$C$32, $C$9, 100%, $E$9)</f>
        <v>8.7588000000000008</v>
      </c>
      <c r="M545" s="11">
        <f>8.7621 * CHOOSE(CONTROL!$C$32, $C$9, 100%, $E$9)</f>
        <v>8.7621000000000002</v>
      </c>
      <c r="N545" s="11">
        <f>8.7588 * CHOOSE(CONTROL!$C$32, $C$9, 100%, $E$9)</f>
        <v>8.7588000000000008</v>
      </c>
      <c r="O545" s="11">
        <f>8.7621 * CHOOSE(CONTROL!$C$32, $C$9, 100%, $E$9)</f>
        <v>8.7621000000000002</v>
      </c>
    </row>
    <row r="546" spans="1:15" ht="15" x14ac:dyDescent="0.2">
      <c r="A546" s="13">
        <v>57466</v>
      </c>
      <c r="B546" s="9">
        <f>7.7152 * CHOOSE(CONTROL!$C$32, $C$9, 100%, $E$9)</f>
        <v>7.7152000000000003</v>
      </c>
      <c r="C546" s="9">
        <f>7.7152 * CHOOSE(CONTROL!$C$32, $C$9, 100%, $E$9)</f>
        <v>7.7152000000000003</v>
      </c>
      <c r="D546" s="9">
        <f>7.7164 * CHOOSE(CONTROL!$C$32, $C$9, 100%, $E$9)</f>
        <v>7.7164000000000001</v>
      </c>
      <c r="E546" s="11">
        <f>8.8217 * CHOOSE(CONTROL!$C$32, $C$9, 100%, $E$9)</f>
        <v>8.8216999999999999</v>
      </c>
      <c r="F546" s="11">
        <f>8.8217 * CHOOSE(CONTROL!$C$32, $C$9, 100%, $E$9)</f>
        <v>8.8216999999999999</v>
      </c>
      <c r="G546" s="11">
        <f>8.8259 * CHOOSE(CONTROL!$C$32, $C$9, 100%, $E$9)</f>
        <v>8.8259000000000007</v>
      </c>
      <c r="H546" s="11">
        <f>17.4549 * CHOOSE(CONTROL!$C$32, $C$9, 100%, $E$9)</f>
        <v>17.454899999999999</v>
      </c>
      <c r="I546" s="11">
        <f>17.4591 * CHOOSE(CONTROL!$C$32, $C$9, 100%, $E$9)</f>
        <v>17.459099999999999</v>
      </c>
      <c r="J546" s="11">
        <f>17.4549 * CHOOSE(CONTROL!$C$32, $C$9, 100%, $E$9)</f>
        <v>17.454899999999999</v>
      </c>
      <c r="K546" s="11">
        <f>17.4591 * CHOOSE(CONTROL!$C$32, $C$9, 100%, $E$9)</f>
        <v>17.459099999999999</v>
      </c>
      <c r="L546" s="11">
        <f>8.8217 * CHOOSE(CONTROL!$C$32, $C$9, 100%, $E$9)</f>
        <v>8.8216999999999999</v>
      </c>
      <c r="M546" s="11">
        <f>8.8259 * CHOOSE(CONTROL!$C$32, $C$9, 100%, $E$9)</f>
        <v>8.8259000000000007</v>
      </c>
      <c r="N546" s="11">
        <f>8.8217 * CHOOSE(CONTROL!$C$32, $C$9, 100%, $E$9)</f>
        <v>8.8216999999999999</v>
      </c>
      <c r="O546" s="11">
        <f>8.8259 * CHOOSE(CONTROL!$C$32, $C$9, 100%, $E$9)</f>
        <v>8.8259000000000007</v>
      </c>
    </row>
    <row r="547" spans="1:15" ht="15" x14ac:dyDescent="0.2">
      <c r="A547" s="13">
        <v>57497</v>
      </c>
      <c r="B547" s="9">
        <f>7.7213 * CHOOSE(CONTROL!$C$32, $C$9, 100%, $E$9)</f>
        <v>7.7213000000000003</v>
      </c>
      <c r="C547" s="9">
        <f>7.7213 * CHOOSE(CONTROL!$C$32, $C$9, 100%, $E$9)</f>
        <v>7.7213000000000003</v>
      </c>
      <c r="D547" s="9">
        <f>7.7225 * CHOOSE(CONTROL!$C$32, $C$9, 100%, $E$9)</f>
        <v>7.7225000000000001</v>
      </c>
      <c r="E547" s="11">
        <f>8.7631 * CHOOSE(CONTROL!$C$32, $C$9, 100%, $E$9)</f>
        <v>8.7630999999999997</v>
      </c>
      <c r="F547" s="11">
        <f>8.7631 * CHOOSE(CONTROL!$C$32, $C$9, 100%, $E$9)</f>
        <v>8.7630999999999997</v>
      </c>
      <c r="G547" s="11">
        <f>8.7673 * CHOOSE(CONTROL!$C$32, $C$9, 100%, $E$9)</f>
        <v>8.7673000000000005</v>
      </c>
      <c r="H547" s="11">
        <f>17.4913 * CHOOSE(CONTROL!$C$32, $C$9, 100%, $E$9)</f>
        <v>17.491299999999999</v>
      </c>
      <c r="I547" s="11">
        <f>17.4955 * CHOOSE(CONTROL!$C$32, $C$9, 100%, $E$9)</f>
        <v>17.4955</v>
      </c>
      <c r="J547" s="11">
        <f>17.4913 * CHOOSE(CONTROL!$C$32, $C$9, 100%, $E$9)</f>
        <v>17.491299999999999</v>
      </c>
      <c r="K547" s="11">
        <f>17.4955 * CHOOSE(CONTROL!$C$32, $C$9, 100%, $E$9)</f>
        <v>17.4955</v>
      </c>
      <c r="L547" s="11">
        <f>8.7631 * CHOOSE(CONTROL!$C$32, $C$9, 100%, $E$9)</f>
        <v>8.7630999999999997</v>
      </c>
      <c r="M547" s="11">
        <f>8.7673 * CHOOSE(CONTROL!$C$32, $C$9, 100%, $E$9)</f>
        <v>8.7673000000000005</v>
      </c>
      <c r="N547" s="11">
        <f>8.7631 * CHOOSE(CONTROL!$C$32, $C$9, 100%, $E$9)</f>
        <v>8.7630999999999997</v>
      </c>
      <c r="O547" s="11">
        <f>8.7673 * CHOOSE(CONTROL!$C$32, $C$9, 100%, $E$9)</f>
        <v>8.7673000000000005</v>
      </c>
    </row>
    <row r="548" spans="1:15" ht="15" x14ac:dyDescent="0.2">
      <c r="A548" s="13">
        <v>57527</v>
      </c>
      <c r="B548" s="9">
        <f>7.8207 * CHOOSE(CONTROL!$C$32, $C$9, 100%, $E$9)</f>
        <v>7.8207000000000004</v>
      </c>
      <c r="C548" s="9">
        <f>7.8207 * CHOOSE(CONTROL!$C$32, $C$9, 100%, $E$9)</f>
        <v>7.8207000000000004</v>
      </c>
      <c r="D548" s="9">
        <f>7.8219 * CHOOSE(CONTROL!$C$32, $C$9, 100%, $E$9)</f>
        <v>7.8219000000000003</v>
      </c>
      <c r="E548" s="11">
        <f>8.8842 * CHOOSE(CONTROL!$C$32, $C$9, 100%, $E$9)</f>
        <v>8.8841999999999999</v>
      </c>
      <c r="F548" s="11">
        <f>8.8842 * CHOOSE(CONTROL!$C$32, $C$9, 100%, $E$9)</f>
        <v>8.8841999999999999</v>
      </c>
      <c r="G548" s="11">
        <f>8.8884 * CHOOSE(CONTROL!$C$32, $C$9, 100%, $E$9)</f>
        <v>8.8884000000000007</v>
      </c>
      <c r="H548" s="11">
        <f>17.5277 * CHOOSE(CONTROL!$C$32, $C$9, 100%, $E$9)</f>
        <v>17.527699999999999</v>
      </c>
      <c r="I548" s="11">
        <f>17.5319 * CHOOSE(CONTROL!$C$32, $C$9, 100%, $E$9)</f>
        <v>17.5319</v>
      </c>
      <c r="J548" s="11">
        <f>17.5277 * CHOOSE(CONTROL!$C$32, $C$9, 100%, $E$9)</f>
        <v>17.527699999999999</v>
      </c>
      <c r="K548" s="11">
        <f>17.5319 * CHOOSE(CONTROL!$C$32, $C$9, 100%, $E$9)</f>
        <v>17.5319</v>
      </c>
      <c r="L548" s="11">
        <f>8.8842 * CHOOSE(CONTROL!$C$32, $C$9, 100%, $E$9)</f>
        <v>8.8841999999999999</v>
      </c>
      <c r="M548" s="11">
        <f>8.8884 * CHOOSE(CONTROL!$C$32, $C$9, 100%, $E$9)</f>
        <v>8.8884000000000007</v>
      </c>
      <c r="N548" s="11">
        <f>8.8842 * CHOOSE(CONTROL!$C$32, $C$9, 100%, $E$9)</f>
        <v>8.8841999999999999</v>
      </c>
      <c r="O548" s="11">
        <f>8.8884 * CHOOSE(CONTROL!$C$32, $C$9, 100%, $E$9)</f>
        <v>8.8884000000000007</v>
      </c>
    </row>
    <row r="549" spans="1:15" ht="15" x14ac:dyDescent="0.2">
      <c r="A549" s="13">
        <v>57558</v>
      </c>
      <c r="B549" s="9">
        <f>7.8273 * CHOOSE(CONTROL!$C$32, $C$9, 100%, $E$9)</f>
        <v>7.8273000000000001</v>
      </c>
      <c r="C549" s="9">
        <f>7.8273 * CHOOSE(CONTROL!$C$32, $C$9, 100%, $E$9)</f>
        <v>7.8273000000000001</v>
      </c>
      <c r="D549" s="9">
        <f>7.8286 * CHOOSE(CONTROL!$C$32, $C$9, 100%, $E$9)</f>
        <v>7.8285999999999998</v>
      </c>
      <c r="E549" s="11">
        <f>8.7002 * CHOOSE(CONTROL!$C$32, $C$9, 100%, $E$9)</f>
        <v>8.7002000000000006</v>
      </c>
      <c r="F549" s="11">
        <f>8.7002 * CHOOSE(CONTROL!$C$32, $C$9, 100%, $E$9)</f>
        <v>8.7002000000000006</v>
      </c>
      <c r="G549" s="11">
        <f>8.7044 * CHOOSE(CONTROL!$C$32, $C$9, 100%, $E$9)</f>
        <v>8.7043999999999997</v>
      </c>
      <c r="H549" s="11">
        <f>17.5642 * CHOOSE(CONTROL!$C$32, $C$9, 100%, $E$9)</f>
        <v>17.5642</v>
      </c>
      <c r="I549" s="11">
        <f>17.5684 * CHOOSE(CONTROL!$C$32, $C$9, 100%, $E$9)</f>
        <v>17.5684</v>
      </c>
      <c r="J549" s="11">
        <f>17.5642 * CHOOSE(CONTROL!$C$32, $C$9, 100%, $E$9)</f>
        <v>17.5642</v>
      </c>
      <c r="K549" s="11">
        <f>17.5684 * CHOOSE(CONTROL!$C$32, $C$9, 100%, $E$9)</f>
        <v>17.5684</v>
      </c>
      <c r="L549" s="11">
        <f>8.7002 * CHOOSE(CONTROL!$C$32, $C$9, 100%, $E$9)</f>
        <v>8.7002000000000006</v>
      </c>
      <c r="M549" s="11">
        <f>8.7044 * CHOOSE(CONTROL!$C$32, $C$9, 100%, $E$9)</f>
        <v>8.7043999999999997</v>
      </c>
      <c r="N549" s="11">
        <f>8.7002 * CHOOSE(CONTROL!$C$32, $C$9, 100%, $E$9)</f>
        <v>8.7002000000000006</v>
      </c>
      <c r="O549" s="11">
        <f>8.7044 * CHOOSE(CONTROL!$C$32, $C$9, 100%, $E$9)</f>
        <v>8.7043999999999997</v>
      </c>
    </row>
    <row r="550" spans="1:15" ht="15" x14ac:dyDescent="0.2">
      <c r="A550" s="13">
        <v>57589</v>
      </c>
      <c r="B550" s="9">
        <f>7.8243 * CHOOSE(CONTROL!$C$32, $C$9, 100%, $E$9)</f>
        <v>7.8243</v>
      </c>
      <c r="C550" s="9">
        <f>7.8243 * CHOOSE(CONTROL!$C$32, $C$9, 100%, $E$9)</f>
        <v>7.8243</v>
      </c>
      <c r="D550" s="9">
        <f>7.8256 * CHOOSE(CONTROL!$C$32, $C$9, 100%, $E$9)</f>
        <v>7.8255999999999997</v>
      </c>
      <c r="E550" s="11">
        <f>8.6771 * CHOOSE(CONTROL!$C$32, $C$9, 100%, $E$9)</f>
        <v>8.6770999999999994</v>
      </c>
      <c r="F550" s="11">
        <f>8.6771 * CHOOSE(CONTROL!$C$32, $C$9, 100%, $E$9)</f>
        <v>8.6770999999999994</v>
      </c>
      <c r="G550" s="11">
        <f>8.6813 * CHOOSE(CONTROL!$C$32, $C$9, 100%, $E$9)</f>
        <v>8.6813000000000002</v>
      </c>
      <c r="H550" s="11">
        <f>17.6008 * CHOOSE(CONTROL!$C$32, $C$9, 100%, $E$9)</f>
        <v>17.6008</v>
      </c>
      <c r="I550" s="11">
        <f>17.605 * CHOOSE(CONTROL!$C$32, $C$9, 100%, $E$9)</f>
        <v>17.605</v>
      </c>
      <c r="J550" s="11">
        <f>17.6008 * CHOOSE(CONTROL!$C$32, $C$9, 100%, $E$9)</f>
        <v>17.6008</v>
      </c>
      <c r="K550" s="11">
        <f>17.605 * CHOOSE(CONTROL!$C$32, $C$9, 100%, $E$9)</f>
        <v>17.605</v>
      </c>
      <c r="L550" s="11">
        <f>8.6771 * CHOOSE(CONTROL!$C$32, $C$9, 100%, $E$9)</f>
        <v>8.6770999999999994</v>
      </c>
      <c r="M550" s="11">
        <f>8.6813 * CHOOSE(CONTROL!$C$32, $C$9, 100%, $E$9)</f>
        <v>8.6813000000000002</v>
      </c>
      <c r="N550" s="11">
        <f>8.6771 * CHOOSE(CONTROL!$C$32, $C$9, 100%, $E$9)</f>
        <v>8.6770999999999994</v>
      </c>
      <c r="O550" s="11">
        <f>8.6813 * CHOOSE(CONTROL!$C$32, $C$9, 100%, $E$9)</f>
        <v>8.6813000000000002</v>
      </c>
    </row>
    <row r="551" spans="1:15" ht="15" x14ac:dyDescent="0.2">
      <c r="A551" s="13">
        <v>57619</v>
      </c>
      <c r="B551" s="9">
        <f>7.8336 * CHOOSE(CONTROL!$C$32, $C$9, 100%, $E$9)</f>
        <v>7.8335999999999997</v>
      </c>
      <c r="C551" s="9">
        <f>7.8336 * CHOOSE(CONTROL!$C$32, $C$9, 100%, $E$9)</f>
        <v>7.8335999999999997</v>
      </c>
      <c r="D551" s="9">
        <f>7.8346 * CHOOSE(CONTROL!$C$32, $C$9, 100%, $E$9)</f>
        <v>7.8346</v>
      </c>
      <c r="E551" s="11">
        <f>8.7475 * CHOOSE(CONTROL!$C$32, $C$9, 100%, $E$9)</f>
        <v>8.7475000000000005</v>
      </c>
      <c r="F551" s="11">
        <f>8.7475 * CHOOSE(CONTROL!$C$32, $C$9, 100%, $E$9)</f>
        <v>8.7475000000000005</v>
      </c>
      <c r="G551" s="11">
        <f>8.7508 * CHOOSE(CONTROL!$C$32, $C$9, 100%, $E$9)</f>
        <v>8.7507999999999999</v>
      </c>
      <c r="H551" s="11">
        <f>17.6375 * CHOOSE(CONTROL!$C$32, $C$9, 100%, $E$9)</f>
        <v>17.637499999999999</v>
      </c>
      <c r="I551" s="11">
        <f>17.6407 * CHOOSE(CONTROL!$C$32, $C$9, 100%, $E$9)</f>
        <v>17.640699999999999</v>
      </c>
      <c r="J551" s="11">
        <f>17.6375 * CHOOSE(CONTROL!$C$32, $C$9, 100%, $E$9)</f>
        <v>17.637499999999999</v>
      </c>
      <c r="K551" s="11">
        <f>17.6407 * CHOOSE(CONTROL!$C$32, $C$9, 100%, $E$9)</f>
        <v>17.640699999999999</v>
      </c>
      <c r="L551" s="11">
        <f>8.7475 * CHOOSE(CONTROL!$C$32, $C$9, 100%, $E$9)</f>
        <v>8.7475000000000005</v>
      </c>
      <c r="M551" s="11">
        <f>8.7508 * CHOOSE(CONTROL!$C$32, $C$9, 100%, $E$9)</f>
        <v>8.7507999999999999</v>
      </c>
      <c r="N551" s="11">
        <f>8.7475 * CHOOSE(CONTROL!$C$32, $C$9, 100%, $E$9)</f>
        <v>8.7475000000000005</v>
      </c>
      <c r="O551" s="11">
        <f>8.7508 * CHOOSE(CONTROL!$C$32, $C$9, 100%, $E$9)</f>
        <v>8.7507999999999999</v>
      </c>
    </row>
    <row r="552" spans="1:15" ht="15" x14ac:dyDescent="0.2">
      <c r="A552" s="13">
        <v>57650</v>
      </c>
      <c r="B552" s="9">
        <f>7.8366 * CHOOSE(CONTROL!$C$32, $C$9, 100%, $E$9)</f>
        <v>7.8365999999999998</v>
      </c>
      <c r="C552" s="9">
        <f>7.8366 * CHOOSE(CONTROL!$C$32, $C$9, 100%, $E$9)</f>
        <v>7.8365999999999998</v>
      </c>
      <c r="D552" s="9">
        <f>7.8376 * CHOOSE(CONTROL!$C$32, $C$9, 100%, $E$9)</f>
        <v>7.8376000000000001</v>
      </c>
      <c r="E552" s="11">
        <f>8.7916 * CHOOSE(CONTROL!$C$32, $C$9, 100%, $E$9)</f>
        <v>8.7916000000000007</v>
      </c>
      <c r="F552" s="11">
        <f>8.7916 * CHOOSE(CONTROL!$C$32, $C$9, 100%, $E$9)</f>
        <v>8.7916000000000007</v>
      </c>
      <c r="G552" s="11">
        <f>8.7948 * CHOOSE(CONTROL!$C$32, $C$9, 100%, $E$9)</f>
        <v>8.7948000000000004</v>
      </c>
      <c r="H552" s="11">
        <f>17.6742 * CHOOSE(CONTROL!$C$32, $C$9, 100%, $E$9)</f>
        <v>17.674199999999999</v>
      </c>
      <c r="I552" s="11">
        <f>17.6774 * CHOOSE(CONTROL!$C$32, $C$9, 100%, $E$9)</f>
        <v>17.677399999999999</v>
      </c>
      <c r="J552" s="11">
        <f>17.6742 * CHOOSE(CONTROL!$C$32, $C$9, 100%, $E$9)</f>
        <v>17.674199999999999</v>
      </c>
      <c r="K552" s="11">
        <f>17.6774 * CHOOSE(CONTROL!$C$32, $C$9, 100%, $E$9)</f>
        <v>17.677399999999999</v>
      </c>
      <c r="L552" s="11">
        <f>8.7916 * CHOOSE(CONTROL!$C$32, $C$9, 100%, $E$9)</f>
        <v>8.7916000000000007</v>
      </c>
      <c r="M552" s="11">
        <f>8.7948 * CHOOSE(CONTROL!$C$32, $C$9, 100%, $E$9)</f>
        <v>8.7948000000000004</v>
      </c>
      <c r="N552" s="11">
        <f>8.7916 * CHOOSE(CONTROL!$C$32, $C$9, 100%, $E$9)</f>
        <v>8.7916000000000007</v>
      </c>
      <c r="O552" s="11">
        <f>8.7948 * CHOOSE(CONTROL!$C$32, $C$9, 100%, $E$9)</f>
        <v>8.7948000000000004</v>
      </c>
    </row>
    <row r="553" spans="1:15" ht="15" x14ac:dyDescent="0.2">
      <c r="A553" s="13">
        <v>57680</v>
      </c>
      <c r="B553" s="9">
        <f>7.8366 * CHOOSE(CONTROL!$C$32, $C$9, 100%, $E$9)</f>
        <v>7.8365999999999998</v>
      </c>
      <c r="C553" s="9">
        <f>7.8366 * CHOOSE(CONTROL!$C$32, $C$9, 100%, $E$9)</f>
        <v>7.8365999999999998</v>
      </c>
      <c r="D553" s="9">
        <f>7.8376 * CHOOSE(CONTROL!$C$32, $C$9, 100%, $E$9)</f>
        <v>7.8376000000000001</v>
      </c>
      <c r="E553" s="11">
        <f>8.6867 * CHOOSE(CONTROL!$C$32, $C$9, 100%, $E$9)</f>
        <v>8.6867000000000001</v>
      </c>
      <c r="F553" s="11">
        <f>8.6867 * CHOOSE(CONTROL!$C$32, $C$9, 100%, $E$9)</f>
        <v>8.6867000000000001</v>
      </c>
      <c r="G553" s="11">
        <f>8.69 * CHOOSE(CONTROL!$C$32, $C$9, 100%, $E$9)</f>
        <v>8.69</v>
      </c>
      <c r="H553" s="11">
        <f>17.711 * CHOOSE(CONTROL!$C$32, $C$9, 100%, $E$9)</f>
        <v>17.710999999999999</v>
      </c>
      <c r="I553" s="11">
        <f>17.7143 * CHOOSE(CONTROL!$C$32, $C$9, 100%, $E$9)</f>
        <v>17.714300000000001</v>
      </c>
      <c r="J553" s="11">
        <f>17.711 * CHOOSE(CONTROL!$C$32, $C$9, 100%, $E$9)</f>
        <v>17.710999999999999</v>
      </c>
      <c r="K553" s="11">
        <f>17.7143 * CHOOSE(CONTROL!$C$32, $C$9, 100%, $E$9)</f>
        <v>17.714300000000001</v>
      </c>
      <c r="L553" s="11">
        <f>8.6867 * CHOOSE(CONTROL!$C$32, $C$9, 100%, $E$9)</f>
        <v>8.6867000000000001</v>
      </c>
      <c r="M553" s="11">
        <f>8.69 * CHOOSE(CONTROL!$C$32, $C$9, 100%, $E$9)</f>
        <v>8.69</v>
      </c>
      <c r="N553" s="11">
        <f>8.6867 * CHOOSE(CONTROL!$C$32, $C$9, 100%, $E$9)</f>
        <v>8.6867000000000001</v>
      </c>
      <c r="O553" s="11">
        <f>8.69 * CHOOSE(CONTROL!$C$32, $C$9, 100%, $E$9)</f>
        <v>8.69</v>
      </c>
    </row>
    <row r="554" spans="1:15" ht="15" x14ac:dyDescent="0.2">
      <c r="A554" s="13">
        <v>57711</v>
      </c>
      <c r="B554" s="9">
        <f>7.8952 * CHOOSE(CONTROL!$C$32, $C$9, 100%, $E$9)</f>
        <v>7.8952</v>
      </c>
      <c r="C554" s="9">
        <f>7.8952 * CHOOSE(CONTROL!$C$32, $C$9, 100%, $E$9)</f>
        <v>7.8952</v>
      </c>
      <c r="D554" s="9">
        <f>7.8961 * CHOOSE(CONTROL!$C$32, $C$9, 100%, $E$9)</f>
        <v>7.8960999999999997</v>
      </c>
      <c r="E554" s="11">
        <f>8.8374 * CHOOSE(CONTROL!$C$32, $C$9, 100%, $E$9)</f>
        <v>8.8374000000000006</v>
      </c>
      <c r="F554" s="11">
        <f>8.8374 * CHOOSE(CONTROL!$C$32, $C$9, 100%, $E$9)</f>
        <v>8.8374000000000006</v>
      </c>
      <c r="G554" s="11">
        <f>8.8406 * CHOOSE(CONTROL!$C$32, $C$9, 100%, $E$9)</f>
        <v>8.8406000000000002</v>
      </c>
      <c r="H554" s="11">
        <f>17.7479 * CHOOSE(CONTROL!$C$32, $C$9, 100%, $E$9)</f>
        <v>17.747900000000001</v>
      </c>
      <c r="I554" s="11">
        <f>17.7512 * CHOOSE(CONTROL!$C$32, $C$9, 100%, $E$9)</f>
        <v>17.751200000000001</v>
      </c>
      <c r="J554" s="11">
        <f>17.7479 * CHOOSE(CONTROL!$C$32, $C$9, 100%, $E$9)</f>
        <v>17.747900000000001</v>
      </c>
      <c r="K554" s="11">
        <f>17.7512 * CHOOSE(CONTROL!$C$32, $C$9, 100%, $E$9)</f>
        <v>17.751200000000001</v>
      </c>
      <c r="L554" s="11">
        <f>8.8374 * CHOOSE(CONTROL!$C$32, $C$9, 100%, $E$9)</f>
        <v>8.8374000000000006</v>
      </c>
      <c r="M554" s="11">
        <f>8.8406 * CHOOSE(CONTROL!$C$32, $C$9, 100%, $E$9)</f>
        <v>8.8406000000000002</v>
      </c>
      <c r="N554" s="11">
        <f>8.8374 * CHOOSE(CONTROL!$C$32, $C$9, 100%, $E$9)</f>
        <v>8.8374000000000006</v>
      </c>
      <c r="O554" s="11">
        <f>8.8406 * CHOOSE(CONTROL!$C$32, $C$9, 100%, $E$9)</f>
        <v>8.8406000000000002</v>
      </c>
    </row>
    <row r="555" spans="1:15" ht="15" x14ac:dyDescent="0.2">
      <c r="A555" s="13">
        <v>57742</v>
      </c>
      <c r="B555" s="9">
        <f>7.8921 * CHOOSE(CONTROL!$C$32, $C$9, 100%, $E$9)</f>
        <v>7.8921000000000001</v>
      </c>
      <c r="C555" s="9">
        <f>7.8921 * CHOOSE(CONTROL!$C$32, $C$9, 100%, $E$9)</f>
        <v>7.8921000000000001</v>
      </c>
      <c r="D555" s="9">
        <f>7.8931 * CHOOSE(CONTROL!$C$32, $C$9, 100%, $E$9)</f>
        <v>7.8930999999999996</v>
      </c>
      <c r="E555" s="11">
        <f>8.6307 * CHOOSE(CONTROL!$C$32, $C$9, 100%, $E$9)</f>
        <v>8.6306999999999992</v>
      </c>
      <c r="F555" s="11">
        <f>8.6307 * CHOOSE(CONTROL!$C$32, $C$9, 100%, $E$9)</f>
        <v>8.6306999999999992</v>
      </c>
      <c r="G555" s="11">
        <f>8.634 * CHOOSE(CONTROL!$C$32, $C$9, 100%, $E$9)</f>
        <v>8.6340000000000003</v>
      </c>
      <c r="H555" s="11">
        <f>17.7849 * CHOOSE(CONTROL!$C$32, $C$9, 100%, $E$9)</f>
        <v>17.7849</v>
      </c>
      <c r="I555" s="11">
        <f>17.7881 * CHOOSE(CONTROL!$C$32, $C$9, 100%, $E$9)</f>
        <v>17.7881</v>
      </c>
      <c r="J555" s="11">
        <f>17.7849 * CHOOSE(CONTROL!$C$32, $C$9, 100%, $E$9)</f>
        <v>17.7849</v>
      </c>
      <c r="K555" s="11">
        <f>17.7881 * CHOOSE(CONTROL!$C$32, $C$9, 100%, $E$9)</f>
        <v>17.7881</v>
      </c>
      <c r="L555" s="11">
        <f>8.6307 * CHOOSE(CONTROL!$C$32, $C$9, 100%, $E$9)</f>
        <v>8.6306999999999992</v>
      </c>
      <c r="M555" s="11">
        <f>8.634 * CHOOSE(CONTROL!$C$32, $C$9, 100%, $E$9)</f>
        <v>8.6340000000000003</v>
      </c>
      <c r="N555" s="11">
        <f>8.6307 * CHOOSE(CONTROL!$C$32, $C$9, 100%, $E$9)</f>
        <v>8.6306999999999992</v>
      </c>
      <c r="O555" s="11">
        <f>8.634 * CHOOSE(CONTROL!$C$32, $C$9, 100%, $E$9)</f>
        <v>8.6340000000000003</v>
      </c>
    </row>
    <row r="556" spans="1:15" ht="15" x14ac:dyDescent="0.2">
      <c r="A556" s="13">
        <v>57770</v>
      </c>
      <c r="B556" s="9">
        <f>7.8891 * CHOOSE(CONTROL!$C$32, $C$9, 100%, $E$9)</f>
        <v>7.8891</v>
      </c>
      <c r="C556" s="9">
        <f>7.8891 * CHOOSE(CONTROL!$C$32, $C$9, 100%, $E$9)</f>
        <v>7.8891</v>
      </c>
      <c r="D556" s="9">
        <f>7.89 * CHOOSE(CONTROL!$C$32, $C$9, 100%, $E$9)</f>
        <v>7.89</v>
      </c>
      <c r="E556" s="11">
        <f>8.7899 * CHOOSE(CONTROL!$C$32, $C$9, 100%, $E$9)</f>
        <v>8.7898999999999994</v>
      </c>
      <c r="F556" s="11">
        <f>8.7899 * CHOOSE(CONTROL!$C$32, $C$9, 100%, $E$9)</f>
        <v>8.7898999999999994</v>
      </c>
      <c r="G556" s="11">
        <f>8.7931 * CHOOSE(CONTROL!$C$32, $C$9, 100%, $E$9)</f>
        <v>8.7931000000000008</v>
      </c>
      <c r="H556" s="11">
        <f>17.822 * CHOOSE(CONTROL!$C$32, $C$9, 100%, $E$9)</f>
        <v>17.821999999999999</v>
      </c>
      <c r="I556" s="11">
        <f>17.8252 * CHOOSE(CONTROL!$C$32, $C$9, 100%, $E$9)</f>
        <v>17.825199999999999</v>
      </c>
      <c r="J556" s="11">
        <f>17.822 * CHOOSE(CONTROL!$C$32, $C$9, 100%, $E$9)</f>
        <v>17.821999999999999</v>
      </c>
      <c r="K556" s="11">
        <f>17.8252 * CHOOSE(CONTROL!$C$32, $C$9, 100%, $E$9)</f>
        <v>17.825199999999999</v>
      </c>
      <c r="L556" s="11">
        <f>8.7899 * CHOOSE(CONTROL!$C$32, $C$9, 100%, $E$9)</f>
        <v>8.7898999999999994</v>
      </c>
      <c r="M556" s="11">
        <f>8.7931 * CHOOSE(CONTROL!$C$32, $C$9, 100%, $E$9)</f>
        <v>8.7931000000000008</v>
      </c>
      <c r="N556" s="11">
        <f>8.7899 * CHOOSE(CONTROL!$C$32, $C$9, 100%, $E$9)</f>
        <v>8.7898999999999994</v>
      </c>
      <c r="O556" s="11">
        <f>8.7931 * CHOOSE(CONTROL!$C$32, $C$9, 100%, $E$9)</f>
        <v>8.7931000000000008</v>
      </c>
    </row>
    <row r="557" spans="1:15" ht="15" x14ac:dyDescent="0.2">
      <c r="A557" s="13">
        <v>57801</v>
      </c>
      <c r="B557" s="9">
        <f>7.8905 * CHOOSE(CONTROL!$C$32, $C$9, 100%, $E$9)</f>
        <v>7.8905000000000003</v>
      </c>
      <c r="C557" s="9">
        <f>7.8905 * CHOOSE(CONTROL!$C$32, $C$9, 100%, $E$9)</f>
        <v>7.8905000000000003</v>
      </c>
      <c r="D557" s="9">
        <f>7.8915 * CHOOSE(CONTROL!$C$32, $C$9, 100%, $E$9)</f>
        <v>7.8914999999999997</v>
      </c>
      <c r="E557" s="11">
        <f>8.9588 * CHOOSE(CONTROL!$C$32, $C$9, 100%, $E$9)</f>
        <v>8.9588000000000001</v>
      </c>
      <c r="F557" s="11">
        <f>8.9588 * CHOOSE(CONTROL!$C$32, $C$9, 100%, $E$9)</f>
        <v>8.9588000000000001</v>
      </c>
      <c r="G557" s="11">
        <f>8.962 * CHOOSE(CONTROL!$C$32, $C$9, 100%, $E$9)</f>
        <v>8.9619999999999997</v>
      </c>
      <c r="H557" s="11">
        <f>17.8591 * CHOOSE(CONTROL!$C$32, $C$9, 100%, $E$9)</f>
        <v>17.859100000000002</v>
      </c>
      <c r="I557" s="11">
        <f>17.8623 * CHOOSE(CONTROL!$C$32, $C$9, 100%, $E$9)</f>
        <v>17.862300000000001</v>
      </c>
      <c r="J557" s="11">
        <f>17.8591 * CHOOSE(CONTROL!$C$32, $C$9, 100%, $E$9)</f>
        <v>17.859100000000002</v>
      </c>
      <c r="K557" s="11">
        <f>17.8623 * CHOOSE(CONTROL!$C$32, $C$9, 100%, $E$9)</f>
        <v>17.862300000000001</v>
      </c>
      <c r="L557" s="11">
        <f>8.9588 * CHOOSE(CONTROL!$C$32, $C$9, 100%, $E$9)</f>
        <v>8.9588000000000001</v>
      </c>
      <c r="M557" s="11">
        <f>8.962 * CHOOSE(CONTROL!$C$32, $C$9, 100%, $E$9)</f>
        <v>8.9619999999999997</v>
      </c>
      <c r="N557" s="11">
        <f>8.9588 * CHOOSE(CONTROL!$C$32, $C$9, 100%, $E$9)</f>
        <v>8.9588000000000001</v>
      </c>
      <c r="O557" s="11">
        <f>8.962 * CHOOSE(CONTROL!$C$32, $C$9, 100%, $E$9)</f>
        <v>8.9619999999999997</v>
      </c>
    </row>
    <row r="558" spans="1:15" ht="15" x14ac:dyDescent="0.2">
      <c r="A558" s="13">
        <v>57831</v>
      </c>
      <c r="B558" s="9">
        <f>7.8905 * CHOOSE(CONTROL!$C$32, $C$9, 100%, $E$9)</f>
        <v>7.8905000000000003</v>
      </c>
      <c r="C558" s="9">
        <f>7.8905 * CHOOSE(CONTROL!$C$32, $C$9, 100%, $E$9)</f>
        <v>7.8905000000000003</v>
      </c>
      <c r="D558" s="9">
        <f>7.8918 * CHOOSE(CONTROL!$C$32, $C$9, 100%, $E$9)</f>
        <v>7.8917999999999999</v>
      </c>
      <c r="E558" s="11">
        <f>9.0237 * CHOOSE(CONTROL!$C$32, $C$9, 100%, $E$9)</f>
        <v>9.0236999999999998</v>
      </c>
      <c r="F558" s="11">
        <f>9.0237 * CHOOSE(CONTROL!$C$32, $C$9, 100%, $E$9)</f>
        <v>9.0236999999999998</v>
      </c>
      <c r="G558" s="11">
        <f>9.0279 * CHOOSE(CONTROL!$C$32, $C$9, 100%, $E$9)</f>
        <v>9.0279000000000007</v>
      </c>
      <c r="H558" s="11">
        <f>17.8963 * CHOOSE(CONTROL!$C$32, $C$9, 100%, $E$9)</f>
        <v>17.8963</v>
      </c>
      <c r="I558" s="11">
        <f>17.9005 * CHOOSE(CONTROL!$C$32, $C$9, 100%, $E$9)</f>
        <v>17.900500000000001</v>
      </c>
      <c r="J558" s="11">
        <f>17.8963 * CHOOSE(CONTROL!$C$32, $C$9, 100%, $E$9)</f>
        <v>17.8963</v>
      </c>
      <c r="K558" s="11">
        <f>17.9005 * CHOOSE(CONTROL!$C$32, $C$9, 100%, $E$9)</f>
        <v>17.900500000000001</v>
      </c>
      <c r="L558" s="11">
        <f>9.0237 * CHOOSE(CONTROL!$C$32, $C$9, 100%, $E$9)</f>
        <v>9.0236999999999998</v>
      </c>
      <c r="M558" s="11">
        <f>9.0279 * CHOOSE(CONTROL!$C$32, $C$9, 100%, $E$9)</f>
        <v>9.0279000000000007</v>
      </c>
      <c r="N558" s="11">
        <f>9.0237 * CHOOSE(CONTROL!$C$32, $C$9, 100%, $E$9)</f>
        <v>9.0236999999999998</v>
      </c>
      <c r="O558" s="11">
        <f>9.0279 * CHOOSE(CONTROL!$C$32, $C$9, 100%, $E$9)</f>
        <v>9.0279000000000007</v>
      </c>
    </row>
    <row r="559" spans="1:15" ht="15" x14ac:dyDescent="0.2">
      <c r="A559" s="13">
        <v>57862</v>
      </c>
      <c r="B559" s="9">
        <f>7.8966 * CHOOSE(CONTROL!$C$32, $C$9, 100%, $E$9)</f>
        <v>7.8966000000000003</v>
      </c>
      <c r="C559" s="9">
        <f>7.8966 * CHOOSE(CONTROL!$C$32, $C$9, 100%, $E$9)</f>
        <v>7.8966000000000003</v>
      </c>
      <c r="D559" s="9">
        <f>7.8978 * CHOOSE(CONTROL!$C$32, $C$9, 100%, $E$9)</f>
        <v>7.8978000000000002</v>
      </c>
      <c r="E559" s="11">
        <f>8.963 * CHOOSE(CONTROL!$C$32, $C$9, 100%, $E$9)</f>
        <v>8.9629999999999992</v>
      </c>
      <c r="F559" s="11">
        <f>8.963 * CHOOSE(CONTROL!$C$32, $C$9, 100%, $E$9)</f>
        <v>8.9629999999999992</v>
      </c>
      <c r="G559" s="11">
        <f>8.9672 * CHOOSE(CONTROL!$C$32, $C$9, 100%, $E$9)</f>
        <v>8.9672000000000001</v>
      </c>
      <c r="H559" s="11">
        <f>17.9336 * CHOOSE(CONTROL!$C$32, $C$9, 100%, $E$9)</f>
        <v>17.933599999999998</v>
      </c>
      <c r="I559" s="11">
        <f>17.9378 * CHOOSE(CONTROL!$C$32, $C$9, 100%, $E$9)</f>
        <v>17.937799999999999</v>
      </c>
      <c r="J559" s="11">
        <f>17.9336 * CHOOSE(CONTROL!$C$32, $C$9, 100%, $E$9)</f>
        <v>17.933599999999998</v>
      </c>
      <c r="K559" s="11">
        <f>17.9378 * CHOOSE(CONTROL!$C$32, $C$9, 100%, $E$9)</f>
        <v>17.937799999999999</v>
      </c>
      <c r="L559" s="11">
        <f>8.963 * CHOOSE(CONTROL!$C$32, $C$9, 100%, $E$9)</f>
        <v>8.9629999999999992</v>
      </c>
      <c r="M559" s="11">
        <f>8.9672 * CHOOSE(CONTROL!$C$32, $C$9, 100%, $E$9)</f>
        <v>8.9672000000000001</v>
      </c>
      <c r="N559" s="11">
        <f>8.963 * CHOOSE(CONTROL!$C$32, $C$9, 100%, $E$9)</f>
        <v>8.9629999999999992</v>
      </c>
      <c r="O559" s="11">
        <f>8.9672 * CHOOSE(CONTROL!$C$32, $C$9, 100%, $E$9)</f>
        <v>8.9672000000000001</v>
      </c>
    </row>
    <row r="560" spans="1:15" ht="15" x14ac:dyDescent="0.2">
      <c r="A560" s="13">
        <v>57892</v>
      </c>
      <c r="B560" s="9">
        <f>7.9979 * CHOOSE(CONTROL!$C$32, $C$9, 100%, $E$9)</f>
        <v>7.9978999999999996</v>
      </c>
      <c r="C560" s="9">
        <f>7.9979 * CHOOSE(CONTROL!$C$32, $C$9, 100%, $E$9)</f>
        <v>7.9978999999999996</v>
      </c>
      <c r="D560" s="9">
        <f>7.9991 * CHOOSE(CONTROL!$C$32, $C$9, 100%, $E$9)</f>
        <v>7.9991000000000003</v>
      </c>
      <c r="E560" s="11">
        <f>9.0871 * CHOOSE(CONTROL!$C$32, $C$9, 100%, $E$9)</f>
        <v>9.0870999999999995</v>
      </c>
      <c r="F560" s="11">
        <f>9.0871 * CHOOSE(CONTROL!$C$32, $C$9, 100%, $E$9)</f>
        <v>9.0870999999999995</v>
      </c>
      <c r="G560" s="11">
        <f>9.0913 * CHOOSE(CONTROL!$C$32, $C$9, 100%, $E$9)</f>
        <v>9.0913000000000004</v>
      </c>
      <c r="H560" s="11">
        <f>17.9709 * CHOOSE(CONTROL!$C$32, $C$9, 100%, $E$9)</f>
        <v>17.9709</v>
      </c>
      <c r="I560" s="11">
        <f>17.9751 * CHOOSE(CONTROL!$C$32, $C$9, 100%, $E$9)</f>
        <v>17.975100000000001</v>
      </c>
      <c r="J560" s="11">
        <f>17.9709 * CHOOSE(CONTROL!$C$32, $C$9, 100%, $E$9)</f>
        <v>17.9709</v>
      </c>
      <c r="K560" s="11">
        <f>17.9751 * CHOOSE(CONTROL!$C$32, $C$9, 100%, $E$9)</f>
        <v>17.975100000000001</v>
      </c>
      <c r="L560" s="11">
        <f>9.0871 * CHOOSE(CONTROL!$C$32, $C$9, 100%, $E$9)</f>
        <v>9.0870999999999995</v>
      </c>
      <c r="M560" s="11">
        <f>9.0913 * CHOOSE(CONTROL!$C$32, $C$9, 100%, $E$9)</f>
        <v>9.0913000000000004</v>
      </c>
      <c r="N560" s="11">
        <f>9.0871 * CHOOSE(CONTROL!$C$32, $C$9, 100%, $E$9)</f>
        <v>9.0870999999999995</v>
      </c>
      <c r="O560" s="11">
        <f>9.0913 * CHOOSE(CONTROL!$C$32, $C$9, 100%, $E$9)</f>
        <v>9.0913000000000004</v>
      </c>
    </row>
    <row r="561" spans="1:15" ht="15" x14ac:dyDescent="0.2">
      <c r="A561" s="13">
        <v>57923</v>
      </c>
      <c r="B561" s="9">
        <f>8.0046 * CHOOSE(CONTROL!$C$32, $C$9, 100%, $E$9)</f>
        <v>8.0045999999999999</v>
      </c>
      <c r="C561" s="9">
        <f>8.0046 * CHOOSE(CONTROL!$C$32, $C$9, 100%, $E$9)</f>
        <v>8.0045999999999999</v>
      </c>
      <c r="D561" s="9">
        <f>8.0058 * CHOOSE(CONTROL!$C$32, $C$9, 100%, $E$9)</f>
        <v>8.0058000000000007</v>
      </c>
      <c r="E561" s="11">
        <f>8.897 * CHOOSE(CONTROL!$C$32, $C$9, 100%, $E$9)</f>
        <v>8.8970000000000002</v>
      </c>
      <c r="F561" s="11">
        <f>8.897 * CHOOSE(CONTROL!$C$32, $C$9, 100%, $E$9)</f>
        <v>8.8970000000000002</v>
      </c>
      <c r="G561" s="11">
        <f>8.9012 * CHOOSE(CONTROL!$C$32, $C$9, 100%, $E$9)</f>
        <v>8.9011999999999993</v>
      </c>
      <c r="H561" s="11">
        <f>18.0084 * CHOOSE(CONTROL!$C$32, $C$9, 100%, $E$9)</f>
        <v>18.008400000000002</v>
      </c>
      <c r="I561" s="11">
        <f>18.0126 * CHOOSE(CONTROL!$C$32, $C$9, 100%, $E$9)</f>
        <v>18.012599999999999</v>
      </c>
      <c r="J561" s="11">
        <f>18.0084 * CHOOSE(CONTROL!$C$32, $C$9, 100%, $E$9)</f>
        <v>18.008400000000002</v>
      </c>
      <c r="K561" s="11">
        <f>18.0126 * CHOOSE(CONTROL!$C$32, $C$9, 100%, $E$9)</f>
        <v>18.012599999999999</v>
      </c>
      <c r="L561" s="11">
        <f>8.897 * CHOOSE(CONTROL!$C$32, $C$9, 100%, $E$9)</f>
        <v>8.8970000000000002</v>
      </c>
      <c r="M561" s="11">
        <f>8.9012 * CHOOSE(CONTROL!$C$32, $C$9, 100%, $E$9)</f>
        <v>8.9011999999999993</v>
      </c>
      <c r="N561" s="11">
        <f>8.897 * CHOOSE(CONTROL!$C$32, $C$9, 100%, $E$9)</f>
        <v>8.8970000000000002</v>
      </c>
      <c r="O561" s="11">
        <f>8.9012 * CHOOSE(CONTROL!$C$32, $C$9, 100%, $E$9)</f>
        <v>8.9011999999999993</v>
      </c>
    </row>
    <row r="562" spans="1:15" ht="15" x14ac:dyDescent="0.2">
      <c r="A562" s="13">
        <v>57954</v>
      </c>
      <c r="B562" s="9">
        <f>8.0015 * CHOOSE(CONTROL!$C$32, $C$9, 100%, $E$9)</f>
        <v>8.0015000000000001</v>
      </c>
      <c r="C562" s="9">
        <f>8.0015 * CHOOSE(CONTROL!$C$32, $C$9, 100%, $E$9)</f>
        <v>8.0015000000000001</v>
      </c>
      <c r="D562" s="9">
        <f>8.0028 * CHOOSE(CONTROL!$C$32, $C$9, 100%, $E$9)</f>
        <v>8.0028000000000006</v>
      </c>
      <c r="E562" s="11">
        <f>8.8732 * CHOOSE(CONTROL!$C$32, $C$9, 100%, $E$9)</f>
        <v>8.8732000000000006</v>
      </c>
      <c r="F562" s="11">
        <f>8.8732 * CHOOSE(CONTROL!$C$32, $C$9, 100%, $E$9)</f>
        <v>8.8732000000000006</v>
      </c>
      <c r="G562" s="11">
        <f>8.8774 * CHOOSE(CONTROL!$C$32, $C$9, 100%, $E$9)</f>
        <v>8.8773999999999997</v>
      </c>
      <c r="H562" s="11">
        <f>18.0459 * CHOOSE(CONTROL!$C$32, $C$9, 100%, $E$9)</f>
        <v>18.0459</v>
      </c>
      <c r="I562" s="11">
        <f>18.0501 * CHOOSE(CONTROL!$C$32, $C$9, 100%, $E$9)</f>
        <v>18.0501</v>
      </c>
      <c r="J562" s="11">
        <f>18.0459 * CHOOSE(CONTROL!$C$32, $C$9, 100%, $E$9)</f>
        <v>18.0459</v>
      </c>
      <c r="K562" s="11">
        <f>18.0501 * CHOOSE(CONTROL!$C$32, $C$9, 100%, $E$9)</f>
        <v>18.0501</v>
      </c>
      <c r="L562" s="11">
        <f>8.8732 * CHOOSE(CONTROL!$C$32, $C$9, 100%, $E$9)</f>
        <v>8.8732000000000006</v>
      </c>
      <c r="M562" s="11">
        <f>8.8774 * CHOOSE(CONTROL!$C$32, $C$9, 100%, $E$9)</f>
        <v>8.8773999999999997</v>
      </c>
      <c r="N562" s="11">
        <f>8.8732 * CHOOSE(CONTROL!$C$32, $C$9, 100%, $E$9)</f>
        <v>8.8732000000000006</v>
      </c>
      <c r="O562" s="11">
        <f>8.8774 * CHOOSE(CONTROL!$C$32, $C$9, 100%, $E$9)</f>
        <v>8.8773999999999997</v>
      </c>
    </row>
    <row r="563" spans="1:15" ht="15" x14ac:dyDescent="0.2">
      <c r="A563" s="13">
        <v>57984</v>
      </c>
      <c r="B563" s="9">
        <f>8.0115 * CHOOSE(CONTROL!$C$32, $C$9, 100%, $E$9)</f>
        <v>8.0114999999999998</v>
      </c>
      <c r="C563" s="9">
        <f>8.0115 * CHOOSE(CONTROL!$C$32, $C$9, 100%, $E$9)</f>
        <v>8.0114999999999998</v>
      </c>
      <c r="D563" s="9">
        <f>8.0125 * CHOOSE(CONTROL!$C$32, $C$9, 100%, $E$9)</f>
        <v>8.0124999999999993</v>
      </c>
      <c r="E563" s="11">
        <f>8.9464 * CHOOSE(CONTROL!$C$32, $C$9, 100%, $E$9)</f>
        <v>8.9464000000000006</v>
      </c>
      <c r="F563" s="11">
        <f>8.9464 * CHOOSE(CONTROL!$C$32, $C$9, 100%, $E$9)</f>
        <v>8.9464000000000006</v>
      </c>
      <c r="G563" s="11">
        <f>8.9496 * CHOOSE(CONTROL!$C$32, $C$9, 100%, $E$9)</f>
        <v>8.9496000000000002</v>
      </c>
      <c r="H563" s="11">
        <f>18.0835 * CHOOSE(CONTROL!$C$32, $C$9, 100%, $E$9)</f>
        <v>18.083500000000001</v>
      </c>
      <c r="I563" s="11">
        <f>18.0867 * CHOOSE(CONTROL!$C$32, $C$9, 100%, $E$9)</f>
        <v>18.0867</v>
      </c>
      <c r="J563" s="11">
        <f>18.0835 * CHOOSE(CONTROL!$C$32, $C$9, 100%, $E$9)</f>
        <v>18.083500000000001</v>
      </c>
      <c r="K563" s="11">
        <f>18.0867 * CHOOSE(CONTROL!$C$32, $C$9, 100%, $E$9)</f>
        <v>18.0867</v>
      </c>
      <c r="L563" s="11">
        <f>8.9464 * CHOOSE(CONTROL!$C$32, $C$9, 100%, $E$9)</f>
        <v>8.9464000000000006</v>
      </c>
      <c r="M563" s="11">
        <f>8.9496 * CHOOSE(CONTROL!$C$32, $C$9, 100%, $E$9)</f>
        <v>8.9496000000000002</v>
      </c>
      <c r="N563" s="11">
        <f>8.9464 * CHOOSE(CONTROL!$C$32, $C$9, 100%, $E$9)</f>
        <v>8.9464000000000006</v>
      </c>
      <c r="O563" s="11">
        <f>8.9496 * CHOOSE(CONTROL!$C$32, $C$9, 100%, $E$9)</f>
        <v>8.9496000000000002</v>
      </c>
    </row>
    <row r="564" spans="1:15" ht="15" x14ac:dyDescent="0.2">
      <c r="A564" s="13">
        <v>58015</v>
      </c>
      <c r="B564" s="9">
        <f>8.0145 * CHOOSE(CONTROL!$C$32, $C$9, 100%, $E$9)</f>
        <v>8.0145</v>
      </c>
      <c r="C564" s="9">
        <f>8.0145 * CHOOSE(CONTROL!$C$32, $C$9, 100%, $E$9)</f>
        <v>8.0145</v>
      </c>
      <c r="D564" s="9">
        <f>8.0155 * CHOOSE(CONTROL!$C$32, $C$9, 100%, $E$9)</f>
        <v>8.0154999999999994</v>
      </c>
      <c r="E564" s="11">
        <f>8.9918 * CHOOSE(CONTROL!$C$32, $C$9, 100%, $E$9)</f>
        <v>8.9917999999999996</v>
      </c>
      <c r="F564" s="11">
        <f>8.9918 * CHOOSE(CONTROL!$C$32, $C$9, 100%, $E$9)</f>
        <v>8.9917999999999996</v>
      </c>
      <c r="G564" s="11">
        <f>8.995 * CHOOSE(CONTROL!$C$32, $C$9, 100%, $E$9)</f>
        <v>8.9949999999999992</v>
      </c>
      <c r="H564" s="11">
        <f>18.1212 * CHOOSE(CONTROL!$C$32, $C$9, 100%, $E$9)</f>
        <v>18.121200000000002</v>
      </c>
      <c r="I564" s="11">
        <f>18.1244 * CHOOSE(CONTROL!$C$32, $C$9, 100%, $E$9)</f>
        <v>18.124400000000001</v>
      </c>
      <c r="J564" s="11">
        <f>18.1212 * CHOOSE(CONTROL!$C$32, $C$9, 100%, $E$9)</f>
        <v>18.121200000000002</v>
      </c>
      <c r="K564" s="11">
        <f>18.1244 * CHOOSE(CONTROL!$C$32, $C$9, 100%, $E$9)</f>
        <v>18.124400000000001</v>
      </c>
      <c r="L564" s="11">
        <f>8.9918 * CHOOSE(CONTROL!$C$32, $C$9, 100%, $E$9)</f>
        <v>8.9917999999999996</v>
      </c>
      <c r="M564" s="11">
        <f>8.995 * CHOOSE(CONTROL!$C$32, $C$9, 100%, $E$9)</f>
        <v>8.9949999999999992</v>
      </c>
      <c r="N564" s="11">
        <f>8.9918 * CHOOSE(CONTROL!$C$32, $C$9, 100%, $E$9)</f>
        <v>8.9917999999999996</v>
      </c>
      <c r="O564" s="11">
        <f>8.995 * CHOOSE(CONTROL!$C$32, $C$9, 100%, $E$9)</f>
        <v>8.9949999999999992</v>
      </c>
    </row>
    <row r="565" spans="1:15" ht="15" x14ac:dyDescent="0.2">
      <c r="A565" s="13">
        <v>58045</v>
      </c>
      <c r="B565" s="9">
        <f>8.0145 * CHOOSE(CONTROL!$C$32, $C$9, 100%, $E$9)</f>
        <v>8.0145</v>
      </c>
      <c r="C565" s="9">
        <f>8.0145 * CHOOSE(CONTROL!$C$32, $C$9, 100%, $E$9)</f>
        <v>8.0145</v>
      </c>
      <c r="D565" s="9">
        <f>8.0155 * CHOOSE(CONTROL!$C$32, $C$9, 100%, $E$9)</f>
        <v>8.0154999999999994</v>
      </c>
      <c r="E565" s="11">
        <f>8.8835 * CHOOSE(CONTROL!$C$32, $C$9, 100%, $E$9)</f>
        <v>8.8834999999999997</v>
      </c>
      <c r="F565" s="11">
        <f>8.8835 * CHOOSE(CONTROL!$C$32, $C$9, 100%, $E$9)</f>
        <v>8.8834999999999997</v>
      </c>
      <c r="G565" s="11">
        <f>8.8868 * CHOOSE(CONTROL!$C$32, $C$9, 100%, $E$9)</f>
        <v>8.8867999999999991</v>
      </c>
      <c r="H565" s="11">
        <f>18.1589 * CHOOSE(CONTROL!$C$32, $C$9, 100%, $E$9)</f>
        <v>18.158899999999999</v>
      </c>
      <c r="I565" s="11">
        <f>18.1622 * CHOOSE(CONTROL!$C$32, $C$9, 100%, $E$9)</f>
        <v>18.162199999999999</v>
      </c>
      <c r="J565" s="11">
        <f>18.1589 * CHOOSE(CONTROL!$C$32, $C$9, 100%, $E$9)</f>
        <v>18.158899999999999</v>
      </c>
      <c r="K565" s="11">
        <f>18.1622 * CHOOSE(CONTROL!$C$32, $C$9, 100%, $E$9)</f>
        <v>18.162199999999999</v>
      </c>
      <c r="L565" s="11">
        <f>8.8835 * CHOOSE(CONTROL!$C$32, $C$9, 100%, $E$9)</f>
        <v>8.8834999999999997</v>
      </c>
      <c r="M565" s="11">
        <f>8.8868 * CHOOSE(CONTROL!$C$32, $C$9, 100%, $E$9)</f>
        <v>8.8867999999999991</v>
      </c>
      <c r="N565" s="11">
        <f>8.8835 * CHOOSE(CONTROL!$C$32, $C$9, 100%, $E$9)</f>
        <v>8.8834999999999997</v>
      </c>
      <c r="O565" s="11">
        <f>8.8868 * CHOOSE(CONTROL!$C$32, $C$9, 100%, $E$9)</f>
        <v>8.8867999999999991</v>
      </c>
    </row>
    <row r="566" spans="1:15" ht="15" x14ac:dyDescent="0.2">
      <c r="A566" s="13">
        <v>58076</v>
      </c>
      <c r="B566" s="9">
        <f>8.0743 * CHOOSE(CONTROL!$C$32, $C$9, 100%, $E$9)</f>
        <v>8.0742999999999991</v>
      </c>
      <c r="C566" s="9">
        <f>8.0743 * CHOOSE(CONTROL!$C$32, $C$9, 100%, $E$9)</f>
        <v>8.0742999999999991</v>
      </c>
      <c r="D566" s="9">
        <f>8.0752 * CHOOSE(CONTROL!$C$32, $C$9, 100%, $E$9)</f>
        <v>8.0752000000000006</v>
      </c>
      <c r="E566" s="11">
        <f>9.0387 * CHOOSE(CONTROL!$C$32, $C$9, 100%, $E$9)</f>
        <v>9.0387000000000004</v>
      </c>
      <c r="F566" s="11">
        <f>9.0387 * CHOOSE(CONTROL!$C$32, $C$9, 100%, $E$9)</f>
        <v>9.0387000000000004</v>
      </c>
      <c r="G566" s="11">
        <f>9.0419 * CHOOSE(CONTROL!$C$32, $C$9, 100%, $E$9)</f>
        <v>9.0419</v>
      </c>
      <c r="H566" s="11">
        <f>18.1968 * CHOOSE(CONTROL!$C$32, $C$9, 100%, $E$9)</f>
        <v>18.1968</v>
      </c>
      <c r="I566" s="11">
        <f>18.2 * CHOOSE(CONTROL!$C$32, $C$9, 100%, $E$9)</f>
        <v>18.2</v>
      </c>
      <c r="J566" s="11">
        <f>18.1968 * CHOOSE(CONTROL!$C$32, $C$9, 100%, $E$9)</f>
        <v>18.1968</v>
      </c>
      <c r="K566" s="11">
        <f>18.2 * CHOOSE(CONTROL!$C$32, $C$9, 100%, $E$9)</f>
        <v>18.2</v>
      </c>
      <c r="L566" s="11">
        <f>9.0387 * CHOOSE(CONTROL!$C$32, $C$9, 100%, $E$9)</f>
        <v>9.0387000000000004</v>
      </c>
      <c r="M566" s="11">
        <f>9.0419 * CHOOSE(CONTROL!$C$32, $C$9, 100%, $E$9)</f>
        <v>9.0419</v>
      </c>
      <c r="N566" s="11">
        <f>9.0387 * CHOOSE(CONTROL!$C$32, $C$9, 100%, $E$9)</f>
        <v>9.0387000000000004</v>
      </c>
      <c r="O566" s="11">
        <f>9.0419 * CHOOSE(CONTROL!$C$32, $C$9, 100%, $E$9)</f>
        <v>9.0419</v>
      </c>
    </row>
    <row r="567" spans="1:15" ht="15" x14ac:dyDescent="0.2">
      <c r="A567" s="13">
        <v>58107</v>
      </c>
      <c r="B567" s="9">
        <f>8.0713 * CHOOSE(CONTROL!$C$32, $C$9, 100%, $E$9)</f>
        <v>8.0713000000000008</v>
      </c>
      <c r="C567" s="9">
        <f>8.0713 * CHOOSE(CONTROL!$C$32, $C$9, 100%, $E$9)</f>
        <v>8.0713000000000008</v>
      </c>
      <c r="D567" s="9">
        <f>8.0722 * CHOOSE(CONTROL!$C$32, $C$9, 100%, $E$9)</f>
        <v>8.0722000000000005</v>
      </c>
      <c r="E567" s="11">
        <f>8.8254 * CHOOSE(CONTROL!$C$32, $C$9, 100%, $E$9)</f>
        <v>8.8254000000000001</v>
      </c>
      <c r="F567" s="11">
        <f>8.8254 * CHOOSE(CONTROL!$C$32, $C$9, 100%, $E$9)</f>
        <v>8.8254000000000001</v>
      </c>
      <c r="G567" s="11">
        <f>8.8286 * CHOOSE(CONTROL!$C$32, $C$9, 100%, $E$9)</f>
        <v>8.8285999999999998</v>
      </c>
      <c r="H567" s="11">
        <f>18.2347 * CHOOSE(CONTROL!$C$32, $C$9, 100%, $E$9)</f>
        <v>18.2347</v>
      </c>
      <c r="I567" s="11">
        <f>18.2379 * CHOOSE(CONTROL!$C$32, $C$9, 100%, $E$9)</f>
        <v>18.2379</v>
      </c>
      <c r="J567" s="11">
        <f>18.2347 * CHOOSE(CONTROL!$C$32, $C$9, 100%, $E$9)</f>
        <v>18.2347</v>
      </c>
      <c r="K567" s="11">
        <f>18.2379 * CHOOSE(CONTROL!$C$32, $C$9, 100%, $E$9)</f>
        <v>18.2379</v>
      </c>
      <c r="L567" s="11">
        <f>8.8254 * CHOOSE(CONTROL!$C$32, $C$9, 100%, $E$9)</f>
        <v>8.8254000000000001</v>
      </c>
      <c r="M567" s="11">
        <f>8.8286 * CHOOSE(CONTROL!$C$32, $C$9, 100%, $E$9)</f>
        <v>8.8285999999999998</v>
      </c>
      <c r="N567" s="11">
        <f>8.8254 * CHOOSE(CONTROL!$C$32, $C$9, 100%, $E$9)</f>
        <v>8.8254000000000001</v>
      </c>
      <c r="O567" s="11">
        <f>8.8286 * CHOOSE(CONTROL!$C$32, $C$9, 100%, $E$9)</f>
        <v>8.8285999999999998</v>
      </c>
    </row>
    <row r="568" spans="1:15" ht="15" x14ac:dyDescent="0.2">
      <c r="A568" s="13">
        <v>58135</v>
      </c>
      <c r="B568" s="9">
        <f>8.0682 * CHOOSE(CONTROL!$C$32, $C$9, 100%, $E$9)</f>
        <v>8.0681999999999992</v>
      </c>
      <c r="C568" s="9">
        <f>8.0682 * CHOOSE(CONTROL!$C$32, $C$9, 100%, $E$9)</f>
        <v>8.0681999999999992</v>
      </c>
      <c r="D568" s="9">
        <f>8.0692 * CHOOSE(CONTROL!$C$32, $C$9, 100%, $E$9)</f>
        <v>8.0692000000000004</v>
      </c>
      <c r="E568" s="11">
        <f>8.9897 * CHOOSE(CONTROL!$C$32, $C$9, 100%, $E$9)</f>
        <v>8.9896999999999991</v>
      </c>
      <c r="F568" s="11">
        <f>8.9897 * CHOOSE(CONTROL!$C$32, $C$9, 100%, $E$9)</f>
        <v>8.9896999999999991</v>
      </c>
      <c r="G568" s="11">
        <f>8.993 * CHOOSE(CONTROL!$C$32, $C$9, 100%, $E$9)</f>
        <v>8.9930000000000003</v>
      </c>
      <c r="H568" s="11">
        <f>18.2727 * CHOOSE(CONTROL!$C$32, $C$9, 100%, $E$9)</f>
        <v>18.2727</v>
      </c>
      <c r="I568" s="11">
        <f>18.2759 * CHOOSE(CONTROL!$C$32, $C$9, 100%, $E$9)</f>
        <v>18.2759</v>
      </c>
      <c r="J568" s="11">
        <f>18.2727 * CHOOSE(CONTROL!$C$32, $C$9, 100%, $E$9)</f>
        <v>18.2727</v>
      </c>
      <c r="K568" s="11">
        <f>18.2759 * CHOOSE(CONTROL!$C$32, $C$9, 100%, $E$9)</f>
        <v>18.2759</v>
      </c>
      <c r="L568" s="11">
        <f>8.9897 * CHOOSE(CONTROL!$C$32, $C$9, 100%, $E$9)</f>
        <v>8.9896999999999991</v>
      </c>
      <c r="M568" s="11">
        <f>8.993 * CHOOSE(CONTROL!$C$32, $C$9, 100%, $E$9)</f>
        <v>8.9930000000000003</v>
      </c>
      <c r="N568" s="11">
        <f>8.9897 * CHOOSE(CONTROL!$C$32, $C$9, 100%, $E$9)</f>
        <v>8.9896999999999991</v>
      </c>
      <c r="O568" s="11">
        <f>8.993 * CHOOSE(CONTROL!$C$32, $C$9, 100%, $E$9)</f>
        <v>8.9930000000000003</v>
      </c>
    </row>
    <row r="569" spans="1:15" ht="15" x14ac:dyDescent="0.2">
      <c r="A569" s="13">
        <v>58166</v>
      </c>
      <c r="B569" s="9">
        <f>8.0698 * CHOOSE(CONTROL!$C$32, $C$9, 100%, $E$9)</f>
        <v>8.0698000000000008</v>
      </c>
      <c r="C569" s="9">
        <f>8.0698 * CHOOSE(CONTROL!$C$32, $C$9, 100%, $E$9)</f>
        <v>8.0698000000000008</v>
      </c>
      <c r="D569" s="9">
        <f>8.0708 * CHOOSE(CONTROL!$C$32, $C$9, 100%, $E$9)</f>
        <v>8.0708000000000002</v>
      </c>
      <c r="E569" s="11">
        <f>9.1643 * CHOOSE(CONTROL!$C$32, $C$9, 100%, $E$9)</f>
        <v>9.1643000000000008</v>
      </c>
      <c r="F569" s="11">
        <f>9.1643 * CHOOSE(CONTROL!$C$32, $C$9, 100%, $E$9)</f>
        <v>9.1643000000000008</v>
      </c>
      <c r="G569" s="11">
        <f>9.1675 * CHOOSE(CONTROL!$C$32, $C$9, 100%, $E$9)</f>
        <v>9.1675000000000004</v>
      </c>
      <c r="H569" s="11">
        <f>18.3107 * CHOOSE(CONTROL!$C$32, $C$9, 100%, $E$9)</f>
        <v>18.310700000000001</v>
      </c>
      <c r="I569" s="11">
        <f>18.314 * CHOOSE(CONTROL!$C$32, $C$9, 100%, $E$9)</f>
        <v>18.314</v>
      </c>
      <c r="J569" s="11">
        <f>18.3107 * CHOOSE(CONTROL!$C$32, $C$9, 100%, $E$9)</f>
        <v>18.310700000000001</v>
      </c>
      <c r="K569" s="11">
        <f>18.314 * CHOOSE(CONTROL!$C$32, $C$9, 100%, $E$9)</f>
        <v>18.314</v>
      </c>
      <c r="L569" s="11">
        <f>9.1643 * CHOOSE(CONTROL!$C$32, $C$9, 100%, $E$9)</f>
        <v>9.1643000000000008</v>
      </c>
      <c r="M569" s="11">
        <f>9.1675 * CHOOSE(CONTROL!$C$32, $C$9, 100%, $E$9)</f>
        <v>9.1675000000000004</v>
      </c>
      <c r="N569" s="11">
        <f>9.1643 * CHOOSE(CONTROL!$C$32, $C$9, 100%, $E$9)</f>
        <v>9.1643000000000008</v>
      </c>
      <c r="O569" s="11">
        <f>9.1675 * CHOOSE(CONTROL!$C$32, $C$9, 100%, $E$9)</f>
        <v>9.1675000000000004</v>
      </c>
    </row>
    <row r="570" spans="1:15" ht="15" x14ac:dyDescent="0.2">
      <c r="A570" s="13">
        <v>58196</v>
      </c>
      <c r="B570" s="9">
        <f>8.0698 * CHOOSE(CONTROL!$C$32, $C$9, 100%, $E$9)</f>
        <v>8.0698000000000008</v>
      </c>
      <c r="C570" s="9">
        <f>8.0698 * CHOOSE(CONTROL!$C$32, $C$9, 100%, $E$9)</f>
        <v>8.0698000000000008</v>
      </c>
      <c r="D570" s="9">
        <f>8.0711 * CHOOSE(CONTROL!$C$32, $C$9, 100%, $E$9)</f>
        <v>8.0710999999999995</v>
      </c>
      <c r="E570" s="11">
        <f>9.2313 * CHOOSE(CONTROL!$C$32, $C$9, 100%, $E$9)</f>
        <v>9.2312999999999992</v>
      </c>
      <c r="F570" s="11">
        <f>9.2313 * CHOOSE(CONTROL!$C$32, $C$9, 100%, $E$9)</f>
        <v>9.2312999999999992</v>
      </c>
      <c r="G570" s="11">
        <f>9.2356 * CHOOSE(CONTROL!$C$32, $C$9, 100%, $E$9)</f>
        <v>9.2355999999999998</v>
      </c>
      <c r="H570" s="11">
        <f>18.3489 * CHOOSE(CONTROL!$C$32, $C$9, 100%, $E$9)</f>
        <v>18.3489</v>
      </c>
      <c r="I570" s="11">
        <f>18.3531 * CHOOSE(CONTROL!$C$32, $C$9, 100%, $E$9)</f>
        <v>18.353100000000001</v>
      </c>
      <c r="J570" s="11">
        <f>18.3489 * CHOOSE(CONTROL!$C$32, $C$9, 100%, $E$9)</f>
        <v>18.3489</v>
      </c>
      <c r="K570" s="11">
        <f>18.3531 * CHOOSE(CONTROL!$C$32, $C$9, 100%, $E$9)</f>
        <v>18.353100000000001</v>
      </c>
      <c r="L570" s="11">
        <f>9.2313 * CHOOSE(CONTROL!$C$32, $C$9, 100%, $E$9)</f>
        <v>9.2312999999999992</v>
      </c>
      <c r="M570" s="11">
        <f>9.2356 * CHOOSE(CONTROL!$C$32, $C$9, 100%, $E$9)</f>
        <v>9.2355999999999998</v>
      </c>
      <c r="N570" s="11">
        <f>9.2313 * CHOOSE(CONTROL!$C$32, $C$9, 100%, $E$9)</f>
        <v>9.2312999999999992</v>
      </c>
      <c r="O570" s="11">
        <f>9.2356 * CHOOSE(CONTROL!$C$32, $C$9, 100%, $E$9)</f>
        <v>9.2355999999999998</v>
      </c>
    </row>
    <row r="571" spans="1:15" ht="15" x14ac:dyDescent="0.2">
      <c r="A571" s="13">
        <v>58227</v>
      </c>
      <c r="B571" s="9">
        <f>8.0759 * CHOOSE(CONTROL!$C$32, $C$9, 100%, $E$9)</f>
        <v>8.0759000000000007</v>
      </c>
      <c r="C571" s="9">
        <f>8.0759 * CHOOSE(CONTROL!$C$32, $C$9, 100%, $E$9)</f>
        <v>8.0759000000000007</v>
      </c>
      <c r="D571" s="9">
        <f>8.0771 * CHOOSE(CONTROL!$C$32, $C$9, 100%, $E$9)</f>
        <v>8.0770999999999997</v>
      </c>
      <c r="E571" s="11">
        <f>9.1685 * CHOOSE(CONTROL!$C$32, $C$9, 100%, $E$9)</f>
        <v>9.1684999999999999</v>
      </c>
      <c r="F571" s="11">
        <f>9.1685 * CHOOSE(CONTROL!$C$32, $C$9, 100%, $E$9)</f>
        <v>9.1684999999999999</v>
      </c>
      <c r="G571" s="11">
        <f>9.1727 * CHOOSE(CONTROL!$C$32, $C$9, 100%, $E$9)</f>
        <v>9.1727000000000007</v>
      </c>
      <c r="H571" s="11">
        <f>18.3871 * CHOOSE(CONTROL!$C$32, $C$9, 100%, $E$9)</f>
        <v>18.3871</v>
      </c>
      <c r="I571" s="11">
        <f>18.3913 * CHOOSE(CONTROL!$C$32, $C$9, 100%, $E$9)</f>
        <v>18.391300000000001</v>
      </c>
      <c r="J571" s="11">
        <f>18.3871 * CHOOSE(CONTROL!$C$32, $C$9, 100%, $E$9)</f>
        <v>18.3871</v>
      </c>
      <c r="K571" s="11">
        <f>18.3913 * CHOOSE(CONTROL!$C$32, $C$9, 100%, $E$9)</f>
        <v>18.391300000000001</v>
      </c>
      <c r="L571" s="11">
        <f>9.1685 * CHOOSE(CONTROL!$C$32, $C$9, 100%, $E$9)</f>
        <v>9.1684999999999999</v>
      </c>
      <c r="M571" s="11">
        <f>9.1727 * CHOOSE(CONTROL!$C$32, $C$9, 100%, $E$9)</f>
        <v>9.1727000000000007</v>
      </c>
      <c r="N571" s="11">
        <f>9.1685 * CHOOSE(CONTROL!$C$32, $C$9, 100%, $E$9)</f>
        <v>9.1684999999999999</v>
      </c>
      <c r="O571" s="11">
        <f>9.1727 * CHOOSE(CONTROL!$C$32, $C$9, 100%, $E$9)</f>
        <v>9.1727000000000007</v>
      </c>
    </row>
    <row r="572" spans="1:15" ht="15" x14ac:dyDescent="0.2">
      <c r="A572" s="13">
        <v>58257</v>
      </c>
      <c r="B572" s="9">
        <f>8.1792 * CHOOSE(CONTROL!$C$32, $C$9, 100%, $E$9)</f>
        <v>8.1791999999999998</v>
      </c>
      <c r="C572" s="9">
        <f>8.1792 * CHOOSE(CONTROL!$C$32, $C$9, 100%, $E$9)</f>
        <v>8.1791999999999998</v>
      </c>
      <c r="D572" s="9">
        <f>8.1804 * CHOOSE(CONTROL!$C$32, $C$9, 100%, $E$9)</f>
        <v>8.1804000000000006</v>
      </c>
      <c r="E572" s="11">
        <f>9.2956 * CHOOSE(CONTROL!$C$32, $C$9, 100%, $E$9)</f>
        <v>9.2956000000000003</v>
      </c>
      <c r="F572" s="11">
        <f>9.2956 * CHOOSE(CONTROL!$C$32, $C$9, 100%, $E$9)</f>
        <v>9.2956000000000003</v>
      </c>
      <c r="G572" s="11">
        <f>9.2998 * CHOOSE(CONTROL!$C$32, $C$9, 100%, $E$9)</f>
        <v>9.2997999999999994</v>
      </c>
      <c r="H572" s="11">
        <f>18.4254 * CHOOSE(CONTROL!$C$32, $C$9, 100%, $E$9)</f>
        <v>18.4254</v>
      </c>
      <c r="I572" s="11">
        <f>18.4296 * CHOOSE(CONTROL!$C$32, $C$9, 100%, $E$9)</f>
        <v>18.429600000000001</v>
      </c>
      <c r="J572" s="11">
        <f>18.4254 * CHOOSE(CONTROL!$C$32, $C$9, 100%, $E$9)</f>
        <v>18.4254</v>
      </c>
      <c r="K572" s="11">
        <f>18.4296 * CHOOSE(CONTROL!$C$32, $C$9, 100%, $E$9)</f>
        <v>18.429600000000001</v>
      </c>
      <c r="L572" s="11">
        <f>9.2956 * CHOOSE(CONTROL!$C$32, $C$9, 100%, $E$9)</f>
        <v>9.2956000000000003</v>
      </c>
      <c r="M572" s="11">
        <f>9.2998 * CHOOSE(CONTROL!$C$32, $C$9, 100%, $E$9)</f>
        <v>9.2997999999999994</v>
      </c>
      <c r="N572" s="11">
        <f>9.2956 * CHOOSE(CONTROL!$C$32, $C$9, 100%, $E$9)</f>
        <v>9.2956000000000003</v>
      </c>
      <c r="O572" s="11">
        <f>9.2998 * CHOOSE(CONTROL!$C$32, $C$9, 100%, $E$9)</f>
        <v>9.2997999999999994</v>
      </c>
    </row>
    <row r="573" spans="1:15" ht="15" x14ac:dyDescent="0.2">
      <c r="A573" s="13">
        <v>58288</v>
      </c>
      <c r="B573" s="9">
        <f>8.1858 * CHOOSE(CONTROL!$C$32, $C$9, 100%, $E$9)</f>
        <v>8.1858000000000004</v>
      </c>
      <c r="C573" s="9">
        <f>8.1858 * CHOOSE(CONTROL!$C$32, $C$9, 100%, $E$9)</f>
        <v>8.1858000000000004</v>
      </c>
      <c r="D573" s="9">
        <f>8.1871 * CHOOSE(CONTROL!$C$32, $C$9, 100%, $E$9)</f>
        <v>8.1870999999999992</v>
      </c>
      <c r="E573" s="11">
        <f>9.0991 * CHOOSE(CONTROL!$C$32, $C$9, 100%, $E$9)</f>
        <v>9.0991</v>
      </c>
      <c r="F573" s="11">
        <f>9.0991 * CHOOSE(CONTROL!$C$32, $C$9, 100%, $E$9)</f>
        <v>9.0991</v>
      </c>
      <c r="G573" s="11">
        <f>9.1033 * CHOOSE(CONTROL!$C$32, $C$9, 100%, $E$9)</f>
        <v>9.1033000000000008</v>
      </c>
      <c r="H573" s="11">
        <f>18.4638 * CHOOSE(CONTROL!$C$32, $C$9, 100%, $E$9)</f>
        <v>18.463799999999999</v>
      </c>
      <c r="I573" s="11">
        <f>18.468 * CHOOSE(CONTROL!$C$32, $C$9, 100%, $E$9)</f>
        <v>18.468</v>
      </c>
      <c r="J573" s="11">
        <f>18.4638 * CHOOSE(CONTROL!$C$32, $C$9, 100%, $E$9)</f>
        <v>18.463799999999999</v>
      </c>
      <c r="K573" s="11">
        <f>18.468 * CHOOSE(CONTROL!$C$32, $C$9, 100%, $E$9)</f>
        <v>18.468</v>
      </c>
      <c r="L573" s="11">
        <f>9.0991 * CHOOSE(CONTROL!$C$32, $C$9, 100%, $E$9)</f>
        <v>9.0991</v>
      </c>
      <c r="M573" s="11">
        <f>9.1033 * CHOOSE(CONTROL!$C$32, $C$9, 100%, $E$9)</f>
        <v>9.1033000000000008</v>
      </c>
      <c r="N573" s="11">
        <f>9.0991 * CHOOSE(CONTROL!$C$32, $C$9, 100%, $E$9)</f>
        <v>9.0991</v>
      </c>
      <c r="O573" s="11">
        <f>9.1033 * CHOOSE(CONTROL!$C$32, $C$9, 100%, $E$9)</f>
        <v>9.1033000000000008</v>
      </c>
    </row>
    <row r="574" spans="1:15" ht="15" x14ac:dyDescent="0.2">
      <c r="A574" s="13">
        <v>58319</v>
      </c>
      <c r="B574" s="9">
        <f>8.1828 * CHOOSE(CONTROL!$C$32, $C$9, 100%, $E$9)</f>
        <v>8.1828000000000003</v>
      </c>
      <c r="C574" s="9">
        <f>8.1828 * CHOOSE(CONTROL!$C$32, $C$9, 100%, $E$9)</f>
        <v>8.1828000000000003</v>
      </c>
      <c r="D574" s="9">
        <f>8.1841 * CHOOSE(CONTROL!$C$32, $C$9, 100%, $E$9)</f>
        <v>8.1841000000000008</v>
      </c>
      <c r="E574" s="11">
        <f>9.0746 * CHOOSE(CONTROL!$C$32, $C$9, 100%, $E$9)</f>
        <v>9.0746000000000002</v>
      </c>
      <c r="F574" s="11">
        <f>9.0746 * CHOOSE(CONTROL!$C$32, $C$9, 100%, $E$9)</f>
        <v>9.0746000000000002</v>
      </c>
      <c r="G574" s="11">
        <f>9.0788 * CHOOSE(CONTROL!$C$32, $C$9, 100%, $E$9)</f>
        <v>9.0787999999999993</v>
      </c>
      <c r="H574" s="11">
        <f>18.5023 * CHOOSE(CONTROL!$C$32, $C$9, 100%, $E$9)</f>
        <v>18.502300000000002</v>
      </c>
      <c r="I574" s="11">
        <f>18.5065 * CHOOSE(CONTROL!$C$32, $C$9, 100%, $E$9)</f>
        <v>18.506499999999999</v>
      </c>
      <c r="J574" s="11">
        <f>18.5023 * CHOOSE(CONTROL!$C$32, $C$9, 100%, $E$9)</f>
        <v>18.502300000000002</v>
      </c>
      <c r="K574" s="11">
        <f>18.5065 * CHOOSE(CONTROL!$C$32, $C$9, 100%, $E$9)</f>
        <v>18.506499999999999</v>
      </c>
      <c r="L574" s="11">
        <f>9.0746 * CHOOSE(CONTROL!$C$32, $C$9, 100%, $E$9)</f>
        <v>9.0746000000000002</v>
      </c>
      <c r="M574" s="11">
        <f>9.0788 * CHOOSE(CONTROL!$C$32, $C$9, 100%, $E$9)</f>
        <v>9.0787999999999993</v>
      </c>
      <c r="N574" s="11">
        <f>9.0746 * CHOOSE(CONTROL!$C$32, $C$9, 100%, $E$9)</f>
        <v>9.0746000000000002</v>
      </c>
      <c r="O574" s="11">
        <f>9.0788 * CHOOSE(CONTROL!$C$32, $C$9, 100%, $E$9)</f>
        <v>9.0787999999999993</v>
      </c>
    </row>
    <row r="575" spans="1:15" ht="15" x14ac:dyDescent="0.2">
      <c r="A575" s="13">
        <v>58349</v>
      </c>
      <c r="B575" s="9">
        <f>8.1934 * CHOOSE(CONTROL!$C$32, $C$9, 100%, $E$9)</f>
        <v>8.1934000000000005</v>
      </c>
      <c r="C575" s="9">
        <f>8.1934 * CHOOSE(CONTROL!$C$32, $C$9, 100%, $E$9)</f>
        <v>8.1934000000000005</v>
      </c>
      <c r="D575" s="9">
        <f>8.1944 * CHOOSE(CONTROL!$C$32, $C$9, 100%, $E$9)</f>
        <v>8.1943999999999999</v>
      </c>
      <c r="E575" s="11">
        <f>9.1506 * CHOOSE(CONTROL!$C$32, $C$9, 100%, $E$9)</f>
        <v>9.1506000000000007</v>
      </c>
      <c r="F575" s="11">
        <f>9.1506 * CHOOSE(CONTROL!$C$32, $C$9, 100%, $E$9)</f>
        <v>9.1506000000000007</v>
      </c>
      <c r="G575" s="11">
        <f>9.1538 * CHOOSE(CONTROL!$C$32, $C$9, 100%, $E$9)</f>
        <v>9.1538000000000004</v>
      </c>
      <c r="H575" s="11">
        <f>18.5408 * CHOOSE(CONTROL!$C$32, $C$9, 100%, $E$9)</f>
        <v>18.540800000000001</v>
      </c>
      <c r="I575" s="11">
        <f>18.544 * CHOOSE(CONTROL!$C$32, $C$9, 100%, $E$9)</f>
        <v>18.544</v>
      </c>
      <c r="J575" s="11">
        <f>18.5408 * CHOOSE(CONTROL!$C$32, $C$9, 100%, $E$9)</f>
        <v>18.540800000000001</v>
      </c>
      <c r="K575" s="11">
        <f>18.544 * CHOOSE(CONTROL!$C$32, $C$9, 100%, $E$9)</f>
        <v>18.544</v>
      </c>
      <c r="L575" s="11">
        <f>9.1506 * CHOOSE(CONTROL!$C$32, $C$9, 100%, $E$9)</f>
        <v>9.1506000000000007</v>
      </c>
      <c r="M575" s="11">
        <f>9.1538 * CHOOSE(CONTROL!$C$32, $C$9, 100%, $E$9)</f>
        <v>9.1538000000000004</v>
      </c>
      <c r="N575" s="11">
        <f>9.1506 * CHOOSE(CONTROL!$C$32, $C$9, 100%, $E$9)</f>
        <v>9.1506000000000007</v>
      </c>
      <c r="O575" s="11">
        <f>9.1538 * CHOOSE(CONTROL!$C$32, $C$9, 100%, $E$9)</f>
        <v>9.1538000000000004</v>
      </c>
    </row>
    <row r="576" spans="1:15" ht="15" x14ac:dyDescent="0.2">
      <c r="A576" s="13">
        <v>58380</v>
      </c>
      <c r="B576" s="9">
        <f>8.1965 * CHOOSE(CONTROL!$C$32, $C$9, 100%, $E$9)</f>
        <v>8.1965000000000003</v>
      </c>
      <c r="C576" s="9">
        <f>8.1965 * CHOOSE(CONTROL!$C$32, $C$9, 100%, $E$9)</f>
        <v>8.1965000000000003</v>
      </c>
      <c r="D576" s="9">
        <f>8.1974 * CHOOSE(CONTROL!$C$32, $C$9, 100%, $E$9)</f>
        <v>8.1974</v>
      </c>
      <c r="E576" s="11">
        <f>9.1974 * CHOOSE(CONTROL!$C$32, $C$9, 100%, $E$9)</f>
        <v>9.1974</v>
      </c>
      <c r="F576" s="11">
        <f>9.1974 * CHOOSE(CONTROL!$C$32, $C$9, 100%, $E$9)</f>
        <v>9.1974</v>
      </c>
      <c r="G576" s="11">
        <f>9.2007 * CHOOSE(CONTROL!$C$32, $C$9, 100%, $E$9)</f>
        <v>9.2006999999999994</v>
      </c>
      <c r="H576" s="11">
        <f>18.5794 * CHOOSE(CONTROL!$C$32, $C$9, 100%, $E$9)</f>
        <v>18.5794</v>
      </c>
      <c r="I576" s="11">
        <f>18.5827 * CHOOSE(CONTROL!$C$32, $C$9, 100%, $E$9)</f>
        <v>18.582699999999999</v>
      </c>
      <c r="J576" s="11">
        <f>18.5794 * CHOOSE(CONTROL!$C$32, $C$9, 100%, $E$9)</f>
        <v>18.5794</v>
      </c>
      <c r="K576" s="11">
        <f>18.5827 * CHOOSE(CONTROL!$C$32, $C$9, 100%, $E$9)</f>
        <v>18.582699999999999</v>
      </c>
      <c r="L576" s="11">
        <f>9.1974 * CHOOSE(CONTROL!$C$32, $C$9, 100%, $E$9)</f>
        <v>9.1974</v>
      </c>
      <c r="M576" s="11">
        <f>9.2007 * CHOOSE(CONTROL!$C$32, $C$9, 100%, $E$9)</f>
        <v>9.2006999999999994</v>
      </c>
      <c r="N576" s="11">
        <f>9.1974 * CHOOSE(CONTROL!$C$32, $C$9, 100%, $E$9)</f>
        <v>9.1974</v>
      </c>
      <c r="O576" s="11">
        <f>9.2007 * CHOOSE(CONTROL!$C$32, $C$9, 100%, $E$9)</f>
        <v>9.2006999999999994</v>
      </c>
    </row>
    <row r="577" spans="1:15" ht="15" x14ac:dyDescent="0.2">
      <c r="A577" s="13">
        <v>58410</v>
      </c>
      <c r="B577" s="9">
        <f>8.1965 * CHOOSE(CONTROL!$C$32, $C$9, 100%, $E$9)</f>
        <v>8.1965000000000003</v>
      </c>
      <c r="C577" s="9">
        <f>8.1965 * CHOOSE(CONTROL!$C$32, $C$9, 100%, $E$9)</f>
        <v>8.1965000000000003</v>
      </c>
      <c r="D577" s="9">
        <f>8.1974 * CHOOSE(CONTROL!$C$32, $C$9, 100%, $E$9)</f>
        <v>8.1974</v>
      </c>
      <c r="E577" s="11">
        <f>9.0857 * CHOOSE(CONTROL!$C$32, $C$9, 100%, $E$9)</f>
        <v>9.0856999999999992</v>
      </c>
      <c r="F577" s="11">
        <f>9.0857 * CHOOSE(CONTROL!$C$32, $C$9, 100%, $E$9)</f>
        <v>9.0856999999999992</v>
      </c>
      <c r="G577" s="11">
        <f>9.0889 * CHOOSE(CONTROL!$C$32, $C$9, 100%, $E$9)</f>
        <v>9.0889000000000006</v>
      </c>
      <c r="H577" s="11">
        <f>18.6181 * CHOOSE(CONTROL!$C$32, $C$9, 100%, $E$9)</f>
        <v>18.618099999999998</v>
      </c>
      <c r="I577" s="11">
        <f>18.6214 * CHOOSE(CONTROL!$C$32, $C$9, 100%, $E$9)</f>
        <v>18.621400000000001</v>
      </c>
      <c r="J577" s="11">
        <f>18.6181 * CHOOSE(CONTROL!$C$32, $C$9, 100%, $E$9)</f>
        <v>18.618099999999998</v>
      </c>
      <c r="K577" s="11">
        <f>18.6214 * CHOOSE(CONTROL!$C$32, $C$9, 100%, $E$9)</f>
        <v>18.621400000000001</v>
      </c>
      <c r="L577" s="11">
        <f>9.0857 * CHOOSE(CONTROL!$C$32, $C$9, 100%, $E$9)</f>
        <v>9.0856999999999992</v>
      </c>
      <c r="M577" s="11">
        <f>9.0889 * CHOOSE(CONTROL!$C$32, $C$9, 100%, $E$9)</f>
        <v>9.0889000000000006</v>
      </c>
      <c r="N577" s="11">
        <f>9.0857 * CHOOSE(CONTROL!$C$32, $C$9, 100%, $E$9)</f>
        <v>9.0856999999999992</v>
      </c>
      <c r="O577" s="11">
        <f>9.0889 * CHOOSE(CONTROL!$C$32, $C$9, 100%, $E$9)</f>
        <v>9.0889000000000006</v>
      </c>
    </row>
    <row r="578" spans="1:15" ht="15" x14ac:dyDescent="0.2">
      <c r="A578" s="13">
        <v>58441</v>
      </c>
      <c r="B578" s="9">
        <f>8.2575 * CHOOSE(CONTROL!$C$32, $C$9, 100%, $E$9)</f>
        <v>8.2575000000000003</v>
      </c>
      <c r="C578" s="9">
        <f>8.2575 * CHOOSE(CONTROL!$C$32, $C$9, 100%, $E$9)</f>
        <v>8.2575000000000003</v>
      </c>
      <c r="D578" s="9">
        <f>8.2584 * CHOOSE(CONTROL!$C$32, $C$9, 100%, $E$9)</f>
        <v>8.2584</v>
      </c>
      <c r="E578" s="11">
        <f>9.2455 * CHOOSE(CONTROL!$C$32, $C$9, 100%, $E$9)</f>
        <v>9.2454999999999998</v>
      </c>
      <c r="F578" s="11">
        <f>9.2455 * CHOOSE(CONTROL!$C$32, $C$9, 100%, $E$9)</f>
        <v>9.2454999999999998</v>
      </c>
      <c r="G578" s="11">
        <f>9.2487 * CHOOSE(CONTROL!$C$32, $C$9, 100%, $E$9)</f>
        <v>9.2486999999999995</v>
      </c>
      <c r="H578" s="11">
        <f>18.6569 * CHOOSE(CONTROL!$C$32, $C$9, 100%, $E$9)</f>
        <v>18.6569</v>
      </c>
      <c r="I578" s="11">
        <f>18.6602 * CHOOSE(CONTROL!$C$32, $C$9, 100%, $E$9)</f>
        <v>18.6602</v>
      </c>
      <c r="J578" s="11">
        <f>18.6569 * CHOOSE(CONTROL!$C$32, $C$9, 100%, $E$9)</f>
        <v>18.6569</v>
      </c>
      <c r="K578" s="11">
        <f>18.6602 * CHOOSE(CONTROL!$C$32, $C$9, 100%, $E$9)</f>
        <v>18.6602</v>
      </c>
      <c r="L578" s="11">
        <f>9.2455 * CHOOSE(CONTROL!$C$32, $C$9, 100%, $E$9)</f>
        <v>9.2454999999999998</v>
      </c>
      <c r="M578" s="11">
        <f>9.2487 * CHOOSE(CONTROL!$C$32, $C$9, 100%, $E$9)</f>
        <v>9.2486999999999995</v>
      </c>
      <c r="N578" s="11">
        <f>9.2455 * CHOOSE(CONTROL!$C$32, $C$9, 100%, $E$9)</f>
        <v>9.2454999999999998</v>
      </c>
      <c r="O578" s="11">
        <f>9.2487 * CHOOSE(CONTROL!$C$32, $C$9, 100%, $E$9)</f>
        <v>9.2486999999999995</v>
      </c>
    </row>
    <row r="579" spans="1:15" ht="15" x14ac:dyDescent="0.2">
      <c r="A579" s="13">
        <v>58472</v>
      </c>
      <c r="B579" s="9">
        <f>8.2544 * CHOOSE(CONTROL!$C$32, $C$9, 100%, $E$9)</f>
        <v>8.2544000000000004</v>
      </c>
      <c r="C579" s="9">
        <f>8.2544 * CHOOSE(CONTROL!$C$32, $C$9, 100%, $E$9)</f>
        <v>8.2544000000000004</v>
      </c>
      <c r="D579" s="9">
        <f>8.2554 * CHOOSE(CONTROL!$C$32, $C$9, 100%, $E$9)</f>
        <v>8.2553999999999998</v>
      </c>
      <c r="E579" s="11">
        <f>9.0253 * CHOOSE(CONTROL!$C$32, $C$9, 100%, $E$9)</f>
        <v>9.0252999999999997</v>
      </c>
      <c r="F579" s="11">
        <f>9.0253 * CHOOSE(CONTROL!$C$32, $C$9, 100%, $E$9)</f>
        <v>9.0252999999999997</v>
      </c>
      <c r="G579" s="11">
        <f>9.0285 * CHOOSE(CONTROL!$C$32, $C$9, 100%, $E$9)</f>
        <v>9.0284999999999993</v>
      </c>
      <c r="H579" s="11">
        <f>18.6958 * CHOOSE(CONTROL!$C$32, $C$9, 100%, $E$9)</f>
        <v>18.695799999999998</v>
      </c>
      <c r="I579" s="11">
        <f>18.699 * CHOOSE(CONTROL!$C$32, $C$9, 100%, $E$9)</f>
        <v>18.699000000000002</v>
      </c>
      <c r="J579" s="11">
        <f>18.6958 * CHOOSE(CONTROL!$C$32, $C$9, 100%, $E$9)</f>
        <v>18.695799999999998</v>
      </c>
      <c r="K579" s="11">
        <f>18.699 * CHOOSE(CONTROL!$C$32, $C$9, 100%, $E$9)</f>
        <v>18.699000000000002</v>
      </c>
      <c r="L579" s="11">
        <f>9.0253 * CHOOSE(CONTROL!$C$32, $C$9, 100%, $E$9)</f>
        <v>9.0252999999999997</v>
      </c>
      <c r="M579" s="11">
        <f>9.0285 * CHOOSE(CONTROL!$C$32, $C$9, 100%, $E$9)</f>
        <v>9.0284999999999993</v>
      </c>
      <c r="N579" s="11">
        <f>9.0253 * CHOOSE(CONTROL!$C$32, $C$9, 100%, $E$9)</f>
        <v>9.0252999999999997</v>
      </c>
      <c r="O579" s="11">
        <f>9.0285 * CHOOSE(CONTROL!$C$32, $C$9, 100%, $E$9)</f>
        <v>9.0284999999999993</v>
      </c>
    </row>
    <row r="580" spans="1:15" ht="15" x14ac:dyDescent="0.2">
      <c r="A580" s="13">
        <v>58501</v>
      </c>
      <c r="B580" s="9">
        <f>8.2514 * CHOOSE(CONTROL!$C$32, $C$9, 100%, $E$9)</f>
        <v>8.2514000000000003</v>
      </c>
      <c r="C580" s="9">
        <f>8.2514 * CHOOSE(CONTROL!$C$32, $C$9, 100%, $E$9)</f>
        <v>8.2514000000000003</v>
      </c>
      <c r="D580" s="9">
        <f>8.2524 * CHOOSE(CONTROL!$C$32, $C$9, 100%, $E$9)</f>
        <v>8.2523999999999997</v>
      </c>
      <c r="E580" s="11">
        <f>9.1951 * CHOOSE(CONTROL!$C$32, $C$9, 100%, $E$9)</f>
        <v>9.1951000000000001</v>
      </c>
      <c r="F580" s="11">
        <f>9.1951 * CHOOSE(CONTROL!$C$32, $C$9, 100%, $E$9)</f>
        <v>9.1951000000000001</v>
      </c>
      <c r="G580" s="11">
        <f>9.1983 * CHOOSE(CONTROL!$C$32, $C$9, 100%, $E$9)</f>
        <v>9.1982999999999997</v>
      </c>
      <c r="H580" s="11">
        <f>18.7347 * CHOOSE(CONTROL!$C$32, $C$9, 100%, $E$9)</f>
        <v>18.7347</v>
      </c>
      <c r="I580" s="11">
        <f>18.738 * CHOOSE(CONTROL!$C$32, $C$9, 100%, $E$9)</f>
        <v>18.738</v>
      </c>
      <c r="J580" s="11">
        <f>18.7347 * CHOOSE(CONTROL!$C$32, $C$9, 100%, $E$9)</f>
        <v>18.7347</v>
      </c>
      <c r="K580" s="11">
        <f>18.738 * CHOOSE(CONTROL!$C$32, $C$9, 100%, $E$9)</f>
        <v>18.738</v>
      </c>
      <c r="L580" s="11">
        <f>9.1951 * CHOOSE(CONTROL!$C$32, $C$9, 100%, $E$9)</f>
        <v>9.1951000000000001</v>
      </c>
      <c r="M580" s="11">
        <f>9.1983 * CHOOSE(CONTROL!$C$32, $C$9, 100%, $E$9)</f>
        <v>9.1982999999999997</v>
      </c>
      <c r="N580" s="11">
        <f>9.1951 * CHOOSE(CONTROL!$C$32, $C$9, 100%, $E$9)</f>
        <v>9.1951000000000001</v>
      </c>
      <c r="O580" s="11">
        <f>9.1983 * CHOOSE(CONTROL!$C$32, $C$9, 100%, $E$9)</f>
        <v>9.1982999999999997</v>
      </c>
    </row>
    <row r="581" spans="1:15" ht="15" x14ac:dyDescent="0.2">
      <c r="A581" s="13">
        <v>58532</v>
      </c>
      <c r="B581" s="9">
        <f>8.2532 * CHOOSE(CONTROL!$C$32, $C$9, 100%, $E$9)</f>
        <v>8.2531999999999996</v>
      </c>
      <c r="C581" s="9">
        <f>8.2532 * CHOOSE(CONTROL!$C$32, $C$9, 100%, $E$9)</f>
        <v>8.2531999999999996</v>
      </c>
      <c r="D581" s="9">
        <f>8.2541 * CHOOSE(CONTROL!$C$32, $C$9, 100%, $E$9)</f>
        <v>8.2540999999999993</v>
      </c>
      <c r="E581" s="11">
        <f>9.3755 * CHOOSE(CONTROL!$C$32, $C$9, 100%, $E$9)</f>
        <v>9.3755000000000006</v>
      </c>
      <c r="F581" s="11">
        <f>9.3755 * CHOOSE(CONTROL!$C$32, $C$9, 100%, $E$9)</f>
        <v>9.3755000000000006</v>
      </c>
      <c r="G581" s="11">
        <f>9.3787 * CHOOSE(CONTROL!$C$32, $C$9, 100%, $E$9)</f>
        <v>9.3787000000000003</v>
      </c>
      <c r="H581" s="11">
        <f>18.7738 * CHOOSE(CONTROL!$C$32, $C$9, 100%, $E$9)</f>
        <v>18.773800000000001</v>
      </c>
      <c r="I581" s="11">
        <f>18.777 * CHOOSE(CONTROL!$C$32, $C$9, 100%, $E$9)</f>
        <v>18.777000000000001</v>
      </c>
      <c r="J581" s="11">
        <f>18.7738 * CHOOSE(CONTROL!$C$32, $C$9, 100%, $E$9)</f>
        <v>18.773800000000001</v>
      </c>
      <c r="K581" s="11">
        <f>18.777 * CHOOSE(CONTROL!$C$32, $C$9, 100%, $E$9)</f>
        <v>18.777000000000001</v>
      </c>
      <c r="L581" s="11">
        <f>9.3755 * CHOOSE(CONTROL!$C$32, $C$9, 100%, $E$9)</f>
        <v>9.3755000000000006</v>
      </c>
      <c r="M581" s="11">
        <f>9.3787 * CHOOSE(CONTROL!$C$32, $C$9, 100%, $E$9)</f>
        <v>9.3787000000000003</v>
      </c>
      <c r="N581" s="11">
        <f>9.3755 * CHOOSE(CONTROL!$C$32, $C$9, 100%, $E$9)</f>
        <v>9.3755000000000006</v>
      </c>
      <c r="O581" s="11">
        <f>9.3787 * CHOOSE(CONTROL!$C$32, $C$9, 100%, $E$9)</f>
        <v>9.3787000000000003</v>
      </c>
    </row>
    <row r="582" spans="1:15" ht="15" x14ac:dyDescent="0.2">
      <c r="A582" s="13">
        <v>58562</v>
      </c>
      <c r="B582" s="9">
        <f>8.2532 * CHOOSE(CONTROL!$C$32, $C$9, 100%, $E$9)</f>
        <v>8.2531999999999996</v>
      </c>
      <c r="C582" s="9">
        <f>8.2532 * CHOOSE(CONTROL!$C$32, $C$9, 100%, $E$9)</f>
        <v>8.2531999999999996</v>
      </c>
      <c r="D582" s="9">
        <f>8.2544 * CHOOSE(CONTROL!$C$32, $C$9, 100%, $E$9)</f>
        <v>8.2544000000000004</v>
      </c>
      <c r="E582" s="11">
        <f>9.4447 * CHOOSE(CONTROL!$C$32, $C$9, 100%, $E$9)</f>
        <v>9.4446999999999992</v>
      </c>
      <c r="F582" s="11">
        <f>9.4447 * CHOOSE(CONTROL!$C$32, $C$9, 100%, $E$9)</f>
        <v>9.4446999999999992</v>
      </c>
      <c r="G582" s="11">
        <f>9.4489 * CHOOSE(CONTROL!$C$32, $C$9, 100%, $E$9)</f>
        <v>9.4489000000000001</v>
      </c>
      <c r="H582" s="11">
        <f>18.8129 * CHOOSE(CONTROL!$C$32, $C$9, 100%, $E$9)</f>
        <v>18.812899999999999</v>
      </c>
      <c r="I582" s="11">
        <f>18.8171 * CHOOSE(CONTROL!$C$32, $C$9, 100%, $E$9)</f>
        <v>18.8171</v>
      </c>
      <c r="J582" s="11">
        <f>18.8129 * CHOOSE(CONTROL!$C$32, $C$9, 100%, $E$9)</f>
        <v>18.812899999999999</v>
      </c>
      <c r="K582" s="11">
        <f>18.8171 * CHOOSE(CONTROL!$C$32, $C$9, 100%, $E$9)</f>
        <v>18.8171</v>
      </c>
      <c r="L582" s="11">
        <f>9.4447 * CHOOSE(CONTROL!$C$32, $C$9, 100%, $E$9)</f>
        <v>9.4446999999999992</v>
      </c>
      <c r="M582" s="11">
        <f>9.4489 * CHOOSE(CONTROL!$C$32, $C$9, 100%, $E$9)</f>
        <v>9.4489000000000001</v>
      </c>
      <c r="N582" s="11">
        <f>9.4447 * CHOOSE(CONTROL!$C$32, $C$9, 100%, $E$9)</f>
        <v>9.4446999999999992</v>
      </c>
      <c r="O582" s="11">
        <f>9.4489 * CHOOSE(CONTROL!$C$32, $C$9, 100%, $E$9)</f>
        <v>9.4489000000000001</v>
      </c>
    </row>
    <row r="583" spans="1:15" ht="15" x14ac:dyDescent="0.2">
      <c r="A583" s="13">
        <v>58593</v>
      </c>
      <c r="B583" s="9">
        <f>8.2593 * CHOOSE(CONTROL!$C$32, $C$9, 100%, $E$9)</f>
        <v>8.2592999999999996</v>
      </c>
      <c r="C583" s="9">
        <f>8.2593 * CHOOSE(CONTROL!$C$32, $C$9, 100%, $E$9)</f>
        <v>8.2592999999999996</v>
      </c>
      <c r="D583" s="9">
        <f>8.2605 * CHOOSE(CONTROL!$C$32, $C$9, 100%, $E$9)</f>
        <v>8.2605000000000004</v>
      </c>
      <c r="E583" s="11">
        <f>9.3797 * CHOOSE(CONTROL!$C$32, $C$9, 100%, $E$9)</f>
        <v>9.3796999999999997</v>
      </c>
      <c r="F583" s="11">
        <f>9.3797 * CHOOSE(CONTROL!$C$32, $C$9, 100%, $E$9)</f>
        <v>9.3796999999999997</v>
      </c>
      <c r="G583" s="11">
        <f>9.3839 * CHOOSE(CONTROL!$C$32, $C$9, 100%, $E$9)</f>
        <v>9.3839000000000006</v>
      </c>
      <c r="H583" s="11">
        <f>18.8521 * CHOOSE(CONTROL!$C$32, $C$9, 100%, $E$9)</f>
        <v>18.8521</v>
      </c>
      <c r="I583" s="11">
        <f>18.8563 * CHOOSE(CONTROL!$C$32, $C$9, 100%, $E$9)</f>
        <v>18.856300000000001</v>
      </c>
      <c r="J583" s="11">
        <f>18.8521 * CHOOSE(CONTROL!$C$32, $C$9, 100%, $E$9)</f>
        <v>18.8521</v>
      </c>
      <c r="K583" s="11">
        <f>18.8563 * CHOOSE(CONTROL!$C$32, $C$9, 100%, $E$9)</f>
        <v>18.856300000000001</v>
      </c>
      <c r="L583" s="11">
        <f>9.3797 * CHOOSE(CONTROL!$C$32, $C$9, 100%, $E$9)</f>
        <v>9.3796999999999997</v>
      </c>
      <c r="M583" s="11">
        <f>9.3839 * CHOOSE(CONTROL!$C$32, $C$9, 100%, $E$9)</f>
        <v>9.3839000000000006</v>
      </c>
      <c r="N583" s="11">
        <f>9.3797 * CHOOSE(CONTROL!$C$32, $C$9, 100%, $E$9)</f>
        <v>9.3796999999999997</v>
      </c>
      <c r="O583" s="11">
        <f>9.3839 * CHOOSE(CONTROL!$C$32, $C$9, 100%, $E$9)</f>
        <v>9.3839000000000006</v>
      </c>
    </row>
    <row r="584" spans="1:15" ht="15" x14ac:dyDescent="0.2">
      <c r="A584" s="13">
        <v>58623</v>
      </c>
      <c r="B584" s="9">
        <f>8.3645 * CHOOSE(CONTROL!$C$32, $C$9, 100%, $E$9)</f>
        <v>8.3644999999999996</v>
      </c>
      <c r="C584" s="9">
        <f>8.3645 * CHOOSE(CONTROL!$C$32, $C$9, 100%, $E$9)</f>
        <v>8.3644999999999996</v>
      </c>
      <c r="D584" s="9">
        <f>8.3658 * CHOOSE(CONTROL!$C$32, $C$9, 100%, $E$9)</f>
        <v>8.3658000000000001</v>
      </c>
      <c r="E584" s="11">
        <f>9.5099 * CHOOSE(CONTROL!$C$32, $C$9, 100%, $E$9)</f>
        <v>9.5099</v>
      </c>
      <c r="F584" s="11">
        <f>9.5099 * CHOOSE(CONTROL!$C$32, $C$9, 100%, $E$9)</f>
        <v>9.5099</v>
      </c>
      <c r="G584" s="11">
        <f>9.5141 * CHOOSE(CONTROL!$C$32, $C$9, 100%, $E$9)</f>
        <v>9.5140999999999991</v>
      </c>
      <c r="H584" s="11">
        <f>18.8914 * CHOOSE(CONTROL!$C$32, $C$9, 100%, $E$9)</f>
        <v>18.891400000000001</v>
      </c>
      <c r="I584" s="11">
        <f>18.8956 * CHOOSE(CONTROL!$C$32, $C$9, 100%, $E$9)</f>
        <v>18.895600000000002</v>
      </c>
      <c r="J584" s="11">
        <f>18.8914 * CHOOSE(CONTROL!$C$32, $C$9, 100%, $E$9)</f>
        <v>18.891400000000001</v>
      </c>
      <c r="K584" s="11">
        <f>18.8956 * CHOOSE(CONTROL!$C$32, $C$9, 100%, $E$9)</f>
        <v>18.895600000000002</v>
      </c>
      <c r="L584" s="11">
        <f>9.5099 * CHOOSE(CONTROL!$C$32, $C$9, 100%, $E$9)</f>
        <v>9.5099</v>
      </c>
      <c r="M584" s="11">
        <f>9.5141 * CHOOSE(CONTROL!$C$32, $C$9, 100%, $E$9)</f>
        <v>9.5140999999999991</v>
      </c>
      <c r="N584" s="11">
        <f>9.5099 * CHOOSE(CONTROL!$C$32, $C$9, 100%, $E$9)</f>
        <v>9.5099</v>
      </c>
      <c r="O584" s="11">
        <f>9.5141 * CHOOSE(CONTROL!$C$32, $C$9, 100%, $E$9)</f>
        <v>9.5140999999999991</v>
      </c>
    </row>
    <row r="585" spans="1:15" ht="15" x14ac:dyDescent="0.2">
      <c r="A585" s="13">
        <v>58654</v>
      </c>
      <c r="B585" s="9">
        <f>8.3712 * CHOOSE(CONTROL!$C$32, $C$9, 100%, $E$9)</f>
        <v>8.3712</v>
      </c>
      <c r="C585" s="9">
        <f>8.3712 * CHOOSE(CONTROL!$C$32, $C$9, 100%, $E$9)</f>
        <v>8.3712</v>
      </c>
      <c r="D585" s="9">
        <f>8.3725 * CHOOSE(CONTROL!$C$32, $C$9, 100%, $E$9)</f>
        <v>8.3725000000000005</v>
      </c>
      <c r="E585" s="11">
        <f>9.3068 * CHOOSE(CONTROL!$C$32, $C$9, 100%, $E$9)</f>
        <v>9.3068000000000008</v>
      </c>
      <c r="F585" s="11">
        <f>9.3068 * CHOOSE(CONTROL!$C$32, $C$9, 100%, $E$9)</f>
        <v>9.3068000000000008</v>
      </c>
      <c r="G585" s="11">
        <f>9.311 * CHOOSE(CONTROL!$C$32, $C$9, 100%, $E$9)</f>
        <v>9.3109999999999999</v>
      </c>
      <c r="H585" s="11">
        <f>18.9307 * CHOOSE(CONTROL!$C$32, $C$9, 100%, $E$9)</f>
        <v>18.930700000000002</v>
      </c>
      <c r="I585" s="11">
        <f>18.9349 * CHOOSE(CONTROL!$C$32, $C$9, 100%, $E$9)</f>
        <v>18.934899999999999</v>
      </c>
      <c r="J585" s="11">
        <f>18.9307 * CHOOSE(CONTROL!$C$32, $C$9, 100%, $E$9)</f>
        <v>18.930700000000002</v>
      </c>
      <c r="K585" s="11">
        <f>18.9349 * CHOOSE(CONTROL!$C$32, $C$9, 100%, $E$9)</f>
        <v>18.934899999999999</v>
      </c>
      <c r="L585" s="11">
        <f>9.3068 * CHOOSE(CONTROL!$C$32, $C$9, 100%, $E$9)</f>
        <v>9.3068000000000008</v>
      </c>
      <c r="M585" s="11">
        <f>9.311 * CHOOSE(CONTROL!$C$32, $C$9, 100%, $E$9)</f>
        <v>9.3109999999999999</v>
      </c>
      <c r="N585" s="11">
        <f>9.3068 * CHOOSE(CONTROL!$C$32, $C$9, 100%, $E$9)</f>
        <v>9.3068000000000008</v>
      </c>
      <c r="O585" s="11">
        <f>9.311 * CHOOSE(CONTROL!$C$32, $C$9, 100%, $E$9)</f>
        <v>9.3109999999999999</v>
      </c>
    </row>
    <row r="586" spans="1:15" ht="15" x14ac:dyDescent="0.2">
      <c r="A586" s="13">
        <v>58685</v>
      </c>
      <c r="B586" s="9">
        <f>8.3682 * CHOOSE(CONTROL!$C$32, $C$9, 100%, $E$9)</f>
        <v>8.3681999999999999</v>
      </c>
      <c r="C586" s="9">
        <f>8.3682 * CHOOSE(CONTROL!$C$32, $C$9, 100%, $E$9)</f>
        <v>8.3681999999999999</v>
      </c>
      <c r="D586" s="9">
        <f>8.3694 * CHOOSE(CONTROL!$C$32, $C$9, 100%, $E$9)</f>
        <v>8.3694000000000006</v>
      </c>
      <c r="E586" s="11">
        <f>9.2816 * CHOOSE(CONTROL!$C$32, $C$9, 100%, $E$9)</f>
        <v>9.2815999999999992</v>
      </c>
      <c r="F586" s="11">
        <f>9.2816 * CHOOSE(CONTROL!$C$32, $C$9, 100%, $E$9)</f>
        <v>9.2815999999999992</v>
      </c>
      <c r="G586" s="11">
        <f>9.2858 * CHOOSE(CONTROL!$C$32, $C$9, 100%, $E$9)</f>
        <v>9.2858000000000001</v>
      </c>
      <c r="H586" s="11">
        <f>18.9702 * CHOOSE(CONTROL!$C$32, $C$9, 100%, $E$9)</f>
        <v>18.970199999999998</v>
      </c>
      <c r="I586" s="11">
        <f>18.9744 * CHOOSE(CONTROL!$C$32, $C$9, 100%, $E$9)</f>
        <v>18.974399999999999</v>
      </c>
      <c r="J586" s="11">
        <f>18.9702 * CHOOSE(CONTROL!$C$32, $C$9, 100%, $E$9)</f>
        <v>18.970199999999998</v>
      </c>
      <c r="K586" s="11">
        <f>18.9744 * CHOOSE(CONTROL!$C$32, $C$9, 100%, $E$9)</f>
        <v>18.974399999999999</v>
      </c>
      <c r="L586" s="11">
        <f>9.2816 * CHOOSE(CONTROL!$C$32, $C$9, 100%, $E$9)</f>
        <v>9.2815999999999992</v>
      </c>
      <c r="M586" s="11">
        <f>9.2858 * CHOOSE(CONTROL!$C$32, $C$9, 100%, $E$9)</f>
        <v>9.2858000000000001</v>
      </c>
      <c r="N586" s="11">
        <f>9.2816 * CHOOSE(CONTROL!$C$32, $C$9, 100%, $E$9)</f>
        <v>9.2815999999999992</v>
      </c>
      <c r="O586" s="11">
        <f>9.2858 * CHOOSE(CONTROL!$C$32, $C$9, 100%, $E$9)</f>
        <v>9.2858000000000001</v>
      </c>
    </row>
    <row r="587" spans="1:15" ht="15" x14ac:dyDescent="0.2">
      <c r="A587" s="13">
        <v>58715</v>
      </c>
      <c r="B587" s="9">
        <f>8.3795 * CHOOSE(CONTROL!$C$32, $C$9, 100%, $E$9)</f>
        <v>8.3795000000000002</v>
      </c>
      <c r="C587" s="9">
        <f>8.3795 * CHOOSE(CONTROL!$C$32, $C$9, 100%, $E$9)</f>
        <v>8.3795000000000002</v>
      </c>
      <c r="D587" s="9">
        <f>8.3805 * CHOOSE(CONTROL!$C$32, $C$9, 100%, $E$9)</f>
        <v>8.3804999999999996</v>
      </c>
      <c r="E587" s="11">
        <f>9.3605 * CHOOSE(CONTROL!$C$32, $C$9, 100%, $E$9)</f>
        <v>9.3605</v>
      </c>
      <c r="F587" s="11">
        <f>9.3605 * CHOOSE(CONTROL!$C$32, $C$9, 100%, $E$9)</f>
        <v>9.3605</v>
      </c>
      <c r="G587" s="11">
        <f>9.3637 * CHOOSE(CONTROL!$C$32, $C$9, 100%, $E$9)</f>
        <v>9.3636999999999997</v>
      </c>
      <c r="H587" s="11">
        <f>19.0097 * CHOOSE(CONTROL!$C$32, $C$9, 100%, $E$9)</f>
        <v>19.009699999999999</v>
      </c>
      <c r="I587" s="11">
        <f>19.0129 * CHOOSE(CONTROL!$C$32, $C$9, 100%, $E$9)</f>
        <v>19.012899999999998</v>
      </c>
      <c r="J587" s="11">
        <f>19.0097 * CHOOSE(CONTROL!$C$32, $C$9, 100%, $E$9)</f>
        <v>19.009699999999999</v>
      </c>
      <c r="K587" s="11">
        <f>19.0129 * CHOOSE(CONTROL!$C$32, $C$9, 100%, $E$9)</f>
        <v>19.012899999999998</v>
      </c>
      <c r="L587" s="11">
        <f>9.3605 * CHOOSE(CONTROL!$C$32, $C$9, 100%, $E$9)</f>
        <v>9.3605</v>
      </c>
      <c r="M587" s="11">
        <f>9.3637 * CHOOSE(CONTROL!$C$32, $C$9, 100%, $E$9)</f>
        <v>9.3636999999999997</v>
      </c>
      <c r="N587" s="11">
        <f>9.3605 * CHOOSE(CONTROL!$C$32, $C$9, 100%, $E$9)</f>
        <v>9.3605</v>
      </c>
      <c r="O587" s="11">
        <f>9.3637 * CHOOSE(CONTROL!$C$32, $C$9, 100%, $E$9)</f>
        <v>9.3636999999999997</v>
      </c>
    </row>
    <row r="588" spans="1:15" ht="15" x14ac:dyDescent="0.2">
      <c r="A588" s="13">
        <v>58746</v>
      </c>
      <c r="B588" s="9">
        <f>8.3826 * CHOOSE(CONTROL!$C$32, $C$9, 100%, $E$9)</f>
        <v>8.3826000000000001</v>
      </c>
      <c r="C588" s="9">
        <f>8.3826 * CHOOSE(CONTROL!$C$32, $C$9, 100%, $E$9)</f>
        <v>8.3826000000000001</v>
      </c>
      <c r="D588" s="9">
        <f>8.3835 * CHOOSE(CONTROL!$C$32, $C$9, 100%, $E$9)</f>
        <v>8.3834999999999997</v>
      </c>
      <c r="E588" s="11">
        <f>9.4088 * CHOOSE(CONTROL!$C$32, $C$9, 100%, $E$9)</f>
        <v>9.4087999999999994</v>
      </c>
      <c r="F588" s="11">
        <f>9.4088 * CHOOSE(CONTROL!$C$32, $C$9, 100%, $E$9)</f>
        <v>9.4087999999999994</v>
      </c>
      <c r="G588" s="11">
        <f>9.412 * CHOOSE(CONTROL!$C$32, $C$9, 100%, $E$9)</f>
        <v>9.4120000000000008</v>
      </c>
      <c r="H588" s="11">
        <f>19.0493 * CHOOSE(CONTROL!$C$32, $C$9, 100%, $E$9)</f>
        <v>19.049299999999999</v>
      </c>
      <c r="I588" s="11">
        <f>19.0525 * CHOOSE(CONTROL!$C$32, $C$9, 100%, $E$9)</f>
        <v>19.052499999999998</v>
      </c>
      <c r="J588" s="11">
        <f>19.0493 * CHOOSE(CONTROL!$C$32, $C$9, 100%, $E$9)</f>
        <v>19.049299999999999</v>
      </c>
      <c r="K588" s="11">
        <f>19.0525 * CHOOSE(CONTROL!$C$32, $C$9, 100%, $E$9)</f>
        <v>19.052499999999998</v>
      </c>
      <c r="L588" s="11">
        <f>9.4088 * CHOOSE(CONTROL!$C$32, $C$9, 100%, $E$9)</f>
        <v>9.4087999999999994</v>
      </c>
      <c r="M588" s="11">
        <f>9.412 * CHOOSE(CONTROL!$C$32, $C$9, 100%, $E$9)</f>
        <v>9.4120000000000008</v>
      </c>
      <c r="N588" s="11">
        <f>9.4088 * CHOOSE(CONTROL!$C$32, $C$9, 100%, $E$9)</f>
        <v>9.4087999999999994</v>
      </c>
      <c r="O588" s="11">
        <f>9.412 * CHOOSE(CONTROL!$C$32, $C$9, 100%, $E$9)</f>
        <v>9.4120000000000008</v>
      </c>
    </row>
    <row r="589" spans="1:15" ht="15" x14ac:dyDescent="0.2">
      <c r="A589" s="13">
        <v>58776</v>
      </c>
      <c r="B589" s="9">
        <f>8.3826 * CHOOSE(CONTROL!$C$32, $C$9, 100%, $E$9)</f>
        <v>8.3826000000000001</v>
      </c>
      <c r="C589" s="9">
        <f>8.3826 * CHOOSE(CONTROL!$C$32, $C$9, 100%, $E$9)</f>
        <v>8.3826000000000001</v>
      </c>
      <c r="D589" s="9">
        <f>8.3835 * CHOOSE(CONTROL!$C$32, $C$9, 100%, $E$9)</f>
        <v>8.3834999999999997</v>
      </c>
      <c r="E589" s="11">
        <f>9.2934 * CHOOSE(CONTROL!$C$32, $C$9, 100%, $E$9)</f>
        <v>9.2934000000000001</v>
      </c>
      <c r="F589" s="11">
        <f>9.2934 * CHOOSE(CONTROL!$C$32, $C$9, 100%, $E$9)</f>
        <v>9.2934000000000001</v>
      </c>
      <c r="G589" s="11">
        <f>9.2966 * CHOOSE(CONTROL!$C$32, $C$9, 100%, $E$9)</f>
        <v>9.2965999999999998</v>
      </c>
      <c r="H589" s="11">
        <f>19.089 * CHOOSE(CONTROL!$C$32, $C$9, 100%, $E$9)</f>
        <v>19.088999999999999</v>
      </c>
      <c r="I589" s="11">
        <f>19.0922 * CHOOSE(CONTROL!$C$32, $C$9, 100%, $E$9)</f>
        <v>19.092199999999998</v>
      </c>
      <c r="J589" s="11">
        <f>19.089 * CHOOSE(CONTROL!$C$32, $C$9, 100%, $E$9)</f>
        <v>19.088999999999999</v>
      </c>
      <c r="K589" s="11">
        <f>19.0922 * CHOOSE(CONTROL!$C$32, $C$9, 100%, $E$9)</f>
        <v>19.092199999999998</v>
      </c>
      <c r="L589" s="11">
        <f>9.2934 * CHOOSE(CONTROL!$C$32, $C$9, 100%, $E$9)</f>
        <v>9.2934000000000001</v>
      </c>
      <c r="M589" s="11">
        <f>9.2966 * CHOOSE(CONTROL!$C$32, $C$9, 100%, $E$9)</f>
        <v>9.2965999999999998</v>
      </c>
      <c r="N589" s="11">
        <f>9.2934 * CHOOSE(CONTROL!$C$32, $C$9, 100%, $E$9)</f>
        <v>9.2934000000000001</v>
      </c>
      <c r="O589" s="11">
        <f>9.2966 * CHOOSE(CONTROL!$C$32, $C$9, 100%, $E$9)</f>
        <v>9.2965999999999998</v>
      </c>
    </row>
    <row r="590" spans="1:15" ht="15" x14ac:dyDescent="0.2">
      <c r="A590" s="13">
        <v>58807</v>
      </c>
      <c r="B590" s="9">
        <f>8.4448 * CHOOSE(CONTROL!$C$32, $C$9, 100%, $E$9)</f>
        <v>8.4448000000000008</v>
      </c>
      <c r="C590" s="9">
        <f>8.4448 * CHOOSE(CONTROL!$C$32, $C$9, 100%, $E$9)</f>
        <v>8.4448000000000008</v>
      </c>
      <c r="D590" s="9">
        <f>8.4458 * CHOOSE(CONTROL!$C$32, $C$9, 100%, $E$9)</f>
        <v>8.4458000000000002</v>
      </c>
      <c r="E590" s="11">
        <f>9.458 * CHOOSE(CONTROL!$C$32, $C$9, 100%, $E$9)</f>
        <v>9.4580000000000002</v>
      </c>
      <c r="F590" s="11">
        <f>9.458 * CHOOSE(CONTROL!$C$32, $C$9, 100%, $E$9)</f>
        <v>9.4580000000000002</v>
      </c>
      <c r="G590" s="11">
        <f>9.4612 * CHOOSE(CONTROL!$C$32, $C$9, 100%, $E$9)</f>
        <v>9.4611999999999998</v>
      </c>
      <c r="H590" s="11">
        <f>19.1287 * CHOOSE(CONTROL!$C$32, $C$9, 100%, $E$9)</f>
        <v>19.128699999999998</v>
      </c>
      <c r="I590" s="11">
        <f>19.132 * CHOOSE(CONTROL!$C$32, $C$9, 100%, $E$9)</f>
        <v>19.132000000000001</v>
      </c>
      <c r="J590" s="11">
        <f>19.1287 * CHOOSE(CONTROL!$C$32, $C$9, 100%, $E$9)</f>
        <v>19.128699999999998</v>
      </c>
      <c r="K590" s="11">
        <f>19.132 * CHOOSE(CONTROL!$C$32, $C$9, 100%, $E$9)</f>
        <v>19.132000000000001</v>
      </c>
      <c r="L590" s="11">
        <f>9.458 * CHOOSE(CONTROL!$C$32, $C$9, 100%, $E$9)</f>
        <v>9.4580000000000002</v>
      </c>
      <c r="M590" s="11">
        <f>9.4612 * CHOOSE(CONTROL!$C$32, $C$9, 100%, $E$9)</f>
        <v>9.4611999999999998</v>
      </c>
      <c r="N590" s="11">
        <f>9.458 * CHOOSE(CONTROL!$C$32, $C$9, 100%, $E$9)</f>
        <v>9.4580000000000002</v>
      </c>
      <c r="O590" s="11">
        <f>9.4612 * CHOOSE(CONTROL!$C$32, $C$9, 100%, $E$9)</f>
        <v>9.4611999999999998</v>
      </c>
    </row>
    <row r="591" spans="1:15" ht="15" x14ac:dyDescent="0.2">
      <c r="A591" s="13">
        <v>58838</v>
      </c>
      <c r="B591" s="9">
        <f>8.4418 * CHOOSE(CONTROL!$C$32, $C$9, 100%, $E$9)</f>
        <v>8.4418000000000006</v>
      </c>
      <c r="C591" s="9">
        <f>8.4418 * CHOOSE(CONTROL!$C$32, $C$9, 100%, $E$9)</f>
        <v>8.4418000000000006</v>
      </c>
      <c r="D591" s="9">
        <f>8.4428 * CHOOSE(CONTROL!$C$32, $C$9, 100%, $E$9)</f>
        <v>8.4428000000000001</v>
      </c>
      <c r="E591" s="11">
        <f>9.2307 * CHOOSE(CONTROL!$C$32, $C$9, 100%, $E$9)</f>
        <v>9.2307000000000006</v>
      </c>
      <c r="F591" s="11">
        <f>9.2307 * CHOOSE(CONTROL!$C$32, $C$9, 100%, $E$9)</f>
        <v>9.2307000000000006</v>
      </c>
      <c r="G591" s="11">
        <f>9.234 * CHOOSE(CONTROL!$C$32, $C$9, 100%, $E$9)</f>
        <v>9.234</v>
      </c>
      <c r="H591" s="11">
        <f>19.1686 * CHOOSE(CONTROL!$C$32, $C$9, 100%, $E$9)</f>
        <v>19.168600000000001</v>
      </c>
      <c r="I591" s="11">
        <f>19.1718 * CHOOSE(CONTROL!$C$32, $C$9, 100%, $E$9)</f>
        <v>19.171800000000001</v>
      </c>
      <c r="J591" s="11">
        <f>19.1686 * CHOOSE(CONTROL!$C$32, $C$9, 100%, $E$9)</f>
        <v>19.168600000000001</v>
      </c>
      <c r="K591" s="11">
        <f>19.1718 * CHOOSE(CONTROL!$C$32, $C$9, 100%, $E$9)</f>
        <v>19.171800000000001</v>
      </c>
      <c r="L591" s="11">
        <f>9.2307 * CHOOSE(CONTROL!$C$32, $C$9, 100%, $E$9)</f>
        <v>9.2307000000000006</v>
      </c>
      <c r="M591" s="11">
        <f>9.234 * CHOOSE(CONTROL!$C$32, $C$9, 100%, $E$9)</f>
        <v>9.234</v>
      </c>
      <c r="N591" s="11">
        <f>9.2307 * CHOOSE(CONTROL!$C$32, $C$9, 100%, $E$9)</f>
        <v>9.2307000000000006</v>
      </c>
      <c r="O591" s="11">
        <f>9.234 * CHOOSE(CONTROL!$C$32, $C$9, 100%, $E$9)</f>
        <v>9.234</v>
      </c>
    </row>
    <row r="592" spans="1:15" ht="15" x14ac:dyDescent="0.2">
      <c r="A592" s="13">
        <v>58866</v>
      </c>
      <c r="B592" s="9">
        <f>8.4388 * CHOOSE(CONTROL!$C$32, $C$9, 100%, $E$9)</f>
        <v>8.4388000000000005</v>
      </c>
      <c r="C592" s="9">
        <f>8.4388 * CHOOSE(CONTROL!$C$32, $C$9, 100%, $E$9)</f>
        <v>8.4388000000000005</v>
      </c>
      <c r="D592" s="9">
        <f>8.4397 * CHOOSE(CONTROL!$C$32, $C$9, 100%, $E$9)</f>
        <v>8.4397000000000002</v>
      </c>
      <c r="E592" s="11">
        <f>9.4061 * CHOOSE(CONTROL!$C$32, $C$9, 100%, $E$9)</f>
        <v>9.4061000000000003</v>
      </c>
      <c r="F592" s="11">
        <f>9.4061 * CHOOSE(CONTROL!$C$32, $C$9, 100%, $E$9)</f>
        <v>9.4061000000000003</v>
      </c>
      <c r="G592" s="11">
        <f>9.4093 * CHOOSE(CONTROL!$C$32, $C$9, 100%, $E$9)</f>
        <v>9.4093</v>
      </c>
      <c r="H592" s="11">
        <f>19.2085 * CHOOSE(CONTROL!$C$32, $C$9, 100%, $E$9)</f>
        <v>19.208500000000001</v>
      </c>
      <c r="I592" s="11">
        <f>19.2117 * CHOOSE(CONTROL!$C$32, $C$9, 100%, $E$9)</f>
        <v>19.2117</v>
      </c>
      <c r="J592" s="11">
        <f>19.2085 * CHOOSE(CONTROL!$C$32, $C$9, 100%, $E$9)</f>
        <v>19.208500000000001</v>
      </c>
      <c r="K592" s="11">
        <f>19.2117 * CHOOSE(CONTROL!$C$32, $C$9, 100%, $E$9)</f>
        <v>19.2117</v>
      </c>
      <c r="L592" s="11">
        <f>9.4061 * CHOOSE(CONTROL!$C$32, $C$9, 100%, $E$9)</f>
        <v>9.4061000000000003</v>
      </c>
      <c r="M592" s="11">
        <f>9.4093 * CHOOSE(CONTROL!$C$32, $C$9, 100%, $E$9)</f>
        <v>9.4093</v>
      </c>
      <c r="N592" s="11">
        <f>9.4061 * CHOOSE(CONTROL!$C$32, $C$9, 100%, $E$9)</f>
        <v>9.4061000000000003</v>
      </c>
      <c r="O592" s="11">
        <f>9.4093 * CHOOSE(CONTROL!$C$32, $C$9, 100%, $E$9)</f>
        <v>9.4093</v>
      </c>
    </row>
    <row r="593" spans="1:15" ht="15" x14ac:dyDescent="0.2">
      <c r="A593" s="13">
        <v>58897</v>
      </c>
      <c r="B593" s="9">
        <f>8.4407 * CHOOSE(CONTROL!$C$32, $C$9, 100%, $E$9)</f>
        <v>8.4406999999999996</v>
      </c>
      <c r="C593" s="9">
        <f>8.4407 * CHOOSE(CONTROL!$C$32, $C$9, 100%, $E$9)</f>
        <v>8.4406999999999996</v>
      </c>
      <c r="D593" s="9">
        <f>8.4417 * CHOOSE(CONTROL!$C$32, $C$9, 100%, $E$9)</f>
        <v>8.4417000000000009</v>
      </c>
      <c r="E593" s="11">
        <f>9.5925 * CHOOSE(CONTROL!$C$32, $C$9, 100%, $E$9)</f>
        <v>9.5924999999999994</v>
      </c>
      <c r="F593" s="11">
        <f>9.5925 * CHOOSE(CONTROL!$C$32, $C$9, 100%, $E$9)</f>
        <v>9.5924999999999994</v>
      </c>
      <c r="G593" s="11">
        <f>9.5957 * CHOOSE(CONTROL!$C$32, $C$9, 100%, $E$9)</f>
        <v>9.5957000000000008</v>
      </c>
      <c r="H593" s="11">
        <f>19.2485 * CHOOSE(CONTROL!$C$32, $C$9, 100%, $E$9)</f>
        <v>19.2485</v>
      </c>
      <c r="I593" s="11">
        <f>19.2518 * CHOOSE(CONTROL!$C$32, $C$9, 100%, $E$9)</f>
        <v>19.251799999999999</v>
      </c>
      <c r="J593" s="11">
        <f>19.2485 * CHOOSE(CONTROL!$C$32, $C$9, 100%, $E$9)</f>
        <v>19.2485</v>
      </c>
      <c r="K593" s="11">
        <f>19.2518 * CHOOSE(CONTROL!$C$32, $C$9, 100%, $E$9)</f>
        <v>19.251799999999999</v>
      </c>
      <c r="L593" s="11">
        <f>9.5925 * CHOOSE(CONTROL!$C$32, $C$9, 100%, $E$9)</f>
        <v>9.5924999999999994</v>
      </c>
      <c r="M593" s="11">
        <f>9.5957 * CHOOSE(CONTROL!$C$32, $C$9, 100%, $E$9)</f>
        <v>9.5957000000000008</v>
      </c>
      <c r="N593" s="11">
        <f>9.5925 * CHOOSE(CONTROL!$C$32, $C$9, 100%, $E$9)</f>
        <v>9.5924999999999994</v>
      </c>
      <c r="O593" s="11">
        <f>9.5957 * CHOOSE(CONTROL!$C$32, $C$9, 100%, $E$9)</f>
        <v>9.5957000000000008</v>
      </c>
    </row>
    <row r="594" spans="1:15" ht="15" x14ac:dyDescent="0.2">
      <c r="A594" s="13">
        <v>58927</v>
      </c>
      <c r="B594" s="9">
        <f>8.4407 * CHOOSE(CONTROL!$C$32, $C$9, 100%, $E$9)</f>
        <v>8.4406999999999996</v>
      </c>
      <c r="C594" s="9">
        <f>8.4407 * CHOOSE(CONTROL!$C$32, $C$9, 100%, $E$9)</f>
        <v>8.4406999999999996</v>
      </c>
      <c r="D594" s="9">
        <f>8.442 * CHOOSE(CONTROL!$C$32, $C$9, 100%, $E$9)</f>
        <v>8.4420000000000002</v>
      </c>
      <c r="E594" s="11">
        <f>9.6639 * CHOOSE(CONTROL!$C$32, $C$9, 100%, $E$9)</f>
        <v>9.6638999999999999</v>
      </c>
      <c r="F594" s="11">
        <f>9.6639 * CHOOSE(CONTROL!$C$32, $C$9, 100%, $E$9)</f>
        <v>9.6638999999999999</v>
      </c>
      <c r="G594" s="11">
        <f>9.6681 * CHOOSE(CONTROL!$C$32, $C$9, 100%, $E$9)</f>
        <v>9.6681000000000008</v>
      </c>
      <c r="H594" s="11">
        <f>19.2886 * CHOOSE(CONTROL!$C$32, $C$9, 100%, $E$9)</f>
        <v>19.288599999999999</v>
      </c>
      <c r="I594" s="11">
        <f>19.2928 * CHOOSE(CONTROL!$C$32, $C$9, 100%, $E$9)</f>
        <v>19.2928</v>
      </c>
      <c r="J594" s="11">
        <f>19.2886 * CHOOSE(CONTROL!$C$32, $C$9, 100%, $E$9)</f>
        <v>19.288599999999999</v>
      </c>
      <c r="K594" s="11">
        <f>19.2928 * CHOOSE(CONTROL!$C$32, $C$9, 100%, $E$9)</f>
        <v>19.2928</v>
      </c>
      <c r="L594" s="11">
        <f>9.6639 * CHOOSE(CONTROL!$C$32, $C$9, 100%, $E$9)</f>
        <v>9.6638999999999999</v>
      </c>
      <c r="M594" s="11">
        <f>9.6681 * CHOOSE(CONTROL!$C$32, $C$9, 100%, $E$9)</f>
        <v>9.6681000000000008</v>
      </c>
      <c r="N594" s="11">
        <f>9.6639 * CHOOSE(CONTROL!$C$32, $C$9, 100%, $E$9)</f>
        <v>9.6638999999999999</v>
      </c>
      <c r="O594" s="11">
        <f>9.6681 * CHOOSE(CONTROL!$C$32, $C$9, 100%, $E$9)</f>
        <v>9.6681000000000008</v>
      </c>
    </row>
    <row r="595" spans="1:15" ht="15" x14ac:dyDescent="0.2">
      <c r="A595" s="13">
        <v>58958</v>
      </c>
      <c r="B595" s="9">
        <f>8.4468 * CHOOSE(CONTROL!$C$32, $C$9, 100%, $E$9)</f>
        <v>8.4467999999999996</v>
      </c>
      <c r="C595" s="9">
        <f>8.4468 * CHOOSE(CONTROL!$C$32, $C$9, 100%, $E$9)</f>
        <v>8.4467999999999996</v>
      </c>
      <c r="D595" s="9">
        <f>8.448 * CHOOSE(CONTROL!$C$32, $C$9, 100%, $E$9)</f>
        <v>8.4480000000000004</v>
      </c>
      <c r="E595" s="11">
        <f>9.5967 * CHOOSE(CONTROL!$C$32, $C$9, 100%, $E$9)</f>
        <v>9.5967000000000002</v>
      </c>
      <c r="F595" s="11">
        <f>9.5967 * CHOOSE(CONTROL!$C$32, $C$9, 100%, $E$9)</f>
        <v>9.5967000000000002</v>
      </c>
      <c r="G595" s="11">
        <f>9.6009 * CHOOSE(CONTROL!$C$32, $C$9, 100%, $E$9)</f>
        <v>9.6008999999999993</v>
      </c>
      <c r="H595" s="11">
        <f>19.3288 * CHOOSE(CONTROL!$C$32, $C$9, 100%, $E$9)</f>
        <v>19.328800000000001</v>
      </c>
      <c r="I595" s="11">
        <f>19.333 * CHOOSE(CONTROL!$C$32, $C$9, 100%, $E$9)</f>
        <v>19.332999999999998</v>
      </c>
      <c r="J595" s="11">
        <f>19.3288 * CHOOSE(CONTROL!$C$32, $C$9, 100%, $E$9)</f>
        <v>19.328800000000001</v>
      </c>
      <c r="K595" s="11">
        <f>19.333 * CHOOSE(CONTROL!$C$32, $C$9, 100%, $E$9)</f>
        <v>19.332999999999998</v>
      </c>
      <c r="L595" s="11">
        <f>9.5967 * CHOOSE(CONTROL!$C$32, $C$9, 100%, $E$9)</f>
        <v>9.5967000000000002</v>
      </c>
      <c r="M595" s="11">
        <f>9.6009 * CHOOSE(CONTROL!$C$32, $C$9, 100%, $E$9)</f>
        <v>9.6008999999999993</v>
      </c>
      <c r="N595" s="11">
        <f>9.5967 * CHOOSE(CONTROL!$C$32, $C$9, 100%, $E$9)</f>
        <v>9.5967000000000002</v>
      </c>
      <c r="O595" s="11">
        <f>9.6009 * CHOOSE(CONTROL!$C$32, $C$9, 100%, $E$9)</f>
        <v>9.6008999999999993</v>
      </c>
    </row>
    <row r="596" spans="1:15" ht="15" x14ac:dyDescent="0.2">
      <c r="A596" s="13">
        <v>58988</v>
      </c>
      <c r="B596" s="9">
        <f>8.5541 * CHOOSE(CONTROL!$C$32, $C$9, 100%, $E$9)</f>
        <v>8.5541</v>
      </c>
      <c r="C596" s="9">
        <f>8.5541 * CHOOSE(CONTROL!$C$32, $C$9, 100%, $E$9)</f>
        <v>8.5541</v>
      </c>
      <c r="D596" s="9">
        <f>8.5554 * CHOOSE(CONTROL!$C$32, $C$9, 100%, $E$9)</f>
        <v>8.5554000000000006</v>
      </c>
      <c r="E596" s="11">
        <f>9.73 * CHOOSE(CONTROL!$C$32, $C$9, 100%, $E$9)</f>
        <v>9.73</v>
      </c>
      <c r="F596" s="11">
        <f>9.73 * CHOOSE(CONTROL!$C$32, $C$9, 100%, $E$9)</f>
        <v>9.73</v>
      </c>
      <c r="G596" s="11">
        <f>9.7342 * CHOOSE(CONTROL!$C$32, $C$9, 100%, $E$9)</f>
        <v>9.7341999999999995</v>
      </c>
      <c r="H596" s="11">
        <f>19.3691 * CHOOSE(CONTROL!$C$32, $C$9, 100%, $E$9)</f>
        <v>19.3691</v>
      </c>
      <c r="I596" s="11">
        <f>19.3733 * CHOOSE(CONTROL!$C$32, $C$9, 100%, $E$9)</f>
        <v>19.3733</v>
      </c>
      <c r="J596" s="11">
        <f>19.3691 * CHOOSE(CONTROL!$C$32, $C$9, 100%, $E$9)</f>
        <v>19.3691</v>
      </c>
      <c r="K596" s="11">
        <f>19.3733 * CHOOSE(CONTROL!$C$32, $C$9, 100%, $E$9)</f>
        <v>19.3733</v>
      </c>
      <c r="L596" s="11">
        <f>9.73 * CHOOSE(CONTROL!$C$32, $C$9, 100%, $E$9)</f>
        <v>9.73</v>
      </c>
      <c r="M596" s="11">
        <f>9.7342 * CHOOSE(CONTROL!$C$32, $C$9, 100%, $E$9)</f>
        <v>9.7341999999999995</v>
      </c>
      <c r="N596" s="11">
        <f>9.73 * CHOOSE(CONTROL!$C$32, $C$9, 100%, $E$9)</f>
        <v>9.73</v>
      </c>
      <c r="O596" s="11">
        <f>9.7342 * CHOOSE(CONTROL!$C$32, $C$9, 100%, $E$9)</f>
        <v>9.7341999999999995</v>
      </c>
    </row>
    <row r="597" spans="1:15" ht="15" x14ac:dyDescent="0.2">
      <c r="A597" s="13">
        <v>59019</v>
      </c>
      <c r="B597" s="9">
        <f>8.5608 * CHOOSE(CONTROL!$C$32, $C$9, 100%, $E$9)</f>
        <v>8.5608000000000004</v>
      </c>
      <c r="C597" s="9">
        <f>8.5608 * CHOOSE(CONTROL!$C$32, $C$9, 100%, $E$9)</f>
        <v>8.5608000000000004</v>
      </c>
      <c r="D597" s="9">
        <f>8.5621 * CHOOSE(CONTROL!$C$32, $C$9, 100%, $E$9)</f>
        <v>8.5620999999999992</v>
      </c>
      <c r="E597" s="11">
        <f>9.5203 * CHOOSE(CONTROL!$C$32, $C$9, 100%, $E$9)</f>
        <v>9.5203000000000007</v>
      </c>
      <c r="F597" s="11">
        <f>9.5203 * CHOOSE(CONTROL!$C$32, $C$9, 100%, $E$9)</f>
        <v>9.5203000000000007</v>
      </c>
      <c r="G597" s="11">
        <f>9.5245 * CHOOSE(CONTROL!$C$32, $C$9, 100%, $E$9)</f>
        <v>9.5244999999999997</v>
      </c>
      <c r="H597" s="11">
        <f>19.4094 * CHOOSE(CONTROL!$C$32, $C$9, 100%, $E$9)</f>
        <v>19.409400000000002</v>
      </c>
      <c r="I597" s="11">
        <f>19.4136 * CHOOSE(CONTROL!$C$32, $C$9, 100%, $E$9)</f>
        <v>19.413599999999999</v>
      </c>
      <c r="J597" s="11">
        <f>19.4094 * CHOOSE(CONTROL!$C$32, $C$9, 100%, $E$9)</f>
        <v>19.409400000000002</v>
      </c>
      <c r="K597" s="11">
        <f>19.4136 * CHOOSE(CONTROL!$C$32, $C$9, 100%, $E$9)</f>
        <v>19.413599999999999</v>
      </c>
      <c r="L597" s="11">
        <f>9.5203 * CHOOSE(CONTROL!$C$32, $C$9, 100%, $E$9)</f>
        <v>9.5203000000000007</v>
      </c>
      <c r="M597" s="11">
        <f>9.5245 * CHOOSE(CONTROL!$C$32, $C$9, 100%, $E$9)</f>
        <v>9.5244999999999997</v>
      </c>
      <c r="N597" s="11">
        <f>9.5203 * CHOOSE(CONTROL!$C$32, $C$9, 100%, $E$9)</f>
        <v>9.5203000000000007</v>
      </c>
      <c r="O597" s="11">
        <f>9.5245 * CHOOSE(CONTROL!$C$32, $C$9, 100%, $E$9)</f>
        <v>9.5244999999999997</v>
      </c>
    </row>
    <row r="598" spans="1:15" ht="15" x14ac:dyDescent="0.2">
      <c r="A598" s="13">
        <v>59050</v>
      </c>
      <c r="B598" s="9">
        <f>8.5578 * CHOOSE(CONTROL!$C$32, $C$9, 100%, $E$9)</f>
        <v>8.5578000000000003</v>
      </c>
      <c r="C598" s="9">
        <f>8.5578 * CHOOSE(CONTROL!$C$32, $C$9, 100%, $E$9)</f>
        <v>8.5578000000000003</v>
      </c>
      <c r="D598" s="9">
        <f>8.559 * CHOOSE(CONTROL!$C$32, $C$9, 100%, $E$9)</f>
        <v>8.5589999999999993</v>
      </c>
      <c r="E598" s="11">
        <f>9.4943 * CHOOSE(CONTROL!$C$32, $C$9, 100%, $E$9)</f>
        <v>9.4943000000000008</v>
      </c>
      <c r="F598" s="11">
        <f>9.4943 * CHOOSE(CONTROL!$C$32, $C$9, 100%, $E$9)</f>
        <v>9.4943000000000008</v>
      </c>
      <c r="G598" s="11">
        <f>9.4985 * CHOOSE(CONTROL!$C$32, $C$9, 100%, $E$9)</f>
        <v>9.4984999999999999</v>
      </c>
      <c r="H598" s="11">
        <f>19.4499 * CHOOSE(CONTROL!$C$32, $C$9, 100%, $E$9)</f>
        <v>19.4499</v>
      </c>
      <c r="I598" s="11">
        <f>19.4541 * CHOOSE(CONTROL!$C$32, $C$9, 100%, $E$9)</f>
        <v>19.4541</v>
      </c>
      <c r="J598" s="11">
        <f>19.4499 * CHOOSE(CONTROL!$C$32, $C$9, 100%, $E$9)</f>
        <v>19.4499</v>
      </c>
      <c r="K598" s="11">
        <f>19.4541 * CHOOSE(CONTROL!$C$32, $C$9, 100%, $E$9)</f>
        <v>19.4541</v>
      </c>
      <c r="L598" s="11">
        <f>9.4943 * CHOOSE(CONTROL!$C$32, $C$9, 100%, $E$9)</f>
        <v>9.4943000000000008</v>
      </c>
      <c r="M598" s="11">
        <f>9.4985 * CHOOSE(CONTROL!$C$32, $C$9, 100%, $E$9)</f>
        <v>9.4984999999999999</v>
      </c>
      <c r="N598" s="11">
        <f>9.4943 * CHOOSE(CONTROL!$C$32, $C$9, 100%, $E$9)</f>
        <v>9.4943000000000008</v>
      </c>
      <c r="O598" s="11">
        <f>9.4985 * CHOOSE(CONTROL!$C$32, $C$9, 100%, $E$9)</f>
        <v>9.4984999999999999</v>
      </c>
    </row>
    <row r="599" spans="1:15" ht="15" x14ac:dyDescent="0.2">
      <c r="A599" s="13">
        <v>59080</v>
      </c>
      <c r="B599" s="9">
        <f>8.5698 * CHOOSE(CONTROL!$C$32, $C$9, 100%, $E$9)</f>
        <v>8.5698000000000008</v>
      </c>
      <c r="C599" s="9">
        <f>8.5698 * CHOOSE(CONTROL!$C$32, $C$9, 100%, $E$9)</f>
        <v>8.5698000000000008</v>
      </c>
      <c r="D599" s="9">
        <f>8.5708 * CHOOSE(CONTROL!$C$32, $C$9, 100%, $E$9)</f>
        <v>8.5708000000000002</v>
      </c>
      <c r="E599" s="11">
        <f>9.5762 * CHOOSE(CONTROL!$C$32, $C$9, 100%, $E$9)</f>
        <v>9.5762</v>
      </c>
      <c r="F599" s="11">
        <f>9.5762 * CHOOSE(CONTROL!$C$32, $C$9, 100%, $E$9)</f>
        <v>9.5762</v>
      </c>
      <c r="G599" s="11">
        <f>9.5794 * CHOOSE(CONTROL!$C$32, $C$9, 100%, $E$9)</f>
        <v>9.5793999999999997</v>
      </c>
      <c r="H599" s="11">
        <f>19.4904 * CHOOSE(CONTROL!$C$32, $C$9, 100%, $E$9)</f>
        <v>19.490400000000001</v>
      </c>
      <c r="I599" s="11">
        <f>19.4936 * CHOOSE(CONTROL!$C$32, $C$9, 100%, $E$9)</f>
        <v>19.493600000000001</v>
      </c>
      <c r="J599" s="11">
        <f>19.4904 * CHOOSE(CONTROL!$C$32, $C$9, 100%, $E$9)</f>
        <v>19.490400000000001</v>
      </c>
      <c r="K599" s="11">
        <f>19.4936 * CHOOSE(CONTROL!$C$32, $C$9, 100%, $E$9)</f>
        <v>19.493600000000001</v>
      </c>
      <c r="L599" s="11">
        <f>9.5762 * CHOOSE(CONTROL!$C$32, $C$9, 100%, $E$9)</f>
        <v>9.5762</v>
      </c>
      <c r="M599" s="11">
        <f>9.5794 * CHOOSE(CONTROL!$C$32, $C$9, 100%, $E$9)</f>
        <v>9.5793999999999997</v>
      </c>
      <c r="N599" s="11">
        <f>9.5762 * CHOOSE(CONTROL!$C$32, $C$9, 100%, $E$9)</f>
        <v>9.5762</v>
      </c>
      <c r="O599" s="11">
        <f>9.5794 * CHOOSE(CONTROL!$C$32, $C$9, 100%, $E$9)</f>
        <v>9.5793999999999997</v>
      </c>
    </row>
    <row r="600" spans="1:15" ht="15" x14ac:dyDescent="0.2">
      <c r="A600" s="13">
        <v>59111</v>
      </c>
      <c r="B600" s="9">
        <f>8.5729 * CHOOSE(CONTROL!$C$32, $C$9, 100%, $E$9)</f>
        <v>8.5729000000000006</v>
      </c>
      <c r="C600" s="9">
        <f>8.5729 * CHOOSE(CONTROL!$C$32, $C$9, 100%, $E$9)</f>
        <v>8.5729000000000006</v>
      </c>
      <c r="D600" s="9">
        <f>8.5738 * CHOOSE(CONTROL!$C$32, $C$9, 100%, $E$9)</f>
        <v>8.5738000000000003</v>
      </c>
      <c r="E600" s="11">
        <f>9.626 * CHOOSE(CONTROL!$C$32, $C$9, 100%, $E$9)</f>
        <v>9.6259999999999994</v>
      </c>
      <c r="F600" s="11">
        <f>9.626 * CHOOSE(CONTROL!$C$32, $C$9, 100%, $E$9)</f>
        <v>9.6259999999999994</v>
      </c>
      <c r="G600" s="11">
        <f>9.6292 * CHOOSE(CONTROL!$C$32, $C$9, 100%, $E$9)</f>
        <v>9.6292000000000009</v>
      </c>
      <c r="H600" s="11">
        <f>19.531 * CHOOSE(CONTROL!$C$32, $C$9, 100%, $E$9)</f>
        <v>19.530999999999999</v>
      </c>
      <c r="I600" s="11">
        <f>19.5342 * CHOOSE(CONTROL!$C$32, $C$9, 100%, $E$9)</f>
        <v>19.534199999999998</v>
      </c>
      <c r="J600" s="11">
        <f>19.531 * CHOOSE(CONTROL!$C$32, $C$9, 100%, $E$9)</f>
        <v>19.530999999999999</v>
      </c>
      <c r="K600" s="11">
        <f>19.5342 * CHOOSE(CONTROL!$C$32, $C$9, 100%, $E$9)</f>
        <v>19.534199999999998</v>
      </c>
      <c r="L600" s="11">
        <f>9.626 * CHOOSE(CONTROL!$C$32, $C$9, 100%, $E$9)</f>
        <v>9.6259999999999994</v>
      </c>
      <c r="M600" s="11">
        <f>9.6292 * CHOOSE(CONTROL!$C$32, $C$9, 100%, $E$9)</f>
        <v>9.6292000000000009</v>
      </c>
      <c r="N600" s="11">
        <f>9.626 * CHOOSE(CONTROL!$C$32, $C$9, 100%, $E$9)</f>
        <v>9.6259999999999994</v>
      </c>
      <c r="O600" s="11">
        <f>9.6292 * CHOOSE(CONTROL!$C$32, $C$9, 100%, $E$9)</f>
        <v>9.6292000000000009</v>
      </c>
    </row>
    <row r="601" spans="1:15" ht="15" x14ac:dyDescent="0.2">
      <c r="A601" s="13">
        <v>59141</v>
      </c>
      <c r="B601" s="9">
        <f>8.5729 * CHOOSE(CONTROL!$C$32, $C$9, 100%, $E$9)</f>
        <v>8.5729000000000006</v>
      </c>
      <c r="C601" s="9">
        <f>8.5729 * CHOOSE(CONTROL!$C$32, $C$9, 100%, $E$9)</f>
        <v>8.5729000000000006</v>
      </c>
      <c r="D601" s="9">
        <f>8.5738 * CHOOSE(CONTROL!$C$32, $C$9, 100%, $E$9)</f>
        <v>8.5738000000000003</v>
      </c>
      <c r="E601" s="11">
        <f>9.5068 * CHOOSE(CONTROL!$C$32, $C$9, 100%, $E$9)</f>
        <v>9.5068000000000001</v>
      </c>
      <c r="F601" s="11">
        <f>9.5068 * CHOOSE(CONTROL!$C$32, $C$9, 100%, $E$9)</f>
        <v>9.5068000000000001</v>
      </c>
      <c r="G601" s="11">
        <f>9.5101 * CHOOSE(CONTROL!$C$32, $C$9, 100%, $E$9)</f>
        <v>9.5100999999999996</v>
      </c>
      <c r="H601" s="11">
        <f>19.5717 * CHOOSE(CONTROL!$C$32, $C$9, 100%, $E$9)</f>
        <v>19.5717</v>
      </c>
      <c r="I601" s="11">
        <f>19.5749 * CHOOSE(CONTROL!$C$32, $C$9, 100%, $E$9)</f>
        <v>19.5749</v>
      </c>
      <c r="J601" s="11">
        <f>19.5717 * CHOOSE(CONTROL!$C$32, $C$9, 100%, $E$9)</f>
        <v>19.5717</v>
      </c>
      <c r="K601" s="11">
        <f>19.5749 * CHOOSE(CONTROL!$C$32, $C$9, 100%, $E$9)</f>
        <v>19.5749</v>
      </c>
      <c r="L601" s="11">
        <f>9.5068 * CHOOSE(CONTROL!$C$32, $C$9, 100%, $E$9)</f>
        <v>9.5068000000000001</v>
      </c>
      <c r="M601" s="11">
        <f>9.5101 * CHOOSE(CONTROL!$C$32, $C$9, 100%, $E$9)</f>
        <v>9.5100999999999996</v>
      </c>
      <c r="N601" s="11">
        <f>9.5068 * CHOOSE(CONTROL!$C$32, $C$9, 100%, $E$9)</f>
        <v>9.5068000000000001</v>
      </c>
      <c r="O601" s="11">
        <f>9.5101 * CHOOSE(CONTROL!$C$32, $C$9, 100%, $E$9)</f>
        <v>9.5100999999999996</v>
      </c>
    </row>
    <row r="602" spans="1:15" ht="15" x14ac:dyDescent="0.2">
      <c r="A602" s="13">
        <v>59172</v>
      </c>
      <c r="B602" s="9">
        <f>8.6322 * CHOOSE(CONTROL!$C$32, $C$9, 100%, $E$9)</f>
        <v>8.6321999999999992</v>
      </c>
      <c r="C602" s="9">
        <f>8.6322 * CHOOSE(CONTROL!$C$32, $C$9, 100%, $E$9)</f>
        <v>8.6321999999999992</v>
      </c>
      <c r="D602" s="9">
        <f>8.6332 * CHOOSE(CONTROL!$C$32, $C$9, 100%, $E$9)</f>
        <v>8.6332000000000004</v>
      </c>
      <c r="E602" s="11">
        <f>9.6705 * CHOOSE(CONTROL!$C$32, $C$9, 100%, $E$9)</f>
        <v>9.6705000000000005</v>
      </c>
      <c r="F602" s="11">
        <f>9.6705 * CHOOSE(CONTROL!$C$32, $C$9, 100%, $E$9)</f>
        <v>9.6705000000000005</v>
      </c>
      <c r="G602" s="11">
        <f>9.6737 * CHOOSE(CONTROL!$C$32, $C$9, 100%, $E$9)</f>
        <v>9.6737000000000002</v>
      </c>
      <c r="H602" s="11">
        <f>19.6005 * CHOOSE(CONTROL!$C$32, $C$9, 100%, $E$9)</f>
        <v>19.6005</v>
      </c>
      <c r="I602" s="11">
        <f>19.6038 * CHOOSE(CONTROL!$C$32, $C$9, 100%, $E$9)</f>
        <v>19.6038</v>
      </c>
      <c r="J602" s="11">
        <f>19.6005 * CHOOSE(CONTROL!$C$32, $C$9, 100%, $E$9)</f>
        <v>19.6005</v>
      </c>
      <c r="K602" s="11">
        <f>19.6038 * CHOOSE(CONTROL!$C$32, $C$9, 100%, $E$9)</f>
        <v>19.6038</v>
      </c>
      <c r="L602" s="11">
        <f>9.6705 * CHOOSE(CONTROL!$C$32, $C$9, 100%, $E$9)</f>
        <v>9.6705000000000005</v>
      </c>
      <c r="M602" s="11">
        <f>9.6737 * CHOOSE(CONTROL!$C$32, $C$9, 100%, $E$9)</f>
        <v>9.6737000000000002</v>
      </c>
      <c r="N602" s="11">
        <f>9.6705 * CHOOSE(CONTROL!$C$32, $C$9, 100%, $E$9)</f>
        <v>9.6705000000000005</v>
      </c>
      <c r="O602" s="11">
        <f>9.6737 * CHOOSE(CONTROL!$C$32, $C$9, 100%, $E$9)</f>
        <v>9.6737000000000002</v>
      </c>
    </row>
    <row r="603" spans="1:15" ht="15" x14ac:dyDescent="0.2">
      <c r="A603" s="13">
        <v>59203</v>
      </c>
      <c r="B603" s="9">
        <f>8.6292 * CHOOSE(CONTROL!$C$32, $C$9, 100%, $E$9)</f>
        <v>8.6292000000000009</v>
      </c>
      <c r="C603" s="9">
        <f>8.6292 * CHOOSE(CONTROL!$C$32, $C$9, 100%, $E$9)</f>
        <v>8.6292000000000009</v>
      </c>
      <c r="D603" s="9">
        <f>8.6301 * CHOOSE(CONTROL!$C$32, $C$9, 100%, $E$9)</f>
        <v>8.6301000000000005</v>
      </c>
      <c r="E603" s="11">
        <f>9.4361 * CHOOSE(CONTROL!$C$32, $C$9, 100%, $E$9)</f>
        <v>9.4360999999999997</v>
      </c>
      <c r="F603" s="11">
        <f>9.4361 * CHOOSE(CONTROL!$C$32, $C$9, 100%, $E$9)</f>
        <v>9.4360999999999997</v>
      </c>
      <c r="G603" s="11">
        <f>9.4394 * CHOOSE(CONTROL!$C$32, $C$9, 100%, $E$9)</f>
        <v>9.4393999999999991</v>
      </c>
      <c r="H603" s="11">
        <f>19.6414 * CHOOSE(CONTROL!$C$32, $C$9, 100%, $E$9)</f>
        <v>19.641400000000001</v>
      </c>
      <c r="I603" s="11">
        <f>19.6446 * CHOOSE(CONTROL!$C$32, $C$9, 100%, $E$9)</f>
        <v>19.644600000000001</v>
      </c>
      <c r="J603" s="11">
        <f>19.6414 * CHOOSE(CONTROL!$C$32, $C$9, 100%, $E$9)</f>
        <v>19.641400000000001</v>
      </c>
      <c r="K603" s="11">
        <f>19.6446 * CHOOSE(CONTROL!$C$32, $C$9, 100%, $E$9)</f>
        <v>19.644600000000001</v>
      </c>
      <c r="L603" s="11">
        <f>9.4361 * CHOOSE(CONTROL!$C$32, $C$9, 100%, $E$9)</f>
        <v>9.4360999999999997</v>
      </c>
      <c r="M603" s="11">
        <f>9.4394 * CHOOSE(CONTROL!$C$32, $C$9, 100%, $E$9)</f>
        <v>9.4393999999999991</v>
      </c>
      <c r="N603" s="11">
        <f>9.4361 * CHOOSE(CONTROL!$C$32, $C$9, 100%, $E$9)</f>
        <v>9.4360999999999997</v>
      </c>
      <c r="O603" s="11">
        <f>9.4394 * CHOOSE(CONTROL!$C$32, $C$9, 100%, $E$9)</f>
        <v>9.4393999999999991</v>
      </c>
    </row>
    <row r="604" spans="1:15" ht="15" x14ac:dyDescent="0.2">
      <c r="A604" s="13">
        <v>59231</v>
      </c>
      <c r="B604" s="9">
        <f>8.6261 * CHOOSE(CONTROL!$C$32, $C$9, 100%, $E$9)</f>
        <v>8.6260999999999992</v>
      </c>
      <c r="C604" s="9">
        <f>8.6261 * CHOOSE(CONTROL!$C$32, $C$9, 100%, $E$9)</f>
        <v>8.6260999999999992</v>
      </c>
      <c r="D604" s="9">
        <f>8.6271 * CHOOSE(CONTROL!$C$32, $C$9, 100%, $E$9)</f>
        <v>8.6271000000000004</v>
      </c>
      <c r="E604" s="11">
        <f>9.6171 * CHOOSE(CONTROL!$C$32, $C$9, 100%, $E$9)</f>
        <v>9.6171000000000006</v>
      </c>
      <c r="F604" s="11">
        <f>9.6171 * CHOOSE(CONTROL!$C$32, $C$9, 100%, $E$9)</f>
        <v>9.6171000000000006</v>
      </c>
      <c r="G604" s="11">
        <f>9.6203 * CHOOSE(CONTROL!$C$32, $C$9, 100%, $E$9)</f>
        <v>9.6203000000000003</v>
      </c>
      <c r="H604" s="11">
        <f>19.6823 * CHOOSE(CONTROL!$C$32, $C$9, 100%, $E$9)</f>
        <v>19.682300000000001</v>
      </c>
      <c r="I604" s="11">
        <f>19.6855 * CHOOSE(CONTROL!$C$32, $C$9, 100%, $E$9)</f>
        <v>19.685500000000001</v>
      </c>
      <c r="J604" s="11">
        <f>19.6823 * CHOOSE(CONTROL!$C$32, $C$9, 100%, $E$9)</f>
        <v>19.682300000000001</v>
      </c>
      <c r="K604" s="11">
        <f>19.6855 * CHOOSE(CONTROL!$C$32, $C$9, 100%, $E$9)</f>
        <v>19.685500000000001</v>
      </c>
      <c r="L604" s="11">
        <f>9.6171 * CHOOSE(CONTROL!$C$32, $C$9, 100%, $E$9)</f>
        <v>9.6171000000000006</v>
      </c>
      <c r="M604" s="11">
        <f>9.6203 * CHOOSE(CONTROL!$C$32, $C$9, 100%, $E$9)</f>
        <v>9.6203000000000003</v>
      </c>
      <c r="N604" s="11">
        <f>9.6171 * CHOOSE(CONTROL!$C$32, $C$9, 100%, $E$9)</f>
        <v>9.6171000000000006</v>
      </c>
      <c r="O604" s="11">
        <f>9.6203 * CHOOSE(CONTROL!$C$32, $C$9, 100%, $E$9)</f>
        <v>9.6203000000000003</v>
      </c>
    </row>
    <row r="605" spans="1:15" ht="15" x14ac:dyDescent="0.2">
      <c r="A605" s="13">
        <v>59262</v>
      </c>
      <c r="B605" s="9">
        <f>8.6283 * CHOOSE(CONTROL!$C$32, $C$9, 100%, $E$9)</f>
        <v>8.6282999999999994</v>
      </c>
      <c r="C605" s="9">
        <f>8.6283 * CHOOSE(CONTROL!$C$32, $C$9, 100%, $E$9)</f>
        <v>8.6282999999999994</v>
      </c>
      <c r="D605" s="9">
        <f>8.6292 * CHOOSE(CONTROL!$C$32, $C$9, 100%, $E$9)</f>
        <v>8.6292000000000009</v>
      </c>
      <c r="E605" s="11">
        <f>9.8095 * CHOOSE(CONTROL!$C$32, $C$9, 100%, $E$9)</f>
        <v>9.8094999999999999</v>
      </c>
      <c r="F605" s="11">
        <f>9.8095 * CHOOSE(CONTROL!$C$32, $C$9, 100%, $E$9)</f>
        <v>9.8094999999999999</v>
      </c>
      <c r="G605" s="11">
        <f>9.8127 * CHOOSE(CONTROL!$C$32, $C$9, 100%, $E$9)</f>
        <v>9.8126999999999995</v>
      </c>
      <c r="H605" s="11">
        <f>19.7233 * CHOOSE(CONTROL!$C$32, $C$9, 100%, $E$9)</f>
        <v>19.723299999999998</v>
      </c>
      <c r="I605" s="11">
        <f>19.7265 * CHOOSE(CONTROL!$C$32, $C$9, 100%, $E$9)</f>
        <v>19.726500000000001</v>
      </c>
      <c r="J605" s="11">
        <f>19.7233 * CHOOSE(CONTROL!$C$32, $C$9, 100%, $E$9)</f>
        <v>19.723299999999998</v>
      </c>
      <c r="K605" s="11">
        <f>19.7265 * CHOOSE(CONTROL!$C$32, $C$9, 100%, $E$9)</f>
        <v>19.726500000000001</v>
      </c>
      <c r="L605" s="11">
        <f>9.8095 * CHOOSE(CONTROL!$C$32, $C$9, 100%, $E$9)</f>
        <v>9.8094999999999999</v>
      </c>
      <c r="M605" s="11">
        <f>9.8127 * CHOOSE(CONTROL!$C$32, $C$9, 100%, $E$9)</f>
        <v>9.8126999999999995</v>
      </c>
      <c r="N605" s="11">
        <f>9.8095 * CHOOSE(CONTROL!$C$32, $C$9, 100%, $E$9)</f>
        <v>9.8094999999999999</v>
      </c>
      <c r="O605" s="11">
        <f>9.8127 * CHOOSE(CONTROL!$C$32, $C$9, 100%, $E$9)</f>
        <v>9.8126999999999995</v>
      </c>
    </row>
    <row r="606" spans="1:15" ht="15" x14ac:dyDescent="0.2">
      <c r="A606" s="13">
        <v>59292</v>
      </c>
      <c r="B606" s="9">
        <f>8.6283 * CHOOSE(CONTROL!$C$32, $C$9, 100%, $E$9)</f>
        <v>8.6282999999999994</v>
      </c>
      <c r="C606" s="9">
        <f>8.6283 * CHOOSE(CONTROL!$C$32, $C$9, 100%, $E$9)</f>
        <v>8.6282999999999994</v>
      </c>
      <c r="D606" s="9">
        <f>8.6295 * CHOOSE(CONTROL!$C$32, $C$9, 100%, $E$9)</f>
        <v>8.6295000000000002</v>
      </c>
      <c r="E606" s="11">
        <f>9.8832 * CHOOSE(CONTROL!$C$32, $C$9, 100%, $E$9)</f>
        <v>9.8832000000000004</v>
      </c>
      <c r="F606" s="11">
        <f>9.8832 * CHOOSE(CONTROL!$C$32, $C$9, 100%, $E$9)</f>
        <v>9.8832000000000004</v>
      </c>
      <c r="G606" s="11">
        <f>9.8874 * CHOOSE(CONTROL!$C$32, $C$9, 100%, $E$9)</f>
        <v>9.8873999999999995</v>
      </c>
      <c r="H606" s="11">
        <f>19.7644 * CHOOSE(CONTROL!$C$32, $C$9, 100%, $E$9)</f>
        <v>19.764399999999998</v>
      </c>
      <c r="I606" s="11">
        <f>19.7686 * CHOOSE(CONTROL!$C$32, $C$9, 100%, $E$9)</f>
        <v>19.768599999999999</v>
      </c>
      <c r="J606" s="11">
        <f>19.7644 * CHOOSE(CONTROL!$C$32, $C$9, 100%, $E$9)</f>
        <v>19.764399999999998</v>
      </c>
      <c r="K606" s="11">
        <f>19.7686 * CHOOSE(CONTROL!$C$32, $C$9, 100%, $E$9)</f>
        <v>19.768599999999999</v>
      </c>
      <c r="L606" s="11">
        <f>9.8832 * CHOOSE(CONTROL!$C$32, $C$9, 100%, $E$9)</f>
        <v>9.8832000000000004</v>
      </c>
      <c r="M606" s="11">
        <f>9.8874 * CHOOSE(CONTROL!$C$32, $C$9, 100%, $E$9)</f>
        <v>9.8873999999999995</v>
      </c>
      <c r="N606" s="11">
        <f>9.8832 * CHOOSE(CONTROL!$C$32, $C$9, 100%, $E$9)</f>
        <v>9.8832000000000004</v>
      </c>
      <c r="O606" s="11">
        <f>9.8874 * CHOOSE(CONTROL!$C$32, $C$9, 100%, $E$9)</f>
        <v>9.8873999999999995</v>
      </c>
    </row>
    <row r="607" spans="1:15" ht="15" x14ac:dyDescent="0.2">
      <c r="A607" s="13">
        <v>59323</v>
      </c>
      <c r="B607" s="9">
        <f>8.6343 * CHOOSE(CONTROL!$C$32, $C$9, 100%, $E$9)</f>
        <v>8.6342999999999996</v>
      </c>
      <c r="C607" s="9">
        <f>8.6343 * CHOOSE(CONTROL!$C$32, $C$9, 100%, $E$9)</f>
        <v>8.6342999999999996</v>
      </c>
      <c r="D607" s="9">
        <f>8.6356 * CHOOSE(CONTROL!$C$32, $C$9, 100%, $E$9)</f>
        <v>8.6356000000000002</v>
      </c>
      <c r="E607" s="11">
        <f>9.8137 * CHOOSE(CONTROL!$C$32, $C$9, 100%, $E$9)</f>
        <v>9.8137000000000008</v>
      </c>
      <c r="F607" s="11">
        <f>9.8137 * CHOOSE(CONTROL!$C$32, $C$9, 100%, $E$9)</f>
        <v>9.8137000000000008</v>
      </c>
      <c r="G607" s="11">
        <f>9.8179 * CHOOSE(CONTROL!$C$32, $C$9, 100%, $E$9)</f>
        <v>9.8178999999999998</v>
      </c>
      <c r="H607" s="11">
        <f>19.8056 * CHOOSE(CONTROL!$C$32, $C$9, 100%, $E$9)</f>
        <v>19.805599999999998</v>
      </c>
      <c r="I607" s="11">
        <f>19.8098 * CHOOSE(CONTROL!$C$32, $C$9, 100%, $E$9)</f>
        <v>19.809799999999999</v>
      </c>
      <c r="J607" s="11">
        <f>19.8056 * CHOOSE(CONTROL!$C$32, $C$9, 100%, $E$9)</f>
        <v>19.805599999999998</v>
      </c>
      <c r="K607" s="11">
        <f>19.8098 * CHOOSE(CONTROL!$C$32, $C$9, 100%, $E$9)</f>
        <v>19.809799999999999</v>
      </c>
      <c r="L607" s="11">
        <f>9.8137 * CHOOSE(CONTROL!$C$32, $C$9, 100%, $E$9)</f>
        <v>9.8137000000000008</v>
      </c>
      <c r="M607" s="11">
        <f>9.8179 * CHOOSE(CONTROL!$C$32, $C$9, 100%, $E$9)</f>
        <v>9.8178999999999998</v>
      </c>
      <c r="N607" s="11">
        <f>9.8137 * CHOOSE(CONTROL!$C$32, $C$9, 100%, $E$9)</f>
        <v>9.8137000000000008</v>
      </c>
      <c r="O607" s="11">
        <f>9.8179 * CHOOSE(CONTROL!$C$32, $C$9, 100%, $E$9)</f>
        <v>9.8178999999999998</v>
      </c>
    </row>
    <row r="608" spans="1:15" ht="15" x14ac:dyDescent="0.2">
      <c r="A608" s="13">
        <v>59353</v>
      </c>
      <c r="B608" s="9">
        <f>8.7437 * CHOOSE(CONTROL!$C$32, $C$9, 100%, $E$9)</f>
        <v>8.7437000000000005</v>
      </c>
      <c r="C608" s="9">
        <f>8.7437 * CHOOSE(CONTROL!$C$32, $C$9, 100%, $E$9)</f>
        <v>8.7437000000000005</v>
      </c>
      <c r="D608" s="9">
        <f>8.745 * CHOOSE(CONTROL!$C$32, $C$9, 100%, $E$9)</f>
        <v>8.7449999999999992</v>
      </c>
      <c r="E608" s="11">
        <f>9.9502 * CHOOSE(CONTROL!$C$32, $C$9, 100%, $E$9)</f>
        <v>9.9502000000000006</v>
      </c>
      <c r="F608" s="11">
        <f>9.9502 * CHOOSE(CONTROL!$C$32, $C$9, 100%, $E$9)</f>
        <v>9.9502000000000006</v>
      </c>
      <c r="G608" s="11">
        <f>9.9544 * CHOOSE(CONTROL!$C$32, $C$9, 100%, $E$9)</f>
        <v>9.9543999999999997</v>
      </c>
      <c r="H608" s="11">
        <f>19.8468 * CHOOSE(CONTROL!$C$32, $C$9, 100%, $E$9)</f>
        <v>19.846800000000002</v>
      </c>
      <c r="I608" s="11">
        <f>19.851 * CHOOSE(CONTROL!$C$32, $C$9, 100%, $E$9)</f>
        <v>19.850999999999999</v>
      </c>
      <c r="J608" s="11">
        <f>19.8468 * CHOOSE(CONTROL!$C$32, $C$9, 100%, $E$9)</f>
        <v>19.846800000000002</v>
      </c>
      <c r="K608" s="11">
        <f>19.851 * CHOOSE(CONTROL!$C$32, $C$9, 100%, $E$9)</f>
        <v>19.850999999999999</v>
      </c>
      <c r="L608" s="11">
        <f>9.9502 * CHOOSE(CONTROL!$C$32, $C$9, 100%, $E$9)</f>
        <v>9.9502000000000006</v>
      </c>
      <c r="M608" s="11">
        <f>9.9544 * CHOOSE(CONTROL!$C$32, $C$9, 100%, $E$9)</f>
        <v>9.9543999999999997</v>
      </c>
      <c r="N608" s="11">
        <f>9.9502 * CHOOSE(CONTROL!$C$32, $C$9, 100%, $E$9)</f>
        <v>9.9502000000000006</v>
      </c>
      <c r="O608" s="11">
        <f>9.9544 * CHOOSE(CONTROL!$C$32, $C$9, 100%, $E$9)</f>
        <v>9.9543999999999997</v>
      </c>
    </row>
    <row r="609" spans="1:15" ht="15" x14ac:dyDescent="0.2">
      <c r="A609" s="13">
        <v>59384</v>
      </c>
      <c r="B609" s="9">
        <f>8.7504 * CHOOSE(CONTROL!$C$32, $C$9, 100%, $E$9)</f>
        <v>8.7504000000000008</v>
      </c>
      <c r="C609" s="9">
        <f>8.7504 * CHOOSE(CONTROL!$C$32, $C$9, 100%, $E$9)</f>
        <v>8.7504000000000008</v>
      </c>
      <c r="D609" s="9">
        <f>8.7517 * CHOOSE(CONTROL!$C$32, $C$9, 100%, $E$9)</f>
        <v>8.7516999999999996</v>
      </c>
      <c r="E609" s="11">
        <f>9.7337 * CHOOSE(CONTROL!$C$32, $C$9, 100%, $E$9)</f>
        <v>9.7337000000000007</v>
      </c>
      <c r="F609" s="11">
        <f>9.7337 * CHOOSE(CONTROL!$C$32, $C$9, 100%, $E$9)</f>
        <v>9.7337000000000007</v>
      </c>
      <c r="G609" s="11">
        <f>9.7379 * CHOOSE(CONTROL!$C$32, $C$9, 100%, $E$9)</f>
        <v>9.7378999999999998</v>
      </c>
      <c r="H609" s="11">
        <f>19.8882 * CHOOSE(CONTROL!$C$32, $C$9, 100%, $E$9)</f>
        <v>19.888200000000001</v>
      </c>
      <c r="I609" s="11">
        <f>19.8924 * CHOOSE(CONTROL!$C$32, $C$9, 100%, $E$9)</f>
        <v>19.892399999999999</v>
      </c>
      <c r="J609" s="11">
        <f>19.8882 * CHOOSE(CONTROL!$C$32, $C$9, 100%, $E$9)</f>
        <v>19.888200000000001</v>
      </c>
      <c r="K609" s="11">
        <f>19.8924 * CHOOSE(CONTROL!$C$32, $C$9, 100%, $E$9)</f>
        <v>19.892399999999999</v>
      </c>
      <c r="L609" s="11">
        <f>9.7337 * CHOOSE(CONTROL!$C$32, $C$9, 100%, $E$9)</f>
        <v>9.7337000000000007</v>
      </c>
      <c r="M609" s="11">
        <f>9.7379 * CHOOSE(CONTROL!$C$32, $C$9, 100%, $E$9)</f>
        <v>9.7378999999999998</v>
      </c>
      <c r="N609" s="11">
        <f>9.7337 * CHOOSE(CONTROL!$C$32, $C$9, 100%, $E$9)</f>
        <v>9.7337000000000007</v>
      </c>
      <c r="O609" s="11">
        <f>9.7379 * CHOOSE(CONTROL!$C$32, $C$9, 100%, $E$9)</f>
        <v>9.7378999999999998</v>
      </c>
    </row>
    <row r="610" spans="1:15" ht="15" x14ac:dyDescent="0.2">
      <c r="A610" s="13">
        <v>59415</v>
      </c>
      <c r="B610" s="9">
        <f>8.7474 * CHOOSE(CONTROL!$C$32, $C$9, 100%, $E$9)</f>
        <v>8.7474000000000007</v>
      </c>
      <c r="C610" s="9">
        <f>8.7474 * CHOOSE(CONTROL!$C$32, $C$9, 100%, $E$9)</f>
        <v>8.7474000000000007</v>
      </c>
      <c r="D610" s="9">
        <f>8.7486 * CHOOSE(CONTROL!$C$32, $C$9, 100%, $E$9)</f>
        <v>8.7485999999999997</v>
      </c>
      <c r="E610" s="11">
        <f>9.707 * CHOOSE(CONTROL!$C$32, $C$9, 100%, $E$9)</f>
        <v>9.7070000000000007</v>
      </c>
      <c r="F610" s="11">
        <f>9.707 * CHOOSE(CONTROL!$C$32, $C$9, 100%, $E$9)</f>
        <v>9.7070000000000007</v>
      </c>
      <c r="G610" s="11">
        <f>9.7112 * CHOOSE(CONTROL!$C$32, $C$9, 100%, $E$9)</f>
        <v>9.7111999999999998</v>
      </c>
      <c r="H610" s="11">
        <f>19.9296 * CHOOSE(CONTROL!$C$32, $C$9, 100%, $E$9)</f>
        <v>19.929600000000001</v>
      </c>
      <c r="I610" s="11">
        <f>19.9338 * CHOOSE(CONTROL!$C$32, $C$9, 100%, $E$9)</f>
        <v>19.933800000000002</v>
      </c>
      <c r="J610" s="11">
        <f>19.9296 * CHOOSE(CONTROL!$C$32, $C$9, 100%, $E$9)</f>
        <v>19.929600000000001</v>
      </c>
      <c r="K610" s="11">
        <f>19.9338 * CHOOSE(CONTROL!$C$32, $C$9, 100%, $E$9)</f>
        <v>19.933800000000002</v>
      </c>
      <c r="L610" s="11">
        <f>9.707 * CHOOSE(CONTROL!$C$32, $C$9, 100%, $E$9)</f>
        <v>9.7070000000000007</v>
      </c>
      <c r="M610" s="11">
        <f>9.7112 * CHOOSE(CONTROL!$C$32, $C$9, 100%, $E$9)</f>
        <v>9.7111999999999998</v>
      </c>
      <c r="N610" s="11">
        <f>9.707 * CHOOSE(CONTROL!$C$32, $C$9, 100%, $E$9)</f>
        <v>9.7070000000000007</v>
      </c>
      <c r="O610" s="11">
        <f>9.7112 * CHOOSE(CONTROL!$C$32, $C$9, 100%, $E$9)</f>
        <v>9.7111999999999998</v>
      </c>
    </row>
    <row r="611" spans="1:15" ht="15" x14ac:dyDescent="0.2">
      <c r="A611" s="13">
        <v>59445</v>
      </c>
      <c r="B611" s="9">
        <f>8.7601 * CHOOSE(CONTROL!$C$32, $C$9, 100%, $E$9)</f>
        <v>8.7600999999999996</v>
      </c>
      <c r="C611" s="9">
        <f>8.7601 * CHOOSE(CONTROL!$C$32, $C$9, 100%, $E$9)</f>
        <v>8.7600999999999996</v>
      </c>
      <c r="D611" s="9">
        <f>8.7611 * CHOOSE(CONTROL!$C$32, $C$9, 100%, $E$9)</f>
        <v>8.7611000000000008</v>
      </c>
      <c r="E611" s="11">
        <f>9.7919 * CHOOSE(CONTROL!$C$32, $C$9, 100%, $E$9)</f>
        <v>9.7919</v>
      </c>
      <c r="F611" s="11">
        <f>9.7919 * CHOOSE(CONTROL!$C$32, $C$9, 100%, $E$9)</f>
        <v>9.7919</v>
      </c>
      <c r="G611" s="11">
        <f>9.7951 * CHOOSE(CONTROL!$C$32, $C$9, 100%, $E$9)</f>
        <v>9.7950999999999997</v>
      </c>
      <c r="H611" s="11">
        <f>19.9711 * CHOOSE(CONTROL!$C$32, $C$9, 100%, $E$9)</f>
        <v>19.9711</v>
      </c>
      <c r="I611" s="11">
        <f>19.9743 * CHOOSE(CONTROL!$C$32, $C$9, 100%, $E$9)</f>
        <v>19.974299999999999</v>
      </c>
      <c r="J611" s="11">
        <f>19.9711 * CHOOSE(CONTROL!$C$32, $C$9, 100%, $E$9)</f>
        <v>19.9711</v>
      </c>
      <c r="K611" s="11">
        <f>19.9743 * CHOOSE(CONTROL!$C$32, $C$9, 100%, $E$9)</f>
        <v>19.974299999999999</v>
      </c>
      <c r="L611" s="11">
        <f>9.7919 * CHOOSE(CONTROL!$C$32, $C$9, 100%, $E$9)</f>
        <v>9.7919</v>
      </c>
      <c r="M611" s="11">
        <f>9.7951 * CHOOSE(CONTROL!$C$32, $C$9, 100%, $E$9)</f>
        <v>9.7950999999999997</v>
      </c>
      <c r="N611" s="11">
        <f>9.7919 * CHOOSE(CONTROL!$C$32, $C$9, 100%, $E$9)</f>
        <v>9.7919</v>
      </c>
      <c r="O611" s="11">
        <f>9.7951 * CHOOSE(CONTROL!$C$32, $C$9, 100%, $E$9)</f>
        <v>9.7950999999999997</v>
      </c>
    </row>
    <row r="612" spans="1:15" ht="15" x14ac:dyDescent="0.2">
      <c r="A612" s="13">
        <v>59476</v>
      </c>
      <c r="B612" s="9">
        <f>8.7632 * CHOOSE(CONTROL!$C$32, $C$9, 100%, $E$9)</f>
        <v>8.7631999999999994</v>
      </c>
      <c r="C612" s="9">
        <f>8.7632 * CHOOSE(CONTROL!$C$32, $C$9, 100%, $E$9)</f>
        <v>8.7631999999999994</v>
      </c>
      <c r="D612" s="9">
        <f>8.7641 * CHOOSE(CONTROL!$C$32, $C$9, 100%, $E$9)</f>
        <v>8.7640999999999991</v>
      </c>
      <c r="E612" s="11">
        <f>9.8432 * CHOOSE(CONTROL!$C$32, $C$9, 100%, $E$9)</f>
        <v>9.8431999999999995</v>
      </c>
      <c r="F612" s="11">
        <f>9.8432 * CHOOSE(CONTROL!$C$32, $C$9, 100%, $E$9)</f>
        <v>9.8431999999999995</v>
      </c>
      <c r="G612" s="11">
        <f>9.8464 * CHOOSE(CONTROL!$C$32, $C$9, 100%, $E$9)</f>
        <v>9.8463999999999992</v>
      </c>
      <c r="H612" s="11">
        <f>20.0127 * CHOOSE(CONTROL!$C$32, $C$9, 100%, $E$9)</f>
        <v>20.012699999999999</v>
      </c>
      <c r="I612" s="11">
        <f>20.016 * CHOOSE(CONTROL!$C$32, $C$9, 100%, $E$9)</f>
        <v>20.015999999999998</v>
      </c>
      <c r="J612" s="11">
        <f>20.0127 * CHOOSE(CONTROL!$C$32, $C$9, 100%, $E$9)</f>
        <v>20.012699999999999</v>
      </c>
      <c r="K612" s="11">
        <f>20.016 * CHOOSE(CONTROL!$C$32, $C$9, 100%, $E$9)</f>
        <v>20.015999999999998</v>
      </c>
      <c r="L612" s="11">
        <f>9.8432 * CHOOSE(CONTROL!$C$32, $C$9, 100%, $E$9)</f>
        <v>9.8431999999999995</v>
      </c>
      <c r="M612" s="11">
        <f>9.8464 * CHOOSE(CONTROL!$C$32, $C$9, 100%, $E$9)</f>
        <v>9.8463999999999992</v>
      </c>
      <c r="N612" s="11">
        <f>9.8432 * CHOOSE(CONTROL!$C$32, $C$9, 100%, $E$9)</f>
        <v>9.8431999999999995</v>
      </c>
      <c r="O612" s="11">
        <f>9.8464 * CHOOSE(CONTROL!$C$32, $C$9, 100%, $E$9)</f>
        <v>9.8463999999999992</v>
      </c>
    </row>
    <row r="613" spans="1:15" ht="15" x14ac:dyDescent="0.2">
      <c r="A613" s="13">
        <v>59506</v>
      </c>
      <c r="B613" s="9">
        <f>8.7632 * CHOOSE(CONTROL!$C$32, $C$9, 100%, $E$9)</f>
        <v>8.7631999999999994</v>
      </c>
      <c r="C613" s="9">
        <f>8.7632 * CHOOSE(CONTROL!$C$32, $C$9, 100%, $E$9)</f>
        <v>8.7631999999999994</v>
      </c>
      <c r="D613" s="9">
        <f>8.7641 * CHOOSE(CONTROL!$C$32, $C$9, 100%, $E$9)</f>
        <v>8.7640999999999991</v>
      </c>
      <c r="E613" s="11">
        <f>9.7203 * CHOOSE(CONTROL!$C$32, $C$9, 100%, $E$9)</f>
        <v>9.7202999999999999</v>
      </c>
      <c r="F613" s="11">
        <f>9.7203 * CHOOSE(CONTROL!$C$32, $C$9, 100%, $E$9)</f>
        <v>9.7202999999999999</v>
      </c>
      <c r="G613" s="11">
        <f>9.7235 * CHOOSE(CONTROL!$C$32, $C$9, 100%, $E$9)</f>
        <v>9.7234999999999996</v>
      </c>
      <c r="H613" s="11">
        <f>20.0544 * CHOOSE(CONTROL!$C$32, $C$9, 100%, $E$9)</f>
        <v>20.054400000000001</v>
      </c>
      <c r="I613" s="11">
        <f>20.0576 * CHOOSE(CONTROL!$C$32, $C$9, 100%, $E$9)</f>
        <v>20.057600000000001</v>
      </c>
      <c r="J613" s="11">
        <f>20.0544 * CHOOSE(CONTROL!$C$32, $C$9, 100%, $E$9)</f>
        <v>20.054400000000001</v>
      </c>
      <c r="K613" s="11">
        <f>20.0576 * CHOOSE(CONTROL!$C$32, $C$9, 100%, $E$9)</f>
        <v>20.057600000000001</v>
      </c>
      <c r="L613" s="11">
        <f>9.7203 * CHOOSE(CONTROL!$C$32, $C$9, 100%, $E$9)</f>
        <v>9.7202999999999999</v>
      </c>
      <c r="M613" s="11">
        <f>9.7235 * CHOOSE(CONTROL!$C$32, $C$9, 100%, $E$9)</f>
        <v>9.7234999999999996</v>
      </c>
      <c r="N613" s="11">
        <f>9.7203 * CHOOSE(CONTROL!$C$32, $C$9, 100%, $E$9)</f>
        <v>9.7202999999999999</v>
      </c>
      <c r="O613" s="11">
        <f>9.7235 * CHOOSE(CONTROL!$C$32, $C$9, 100%, $E$9)</f>
        <v>9.7234999999999996</v>
      </c>
    </row>
    <row r="614" spans="1:15" ht="15" x14ac:dyDescent="0.2">
      <c r="A614" s="13">
        <v>59537</v>
      </c>
      <c r="B614" s="9">
        <f>8.8196 * CHOOSE(CONTROL!$C$32, $C$9, 100%, $E$9)</f>
        <v>8.8195999999999994</v>
      </c>
      <c r="C614" s="9">
        <f>8.8196 * CHOOSE(CONTROL!$C$32, $C$9, 100%, $E$9)</f>
        <v>8.8195999999999994</v>
      </c>
      <c r="D614" s="9">
        <f>8.8205 * CHOOSE(CONTROL!$C$32, $C$9, 100%, $E$9)</f>
        <v>8.8204999999999991</v>
      </c>
      <c r="E614" s="11">
        <f>9.883 * CHOOSE(CONTROL!$C$32, $C$9, 100%, $E$9)</f>
        <v>9.8829999999999991</v>
      </c>
      <c r="F614" s="11">
        <f>9.883 * CHOOSE(CONTROL!$C$32, $C$9, 100%, $E$9)</f>
        <v>9.8829999999999991</v>
      </c>
      <c r="G614" s="11">
        <f>9.8862 * CHOOSE(CONTROL!$C$32, $C$9, 100%, $E$9)</f>
        <v>9.8862000000000005</v>
      </c>
      <c r="H614" s="11">
        <f>20.0723 * CHOOSE(CONTROL!$C$32, $C$9, 100%, $E$9)</f>
        <v>20.072299999999998</v>
      </c>
      <c r="I614" s="11">
        <f>20.0756 * CHOOSE(CONTROL!$C$32, $C$9, 100%, $E$9)</f>
        <v>20.075600000000001</v>
      </c>
      <c r="J614" s="11">
        <f>20.0723 * CHOOSE(CONTROL!$C$32, $C$9, 100%, $E$9)</f>
        <v>20.072299999999998</v>
      </c>
      <c r="K614" s="11">
        <f>20.0756 * CHOOSE(CONTROL!$C$32, $C$9, 100%, $E$9)</f>
        <v>20.075600000000001</v>
      </c>
      <c r="L614" s="11">
        <f>9.883 * CHOOSE(CONTROL!$C$32, $C$9, 100%, $E$9)</f>
        <v>9.8829999999999991</v>
      </c>
      <c r="M614" s="11">
        <f>9.8862 * CHOOSE(CONTROL!$C$32, $C$9, 100%, $E$9)</f>
        <v>9.8862000000000005</v>
      </c>
      <c r="N614" s="11">
        <f>9.883 * CHOOSE(CONTROL!$C$32, $C$9, 100%, $E$9)</f>
        <v>9.8829999999999991</v>
      </c>
      <c r="O614" s="11">
        <f>9.8862 * CHOOSE(CONTROL!$C$32, $C$9, 100%, $E$9)</f>
        <v>9.8862000000000005</v>
      </c>
    </row>
    <row r="615" spans="1:15" ht="15" x14ac:dyDescent="0.2">
      <c r="A615" s="13">
        <v>59568</v>
      </c>
      <c r="B615" s="9">
        <f>8.8165 * CHOOSE(CONTROL!$C$32, $C$9, 100%, $E$9)</f>
        <v>8.8164999999999996</v>
      </c>
      <c r="C615" s="9">
        <f>8.8165 * CHOOSE(CONTROL!$C$32, $C$9, 100%, $E$9)</f>
        <v>8.8164999999999996</v>
      </c>
      <c r="D615" s="9">
        <f>8.8175 * CHOOSE(CONTROL!$C$32, $C$9, 100%, $E$9)</f>
        <v>8.8175000000000008</v>
      </c>
      <c r="E615" s="11">
        <f>9.6416 * CHOOSE(CONTROL!$C$32, $C$9, 100%, $E$9)</f>
        <v>9.6416000000000004</v>
      </c>
      <c r="F615" s="11">
        <f>9.6416 * CHOOSE(CONTROL!$C$32, $C$9, 100%, $E$9)</f>
        <v>9.6416000000000004</v>
      </c>
      <c r="G615" s="11">
        <f>9.6448 * CHOOSE(CONTROL!$C$32, $C$9, 100%, $E$9)</f>
        <v>9.6448</v>
      </c>
      <c r="H615" s="11">
        <f>20.1142 * CHOOSE(CONTROL!$C$32, $C$9, 100%, $E$9)</f>
        <v>20.1142</v>
      </c>
      <c r="I615" s="11">
        <f>20.1174 * CHOOSE(CONTROL!$C$32, $C$9, 100%, $E$9)</f>
        <v>20.1174</v>
      </c>
      <c r="J615" s="11">
        <f>20.1142 * CHOOSE(CONTROL!$C$32, $C$9, 100%, $E$9)</f>
        <v>20.1142</v>
      </c>
      <c r="K615" s="11">
        <f>20.1174 * CHOOSE(CONTROL!$C$32, $C$9, 100%, $E$9)</f>
        <v>20.1174</v>
      </c>
      <c r="L615" s="11">
        <f>9.6416 * CHOOSE(CONTROL!$C$32, $C$9, 100%, $E$9)</f>
        <v>9.6416000000000004</v>
      </c>
      <c r="M615" s="11">
        <f>9.6448 * CHOOSE(CONTROL!$C$32, $C$9, 100%, $E$9)</f>
        <v>9.6448</v>
      </c>
      <c r="N615" s="11">
        <f>9.6416 * CHOOSE(CONTROL!$C$32, $C$9, 100%, $E$9)</f>
        <v>9.6416000000000004</v>
      </c>
      <c r="O615" s="11">
        <f>9.6448 * CHOOSE(CONTROL!$C$32, $C$9, 100%, $E$9)</f>
        <v>9.6448</v>
      </c>
    </row>
    <row r="616" spans="1:15" ht="15" x14ac:dyDescent="0.2">
      <c r="A616" s="13">
        <v>59596</v>
      </c>
      <c r="B616" s="9">
        <f>8.8135 * CHOOSE(CONTROL!$C$32, $C$9, 100%, $E$9)</f>
        <v>8.8134999999999994</v>
      </c>
      <c r="C616" s="9">
        <f>8.8135 * CHOOSE(CONTROL!$C$32, $C$9, 100%, $E$9)</f>
        <v>8.8134999999999994</v>
      </c>
      <c r="D616" s="9">
        <f>8.8144 * CHOOSE(CONTROL!$C$32, $C$9, 100%, $E$9)</f>
        <v>8.8143999999999991</v>
      </c>
      <c r="E616" s="11">
        <f>9.8281 * CHOOSE(CONTROL!$C$32, $C$9, 100%, $E$9)</f>
        <v>9.8280999999999992</v>
      </c>
      <c r="F616" s="11">
        <f>9.8281 * CHOOSE(CONTROL!$C$32, $C$9, 100%, $E$9)</f>
        <v>9.8280999999999992</v>
      </c>
      <c r="G616" s="11">
        <f>9.8313 * CHOOSE(CONTROL!$C$32, $C$9, 100%, $E$9)</f>
        <v>9.8313000000000006</v>
      </c>
      <c r="H616" s="11">
        <f>20.1561 * CHOOSE(CONTROL!$C$32, $C$9, 100%, $E$9)</f>
        <v>20.156099999999999</v>
      </c>
      <c r="I616" s="11">
        <f>20.1593 * CHOOSE(CONTROL!$C$32, $C$9, 100%, $E$9)</f>
        <v>20.159300000000002</v>
      </c>
      <c r="J616" s="11">
        <f>20.1561 * CHOOSE(CONTROL!$C$32, $C$9, 100%, $E$9)</f>
        <v>20.156099999999999</v>
      </c>
      <c r="K616" s="11">
        <f>20.1593 * CHOOSE(CONTROL!$C$32, $C$9, 100%, $E$9)</f>
        <v>20.159300000000002</v>
      </c>
      <c r="L616" s="11">
        <f>9.8281 * CHOOSE(CONTROL!$C$32, $C$9, 100%, $E$9)</f>
        <v>9.8280999999999992</v>
      </c>
      <c r="M616" s="11">
        <f>9.8313 * CHOOSE(CONTROL!$C$32, $C$9, 100%, $E$9)</f>
        <v>9.8313000000000006</v>
      </c>
      <c r="N616" s="11">
        <f>9.8281 * CHOOSE(CONTROL!$C$32, $C$9, 100%, $E$9)</f>
        <v>9.8280999999999992</v>
      </c>
      <c r="O616" s="11">
        <f>9.8313 * CHOOSE(CONTROL!$C$32, $C$9, 100%, $E$9)</f>
        <v>9.8313000000000006</v>
      </c>
    </row>
    <row r="617" spans="1:15" ht="15" x14ac:dyDescent="0.2">
      <c r="A617" s="13">
        <v>59627</v>
      </c>
      <c r="B617" s="9">
        <f>8.8158 * CHOOSE(CONTROL!$C$32, $C$9, 100%, $E$9)</f>
        <v>8.8157999999999994</v>
      </c>
      <c r="C617" s="9">
        <f>8.8158 * CHOOSE(CONTROL!$C$32, $C$9, 100%, $E$9)</f>
        <v>8.8157999999999994</v>
      </c>
      <c r="D617" s="9">
        <f>8.8168 * CHOOSE(CONTROL!$C$32, $C$9, 100%, $E$9)</f>
        <v>8.8168000000000006</v>
      </c>
      <c r="E617" s="11">
        <f>10.0265 * CHOOSE(CONTROL!$C$32, $C$9, 100%, $E$9)</f>
        <v>10.0265</v>
      </c>
      <c r="F617" s="11">
        <f>10.0265 * CHOOSE(CONTROL!$C$32, $C$9, 100%, $E$9)</f>
        <v>10.0265</v>
      </c>
      <c r="G617" s="11">
        <f>10.0297 * CHOOSE(CONTROL!$C$32, $C$9, 100%, $E$9)</f>
        <v>10.0297</v>
      </c>
      <c r="H617" s="11">
        <f>20.1981 * CHOOSE(CONTROL!$C$32, $C$9, 100%, $E$9)</f>
        <v>20.1981</v>
      </c>
      <c r="I617" s="11">
        <f>20.2013 * CHOOSE(CONTROL!$C$32, $C$9, 100%, $E$9)</f>
        <v>20.2013</v>
      </c>
      <c r="J617" s="11">
        <f>20.1981 * CHOOSE(CONTROL!$C$32, $C$9, 100%, $E$9)</f>
        <v>20.1981</v>
      </c>
      <c r="K617" s="11">
        <f>20.2013 * CHOOSE(CONTROL!$C$32, $C$9, 100%, $E$9)</f>
        <v>20.2013</v>
      </c>
      <c r="L617" s="11">
        <f>10.0265 * CHOOSE(CONTROL!$C$32, $C$9, 100%, $E$9)</f>
        <v>10.0265</v>
      </c>
      <c r="M617" s="11">
        <f>10.0297 * CHOOSE(CONTROL!$C$32, $C$9, 100%, $E$9)</f>
        <v>10.0297</v>
      </c>
      <c r="N617" s="11">
        <f>10.0265 * CHOOSE(CONTROL!$C$32, $C$9, 100%, $E$9)</f>
        <v>10.0265</v>
      </c>
      <c r="O617" s="11">
        <f>10.0297 * CHOOSE(CONTROL!$C$32, $C$9, 100%, $E$9)</f>
        <v>10.0297</v>
      </c>
    </row>
    <row r="618" spans="1:15" ht="15" x14ac:dyDescent="0.2">
      <c r="A618" s="13">
        <v>59657</v>
      </c>
      <c r="B618" s="9">
        <f>8.8158 * CHOOSE(CONTROL!$C$32, $C$9, 100%, $E$9)</f>
        <v>8.8157999999999994</v>
      </c>
      <c r="C618" s="9">
        <f>8.8158 * CHOOSE(CONTROL!$C$32, $C$9, 100%, $E$9)</f>
        <v>8.8157999999999994</v>
      </c>
      <c r="D618" s="9">
        <f>8.817 * CHOOSE(CONTROL!$C$32, $C$9, 100%, $E$9)</f>
        <v>8.8170000000000002</v>
      </c>
      <c r="E618" s="11">
        <f>10.1024 * CHOOSE(CONTROL!$C$32, $C$9, 100%, $E$9)</f>
        <v>10.102399999999999</v>
      </c>
      <c r="F618" s="11">
        <f>10.1024 * CHOOSE(CONTROL!$C$32, $C$9, 100%, $E$9)</f>
        <v>10.102399999999999</v>
      </c>
      <c r="G618" s="11">
        <f>10.1066 * CHOOSE(CONTROL!$C$32, $C$9, 100%, $E$9)</f>
        <v>10.1066</v>
      </c>
      <c r="H618" s="11">
        <f>20.2401 * CHOOSE(CONTROL!$C$32, $C$9, 100%, $E$9)</f>
        <v>20.240100000000002</v>
      </c>
      <c r="I618" s="11">
        <f>20.2443 * CHOOSE(CONTROL!$C$32, $C$9, 100%, $E$9)</f>
        <v>20.244299999999999</v>
      </c>
      <c r="J618" s="11">
        <f>20.2401 * CHOOSE(CONTROL!$C$32, $C$9, 100%, $E$9)</f>
        <v>20.240100000000002</v>
      </c>
      <c r="K618" s="11">
        <f>20.2443 * CHOOSE(CONTROL!$C$32, $C$9, 100%, $E$9)</f>
        <v>20.244299999999999</v>
      </c>
      <c r="L618" s="11">
        <f>10.1024 * CHOOSE(CONTROL!$C$32, $C$9, 100%, $E$9)</f>
        <v>10.102399999999999</v>
      </c>
      <c r="M618" s="11">
        <f>10.1066 * CHOOSE(CONTROL!$C$32, $C$9, 100%, $E$9)</f>
        <v>10.1066</v>
      </c>
      <c r="N618" s="11">
        <f>10.1024 * CHOOSE(CONTROL!$C$32, $C$9, 100%, $E$9)</f>
        <v>10.102399999999999</v>
      </c>
      <c r="O618" s="11">
        <f>10.1066 * CHOOSE(CONTROL!$C$32, $C$9, 100%, $E$9)</f>
        <v>10.1066</v>
      </c>
    </row>
    <row r="619" spans="1:15" ht="15" x14ac:dyDescent="0.2">
      <c r="A619" s="13">
        <v>59688</v>
      </c>
      <c r="B619" s="9">
        <f>8.8219 * CHOOSE(CONTROL!$C$32, $C$9, 100%, $E$9)</f>
        <v>8.8218999999999994</v>
      </c>
      <c r="C619" s="9">
        <f>8.8219 * CHOOSE(CONTROL!$C$32, $C$9, 100%, $E$9)</f>
        <v>8.8218999999999994</v>
      </c>
      <c r="D619" s="9">
        <f>8.8231 * CHOOSE(CONTROL!$C$32, $C$9, 100%, $E$9)</f>
        <v>8.8231000000000002</v>
      </c>
      <c r="E619" s="11">
        <f>10.0307 * CHOOSE(CONTROL!$C$32, $C$9, 100%, $E$9)</f>
        <v>10.0307</v>
      </c>
      <c r="F619" s="11">
        <f>10.0307 * CHOOSE(CONTROL!$C$32, $C$9, 100%, $E$9)</f>
        <v>10.0307</v>
      </c>
      <c r="G619" s="11">
        <f>10.0349 * CHOOSE(CONTROL!$C$32, $C$9, 100%, $E$9)</f>
        <v>10.0349</v>
      </c>
      <c r="H619" s="11">
        <f>20.2823 * CHOOSE(CONTROL!$C$32, $C$9, 100%, $E$9)</f>
        <v>20.282299999999999</v>
      </c>
      <c r="I619" s="11">
        <f>20.2865 * CHOOSE(CONTROL!$C$32, $C$9, 100%, $E$9)</f>
        <v>20.2865</v>
      </c>
      <c r="J619" s="11">
        <f>20.2823 * CHOOSE(CONTROL!$C$32, $C$9, 100%, $E$9)</f>
        <v>20.282299999999999</v>
      </c>
      <c r="K619" s="11">
        <f>20.2865 * CHOOSE(CONTROL!$C$32, $C$9, 100%, $E$9)</f>
        <v>20.2865</v>
      </c>
      <c r="L619" s="11">
        <f>10.0307 * CHOOSE(CONTROL!$C$32, $C$9, 100%, $E$9)</f>
        <v>10.0307</v>
      </c>
      <c r="M619" s="11">
        <f>10.0349 * CHOOSE(CONTROL!$C$32, $C$9, 100%, $E$9)</f>
        <v>10.0349</v>
      </c>
      <c r="N619" s="11">
        <f>10.0307 * CHOOSE(CONTROL!$C$32, $C$9, 100%, $E$9)</f>
        <v>10.0307</v>
      </c>
      <c r="O619" s="11">
        <f>10.0349 * CHOOSE(CONTROL!$C$32, $C$9, 100%, $E$9)</f>
        <v>10.0349</v>
      </c>
    </row>
    <row r="620" spans="1:15" ht="15" x14ac:dyDescent="0.2">
      <c r="A620" s="13">
        <v>59718</v>
      </c>
      <c r="B620" s="9">
        <f>8.9333 * CHOOSE(CONTROL!$C$32, $C$9, 100%, $E$9)</f>
        <v>8.9332999999999991</v>
      </c>
      <c r="C620" s="9">
        <f>8.9333 * CHOOSE(CONTROL!$C$32, $C$9, 100%, $E$9)</f>
        <v>8.9332999999999991</v>
      </c>
      <c r="D620" s="9">
        <f>8.9346 * CHOOSE(CONTROL!$C$32, $C$9, 100%, $E$9)</f>
        <v>8.9345999999999997</v>
      </c>
      <c r="E620" s="11">
        <f>10.1704 * CHOOSE(CONTROL!$C$32, $C$9, 100%, $E$9)</f>
        <v>10.170400000000001</v>
      </c>
      <c r="F620" s="11">
        <f>10.1704 * CHOOSE(CONTROL!$C$32, $C$9, 100%, $E$9)</f>
        <v>10.170400000000001</v>
      </c>
      <c r="G620" s="11">
        <f>10.1746 * CHOOSE(CONTROL!$C$32, $C$9, 100%, $E$9)</f>
        <v>10.1746</v>
      </c>
      <c r="H620" s="11">
        <f>20.3246 * CHOOSE(CONTROL!$C$32, $C$9, 100%, $E$9)</f>
        <v>20.3246</v>
      </c>
      <c r="I620" s="11">
        <f>20.3288 * CHOOSE(CONTROL!$C$32, $C$9, 100%, $E$9)</f>
        <v>20.328800000000001</v>
      </c>
      <c r="J620" s="11">
        <f>20.3246 * CHOOSE(CONTROL!$C$32, $C$9, 100%, $E$9)</f>
        <v>20.3246</v>
      </c>
      <c r="K620" s="11">
        <f>20.3288 * CHOOSE(CONTROL!$C$32, $C$9, 100%, $E$9)</f>
        <v>20.328800000000001</v>
      </c>
      <c r="L620" s="11">
        <f>10.1704 * CHOOSE(CONTROL!$C$32, $C$9, 100%, $E$9)</f>
        <v>10.170400000000001</v>
      </c>
      <c r="M620" s="11">
        <f>10.1746 * CHOOSE(CONTROL!$C$32, $C$9, 100%, $E$9)</f>
        <v>10.1746</v>
      </c>
      <c r="N620" s="11">
        <f>10.1704 * CHOOSE(CONTROL!$C$32, $C$9, 100%, $E$9)</f>
        <v>10.170400000000001</v>
      </c>
      <c r="O620" s="11">
        <f>10.1746 * CHOOSE(CONTROL!$C$32, $C$9, 100%, $E$9)</f>
        <v>10.1746</v>
      </c>
    </row>
    <row r="621" spans="1:15" ht="15" x14ac:dyDescent="0.2">
      <c r="A621" s="13">
        <v>59749</v>
      </c>
      <c r="B621" s="9">
        <f>8.94 * CHOOSE(CONTROL!$C$32, $C$9, 100%, $E$9)</f>
        <v>8.94</v>
      </c>
      <c r="C621" s="9">
        <f>8.94 * CHOOSE(CONTROL!$C$32, $C$9, 100%, $E$9)</f>
        <v>8.94</v>
      </c>
      <c r="D621" s="9">
        <f>8.9413 * CHOOSE(CONTROL!$C$32, $C$9, 100%, $E$9)</f>
        <v>8.9413</v>
      </c>
      <c r="E621" s="11">
        <f>9.9471 * CHOOSE(CONTROL!$C$32, $C$9, 100%, $E$9)</f>
        <v>9.9471000000000007</v>
      </c>
      <c r="F621" s="11">
        <f>9.9471 * CHOOSE(CONTROL!$C$32, $C$9, 100%, $E$9)</f>
        <v>9.9471000000000007</v>
      </c>
      <c r="G621" s="11">
        <f>9.9513 * CHOOSE(CONTROL!$C$32, $C$9, 100%, $E$9)</f>
        <v>9.9512999999999998</v>
      </c>
      <c r="H621" s="11">
        <f>20.3669 * CHOOSE(CONTROL!$C$32, $C$9, 100%, $E$9)</f>
        <v>20.366900000000001</v>
      </c>
      <c r="I621" s="11">
        <f>20.3711 * CHOOSE(CONTROL!$C$32, $C$9, 100%, $E$9)</f>
        <v>20.371099999999998</v>
      </c>
      <c r="J621" s="11">
        <f>20.3669 * CHOOSE(CONTROL!$C$32, $C$9, 100%, $E$9)</f>
        <v>20.366900000000001</v>
      </c>
      <c r="K621" s="11">
        <f>20.3711 * CHOOSE(CONTROL!$C$32, $C$9, 100%, $E$9)</f>
        <v>20.371099999999998</v>
      </c>
      <c r="L621" s="11">
        <f>9.9471 * CHOOSE(CONTROL!$C$32, $C$9, 100%, $E$9)</f>
        <v>9.9471000000000007</v>
      </c>
      <c r="M621" s="11">
        <f>9.9513 * CHOOSE(CONTROL!$C$32, $C$9, 100%, $E$9)</f>
        <v>9.9512999999999998</v>
      </c>
      <c r="N621" s="11">
        <f>9.9471 * CHOOSE(CONTROL!$C$32, $C$9, 100%, $E$9)</f>
        <v>9.9471000000000007</v>
      </c>
      <c r="O621" s="11">
        <f>9.9513 * CHOOSE(CONTROL!$C$32, $C$9, 100%, $E$9)</f>
        <v>9.9512999999999998</v>
      </c>
    </row>
    <row r="622" spans="1:15" ht="15" x14ac:dyDescent="0.2">
      <c r="A622" s="13">
        <v>59780</v>
      </c>
      <c r="B622" s="9">
        <f>8.937 * CHOOSE(CONTROL!$C$32, $C$9, 100%, $E$9)</f>
        <v>8.9369999999999994</v>
      </c>
      <c r="C622" s="9">
        <f>8.937 * CHOOSE(CONTROL!$C$32, $C$9, 100%, $E$9)</f>
        <v>8.9369999999999994</v>
      </c>
      <c r="D622" s="9">
        <f>8.9382 * CHOOSE(CONTROL!$C$32, $C$9, 100%, $E$9)</f>
        <v>8.9382000000000001</v>
      </c>
      <c r="E622" s="11">
        <f>9.9197 * CHOOSE(CONTROL!$C$32, $C$9, 100%, $E$9)</f>
        <v>9.9197000000000006</v>
      </c>
      <c r="F622" s="11">
        <f>9.9197 * CHOOSE(CONTROL!$C$32, $C$9, 100%, $E$9)</f>
        <v>9.9197000000000006</v>
      </c>
      <c r="G622" s="11">
        <f>9.9239 * CHOOSE(CONTROL!$C$32, $C$9, 100%, $E$9)</f>
        <v>9.9238999999999997</v>
      </c>
      <c r="H622" s="11">
        <f>20.4093 * CHOOSE(CONTROL!$C$32, $C$9, 100%, $E$9)</f>
        <v>20.409300000000002</v>
      </c>
      <c r="I622" s="11">
        <f>20.4135 * CHOOSE(CONTROL!$C$32, $C$9, 100%, $E$9)</f>
        <v>20.413499999999999</v>
      </c>
      <c r="J622" s="11">
        <f>20.4093 * CHOOSE(CONTROL!$C$32, $C$9, 100%, $E$9)</f>
        <v>20.409300000000002</v>
      </c>
      <c r="K622" s="11">
        <f>20.4135 * CHOOSE(CONTROL!$C$32, $C$9, 100%, $E$9)</f>
        <v>20.413499999999999</v>
      </c>
      <c r="L622" s="11">
        <f>9.9197 * CHOOSE(CONTROL!$C$32, $C$9, 100%, $E$9)</f>
        <v>9.9197000000000006</v>
      </c>
      <c r="M622" s="11">
        <f>9.9239 * CHOOSE(CONTROL!$C$32, $C$9, 100%, $E$9)</f>
        <v>9.9238999999999997</v>
      </c>
      <c r="N622" s="11">
        <f>9.9197 * CHOOSE(CONTROL!$C$32, $C$9, 100%, $E$9)</f>
        <v>9.9197000000000006</v>
      </c>
      <c r="O622" s="11">
        <f>9.9239 * CHOOSE(CONTROL!$C$32, $C$9, 100%, $E$9)</f>
        <v>9.9238999999999997</v>
      </c>
    </row>
    <row r="623" spans="1:15" ht="15" x14ac:dyDescent="0.2">
      <c r="A623" s="13">
        <v>59810</v>
      </c>
      <c r="B623" s="9">
        <f>8.9505 * CHOOSE(CONTROL!$C$32, $C$9, 100%, $E$9)</f>
        <v>8.9504999999999999</v>
      </c>
      <c r="C623" s="9">
        <f>8.9505 * CHOOSE(CONTROL!$C$32, $C$9, 100%, $E$9)</f>
        <v>8.9504999999999999</v>
      </c>
      <c r="D623" s="9">
        <f>8.9514 * CHOOSE(CONTROL!$C$32, $C$9, 100%, $E$9)</f>
        <v>8.9513999999999996</v>
      </c>
      <c r="E623" s="11">
        <f>10.0076 * CHOOSE(CONTROL!$C$32, $C$9, 100%, $E$9)</f>
        <v>10.0076</v>
      </c>
      <c r="F623" s="11">
        <f>10.0076 * CHOOSE(CONTROL!$C$32, $C$9, 100%, $E$9)</f>
        <v>10.0076</v>
      </c>
      <c r="G623" s="11">
        <f>10.0108 * CHOOSE(CONTROL!$C$32, $C$9, 100%, $E$9)</f>
        <v>10.0108</v>
      </c>
      <c r="H623" s="11">
        <f>20.4518 * CHOOSE(CONTROL!$C$32, $C$9, 100%, $E$9)</f>
        <v>20.451799999999999</v>
      </c>
      <c r="I623" s="11">
        <f>20.4551 * CHOOSE(CONTROL!$C$32, $C$9, 100%, $E$9)</f>
        <v>20.455100000000002</v>
      </c>
      <c r="J623" s="11">
        <f>20.4518 * CHOOSE(CONTROL!$C$32, $C$9, 100%, $E$9)</f>
        <v>20.451799999999999</v>
      </c>
      <c r="K623" s="11">
        <f>20.4551 * CHOOSE(CONTROL!$C$32, $C$9, 100%, $E$9)</f>
        <v>20.455100000000002</v>
      </c>
      <c r="L623" s="11">
        <f>10.0076 * CHOOSE(CONTROL!$C$32, $C$9, 100%, $E$9)</f>
        <v>10.0076</v>
      </c>
      <c r="M623" s="11">
        <f>10.0108 * CHOOSE(CONTROL!$C$32, $C$9, 100%, $E$9)</f>
        <v>10.0108</v>
      </c>
      <c r="N623" s="11">
        <f>10.0076 * CHOOSE(CONTROL!$C$32, $C$9, 100%, $E$9)</f>
        <v>10.0076</v>
      </c>
      <c r="O623" s="11">
        <f>10.0108 * CHOOSE(CONTROL!$C$32, $C$9, 100%, $E$9)</f>
        <v>10.0108</v>
      </c>
    </row>
    <row r="624" spans="1:15" ht="15" x14ac:dyDescent="0.2">
      <c r="A624" s="13">
        <v>59841</v>
      </c>
      <c r="B624" s="9">
        <f>8.9535 * CHOOSE(CONTROL!$C$32, $C$9, 100%, $E$9)</f>
        <v>8.9535</v>
      </c>
      <c r="C624" s="9">
        <f>8.9535 * CHOOSE(CONTROL!$C$32, $C$9, 100%, $E$9)</f>
        <v>8.9535</v>
      </c>
      <c r="D624" s="9">
        <f>8.9544 * CHOOSE(CONTROL!$C$32, $C$9, 100%, $E$9)</f>
        <v>8.9543999999999997</v>
      </c>
      <c r="E624" s="11">
        <f>10.0603 * CHOOSE(CONTROL!$C$32, $C$9, 100%, $E$9)</f>
        <v>10.0603</v>
      </c>
      <c r="F624" s="11">
        <f>10.0603 * CHOOSE(CONTROL!$C$32, $C$9, 100%, $E$9)</f>
        <v>10.0603</v>
      </c>
      <c r="G624" s="11">
        <f>10.0636 * CHOOSE(CONTROL!$C$32, $C$9, 100%, $E$9)</f>
        <v>10.063599999999999</v>
      </c>
      <c r="H624" s="11">
        <f>20.4945 * CHOOSE(CONTROL!$C$32, $C$9, 100%, $E$9)</f>
        <v>20.494499999999999</v>
      </c>
      <c r="I624" s="11">
        <f>20.4977 * CHOOSE(CONTROL!$C$32, $C$9, 100%, $E$9)</f>
        <v>20.497699999999998</v>
      </c>
      <c r="J624" s="11">
        <f>20.4945 * CHOOSE(CONTROL!$C$32, $C$9, 100%, $E$9)</f>
        <v>20.494499999999999</v>
      </c>
      <c r="K624" s="11">
        <f>20.4977 * CHOOSE(CONTROL!$C$32, $C$9, 100%, $E$9)</f>
        <v>20.497699999999998</v>
      </c>
      <c r="L624" s="11">
        <f>10.0603 * CHOOSE(CONTROL!$C$32, $C$9, 100%, $E$9)</f>
        <v>10.0603</v>
      </c>
      <c r="M624" s="11">
        <f>10.0636 * CHOOSE(CONTROL!$C$32, $C$9, 100%, $E$9)</f>
        <v>10.063599999999999</v>
      </c>
      <c r="N624" s="11">
        <f>10.0603 * CHOOSE(CONTROL!$C$32, $C$9, 100%, $E$9)</f>
        <v>10.0603</v>
      </c>
      <c r="O624" s="11">
        <f>10.0636 * CHOOSE(CONTROL!$C$32, $C$9, 100%, $E$9)</f>
        <v>10.063599999999999</v>
      </c>
    </row>
    <row r="625" spans="1:15" ht="15" x14ac:dyDescent="0.2">
      <c r="A625" s="13">
        <v>59871</v>
      </c>
      <c r="B625" s="9">
        <f>8.9535 * CHOOSE(CONTROL!$C$32, $C$9, 100%, $E$9)</f>
        <v>8.9535</v>
      </c>
      <c r="C625" s="9">
        <f>8.9535 * CHOOSE(CONTROL!$C$32, $C$9, 100%, $E$9)</f>
        <v>8.9535</v>
      </c>
      <c r="D625" s="9">
        <f>8.9544 * CHOOSE(CONTROL!$C$32, $C$9, 100%, $E$9)</f>
        <v>8.9543999999999997</v>
      </c>
      <c r="E625" s="11">
        <f>9.9337 * CHOOSE(CONTROL!$C$32, $C$9, 100%, $E$9)</f>
        <v>9.9337</v>
      </c>
      <c r="F625" s="11">
        <f>9.9337 * CHOOSE(CONTROL!$C$32, $C$9, 100%, $E$9)</f>
        <v>9.9337</v>
      </c>
      <c r="G625" s="11">
        <f>9.9369 * CHOOSE(CONTROL!$C$32, $C$9, 100%, $E$9)</f>
        <v>9.9368999999999996</v>
      </c>
      <c r="H625" s="11">
        <f>20.5372 * CHOOSE(CONTROL!$C$32, $C$9, 100%, $E$9)</f>
        <v>20.537199999999999</v>
      </c>
      <c r="I625" s="11">
        <f>20.5404 * CHOOSE(CONTROL!$C$32, $C$9, 100%, $E$9)</f>
        <v>20.540400000000002</v>
      </c>
      <c r="J625" s="11">
        <f>20.5372 * CHOOSE(CONTROL!$C$32, $C$9, 100%, $E$9)</f>
        <v>20.537199999999999</v>
      </c>
      <c r="K625" s="11">
        <f>20.5404 * CHOOSE(CONTROL!$C$32, $C$9, 100%, $E$9)</f>
        <v>20.540400000000002</v>
      </c>
      <c r="L625" s="11">
        <f>9.9337 * CHOOSE(CONTROL!$C$32, $C$9, 100%, $E$9)</f>
        <v>9.9337</v>
      </c>
      <c r="M625" s="11">
        <f>9.9369 * CHOOSE(CONTROL!$C$32, $C$9, 100%, $E$9)</f>
        <v>9.9368999999999996</v>
      </c>
      <c r="N625" s="11">
        <f>9.9337 * CHOOSE(CONTROL!$C$32, $C$9, 100%, $E$9)</f>
        <v>9.9337</v>
      </c>
      <c r="O625" s="11">
        <f>9.9369 * CHOOSE(CONTROL!$C$32, $C$9, 100%, $E$9)</f>
        <v>9.9368999999999996</v>
      </c>
    </row>
    <row r="626" spans="1:15" ht="15" x14ac:dyDescent="0.2">
      <c r="A626" s="13">
        <v>59902</v>
      </c>
      <c r="B626" s="9">
        <f>9.0069 * CHOOSE(CONTROL!$C$32, $C$9, 100%, $E$9)</f>
        <v>9.0068999999999999</v>
      </c>
      <c r="C626" s="9">
        <f>9.0069 * CHOOSE(CONTROL!$C$32, $C$9, 100%, $E$9)</f>
        <v>9.0068999999999999</v>
      </c>
      <c r="D626" s="9">
        <f>9.0079 * CHOOSE(CONTROL!$C$32, $C$9, 100%, $E$9)</f>
        <v>9.0078999999999994</v>
      </c>
      <c r="E626" s="11">
        <f>10.0955 * CHOOSE(CONTROL!$C$32, $C$9, 100%, $E$9)</f>
        <v>10.095499999999999</v>
      </c>
      <c r="F626" s="11">
        <f>10.0955 * CHOOSE(CONTROL!$C$32, $C$9, 100%, $E$9)</f>
        <v>10.095499999999999</v>
      </c>
      <c r="G626" s="11">
        <f>10.0987 * CHOOSE(CONTROL!$C$32, $C$9, 100%, $E$9)</f>
        <v>10.098699999999999</v>
      </c>
      <c r="H626" s="11">
        <f>20.5441 * CHOOSE(CONTROL!$C$32, $C$9, 100%, $E$9)</f>
        <v>20.5441</v>
      </c>
      <c r="I626" s="11">
        <f>20.5474 * CHOOSE(CONTROL!$C$32, $C$9, 100%, $E$9)</f>
        <v>20.5474</v>
      </c>
      <c r="J626" s="11">
        <f>20.5441 * CHOOSE(CONTROL!$C$32, $C$9, 100%, $E$9)</f>
        <v>20.5441</v>
      </c>
      <c r="K626" s="11">
        <f>20.5474 * CHOOSE(CONTROL!$C$32, $C$9, 100%, $E$9)</f>
        <v>20.5474</v>
      </c>
      <c r="L626" s="11">
        <f>10.0955 * CHOOSE(CONTROL!$C$32, $C$9, 100%, $E$9)</f>
        <v>10.095499999999999</v>
      </c>
      <c r="M626" s="11">
        <f>10.0987 * CHOOSE(CONTROL!$C$32, $C$9, 100%, $E$9)</f>
        <v>10.098699999999999</v>
      </c>
      <c r="N626" s="11">
        <f>10.0955 * CHOOSE(CONTROL!$C$32, $C$9, 100%, $E$9)</f>
        <v>10.095499999999999</v>
      </c>
      <c r="O626" s="11">
        <f>10.0987 * CHOOSE(CONTROL!$C$32, $C$9, 100%, $E$9)</f>
        <v>10.098699999999999</v>
      </c>
    </row>
    <row r="627" spans="1:15" ht="15" x14ac:dyDescent="0.2">
      <c r="A627" s="13">
        <v>59933</v>
      </c>
      <c r="B627" s="9">
        <f>9.0039 * CHOOSE(CONTROL!$C$32, $C$9, 100%, $E$9)</f>
        <v>9.0038999999999998</v>
      </c>
      <c r="C627" s="9">
        <f>9.0039 * CHOOSE(CONTROL!$C$32, $C$9, 100%, $E$9)</f>
        <v>9.0038999999999998</v>
      </c>
      <c r="D627" s="9">
        <f>9.0048 * CHOOSE(CONTROL!$C$32, $C$9, 100%, $E$9)</f>
        <v>9.0047999999999995</v>
      </c>
      <c r="E627" s="11">
        <f>9.847 * CHOOSE(CONTROL!$C$32, $C$9, 100%, $E$9)</f>
        <v>9.8469999999999995</v>
      </c>
      <c r="F627" s="11">
        <f>9.847 * CHOOSE(CONTROL!$C$32, $C$9, 100%, $E$9)</f>
        <v>9.8469999999999995</v>
      </c>
      <c r="G627" s="11">
        <f>9.8502 * CHOOSE(CONTROL!$C$32, $C$9, 100%, $E$9)</f>
        <v>9.8501999999999992</v>
      </c>
      <c r="H627" s="11">
        <f>20.5869 * CHOOSE(CONTROL!$C$32, $C$9, 100%, $E$9)</f>
        <v>20.5869</v>
      </c>
      <c r="I627" s="11">
        <f>20.5902 * CHOOSE(CONTROL!$C$32, $C$9, 100%, $E$9)</f>
        <v>20.590199999999999</v>
      </c>
      <c r="J627" s="11">
        <f>20.5869 * CHOOSE(CONTROL!$C$32, $C$9, 100%, $E$9)</f>
        <v>20.5869</v>
      </c>
      <c r="K627" s="11">
        <f>20.5902 * CHOOSE(CONTROL!$C$32, $C$9, 100%, $E$9)</f>
        <v>20.590199999999999</v>
      </c>
      <c r="L627" s="11">
        <f>9.847 * CHOOSE(CONTROL!$C$32, $C$9, 100%, $E$9)</f>
        <v>9.8469999999999995</v>
      </c>
      <c r="M627" s="11">
        <f>9.8502 * CHOOSE(CONTROL!$C$32, $C$9, 100%, $E$9)</f>
        <v>9.8501999999999992</v>
      </c>
      <c r="N627" s="11">
        <f>9.847 * CHOOSE(CONTROL!$C$32, $C$9, 100%, $E$9)</f>
        <v>9.8469999999999995</v>
      </c>
      <c r="O627" s="11">
        <f>9.8502 * CHOOSE(CONTROL!$C$32, $C$9, 100%, $E$9)</f>
        <v>9.8501999999999992</v>
      </c>
    </row>
    <row r="628" spans="1:15" ht="15" x14ac:dyDescent="0.2">
      <c r="A628" s="13">
        <v>59962</v>
      </c>
      <c r="B628" s="9">
        <f>9.0008 * CHOOSE(CONTROL!$C$32, $C$9, 100%, $E$9)</f>
        <v>9.0007999999999999</v>
      </c>
      <c r="C628" s="9">
        <f>9.0008 * CHOOSE(CONTROL!$C$32, $C$9, 100%, $E$9)</f>
        <v>9.0007999999999999</v>
      </c>
      <c r="D628" s="9">
        <f>9.0018 * CHOOSE(CONTROL!$C$32, $C$9, 100%, $E$9)</f>
        <v>9.0017999999999994</v>
      </c>
      <c r="E628" s="11">
        <f>10.0391 * CHOOSE(CONTROL!$C$32, $C$9, 100%, $E$9)</f>
        <v>10.039099999999999</v>
      </c>
      <c r="F628" s="11">
        <f>10.0391 * CHOOSE(CONTROL!$C$32, $C$9, 100%, $E$9)</f>
        <v>10.039099999999999</v>
      </c>
      <c r="G628" s="11">
        <f>10.0423 * CHOOSE(CONTROL!$C$32, $C$9, 100%, $E$9)</f>
        <v>10.042299999999999</v>
      </c>
      <c r="H628" s="11">
        <f>20.6298 * CHOOSE(CONTROL!$C$32, $C$9, 100%, $E$9)</f>
        <v>20.629799999999999</v>
      </c>
      <c r="I628" s="11">
        <f>20.6331 * CHOOSE(CONTROL!$C$32, $C$9, 100%, $E$9)</f>
        <v>20.633099999999999</v>
      </c>
      <c r="J628" s="11">
        <f>20.6298 * CHOOSE(CONTROL!$C$32, $C$9, 100%, $E$9)</f>
        <v>20.629799999999999</v>
      </c>
      <c r="K628" s="11">
        <f>20.6331 * CHOOSE(CONTROL!$C$32, $C$9, 100%, $E$9)</f>
        <v>20.633099999999999</v>
      </c>
      <c r="L628" s="11">
        <f>10.0391 * CHOOSE(CONTROL!$C$32, $C$9, 100%, $E$9)</f>
        <v>10.039099999999999</v>
      </c>
      <c r="M628" s="11">
        <f>10.0423 * CHOOSE(CONTROL!$C$32, $C$9, 100%, $E$9)</f>
        <v>10.042299999999999</v>
      </c>
      <c r="N628" s="11">
        <f>10.0391 * CHOOSE(CONTROL!$C$32, $C$9, 100%, $E$9)</f>
        <v>10.039099999999999</v>
      </c>
      <c r="O628" s="11">
        <f>10.0423 * CHOOSE(CONTROL!$C$32, $C$9, 100%, $E$9)</f>
        <v>10.042299999999999</v>
      </c>
    </row>
    <row r="629" spans="1:15" ht="15" x14ac:dyDescent="0.2">
      <c r="A629" s="13">
        <v>59993</v>
      </c>
      <c r="B629" s="9">
        <f>9.0033 * CHOOSE(CONTROL!$C$32, $C$9, 100%, $E$9)</f>
        <v>9.0032999999999994</v>
      </c>
      <c r="C629" s="9">
        <f>9.0033 * CHOOSE(CONTROL!$C$32, $C$9, 100%, $E$9)</f>
        <v>9.0032999999999994</v>
      </c>
      <c r="D629" s="9">
        <f>9.0043 * CHOOSE(CONTROL!$C$32, $C$9, 100%, $E$9)</f>
        <v>9.0043000000000006</v>
      </c>
      <c r="E629" s="11">
        <f>10.2435 * CHOOSE(CONTROL!$C$32, $C$9, 100%, $E$9)</f>
        <v>10.243499999999999</v>
      </c>
      <c r="F629" s="11">
        <f>10.2435 * CHOOSE(CONTROL!$C$32, $C$9, 100%, $E$9)</f>
        <v>10.243499999999999</v>
      </c>
      <c r="G629" s="11">
        <f>10.2467 * CHOOSE(CONTROL!$C$32, $C$9, 100%, $E$9)</f>
        <v>10.246700000000001</v>
      </c>
      <c r="H629" s="11">
        <f>20.6728 * CHOOSE(CONTROL!$C$32, $C$9, 100%, $E$9)</f>
        <v>20.672799999999999</v>
      </c>
      <c r="I629" s="11">
        <f>20.676 * CHOOSE(CONTROL!$C$32, $C$9, 100%, $E$9)</f>
        <v>20.675999999999998</v>
      </c>
      <c r="J629" s="11">
        <f>20.6728 * CHOOSE(CONTROL!$C$32, $C$9, 100%, $E$9)</f>
        <v>20.672799999999999</v>
      </c>
      <c r="K629" s="11">
        <f>20.676 * CHOOSE(CONTROL!$C$32, $C$9, 100%, $E$9)</f>
        <v>20.675999999999998</v>
      </c>
      <c r="L629" s="11">
        <f>10.2435 * CHOOSE(CONTROL!$C$32, $C$9, 100%, $E$9)</f>
        <v>10.243499999999999</v>
      </c>
      <c r="M629" s="11">
        <f>10.2467 * CHOOSE(CONTROL!$C$32, $C$9, 100%, $E$9)</f>
        <v>10.246700000000001</v>
      </c>
      <c r="N629" s="11">
        <f>10.2435 * CHOOSE(CONTROL!$C$32, $C$9, 100%, $E$9)</f>
        <v>10.243499999999999</v>
      </c>
      <c r="O629" s="11">
        <f>10.2467 * CHOOSE(CONTROL!$C$32, $C$9, 100%, $E$9)</f>
        <v>10.246700000000001</v>
      </c>
    </row>
    <row r="630" spans="1:15" ht="15" x14ac:dyDescent="0.2">
      <c r="A630" s="13">
        <v>60023</v>
      </c>
      <c r="B630" s="9">
        <f>9.0033 * CHOOSE(CONTROL!$C$32, $C$9, 100%, $E$9)</f>
        <v>9.0032999999999994</v>
      </c>
      <c r="C630" s="9">
        <f>9.0033 * CHOOSE(CONTROL!$C$32, $C$9, 100%, $E$9)</f>
        <v>9.0032999999999994</v>
      </c>
      <c r="D630" s="9">
        <f>9.0046 * CHOOSE(CONTROL!$C$32, $C$9, 100%, $E$9)</f>
        <v>9.0045999999999999</v>
      </c>
      <c r="E630" s="11">
        <f>10.3217 * CHOOSE(CONTROL!$C$32, $C$9, 100%, $E$9)</f>
        <v>10.3217</v>
      </c>
      <c r="F630" s="11">
        <f>10.3217 * CHOOSE(CONTROL!$C$32, $C$9, 100%, $E$9)</f>
        <v>10.3217</v>
      </c>
      <c r="G630" s="11">
        <f>10.3259 * CHOOSE(CONTROL!$C$32, $C$9, 100%, $E$9)</f>
        <v>10.325900000000001</v>
      </c>
      <c r="H630" s="11">
        <f>20.7159 * CHOOSE(CONTROL!$C$32, $C$9, 100%, $E$9)</f>
        <v>20.715900000000001</v>
      </c>
      <c r="I630" s="11">
        <f>20.7201 * CHOOSE(CONTROL!$C$32, $C$9, 100%, $E$9)</f>
        <v>20.720099999999999</v>
      </c>
      <c r="J630" s="11">
        <f>20.7159 * CHOOSE(CONTROL!$C$32, $C$9, 100%, $E$9)</f>
        <v>20.715900000000001</v>
      </c>
      <c r="K630" s="11">
        <f>20.7201 * CHOOSE(CONTROL!$C$32, $C$9, 100%, $E$9)</f>
        <v>20.720099999999999</v>
      </c>
      <c r="L630" s="11">
        <f>10.3217 * CHOOSE(CONTROL!$C$32, $C$9, 100%, $E$9)</f>
        <v>10.3217</v>
      </c>
      <c r="M630" s="11">
        <f>10.3259 * CHOOSE(CONTROL!$C$32, $C$9, 100%, $E$9)</f>
        <v>10.325900000000001</v>
      </c>
      <c r="N630" s="11">
        <f>10.3217 * CHOOSE(CONTROL!$C$32, $C$9, 100%, $E$9)</f>
        <v>10.3217</v>
      </c>
      <c r="O630" s="11">
        <f>10.3259 * CHOOSE(CONTROL!$C$32, $C$9, 100%, $E$9)</f>
        <v>10.325900000000001</v>
      </c>
    </row>
    <row r="631" spans="1:15" ht="15" x14ac:dyDescent="0.2">
      <c r="A631" s="13">
        <v>60054</v>
      </c>
      <c r="B631" s="9">
        <f>9.0094 * CHOOSE(CONTROL!$C$32, $C$9, 100%, $E$9)</f>
        <v>9.0093999999999994</v>
      </c>
      <c r="C631" s="9">
        <f>9.0094 * CHOOSE(CONTROL!$C$32, $C$9, 100%, $E$9)</f>
        <v>9.0093999999999994</v>
      </c>
      <c r="D631" s="9">
        <f>9.0107 * CHOOSE(CONTROL!$C$32, $C$9, 100%, $E$9)</f>
        <v>9.0106999999999999</v>
      </c>
      <c r="E631" s="11">
        <f>10.2477 * CHOOSE(CONTROL!$C$32, $C$9, 100%, $E$9)</f>
        <v>10.2477</v>
      </c>
      <c r="F631" s="11">
        <f>10.2477 * CHOOSE(CONTROL!$C$32, $C$9, 100%, $E$9)</f>
        <v>10.2477</v>
      </c>
      <c r="G631" s="11">
        <f>10.2519 * CHOOSE(CONTROL!$C$32, $C$9, 100%, $E$9)</f>
        <v>10.251899999999999</v>
      </c>
      <c r="H631" s="11">
        <f>20.759 * CHOOSE(CONTROL!$C$32, $C$9, 100%, $E$9)</f>
        <v>20.759</v>
      </c>
      <c r="I631" s="11">
        <f>20.7632 * CHOOSE(CONTROL!$C$32, $C$9, 100%, $E$9)</f>
        <v>20.763200000000001</v>
      </c>
      <c r="J631" s="11">
        <f>20.759 * CHOOSE(CONTROL!$C$32, $C$9, 100%, $E$9)</f>
        <v>20.759</v>
      </c>
      <c r="K631" s="11">
        <f>20.7632 * CHOOSE(CONTROL!$C$32, $C$9, 100%, $E$9)</f>
        <v>20.763200000000001</v>
      </c>
      <c r="L631" s="11">
        <f>10.2477 * CHOOSE(CONTROL!$C$32, $C$9, 100%, $E$9)</f>
        <v>10.2477</v>
      </c>
      <c r="M631" s="11">
        <f>10.2519 * CHOOSE(CONTROL!$C$32, $C$9, 100%, $E$9)</f>
        <v>10.251899999999999</v>
      </c>
      <c r="N631" s="11">
        <f>10.2477 * CHOOSE(CONTROL!$C$32, $C$9, 100%, $E$9)</f>
        <v>10.2477</v>
      </c>
      <c r="O631" s="11">
        <f>10.2519 * CHOOSE(CONTROL!$C$32, $C$9, 100%, $E$9)</f>
        <v>10.251899999999999</v>
      </c>
    </row>
    <row r="632" spans="1:15" ht="15" x14ac:dyDescent="0.2">
      <c r="A632" s="13">
        <v>60084</v>
      </c>
      <c r="B632" s="9">
        <f>9.1229 * CHOOSE(CONTROL!$C$32, $C$9, 100%, $E$9)</f>
        <v>9.1228999999999996</v>
      </c>
      <c r="C632" s="9">
        <f>9.1229 * CHOOSE(CONTROL!$C$32, $C$9, 100%, $E$9)</f>
        <v>9.1228999999999996</v>
      </c>
      <c r="D632" s="9">
        <f>9.1242 * CHOOSE(CONTROL!$C$32, $C$9, 100%, $E$9)</f>
        <v>9.1242000000000001</v>
      </c>
      <c r="E632" s="11">
        <f>10.3906 * CHOOSE(CONTROL!$C$32, $C$9, 100%, $E$9)</f>
        <v>10.390599999999999</v>
      </c>
      <c r="F632" s="11">
        <f>10.3906 * CHOOSE(CONTROL!$C$32, $C$9, 100%, $E$9)</f>
        <v>10.390599999999999</v>
      </c>
      <c r="G632" s="11">
        <f>10.3948 * CHOOSE(CONTROL!$C$32, $C$9, 100%, $E$9)</f>
        <v>10.3948</v>
      </c>
      <c r="H632" s="11">
        <f>20.8023 * CHOOSE(CONTROL!$C$32, $C$9, 100%, $E$9)</f>
        <v>20.802299999999999</v>
      </c>
      <c r="I632" s="11">
        <f>20.8065 * CHOOSE(CONTROL!$C$32, $C$9, 100%, $E$9)</f>
        <v>20.8065</v>
      </c>
      <c r="J632" s="11">
        <f>20.8023 * CHOOSE(CONTROL!$C$32, $C$9, 100%, $E$9)</f>
        <v>20.802299999999999</v>
      </c>
      <c r="K632" s="11">
        <f>20.8065 * CHOOSE(CONTROL!$C$32, $C$9, 100%, $E$9)</f>
        <v>20.8065</v>
      </c>
      <c r="L632" s="11">
        <f>10.3906 * CHOOSE(CONTROL!$C$32, $C$9, 100%, $E$9)</f>
        <v>10.390599999999999</v>
      </c>
      <c r="M632" s="11">
        <f>10.3948 * CHOOSE(CONTROL!$C$32, $C$9, 100%, $E$9)</f>
        <v>10.3948</v>
      </c>
      <c r="N632" s="11">
        <f>10.3906 * CHOOSE(CONTROL!$C$32, $C$9, 100%, $E$9)</f>
        <v>10.390599999999999</v>
      </c>
      <c r="O632" s="11">
        <f>10.3948 * CHOOSE(CONTROL!$C$32, $C$9, 100%, $E$9)</f>
        <v>10.3948</v>
      </c>
    </row>
    <row r="633" spans="1:15" ht="15" x14ac:dyDescent="0.2">
      <c r="A633" s="13">
        <v>60115</v>
      </c>
      <c r="B633" s="9">
        <f>9.1296 * CHOOSE(CONTROL!$C$32, $C$9, 100%, $E$9)</f>
        <v>9.1295999999999999</v>
      </c>
      <c r="C633" s="9">
        <f>9.1296 * CHOOSE(CONTROL!$C$32, $C$9, 100%, $E$9)</f>
        <v>9.1295999999999999</v>
      </c>
      <c r="D633" s="9">
        <f>9.1309 * CHOOSE(CONTROL!$C$32, $C$9, 100%, $E$9)</f>
        <v>9.1309000000000005</v>
      </c>
      <c r="E633" s="11">
        <f>10.1606 * CHOOSE(CONTROL!$C$32, $C$9, 100%, $E$9)</f>
        <v>10.160600000000001</v>
      </c>
      <c r="F633" s="11">
        <f>10.1606 * CHOOSE(CONTROL!$C$32, $C$9, 100%, $E$9)</f>
        <v>10.160600000000001</v>
      </c>
      <c r="G633" s="11">
        <f>10.1648 * CHOOSE(CONTROL!$C$32, $C$9, 100%, $E$9)</f>
        <v>10.1648</v>
      </c>
      <c r="H633" s="11">
        <f>20.8456 * CHOOSE(CONTROL!$C$32, $C$9, 100%, $E$9)</f>
        <v>20.845600000000001</v>
      </c>
      <c r="I633" s="11">
        <f>20.8498 * CHOOSE(CONTROL!$C$32, $C$9, 100%, $E$9)</f>
        <v>20.849799999999998</v>
      </c>
      <c r="J633" s="11">
        <f>20.8456 * CHOOSE(CONTROL!$C$32, $C$9, 100%, $E$9)</f>
        <v>20.845600000000001</v>
      </c>
      <c r="K633" s="11">
        <f>20.8498 * CHOOSE(CONTROL!$C$32, $C$9, 100%, $E$9)</f>
        <v>20.849799999999998</v>
      </c>
      <c r="L633" s="11">
        <f>10.1606 * CHOOSE(CONTROL!$C$32, $C$9, 100%, $E$9)</f>
        <v>10.160600000000001</v>
      </c>
      <c r="M633" s="11">
        <f>10.1648 * CHOOSE(CONTROL!$C$32, $C$9, 100%, $E$9)</f>
        <v>10.1648</v>
      </c>
      <c r="N633" s="11">
        <f>10.1606 * CHOOSE(CONTROL!$C$32, $C$9, 100%, $E$9)</f>
        <v>10.160600000000001</v>
      </c>
      <c r="O633" s="11">
        <f>10.1648 * CHOOSE(CONTROL!$C$32, $C$9, 100%, $E$9)</f>
        <v>10.1648</v>
      </c>
    </row>
    <row r="634" spans="1:15" ht="15" x14ac:dyDescent="0.2">
      <c r="A634" s="13">
        <v>60146</v>
      </c>
      <c r="B634" s="9">
        <f>9.1266 * CHOOSE(CONTROL!$C$32, $C$9, 100%, $E$9)</f>
        <v>9.1265999999999998</v>
      </c>
      <c r="C634" s="9">
        <f>9.1266 * CHOOSE(CONTROL!$C$32, $C$9, 100%, $E$9)</f>
        <v>9.1265999999999998</v>
      </c>
      <c r="D634" s="9">
        <f>9.1278 * CHOOSE(CONTROL!$C$32, $C$9, 100%, $E$9)</f>
        <v>9.1278000000000006</v>
      </c>
      <c r="E634" s="11">
        <f>10.1324 * CHOOSE(CONTROL!$C$32, $C$9, 100%, $E$9)</f>
        <v>10.132400000000001</v>
      </c>
      <c r="F634" s="11">
        <f>10.1324 * CHOOSE(CONTROL!$C$32, $C$9, 100%, $E$9)</f>
        <v>10.132400000000001</v>
      </c>
      <c r="G634" s="11">
        <f>10.1366 * CHOOSE(CONTROL!$C$32, $C$9, 100%, $E$9)</f>
        <v>10.1366</v>
      </c>
      <c r="H634" s="11">
        <f>20.8891 * CHOOSE(CONTROL!$C$32, $C$9, 100%, $E$9)</f>
        <v>20.889099999999999</v>
      </c>
      <c r="I634" s="11">
        <f>20.8933 * CHOOSE(CONTROL!$C$32, $C$9, 100%, $E$9)</f>
        <v>20.8933</v>
      </c>
      <c r="J634" s="11">
        <f>20.8891 * CHOOSE(CONTROL!$C$32, $C$9, 100%, $E$9)</f>
        <v>20.889099999999999</v>
      </c>
      <c r="K634" s="11">
        <f>20.8933 * CHOOSE(CONTROL!$C$32, $C$9, 100%, $E$9)</f>
        <v>20.8933</v>
      </c>
      <c r="L634" s="11">
        <f>10.1324 * CHOOSE(CONTROL!$C$32, $C$9, 100%, $E$9)</f>
        <v>10.132400000000001</v>
      </c>
      <c r="M634" s="11">
        <f>10.1366 * CHOOSE(CONTROL!$C$32, $C$9, 100%, $E$9)</f>
        <v>10.1366</v>
      </c>
      <c r="N634" s="11">
        <f>10.1324 * CHOOSE(CONTROL!$C$32, $C$9, 100%, $E$9)</f>
        <v>10.132400000000001</v>
      </c>
      <c r="O634" s="11">
        <f>10.1366 * CHOOSE(CONTROL!$C$32, $C$9, 100%, $E$9)</f>
        <v>10.1366</v>
      </c>
    </row>
    <row r="635" spans="1:15" ht="15" x14ac:dyDescent="0.2">
      <c r="A635" s="13">
        <v>60176</v>
      </c>
      <c r="B635" s="9">
        <f>9.1408 * CHOOSE(CONTROL!$C$32, $C$9, 100%, $E$9)</f>
        <v>9.1408000000000005</v>
      </c>
      <c r="C635" s="9">
        <f>9.1408 * CHOOSE(CONTROL!$C$32, $C$9, 100%, $E$9)</f>
        <v>9.1408000000000005</v>
      </c>
      <c r="D635" s="9">
        <f>9.1417 * CHOOSE(CONTROL!$C$32, $C$9, 100%, $E$9)</f>
        <v>9.1417000000000002</v>
      </c>
      <c r="E635" s="11">
        <f>10.2233 * CHOOSE(CONTROL!$C$32, $C$9, 100%, $E$9)</f>
        <v>10.2233</v>
      </c>
      <c r="F635" s="11">
        <f>10.2233 * CHOOSE(CONTROL!$C$32, $C$9, 100%, $E$9)</f>
        <v>10.2233</v>
      </c>
      <c r="G635" s="11">
        <f>10.2265 * CHOOSE(CONTROL!$C$32, $C$9, 100%, $E$9)</f>
        <v>10.2265</v>
      </c>
      <c r="H635" s="11">
        <f>20.9326 * CHOOSE(CONTROL!$C$32, $C$9, 100%, $E$9)</f>
        <v>20.932600000000001</v>
      </c>
      <c r="I635" s="11">
        <f>20.9358 * CHOOSE(CONTROL!$C$32, $C$9, 100%, $E$9)</f>
        <v>20.9358</v>
      </c>
      <c r="J635" s="11">
        <f>20.9326 * CHOOSE(CONTROL!$C$32, $C$9, 100%, $E$9)</f>
        <v>20.932600000000001</v>
      </c>
      <c r="K635" s="11">
        <f>20.9358 * CHOOSE(CONTROL!$C$32, $C$9, 100%, $E$9)</f>
        <v>20.9358</v>
      </c>
      <c r="L635" s="11">
        <f>10.2233 * CHOOSE(CONTROL!$C$32, $C$9, 100%, $E$9)</f>
        <v>10.2233</v>
      </c>
      <c r="M635" s="11">
        <f>10.2265 * CHOOSE(CONTROL!$C$32, $C$9, 100%, $E$9)</f>
        <v>10.2265</v>
      </c>
      <c r="N635" s="11">
        <f>10.2233 * CHOOSE(CONTROL!$C$32, $C$9, 100%, $E$9)</f>
        <v>10.2233</v>
      </c>
      <c r="O635" s="11">
        <f>10.2265 * CHOOSE(CONTROL!$C$32, $C$9, 100%, $E$9)</f>
        <v>10.2265</v>
      </c>
    </row>
    <row r="636" spans="1:15" ht="15" x14ac:dyDescent="0.2">
      <c r="A636" s="13">
        <v>60207</v>
      </c>
      <c r="B636" s="9">
        <f>9.1438 * CHOOSE(CONTROL!$C$32, $C$9, 100%, $E$9)</f>
        <v>9.1438000000000006</v>
      </c>
      <c r="C636" s="9">
        <f>9.1438 * CHOOSE(CONTROL!$C$32, $C$9, 100%, $E$9)</f>
        <v>9.1438000000000006</v>
      </c>
      <c r="D636" s="9">
        <f>9.1448 * CHOOSE(CONTROL!$C$32, $C$9, 100%, $E$9)</f>
        <v>9.1448</v>
      </c>
      <c r="E636" s="11">
        <f>10.2775 * CHOOSE(CONTROL!$C$32, $C$9, 100%, $E$9)</f>
        <v>10.2775</v>
      </c>
      <c r="F636" s="11">
        <f>10.2775 * CHOOSE(CONTROL!$C$32, $C$9, 100%, $E$9)</f>
        <v>10.2775</v>
      </c>
      <c r="G636" s="11">
        <f>10.2807 * CHOOSE(CONTROL!$C$32, $C$9, 100%, $E$9)</f>
        <v>10.2807</v>
      </c>
      <c r="H636" s="11">
        <f>20.9762 * CHOOSE(CONTROL!$C$32, $C$9, 100%, $E$9)</f>
        <v>20.976199999999999</v>
      </c>
      <c r="I636" s="11">
        <f>20.9794 * CHOOSE(CONTROL!$C$32, $C$9, 100%, $E$9)</f>
        <v>20.979399999999998</v>
      </c>
      <c r="J636" s="11">
        <f>20.9762 * CHOOSE(CONTROL!$C$32, $C$9, 100%, $E$9)</f>
        <v>20.976199999999999</v>
      </c>
      <c r="K636" s="11">
        <f>20.9794 * CHOOSE(CONTROL!$C$32, $C$9, 100%, $E$9)</f>
        <v>20.979399999999998</v>
      </c>
      <c r="L636" s="11">
        <f>10.2775 * CHOOSE(CONTROL!$C$32, $C$9, 100%, $E$9)</f>
        <v>10.2775</v>
      </c>
      <c r="M636" s="11">
        <f>10.2807 * CHOOSE(CONTROL!$C$32, $C$9, 100%, $E$9)</f>
        <v>10.2807</v>
      </c>
      <c r="N636" s="11">
        <f>10.2775 * CHOOSE(CONTROL!$C$32, $C$9, 100%, $E$9)</f>
        <v>10.2775</v>
      </c>
      <c r="O636" s="11">
        <f>10.2807 * CHOOSE(CONTROL!$C$32, $C$9, 100%, $E$9)</f>
        <v>10.2807</v>
      </c>
    </row>
    <row r="637" spans="1:15" ht="15" x14ac:dyDescent="0.2">
      <c r="A637" s="13">
        <v>60237</v>
      </c>
      <c r="B637" s="9">
        <f>9.1438 * CHOOSE(CONTROL!$C$32, $C$9, 100%, $E$9)</f>
        <v>9.1438000000000006</v>
      </c>
      <c r="C637" s="9">
        <f>9.1438 * CHOOSE(CONTROL!$C$32, $C$9, 100%, $E$9)</f>
        <v>9.1438000000000006</v>
      </c>
      <c r="D637" s="9">
        <f>9.1448 * CHOOSE(CONTROL!$C$32, $C$9, 100%, $E$9)</f>
        <v>9.1448</v>
      </c>
      <c r="E637" s="11">
        <f>10.1471 * CHOOSE(CONTROL!$C$32, $C$9, 100%, $E$9)</f>
        <v>10.1471</v>
      </c>
      <c r="F637" s="11">
        <f>10.1471 * CHOOSE(CONTROL!$C$32, $C$9, 100%, $E$9)</f>
        <v>10.1471</v>
      </c>
      <c r="G637" s="11">
        <f>10.1504 * CHOOSE(CONTROL!$C$32, $C$9, 100%, $E$9)</f>
        <v>10.150399999999999</v>
      </c>
      <c r="H637" s="11">
        <f>21.0199 * CHOOSE(CONTROL!$C$32, $C$9, 100%, $E$9)</f>
        <v>21.0199</v>
      </c>
      <c r="I637" s="11">
        <f>21.0231 * CHOOSE(CONTROL!$C$32, $C$9, 100%, $E$9)</f>
        <v>21.023099999999999</v>
      </c>
      <c r="J637" s="11">
        <f>21.0199 * CHOOSE(CONTROL!$C$32, $C$9, 100%, $E$9)</f>
        <v>21.0199</v>
      </c>
      <c r="K637" s="11">
        <f>21.0231 * CHOOSE(CONTROL!$C$32, $C$9, 100%, $E$9)</f>
        <v>21.023099999999999</v>
      </c>
      <c r="L637" s="11">
        <f>10.1471 * CHOOSE(CONTROL!$C$32, $C$9, 100%, $E$9)</f>
        <v>10.1471</v>
      </c>
      <c r="M637" s="11">
        <f>10.1504 * CHOOSE(CONTROL!$C$32, $C$9, 100%, $E$9)</f>
        <v>10.150399999999999</v>
      </c>
      <c r="N637" s="11">
        <f>10.1471 * CHOOSE(CONTROL!$C$32, $C$9, 100%, $E$9)</f>
        <v>10.1471</v>
      </c>
      <c r="O637" s="11">
        <f>10.1504 * CHOOSE(CONTROL!$C$32, $C$9, 100%, $E$9)</f>
        <v>10.150399999999999</v>
      </c>
    </row>
    <row r="638" spans="1:15" ht="15" x14ac:dyDescent="0.2">
      <c r="A638" s="13">
        <v>60268</v>
      </c>
      <c r="B638" s="9">
        <f>9.1943 * CHOOSE(CONTROL!$C$32, $C$9, 100%, $E$9)</f>
        <v>9.1943000000000001</v>
      </c>
      <c r="C638" s="9">
        <f>9.1943 * CHOOSE(CONTROL!$C$32, $C$9, 100%, $E$9)</f>
        <v>9.1943000000000001</v>
      </c>
      <c r="D638" s="9">
        <f>9.1952 * CHOOSE(CONTROL!$C$32, $C$9, 100%, $E$9)</f>
        <v>9.1951999999999998</v>
      </c>
      <c r="E638" s="11">
        <f>10.308 * CHOOSE(CONTROL!$C$32, $C$9, 100%, $E$9)</f>
        <v>10.308</v>
      </c>
      <c r="F638" s="11">
        <f>10.308 * CHOOSE(CONTROL!$C$32, $C$9, 100%, $E$9)</f>
        <v>10.308</v>
      </c>
      <c r="G638" s="11">
        <f>10.3112 * CHOOSE(CONTROL!$C$32, $C$9, 100%, $E$9)</f>
        <v>10.311199999999999</v>
      </c>
      <c r="H638" s="11">
        <f>21.0159 * CHOOSE(CONTROL!$C$32, $C$9, 100%, $E$9)</f>
        <v>21.015899999999998</v>
      </c>
      <c r="I638" s="11">
        <f>21.0192 * CHOOSE(CONTROL!$C$32, $C$9, 100%, $E$9)</f>
        <v>21.019200000000001</v>
      </c>
      <c r="J638" s="11">
        <f>21.0159 * CHOOSE(CONTROL!$C$32, $C$9, 100%, $E$9)</f>
        <v>21.015899999999998</v>
      </c>
      <c r="K638" s="11">
        <f>21.0192 * CHOOSE(CONTROL!$C$32, $C$9, 100%, $E$9)</f>
        <v>21.019200000000001</v>
      </c>
      <c r="L638" s="11">
        <f>10.308 * CHOOSE(CONTROL!$C$32, $C$9, 100%, $E$9)</f>
        <v>10.308</v>
      </c>
      <c r="M638" s="11">
        <f>10.3112 * CHOOSE(CONTROL!$C$32, $C$9, 100%, $E$9)</f>
        <v>10.311199999999999</v>
      </c>
      <c r="N638" s="11">
        <f>10.308 * CHOOSE(CONTROL!$C$32, $C$9, 100%, $E$9)</f>
        <v>10.308</v>
      </c>
      <c r="O638" s="11">
        <f>10.3112 * CHOOSE(CONTROL!$C$32, $C$9, 100%, $E$9)</f>
        <v>10.311199999999999</v>
      </c>
    </row>
    <row r="639" spans="1:15" ht="15" x14ac:dyDescent="0.2">
      <c r="A639" s="13">
        <v>60299</v>
      </c>
      <c r="B639" s="9">
        <f>9.1912 * CHOOSE(CONTROL!$C$32, $C$9, 100%, $E$9)</f>
        <v>9.1912000000000003</v>
      </c>
      <c r="C639" s="9">
        <f>9.1912 * CHOOSE(CONTROL!$C$32, $C$9, 100%, $E$9)</f>
        <v>9.1912000000000003</v>
      </c>
      <c r="D639" s="9">
        <f>9.1922 * CHOOSE(CONTROL!$C$32, $C$9, 100%, $E$9)</f>
        <v>9.1921999999999997</v>
      </c>
      <c r="E639" s="11">
        <f>10.0524 * CHOOSE(CONTROL!$C$32, $C$9, 100%, $E$9)</f>
        <v>10.0524</v>
      </c>
      <c r="F639" s="11">
        <f>10.0524 * CHOOSE(CONTROL!$C$32, $C$9, 100%, $E$9)</f>
        <v>10.0524</v>
      </c>
      <c r="G639" s="11">
        <f>10.0556 * CHOOSE(CONTROL!$C$32, $C$9, 100%, $E$9)</f>
        <v>10.0556</v>
      </c>
      <c r="H639" s="11">
        <f>21.0597 * CHOOSE(CONTROL!$C$32, $C$9, 100%, $E$9)</f>
        <v>21.059699999999999</v>
      </c>
      <c r="I639" s="11">
        <f>21.063 * CHOOSE(CONTROL!$C$32, $C$9, 100%, $E$9)</f>
        <v>21.062999999999999</v>
      </c>
      <c r="J639" s="11">
        <f>21.0597 * CHOOSE(CONTROL!$C$32, $C$9, 100%, $E$9)</f>
        <v>21.059699999999999</v>
      </c>
      <c r="K639" s="11">
        <f>21.063 * CHOOSE(CONTROL!$C$32, $C$9, 100%, $E$9)</f>
        <v>21.062999999999999</v>
      </c>
      <c r="L639" s="11">
        <f>10.0524 * CHOOSE(CONTROL!$C$32, $C$9, 100%, $E$9)</f>
        <v>10.0524</v>
      </c>
      <c r="M639" s="11">
        <f>10.0556 * CHOOSE(CONTROL!$C$32, $C$9, 100%, $E$9)</f>
        <v>10.0556</v>
      </c>
      <c r="N639" s="11">
        <f>10.0524 * CHOOSE(CONTROL!$C$32, $C$9, 100%, $E$9)</f>
        <v>10.0524</v>
      </c>
      <c r="O639" s="11">
        <f>10.0556 * CHOOSE(CONTROL!$C$32, $C$9, 100%, $E$9)</f>
        <v>10.0556</v>
      </c>
    </row>
    <row r="640" spans="1:15" ht="15" x14ac:dyDescent="0.2">
      <c r="A640" s="13">
        <v>60327</v>
      </c>
      <c r="B640" s="9">
        <f>9.1882 * CHOOSE(CONTROL!$C$32, $C$9, 100%, $E$9)</f>
        <v>9.1882000000000001</v>
      </c>
      <c r="C640" s="9">
        <f>9.1882 * CHOOSE(CONTROL!$C$32, $C$9, 100%, $E$9)</f>
        <v>9.1882000000000001</v>
      </c>
      <c r="D640" s="9">
        <f>9.1892 * CHOOSE(CONTROL!$C$32, $C$9, 100%, $E$9)</f>
        <v>9.1891999999999996</v>
      </c>
      <c r="E640" s="11">
        <f>10.2501 * CHOOSE(CONTROL!$C$32, $C$9, 100%, $E$9)</f>
        <v>10.2501</v>
      </c>
      <c r="F640" s="11">
        <f>10.2501 * CHOOSE(CONTROL!$C$32, $C$9, 100%, $E$9)</f>
        <v>10.2501</v>
      </c>
      <c r="G640" s="11">
        <f>10.2533 * CHOOSE(CONTROL!$C$32, $C$9, 100%, $E$9)</f>
        <v>10.253299999999999</v>
      </c>
      <c r="H640" s="11">
        <f>21.1036 * CHOOSE(CONTROL!$C$32, $C$9, 100%, $E$9)</f>
        <v>21.1036</v>
      </c>
      <c r="I640" s="11">
        <f>21.1068 * CHOOSE(CONTROL!$C$32, $C$9, 100%, $E$9)</f>
        <v>21.1068</v>
      </c>
      <c r="J640" s="11">
        <f>21.1036 * CHOOSE(CONTROL!$C$32, $C$9, 100%, $E$9)</f>
        <v>21.1036</v>
      </c>
      <c r="K640" s="11">
        <f>21.1068 * CHOOSE(CONTROL!$C$32, $C$9, 100%, $E$9)</f>
        <v>21.1068</v>
      </c>
      <c r="L640" s="11">
        <f>10.2501 * CHOOSE(CONTROL!$C$32, $C$9, 100%, $E$9)</f>
        <v>10.2501</v>
      </c>
      <c r="M640" s="11">
        <f>10.2533 * CHOOSE(CONTROL!$C$32, $C$9, 100%, $E$9)</f>
        <v>10.253299999999999</v>
      </c>
      <c r="N640" s="11">
        <f>10.2501 * CHOOSE(CONTROL!$C$32, $C$9, 100%, $E$9)</f>
        <v>10.2501</v>
      </c>
      <c r="O640" s="11">
        <f>10.2533 * CHOOSE(CONTROL!$C$32, $C$9, 100%, $E$9)</f>
        <v>10.253299999999999</v>
      </c>
    </row>
    <row r="641" spans="1:15" ht="15" x14ac:dyDescent="0.2">
      <c r="A641" s="13">
        <v>60358</v>
      </c>
      <c r="B641" s="9">
        <f>9.1909 * CHOOSE(CONTROL!$C$32, $C$9, 100%, $E$9)</f>
        <v>9.1908999999999992</v>
      </c>
      <c r="C641" s="9">
        <f>9.1909 * CHOOSE(CONTROL!$C$32, $C$9, 100%, $E$9)</f>
        <v>9.1908999999999992</v>
      </c>
      <c r="D641" s="9">
        <f>9.1918 * CHOOSE(CONTROL!$C$32, $C$9, 100%, $E$9)</f>
        <v>9.1918000000000006</v>
      </c>
      <c r="E641" s="11">
        <f>10.4605 * CHOOSE(CONTROL!$C$32, $C$9, 100%, $E$9)</f>
        <v>10.4605</v>
      </c>
      <c r="F641" s="11">
        <f>10.4605 * CHOOSE(CONTROL!$C$32, $C$9, 100%, $E$9)</f>
        <v>10.4605</v>
      </c>
      <c r="G641" s="11">
        <f>10.4637 * CHOOSE(CONTROL!$C$32, $C$9, 100%, $E$9)</f>
        <v>10.463699999999999</v>
      </c>
      <c r="H641" s="11">
        <f>21.1476 * CHOOSE(CONTROL!$C$32, $C$9, 100%, $E$9)</f>
        <v>21.147600000000001</v>
      </c>
      <c r="I641" s="11">
        <f>21.1508 * CHOOSE(CONTROL!$C$32, $C$9, 100%, $E$9)</f>
        <v>21.1508</v>
      </c>
      <c r="J641" s="11">
        <f>21.1476 * CHOOSE(CONTROL!$C$32, $C$9, 100%, $E$9)</f>
        <v>21.147600000000001</v>
      </c>
      <c r="K641" s="11">
        <f>21.1508 * CHOOSE(CONTROL!$C$32, $C$9, 100%, $E$9)</f>
        <v>21.1508</v>
      </c>
      <c r="L641" s="11">
        <f>10.4605 * CHOOSE(CONTROL!$C$32, $C$9, 100%, $E$9)</f>
        <v>10.4605</v>
      </c>
      <c r="M641" s="11">
        <f>10.4637 * CHOOSE(CONTROL!$C$32, $C$9, 100%, $E$9)</f>
        <v>10.463699999999999</v>
      </c>
      <c r="N641" s="11">
        <f>10.4605 * CHOOSE(CONTROL!$C$32, $C$9, 100%, $E$9)</f>
        <v>10.4605</v>
      </c>
      <c r="O641" s="11">
        <f>10.4637 * CHOOSE(CONTROL!$C$32, $C$9, 100%, $E$9)</f>
        <v>10.463699999999999</v>
      </c>
    </row>
    <row r="642" spans="1:15" ht="15" x14ac:dyDescent="0.2">
      <c r="A642" s="13">
        <v>60388</v>
      </c>
      <c r="B642" s="9">
        <f>9.1909 * CHOOSE(CONTROL!$C$32, $C$9, 100%, $E$9)</f>
        <v>9.1908999999999992</v>
      </c>
      <c r="C642" s="9">
        <f>9.1909 * CHOOSE(CONTROL!$C$32, $C$9, 100%, $E$9)</f>
        <v>9.1908999999999992</v>
      </c>
      <c r="D642" s="9">
        <f>9.1921 * CHOOSE(CONTROL!$C$32, $C$9, 100%, $E$9)</f>
        <v>9.1920999999999999</v>
      </c>
      <c r="E642" s="11">
        <f>10.541 * CHOOSE(CONTROL!$C$32, $C$9, 100%, $E$9)</f>
        <v>10.541</v>
      </c>
      <c r="F642" s="11">
        <f>10.541 * CHOOSE(CONTROL!$C$32, $C$9, 100%, $E$9)</f>
        <v>10.541</v>
      </c>
      <c r="G642" s="11">
        <f>10.5452 * CHOOSE(CONTROL!$C$32, $C$9, 100%, $E$9)</f>
        <v>10.545199999999999</v>
      </c>
      <c r="H642" s="11">
        <f>21.1916 * CHOOSE(CONTROL!$C$32, $C$9, 100%, $E$9)</f>
        <v>21.191600000000001</v>
      </c>
      <c r="I642" s="11">
        <f>21.1958 * CHOOSE(CONTROL!$C$32, $C$9, 100%, $E$9)</f>
        <v>21.195799999999998</v>
      </c>
      <c r="J642" s="11">
        <f>21.1916 * CHOOSE(CONTROL!$C$32, $C$9, 100%, $E$9)</f>
        <v>21.191600000000001</v>
      </c>
      <c r="K642" s="11">
        <f>21.1958 * CHOOSE(CONTROL!$C$32, $C$9, 100%, $E$9)</f>
        <v>21.195799999999998</v>
      </c>
      <c r="L642" s="11">
        <f>10.541 * CHOOSE(CONTROL!$C$32, $C$9, 100%, $E$9)</f>
        <v>10.541</v>
      </c>
      <c r="M642" s="11">
        <f>10.5452 * CHOOSE(CONTROL!$C$32, $C$9, 100%, $E$9)</f>
        <v>10.545199999999999</v>
      </c>
      <c r="N642" s="11">
        <f>10.541 * CHOOSE(CONTROL!$C$32, $C$9, 100%, $E$9)</f>
        <v>10.541</v>
      </c>
      <c r="O642" s="11">
        <f>10.5452 * CHOOSE(CONTROL!$C$32, $C$9, 100%, $E$9)</f>
        <v>10.545199999999999</v>
      </c>
    </row>
    <row r="643" spans="1:15" ht="15" x14ac:dyDescent="0.2">
      <c r="A643" s="13">
        <v>60419</v>
      </c>
      <c r="B643" s="9">
        <f>9.197 * CHOOSE(CONTROL!$C$32, $C$9, 100%, $E$9)</f>
        <v>9.1969999999999992</v>
      </c>
      <c r="C643" s="9">
        <f>9.197 * CHOOSE(CONTROL!$C$32, $C$9, 100%, $E$9)</f>
        <v>9.1969999999999992</v>
      </c>
      <c r="D643" s="9">
        <f>9.1982 * CHOOSE(CONTROL!$C$32, $C$9, 100%, $E$9)</f>
        <v>9.1981999999999999</v>
      </c>
      <c r="E643" s="11">
        <f>10.4647 * CHOOSE(CONTROL!$C$32, $C$9, 100%, $E$9)</f>
        <v>10.464700000000001</v>
      </c>
      <c r="F643" s="11">
        <f>10.4647 * CHOOSE(CONTROL!$C$32, $C$9, 100%, $E$9)</f>
        <v>10.464700000000001</v>
      </c>
      <c r="G643" s="11">
        <f>10.4689 * CHOOSE(CONTROL!$C$32, $C$9, 100%, $E$9)</f>
        <v>10.4689</v>
      </c>
      <c r="H643" s="11">
        <f>21.2358 * CHOOSE(CONTROL!$C$32, $C$9, 100%, $E$9)</f>
        <v>21.235800000000001</v>
      </c>
      <c r="I643" s="11">
        <f>21.24 * CHOOSE(CONTROL!$C$32, $C$9, 100%, $E$9)</f>
        <v>21.24</v>
      </c>
      <c r="J643" s="11">
        <f>21.2358 * CHOOSE(CONTROL!$C$32, $C$9, 100%, $E$9)</f>
        <v>21.235800000000001</v>
      </c>
      <c r="K643" s="11">
        <f>21.24 * CHOOSE(CONTROL!$C$32, $C$9, 100%, $E$9)</f>
        <v>21.24</v>
      </c>
      <c r="L643" s="11">
        <f>10.4647 * CHOOSE(CONTROL!$C$32, $C$9, 100%, $E$9)</f>
        <v>10.464700000000001</v>
      </c>
      <c r="M643" s="11">
        <f>10.4689 * CHOOSE(CONTROL!$C$32, $C$9, 100%, $E$9)</f>
        <v>10.4689</v>
      </c>
      <c r="N643" s="11">
        <f>10.4647 * CHOOSE(CONTROL!$C$32, $C$9, 100%, $E$9)</f>
        <v>10.464700000000001</v>
      </c>
      <c r="O643" s="11">
        <f>10.4689 * CHOOSE(CONTROL!$C$32, $C$9, 100%, $E$9)</f>
        <v>10.4689</v>
      </c>
    </row>
    <row r="644" spans="1:15" ht="15" x14ac:dyDescent="0.2">
      <c r="A644" s="13">
        <v>60449</v>
      </c>
      <c r="B644" s="9">
        <f>9.3125 * CHOOSE(CONTROL!$C$32, $C$9, 100%, $E$9)</f>
        <v>9.3125</v>
      </c>
      <c r="C644" s="9">
        <f>9.3125 * CHOOSE(CONTROL!$C$32, $C$9, 100%, $E$9)</f>
        <v>9.3125</v>
      </c>
      <c r="D644" s="9">
        <f>9.3138 * CHOOSE(CONTROL!$C$32, $C$9, 100%, $E$9)</f>
        <v>9.3138000000000005</v>
      </c>
      <c r="E644" s="11">
        <f>10.6108 * CHOOSE(CONTROL!$C$32, $C$9, 100%, $E$9)</f>
        <v>10.610799999999999</v>
      </c>
      <c r="F644" s="11">
        <f>10.6108 * CHOOSE(CONTROL!$C$32, $C$9, 100%, $E$9)</f>
        <v>10.610799999999999</v>
      </c>
      <c r="G644" s="11">
        <f>10.615 * CHOOSE(CONTROL!$C$32, $C$9, 100%, $E$9)</f>
        <v>10.615</v>
      </c>
      <c r="H644" s="11">
        <f>21.28 * CHOOSE(CONTROL!$C$32, $C$9, 100%, $E$9)</f>
        <v>21.28</v>
      </c>
      <c r="I644" s="11">
        <f>21.2842 * CHOOSE(CONTROL!$C$32, $C$9, 100%, $E$9)</f>
        <v>21.284199999999998</v>
      </c>
      <c r="J644" s="11">
        <f>21.28 * CHOOSE(CONTROL!$C$32, $C$9, 100%, $E$9)</f>
        <v>21.28</v>
      </c>
      <c r="K644" s="11">
        <f>21.2842 * CHOOSE(CONTROL!$C$32, $C$9, 100%, $E$9)</f>
        <v>21.284199999999998</v>
      </c>
      <c r="L644" s="11">
        <f>10.6108 * CHOOSE(CONTROL!$C$32, $C$9, 100%, $E$9)</f>
        <v>10.610799999999999</v>
      </c>
      <c r="M644" s="11">
        <f>10.615 * CHOOSE(CONTROL!$C$32, $C$9, 100%, $E$9)</f>
        <v>10.615</v>
      </c>
      <c r="N644" s="11">
        <f>10.6108 * CHOOSE(CONTROL!$C$32, $C$9, 100%, $E$9)</f>
        <v>10.610799999999999</v>
      </c>
      <c r="O644" s="11">
        <f>10.615 * CHOOSE(CONTROL!$C$32, $C$9, 100%, $E$9)</f>
        <v>10.615</v>
      </c>
    </row>
    <row r="645" spans="1:15" ht="15" x14ac:dyDescent="0.2">
      <c r="A645" s="13">
        <v>60480</v>
      </c>
      <c r="B645" s="9">
        <f>9.3192 * CHOOSE(CONTROL!$C$32, $C$9, 100%, $E$9)</f>
        <v>9.3192000000000004</v>
      </c>
      <c r="C645" s="9">
        <f>9.3192 * CHOOSE(CONTROL!$C$32, $C$9, 100%, $E$9)</f>
        <v>9.3192000000000004</v>
      </c>
      <c r="D645" s="9">
        <f>9.3205 * CHOOSE(CONTROL!$C$32, $C$9, 100%, $E$9)</f>
        <v>9.3204999999999991</v>
      </c>
      <c r="E645" s="11">
        <f>10.374 * CHOOSE(CONTROL!$C$32, $C$9, 100%, $E$9)</f>
        <v>10.374000000000001</v>
      </c>
      <c r="F645" s="11">
        <f>10.374 * CHOOSE(CONTROL!$C$32, $C$9, 100%, $E$9)</f>
        <v>10.374000000000001</v>
      </c>
      <c r="G645" s="11">
        <f>10.3782 * CHOOSE(CONTROL!$C$32, $C$9, 100%, $E$9)</f>
        <v>10.3782</v>
      </c>
      <c r="H645" s="11">
        <f>21.3244 * CHOOSE(CONTROL!$C$32, $C$9, 100%, $E$9)</f>
        <v>21.324400000000001</v>
      </c>
      <c r="I645" s="11">
        <f>21.3286 * CHOOSE(CONTROL!$C$32, $C$9, 100%, $E$9)</f>
        <v>21.328600000000002</v>
      </c>
      <c r="J645" s="11">
        <f>21.3244 * CHOOSE(CONTROL!$C$32, $C$9, 100%, $E$9)</f>
        <v>21.324400000000001</v>
      </c>
      <c r="K645" s="11">
        <f>21.3286 * CHOOSE(CONTROL!$C$32, $C$9, 100%, $E$9)</f>
        <v>21.328600000000002</v>
      </c>
      <c r="L645" s="11">
        <f>10.374 * CHOOSE(CONTROL!$C$32, $C$9, 100%, $E$9)</f>
        <v>10.374000000000001</v>
      </c>
      <c r="M645" s="11">
        <f>10.3782 * CHOOSE(CONTROL!$C$32, $C$9, 100%, $E$9)</f>
        <v>10.3782</v>
      </c>
      <c r="N645" s="11">
        <f>10.374 * CHOOSE(CONTROL!$C$32, $C$9, 100%, $E$9)</f>
        <v>10.374000000000001</v>
      </c>
      <c r="O645" s="11">
        <f>10.3782 * CHOOSE(CONTROL!$C$32, $C$9, 100%, $E$9)</f>
        <v>10.3782</v>
      </c>
    </row>
    <row r="646" spans="1:15" ht="15" x14ac:dyDescent="0.2">
      <c r="A646" s="13">
        <v>60511</v>
      </c>
      <c r="B646" s="9">
        <f>9.3162 * CHOOSE(CONTROL!$C$32, $C$9, 100%, $E$9)</f>
        <v>9.3162000000000003</v>
      </c>
      <c r="C646" s="9">
        <f>9.3162 * CHOOSE(CONTROL!$C$32, $C$9, 100%, $E$9)</f>
        <v>9.3162000000000003</v>
      </c>
      <c r="D646" s="9">
        <f>9.3174 * CHOOSE(CONTROL!$C$32, $C$9, 100%, $E$9)</f>
        <v>9.3173999999999992</v>
      </c>
      <c r="E646" s="11">
        <f>10.345 * CHOOSE(CONTROL!$C$32, $C$9, 100%, $E$9)</f>
        <v>10.345000000000001</v>
      </c>
      <c r="F646" s="11">
        <f>10.345 * CHOOSE(CONTROL!$C$32, $C$9, 100%, $E$9)</f>
        <v>10.345000000000001</v>
      </c>
      <c r="G646" s="11">
        <f>10.3493 * CHOOSE(CONTROL!$C$32, $C$9, 100%, $E$9)</f>
        <v>10.349299999999999</v>
      </c>
      <c r="H646" s="11">
        <f>21.3688 * CHOOSE(CONTROL!$C$32, $C$9, 100%, $E$9)</f>
        <v>21.3688</v>
      </c>
      <c r="I646" s="11">
        <f>21.373 * CHOOSE(CONTROL!$C$32, $C$9, 100%, $E$9)</f>
        <v>21.373000000000001</v>
      </c>
      <c r="J646" s="11">
        <f>21.3688 * CHOOSE(CONTROL!$C$32, $C$9, 100%, $E$9)</f>
        <v>21.3688</v>
      </c>
      <c r="K646" s="11">
        <f>21.373 * CHOOSE(CONTROL!$C$32, $C$9, 100%, $E$9)</f>
        <v>21.373000000000001</v>
      </c>
      <c r="L646" s="11">
        <f>10.345 * CHOOSE(CONTROL!$C$32, $C$9, 100%, $E$9)</f>
        <v>10.345000000000001</v>
      </c>
      <c r="M646" s="11">
        <f>10.3493 * CHOOSE(CONTROL!$C$32, $C$9, 100%, $E$9)</f>
        <v>10.349299999999999</v>
      </c>
      <c r="N646" s="11">
        <f>10.345 * CHOOSE(CONTROL!$C$32, $C$9, 100%, $E$9)</f>
        <v>10.345000000000001</v>
      </c>
      <c r="O646" s="11">
        <f>10.3493 * CHOOSE(CONTROL!$C$32, $C$9, 100%, $E$9)</f>
        <v>10.349299999999999</v>
      </c>
    </row>
    <row r="647" spans="1:15" ht="15" x14ac:dyDescent="0.2">
      <c r="A647" s="13">
        <v>60541</v>
      </c>
      <c r="B647" s="9">
        <f>9.3311 * CHOOSE(CONTROL!$C$32, $C$9, 100%, $E$9)</f>
        <v>9.3310999999999993</v>
      </c>
      <c r="C647" s="9">
        <f>9.3311 * CHOOSE(CONTROL!$C$32, $C$9, 100%, $E$9)</f>
        <v>9.3310999999999993</v>
      </c>
      <c r="D647" s="9">
        <f>9.332 * CHOOSE(CONTROL!$C$32, $C$9, 100%, $E$9)</f>
        <v>9.3320000000000007</v>
      </c>
      <c r="E647" s="11">
        <f>10.4389 * CHOOSE(CONTROL!$C$32, $C$9, 100%, $E$9)</f>
        <v>10.4389</v>
      </c>
      <c r="F647" s="11">
        <f>10.4389 * CHOOSE(CONTROL!$C$32, $C$9, 100%, $E$9)</f>
        <v>10.4389</v>
      </c>
      <c r="G647" s="11">
        <f>10.4422 * CHOOSE(CONTROL!$C$32, $C$9, 100%, $E$9)</f>
        <v>10.4422</v>
      </c>
      <c r="H647" s="11">
        <f>21.4133 * CHOOSE(CONTROL!$C$32, $C$9, 100%, $E$9)</f>
        <v>21.4133</v>
      </c>
      <c r="I647" s="11">
        <f>21.4165 * CHOOSE(CONTROL!$C$32, $C$9, 100%, $E$9)</f>
        <v>21.416499999999999</v>
      </c>
      <c r="J647" s="11">
        <f>21.4133 * CHOOSE(CONTROL!$C$32, $C$9, 100%, $E$9)</f>
        <v>21.4133</v>
      </c>
      <c r="K647" s="11">
        <f>21.4165 * CHOOSE(CONTROL!$C$32, $C$9, 100%, $E$9)</f>
        <v>21.416499999999999</v>
      </c>
      <c r="L647" s="11">
        <f>10.4389 * CHOOSE(CONTROL!$C$32, $C$9, 100%, $E$9)</f>
        <v>10.4389</v>
      </c>
      <c r="M647" s="11">
        <f>10.4422 * CHOOSE(CONTROL!$C$32, $C$9, 100%, $E$9)</f>
        <v>10.4422</v>
      </c>
      <c r="N647" s="11">
        <f>10.4389 * CHOOSE(CONTROL!$C$32, $C$9, 100%, $E$9)</f>
        <v>10.4389</v>
      </c>
      <c r="O647" s="11">
        <f>10.4422 * CHOOSE(CONTROL!$C$32, $C$9, 100%, $E$9)</f>
        <v>10.4422</v>
      </c>
    </row>
    <row r="648" spans="1:15" ht="15" x14ac:dyDescent="0.2">
      <c r="A648" s="13">
        <v>60572</v>
      </c>
      <c r="B648" s="9">
        <f>9.3341 * CHOOSE(CONTROL!$C$32, $C$9, 100%, $E$9)</f>
        <v>9.3340999999999994</v>
      </c>
      <c r="C648" s="9">
        <f>9.3341 * CHOOSE(CONTROL!$C$32, $C$9, 100%, $E$9)</f>
        <v>9.3340999999999994</v>
      </c>
      <c r="D648" s="9">
        <f>9.3351 * CHOOSE(CONTROL!$C$32, $C$9, 100%, $E$9)</f>
        <v>9.3351000000000006</v>
      </c>
      <c r="E648" s="11">
        <f>10.4947 * CHOOSE(CONTROL!$C$32, $C$9, 100%, $E$9)</f>
        <v>10.4947</v>
      </c>
      <c r="F648" s="11">
        <f>10.4947 * CHOOSE(CONTROL!$C$32, $C$9, 100%, $E$9)</f>
        <v>10.4947</v>
      </c>
      <c r="G648" s="11">
        <f>10.4979 * CHOOSE(CONTROL!$C$32, $C$9, 100%, $E$9)</f>
        <v>10.4979</v>
      </c>
      <c r="H648" s="11">
        <f>21.4579 * CHOOSE(CONTROL!$C$32, $C$9, 100%, $E$9)</f>
        <v>21.457899999999999</v>
      </c>
      <c r="I648" s="11">
        <f>21.4611 * CHOOSE(CONTROL!$C$32, $C$9, 100%, $E$9)</f>
        <v>21.461099999999998</v>
      </c>
      <c r="J648" s="11">
        <f>21.4579 * CHOOSE(CONTROL!$C$32, $C$9, 100%, $E$9)</f>
        <v>21.457899999999999</v>
      </c>
      <c r="K648" s="11">
        <f>21.4611 * CHOOSE(CONTROL!$C$32, $C$9, 100%, $E$9)</f>
        <v>21.461099999999998</v>
      </c>
      <c r="L648" s="11">
        <f>10.4947 * CHOOSE(CONTROL!$C$32, $C$9, 100%, $E$9)</f>
        <v>10.4947</v>
      </c>
      <c r="M648" s="11">
        <f>10.4979 * CHOOSE(CONTROL!$C$32, $C$9, 100%, $E$9)</f>
        <v>10.4979</v>
      </c>
      <c r="N648" s="11">
        <f>10.4947 * CHOOSE(CONTROL!$C$32, $C$9, 100%, $E$9)</f>
        <v>10.4947</v>
      </c>
      <c r="O648" s="11">
        <f>10.4979 * CHOOSE(CONTROL!$C$32, $C$9, 100%, $E$9)</f>
        <v>10.4979</v>
      </c>
    </row>
    <row r="649" spans="1:15" ht="15" x14ac:dyDescent="0.2">
      <c r="A649" s="13">
        <v>60602</v>
      </c>
      <c r="B649" s="9">
        <f>9.3341 * CHOOSE(CONTROL!$C$32, $C$9, 100%, $E$9)</f>
        <v>9.3340999999999994</v>
      </c>
      <c r="C649" s="9">
        <f>9.3341 * CHOOSE(CONTROL!$C$32, $C$9, 100%, $E$9)</f>
        <v>9.3340999999999994</v>
      </c>
      <c r="D649" s="9">
        <f>9.3351 * CHOOSE(CONTROL!$C$32, $C$9, 100%, $E$9)</f>
        <v>9.3351000000000006</v>
      </c>
      <c r="E649" s="11">
        <f>10.3606 * CHOOSE(CONTROL!$C$32, $C$9, 100%, $E$9)</f>
        <v>10.3606</v>
      </c>
      <c r="F649" s="11">
        <f>10.3606 * CHOOSE(CONTROL!$C$32, $C$9, 100%, $E$9)</f>
        <v>10.3606</v>
      </c>
      <c r="G649" s="11">
        <f>10.3638 * CHOOSE(CONTROL!$C$32, $C$9, 100%, $E$9)</f>
        <v>10.363799999999999</v>
      </c>
      <c r="H649" s="11">
        <f>21.5026 * CHOOSE(CONTROL!$C$32, $C$9, 100%, $E$9)</f>
        <v>21.502600000000001</v>
      </c>
      <c r="I649" s="11">
        <f>21.5058 * CHOOSE(CONTROL!$C$32, $C$9, 100%, $E$9)</f>
        <v>21.505800000000001</v>
      </c>
      <c r="J649" s="11">
        <f>21.5026 * CHOOSE(CONTROL!$C$32, $C$9, 100%, $E$9)</f>
        <v>21.502600000000001</v>
      </c>
      <c r="K649" s="11">
        <f>21.5058 * CHOOSE(CONTROL!$C$32, $C$9, 100%, $E$9)</f>
        <v>21.505800000000001</v>
      </c>
      <c r="L649" s="11">
        <f>10.3606 * CHOOSE(CONTROL!$C$32, $C$9, 100%, $E$9)</f>
        <v>10.3606</v>
      </c>
      <c r="M649" s="11">
        <f>10.3638 * CHOOSE(CONTROL!$C$32, $C$9, 100%, $E$9)</f>
        <v>10.363799999999999</v>
      </c>
      <c r="N649" s="11">
        <f>10.3606 * CHOOSE(CONTROL!$C$32, $C$9, 100%, $E$9)</f>
        <v>10.3606</v>
      </c>
      <c r="O649" s="11">
        <f>10.3638 * CHOOSE(CONTROL!$C$32, $C$9, 100%, $E$9)</f>
        <v>10.363799999999999</v>
      </c>
    </row>
    <row r="650" spans="1:15" ht="15" x14ac:dyDescent="0.2">
      <c r="A650" s="13">
        <v>60633</v>
      </c>
      <c r="B650" s="9">
        <f>9.3816 * CHOOSE(CONTROL!$C$32, $C$9, 100%, $E$9)</f>
        <v>9.3816000000000006</v>
      </c>
      <c r="C650" s="9">
        <f>9.3816 * CHOOSE(CONTROL!$C$32, $C$9, 100%, $E$9)</f>
        <v>9.3816000000000006</v>
      </c>
      <c r="D650" s="9">
        <f>9.3826 * CHOOSE(CONTROL!$C$32, $C$9, 100%, $E$9)</f>
        <v>9.3826000000000001</v>
      </c>
      <c r="E650" s="11">
        <f>10.5205 * CHOOSE(CONTROL!$C$32, $C$9, 100%, $E$9)</f>
        <v>10.5205</v>
      </c>
      <c r="F650" s="11">
        <f>10.5205 * CHOOSE(CONTROL!$C$32, $C$9, 100%, $E$9)</f>
        <v>10.5205</v>
      </c>
      <c r="G650" s="11">
        <f>10.5237 * CHOOSE(CONTROL!$C$32, $C$9, 100%, $E$9)</f>
        <v>10.5237</v>
      </c>
      <c r="H650" s="11">
        <f>21.4878 * CHOOSE(CONTROL!$C$32, $C$9, 100%, $E$9)</f>
        <v>21.4878</v>
      </c>
      <c r="I650" s="11">
        <f>21.491 * CHOOSE(CONTROL!$C$32, $C$9, 100%, $E$9)</f>
        <v>21.491</v>
      </c>
      <c r="J650" s="11">
        <f>21.4878 * CHOOSE(CONTROL!$C$32, $C$9, 100%, $E$9)</f>
        <v>21.4878</v>
      </c>
      <c r="K650" s="11">
        <f>21.491 * CHOOSE(CONTROL!$C$32, $C$9, 100%, $E$9)</f>
        <v>21.491</v>
      </c>
      <c r="L650" s="11">
        <f>10.5205 * CHOOSE(CONTROL!$C$32, $C$9, 100%, $E$9)</f>
        <v>10.5205</v>
      </c>
      <c r="M650" s="11">
        <f>10.5237 * CHOOSE(CONTROL!$C$32, $C$9, 100%, $E$9)</f>
        <v>10.5237</v>
      </c>
      <c r="N650" s="11">
        <f>10.5205 * CHOOSE(CONTROL!$C$32, $C$9, 100%, $E$9)</f>
        <v>10.5205</v>
      </c>
      <c r="O650" s="11">
        <f>10.5237 * CHOOSE(CONTROL!$C$32, $C$9, 100%, $E$9)</f>
        <v>10.5237</v>
      </c>
    </row>
    <row r="651" spans="1:15" ht="15" x14ac:dyDescent="0.2">
      <c r="A651" s="13">
        <v>60664</v>
      </c>
      <c r="B651" s="9">
        <f>9.3786 * CHOOSE(CONTROL!$C$32, $C$9, 100%, $E$9)</f>
        <v>9.3786000000000005</v>
      </c>
      <c r="C651" s="9">
        <f>9.3786 * CHOOSE(CONTROL!$C$32, $C$9, 100%, $E$9)</f>
        <v>9.3786000000000005</v>
      </c>
      <c r="D651" s="9">
        <f>9.3796 * CHOOSE(CONTROL!$C$32, $C$9, 100%, $E$9)</f>
        <v>9.3795999999999999</v>
      </c>
      <c r="E651" s="11">
        <f>10.2578 * CHOOSE(CONTROL!$C$32, $C$9, 100%, $E$9)</f>
        <v>10.2578</v>
      </c>
      <c r="F651" s="11">
        <f>10.2578 * CHOOSE(CONTROL!$C$32, $C$9, 100%, $E$9)</f>
        <v>10.2578</v>
      </c>
      <c r="G651" s="11">
        <f>10.261 * CHOOSE(CONTROL!$C$32, $C$9, 100%, $E$9)</f>
        <v>10.260999999999999</v>
      </c>
      <c r="H651" s="11">
        <f>21.5325 * CHOOSE(CONTROL!$C$32, $C$9, 100%, $E$9)</f>
        <v>21.532499999999999</v>
      </c>
      <c r="I651" s="11">
        <f>21.5357 * CHOOSE(CONTROL!$C$32, $C$9, 100%, $E$9)</f>
        <v>21.535699999999999</v>
      </c>
      <c r="J651" s="11">
        <f>21.5325 * CHOOSE(CONTROL!$C$32, $C$9, 100%, $E$9)</f>
        <v>21.532499999999999</v>
      </c>
      <c r="K651" s="11">
        <f>21.5357 * CHOOSE(CONTROL!$C$32, $C$9, 100%, $E$9)</f>
        <v>21.535699999999999</v>
      </c>
      <c r="L651" s="11">
        <f>10.2578 * CHOOSE(CONTROL!$C$32, $C$9, 100%, $E$9)</f>
        <v>10.2578</v>
      </c>
      <c r="M651" s="11">
        <f>10.261 * CHOOSE(CONTROL!$C$32, $C$9, 100%, $E$9)</f>
        <v>10.260999999999999</v>
      </c>
      <c r="N651" s="11">
        <f>10.2578 * CHOOSE(CONTROL!$C$32, $C$9, 100%, $E$9)</f>
        <v>10.2578</v>
      </c>
      <c r="O651" s="11">
        <f>10.261 * CHOOSE(CONTROL!$C$32, $C$9, 100%, $E$9)</f>
        <v>10.260999999999999</v>
      </c>
    </row>
    <row r="652" spans="1:15" ht="15" x14ac:dyDescent="0.2">
      <c r="A652" s="13">
        <v>60692</v>
      </c>
      <c r="B652" s="9">
        <f>9.3756 * CHOOSE(CONTROL!$C$32, $C$9, 100%, $E$9)</f>
        <v>9.3756000000000004</v>
      </c>
      <c r="C652" s="9">
        <f>9.3756 * CHOOSE(CONTROL!$C$32, $C$9, 100%, $E$9)</f>
        <v>9.3756000000000004</v>
      </c>
      <c r="D652" s="9">
        <f>9.3765 * CHOOSE(CONTROL!$C$32, $C$9, 100%, $E$9)</f>
        <v>9.3765000000000001</v>
      </c>
      <c r="E652" s="11">
        <f>10.4611 * CHOOSE(CONTROL!$C$32, $C$9, 100%, $E$9)</f>
        <v>10.4611</v>
      </c>
      <c r="F652" s="11">
        <f>10.4611 * CHOOSE(CONTROL!$C$32, $C$9, 100%, $E$9)</f>
        <v>10.4611</v>
      </c>
      <c r="G652" s="11">
        <f>10.4643 * CHOOSE(CONTROL!$C$32, $C$9, 100%, $E$9)</f>
        <v>10.4643</v>
      </c>
      <c r="H652" s="11">
        <f>21.5774 * CHOOSE(CONTROL!$C$32, $C$9, 100%, $E$9)</f>
        <v>21.577400000000001</v>
      </c>
      <c r="I652" s="11">
        <f>21.5806 * CHOOSE(CONTROL!$C$32, $C$9, 100%, $E$9)</f>
        <v>21.5806</v>
      </c>
      <c r="J652" s="11">
        <f>21.5774 * CHOOSE(CONTROL!$C$32, $C$9, 100%, $E$9)</f>
        <v>21.577400000000001</v>
      </c>
      <c r="K652" s="11">
        <f>21.5806 * CHOOSE(CONTROL!$C$32, $C$9, 100%, $E$9)</f>
        <v>21.5806</v>
      </c>
      <c r="L652" s="11">
        <f>10.4611 * CHOOSE(CONTROL!$C$32, $C$9, 100%, $E$9)</f>
        <v>10.4611</v>
      </c>
      <c r="M652" s="11">
        <f>10.4643 * CHOOSE(CONTROL!$C$32, $C$9, 100%, $E$9)</f>
        <v>10.4643</v>
      </c>
      <c r="N652" s="11">
        <f>10.4611 * CHOOSE(CONTROL!$C$32, $C$9, 100%, $E$9)</f>
        <v>10.4611</v>
      </c>
      <c r="O652" s="11">
        <f>10.4643 * CHOOSE(CONTROL!$C$32, $C$9, 100%, $E$9)</f>
        <v>10.4643</v>
      </c>
    </row>
    <row r="653" spans="1:15" ht="15" x14ac:dyDescent="0.2">
      <c r="A653" s="13">
        <v>60723</v>
      </c>
      <c r="B653" s="9">
        <f>9.3784 * CHOOSE(CONTROL!$C$32, $C$9, 100%, $E$9)</f>
        <v>9.3783999999999992</v>
      </c>
      <c r="C653" s="9">
        <f>9.3784 * CHOOSE(CONTROL!$C$32, $C$9, 100%, $E$9)</f>
        <v>9.3783999999999992</v>
      </c>
      <c r="D653" s="9">
        <f>9.3794 * CHOOSE(CONTROL!$C$32, $C$9, 100%, $E$9)</f>
        <v>9.3794000000000004</v>
      </c>
      <c r="E653" s="11">
        <f>10.6775 * CHOOSE(CONTROL!$C$32, $C$9, 100%, $E$9)</f>
        <v>10.6775</v>
      </c>
      <c r="F653" s="11">
        <f>10.6775 * CHOOSE(CONTROL!$C$32, $C$9, 100%, $E$9)</f>
        <v>10.6775</v>
      </c>
      <c r="G653" s="11">
        <f>10.6807 * CHOOSE(CONTROL!$C$32, $C$9, 100%, $E$9)</f>
        <v>10.6807</v>
      </c>
      <c r="H653" s="11">
        <f>21.6223 * CHOOSE(CONTROL!$C$32, $C$9, 100%, $E$9)</f>
        <v>21.622299999999999</v>
      </c>
      <c r="I653" s="11">
        <f>21.6256 * CHOOSE(CONTROL!$C$32, $C$9, 100%, $E$9)</f>
        <v>21.625599999999999</v>
      </c>
      <c r="J653" s="11">
        <f>21.6223 * CHOOSE(CONTROL!$C$32, $C$9, 100%, $E$9)</f>
        <v>21.622299999999999</v>
      </c>
      <c r="K653" s="11">
        <f>21.6256 * CHOOSE(CONTROL!$C$32, $C$9, 100%, $E$9)</f>
        <v>21.625599999999999</v>
      </c>
      <c r="L653" s="11">
        <f>10.6775 * CHOOSE(CONTROL!$C$32, $C$9, 100%, $E$9)</f>
        <v>10.6775</v>
      </c>
      <c r="M653" s="11">
        <f>10.6807 * CHOOSE(CONTROL!$C$32, $C$9, 100%, $E$9)</f>
        <v>10.6807</v>
      </c>
      <c r="N653" s="11">
        <f>10.6775 * CHOOSE(CONTROL!$C$32, $C$9, 100%, $E$9)</f>
        <v>10.6775</v>
      </c>
      <c r="O653" s="11">
        <f>10.6807 * CHOOSE(CONTROL!$C$32, $C$9, 100%, $E$9)</f>
        <v>10.6807</v>
      </c>
    </row>
    <row r="654" spans="1:15" ht="15" x14ac:dyDescent="0.2">
      <c r="A654" s="13">
        <v>60753</v>
      </c>
      <c r="B654" s="9">
        <f>9.3784 * CHOOSE(CONTROL!$C$32, $C$9, 100%, $E$9)</f>
        <v>9.3783999999999992</v>
      </c>
      <c r="C654" s="9">
        <f>9.3784 * CHOOSE(CONTROL!$C$32, $C$9, 100%, $E$9)</f>
        <v>9.3783999999999992</v>
      </c>
      <c r="D654" s="9">
        <f>9.3797 * CHOOSE(CONTROL!$C$32, $C$9, 100%, $E$9)</f>
        <v>9.3796999999999997</v>
      </c>
      <c r="E654" s="11">
        <f>10.7602 * CHOOSE(CONTROL!$C$32, $C$9, 100%, $E$9)</f>
        <v>10.760199999999999</v>
      </c>
      <c r="F654" s="11">
        <f>10.7602 * CHOOSE(CONTROL!$C$32, $C$9, 100%, $E$9)</f>
        <v>10.760199999999999</v>
      </c>
      <c r="G654" s="11">
        <f>10.7644 * CHOOSE(CONTROL!$C$32, $C$9, 100%, $E$9)</f>
        <v>10.7644</v>
      </c>
      <c r="H654" s="11">
        <f>21.6674 * CHOOSE(CONTROL!$C$32, $C$9, 100%, $E$9)</f>
        <v>21.667400000000001</v>
      </c>
      <c r="I654" s="11">
        <f>21.6716 * CHOOSE(CONTROL!$C$32, $C$9, 100%, $E$9)</f>
        <v>21.671600000000002</v>
      </c>
      <c r="J654" s="11">
        <f>21.6674 * CHOOSE(CONTROL!$C$32, $C$9, 100%, $E$9)</f>
        <v>21.667400000000001</v>
      </c>
      <c r="K654" s="11">
        <f>21.6716 * CHOOSE(CONTROL!$C$32, $C$9, 100%, $E$9)</f>
        <v>21.671600000000002</v>
      </c>
      <c r="L654" s="11">
        <f>10.7602 * CHOOSE(CONTROL!$C$32, $C$9, 100%, $E$9)</f>
        <v>10.760199999999999</v>
      </c>
      <c r="M654" s="11">
        <f>10.7644 * CHOOSE(CONTROL!$C$32, $C$9, 100%, $E$9)</f>
        <v>10.7644</v>
      </c>
      <c r="N654" s="11">
        <f>10.7602 * CHOOSE(CONTROL!$C$32, $C$9, 100%, $E$9)</f>
        <v>10.760199999999999</v>
      </c>
      <c r="O654" s="11">
        <f>10.7644 * CHOOSE(CONTROL!$C$32, $C$9, 100%, $E$9)</f>
        <v>10.7644</v>
      </c>
    </row>
    <row r="655" spans="1:15" ht="15" x14ac:dyDescent="0.2">
      <c r="A655" s="13">
        <v>60784</v>
      </c>
      <c r="B655" s="9">
        <f>9.3845 * CHOOSE(CONTROL!$C$32, $C$9, 100%, $E$9)</f>
        <v>9.3844999999999992</v>
      </c>
      <c r="C655" s="9">
        <f>9.3845 * CHOOSE(CONTROL!$C$32, $C$9, 100%, $E$9)</f>
        <v>9.3844999999999992</v>
      </c>
      <c r="D655" s="9">
        <f>9.3857 * CHOOSE(CONTROL!$C$32, $C$9, 100%, $E$9)</f>
        <v>9.3856999999999999</v>
      </c>
      <c r="E655" s="11">
        <f>10.6817 * CHOOSE(CONTROL!$C$32, $C$9, 100%, $E$9)</f>
        <v>10.681699999999999</v>
      </c>
      <c r="F655" s="11">
        <f>10.6817 * CHOOSE(CONTROL!$C$32, $C$9, 100%, $E$9)</f>
        <v>10.681699999999999</v>
      </c>
      <c r="G655" s="11">
        <f>10.6859 * CHOOSE(CONTROL!$C$32, $C$9, 100%, $E$9)</f>
        <v>10.6859</v>
      </c>
      <c r="H655" s="11">
        <f>21.7125 * CHOOSE(CONTROL!$C$32, $C$9, 100%, $E$9)</f>
        <v>21.712499999999999</v>
      </c>
      <c r="I655" s="11">
        <f>21.7167 * CHOOSE(CONTROL!$C$32, $C$9, 100%, $E$9)</f>
        <v>21.716699999999999</v>
      </c>
      <c r="J655" s="11">
        <f>21.7125 * CHOOSE(CONTROL!$C$32, $C$9, 100%, $E$9)</f>
        <v>21.712499999999999</v>
      </c>
      <c r="K655" s="11">
        <f>21.7167 * CHOOSE(CONTROL!$C$32, $C$9, 100%, $E$9)</f>
        <v>21.716699999999999</v>
      </c>
      <c r="L655" s="11">
        <f>10.6817 * CHOOSE(CONTROL!$C$32, $C$9, 100%, $E$9)</f>
        <v>10.681699999999999</v>
      </c>
      <c r="M655" s="11">
        <f>10.6859 * CHOOSE(CONTROL!$C$32, $C$9, 100%, $E$9)</f>
        <v>10.6859</v>
      </c>
      <c r="N655" s="11">
        <f>10.6817 * CHOOSE(CONTROL!$C$32, $C$9, 100%, $E$9)</f>
        <v>10.681699999999999</v>
      </c>
      <c r="O655" s="11">
        <f>10.6859 * CHOOSE(CONTROL!$C$32, $C$9, 100%, $E$9)</f>
        <v>10.6859</v>
      </c>
    </row>
    <row r="656" spans="1:15" ht="15" x14ac:dyDescent="0.2">
      <c r="A656" s="13">
        <v>60814</v>
      </c>
      <c r="B656" s="9">
        <f>9.5021 * CHOOSE(CONTROL!$C$32, $C$9, 100%, $E$9)</f>
        <v>9.5021000000000004</v>
      </c>
      <c r="C656" s="9">
        <f>9.5021 * CHOOSE(CONTROL!$C$32, $C$9, 100%, $E$9)</f>
        <v>9.5021000000000004</v>
      </c>
      <c r="D656" s="9">
        <f>9.5034 * CHOOSE(CONTROL!$C$32, $C$9, 100%, $E$9)</f>
        <v>9.5033999999999992</v>
      </c>
      <c r="E656" s="11">
        <f>10.8309 * CHOOSE(CONTROL!$C$32, $C$9, 100%, $E$9)</f>
        <v>10.8309</v>
      </c>
      <c r="F656" s="11">
        <f>10.8309 * CHOOSE(CONTROL!$C$32, $C$9, 100%, $E$9)</f>
        <v>10.8309</v>
      </c>
      <c r="G656" s="11">
        <f>10.8351 * CHOOSE(CONTROL!$C$32, $C$9, 100%, $E$9)</f>
        <v>10.835100000000001</v>
      </c>
      <c r="H656" s="11">
        <f>21.7578 * CHOOSE(CONTROL!$C$32, $C$9, 100%, $E$9)</f>
        <v>21.7578</v>
      </c>
      <c r="I656" s="11">
        <f>21.762 * CHOOSE(CONTROL!$C$32, $C$9, 100%, $E$9)</f>
        <v>21.762</v>
      </c>
      <c r="J656" s="11">
        <f>21.7578 * CHOOSE(CONTROL!$C$32, $C$9, 100%, $E$9)</f>
        <v>21.7578</v>
      </c>
      <c r="K656" s="11">
        <f>21.762 * CHOOSE(CONTROL!$C$32, $C$9, 100%, $E$9)</f>
        <v>21.762</v>
      </c>
      <c r="L656" s="11">
        <f>10.8309 * CHOOSE(CONTROL!$C$32, $C$9, 100%, $E$9)</f>
        <v>10.8309</v>
      </c>
      <c r="M656" s="11">
        <f>10.8351 * CHOOSE(CONTROL!$C$32, $C$9, 100%, $E$9)</f>
        <v>10.835100000000001</v>
      </c>
      <c r="N656" s="11">
        <f>10.8309 * CHOOSE(CONTROL!$C$32, $C$9, 100%, $E$9)</f>
        <v>10.8309</v>
      </c>
      <c r="O656" s="11">
        <f>10.8351 * CHOOSE(CONTROL!$C$32, $C$9, 100%, $E$9)</f>
        <v>10.835100000000001</v>
      </c>
    </row>
    <row r="657" spans="1:15" ht="15" x14ac:dyDescent="0.2">
      <c r="A657" s="13">
        <v>60845</v>
      </c>
      <c r="B657" s="9">
        <f>9.5088 * CHOOSE(CONTROL!$C$32, $C$9, 100%, $E$9)</f>
        <v>9.5088000000000008</v>
      </c>
      <c r="C657" s="9">
        <f>9.5088 * CHOOSE(CONTROL!$C$32, $C$9, 100%, $E$9)</f>
        <v>9.5088000000000008</v>
      </c>
      <c r="D657" s="9">
        <f>9.5101 * CHOOSE(CONTROL!$C$32, $C$9, 100%, $E$9)</f>
        <v>9.5100999999999996</v>
      </c>
      <c r="E657" s="11">
        <f>10.5874 * CHOOSE(CONTROL!$C$32, $C$9, 100%, $E$9)</f>
        <v>10.587400000000001</v>
      </c>
      <c r="F657" s="11">
        <f>10.5874 * CHOOSE(CONTROL!$C$32, $C$9, 100%, $E$9)</f>
        <v>10.587400000000001</v>
      </c>
      <c r="G657" s="11">
        <f>10.5916 * CHOOSE(CONTROL!$C$32, $C$9, 100%, $E$9)</f>
        <v>10.5916</v>
      </c>
      <c r="H657" s="11">
        <f>21.8031 * CHOOSE(CONTROL!$C$32, $C$9, 100%, $E$9)</f>
        <v>21.803100000000001</v>
      </c>
      <c r="I657" s="11">
        <f>21.8073 * CHOOSE(CONTROL!$C$32, $C$9, 100%, $E$9)</f>
        <v>21.807300000000001</v>
      </c>
      <c r="J657" s="11">
        <f>21.8031 * CHOOSE(CONTROL!$C$32, $C$9, 100%, $E$9)</f>
        <v>21.803100000000001</v>
      </c>
      <c r="K657" s="11">
        <f>21.8073 * CHOOSE(CONTROL!$C$32, $C$9, 100%, $E$9)</f>
        <v>21.807300000000001</v>
      </c>
      <c r="L657" s="11">
        <f>10.5874 * CHOOSE(CONTROL!$C$32, $C$9, 100%, $E$9)</f>
        <v>10.587400000000001</v>
      </c>
      <c r="M657" s="11">
        <f>10.5916 * CHOOSE(CONTROL!$C$32, $C$9, 100%, $E$9)</f>
        <v>10.5916</v>
      </c>
      <c r="N657" s="11">
        <f>10.5874 * CHOOSE(CONTROL!$C$32, $C$9, 100%, $E$9)</f>
        <v>10.587400000000001</v>
      </c>
      <c r="O657" s="11">
        <f>10.5916 * CHOOSE(CONTROL!$C$32, $C$9, 100%, $E$9)</f>
        <v>10.5916</v>
      </c>
    </row>
    <row r="658" spans="1:15" ht="15" x14ac:dyDescent="0.2">
      <c r="A658" s="13">
        <v>60876</v>
      </c>
      <c r="B658" s="9">
        <f>9.5058 * CHOOSE(CONTROL!$C$32, $C$9, 100%, $E$9)</f>
        <v>9.5058000000000007</v>
      </c>
      <c r="C658" s="9">
        <f>9.5058 * CHOOSE(CONTROL!$C$32, $C$9, 100%, $E$9)</f>
        <v>9.5058000000000007</v>
      </c>
      <c r="D658" s="9">
        <f>9.507 * CHOOSE(CONTROL!$C$32, $C$9, 100%, $E$9)</f>
        <v>9.5069999999999997</v>
      </c>
      <c r="E658" s="11">
        <f>10.5577 * CHOOSE(CONTROL!$C$32, $C$9, 100%, $E$9)</f>
        <v>10.557700000000001</v>
      </c>
      <c r="F658" s="11">
        <f>10.5577 * CHOOSE(CONTROL!$C$32, $C$9, 100%, $E$9)</f>
        <v>10.557700000000001</v>
      </c>
      <c r="G658" s="11">
        <f>10.5619 * CHOOSE(CONTROL!$C$32, $C$9, 100%, $E$9)</f>
        <v>10.5619</v>
      </c>
      <c r="H658" s="11">
        <f>21.8485 * CHOOSE(CONTROL!$C$32, $C$9, 100%, $E$9)</f>
        <v>21.848500000000001</v>
      </c>
      <c r="I658" s="11">
        <f>21.8527 * CHOOSE(CONTROL!$C$32, $C$9, 100%, $E$9)</f>
        <v>21.852699999999999</v>
      </c>
      <c r="J658" s="11">
        <f>21.8485 * CHOOSE(CONTROL!$C$32, $C$9, 100%, $E$9)</f>
        <v>21.848500000000001</v>
      </c>
      <c r="K658" s="11">
        <f>21.8527 * CHOOSE(CONTROL!$C$32, $C$9, 100%, $E$9)</f>
        <v>21.852699999999999</v>
      </c>
      <c r="L658" s="11">
        <f>10.5577 * CHOOSE(CONTROL!$C$32, $C$9, 100%, $E$9)</f>
        <v>10.557700000000001</v>
      </c>
      <c r="M658" s="11">
        <f>10.5619 * CHOOSE(CONTROL!$C$32, $C$9, 100%, $E$9)</f>
        <v>10.5619</v>
      </c>
      <c r="N658" s="11">
        <f>10.5577 * CHOOSE(CONTROL!$C$32, $C$9, 100%, $E$9)</f>
        <v>10.557700000000001</v>
      </c>
      <c r="O658" s="11">
        <f>10.5619 * CHOOSE(CONTROL!$C$32, $C$9, 100%, $E$9)</f>
        <v>10.5619</v>
      </c>
    </row>
    <row r="659" spans="1:15" ht="15" x14ac:dyDescent="0.2">
      <c r="A659" s="13">
        <v>60906</v>
      </c>
      <c r="B659" s="9">
        <f>9.5214 * CHOOSE(CONTROL!$C$32, $C$9, 100%, $E$9)</f>
        <v>9.5213999999999999</v>
      </c>
      <c r="C659" s="9">
        <f>9.5214 * CHOOSE(CONTROL!$C$32, $C$9, 100%, $E$9)</f>
        <v>9.5213999999999999</v>
      </c>
      <c r="D659" s="9">
        <f>9.5223 * CHOOSE(CONTROL!$C$32, $C$9, 100%, $E$9)</f>
        <v>9.5222999999999995</v>
      </c>
      <c r="E659" s="11">
        <f>10.6546 * CHOOSE(CONTROL!$C$32, $C$9, 100%, $E$9)</f>
        <v>10.6546</v>
      </c>
      <c r="F659" s="11">
        <f>10.6546 * CHOOSE(CONTROL!$C$32, $C$9, 100%, $E$9)</f>
        <v>10.6546</v>
      </c>
      <c r="G659" s="11">
        <f>10.6578 * CHOOSE(CONTROL!$C$32, $C$9, 100%, $E$9)</f>
        <v>10.6578</v>
      </c>
      <c r="H659" s="11">
        <f>21.894 * CHOOSE(CONTROL!$C$32, $C$9, 100%, $E$9)</f>
        <v>21.893999999999998</v>
      </c>
      <c r="I659" s="11">
        <f>21.8972 * CHOOSE(CONTROL!$C$32, $C$9, 100%, $E$9)</f>
        <v>21.897200000000002</v>
      </c>
      <c r="J659" s="11">
        <f>21.894 * CHOOSE(CONTROL!$C$32, $C$9, 100%, $E$9)</f>
        <v>21.893999999999998</v>
      </c>
      <c r="K659" s="11">
        <f>21.8972 * CHOOSE(CONTROL!$C$32, $C$9, 100%, $E$9)</f>
        <v>21.897200000000002</v>
      </c>
      <c r="L659" s="11">
        <f>10.6546 * CHOOSE(CONTROL!$C$32, $C$9, 100%, $E$9)</f>
        <v>10.6546</v>
      </c>
      <c r="M659" s="11">
        <f>10.6578 * CHOOSE(CONTROL!$C$32, $C$9, 100%, $E$9)</f>
        <v>10.6578</v>
      </c>
      <c r="N659" s="11">
        <f>10.6546 * CHOOSE(CONTROL!$C$32, $C$9, 100%, $E$9)</f>
        <v>10.6546</v>
      </c>
      <c r="O659" s="11">
        <f>10.6578 * CHOOSE(CONTROL!$C$32, $C$9, 100%, $E$9)</f>
        <v>10.6578</v>
      </c>
    </row>
    <row r="660" spans="1:15" ht="15" x14ac:dyDescent="0.2">
      <c r="A660" s="13">
        <v>60937</v>
      </c>
      <c r="B660" s="9">
        <f>9.5244 * CHOOSE(CONTROL!$C$32, $C$9, 100%, $E$9)</f>
        <v>9.5244</v>
      </c>
      <c r="C660" s="9">
        <f>9.5244 * CHOOSE(CONTROL!$C$32, $C$9, 100%, $E$9)</f>
        <v>9.5244</v>
      </c>
      <c r="D660" s="9">
        <f>9.5254 * CHOOSE(CONTROL!$C$32, $C$9, 100%, $E$9)</f>
        <v>9.5253999999999994</v>
      </c>
      <c r="E660" s="11">
        <f>10.7119 * CHOOSE(CONTROL!$C$32, $C$9, 100%, $E$9)</f>
        <v>10.7119</v>
      </c>
      <c r="F660" s="11">
        <f>10.7119 * CHOOSE(CONTROL!$C$32, $C$9, 100%, $E$9)</f>
        <v>10.7119</v>
      </c>
      <c r="G660" s="11">
        <f>10.7151 * CHOOSE(CONTROL!$C$32, $C$9, 100%, $E$9)</f>
        <v>10.7151</v>
      </c>
      <c r="H660" s="11">
        <f>21.9396 * CHOOSE(CONTROL!$C$32, $C$9, 100%, $E$9)</f>
        <v>21.939599999999999</v>
      </c>
      <c r="I660" s="11">
        <f>21.9429 * CHOOSE(CONTROL!$C$32, $C$9, 100%, $E$9)</f>
        <v>21.942900000000002</v>
      </c>
      <c r="J660" s="11">
        <f>21.9396 * CHOOSE(CONTROL!$C$32, $C$9, 100%, $E$9)</f>
        <v>21.939599999999999</v>
      </c>
      <c r="K660" s="11">
        <f>21.9429 * CHOOSE(CONTROL!$C$32, $C$9, 100%, $E$9)</f>
        <v>21.942900000000002</v>
      </c>
      <c r="L660" s="11">
        <f>10.7119 * CHOOSE(CONTROL!$C$32, $C$9, 100%, $E$9)</f>
        <v>10.7119</v>
      </c>
      <c r="M660" s="11">
        <f>10.7151 * CHOOSE(CONTROL!$C$32, $C$9, 100%, $E$9)</f>
        <v>10.7151</v>
      </c>
      <c r="N660" s="11">
        <f>10.7119 * CHOOSE(CONTROL!$C$32, $C$9, 100%, $E$9)</f>
        <v>10.7119</v>
      </c>
      <c r="O660" s="11">
        <f>10.7151 * CHOOSE(CONTROL!$C$32, $C$9, 100%, $E$9)</f>
        <v>10.7151</v>
      </c>
    </row>
    <row r="661" spans="1:15" ht="15" x14ac:dyDescent="0.2">
      <c r="A661" s="13">
        <v>60967</v>
      </c>
      <c r="B661" s="9">
        <f>9.5244 * CHOOSE(CONTROL!$C$32, $C$9, 100%, $E$9)</f>
        <v>9.5244</v>
      </c>
      <c r="C661" s="9">
        <f>9.5244 * CHOOSE(CONTROL!$C$32, $C$9, 100%, $E$9)</f>
        <v>9.5244</v>
      </c>
      <c r="D661" s="9">
        <f>9.5254 * CHOOSE(CONTROL!$C$32, $C$9, 100%, $E$9)</f>
        <v>9.5253999999999994</v>
      </c>
      <c r="E661" s="11">
        <f>10.574 * CHOOSE(CONTROL!$C$32, $C$9, 100%, $E$9)</f>
        <v>10.574</v>
      </c>
      <c r="F661" s="11">
        <f>10.574 * CHOOSE(CONTROL!$C$32, $C$9, 100%, $E$9)</f>
        <v>10.574</v>
      </c>
      <c r="G661" s="11">
        <f>10.5772 * CHOOSE(CONTROL!$C$32, $C$9, 100%, $E$9)</f>
        <v>10.577199999999999</v>
      </c>
      <c r="H661" s="11">
        <f>21.9853 * CHOOSE(CONTROL!$C$32, $C$9, 100%, $E$9)</f>
        <v>21.985299999999999</v>
      </c>
      <c r="I661" s="11">
        <f>21.9886 * CHOOSE(CONTROL!$C$32, $C$9, 100%, $E$9)</f>
        <v>21.988600000000002</v>
      </c>
      <c r="J661" s="11">
        <f>21.9853 * CHOOSE(CONTROL!$C$32, $C$9, 100%, $E$9)</f>
        <v>21.985299999999999</v>
      </c>
      <c r="K661" s="11">
        <f>21.9886 * CHOOSE(CONTROL!$C$32, $C$9, 100%, $E$9)</f>
        <v>21.988600000000002</v>
      </c>
      <c r="L661" s="11">
        <f>10.574 * CHOOSE(CONTROL!$C$32, $C$9, 100%, $E$9)</f>
        <v>10.574</v>
      </c>
      <c r="M661" s="11">
        <f>10.5772 * CHOOSE(CONTROL!$C$32, $C$9, 100%, $E$9)</f>
        <v>10.577199999999999</v>
      </c>
      <c r="N661" s="11">
        <f>10.574 * CHOOSE(CONTROL!$C$32, $C$9, 100%, $E$9)</f>
        <v>10.574</v>
      </c>
      <c r="O661" s="11">
        <f>10.5772 * CHOOSE(CONTROL!$C$32, $C$9, 100%, $E$9)</f>
        <v>10.577199999999999</v>
      </c>
    </row>
    <row r="662" spans="1:15" ht="15" x14ac:dyDescent="0.2">
      <c r="A662" s="13">
        <v>60998</v>
      </c>
      <c r="B662" s="9">
        <f>9.569 * CHOOSE(CONTROL!$C$32, $C$9, 100%, $E$9)</f>
        <v>9.5690000000000008</v>
      </c>
      <c r="C662" s="9">
        <f>9.569 * CHOOSE(CONTROL!$C$32, $C$9, 100%, $E$9)</f>
        <v>9.5690000000000008</v>
      </c>
      <c r="D662" s="9">
        <f>9.57 * CHOOSE(CONTROL!$C$32, $C$9, 100%, $E$9)</f>
        <v>9.57</v>
      </c>
      <c r="E662" s="11">
        <f>10.733 * CHOOSE(CONTROL!$C$32, $C$9, 100%, $E$9)</f>
        <v>10.733000000000001</v>
      </c>
      <c r="F662" s="11">
        <f>10.733 * CHOOSE(CONTROL!$C$32, $C$9, 100%, $E$9)</f>
        <v>10.733000000000001</v>
      </c>
      <c r="G662" s="11">
        <f>10.7362 * CHOOSE(CONTROL!$C$32, $C$9, 100%, $E$9)</f>
        <v>10.7362</v>
      </c>
      <c r="H662" s="11">
        <f>21.9596 * CHOOSE(CONTROL!$C$32, $C$9, 100%, $E$9)</f>
        <v>21.959599999999998</v>
      </c>
      <c r="I662" s="11">
        <f>21.9628 * CHOOSE(CONTROL!$C$32, $C$9, 100%, $E$9)</f>
        <v>21.962800000000001</v>
      </c>
      <c r="J662" s="11">
        <f>21.9596 * CHOOSE(CONTROL!$C$32, $C$9, 100%, $E$9)</f>
        <v>21.959599999999998</v>
      </c>
      <c r="K662" s="11">
        <f>21.9628 * CHOOSE(CONTROL!$C$32, $C$9, 100%, $E$9)</f>
        <v>21.962800000000001</v>
      </c>
      <c r="L662" s="11">
        <f>10.733 * CHOOSE(CONTROL!$C$32, $C$9, 100%, $E$9)</f>
        <v>10.733000000000001</v>
      </c>
      <c r="M662" s="11">
        <f>10.7362 * CHOOSE(CONTROL!$C$32, $C$9, 100%, $E$9)</f>
        <v>10.7362</v>
      </c>
      <c r="N662" s="11">
        <f>10.733 * CHOOSE(CONTROL!$C$32, $C$9, 100%, $E$9)</f>
        <v>10.733000000000001</v>
      </c>
      <c r="O662" s="11">
        <f>10.7362 * CHOOSE(CONTROL!$C$32, $C$9, 100%, $E$9)</f>
        <v>10.7362</v>
      </c>
    </row>
    <row r="663" spans="1:15" ht="15" x14ac:dyDescent="0.2">
      <c r="A663" s="13">
        <v>61029</v>
      </c>
      <c r="B663" s="9">
        <f>9.566 * CHOOSE(CONTROL!$C$32, $C$9, 100%, $E$9)</f>
        <v>9.5660000000000007</v>
      </c>
      <c r="C663" s="9">
        <f>9.566 * CHOOSE(CONTROL!$C$32, $C$9, 100%, $E$9)</f>
        <v>9.5660000000000007</v>
      </c>
      <c r="D663" s="9">
        <f>9.5669 * CHOOSE(CONTROL!$C$32, $C$9, 100%, $E$9)</f>
        <v>9.5669000000000004</v>
      </c>
      <c r="E663" s="11">
        <f>10.4632 * CHOOSE(CONTROL!$C$32, $C$9, 100%, $E$9)</f>
        <v>10.463200000000001</v>
      </c>
      <c r="F663" s="11">
        <f>10.4632 * CHOOSE(CONTROL!$C$32, $C$9, 100%, $E$9)</f>
        <v>10.463200000000001</v>
      </c>
      <c r="G663" s="11">
        <f>10.4665 * CHOOSE(CONTROL!$C$32, $C$9, 100%, $E$9)</f>
        <v>10.4665</v>
      </c>
      <c r="H663" s="11">
        <f>22.0053 * CHOOSE(CONTROL!$C$32, $C$9, 100%, $E$9)</f>
        <v>22.005299999999998</v>
      </c>
      <c r="I663" s="11">
        <f>22.0085 * CHOOSE(CONTROL!$C$32, $C$9, 100%, $E$9)</f>
        <v>22.008500000000002</v>
      </c>
      <c r="J663" s="11">
        <f>22.0053 * CHOOSE(CONTROL!$C$32, $C$9, 100%, $E$9)</f>
        <v>22.005299999999998</v>
      </c>
      <c r="K663" s="11">
        <f>22.0085 * CHOOSE(CONTROL!$C$32, $C$9, 100%, $E$9)</f>
        <v>22.008500000000002</v>
      </c>
      <c r="L663" s="11">
        <f>10.4632 * CHOOSE(CONTROL!$C$32, $C$9, 100%, $E$9)</f>
        <v>10.463200000000001</v>
      </c>
      <c r="M663" s="11">
        <f>10.4665 * CHOOSE(CONTROL!$C$32, $C$9, 100%, $E$9)</f>
        <v>10.4665</v>
      </c>
      <c r="N663" s="11">
        <f>10.4632 * CHOOSE(CONTROL!$C$32, $C$9, 100%, $E$9)</f>
        <v>10.463200000000001</v>
      </c>
      <c r="O663" s="11">
        <f>10.4665 * CHOOSE(CONTROL!$C$32, $C$9, 100%, $E$9)</f>
        <v>10.4665</v>
      </c>
    </row>
    <row r="664" spans="1:15" ht="15" x14ac:dyDescent="0.2">
      <c r="A664" s="13">
        <v>61057</v>
      </c>
      <c r="B664" s="9">
        <f>9.5629 * CHOOSE(CONTROL!$C$32, $C$9, 100%, $E$9)</f>
        <v>9.5629000000000008</v>
      </c>
      <c r="C664" s="9">
        <f>9.5629 * CHOOSE(CONTROL!$C$32, $C$9, 100%, $E$9)</f>
        <v>9.5629000000000008</v>
      </c>
      <c r="D664" s="9">
        <f>9.5639 * CHOOSE(CONTROL!$C$32, $C$9, 100%, $E$9)</f>
        <v>9.5639000000000003</v>
      </c>
      <c r="E664" s="11">
        <f>10.6721 * CHOOSE(CONTROL!$C$32, $C$9, 100%, $E$9)</f>
        <v>10.6721</v>
      </c>
      <c r="F664" s="11">
        <f>10.6721 * CHOOSE(CONTROL!$C$32, $C$9, 100%, $E$9)</f>
        <v>10.6721</v>
      </c>
      <c r="G664" s="11">
        <f>10.6753 * CHOOSE(CONTROL!$C$32, $C$9, 100%, $E$9)</f>
        <v>10.6753</v>
      </c>
      <c r="H664" s="11">
        <f>22.0512 * CHOOSE(CONTROL!$C$32, $C$9, 100%, $E$9)</f>
        <v>22.051200000000001</v>
      </c>
      <c r="I664" s="11">
        <f>22.0544 * CHOOSE(CONTROL!$C$32, $C$9, 100%, $E$9)</f>
        <v>22.054400000000001</v>
      </c>
      <c r="J664" s="11">
        <f>22.0512 * CHOOSE(CONTROL!$C$32, $C$9, 100%, $E$9)</f>
        <v>22.051200000000001</v>
      </c>
      <c r="K664" s="11">
        <f>22.0544 * CHOOSE(CONTROL!$C$32, $C$9, 100%, $E$9)</f>
        <v>22.054400000000001</v>
      </c>
      <c r="L664" s="11">
        <f>10.6721 * CHOOSE(CONTROL!$C$32, $C$9, 100%, $E$9)</f>
        <v>10.6721</v>
      </c>
      <c r="M664" s="11">
        <f>10.6753 * CHOOSE(CONTROL!$C$32, $C$9, 100%, $E$9)</f>
        <v>10.6753</v>
      </c>
      <c r="N664" s="11">
        <f>10.6721 * CHOOSE(CONTROL!$C$32, $C$9, 100%, $E$9)</f>
        <v>10.6721</v>
      </c>
      <c r="O664" s="11">
        <f>10.6753 * CHOOSE(CONTROL!$C$32, $C$9, 100%, $E$9)</f>
        <v>10.6753</v>
      </c>
    </row>
    <row r="665" spans="1:15" ht="15" x14ac:dyDescent="0.2">
      <c r="A665" s="13">
        <v>61088</v>
      </c>
      <c r="B665" s="9">
        <f>9.566 * CHOOSE(CONTROL!$C$32, $C$9, 100%, $E$9)</f>
        <v>9.5660000000000007</v>
      </c>
      <c r="C665" s="9">
        <f>9.566 * CHOOSE(CONTROL!$C$32, $C$9, 100%, $E$9)</f>
        <v>9.5660000000000007</v>
      </c>
      <c r="D665" s="9">
        <f>9.5669 * CHOOSE(CONTROL!$C$32, $C$9, 100%, $E$9)</f>
        <v>9.5669000000000004</v>
      </c>
      <c r="E665" s="11">
        <f>10.8945 * CHOOSE(CONTROL!$C$32, $C$9, 100%, $E$9)</f>
        <v>10.894500000000001</v>
      </c>
      <c r="F665" s="11">
        <f>10.8945 * CHOOSE(CONTROL!$C$32, $C$9, 100%, $E$9)</f>
        <v>10.894500000000001</v>
      </c>
      <c r="G665" s="11">
        <f>10.8977 * CHOOSE(CONTROL!$C$32, $C$9, 100%, $E$9)</f>
        <v>10.8977</v>
      </c>
      <c r="H665" s="11">
        <f>22.0971 * CHOOSE(CONTROL!$C$32, $C$9, 100%, $E$9)</f>
        <v>22.097100000000001</v>
      </c>
      <c r="I665" s="11">
        <f>22.1003 * CHOOSE(CONTROL!$C$32, $C$9, 100%, $E$9)</f>
        <v>22.100300000000001</v>
      </c>
      <c r="J665" s="11">
        <f>22.0971 * CHOOSE(CONTROL!$C$32, $C$9, 100%, $E$9)</f>
        <v>22.097100000000001</v>
      </c>
      <c r="K665" s="11">
        <f>22.1003 * CHOOSE(CONTROL!$C$32, $C$9, 100%, $E$9)</f>
        <v>22.100300000000001</v>
      </c>
      <c r="L665" s="11">
        <f>10.8945 * CHOOSE(CONTROL!$C$32, $C$9, 100%, $E$9)</f>
        <v>10.894500000000001</v>
      </c>
      <c r="M665" s="11">
        <f>10.8977 * CHOOSE(CONTROL!$C$32, $C$9, 100%, $E$9)</f>
        <v>10.8977</v>
      </c>
      <c r="N665" s="11">
        <f>10.8945 * CHOOSE(CONTROL!$C$32, $C$9, 100%, $E$9)</f>
        <v>10.894500000000001</v>
      </c>
      <c r="O665" s="11">
        <f>10.8977 * CHOOSE(CONTROL!$C$32, $C$9, 100%, $E$9)</f>
        <v>10.8977</v>
      </c>
    </row>
    <row r="666" spans="1:15" ht="15" x14ac:dyDescent="0.2">
      <c r="A666" s="13">
        <v>61118</v>
      </c>
      <c r="B666" s="9">
        <f>9.566 * CHOOSE(CONTROL!$C$32, $C$9, 100%, $E$9)</f>
        <v>9.5660000000000007</v>
      </c>
      <c r="C666" s="9">
        <f>9.566 * CHOOSE(CONTROL!$C$32, $C$9, 100%, $E$9)</f>
        <v>9.5660000000000007</v>
      </c>
      <c r="D666" s="9">
        <f>9.5672 * CHOOSE(CONTROL!$C$32, $C$9, 100%, $E$9)</f>
        <v>9.5671999999999997</v>
      </c>
      <c r="E666" s="11">
        <f>10.9795 * CHOOSE(CONTROL!$C$32, $C$9, 100%, $E$9)</f>
        <v>10.9795</v>
      </c>
      <c r="F666" s="11">
        <f>10.9795 * CHOOSE(CONTROL!$C$32, $C$9, 100%, $E$9)</f>
        <v>10.9795</v>
      </c>
      <c r="G666" s="11">
        <f>10.9837 * CHOOSE(CONTROL!$C$32, $C$9, 100%, $E$9)</f>
        <v>10.983700000000001</v>
      </c>
      <c r="H666" s="11">
        <f>22.1431 * CHOOSE(CONTROL!$C$32, $C$9, 100%, $E$9)</f>
        <v>22.1431</v>
      </c>
      <c r="I666" s="11">
        <f>22.1473 * CHOOSE(CONTROL!$C$32, $C$9, 100%, $E$9)</f>
        <v>22.147300000000001</v>
      </c>
      <c r="J666" s="11">
        <f>22.1431 * CHOOSE(CONTROL!$C$32, $C$9, 100%, $E$9)</f>
        <v>22.1431</v>
      </c>
      <c r="K666" s="11">
        <f>22.1473 * CHOOSE(CONTROL!$C$32, $C$9, 100%, $E$9)</f>
        <v>22.147300000000001</v>
      </c>
      <c r="L666" s="11">
        <f>10.9795 * CHOOSE(CONTROL!$C$32, $C$9, 100%, $E$9)</f>
        <v>10.9795</v>
      </c>
      <c r="M666" s="11">
        <f>10.9837 * CHOOSE(CONTROL!$C$32, $C$9, 100%, $E$9)</f>
        <v>10.983700000000001</v>
      </c>
      <c r="N666" s="11">
        <f>10.9795 * CHOOSE(CONTROL!$C$32, $C$9, 100%, $E$9)</f>
        <v>10.9795</v>
      </c>
      <c r="O666" s="11">
        <f>10.9837 * CHOOSE(CONTROL!$C$32, $C$9, 100%, $E$9)</f>
        <v>10.983700000000001</v>
      </c>
    </row>
    <row r="667" spans="1:15" ht="15" x14ac:dyDescent="0.2">
      <c r="A667" s="13">
        <v>61149</v>
      </c>
      <c r="B667" s="9">
        <f>9.572 * CHOOSE(CONTROL!$C$32, $C$9, 100%, $E$9)</f>
        <v>9.5719999999999992</v>
      </c>
      <c r="C667" s="9">
        <f>9.572 * CHOOSE(CONTROL!$C$32, $C$9, 100%, $E$9)</f>
        <v>9.5719999999999992</v>
      </c>
      <c r="D667" s="9">
        <f>9.5733 * CHOOSE(CONTROL!$C$32, $C$9, 100%, $E$9)</f>
        <v>9.5732999999999997</v>
      </c>
      <c r="E667" s="11">
        <f>10.8987 * CHOOSE(CONTROL!$C$32, $C$9, 100%, $E$9)</f>
        <v>10.8987</v>
      </c>
      <c r="F667" s="11">
        <f>10.8987 * CHOOSE(CONTROL!$C$32, $C$9, 100%, $E$9)</f>
        <v>10.8987</v>
      </c>
      <c r="G667" s="11">
        <f>10.9029 * CHOOSE(CONTROL!$C$32, $C$9, 100%, $E$9)</f>
        <v>10.902900000000001</v>
      </c>
      <c r="H667" s="11">
        <f>22.1893 * CHOOSE(CONTROL!$C$32, $C$9, 100%, $E$9)</f>
        <v>22.189299999999999</v>
      </c>
      <c r="I667" s="11">
        <f>22.1935 * CHOOSE(CONTROL!$C$32, $C$9, 100%, $E$9)</f>
        <v>22.1935</v>
      </c>
      <c r="J667" s="11">
        <f>22.1893 * CHOOSE(CONTROL!$C$32, $C$9, 100%, $E$9)</f>
        <v>22.189299999999999</v>
      </c>
      <c r="K667" s="11">
        <f>22.1935 * CHOOSE(CONTROL!$C$32, $C$9, 100%, $E$9)</f>
        <v>22.1935</v>
      </c>
      <c r="L667" s="11">
        <f>10.8987 * CHOOSE(CONTROL!$C$32, $C$9, 100%, $E$9)</f>
        <v>10.8987</v>
      </c>
      <c r="M667" s="11">
        <f>10.9029 * CHOOSE(CONTROL!$C$32, $C$9, 100%, $E$9)</f>
        <v>10.902900000000001</v>
      </c>
      <c r="N667" s="11">
        <f>10.8987 * CHOOSE(CONTROL!$C$32, $C$9, 100%, $E$9)</f>
        <v>10.8987</v>
      </c>
      <c r="O667" s="11">
        <f>10.9029 * CHOOSE(CONTROL!$C$32, $C$9, 100%, $E$9)</f>
        <v>10.902900000000001</v>
      </c>
    </row>
    <row r="668" spans="1:15" ht="15" x14ac:dyDescent="0.2">
      <c r="A668" s="13">
        <v>61179</v>
      </c>
      <c r="B668" s="9">
        <f>9.6917 * CHOOSE(CONTROL!$C$32, $C$9, 100%, $E$9)</f>
        <v>9.6917000000000009</v>
      </c>
      <c r="C668" s="9">
        <f>9.6917 * CHOOSE(CONTROL!$C$32, $C$9, 100%, $E$9)</f>
        <v>9.6917000000000009</v>
      </c>
      <c r="D668" s="9">
        <f>9.693 * CHOOSE(CONTROL!$C$32, $C$9, 100%, $E$9)</f>
        <v>9.6929999999999996</v>
      </c>
      <c r="E668" s="11">
        <f>11.0511 * CHOOSE(CONTROL!$C$32, $C$9, 100%, $E$9)</f>
        <v>11.0511</v>
      </c>
      <c r="F668" s="11">
        <f>11.0511 * CHOOSE(CONTROL!$C$32, $C$9, 100%, $E$9)</f>
        <v>11.0511</v>
      </c>
      <c r="G668" s="11">
        <f>11.0553 * CHOOSE(CONTROL!$C$32, $C$9, 100%, $E$9)</f>
        <v>11.055300000000001</v>
      </c>
      <c r="H668" s="11">
        <f>22.2355 * CHOOSE(CONTROL!$C$32, $C$9, 100%, $E$9)</f>
        <v>22.235499999999998</v>
      </c>
      <c r="I668" s="11">
        <f>22.2397 * CHOOSE(CONTROL!$C$32, $C$9, 100%, $E$9)</f>
        <v>22.239699999999999</v>
      </c>
      <c r="J668" s="11">
        <f>22.2355 * CHOOSE(CONTROL!$C$32, $C$9, 100%, $E$9)</f>
        <v>22.235499999999998</v>
      </c>
      <c r="K668" s="11">
        <f>22.2397 * CHOOSE(CONTROL!$C$32, $C$9, 100%, $E$9)</f>
        <v>22.239699999999999</v>
      </c>
      <c r="L668" s="11">
        <f>11.0511 * CHOOSE(CONTROL!$C$32, $C$9, 100%, $E$9)</f>
        <v>11.0511</v>
      </c>
      <c r="M668" s="11">
        <f>11.0553 * CHOOSE(CONTROL!$C$32, $C$9, 100%, $E$9)</f>
        <v>11.055300000000001</v>
      </c>
      <c r="N668" s="11">
        <f>11.0511 * CHOOSE(CONTROL!$C$32, $C$9, 100%, $E$9)</f>
        <v>11.0511</v>
      </c>
      <c r="O668" s="11">
        <f>11.0553 * CHOOSE(CONTROL!$C$32, $C$9, 100%, $E$9)</f>
        <v>11.055300000000001</v>
      </c>
    </row>
    <row r="669" spans="1:15" ht="15" x14ac:dyDescent="0.2">
      <c r="A669" s="13">
        <v>61210</v>
      </c>
      <c r="B669" s="9">
        <f>9.6984 * CHOOSE(CONTROL!$C$32, $C$9, 100%, $E$9)</f>
        <v>9.6983999999999995</v>
      </c>
      <c r="C669" s="9">
        <f>9.6984 * CHOOSE(CONTROL!$C$32, $C$9, 100%, $E$9)</f>
        <v>9.6983999999999995</v>
      </c>
      <c r="D669" s="9">
        <f>9.6997 * CHOOSE(CONTROL!$C$32, $C$9, 100%, $E$9)</f>
        <v>9.6997</v>
      </c>
      <c r="E669" s="11">
        <f>10.8009 * CHOOSE(CONTROL!$C$32, $C$9, 100%, $E$9)</f>
        <v>10.8009</v>
      </c>
      <c r="F669" s="11">
        <f>10.8009 * CHOOSE(CONTROL!$C$32, $C$9, 100%, $E$9)</f>
        <v>10.8009</v>
      </c>
      <c r="G669" s="11">
        <f>10.8051 * CHOOSE(CONTROL!$C$32, $C$9, 100%, $E$9)</f>
        <v>10.805099999999999</v>
      </c>
      <c r="H669" s="11">
        <f>22.2818 * CHOOSE(CONTROL!$C$32, $C$9, 100%, $E$9)</f>
        <v>22.2818</v>
      </c>
      <c r="I669" s="11">
        <f>22.286 * CHOOSE(CONTROL!$C$32, $C$9, 100%, $E$9)</f>
        <v>22.286000000000001</v>
      </c>
      <c r="J669" s="11">
        <f>22.2818 * CHOOSE(CONTROL!$C$32, $C$9, 100%, $E$9)</f>
        <v>22.2818</v>
      </c>
      <c r="K669" s="11">
        <f>22.286 * CHOOSE(CONTROL!$C$32, $C$9, 100%, $E$9)</f>
        <v>22.286000000000001</v>
      </c>
      <c r="L669" s="11">
        <f>10.8009 * CHOOSE(CONTROL!$C$32, $C$9, 100%, $E$9)</f>
        <v>10.8009</v>
      </c>
      <c r="M669" s="11">
        <f>10.8051 * CHOOSE(CONTROL!$C$32, $C$9, 100%, $E$9)</f>
        <v>10.805099999999999</v>
      </c>
      <c r="N669" s="11">
        <f>10.8009 * CHOOSE(CONTROL!$C$32, $C$9, 100%, $E$9)</f>
        <v>10.8009</v>
      </c>
      <c r="O669" s="11">
        <f>10.8051 * CHOOSE(CONTROL!$C$32, $C$9, 100%, $E$9)</f>
        <v>10.805099999999999</v>
      </c>
    </row>
    <row r="670" spans="1:15" ht="15" x14ac:dyDescent="0.2">
      <c r="A670" s="13">
        <v>61241</v>
      </c>
      <c r="B670" s="9">
        <f>9.6954 * CHOOSE(CONTROL!$C$32, $C$9, 100%, $E$9)</f>
        <v>9.6953999999999994</v>
      </c>
      <c r="C670" s="9">
        <f>9.6954 * CHOOSE(CONTROL!$C$32, $C$9, 100%, $E$9)</f>
        <v>9.6953999999999994</v>
      </c>
      <c r="D670" s="9">
        <f>9.6966 * CHOOSE(CONTROL!$C$32, $C$9, 100%, $E$9)</f>
        <v>9.6966000000000001</v>
      </c>
      <c r="E670" s="11">
        <f>10.7704 * CHOOSE(CONTROL!$C$32, $C$9, 100%, $E$9)</f>
        <v>10.7704</v>
      </c>
      <c r="F670" s="11">
        <f>10.7704 * CHOOSE(CONTROL!$C$32, $C$9, 100%, $E$9)</f>
        <v>10.7704</v>
      </c>
      <c r="G670" s="11">
        <f>10.7746 * CHOOSE(CONTROL!$C$32, $C$9, 100%, $E$9)</f>
        <v>10.7746</v>
      </c>
      <c r="H670" s="11">
        <f>22.3282 * CHOOSE(CONTROL!$C$32, $C$9, 100%, $E$9)</f>
        <v>22.328199999999999</v>
      </c>
      <c r="I670" s="11">
        <f>22.3324 * CHOOSE(CONTROL!$C$32, $C$9, 100%, $E$9)</f>
        <v>22.3324</v>
      </c>
      <c r="J670" s="11">
        <f>22.3282 * CHOOSE(CONTROL!$C$32, $C$9, 100%, $E$9)</f>
        <v>22.328199999999999</v>
      </c>
      <c r="K670" s="11">
        <f>22.3324 * CHOOSE(CONTROL!$C$32, $C$9, 100%, $E$9)</f>
        <v>22.3324</v>
      </c>
      <c r="L670" s="11">
        <f>10.7704 * CHOOSE(CONTROL!$C$32, $C$9, 100%, $E$9)</f>
        <v>10.7704</v>
      </c>
      <c r="M670" s="11">
        <f>10.7746 * CHOOSE(CONTROL!$C$32, $C$9, 100%, $E$9)</f>
        <v>10.7746</v>
      </c>
      <c r="N670" s="11">
        <f>10.7704 * CHOOSE(CONTROL!$C$32, $C$9, 100%, $E$9)</f>
        <v>10.7704</v>
      </c>
      <c r="O670" s="11">
        <f>10.7746 * CHOOSE(CONTROL!$C$32, $C$9, 100%, $E$9)</f>
        <v>10.7746</v>
      </c>
    </row>
    <row r="671" spans="1:15" ht="15" x14ac:dyDescent="0.2">
      <c r="A671" s="13">
        <v>61271</v>
      </c>
      <c r="B671" s="9">
        <f>9.7117 * CHOOSE(CONTROL!$C$32, $C$9, 100%, $E$9)</f>
        <v>9.7117000000000004</v>
      </c>
      <c r="C671" s="9">
        <f>9.7117 * CHOOSE(CONTROL!$C$32, $C$9, 100%, $E$9)</f>
        <v>9.7117000000000004</v>
      </c>
      <c r="D671" s="9">
        <f>9.7126 * CHOOSE(CONTROL!$C$32, $C$9, 100%, $E$9)</f>
        <v>9.7126000000000001</v>
      </c>
      <c r="E671" s="11">
        <f>10.8703 * CHOOSE(CONTROL!$C$32, $C$9, 100%, $E$9)</f>
        <v>10.8703</v>
      </c>
      <c r="F671" s="11">
        <f>10.8703 * CHOOSE(CONTROL!$C$32, $C$9, 100%, $E$9)</f>
        <v>10.8703</v>
      </c>
      <c r="G671" s="11">
        <f>10.8735 * CHOOSE(CONTROL!$C$32, $C$9, 100%, $E$9)</f>
        <v>10.8735</v>
      </c>
      <c r="H671" s="11">
        <f>22.3747 * CHOOSE(CONTROL!$C$32, $C$9, 100%, $E$9)</f>
        <v>22.374700000000001</v>
      </c>
      <c r="I671" s="11">
        <f>22.378 * CHOOSE(CONTROL!$C$32, $C$9, 100%, $E$9)</f>
        <v>22.378</v>
      </c>
      <c r="J671" s="11">
        <f>22.3747 * CHOOSE(CONTROL!$C$32, $C$9, 100%, $E$9)</f>
        <v>22.374700000000001</v>
      </c>
      <c r="K671" s="11">
        <f>22.378 * CHOOSE(CONTROL!$C$32, $C$9, 100%, $E$9)</f>
        <v>22.378</v>
      </c>
      <c r="L671" s="11">
        <f>10.8703 * CHOOSE(CONTROL!$C$32, $C$9, 100%, $E$9)</f>
        <v>10.8703</v>
      </c>
      <c r="M671" s="11">
        <f>10.8735 * CHOOSE(CONTROL!$C$32, $C$9, 100%, $E$9)</f>
        <v>10.8735</v>
      </c>
      <c r="N671" s="11">
        <f>10.8703 * CHOOSE(CONTROL!$C$32, $C$9, 100%, $E$9)</f>
        <v>10.8703</v>
      </c>
      <c r="O671" s="11">
        <f>10.8735 * CHOOSE(CONTROL!$C$32, $C$9, 100%, $E$9)</f>
        <v>10.8735</v>
      </c>
    </row>
    <row r="672" spans="1:15" ht="15" x14ac:dyDescent="0.2">
      <c r="A672" s="13">
        <v>61302</v>
      </c>
      <c r="B672" s="9">
        <f>9.7147 * CHOOSE(CONTROL!$C$32, $C$9, 100%, $E$9)</f>
        <v>9.7147000000000006</v>
      </c>
      <c r="C672" s="9">
        <f>9.7147 * CHOOSE(CONTROL!$C$32, $C$9, 100%, $E$9)</f>
        <v>9.7147000000000006</v>
      </c>
      <c r="D672" s="9">
        <f>9.7157 * CHOOSE(CONTROL!$C$32, $C$9, 100%, $E$9)</f>
        <v>9.7157</v>
      </c>
      <c r="E672" s="11">
        <f>10.9291 * CHOOSE(CONTROL!$C$32, $C$9, 100%, $E$9)</f>
        <v>10.9291</v>
      </c>
      <c r="F672" s="11">
        <f>10.9291 * CHOOSE(CONTROL!$C$32, $C$9, 100%, $E$9)</f>
        <v>10.9291</v>
      </c>
      <c r="G672" s="11">
        <f>10.9323 * CHOOSE(CONTROL!$C$32, $C$9, 100%, $E$9)</f>
        <v>10.9323</v>
      </c>
      <c r="H672" s="11">
        <f>22.4214 * CHOOSE(CONTROL!$C$32, $C$9, 100%, $E$9)</f>
        <v>22.421399999999998</v>
      </c>
      <c r="I672" s="11">
        <f>22.4246 * CHOOSE(CONTROL!$C$32, $C$9, 100%, $E$9)</f>
        <v>22.424600000000002</v>
      </c>
      <c r="J672" s="11">
        <f>22.4214 * CHOOSE(CONTROL!$C$32, $C$9, 100%, $E$9)</f>
        <v>22.421399999999998</v>
      </c>
      <c r="K672" s="11">
        <f>22.4246 * CHOOSE(CONTROL!$C$32, $C$9, 100%, $E$9)</f>
        <v>22.424600000000002</v>
      </c>
      <c r="L672" s="11">
        <f>10.9291 * CHOOSE(CONTROL!$C$32, $C$9, 100%, $E$9)</f>
        <v>10.9291</v>
      </c>
      <c r="M672" s="11">
        <f>10.9323 * CHOOSE(CONTROL!$C$32, $C$9, 100%, $E$9)</f>
        <v>10.9323</v>
      </c>
      <c r="N672" s="11">
        <f>10.9291 * CHOOSE(CONTROL!$C$32, $C$9, 100%, $E$9)</f>
        <v>10.9291</v>
      </c>
      <c r="O672" s="11">
        <f>10.9323 * CHOOSE(CONTROL!$C$32, $C$9, 100%, $E$9)</f>
        <v>10.9323</v>
      </c>
    </row>
    <row r="673" spans="1:15" ht="15" x14ac:dyDescent="0.2">
      <c r="A673" s="13">
        <v>61332</v>
      </c>
      <c r="B673" s="9">
        <f>9.7147 * CHOOSE(CONTROL!$C$32, $C$9, 100%, $E$9)</f>
        <v>9.7147000000000006</v>
      </c>
      <c r="C673" s="9">
        <f>9.7147 * CHOOSE(CONTROL!$C$32, $C$9, 100%, $E$9)</f>
        <v>9.7147000000000006</v>
      </c>
      <c r="D673" s="9">
        <f>9.7157 * CHOOSE(CONTROL!$C$32, $C$9, 100%, $E$9)</f>
        <v>9.7157</v>
      </c>
      <c r="E673" s="11">
        <f>10.7874 * CHOOSE(CONTROL!$C$32, $C$9, 100%, $E$9)</f>
        <v>10.7874</v>
      </c>
      <c r="F673" s="11">
        <f>10.7874 * CHOOSE(CONTROL!$C$32, $C$9, 100%, $E$9)</f>
        <v>10.7874</v>
      </c>
      <c r="G673" s="11">
        <f>10.7907 * CHOOSE(CONTROL!$C$32, $C$9, 100%, $E$9)</f>
        <v>10.790699999999999</v>
      </c>
      <c r="H673" s="11">
        <f>22.4681 * CHOOSE(CONTROL!$C$32, $C$9, 100%, $E$9)</f>
        <v>22.4681</v>
      </c>
      <c r="I673" s="11">
        <f>22.4713 * CHOOSE(CONTROL!$C$32, $C$9, 100%, $E$9)</f>
        <v>22.471299999999999</v>
      </c>
      <c r="J673" s="11">
        <f>22.4681 * CHOOSE(CONTROL!$C$32, $C$9, 100%, $E$9)</f>
        <v>22.4681</v>
      </c>
      <c r="K673" s="11">
        <f>22.4713 * CHOOSE(CONTROL!$C$32, $C$9, 100%, $E$9)</f>
        <v>22.471299999999999</v>
      </c>
      <c r="L673" s="11">
        <f>10.7874 * CHOOSE(CONTROL!$C$32, $C$9, 100%, $E$9)</f>
        <v>10.7874</v>
      </c>
      <c r="M673" s="11">
        <f>10.7907 * CHOOSE(CONTROL!$C$32, $C$9, 100%, $E$9)</f>
        <v>10.790699999999999</v>
      </c>
      <c r="N673" s="11">
        <f>10.7874 * CHOOSE(CONTROL!$C$32, $C$9, 100%, $E$9)</f>
        <v>10.7874</v>
      </c>
      <c r="O673" s="11">
        <f>10.7907 * CHOOSE(CONTROL!$C$32, $C$9, 100%, $E$9)</f>
        <v>10.790699999999999</v>
      </c>
    </row>
    <row r="674" spans="1:15" ht="15" x14ac:dyDescent="0.2">
      <c r="A674" s="13">
        <v>61363</v>
      </c>
      <c r="B674" s="9">
        <f>9.7564 * CHOOSE(CONTROL!$C$32, $C$9, 100%, $E$9)</f>
        <v>9.7563999999999993</v>
      </c>
      <c r="C674" s="9">
        <f>9.7564 * CHOOSE(CONTROL!$C$32, $C$9, 100%, $E$9)</f>
        <v>9.7563999999999993</v>
      </c>
      <c r="D674" s="9">
        <f>9.7573 * CHOOSE(CONTROL!$C$32, $C$9, 100%, $E$9)</f>
        <v>9.7573000000000008</v>
      </c>
      <c r="E674" s="11">
        <f>10.9455 * CHOOSE(CONTROL!$C$32, $C$9, 100%, $E$9)</f>
        <v>10.945499999999999</v>
      </c>
      <c r="F674" s="11">
        <f>10.9455 * CHOOSE(CONTROL!$C$32, $C$9, 100%, $E$9)</f>
        <v>10.945499999999999</v>
      </c>
      <c r="G674" s="11">
        <f>10.9487 * CHOOSE(CONTROL!$C$32, $C$9, 100%, $E$9)</f>
        <v>10.948700000000001</v>
      </c>
      <c r="H674" s="11">
        <f>22.4314 * CHOOSE(CONTROL!$C$32, $C$9, 100%, $E$9)</f>
        <v>22.4314</v>
      </c>
      <c r="I674" s="11">
        <f>22.4346 * CHOOSE(CONTROL!$C$32, $C$9, 100%, $E$9)</f>
        <v>22.4346</v>
      </c>
      <c r="J674" s="11">
        <f>22.4314 * CHOOSE(CONTROL!$C$32, $C$9, 100%, $E$9)</f>
        <v>22.4314</v>
      </c>
      <c r="K674" s="11">
        <f>22.4346 * CHOOSE(CONTROL!$C$32, $C$9, 100%, $E$9)</f>
        <v>22.4346</v>
      </c>
      <c r="L674" s="11">
        <f>10.9455 * CHOOSE(CONTROL!$C$32, $C$9, 100%, $E$9)</f>
        <v>10.945499999999999</v>
      </c>
      <c r="M674" s="11">
        <f>10.9487 * CHOOSE(CONTROL!$C$32, $C$9, 100%, $E$9)</f>
        <v>10.948700000000001</v>
      </c>
      <c r="N674" s="11">
        <f>10.9455 * CHOOSE(CONTROL!$C$32, $C$9, 100%, $E$9)</f>
        <v>10.945499999999999</v>
      </c>
      <c r="O674" s="11">
        <f>10.9487 * CHOOSE(CONTROL!$C$32, $C$9, 100%, $E$9)</f>
        <v>10.948700000000001</v>
      </c>
    </row>
    <row r="675" spans="1:15" ht="15" x14ac:dyDescent="0.2">
      <c r="A675" s="13">
        <v>61394</v>
      </c>
      <c r="B675" s="9">
        <f>9.7533 * CHOOSE(CONTROL!$C$32, $C$9, 100%, $E$9)</f>
        <v>9.7532999999999994</v>
      </c>
      <c r="C675" s="9">
        <f>9.7533 * CHOOSE(CONTROL!$C$32, $C$9, 100%, $E$9)</f>
        <v>9.7532999999999994</v>
      </c>
      <c r="D675" s="9">
        <f>9.7543 * CHOOSE(CONTROL!$C$32, $C$9, 100%, $E$9)</f>
        <v>9.7543000000000006</v>
      </c>
      <c r="E675" s="11">
        <f>10.6687 * CHOOSE(CONTROL!$C$32, $C$9, 100%, $E$9)</f>
        <v>10.668699999999999</v>
      </c>
      <c r="F675" s="11">
        <f>10.6687 * CHOOSE(CONTROL!$C$32, $C$9, 100%, $E$9)</f>
        <v>10.668699999999999</v>
      </c>
      <c r="G675" s="11">
        <f>10.6719 * CHOOSE(CONTROL!$C$32, $C$9, 100%, $E$9)</f>
        <v>10.671900000000001</v>
      </c>
      <c r="H675" s="11">
        <f>22.4781 * CHOOSE(CONTROL!$C$32, $C$9, 100%, $E$9)</f>
        <v>22.478100000000001</v>
      </c>
      <c r="I675" s="11">
        <f>22.4813 * CHOOSE(CONTROL!$C$32, $C$9, 100%, $E$9)</f>
        <v>22.481300000000001</v>
      </c>
      <c r="J675" s="11">
        <f>22.4781 * CHOOSE(CONTROL!$C$32, $C$9, 100%, $E$9)</f>
        <v>22.478100000000001</v>
      </c>
      <c r="K675" s="11">
        <f>22.4813 * CHOOSE(CONTROL!$C$32, $C$9, 100%, $E$9)</f>
        <v>22.481300000000001</v>
      </c>
      <c r="L675" s="11">
        <f>10.6687 * CHOOSE(CONTROL!$C$32, $C$9, 100%, $E$9)</f>
        <v>10.668699999999999</v>
      </c>
      <c r="M675" s="11">
        <f>10.6719 * CHOOSE(CONTROL!$C$32, $C$9, 100%, $E$9)</f>
        <v>10.671900000000001</v>
      </c>
      <c r="N675" s="11">
        <f>10.6687 * CHOOSE(CONTROL!$C$32, $C$9, 100%, $E$9)</f>
        <v>10.668699999999999</v>
      </c>
      <c r="O675" s="11">
        <f>10.6719 * CHOOSE(CONTROL!$C$32, $C$9, 100%, $E$9)</f>
        <v>10.671900000000001</v>
      </c>
    </row>
    <row r="676" spans="1:15" ht="15" x14ac:dyDescent="0.2">
      <c r="A676" s="13">
        <v>61423</v>
      </c>
      <c r="B676" s="9">
        <f>9.7503 * CHOOSE(CONTROL!$C$32, $C$9, 100%, $E$9)</f>
        <v>9.7502999999999993</v>
      </c>
      <c r="C676" s="9">
        <f>9.7503 * CHOOSE(CONTROL!$C$32, $C$9, 100%, $E$9)</f>
        <v>9.7502999999999993</v>
      </c>
      <c r="D676" s="9">
        <f>9.7512 * CHOOSE(CONTROL!$C$32, $C$9, 100%, $E$9)</f>
        <v>9.7512000000000008</v>
      </c>
      <c r="E676" s="11">
        <f>10.8831 * CHOOSE(CONTROL!$C$32, $C$9, 100%, $E$9)</f>
        <v>10.883100000000001</v>
      </c>
      <c r="F676" s="11">
        <f>10.8831 * CHOOSE(CONTROL!$C$32, $C$9, 100%, $E$9)</f>
        <v>10.883100000000001</v>
      </c>
      <c r="G676" s="11">
        <f>10.8863 * CHOOSE(CONTROL!$C$32, $C$9, 100%, $E$9)</f>
        <v>10.8863</v>
      </c>
      <c r="H676" s="11">
        <f>22.5249 * CHOOSE(CONTROL!$C$32, $C$9, 100%, $E$9)</f>
        <v>22.524899999999999</v>
      </c>
      <c r="I676" s="11">
        <f>22.5282 * CHOOSE(CONTROL!$C$32, $C$9, 100%, $E$9)</f>
        <v>22.528199999999998</v>
      </c>
      <c r="J676" s="11">
        <f>22.5249 * CHOOSE(CONTROL!$C$32, $C$9, 100%, $E$9)</f>
        <v>22.524899999999999</v>
      </c>
      <c r="K676" s="11">
        <f>22.5282 * CHOOSE(CONTROL!$C$32, $C$9, 100%, $E$9)</f>
        <v>22.528199999999998</v>
      </c>
      <c r="L676" s="11">
        <f>10.8831 * CHOOSE(CONTROL!$C$32, $C$9, 100%, $E$9)</f>
        <v>10.883100000000001</v>
      </c>
      <c r="M676" s="11">
        <f>10.8863 * CHOOSE(CONTROL!$C$32, $C$9, 100%, $E$9)</f>
        <v>10.8863</v>
      </c>
      <c r="N676" s="11">
        <f>10.8831 * CHOOSE(CONTROL!$C$32, $C$9, 100%, $E$9)</f>
        <v>10.883100000000001</v>
      </c>
      <c r="O676" s="11">
        <f>10.8863 * CHOOSE(CONTROL!$C$32, $C$9, 100%, $E$9)</f>
        <v>10.8863</v>
      </c>
    </row>
    <row r="677" spans="1:15" ht="15" x14ac:dyDescent="0.2">
      <c r="A677" s="13">
        <v>61454</v>
      </c>
      <c r="B677" s="9">
        <f>9.7535 * CHOOSE(CONTROL!$C$32, $C$9, 100%, $E$9)</f>
        <v>9.7535000000000007</v>
      </c>
      <c r="C677" s="9">
        <f>9.7535 * CHOOSE(CONTROL!$C$32, $C$9, 100%, $E$9)</f>
        <v>9.7535000000000007</v>
      </c>
      <c r="D677" s="9">
        <f>9.7545 * CHOOSE(CONTROL!$C$32, $C$9, 100%, $E$9)</f>
        <v>9.7545000000000002</v>
      </c>
      <c r="E677" s="11">
        <f>11.1115 * CHOOSE(CONTROL!$C$32, $C$9, 100%, $E$9)</f>
        <v>11.111499999999999</v>
      </c>
      <c r="F677" s="11">
        <f>11.1115 * CHOOSE(CONTROL!$C$32, $C$9, 100%, $E$9)</f>
        <v>11.111499999999999</v>
      </c>
      <c r="G677" s="11">
        <f>11.1147 * CHOOSE(CONTROL!$C$32, $C$9, 100%, $E$9)</f>
        <v>11.114699999999999</v>
      </c>
      <c r="H677" s="11">
        <f>22.5719 * CHOOSE(CONTROL!$C$32, $C$9, 100%, $E$9)</f>
        <v>22.571899999999999</v>
      </c>
      <c r="I677" s="11">
        <f>22.5751 * CHOOSE(CONTROL!$C$32, $C$9, 100%, $E$9)</f>
        <v>22.575099999999999</v>
      </c>
      <c r="J677" s="11">
        <f>22.5719 * CHOOSE(CONTROL!$C$32, $C$9, 100%, $E$9)</f>
        <v>22.571899999999999</v>
      </c>
      <c r="K677" s="11">
        <f>22.5751 * CHOOSE(CONTROL!$C$32, $C$9, 100%, $E$9)</f>
        <v>22.575099999999999</v>
      </c>
      <c r="L677" s="11">
        <f>11.1115 * CHOOSE(CONTROL!$C$32, $C$9, 100%, $E$9)</f>
        <v>11.111499999999999</v>
      </c>
      <c r="M677" s="11">
        <f>11.1147 * CHOOSE(CONTROL!$C$32, $C$9, 100%, $E$9)</f>
        <v>11.114699999999999</v>
      </c>
      <c r="N677" s="11">
        <f>11.1115 * CHOOSE(CONTROL!$C$32, $C$9, 100%, $E$9)</f>
        <v>11.111499999999999</v>
      </c>
      <c r="O677" s="11">
        <f>11.1147 * CHOOSE(CONTROL!$C$32, $C$9, 100%, $E$9)</f>
        <v>11.114699999999999</v>
      </c>
    </row>
    <row r="678" spans="1:15" ht="15" x14ac:dyDescent="0.2">
      <c r="A678" s="13">
        <v>61484</v>
      </c>
      <c r="B678" s="9">
        <f>9.7535 * CHOOSE(CONTROL!$C$32, $C$9, 100%, $E$9)</f>
        <v>9.7535000000000007</v>
      </c>
      <c r="C678" s="9">
        <f>9.7535 * CHOOSE(CONTROL!$C$32, $C$9, 100%, $E$9)</f>
        <v>9.7535000000000007</v>
      </c>
      <c r="D678" s="9">
        <f>9.7547 * CHOOSE(CONTROL!$C$32, $C$9, 100%, $E$9)</f>
        <v>9.7546999999999997</v>
      </c>
      <c r="E678" s="11">
        <f>11.1987 * CHOOSE(CONTROL!$C$32, $C$9, 100%, $E$9)</f>
        <v>11.198700000000001</v>
      </c>
      <c r="F678" s="11">
        <f>11.1987 * CHOOSE(CONTROL!$C$32, $C$9, 100%, $E$9)</f>
        <v>11.198700000000001</v>
      </c>
      <c r="G678" s="11">
        <f>11.2029 * CHOOSE(CONTROL!$C$32, $C$9, 100%, $E$9)</f>
        <v>11.2029</v>
      </c>
      <c r="H678" s="11">
        <f>22.6189 * CHOOSE(CONTROL!$C$32, $C$9, 100%, $E$9)</f>
        <v>22.6189</v>
      </c>
      <c r="I678" s="11">
        <f>22.6231 * CHOOSE(CONTROL!$C$32, $C$9, 100%, $E$9)</f>
        <v>22.623100000000001</v>
      </c>
      <c r="J678" s="11">
        <f>22.6189 * CHOOSE(CONTROL!$C$32, $C$9, 100%, $E$9)</f>
        <v>22.6189</v>
      </c>
      <c r="K678" s="11">
        <f>22.6231 * CHOOSE(CONTROL!$C$32, $C$9, 100%, $E$9)</f>
        <v>22.623100000000001</v>
      </c>
      <c r="L678" s="11">
        <f>11.1987 * CHOOSE(CONTROL!$C$32, $C$9, 100%, $E$9)</f>
        <v>11.198700000000001</v>
      </c>
      <c r="M678" s="11">
        <f>11.2029 * CHOOSE(CONTROL!$C$32, $C$9, 100%, $E$9)</f>
        <v>11.2029</v>
      </c>
      <c r="N678" s="11">
        <f>11.1987 * CHOOSE(CONTROL!$C$32, $C$9, 100%, $E$9)</f>
        <v>11.198700000000001</v>
      </c>
      <c r="O678" s="11">
        <f>11.2029 * CHOOSE(CONTROL!$C$32, $C$9, 100%, $E$9)</f>
        <v>11.2029</v>
      </c>
    </row>
    <row r="679" spans="1:15" ht="15" x14ac:dyDescent="0.2">
      <c r="A679" s="13">
        <v>61515</v>
      </c>
      <c r="B679" s="9">
        <f>9.7596 * CHOOSE(CONTROL!$C$32, $C$9, 100%, $E$9)</f>
        <v>9.7596000000000007</v>
      </c>
      <c r="C679" s="9">
        <f>9.7596 * CHOOSE(CONTROL!$C$32, $C$9, 100%, $E$9)</f>
        <v>9.7596000000000007</v>
      </c>
      <c r="D679" s="9">
        <f>9.7608 * CHOOSE(CONTROL!$C$32, $C$9, 100%, $E$9)</f>
        <v>9.7607999999999997</v>
      </c>
      <c r="E679" s="11">
        <f>11.1157 * CHOOSE(CONTROL!$C$32, $C$9, 100%, $E$9)</f>
        <v>11.1157</v>
      </c>
      <c r="F679" s="11">
        <f>11.1157 * CHOOSE(CONTROL!$C$32, $C$9, 100%, $E$9)</f>
        <v>11.1157</v>
      </c>
      <c r="G679" s="11">
        <f>11.1199 * CHOOSE(CONTROL!$C$32, $C$9, 100%, $E$9)</f>
        <v>11.119899999999999</v>
      </c>
      <c r="H679" s="11">
        <f>22.666 * CHOOSE(CONTROL!$C$32, $C$9, 100%, $E$9)</f>
        <v>22.666</v>
      </c>
      <c r="I679" s="11">
        <f>22.6702 * CHOOSE(CONTROL!$C$32, $C$9, 100%, $E$9)</f>
        <v>22.670200000000001</v>
      </c>
      <c r="J679" s="11">
        <f>22.666 * CHOOSE(CONTROL!$C$32, $C$9, 100%, $E$9)</f>
        <v>22.666</v>
      </c>
      <c r="K679" s="11">
        <f>22.6702 * CHOOSE(CONTROL!$C$32, $C$9, 100%, $E$9)</f>
        <v>22.670200000000001</v>
      </c>
      <c r="L679" s="11">
        <f>11.1157 * CHOOSE(CONTROL!$C$32, $C$9, 100%, $E$9)</f>
        <v>11.1157</v>
      </c>
      <c r="M679" s="11">
        <f>11.1199 * CHOOSE(CONTROL!$C$32, $C$9, 100%, $E$9)</f>
        <v>11.119899999999999</v>
      </c>
      <c r="N679" s="11">
        <f>11.1157 * CHOOSE(CONTROL!$C$32, $C$9, 100%, $E$9)</f>
        <v>11.1157</v>
      </c>
      <c r="O679" s="11">
        <f>11.1199 * CHOOSE(CONTROL!$C$32, $C$9, 100%, $E$9)</f>
        <v>11.119899999999999</v>
      </c>
    </row>
    <row r="680" spans="1:15" ht="15" x14ac:dyDescent="0.2">
      <c r="A680" s="13">
        <v>61545</v>
      </c>
      <c r="B680" s="9">
        <f>9.8813 * CHOOSE(CONTROL!$C$32, $C$9, 100%, $E$9)</f>
        <v>9.8812999999999995</v>
      </c>
      <c r="C680" s="9">
        <f>9.8813 * CHOOSE(CONTROL!$C$32, $C$9, 100%, $E$9)</f>
        <v>9.8812999999999995</v>
      </c>
      <c r="D680" s="9">
        <f>9.8826 * CHOOSE(CONTROL!$C$32, $C$9, 100%, $E$9)</f>
        <v>9.8826000000000001</v>
      </c>
      <c r="E680" s="11">
        <f>11.2713 * CHOOSE(CONTROL!$C$32, $C$9, 100%, $E$9)</f>
        <v>11.2713</v>
      </c>
      <c r="F680" s="11">
        <f>11.2713 * CHOOSE(CONTROL!$C$32, $C$9, 100%, $E$9)</f>
        <v>11.2713</v>
      </c>
      <c r="G680" s="11">
        <f>11.2755 * CHOOSE(CONTROL!$C$32, $C$9, 100%, $E$9)</f>
        <v>11.275499999999999</v>
      </c>
      <c r="H680" s="11">
        <f>22.7132 * CHOOSE(CONTROL!$C$32, $C$9, 100%, $E$9)</f>
        <v>22.713200000000001</v>
      </c>
      <c r="I680" s="11">
        <f>22.7174 * CHOOSE(CONTROL!$C$32, $C$9, 100%, $E$9)</f>
        <v>22.717400000000001</v>
      </c>
      <c r="J680" s="11">
        <f>22.7132 * CHOOSE(CONTROL!$C$32, $C$9, 100%, $E$9)</f>
        <v>22.713200000000001</v>
      </c>
      <c r="K680" s="11">
        <f>22.7174 * CHOOSE(CONTROL!$C$32, $C$9, 100%, $E$9)</f>
        <v>22.717400000000001</v>
      </c>
      <c r="L680" s="11">
        <f>11.2713 * CHOOSE(CONTROL!$C$32, $C$9, 100%, $E$9)</f>
        <v>11.2713</v>
      </c>
      <c r="M680" s="11">
        <f>11.2755 * CHOOSE(CONTROL!$C$32, $C$9, 100%, $E$9)</f>
        <v>11.275499999999999</v>
      </c>
      <c r="N680" s="11">
        <f>11.2713 * CHOOSE(CONTROL!$C$32, $C$9, 100%, $E$9)</f>
        <v>11.2713</v>
      </c>
      <c r="O680" s="11">
        <f>11.2755 * CHOOSE(CONTROL!$C$32, $C$9, 100%, $E$9)</f>
        <v>11.275499999999999</v>
      </c>
    </row>
    <row r="681" spans="1:15" ht="15" x14ac:dyDescent="0.2">
      <c r="A681" s="13">
        <v>61576</v>
      </c>
      <c r="B681" s="9">
        <f>9.888 * CHOOSE(CONTROL!$C$32, $C$9, 100%, $E$9)</f>
        <v>9.8879999999999999</v>
      </c>
      <c r="C681" s="9">
        <f>9.888 * CHOOSE(CONTROL!$C$32, $C$9, 100%, $E$9)</f>
        <v>9.8879999999999999</v>
      </c>
      <c r="D681" s="9">
        <f>9.8893 * CHOOSE(CONTROL!$C$32, $C$9, 100%, $E$9)</f>
        <v>9.8893000000000004</v>
      </c>
      <c r="E681" s="11">
        <f>11.0143 * CHOOSE(CONTROL!$C$32, $C$9, 100%, $E$9)</f>
        <v>11.0143</v>
      </c>
      <c r="F681" s="11">
        <f>11.0143 * CHOOSE(CONTROL!$C$32, $C$9, 100%, $E$9)</f>
        <v>11.0143</v>
      </c>
      <c r="G681" s="11">
        <f>11.0185 * CHOOSE(CONTROL!$C$32, $C$9, 100%, $E$9)</f>
        <v>11.0185</v>
      </c>
      <c r="H681" s="11">
        <f>22.7605 * CHOOSE(CONTROL!$C$32, $C$9, 100%, $E$9)</f>
        <v>22.7605</v>
      </c>
      <c r="I681" s="11">
        <f>22.7647 * CHOOSE(CONTROL!$C$32, $C$9, 100%, $E$9)</f>
        <v>22.764700000000001</v>
      </c>
      <c r="J681" s="11">
        <f>22.7605 * CHOOSE(CONTROL!$C$32, $C$9, 100%, $E$9)</f>
        <v>22.7605</v>
      </c>
      <c r="K681" s="11">
        <f>22.7647 * CHOOSE(CONTROL!$C$32, $C$9, 100%, $E$9)</f>
        <v>22.764700000000001</v>
      </c>
      <c r="L681" s="11">
        <f>11.0143 * CHOOSE(CONTROL!$C$32, $C$9, 100%, $E$9)</f>
        <v>11.0143</v>
      </c>
      <c r="M681" s="11">
        <f>11.0185 * CHOOSE(CONTROL!$C$32, $C$9, 100%, $E$9)</f>
        <v>11.0185</v>
      </c>
      <c r="N681" s="11">
        <f>11.0143 * CHOOSE(CONTROL!$C$32, $C$9, 100%, $E$9)</f>
        <v>11.0143</v>
      </c>
      <c r="O681" s="11">
        <f>11.0185 * CHOOSE(CONTROL!$C$32, $C$9, 100%, $E$9)</f>
        <v>11.0185</v>
      </c>
    </row>
    <row r="682" spans="1:15" ht="15" x14ac:dyDescent="0.2">
      <c r="A682" s="13">
        <v>61607</v>
      </c>
      <c r="B682" s="9">
        <f>9.885 * CHOOSE(CONTROL!$C$32, $C$9, 100%, $E$9)</f>
        <v>9.8849999999999998</v>
      </c>
      <c r="C682" s="9">
        <f>9.885 * CHOOSE(CONTROL!$C$32, $C$9, 100%, $E$9)</f>
        <v>9.8849999999999998</v>
      </c>
      <c r="D682" s="9">
        <f>9.8862 * CHOOSE(CONTROL!$C$32, $C$9, 100%, $E$9)</f>
        <v>9.8862000000000005</v>
      </c>
      <c r="E682" s="11">
        <f>10.9831 * CHOOSE(CONTROL!$C$32, $C$9, 100%, $E$9)</f>
        <v>10.9831</v>
      </c>
      <c r="F682" s="11">
        <f>10.9831 * CHOOSE(CONTROL!$C$32, $C$9, 100%, $E$9)</f>
        <v>10.9831</v>
      </c>
      <c r="G682" s="11">
        <f>10.9873 * CHOOSE(CONTROL!$C$32, $C$9, 100%, $E$9)</f>
        <v>10.987299999999999</v>
      </c>
      <c r="H682" s="11">
        <f>22.808 * CHOOSE(CONTROL!$C$32, $C$9, 100%, $E$9)</f>
        <v>22.808</v>
      </c>
      <c r="I682" s="11">
        <f>22.8122 * CHOOSE(CONTROL!$C$32, $C$9, 100%, $E$9)</f>
        <v>22.812200000000001</v>
      </c>
      <c r="J682" s="11">
        <f>22.808 * CHOOSE(CONTROL!$C$32, $C$9, 100%, $E$9)</f>
        <v>22.808</v>
      </c>
      <c r="K682" s="11">
        <f>22.8122 * CHOOSE(CONTROL!$C$32, $C$9, 100%, $E$9)</f>
        <v>22.812200000000001</v>
      </c>
      <c r="L682" s="11">
        <f>10.9831 * CHOOSE(CONTROL!$C$32, $C$9, 100%, $E$9)</f>
        <v>10.9831</v>
      </c>
      <c r="M682" s="11">
        <f>10.9873 * CHOOSE(CONTROL!$C$32, $C$9, 100%, $E$9)</f>
        <v>10.987299999999999</v>
      </c>
      <c r="N682" s="11">
        <f>10.9831 * CHOOSE(CONTROL!$C$32, $C$9, 100%, $E$9)</f>
        <v>10.9831</v>
      </c>
      <c r="O682" s="11">
        <f>10.9873 * CHOOSE(CONTROL!$C$32, $C$9, 100%, $E$9)</f>
        <v>10.987299999999999</v>
      </c>
    </row>
    <row r="683" spans="1:15" ht="15" x14ac:dyDescent="0.2">
      <c r="A683" s="13">
        <v>61637</v>
      </c>
      <c r="B683" s="9">
        <f>9.902 * CHOOSE(CONTROL!$C$32, $C$9, 100%, $E$9)</f>
        <v>9.9019999999999992</v>
      </c>
      <c r="C683" s="9">
        <f>9.902 * CHOOSE(CONTROL!$C$32, $C$9, 100%, $E$9)</f>
        <v>9.9019999999999992</v>
      </c>
      <c r="D683" s="9">
        <f>9.9029 * CHOOSE(CONTROL!$C$32, $C$9, 100%, $E$9)</f>
        <v>9.9029000000000007</v>
      </c>
      <c r="E683" s="11">
        <f>11.086 * CHOOSE(CONTROL!$C$32, $C$9, 100%, $E$9)</f>
        <v>11.086</v>
      </c>
      <c r="F683" s="11">
        <f>11.086 * CHOOSE(CONTROL!$C$32, $C$9, 100%, $E$9)</f>
        <v>11.086</v>
      </c>
      <c r="G683" s="11">
        <f>11.0892 * CHOOSE(CONTROL!$C$32, $C$9, 100%, $E$9)</f>
        <v>11.0892</v>
      </c>
      <c r="H683" s="11">
        <f>22.8555 * CHOOSE(CONTROL!$C$32, $C$9, 100%, $E$9)</f>
        <v>22.855499999999999</v>
      </c>
      <c r="I683" s="11">
        <f>22.8587 * CHOOSE(CONTROL!$C$32, $C$9, 100%, $E$9)</f>
        <v>22.858699999999999</v>
      </c>
      <c r="J683" s="11">
        <f>22.8555 * CHOOSE(CONTROL!$C$32, $C$9, 100%, $E$9)</f>
        <v>22.855499999999999</v>
      </c>
      <c r="K683" s="11">
        <f>22.8587 * CHOOSE(CONTROL!$C$32, $C$9, 100%, $E$9)</f>
        <v>22.858699999999999</v>
      </c>
      <c r="L683" s="11">
        <f>11.086 * CHOOSE(CONTROL!$C$32, $C$9, 100%, $E$9)</f>
        <v>11.086</v>
      </c>
      <c r="M683" s="11">
        <f>11.0892 * CHOOSE(CONTROL!$C$32, $C$9, 100%, $E$9)</f>
        <v>11.0892</v>
      </c>
      <c r="N683" s="11">
        <f>11.086 * CHOOSE(CONTROL!$C$32, $C$9, 100%, $E$9)</f>
        <v>11.086</v>
      </c>
      <c r="O683" s="11">
        <f>11.0892 * CHOOSE(CONTROL!$C$32, $C$9, 100%, $E$9)</f>
        <v>11.0892</v>
      </c>
    </row>
    <row r="684" spans="1:15" ht="15" x14ac:dyDescent="0.2">
      <c r="A684" s="13">
        <v>61668</v>
      </c>
      <c r="B684" s="9">
        <f>9.905 * CHOOSE(CONTROL!$C$32, $C$9, 100%, $E$9)</f>
        <v>9.9049999999999994</v>
      </c>
      <c r="C684" s="9">
        <f>9.905 * CHOOSE(CONTROL!$C$32, $C$9, 100%, $E$9)</f>
        <v>9.9049999999999994</v>
      </c>
      <c r="D684" s="9">
        <f>9.906 * CHOOSE(CONTROL!$C$32, $C$9, 100%, $E$9)</f>
        <v>9.9060000000000006</v>
      </c>
      <c r="E684" s="11">
        <f>11.1463 * CHOOSE(CONTROL!$C$32, $C$9, 100%, $E$9)</f>
        <v>11.1463</v>
      </c>
      <c r="F684" s="11">
        <f>11.1463 * CHOOSE(CONTROL!$C$32, $C$9, 100%, $E$9)</f>
        <v>11.1463</v>
      </c>
      <c r="G684" s="11">
        <f>11.1495 * CHOOSE(CONTROL!$C$32, $C$9, 100%, $E$9)</f>
        <v>11.1495</v>
      </c>
      <c r="H684" s="11">
        <f>22.9031 * CHOOSE(CONTROL!$C$32, $C$9, 100%, $E$9)</f>
        <v>22.903099999999998</v>
      </c>
      <c r="I684" s="11">
        <f>22.9063 * CHOOSE(CONTROL!$C$32, $C$9, 100%, $E$9)</f>
        <v>22.906300000000002</v>
      </c>
      <c r="J684" s="11">
        <f>22.9031 * CHOOSE(CONTROL!$C$32, $C$9, 100%, $E$9)</f>
        <v>22.903099999999998</v>
      </c>
      <c r="K684" s="11">
        <f>22.9063 * CHOOSE(CONTROL!$C$32, $C$9, 100%, $E$9)</f>
        <v>22.906300000000002</v>
      </c>
      <c r="L684" s="11">
        <f>11.1463 * CHOOSE(CONTROL!$C$32, $C$9, 100%, $E$9)</f>
        <v>11.1463</v>
      </c>
      <c r="M684" s="11">
        <f>11.1495 * CHOOSE(CONTROL!$C$32, $C$9, 100%, $E$9)</f>
        <v>11.1495</v>
      </c>
      <c r="N684" s="11">
        <f>11.1463 * CHOOSE(CONTROL!$C$32, $C$9, 100%, $E$9)</f>
        <v>11.1463</v>
      </c>
      <c r="O684" s="11">
        <f>11.1495 * CHOOSE(CONTROL!$C$32, $C$9, 100%, $E$9)</f>
        <v>11.1495</v>
      </c>
    </row>
    <row r="685" spans="1:15" ht="15" x14ac:dyDescent="0.2">
      <c r="A685" s="13">
        <v>61698</v>
      </c>
      <c r="B685" s="9">
        <f>9.905 * CHOOSE(CONTROL!$C$32, $C$9, 100%, $E$9)</f>
        <v>9.9049999999999994</v>
      </c>
      <c r="C685" s="9">
        <f>9.905 * CHOOSE(CONTROL!$C$32, $C$9, 100%, $E$9)</f>
        <v>9.9049999999999994</v>
      </c>
      <c r="D685" s="9">
        <f>9.906 * CHOOSE(CONTROL!$C$32, $C$9, 100%, $E$9)</f>
        <v>9.9060000000000006</v>
      </c>
      <c r="E685" s="11">
        <f>11.0009 * CHOOSE(CONTROL!$C$32, $C$9, 100%, $E$9)</f>
        <v>11.0009</v>
      </c>
      <c r="F685" s="11">
        <f>11.0009 * CHOOSE(CONTROL!$C$32, $C$9, 100%, $E$9)</f>
        <v>11.0009</v>
      </c>
      <c r="G685" s="11">
        <f>11.0041 * CHOOSE(CONTROL!$C$32, $C$9, 100%, $E$9)</f>
        <v>11.004099999999999</v>
      </c>
      <c r="H685" s="11">
        <f>22.9508 * CHOOSE(CONTROL!$C$32, $C$9, 100%, $E$9)</f>
        <v>22.950800000000001</v>
      </c>
      <c r="I685" s="11">
        <f>22.954 * CHOOSE(CONTROL!$C$32, $C$9, 100%, $E$9)</f>
        <v>22.954000000000001</v>
      </c>
      <c r="J685" s="11">
        <f>22.9508 * CHOOSE(CONTROL!$C$32, $C$9, 100%, $E$9)</f>
        <v>22.950800000000001</v>
      </c>
      <c r="K685" s="11">
        <f>22.954 * CHOOSE(CONTROL!$C$32, $C$9, 100%, $E$9)</f>
        <v>22.954000000000001</v>
      </c>
      <c r="L685" s="11">
        <f>11.0009 * CHOOSE(CONTROL!$C$32, $C$9, 100%, $E$9)</f>
        <v>11.0009</v>
      </c>
      <c r="M685" s="11">
        <f>11.0041 * CHOOSE(CONTROL!$C$32, $C$9, 100%, $E$9)</f>
        <v>11.004099999999999</v>
      </c>
      <c r="N685" s="11">
        <f>11.0009 * CHOOSE(CONTROL!$C$32, $C$9, 100%, $E$9)</f>
        <v>11.0009</v>
      </c>
      <c r="O685" s="11">
        <f>11.0041 * CHOOSE(CONTROL!$C$32, $C$9, 100%, $E$9)</f>
        <v>11.004099999999999</v>
      </c>
    </row>
    <row r="686" spans="1:15" ht="15" x14ac:dyDescent="0.2">
      <c r="A686" s="13">
        <v>61729</v>
      </c>
      <c r="B686" s="9">
        <f>9.9437 * CHOOSE(CONTROL!$C$32, $C$9, 100%, $E$9)</f>
        <v>9.9436999999999998</v>
      </c>
      <c r="C686" s="9">
        <f>9.9437 * CHOOSE(CONTROL!$C$32, $C$9, 100%, $E$9)</f>
        <v>9.9436999999999998</v>
      </c>
      <c r="D686" s="9">
        <f>9.9447 * CHOOSE(CONTROL!$C$32, $C$9, 100%, $E$9)</f>
        <v>9.9446999999999992</v>
      </c>
      <c r="E686" s="11">
        <f>11.158 * CHOOSE(CONTROL!$C$32, $C$9, 100%, $E$9)</f>
        <v>11.157999999999999</v>
      </c>
      <c r="F686" s="11">
        <f>11.158 * CHOOSE(CONTROL!$C$32, $C$9, 100%, $E$9)</f>
        <v>11.157999999999999</v>
      </c>
      <c r="G686" s="11">
        <f>11.1612 * CHOOSE(CONTROL!$C$32, $C$9, 100%, $E$9)</f>
        <v>11.161199999999999</v>
      </c>
      <c r="H686" s="11">
        <f>22.9032 * CHOOSE(CONTROL!$C$32, $C$9, 100%, $E$9)</f>
        <v>22.903199999999998</v>
      </c>
      <c r="I686" s="11">
        <f>22.9064 * CHOOSE(CONTROL!$C$32, $C$9, 100%, $E$9)</f>
        <v>22.906400000000001</v>
      </c>
      <c r="J686" s="11">
        <f>22.9032 * CHOOSE(CONTROL!$C$32, $C$9, 100%, $E$9)</f>
        <v>22.903199999999998</v>
      </c>
      <c r="K686" s="11">
        <f>22.9064 * CHOOSE(CONTROL!$C$32, $C$9, 100%, $E$9)</f>
        <v>22.906400000000001</v>
      </c>
      <c r="L686" s="11">
        <f>11.158 * CHOOSE(CONTROL!$C$32, $C$9, 100%, $E$9)</f>
        <v>11.157999999999999</v>
      </c>
      <c r="M686" s="11">
        <f>11.1612 * CHOOSE(CONTROL!$C$32, $C$9, 100%, $E$9)</f>
        <v>11.161199999999999</v>
      </c>
      <c r="N686" s="11">
        <f>11.158 * CHOOSE(CONTROL!$C$32, $C$9, 100%, $E$9)</f>
        <v>11.157999999999999</v>
      </c>
      <c r="O686" s="11">
        <f>11.1612 * CHOOSE(CONTROL!$C$32, $C$9, 100%, $E$9)</f>
        <v>11.161199999999999</v>
      </c>
    </row>
    <row r="687" spans="1:15" ht="15" x14ac:dyDescent="0.2">
      <c r="A687" s="13">
        <v>61760</v>
      </c>
      <c r="B687" s="9">
        <f>9.9407 * CHOOSE(CONTROL!$C$32, $C$9, 100%, $E$9)</f>
        <v>9.9406999999999996</v>
      </c>
      <c r="C687" s="9">
        <f>9.9407 * CHOOSE(CONTROL!$C$32, $C$9, 100%, $E$9)</f>
        <v>9.9406999999999996</v>
      </c>
      <c r="D687" s="9">
        <f>9.9416 * CHOOSE(CONTROL!$C$32, $C$9, 100%, $E$9)</f>
        <v>9.9415999999999993</v>
      </c>
      <c r="E687" s="11">
        <f>10.8741 * CHOOSE(CONTROL!$C$32, $C$9, 100%, $E$9)</f>
        <v>10.8741</v>
      </c>
      <c r="F687" s="11">
        <f>10.8741 * CHOOSE(CONTROL!$C$32, $C$9, 100%, $E$9)</f>
        <v>10.8741</v>
      </c>
      <c r="G687" s="11">
        <f>10.8773 * CHOOSE(CONTROL!$C$32, $C$9, 100%, $E$9)</f>
        <v>10.8773</v>
      </c>
      <c r="H687" s="11">
        <f>22.9509 * CHOOSE(CONTROL!$C$32, $C$9, 100%, $E$9)</f>
        <v>22.950900000000001</v>
      </c>
      <c r="I687" s="11">
        <f>22.9541 * CHOOSE(CONTROL!$C$32, $C$9, 100%, $E$9)</f>
        <v>22.9541</v>
      </c>
      <c r="J687" s="11">
        <f>22.9509 * CHOOSE(CONTROL!$C$32, $C$9, 100%, $E$9)</f>
        <v>22.950900000000001</v>
      </c>
      <c r="K687" s="11">
        <f>22.9541 * CHOOSE(CONTROL!$C$32, $C$9, 100%, $E$9)</f>
        <v>22.9541</v>
      </c>
      <c r="L687" s="11">
        <f>10.8741 * CHOOSE(CONTROL!$C$32, $C$9, 100%, $E$9)</f>
        <v>10.8741</v>
      </c>
      <c r="M687" s="11">
        <f>10.8773 * CHOOSE(CONTROL!$C$32, $C$9, 100%, $E$9)</f>
        <v>10.8773</v>
      </c>
      <c r="N687" s="11">
        <f>10.8741 * CHOOSE(CONTROL!$C$32, $C$9, 100%, $E$9)</f>
        <v>10.8741</v>
      </c>
      <c r="O687" s="11">
        <f>10.8773 * CHOOSE(CONTROL!$C$32, $C$9, 100%, $E$9)</f>
        <v>10.8773</v>
      </c>
    </row>
    <row r="688" spans="1:15" ht="15" x14ac:dyDescent="0.2">
      <c r="A688" s="13">
        <v>61788</v>
      </c>
      <c r="B688" s="9">
        <f>9.9376 * CHOOSE(CONTROL!$C$32, $C$9, 100%, $E$9)</f>
        <v>9.9375999999999998</v>
      </c>
      <c r="C688" s="9">
        <f>9.9376 * CHOOSE(CONTROL!$C$32, $C$9, 100%, $E$9)</f>
        <v>9.9375999999999998</v>
      </c>
      <c r="D688" s="9">
        <f>9.9386 * CHOOSE(CONTROL!$C$32, $C$9, 100%, $E$9)</f>
        <v>9.9385999999999992</v>
      </c>
      <c r="E688" s="11">
        <f>11.0941 * CHOOSE(CONTROL!$C$32, $C$9, 100%, $E$9)</f>
        <v>11.094099999999999</v>
      </c>
      <c r="F688" s="11">
        <f>11.0941 * CHOOSE(CONTROL!$C$32, $C$9, 100%, $E$9)</f>
        <v>11.094099999999999</v>
      </c>
      <c r="G688" s="11">
        <f>11.0974 * CHOOSE(CONTROL!$C$32, $C$9, 100%, $E$9)</f>
        <v>11.0974</v>
      </c>
      <c r="H688" s="11">
        <f>22.9987 * CHOOSE(CONTROL!$C$32, $C$9, 100%, $E$9)</f>
        <v>22.998699999999999</v>
      </c>
      <c r="I688" s="11">
        <f>23.0019 * CHOOSE(CONTROL!$C$32, $C$9, 100%, $E$9)</f>
        <v>23.001899999999999</v>
      </c>
      <c r="J688" s="11">
        <f>22.9987 * CHOOSE(CONTROL!$C$32, $C$9, 100%, $E$9)</f>
        <v>22.998699999999999</v>
      </c>
      <c r="K688" s="11">
        <f>23.0019 * CHOOSE(CONTROL!$C$32, $C$9, 100%, $E$9)</f>
        <v>23.001899999999999</v>
      </c>
      <c r="L688" s="11">
        <f>11.0941 * CHOOSE(CONTROL!$C$32, $C$9, 100%, $E$9)</f>
        <v>11.094099999999999</v>
      </c>
      <c r="M688" s="11">
        <f>11.0974 * CHOOSE(CONTROL!$C$32, $C$9, 100%, $E$9)</f>
        <v>11.0974</v>
      </c>
      <c r="N688" s="11">
        <f>11.0941 * CHOOSE(CONTROL!$C$32, $C$9, 100%, $E$9)</f>
        <v>11.094099999999999</v>
      </c>
      <c r="O688" s="11">
        <f>11.0974 * CHOOSE(CONTROL!$C$32, $C$9, 100%, $E$9)</f>
        <v>11.0974</v>
      </c>
    </row>
    <row r="689" spans="1:15" ht="15" x14ac:dyDescent="0.2">
      <c r="A689" s="13">
        <v>61819</v>
      </c>
      <c r="B689" s="9">
        <f>9.941 * CHOOSE(CONTROL!$C$32, $C$9, 100%, $E$9)</f>
        <v>9.9410000000000007</v>
      </c>
      <c r="C689" s="9">
        <f>9.941 * CHOOSE(CONTROL!$C$32, $C$9, 100%, $E$9)</f>
        <v>9.9410000000000007</v>
      </c>
      <c r="D689" s="9">
        <f>9.942 * CHOOSE(CONTROL!$C$32, $C$9, 100%, $E$9)</f>
        <v>9.9420000000000002</v>
      </c>
      <c r="E689" s="11">
        <f>11.3285 * CHOOSE(CONTROL!$C$32, $C$9, 100%, $E$9)</f>
        <v>11.3285</v>
      </c>
      <c r="F689" s="11">
        <f>11.3285 * CHOOSE(CONTROL!$C$32, $C$9, 100%, $E$9)</f>
        <v>11.3285</v>
      </c>
      <c r="G689" s="11">
        <f>11.3317 * CHOOSE(CONTROL!$C$32, $C$9, 100%, $E$9)</f>
        <v>11.3317</v>
      </c>
      <c r="H689" s="11">
        <f>23.0466 * CHOOSE(CONTROL!$C$32, $C$9, 100%, $E$9)</f>
        <v>23.046600000000002</v>
      </c>
      <c r="I689" s="11">
        <f>23.0498 * CHOOSE(CONTROL!$C$32, $C$9, 100%, $E$9)</f>
        <v>23.049800000000001</v>
      </c>
      <c r="J689" s="11">
        <f>23.0466 * CHOOSE(CONTROL!$C$32, $C$9, 100%, $E$9)</f>
        <v>23.046600000000002</v>
      </c>
      <c r="K689" s="11">
        <f>23.0498 * CHOOSE(CONTROL!$C$32, $C$9, 100%, $E$9)</f>
        <v>23.049800000000001</v>
      </c>
      <c r="L689" s="11">
        <f>11.3285 * CHOOSE(CONTROL!$C$32, $C$9, 100%, $E$9)</f>
        <v>11.3285</v>
      </c>
      <c r="M689" s="11">
        <f>11.3317 * CHOOSE(CONTROL!$C$32, $C$9, 100%, $E$9)</f>
        <v>11.3317</v>
      </c>
      <c r="N689" s="11">
        <f>11.3285 * CHOOSE(CONTROL!$C$32, $C$9, 100%, $E$9)</f>
        <v>11.3285</v>
      </c>
      <c r="O689" s="11">
        <f>11.3317 * CHOOSE(CONTROL!$C$32, $C$9, 100%, $E$9)</f>
        <v>11.3317</v>
      </c>
    </row>
    <row r="690" spans="1:15" ht="15" x14ac:dyDescent="0.2">
      <c r="A690" s="13">
        <v>61849</v>
      </c>
      <c r="B690" s="9">
        <f>9.941 * CHOOSE(CONTROL!$C$32, $C$9, 100%, $E$9)</f>
        <v>9.9410000000000007</v>
      </c>
      <c r="C690" s="9">
        <f>9.941 * CHOOSE(CONTROL!$C$32, $C$9, 100%, $E$9)</f>
        <v>9.9410000000000007</v>
      </c>
      <c r="D690" s="9">
        <f>9.9423 * CHOOSE(CONTROL!$C$32, $C$9, 100%, $E$9)</f>
        <v>9.9422999999999995</v>
      </c>
      <c r="E690" s="11">
        <f>11.418 * CHOOSE(CONTROL!$C$32, $C$9, 100%, $E$9)</f>
        <v>11.417999999999999</v>
      </c>
      <c r="F690" s="11">
        <f>11.418 * CHOOSE(CONTROL!$C$32, $C$9, 100%, $E$9)</f>
        <v>11.417999999999999</v>
      </c>
      <c r="G690" s="11">
        <f>11.4222 * CHOOSE(CONTROL!$C$32, $C$9, 100%, $E$9)</f>
        <v>11.4222</v>
      </c>
      <c r="H690" s="11">
        <f>23.0946 * CHOOSE(CONTROL!$C$32, $C$9, 100%, $E$9)</f>
        <v>23.0946</v>
      </c>
      <c r="I690" s="11">
        <f>23.0988 * CHOOSE(CONTROL!$C$32, $C$9, 100%, $E$9)</f>
        <v>23.098800000000001</v>
      </c>
      <c r="J690" s="11">
        <f>23.0946 * CHOOSE(CONTROL!$C$32, $C$9, 100%, $E$9)</f>
        <v>23.0946</v>
      </c>
      <c r="K690" s="11">
        <f>23.0988 * CHOOSE(CONTROL!$C$32, $C$9, 100%, $E$9)</f>
        <v>23.098800000000001</v>
      </c>
      <c r="L690" s="11">
        <f>11.418 * CHOOSE(CONTROL!$C$32, $C$9, 100%, $E$9)</f>
        <v>11.417999999999999</v>
      </c>
      <c r="M690" s="11">
        <f>11.4222 * CHOOSE(CONTROL!$C$32, $C$9, 100%, $E$9)</f>
        <v>11.4222</v>
      </c>
      <c r="N690" s="11">
        <f>11.418 * CHOOSE(CONTROL!$C$32, $C$9, 100%, $E$9)</f>
        <v>11.417999999999999</v>
      </c>
      <c r="O690" s="11">
        <f>11.4222 * CHOOSE(CONTROL!$C$32, $C$9, 100%, $E$9)</f>
        <v>11.4222</v>
      </c>
    </row>
    <row r="691" spans="1:15" ht="15" x14ac:dyDescent="0.2">
      <c r="A691" s="13">
        <v>61880</v>
      </c>
      <c r="B691" s="9">
        <f>9.9471 * CHOOSE(CONTROL!$C$32, $C$9, 100%, $E$9)</f>
        <v>9.9471000000000007</v>
      </c>
      <c r="C691" s="9">
        <f>9.9471 * CHOOSE(CONTROL!$C$32, $C$9, 100%, $E$9)</f>
        <v>9.9471000000000007</v>
      </c>
      <c r="D691" s="9">
        <f>9.9484 * CHOOSE(CONTROL!$C$32, $C$9, 100%, $E$9)</f>
        <v>9.9483999999999995</v>
      </c>
      <c r="E691" s="11">
        <f>11.3327 * CHOOSE(CONTROL!$C$32, $C$9, 100%, $E$9)</f>
        <v>11.332700000000001</v>
      </c>
      <c r="F691" s="11">
        <f>11.3327 * CHOOSE(CONTROL!$C$32, $C$9, 100%, $E$9)</f>
        <v>11.332700000000001</v>
      </c>
      <c r="G691" s="11">
        <f>11.3369 * CHOOSE(CONTROL!$C$32, $C$9, 100%, $E$9)</f>
        <v>11.3369</v>
      </c>
      <c r="H691" s="11">
        <f>23.1427 * CHOOSE(CONTROL!$C$32, $C$9, 100%, $E$9)</f>
        <v>23.142700000000001</v>
      </c>
      <c r="I691" s="11">
        <f>23.1469 * CHOOSE(CONTROL!$C$32, $C$9, 100%, $E$9)</f>
        <v>23.146899999999999</v>
      </c>
      <c r="J691" s="11">
        <f>23.1427 * CHOOSE(CONTROL!$C$32, $C$9, 100%, $E$9)</f>
        <v>23.142700000000001</v>
      </c>
      <c r="K691" s="11">
        <f>23.1469 * CHOOSE(CONTROL!$C$32, $C$9, 100%, $E$9)</f>
        <v>23.146899999999999</v>
      </c>
      <c r="L691" s="11">
        <f>11.3327 * CHOOSE(CONTROL!$C$32, $C$9, 100%, $E$9)</f>
        <v>11.332700000000001</v>
      </c>
      <c r="M691" s="11">
        <f>11.3369 * CHOOSE(CONTROL!$C$32, $C$9, 100%, $E$9)</f>
        <v>11.3369</v>
      </c>
      <c r="N691" s="11">
        <f>11.3327 * CHOOSE(CONTROL!$C$32, $C$9, 100%, $E$9)</f>
        <v>11.332700000000001</v>
      </c>
      <c r="O691" s="11">
        <f>11.3369 * CHOOSE(CONTROL!$C$32, $C$9, 100%, $E$9)</f>
        <v>11.3369</v>
      </c>
    </row>
    <row r="692" spans="1:15" ht="15" x14ac:dyDescent="0.2">
      <c r="A692" s="13">
        <v>61910</v>
      </c>
      <c r="B692" s="9">
        <f>10.0709 * CHOOSE(CONTROL!$C$32, $C$9, 100%, $E$9)</f>
        <v>10.0709</v>
      </c>
      <c r="C692" s="9">
        <f>10.0709 * CHOOSE(CONTROL!$C$32, $C$9, 100%, $E$9)</f>
        <v>10.0709</v>
      </c>
      <c r="D692" s="9">
        <f>10.0722 * CHOOSE(CONTROL!$C$32, $C$9, 100%, $E$9)</f>
        <v>10.0722</v>
      </c>
      <c r="E692" s="11">
        <f>11.4915 * CHOOSE(CONTROL!$C$32, $C$9, 100%, $E$9)</f>
        <v>11.4915</v>
      </c>
      <c r="F692" s="11">
        <f>11.4915 * CHOOSE(CONTROL!$C$32, $C$9, 100%, $E$9)</f>
        <v>11.4915</v>
      </c>
      <c r="G692" s="11">
        <f>11.4957 * CHOOSE(CONTROL!$C$32, $C$9, 100%, $E$9)</f>
        <v>11.495699999999999</v>
      </c>
      <c r="H692" s="11">
        <f>23.191 * CHOOSE(CONTROL!$C$32, $C$9, 100%, $E$9)</f>
        <v>23.190999999999999</v>
      </c>
      <c r="I692" s="11">
        <f>23.1952 * CHOOSE(CONTROL!$C$32, $C$9, 100%, $E$9)</f>
        <v>23.1952</v>
      </c>
      <c r="J692" s="11">
        <f>23.191 * CHOOSE(CONTROL!$C$32, $C$9, 100%, $E$9)</f>
        <v>23.190999999999999</v>
      </c>
      <c r="K692" s="11">
        <f>23.1952 * CHOOSE(CONTROL!$C$32, $C$9, 100%, $E$9)</f>
        <v>23.1952</v>
      </c>
      <c r="L692" s="11">
        <f>11.4915 * CHOOSE(CONTROL!$C$32, $C$9, 100%, $E$9)</f>
        <v>11.4915</v>
      </c>
      <c r="M692" s="11">
        <f>11.4957 * CHOOSE(CONTROL!$C$32, $C$9, 100%, $E$9)</f>
        <v>11.495699999999999</v>
      </c>
      <c r="N692" s="11">
        <f>11.4915 * CHOOSE(CONTROL!$C$32, $C$9, 100%, $E$9)</f>
        <v>11.4915</v>
      </c>
      <c r="O692" s="11">
        <f>11.4957 * CHOOSE(CONTROL!$C$32, $C$9, 100%, $E$9)</f>
        <v>11.495699999999999</v>
      </c>
    </row>
    <row r="693" spans="1:15" ht="15" x14ac:dyDescent="0.2">
      <c r="A693" s="13">
        <v>61941</v>
      </c>
      <c r="B693" s="9">
        <f>10.0776 * CHOOSE(CONTROL!$C$32, $C$9, 100%, $E$9)</f>
        <v>10.0776</v>
      </c>
      <c r="C693" s="9">
        <f>10.0776 * CHOOSE(CONTROL!$C$32, $C$9, 100%, $E$9)</f>
        <v>10.0776</v>
      </c>
      <c r="D693" s="9">
        <f>10.0789 * CHOOSE(CONTROL!$C$32, $C$9, 100%, $E$9)</f>
        <v>10.078900000000001</v>
      </c>
      <c r="E693" s="11">
        <f>11.2277 * CHOOSE(CONTROL!$C$32, $C$9, 100%, $E$9)</f>
        <v>11.2277</v>
      </c>
      <c r="F693" s="11">
        <f>11.2277 * CHOOSE(CONTROL!$C$32, $C$9, 100%, $E$9)</f>
        <v>11.2277</v>
      </c>
      <c r="G693" s="11">
        <f>11.2319 * CHOOSE(CONTROL!$C$32, $C$9, 100%, $E$9)</f>
        <v>11.2319</v>
      </c>
      <c r="H693" s="11">
        <f>23.2393 * CHOOSE(CONTROL!$C$32, $C$9, 100%, $E$9)</f>
        <v>23.2393</v>
      </c>
      <c r="I693" s="11">
        <f>23.2435 * CHOOSE(CONTROL!$C$32, $C$9, 100%, $E$9)</f>
        <v>23.243500000000001</v>
      </c>
      <c r="J693" s="11">
        <f>23.2393 * CHOOSE(CONTROL!$C$32, $C$9, 100%, $E$9)</f>
        <v>23.2393</v>
      </c>
      <c r="K693" s="11">
        <f>23.2435 * CHOOSE(CONTROL!$C$32, $C$9, 100%, $E$9)</f>
        <v>23.243500000000001</v>
      </c>
      <c r="L693" s="11">
        <f>11.2277 * CHOOSE(CONTROL!$C$32, $C$9, 100%, $E$9)</f>
        <v>11.2277</v>
      </c>
      <c r="M693" s="11">
        <f>11.2319 * CHOOSE(CONTROL!$C$32, $C$9, 100%, $E$9)</f>
        <v>11.2319</v>
      </c>
      <c r="N693" s="11">
        <f>11.2277 * CHOOSE(CONTROL!$C$32, $C$9, 100%, $E$9)</f>
        <v>11.2277</v>
      </c>
      <c r="O693" s="11">
        <f>11.2319 * CHOOSE(CONTROL!$C$32, $C$9, 100%, $E$9)</f>
        <v>11.2319</v>
      </c>
    </row>
    <row r="694" spans="1:15" ht="15" x14ac:dyDescent="0.2">
      <c r="A694" s="13">
        <v>61972</v>
      </c>
      <c r="B694" s="9">
        <f>10.0746 * CHOOSE(CONTROL!$C$32, $C$9, 100%, $E$9)</f>
        <v>10.0746</v>
      </c>
      <c r="C694" s="9">
        <f>10.0746 * CHOOSE(CONTROL!$C$32, $C$9, 100%, $E$9)</f>
        <v>10.0746</v>
      </c>
      <c r="D694" s="9">
        <f>10.0758 * CHOOSE(CONTROL!$C$32, $C$9, 100%, $E$9)</f>
        <v>10.075799999999999</v>
      </c>
      <c r="E694" s="11">
        <f>11.1958 * CHOOSE(CONTROL!$C$32, $C$9, 100%, $E$9)</f>
        <v>11.1958</v>
      </c>
      <c r="F694" s="11">
        <f>11.1958 * CHOOSE(CONTROL!$C$32, $C$9, 100%, $E$9)</f>
        <v>11.1958</v>
      </c>
      <c r="G694" s="11">
        <f>11.2 * CHOOSE(CONTROL!$C$32, $C$9, 100%, $E$9)</f>
        <v>11.2</v>
      </c>
      <c r="H694" s="11">
        <f>23.2877 * CHOOSE(CONTROL!$C$32, $C$9, 100%, $E$9)</f>
        <v>23.287700000000001</v>
      </c>
      <c r="I694" s="11">
        <f>23.2919 * CHOOSE(CONTROL!$C$32, $C$9, 100%, $E$9)</f>
        <v>23.291899999999998</v>
      </c>
      <c r="J694" s="11">
        <f>23.2877 * CHOOSE(CONTROL!$C$32, $C$9, 100%, $E$9)</f>
        <v>23.287700000000001</v>
      </c>
      <c r="K694" s="11">
        <f>23.2919 * CHOOSE(CONTROL!$C$32, $C$9, 100%, $E$9)</f>
        <v>23.291899999999998</v>
      </c>
      <c r="L694" s="11">
        <f>11.1958 * CHOOSE(CONTROL!$C$32, $C$9, 100%, $E$9)</f>
        <v>11.1958</v>
      </c>
      <c r="M694" s="11">
        <f>11.2 * CHOOSE(CONTROL!$C$32, $C$9, 100%, $E$9)</f>
        <v>11.2</v>
      </c>
      <c r="N694" s="11">
        <f>11.1958 * CHOOSE(CONTROL!$C$32, $C$9, 100%, $E$9)</f>
        <v>11.1958</v>
      </c>
      <c r="O694" s="11">
        <f>11.2 * CHOOSE(CONTROL!$C$32, $C$9, 100%, $E$9)</f>
        <v>11.2</v>
      </c>
    </row>
    <row r="695" spans="1:15" ht="15" x14ac:dyDescent="0.2">
      <c r="A695" s="13">
        <v>62002</v>
      </c>
      <c r="B695" s="9">
        <f>10.0923 * CHOOSE(CONTROL!$C$32, $C$9, 100%, $E$9)</f>
        <v>10.0923</v>
      </c>
      <c r="C695" s="9">
        <f>10.0923 * CHOOSE(CONTROL!$C$32, $C$9, 100%, $E$9)</f>
        <v>10.0923</v>
      </c>
      <c r="D695" s="9">
        <f>10.0933 * CHOOSE(CONTROL!$C$32, $C$9, 100%, $E$9)</f>
        <v>10.093299999999999</v>
      </c>
      <c r="E695" s="11">
        <f>11.3017 * CHOOSE(CONTROL!$C$32, $C$9, 100%, $E$9)</f>
        <v>11.3017</v>
      </c>
      <c r="F695" s="11">
        <f>11.3017 * CHOOSE(CONTROL!$C$32, $C$9, 100%, $E$9)</f>
        <v>11.3017</v>
      </c>
      <c r="G695" s="11">
        <f>11.3049 * CHOOSE(CONTROL!$C$32, $C$9, 100%, $E$9)</f>
        <v>11.3049</v>
      </c>
      <c r="H695" s="11">
        <f>23.3362 * CHOOSE(CONTROL!$C$32, $C$9, 100%, $E$9)</f>
        <v>23.336200000000002</v>
      </c>
      <c r="I695" s="11">
        <f>23.3394 * CHOOSE(CONTROL!$C$32, $C$9, 100%, $E$9)</f>
        <v>23.339400000000001</v>
      </c>
      <c r="J695" s="11">
        <f>23.3362 * CHOOSE(CONTROL!$C$32, $C$9, 100%, $E$9)</f>
        <v>23.336200000000002</v>
      </c>
      <c r="K695" s="11">
        <f>23.3394 * CHOOSE(CONTROL!$C$32, $C$9, 100%, $E$9)</f>
        <v>23.339400000000001</v>
      </c>
      <c r="L695" s="11">
        <f>11.3017 * CHOOSE(CONTROL!$C$32, $C$9, 100%, $E$9)</f>
        <v>11.3017</v>
      </c>
      <c r="M695" s="11">
        <f>11.3049 * CHOOSE(CONTROL!$C$32, $C$9, 100%, $E$9)</f>
        <v>11.3049</v>
      </c>
      <c r="N695" s="11">
        <f>11.3017 * CHOOSE(CONTROL!$C$32, $C$9, 100%, $E$9)</f>
        <v>11.3017</v>
      </c>
      <c r="O695" s="11">
        <f>11.3049 * CHOOSE(CONTROL!$C$32, $C$9, 100%, $E$9)</f>
        <v>11.3049</v>
      </c>
    </row>
    <row r="696" spans="1:15" ht="15" x14ac:dyDescent="0.2">
      <c r="A696" s="13">
        <v>62033</v>
      </c>
      <c r="B696" s="9">
        <f>10.0953 * CHOOSE(CONTROL!$C$32, $C$9, 100%, $E$9)</f>
        <v>10.0953</v>
      </c>
      <c r="C696" s="9">
        <f>10.0953 * CHOOSE(CONTROL!$C$32, $C$9, 100%, $E$9)</f>
        <v>10.0953</v>
      </c>
      <c r="D696" s="9">
        <f>10.0963 * CHOOSE(CONTROL!$C$32, $C$9, 100%, $E$9)</f>
        <v>10.096299999999999</v>
      </c>
      <c r="E696" s="11">
        <f>11.3634 * CHOOSE(CONTROL!$C$32, $C$9, 100%, $E$9)</f>
        <v>11.3634</v>
      </c>
      <c r="F696" s="11">
        <f>11.3634 * CHOOSE(CONTROL!$C$32, $C$9, 100%, $E$9)</f>
        <v>11.3634</v>
      </c>
      <c r="G696" s="11">
        <f>11.3667 * CHOOSE(CONTROL!$C$32, $C$9, 100%, $E$9)</f>
        <v>11.3667</v>
      </c>
      <c r="H696" s="11">
        <f>23.3848 * CHOOSE(CONTROL!$C$32, $C$9, 100%, $E$9)</f>
        <v>23.384799999999998</v>
      </c>
      <c r="I696" s="11">
        <f>23.388 * CHOOSE(CONTROL!$C$32, $C$9, 100%, $E$9)</f>
        <v>23.388000000000002</v>
      </c>
      <c r="J696" s="11">
        <f>23.3848 * CHOOSE(CONTROL!$C$32, $C$9, 100%, $E$9)</f>
        <v>23.384799999999998</v>
      </c>
      <c r="K696" s="11">
        <f>23.388 * CHOOSE(CONTROL!$C$32, $C$9, 100%, $E$9)</f>
        <v>23.388000000000002</v>
      </c>
      <c r="L696" s="11">
        <f>11.3634 * CHOOSE(CONTROL!$C$32, $C$9, 100%, $E$9)</f>
        <v>11.3634</v>
      </c>
      <c r="M696" s="11">
        <f>11.3667 * CHOOSE(CONTROL!$C$32, $C$9, 100%, $E$9)</f>
        <v>11.3667</v>
      </c>
      <c r="N696" s="11">
        <f>11.3634 * CHOOSE(CONTROL!$C$32, $C$9, 100%, $E$9)</f>
        <v>11.3634</v>
      </c>
      <c r="O696" s="11">
        <f>11.3667 * CHOOSE(CONTROL!$C$32, $C$9, 100%, $E$9)</f>
        <v>11.3667</v>
      </c>
    </row>
    <row r="697" spans="1:15" ht="15" x14ac:dyDescent="0.2">
      <c r="A697" s="13">
        <v>62063</v>
      </c>
      <c r="B697" s="9">
        <f>10.0953 * CHOOSE(CONTROL!$C$32, $C$9, 100%, $E$9)</f>
        <v>10.0953</v>
      </c>
      <c r="C697" s="9">
        <f>10.0953 * CHOOSE(CONTROL!$C$32, $C$9, 100%, $E$9)</f>
        <v>10.0953</v>
      </c>
      <c r="D697" s="9">
        <f>10.0963 * CHOOSE(CONTROL!$C$32, $C$9, 100%, $E$9)</f>
        <v>10.096299999999999</v>
      </c>
      <c r="E697" s="11">
        <f>11.2143 * CHOOSE(CONTROL!$C$32, $C$9, 100%, $E$9)</f>
        <v>11.2143</v>
      </c>
      <c r="F697" s="11">
        <f>11.2143 * CHOOSE(CONTROL!$C$32, $C$9, 100%, $E$9)</f>
        <v>11.2143</v>
      </c>
      <c r="G697" s="11">
        <f>11.2175 * CHOOSE(CONTROL!$C$32, $C$9, 100%, $E$9)</f>
        <v>11.217499999999999</v>
      </c>
      <c r="H697" s="11">
        <f>23.4335 * CHOOSE(CONTROL!$C$32, $C$9, 100%, $E$9)</f>
        <v>23.433499999999999</v>
      </c>
      <c r="I697" s="11">
        <f>23.4368 * CHOOSE(CONTROL!$C$32, $C$9, 100%, $E$9)</f>
        <v>23.436800000000002</v>
      </c>
      <c r="J697" s="11">
        <f>23.4335 * CHOOSE(CONTROL!$C$32, $C$9, 100%, $E$9)</f>
        <v>23.433499999999999</v>
      </c>
      <c r="K697" s="11">
        <f>23.4368 * CHOOSE(CONTROL!$C$32, $C$9, 100%, $E$9)</f>
        <v>23.436800000000002</v>
      </c>
      <c r="L697" s="11">
        <f>11.2143 * CHOOSE(CONTROL!$C$32, $C$9, 100%, $E$9)</f>
        <v>11.2143</v>
      </c>
      <c r="M697" s="11">
        <f>11.2175 * CHOOSE(CONTROL!$C$32, $C$9, 100%, $E$9)</f>
        <v>11.217499999999999</v>
      </c>
      <c r="N697" s="11">
        <f>11.2143 * CHOOSE(CONTROL!$C$32, $C$9, 100%, $E$9)</f>
        <v>11.2143</v>
      </c>
      <c r="O697" s="11">
        <f>11.2175 * CHOOSE(CONTROL!$C$32, $C$9, 100%, $E$9)</f>
        <v>11.217499999999999</v>
      </c>
    </row>
    <row r="698" spans="1:15" ht="15" x14ac:dyDescent="0.2">
      <c r="A698" s="13">
        <v>62094</v>
      </c>
      <c r="B698" s="9">
        <f>10.1311 * CHOOSE(CONTROL!$C$32, $C$9, 100%, $E$9)</f>
        <v>10.1311</v>
      </c>
      <c r="C698" s="9">
        <f>10.1311 * CHOOSE(CONTROL!$C$32, $C$9, 100%, $E$9)</f>
        <v>10.1311</v>
      </c>
      <c r="D698" s="9">
        <f>10.132 * CHOOSE(CONTROL!$C$32, $C$9, 100%, $E$9)</f>
        <v>10.132</v>
      </c>
      <c r="E698" s="11">
        <f>11.3705 * CHOOSE(CONTROL!$C$32, $C$9, 100%, $E$9)</f>
        <v>11.3705</v>
      </c>
      <c r="F698" s="11">
        <f>11.3705 * CHOOSE(CONTROL!$C$32, $C$9, 100%, $E$9)</f>
        <v>11.3705</v>
      </c>
      <c r="G698" s="11">
        <f>11.3737 * CHOOSE(CONTROL!$C$32, $C$9, 100%, $E$9)</f>
        <v>11.373699999999999</v>
      </c>
      <c r="H698" s="11">
        <f>23.375 * CHOOSE(CONTROL!$C$32, $C$9, 100%, $E$9)</f>
        <v>23.375</v>
      </c>
      <c r="I698" s="11">
        <f>23.3782 * CHOOSE(CONTROL!$C$32, $C$9, 100%, $E$9)</f>
        <v>23.3782</v>
      </c>
      <c r="J698" s="11">
        <f>23.375 * CHOOSE(CONTROL!$C$32, $C$9, 100%, $E$9)</f>
        <v>23.375</v>
      </c>
      <c r="K698" s="11">
        <f>23.3782 * CHOOSE(CONTROL!$C$32, $C$9, 100%, $E$9)</f>
        <v>23.3782</v>
      </c>
      <c r="L698" s="11">
        <f>11.3705 * CHOOSE(CONTROL!$C$32, $C$9, 100%, $E$9)</f>
        <v>11.3705</v>
      </c>
      <c r="M698" s="11">
        <f>11.3737 * CHOOSE(CONTROL!$C$32, $C$9, 100%, $E$9)</f>
        <v>11.373699999999999</v>
      </c>
      <c r="N698" s="11">
        <f>11.3705 * CHOOSE(CONTROL!$C$32, $C$9, 100%, $E$9)</f>
        <v>11.3705</v>
      </c>
      <c r="O698" s="11">
        <f>11.3737 * CHOOSE(CONTROL!$C$32, $C$9, 100%, $E$9)</f>
        <v>11.373699999999999</v>
      </c>
    </row>
    <row r="699" spans="1:15" ht="15" x14ac:dyDescent="0.2">
      <c r="A699" s="13">
        <v>62125</v>
      </c>
      <c r="B699" s="9">
        <f>10.128 * CHOOSE(CONTROL!$C$32, $C$9, 100%, $E$9)</f>
        <v>10.128</v>
      </c>
      <c r="C699" s="9">
        <f>10.128 * CHOOSE(CONTROL!$C$32, $C$9, 100%, $E$9)</f>
        <v>10.128</v>
      </c>
      <c r="D699" s="9">
        <f>10.129 * CHOOSE(CONTROL!$C$32, $C$9, 100%, $E$9)</f>
        <v>10.129</v>
      </c>
      <c r="E699" s="11">
        <f>11.0795 * CHOOSE(CONTROL!$C$32, $C$9, 100%, $E$9)</f>
        <v>11.079499999999999</v>
      </c>
      <c r="F699" s="11">
        <f>11.0795 * CHOOSE(CONTROL!$C$32, $C$9, 100%, $E$9)</f>
        <v>11.079499999999999</v>
      </c>
      <c r="G699" s="11">
        <f>11.0827 * CHOOSE(CONTROL!$C$32, $C$9, 100%, $E$9)</f>
        <v>11.082700000000001</v>
      </c>
      <c r="H699" s="11">
        <f>23.4237 * CHOOSE(CONTROL!$C$32, $C$9, 100%, $E$9)</f>
        <v>23.4237</v>
      </c>
      <c r="I699" s="11">
        <f>23.4269 * CHOOSE(CONTROL!$C$32, $C$9, 100%, $E$9)</f>
        <v>23.4269</v>
      </c>
      <c r="J699" s="11">
        <f>23.4237 * CHOOSE(CONTROL!$C$32, $C$9, 100%, $E$9)</f>
        <v>23.4237</v>
      </c>
      <c r="K699" s="11">
        <f>23.4269 * CHOOSE(CONTROL!$C$32, $C$9, 100%, $E$9)</f>
        <v>23.4269</v>
      </c>
      <c r="L699" s="11">
        <f>11.0795 * CHOOSE(CONTROL!$C$32, $C$9, 100%, $E$9)</f>
        <v>11.079499999999999</v>
      </c>
      <c r="M699" s="11">
        <f>11.0827 * CHOOSE(CONTROL!$C$32, $C$9, 100%, $E$9)</f>
        <v>11.082700000000001</v>
      </c>
      <c r="N699" s="11">
        <f>11.0795 * CHOOSE(CONTROL!$C$32, $C$9, 100%, $E$9)</f>
        <v>11.079499999999999</v>
      </c>
      <c r="O699" s="11">
        <f>11.0827 * CHOOSE(CONTROL!$C$32, $C$9, 100%, $E$9)</f>
        <v>11.082700000000001</v>
      </c>
    </row>
    <row r="700" spans="1:15" ht="15" x14ac:dyDescent="0.2">
      <c r="A700" s="13">
        <v>62153</v>
      </c>
      <c r="B700" s="9">
        <f>10.125 * CHOOSE(CONTROL!$C$32, $C$9, 100%, $E$9)</f>
        <v>10.125</v>
      </c>
      <c r="C700" s="9">
        <f>10.125 * CHOOSE(CONTROL!$C$32, $C$9, 100%, $E$9)</f>
        <v>10.125</v>
      </c>
      <c r="D700" s="9">
        <f>10.1259 * CHOOSE(CONTROL!$C$32, $C$9, 100%, $E$9)</f>
        <v>10.1259</v>
      </c>
      <c r="E700" s="11">
        <f>11.3051 * CHOOSE(CONTROL!$C$32, $C$9, 100%, $E$9)</f>
        <v>11.305099999999999</v>
      </c>
      <c r="F700" s="11">
        <f>11.3051 * CHOOSE(CONTROL!$C$32, $C$9, 100%, $E$9)</f>
        <v>11.305099999999999</v>
      </c>
      <c r="G700" s="11">
        <f>11.3084 * CHOOSE(CONTROL!$C$32, $C$9, 100%, $E$9)</f>
        <v>11.308400000000001</v>
      </c>
      <c r="H700" s="11">
        <f>23.4725 * CHOOSE(CONTROL!$C$32, $C$9, 100%, $E$9)</f>
        <v>23.4725</v>
      </c>
      <c r="I700" s="11">
        <f>23.4757 * CHOOSE(CONTROL!$C$32, $C$9, 100%, $E$9)</f>
        <v>23.4757</v>
      </c>
      <c r="J700" s="11">
        <f>23.4725 * CHOOSE(CONTROL!$C$32, $C$9, 100%, $E$9)</f>
        <v>23.4725</v>
      </c>
      <c r="K700" s="11">
        <f>23.4757 * CHOOSE(CONTROL!$C$32, $C$9, 100%, $E$9)</f>
        <v>23.4757</v>
      </c>
      <c r="L700" s="11">
        <f>11.3051 * CHOOSE(CONTROL!$C$32, $C$9, 100%, $E$9)</f>
        <v>11.305099999999999</v>
      </c>
      <c r="M700" s="11">
        <f>11.3084 * CHOOSE(CONTROL!$C$32, $C$9, 100%, $E$9)</f>
        <v>11.308400000000001</v>
      </c>
      <c r="N700" s="11">
        <f>11.3051 * CHOOSE(CONTROL!$C$32, $C$9, 100%, $E$9)</f>
        <v>11.305099999999999</v>
      </c>
      <c r="O700" s="11">
        <f>11.3084 * CHOOSE(CONTROL!$C$32, $C$9, 100%, $E$9)</f>
        <v>11.308400000000001</v>
      </c>
    </row>
    <row r="701" spans="1:15" ht="15" x14ac:dyDescent="0.2">
      <c r="A701" s="13">
        <v>62184</v>
      </c>
      <c r="B701" s="9">
        <f>10.1286 * CHOOSE(CONTROL!$C$32, $C$9, 100%, $E$9)</f>
        <v>10.1286</v>
      </c>
      <c r="C701" s="9">
        <f>10.1286 * CHOOSE(CONTROL!$C$32, $C$9, 100%, $E$9)</f>
        <v>10.1286</v>
      </c>
      <c r="D701" s="9">
        <f>10.1295 * CHOOSE(CONTROL!$C$32, $C$9, 100%, $E$9)</f>
        <v>10.1295</v>
      </c>
      <c r="E701" s="11">
        <f>11.5455 * CHOOSE(CONTROL!$C$32, $C$9, 100%, $E$9)</f>
        <v>11.545500000000001</v>
      </c>
      <c r="F701" s="11">
        <f>11.5455 * CHOOSE(CONTROL!$C$32, $C$9, 100%, $E$9)</f>
        <v>11.545500000000001</v>
      </c>
      <c r="G701" s="11">
        <f>11.5487 * CHOOSE(CONTROL!$C$32, $C$9, 100%, $E$9)</f>
        <v>11.5487</v>
      </c>
      <c r="H701" s="11">
        <f>23.5214 * CHOOSE(CONTROL!$C$32, $C$9, 100%, $E$9)</f>
        <v>23.5214</v>
      </c>
      <c r="I701" s="11">
        <f>23.5246 * CHOOSE(CONTROL!$C$32, $C$9, 100%, $E$9)</f>
        <v>23.5246</v>
      </c>
      <c r="J701" s="11">
        <f>23.5214 * CHOOSE(CONTROL!$C$32, $C$9, 100%, $E$9)</f>
        <v>23.5214</v>
      </c>
      <c r="K701" s="11">
        <f>23.5246 * CHOOSE(CONTROL!$C$32, $C$9, 100%, $E$9)</f>
        <v>23.5246</v>
      </c>
      <c r="L701" s="11">
        <f>11.5455 * CHOOSE(CONTROL!$C$32, $C$9, 100%, $E$9)</f>
        <v>11.545500000000001</v>
      </c>
      <c r="M701" s="11">
        <f>11.5487 * CHOOSE(CONTROL!$C$32, $C$9, 100%, $E$9)</f>
        <v>11.5487</v>
      </c>
      <c r="N701" s="11">
        <f>11.5455 * CHOOSE(CONTROL!$C$32, $C$9, 100%, $E$9)</f>
        <v>11.545500000000001</v>
      </c>
      <c r="O701" s="11">
        <f>11.5487 * CHOOSE(CONTROL!$C$32, $C$9, 100%, $E$9)</f>
        <v>11.5487</v>
      </c>
    </row>
    <row r="702" spans="1:15" ht="15" x14ac:dyDescent="0.2">
      <c r="A702" s="13">
        <v>62214</v>
      </c>
      <c r="B702" s="9">
        <f>10.1286 * CHOOSE(CONTROL!$C$32, $C$9, 100%, $E$9)</f>
        <v>10.1286</v>
      </c>
      <c r="C702" s="9">
        <f>10.1286 * CHOOSE(CONTROL!$C$32, $C$9, 100%, $E$9)</f>
        <v>10.1286</v>
      </c>
      <c r="D702" s="9">
        <f>10.1298 * CHOOSE(CONTROL!$C$32, $C$9, 100%, $E$9)</f>
        <v>10.129799999999999</v>
      </c>
      <c r="E702" s="11">
        <f>11.6372 * CHOOSE(CONTROL!$C$32, $C$9, 100%, $E$9)</f>
        <v>11.6372</v>
      </c>
      <c r="F702" s="11">
        <f>11.6372 * CHOOSE(CONTROL!$C$32, $C$9, 100%, $E$9)</f>
        <v>11.6372</v>
      </c>
      <c r="G702" s="11">
        <f>11.6414 * CHOOSE(CONTROL!$C$32, $C$9, 100%, $E$9)</f>
        <v>11.641400000000001</v>
      </c>
      <c r="H702" s="11">
        <f>23.5704 * CHOOSE(CONTROL!$C$32, $C$9, 100%, $E$9)</f>
        <v>23.570399999999999</v>
      </c>
      <c r="I702" s="11">
        <f>23.5746 * CHOOSE(CONTROL!$C$32, $C$9, 100%, $E$9)</f>
        <v>23.5746</v>
      </c>
      <c r="J702" s="11">
        <f>23.5704 * CHOOSE(CONTROL!$C$32, $C$9, 100%, $E$9)</f>
        <v>23.570399999999999</v>
      </c>
      <c r="K702" s="11">
        <f>23.5746 * CHOOSE(CONTROL!$C$32, $C$9, 100%, $E$9)</f>
        <v>23.5746</v>
      </c>
      <c r="L702" s="11">
        <f>11.6372 * CHOOSE(CONTROL!$C$32, $C$9, 100%, $E$9)</f>
        <v>11.6372</v>
      </c>
      <c r="M702" s="11">
        <f>11.6414 * CHOOSE(CONTROL!$C$32, $C$9, 100%, $E$9)</f>
        <v>11.641400000000001</v>
      </c>
      <c r="N702" s="11">
        <f>11.6372 * CHOOSE(CONTROL!$C$32, $C$9, 100%, $E$9)</f>
        <v>11.6372</v>
      </c>
      <c r="O702" s="11">
        <f>11.6414 * CHOOSE(CONTROL!$C$32, $C$9, 100%, $E$9)</f>
        <v>11.641400000000001</v>
      </c>
    </row>
    <row r="703" spans="1:15" ht="15" x14ac:dyDescent="0.2">
      <c r="A703" s="13">
        <v>62245</v>
      </c>
      <c r="B703" s="9">
        <f>10.1347 * CHOOSE(CONTROL!$C$32, $C$9, 100%, $E$9)</f>
        <v>10.1347</v>
      </c>
      <c r="C703" s="9">
        <f>10.1347 * CHOOSE(CONTROL!$C$32, $C$9, 100%, $E$9)</f>
        <v>10.1347</v>
      </c>
      <c r="D703" s="9">
        <f>10.1359 * CHOOSE(CONTROL!$C$32, $C$9, 100%, $E$9)</f>
        <v>10.135899999999999</v>
      </c>
      <c r="E703" s="11">
        <f>11.5497 * CHOOSE(CONTROL!$C$32, $C$9, 100%, $E$9)</f>
        <v>11.5497</v>
      </c>
      <c r="F703" s="11">
        <f>11.5497 * CHOOSE(CONTROL!$C$32, $C$9, 100%, $E$9)</f>
        <v>11.5497</v>
      </c>
      <c r="G703" s="11">
        <f>11.5539 * CHOOSE(CONTROL!$C$32, $C$9, 100%, $E$9)</f>
        <v>11.553900000000001</v>
      </c>
      <c r="H703" s="11">
        <f>23.6195 * CHOOSE(CONTROL!$C$32, $C$9, 100%, $E$9)</f>
        <v>23.619499999999999</v>
      </c>
      <c r="I703" s="11">
        <f>23.6237 * CHOOSE(CONTROL!$C$32, $C$9, 100%, $E$9)</f>
        <v>23.623699999999999</v>
      </c>
      <c r="J703" s="11">
        <f>23.6195 * CHOOSE(CONTROL!$C$32, $C$9, 100%, $E$9)</f>
        <v>23.619499999999999</v>
      </c>
      <c r="K703" s="11">
        <f>23.6237 * CHOOSE(CONTROL!$C$32, $C$9, 100%, $E$9)</f>
        <v>23.623699999999999</v>
      </c>
      <c r="L703" s="11">
        <f>11.5497 * CHOOSE(CONTROL!$C$32, $C$9, 100%, $E$9)</f>
        <v>11.5497</v>
      </c>
      <c r="M703" s="11">
        <f>11.5539 * CHOOSE(CONTROL!$C$32, $C$9, 100%, $E$9)</f>
        <v>11.553900000000001</v>
      </c>
      <c r="N703" s="11">
        <f>11.5497 * CHOOSE(CONTROL!$C$32, $C$9, 100%, $E$9)</f>
        <v>11.5497</v>
      </c>
      <c r="O703" s="11">
        <f>11.5539 * CHOOSE(CONTROL!$C$32, $C$9, 100%, $E$9)</f>
        <v>11.553900000000001</v>
      </c>
    </row>
    <row r="704" spans="1:15" ht="15" x14ac:dyDescent="0.2">
      <c r="A704" s="13">
        <v>62275</v>
      </c>
      <c r="B704" s="9">
        <f>10.2605 * CHOOSE(CONTROL!$C$32, $C$9, 100%, $E$9)</f>
        <v>10.2605</v>
      </c>
      <c r="C704" s="9">
        <f>10.2605 * CHOOSE(CONTROL!$C$32, $C$9, 100%, $E$9)</f>
        <v>10.2605</v>
      </c>
      <c r="D704" s="9">
        <f>10.2618 * CHOOSE(CONTROL!$C$32, $C$9, 100%, $E$9)</f>
        <v>10.261799999999999</v>
      </c>
      <c r="E704" s="11">
        <f>11.7117 * CHOOSE(CONTROL!$C$32, $C$9, 100%, $E$9)</f>
        <v>11.7117</v>
      </c>
      <c r="F704" s="11">
        <f>11.7117 * CHOOSE(CONTROL!$C$32, $C$9, 100%, $E$9)</f>
        <v>11.7117</v>
      </c>
      <c r="G704" s="11">
        <f>11.7159 * CHOOSE(CONTROL!$C$32, $C$9, 100%, $E$9)</f>
        <v>11.7159</v>
      </c>
      <c r="H704" s="11">
        <f>23.6687 * CHOOSE(CONTROL!$C$32, $C$9, 100%, $E$9)</f>
        <v>23.668700000000001</v>
      </c>
      <c r="I704" s="11">
        <f>23.6729 * CHOOSE(CONTROL!$C$32, $C$9, 100%, $E$9)</f>
        <v>23.672899999999998</v>
      </c>
      <c r="J704" s="11">
        <f>23.6687 * CHOOSE(CONTROL!$C$32, $C$9, 100%, $E$9)</f>
        <v>23.668700000000001</v>
      </c>
      <c r="K704" s="11">
        <f>23.6729 * CHOOSE(CONTROL!$C$32, $C$9, 100%, $E$9)</f>
        <v>23.672899999999998</v>
      </c>
      <c r="L704" s="11">
        <f>11.7117 * CHOOSE(CONTROL!$C$32, $C$9, 100%, $E$9)</f>
        <v>11.7117</v>
      </c>
      <c r="M704" s="11">
        <f>11.7159 * CHOOSE(CONTROL!$C$32, $C$9, 100%, $E$9)</f>
        <v>11.7159</v>
      </c>
      <c r="N704" s="11">
        <f>11.7117 * CHOOSE(CONTROL!$C$32, $C$9, 100%, $E$9)</f>
        <v>11.7117</v>
      </c>
      <c r="O704" s="11">
        <f>11.7159 * CHOOSE(CONTROL!$C$32, $C$9, 100%, $E$9)</f>
        <v>11.7159</v>
      </c>
    </row>
    <row r="705" spans="1:15" ht="15" x14ac:dyDescent="0.2">
      <c r="A705" s="13">
        <v>62306</v>
      </c>
      <c r="B705" s="9">
        <f>10.2672 * CHOOSE(CONTROL!$C$32, $C$9, 100%, $E$9)</f>
        <v>10.267200000000001</v>
      </c>
      <c r="C705" s="9">
        <f>10.2672 * CHOOSE(CONTROL!$C$32, $C$9, 100%, $E$9)</f>
        <v>10.267200000000001</v>
      </c>
      <c r="D705" s="9">
        <f>10.2685 * CHOOSE(CONTROL!$C$32, $C$9, 100%, $E$9)</f>
        <v>10.2685</v>
      </c>
      <c r="E705" s="11">
        <f>11.4412 * CHOOSE(CONTROL!$C$32, $C$9, 100%, $E$9)</f>
        <v>11.4412</v>
      </c>
      <c r="F705" s="11">
        <f>11.4412 * CHOOSE(CONTROL!$C$32, $C$9, 100%, $E$9)</f>
        <v>11.4412</v>
      </c>
      <c r="G705" s="11">
        <f>11.4454 * CHOOSE(CONTROL!$C$32, $C$9, 100%, $E$9)</f>
        <v>11.445399999999999</v>
      </c>
      <c r="H705" s="11">
        <f>23.718 * CHOOSE(CONTROL!$C$32, $C$9, 100%, $E$9)</f>
        <v>23.718</v>
      </c>
      <c r="I705" s="11">
        <f>23.7222 * CHOOSE(CONTROL!$C$32, $C$9, 100%, $E$9)</f>
        <v>23.722200000000001</v>
      </c>
      <c r="J705" s="11">
        <f>23.718 * CHOOSE(CONTROL!$C$32, $C$9, 100%, $E$9)</f>
        <v>23.718</v>
      </c>
      <c r="K705" s="11">
        <f>23.7222 * CHOOSE(CONTROL!$C$32, $C$9, 100%, $E$9)</f>
        <v>23.722200000000001</v>
      </c>
      <c r="L705" s="11">
        <f>11.4412 * CHOOSE(CONTROL!$C$32, $C$9, 100%, $E$9)</f>
        <v>11.4412</v>
      </c>
      <c r="M705" s="11">
        <f>11.4454 * CHOOSE(CONTROL!$C$32, $C$9, 100%, $E$9)</f>
        <v>11.445399999999999</v>
      </c>
      <c r="N705" s="11">
        <f>11.4412 * CHOOSE(CONTROL!$C$32, $C$9, 100%, $E$9)</f>
        <v>11.4412</v>
      </c>
      <c r="O705" s="11">
        <f>11.4454 * CHOOSE(CONTROL!$C$32, $C$9, 100%, $E$9)</f>
        <v>11.445399999999999</v>
      </c>
    </row>
    <row r="706" spans="1:15" ht="15" x14ac:dyDescent="0.2">
      <c r="A706" s="13">
        <v>62337</v>
      </c>
      <c r="B706" s="9">
        <f>10.2642 * CHOOSE(CONTROL!$C$32, $C$9, 100%, $E$9)</f>
        <v>10.264200000000001</v>
      </c>
      <c r="C706" s="9">
        <f>10.2642 * CHOOSE(CONTROL!$C$32, $C$9, 100%, $E$9)</f>
        <v>10.264200000000001</v>
      </c>
      <c r="D706" s="9">
        <f>10.2654 * CHOOSE(CONTROL!$C$32, $C$9, 100%, $E$9)</f>
        <v>10.2654</v>
      </c>
      <c r="E706" s="11">
        <f>11.4085 * CHOOSE(CONTROL!$C$32, $C$9, 100%, $E$9)</f>
        <v>11.4085</v>
      </c>
      <c r="F706" s="11">
        <f>11.4085 * CHOOSE(CONTROL!$C$32, $C$9, 100%, $E$9)</f>
        <v>11.4085</v>
      </c>
      <c r="G706" s="11">
        <f>11.4127 * CHOOSE(CONTROL!$C$32, $C$9, 100%, $E$9)</f>
        <v>11.412699999999999</v>
      </c>
      <c r="H706" s="11">
        <f>23.7674 * CHOOSE(CONTROL!$C$32, $C$9, 100%, $E$9)</f>
        <v>23.767399999999999</v>
      </c>
      <c r="I706" s="11">
        <f>23.7716 * CHOOSE(CONTROL!$C$32, $C$9, 100%, $E$9)</f>
        <v>23.771599999999999</v>
      </c>
      <c r="J706" s="11">
        <f>23.7674 * CHOOSE(CONTROL!$C$32, $C$9, 100%, $E$9)</f>
        <v>23.767399999999999</v>
      </c>
      <c r="K706" s="11">
        <f>23.7716 * CHOOSE(CONTROL!$C$32, $C$9, 100%, $E$9)</f>
        <v>23.771599999999999</v>
      </c>
      <c r="L706" s="11">
        <f>11.4085 * CHOOSE(CONTROL!$C$32, $C$9, 100%, $E$9)</f>
        <v>11.4085</v>
      </c>
      <c r="M706" s="11">
        <f>11.4127 * CHOOSE(CONTROL!$C$32, $C$9, 100%, $E$9)</f>
        <v>11.412699999999999</v>
      </c>
      <c r="N706" s="11">
        <f>11.4085 * CHOOSE(CONTROL!$C$32, $C$9, 100%, $E$9)</f>
        <v>11.4085</v>
      </c>
      <c r="O706" s="11">
        <f>11.4127 * CHOOSE(CONTROL!$C$32, $C$9, 100%, $E$9)</f>
        <v>11.412699999999999</v>
      </c>
    </row>
    <row r="707" spans="1:15" ht="15" x14ac:dyDescent="0.2">
      <c r="A707" s="13">
        <v>62367</v>
      </c>
      <c r="B707" s="9">
        <f>10.2826 * CHOOSE(CONTROL!$C$32, $C$9, 100%, $E$9)</f>
        <v>10.2826</v>
      </c>
      <c r="C707" s="9">
        <f>10.2826 * CHOOSE(CONTROL!$C$32, $C$9, 100%, $E$9)</f>
        <v>10.2826</v>
      </c>
      <c r="D707" s="9">
        <f>10.2836 * CHOOSE(CONTROL!$C$32, $C$9, 100%, $E$9)</f>
        <v>10.2836</v>
      </c>
      <c r="E707" s="11">
        <f>11.5173 * CHOOSE(CONTROL!$C$32, $C$9, 100%, $E$9)</f>
        <v>11.517300000000001</v>
      </c>
      <c r="F707" s="11">
        <f>11.5173 * CHOOSE(CONTROL!$C$32, $C$9, 100%, $E$9)</f>
        <v>11.517300000000001</v>
      </c>
      <c r="G707" s="11">
        <f>11.5206 * CHOOSE(CONTROL!$C$32, $C$9, 100%, $E$9)</f>
        <v>11.5206</v>
      </c>
      <c r="H707" s="11">
        <f>23.8169 * CHOOSE(CONTROL!$C$32, $C$9, 100%, $E$9)</f>
        <v>23.8169</v>
      </c>
      <c r="I707" s="11">
        <f>23.8202 * CHOOSE(CONTROL!$C$32, $C$9, 100%, $E$9)</f>
        <v>23.8202</v>
      </c>
      <c r="J707" s="11">
        <f>23.8169 * CHOOSE(CONTROL!$C$32, $C$9, 100%, $E$9)</f>
        <v>23.8169</v>
      </c>
      <c r="K707" s="11">
        <f>23.8202 * CHOOSE(CONTROL!$C$32, $C$9, 100%, $E$9)</f>
        <v>23.8202</v>
      </c>
      <c r="L707" s="11">
        <f>11.5173 * CHOOSE(CONTROL!$C$32, $C$9, 100%, $E$9)</f>
        <v>11.517300000000001</v>
      </c>
      <c r="M707" s="11">
        <f>11.5206 * CHOOSE(CONTROL!$C$32, $C$9, 100%, $E$9)</f>
        <v>11.5206</v>
      </c>
      <c r="N707" s="11">
        <f>11.5173 * CHOOSE(CONTROL!$C$32, $C$9, 100%, $E$9)</f>
        <v>11.517300000000001</v>
      </c>
      <c r="O707" s="11">
        <f>11.5206 * CHOOSE(CONTROL!$C$32, $C$9, 100%, $E$9)</f>
        <v>11.5206</v>
      </c>
    </row>
    <row r="708" spans="1:15" ht="15" x14ac:dyDescent="0.2">
      <c r="A708" s="13">
        <v>62398</v>
      </c>
      <c r="B708" s="9">
        <f>10.2857 * CHOOSE(CONTROL!$C$32, $C$9, 100%, $E$9)</f>
        <v>10.2857</v>
      </c>
      <c r="C708" s="9">
        <f>10.2857 * CHOOSE(CONTROL!$C$32, $C$9, 100%, $E$9)</f>
        <v>10.2857</v>
      </c>
      <c r="D708" s="9">
        <f>10.2866 * CHOOSE(CONTROL!$C$32, $C$9, 100%, $E$9)</f>
        <v>10.2866</v>
      </c>
      <c r="E708" s="11">
        <f>11.5806 * CHOOSE(CONTROL!$C$32, $C$9, 100%, $E$9)</f>
        <v>11.5806</v>
      </c>
      <c r="F708" s="11">
        <f>11.5806 * CHOOSE(CONTROL!$C$32, $C$9, 100%, $E$9)</f>
        <v>11.5806</v>
      </c>
      <c r="G708" s="11">
        <f>11.5838 * CHOOSE(CONTROL!$C$32, $C$9, 100%, $E$9)</f>
        <v>11.5838</v>
      </c>
      <c r="H708" s="11">
        <f>23.8665 * CHOOSE(CONTROL!$C$32, $C$9, 100%, $E$9)</f>
        <v>23.866499999999998</v>
      </c>
      <c r="I708" s="11">
        <f>23.8698 * CHOOSE(CONTROL!$C$32, $C$9, 100%, $E$9)</f>
        <v>23.869800000000001</v>
      </c>
      <c r="J708" s="11">
        <f>23.8665 * CHOOSE(CONTROL!$C$32, $C$9, 100%, $E$9)</f>
        <v>23.866499999999998</v>
      </c>
      <c r="K708" s="11">
        <f>23.8698 * CHOOSE(CONTROL!$C$32, $C$9, 100%, $E$9)</f>
        <v>23.869800000000001</v>
      </c>
      <c r="L708" s="11">
        <f>11.5806 * CHOOSE(CONTROL!$C$32, $C$9, 100%, $E$9)</f>
        <v>11.5806</v>
      </c>
      <c r="M708" s="11">
        <f>11.5838 * CHOOSE(CONTROL!$C$32, $C$9, 100%, $E$9)</f>
        <v>11.5838</v>
      </c>
      <c r="N708" s="11">
        <f>11.5806 * CHOOSE(CONTROL!$C$32, $C$9, 100%, $E$9)</f>
        <v>11.5806</v>
      </c>
      <c r="O708" s="11">
        <f>11.5838 * CHOOSE(CONTROL!$C$32, $C$9, 100%, $E$9)</f>
        <v>11.5838</v>
      </c>
    </row>
    <row r="709" spans="1:15" ht="15" x14ac:dyDescent="0.2">
      <c r="A709" s="13">
        <v>62428</v>
      </c>
      <c r="B709" s="9">
        <f>10.2857 * CHOOSE(CONTROL!$C$32, $C$9, 100%, $E$9)</f>
        <v>10.2857</v>
      </c>
      <c r="C709" s="9">
        <f>10.2857 * CHOOSE(CONTROL!$C$32, $C$9, 100%, $E$9)</f>
        <v>10.2857</v>
      </c>
      <c r="D709" s="9">
        <f>10.2866 * CHOOSE(CONTROL!$C$32, $C$9, 100%, $E$9)</f>
        <v>10.2866</v>
      </c>
      <c r="E709" s="11">
        <f>11.4277 * CHOOSE(CONTROL!$C$32, $C$9, 100%, $E$9)</f>
        <v>11.4277</v>
      </c>
      <c r="F709" s="11">
        <f>11.4277 * CHOOSE(CONTROL!$C$32, $C$9, 100%, $E$9)</f>
        <v>11.4277</v>
      </c>
      <c r="G709" s="11">
        <f>11.431 * CHOOSE(CONTROL!$C$32, $C$9, 100%, $E$9)</f>
        <v>11.430999999999999</v>
      </c>
      <c r="H709" s="11">
        <f>23.9163 * CHOOSE(CONTROL!$C$32, $C$9, 100%, $E$9)</f>
        <v>23.9163</v>
      </c>
      <c r="I709" s="11">
        <f>23.9195 * CHOOSE(CONTROL!$C$32, $C$9, 100%, $E$9)</f>
        <v>23.919499999999999</v>
      </c>
      <c r="J709" s="11">
        <f>23.9163 * CHOOSE(CONTROL!$C$32, $C$9, 100%, $E$9)</f>
        <v>23.9163</v>
      </c>
      <c r="K709" s="11">
        <f>23.9195 * CHOOSE(CONTROL!$C$32, $C$9, 100%, $E$9)</f>
        <v>23.919499999999999</v>
      </c>
      <c r="L709" s="11">
        <f>11.4277 * CHOOSE(CONTROL!$C$32, $C$9, 100%, $E$9)</f>
        <v>11.4277</v>
      </c>
      <c r="M709" s="11">
        <f>11.431 * CHOOSE(CONTROL!$C$32, $C$9, 100%, $E$9)</f>
        <v>11.430999999999999</v>
      </c>
      <c r="N709" s="11">
        <f>11.4277 * CHOOSE(CONTROL!$C$32, $C$9, 100%, $E$9)</f>
        <v>11.4277</v>
      </c>
      <c r="O709" s="11">
        <f>11.431 * CHOOSE(CONTROL!$C$32, $C$9, 100%, $E$9)</f>
        <v>11.430999999999999</v>
      </c>
    </row>
    <row r="710" spans="1:15" ht="15" x14ac:dyDescent="0.2">
      <c r="A710" s="13">
        <v>62459</v>
      </c>
      <c r="B710" s="9">
        <f>10.3184 * CHOOSE(CONTROL!$C$32, $C$9, 100%, $E$9)</f>
        <v>10.3184</v>
      </c>
      <c r="C710" s="9">
        <f>10.3184 * CHOOSE(CONTROL!$C$32, $C$9, 100%, $E$9)</f>
        <v>10.3184</v>
      </c>
      <c r="D710" s="9">
        <f>10.3194 * CHOOSE(CONTROL!$C$32, $C$9, 100%, $E$9)</f>
        <v>10.3194</v>
      </c>
      <c r="E710" s="11">
        <f>11.583 * CHOOSE(CONTROL!$C$32, $C$9, 100%, $E$9)</f>
        <v>11.583</v>
      </c>
      <c r="F710" s="11">
        <f>11.583 * CHOOSE(CONTROL!$C$32, $C$9, 100%, $E$9)</f>
        <v>11.583</v>
      </c>
      <c r="G710" s="11">
        <f>11.5862 * CHOOSE(CONTROL!$C$32, $C$9, 100%, $E$9)</f>
        <v>11.5862</v>
      </c>
      <c r="H710" s="11">
        <f>23.8468 * CHOOSE(CONTROL!$C$32, $C$9, 100%, $E$9)</f>
        <v>23.846800000000002</v>
      </c>
      <c r="I710" s="11">
        <f>23.85 * CHOOSE(CONTROL!$C$32, $C$9, 100%, $E$9)</f>
        <v>23.85</v>
      </c>
      <c r="J710" s="11">
        <f>23.8468 * CHOOSE(CONTROL!$C$32, $C$9, 100%, $E$9)</f>
        <v>23.846800000000002</v>
      </c>
      <c r="K710" s="11">
        <f>23.85 * CHOOSE(CONTROL!$C$32, $C$9, 100%, $E$9)</f>
        <v>23.85</v>
      </c>
      <c r="L710" s="11">
        <f>11.583 * CHOOSE(CONTROL!$C$32, $C$9, 100%, $E$9)</f>
        <v>11.583</v>
      </c>
      <c r="M710" s="11">
        <f>11.5862 * CHOOSE(CONTROL!$C$32, $C$9, 100%, $E$9)</f>
        <v>11.5862</v>
      </c>
      <c r="N710" s="11">
        <f>11.583 * CHOOSE(CONTROL!$C$32, $C$9, 100%, $E$9)</f>
        <v>11.583</v>
      </c>
      <c r="O710" s="11">
        <f>11.5862 * CHOOSE(CONTROL!$C$32, $C$9, 100%, $E$9)</f>
        <v>11.5862</v>
      </c>
    </row>
    <row r="711" spans="1:15" ht="15" x14ac:dyDescent="0.2">
      <c r="A711" s="13">
        <v>62490</v>
      </c>
      <c r="B711" s="9">
        <f>10.3154 * CHOOSE(CONTROL!$C$32, $C$9, 100%, $E$9)</f>
        <v>10.3154</v>
      </c>
      <c r="C711" s="9">
        <f>10.3154 * CHOOSE(CONTROL!$C$32, $C$9, 100%, $E$9)</f>
        <v>10.3154</v>
      </c>
      <c r="D711" s="9">
        <f>10.3163 * CHOOSE(CONTROL!$C$32, $C$9, 100%, $E$9)</f>
        <v>10.3163</v>
      </c>
      <c r="E711" s="11">
        <f>11.2849 * CHOOSE(CONTROL!$C$32, $C$9, 100%, $E$9)</f>
        <v>11.2849</v>
      </c>
      <c r="F711" s="11">
        <f>11.2849 * CHOOSE(CONTROL!$C$32, $C$9, 100%, $E$9)</f>
        <v>11.2849</v>
      </c>
      <c r="G711" s="11">
        <f>11.2881 * CHOOSE(CONTROL!$C$32, $C$9, 100%, $E$9)</f>
        <v>11.2881</v>
      </c>
      <c r="H711" s="11">
        <f>23.8965 * CHOOSE(CONTROL!$C$32, $C$9, 100%, $E$9)</f>
        <v>23.8965</v>
      </c>
      <c r="I711" s="11">
        <f>23.8997 * CHOOSE(CONTROL!$C$32, $C$9, 100%, $E$9)</f>
        <v>23.899699999999999</v>
      </c>
      <c r="J711" s="11">
        <f>23.8965 * CHOOSE(CONTROL!$C$32, $C$9, 100%, $E$9)</f>
        <v>23.8965</v>
      </c>
      <c r="K711" s="11">
        <f>23.8997 * CHOOSE(CONTROL!$C$32, $C$9, 100%, $E$9)</f>
        <v>23.899699999999999</v>
      </c>
      <c r="L711" s="11">
        <f>11.2849 * CHOOSE(CONTROL!$C$32, $C$9, 100%, $E$9)</f>
        <v>11.2849</v>
      </c>
      <c r="M711" s="11">
        <f>11.2881 * CHOOSE(CONTROL!$C$32, $C$9, 100%, $E$9)</f>
        <v>11.2881</v>
      </c>
      <c r="N711" s="11">
        <f>11.2849 * CHOOSE(CONTROL!$C$32, $C$9, 100%, $E$9)</f>
        <v>11.2849</v>
      </c>
      <c r="O711" s="11">
        <f>11.2881 * CHOOSE(CONTROL!$C$32, $C$9, 100%, $E$9)</f>
        <v>11.2881</v>
      </c>
    </row>
    <row r="712" spans="1:15" ht="15" x14ac:dyDescent="0.2">
      <c r="A712" s="13">
        <v>62518</v>
      </c>
      <c r="B712" s="9">
        <f>10.3123 * CHOOSE(CONTROL!$C$32, $C$9, 100%, $E$9)</f>
        <v>10.3123</v>
      </c>
      <c r="C712" s="9">
        <f>10.3123 * CHOOSE(CONTROL!$C$32, $C$9, 100%, $E$9)</f>
        <v>10.3123</v>
      </c>
      <c r="D712" s="9">
        <f>10.3133 * CHOOSE(CONTROL!$C$32, $C$9, 100%, $E$9)</f>
        <v>10.3133</v>
      </c>
      <c r="E712" s="11">
        <f>11.5161 * CHOOSE(CONTROL!$C$32, $C$9, 100%, $E$9)</f>
        <v>11.5161</v>
      </c>
      <c r="F712" s="11">
        <f>11.5161 * CHOOSE(CONTROL!$C$32, $C$9, 100%, $E$9)</f>
        <v>11.5161</v>
      </c>
      <c r="G712" s="11">
        <f>11.5194 * CHOOSE(CONTROL!$C$32, $C$9, 100%, $E$9)</f>
        <v>11.519399999999999</v>
      </c>
      <c r="H712" s="11">
        <f>23.9462 * CHOOSE(CONTROL!$C$32, $C$9, 100%, $E$9)</f>
        <v>23.946200000000001</v>
      </c>
      <c r="I712" s="11">
        <f>23.9495 * CHOOSE(CONTROL!$C$32, $C$9, 100%, $E$9)</f>
        <v>23.9495</v>
      </c>
      <c r="J712" s="11">
        <f>23.9462 * CHOOSE(CONTROL!$C$32, $C$9, 100%, $E$9)</f>
        <v>23.946200000000001</v>
      </c>
      <c r="K712" s="11">
        <f>23.9495 * CHOOSE(CONTROL!$C$32, $C$9, 100%, $E$9)</f>
        <v>23.9495</v>
      </c>
      <c r="L712" s="11">
        <f>11.5161 * CHOOSE(CONTROL!$C$32, $C$9, 100%, $E$9)</f>
        <v>11.5161</v>
      </c>
      <c r="M712" s="11">
        <f>11.5194 * CHOOSE(CONTROL!$C$32, $C$9, 100%, $E$9)</f>
        <v>11.519399999999999</v>
      </c>
      <c r="N712" s="11">
        <f>11.5161 * CHOOSE(CONTROL!$C$32, $C$9, 100%, $E$9)</f>
        <v>11.5161</v>
      </c>
      <c r="O712" s="11">
        <f>11.5194 * CHOOSE(CONTROL!$C$32, $C$9, 100%, $E$9)</f>
        <v>11.519399999999999</v>
      </c>
    </row>
    <row r="713" spans="1:15" ht="15" x14ac:dyDescent="0.2">
      <c r="A713" s="13">
        <v>62549</v>
      </c>
      <c r="B713" s="9">
        <f>10.3161 * CHOOSE(CONTROL!$C$32, $C$9, 100%, $E$9)</f>
        <v>10.3161</v>
      </c>
      <c r="C713" s="9">
        <f>10.3161 * CHOOSE(CONTROL!$C$32, $C$9, 100%, $E$9)</f>
        <v>10.3161</v>
      </c>
      <c r="D713" s="9">
        <f>10.3171 * CHOOSE(CONTROL!$C$32, $C$9, 100%, $E$9)</f>
        <v>10.3171</v>
      </c>
      <c r="E713" s="11">
        <f>11.7625 * CHOOSE(CONTROL!$C$32, $C$9, 100%, $E$9)</f>
        <v>11.762499999999999</v>
      </c>
      <c r="F713" s="11">
        <f>11.7625 * CHOOSE(CONTROL!$C$32, $C$9, 100%, $E$9)</f>
        <v>11.762499999999999</v>
      </c>
      <c r="G713" s="11">
        <f>11.7657 * CHOOSE(CONTROL!$C$32, $C$9, 100%, $E$9)</f>
        <v>11.765700000000001</v>
      </c>
      <c r="H713" s="11">
        <f>23.9961 * CHOOSE(CONTROL!$C$32, $C$9, 100%, $E$9)</f>
        <v>23.996099999999998</v>
      </c>
      <c r="I713" s="11">
        <f>23.9994 * CHOOSE(CONTROL!$C$32, $C$9, 100%, $E$9)</f>
        <v>23.999400000000001</v>
      </c>
      <c r="J713" s="11">
        <f>23.9961 * CHOOSE(CONTROL!$C$32, $C$9, 100%, $E$9)</f>
        <v>23.996099999999998</v>
      </c>
      <c r="K713" s="11">
        <f>23.9994 * CHOOSE(CONTROL!$C$32, $C$9, 100%, $E$9)</f>
        <v>23.999400000000001</v>
      </c>
      <c r="L713" s="11">
        <f>11.7625 * CHOOSE(CONTROL!$C$32, $C$9, 100%, $E$9)</f>
        <v>11.762499999999999</v>
      </c>
      <c r="M713" s="11">
        <f>11.7657 * CHOOSE(CONTROL!$C$32, $C$9, 100%, $E$9)</f>
        <v>11.765700000000001</v>
      </c>
      <c r="N713" s="11">
        <f>11.7625 * CHOOSE(CONTROL!$C$32, $C$9, 100%, $E$9)</f>
        <v>11.762499999999999</v>
      </c>
      <c r="O713" s="11">
        <f>11.7657 * CHOOSE(CONTROL!$C$32, $C$9, 100%, $E$9)</f>
        <v>11.765700000000001</v>
      </c>
    </row>
    <row r="714" spans="1:15" ht="15" x14ac:dyDescent="0.2">
      <c r="A714" s="13">
        <v>62579</v>
      </c>
      <c r="B714" s="9">
        <f>10.3161 * CHOOSE(CONTROL!$C$32, $C$9, 100%, $E$9)</f>
        <v>10.3161</v>
      </c>
      <c r="C714" s="9">
        <f>10.3161 * CHOOSE(CONTROL!$C$32, $C$9, 100%, $E$9)</f>
        <v>10.3161</v>
      </c>
      <c r="D714" s="9">
        <f>10.3174 * CHOOSE(CONTROL!$C$32, $C$9, 100%, $E$9)</f>
        <v>10.317399999999999</v>
      </c>
      <c r="E714" s="11">
        <f>11.8565 * CHOOSE(CONTROL!$C$32, $C$9, 100%, $E$9)</f>
        <v>11.8565</v>
      </c>
      <c r="F714" s="11">
        <f>11.8565 * CHOOSE(CONTROL!$C$32, $C$9, 100%, $E$9)</f>
        <v>11.8565</v>
      </c>
      <c r="G714" s="11">
        <f>11.8607 * CHOOSE(CONTROL!$C$32, $C$9, 100%, $E$9)</f>
        <v>11.8607</v>
      </c>
      <c r="H714" s="11">
        <f>24.0461 * CHOOSE(CONTROL!$C$32, $C$9, 100%, $E$9)</f>
        <v>24.046099999999999</v>
      </c>
      <c r="I714" s="11">
        <f>24.0503 * CHOOSE(CONTROL!$C$32, $C$9, 100%, $E$9)</f>
        <v>24.0503</v>
      </c>
      <c r="J714" s="11">
        <f>24.0461 * CHOOSE(CONTROL!$C$32, $C$9, 100%, $E$9)</f>
        <v>24.046099999999999</v>
      </c>
      <c r="K714" s="11">
        <f>24.0503 * CHOOSE(CONTROL!$C$32, $C$9, 100%, $E$9)</f>
        <v>24.0503</v>
      </c>
      <c r="L714" s="11">
        <f>11.8565 * CHOOSE(CONTROL!$C$32, $C$9, 100%, $E$9)</f>
        <v>11.8565</v>
      </c>
      <c r="M714" s="11">
        <f>11.8607 * CHOOSE(CONTROL!$C$32, $C$9, 100%, $E$9)</f>
        <v>11.8607</v>
      </c>
      <c r="N714" s="11">
        <f>11.8565 * CHOOSE(CONTROL!$C$32, $C$9, 100%, $E$9)</f>
        <v>11.8565</v>
      </c>
      <c r="O714" s="11">
        <f>11.8607 * CHOOSE(CONTROL!$C$32, $C$9, 100%, $E$9)</f>
        <v>11.8607</v>
      </c>
    </row>
    <row r="715" spans="1:15" ht="15" x14ac:dyDescent="0.2">
      <c r="A715" s="13">
        <v>62610</v>
      </c>
      <c r="B715" s="9">
        <f>10.3222 * CHOOSE(CONTROL!$C$32, $C$9, 100%, $E$9)</f>
        <v>10.3222</v>
      </c>
      <c r="C715" s="9">
        <f>10.3222 * CHOOSE(CONTROL!$C$32, $C$9, 100%, $E$9)</f>
        <v>10.3222</v>
      </c>
      <c r="D715" s="9">
        <f>10.3235 * CHOOSE(CONTROL!$C$32, $C$9, 100%, $E$9)</f>
        <v>10.323499999999999</v>
      </c>
      <c r="E715" s="11">
        <f>11.7667 * CHOOSE(CONTROL!$C$32, $C$9, 100%, $E$9)</f>
        <v>11.7667</v>
      </c>
      <c r="F715" s="11">
        <f>11.7667 * CHOOSE(CONTROL!$C$32, $C$9, 100%, $E$9)</f>
        <v>11.7667</v>
      </c>
      <c r="G715" s="11">
        <f>11.7709 * CHOOSE(CONTROL!$C$32, $C$9, 100%, $E$9)</f>
        <v>11.770899999999999</v>
      </c>
      <c r="H715" s="11">
        <f>24.0962 * CHOOSE(CONTROL!$C$32, $C$9, 100%, $E$9)</f>
        <v>24.0962</v>
      </c>
      <c r="I715" s="11">
        <f>24.1004 * CHOOSE(CONTROL!$C$32, $C$9, 100%, $E$9)</f>
        <v>24.1004</v>
      </c>
      <c r="J715" s="11">
        <f>24.0962 * CHOOSE(CONTROL!$C$32, $C$9, 100%, $E$9)</f>
        <v>24.0962</v>
      </c>
      <c r="K715" s="11">
        <f>24.1004 * CHOOSE(CONTROL!$C$32, $C$9, 100%, $E$9)</f>
        <v>24.1004</v>
      </c>
      <c r="L715" s="11">
        <f>11.7667 * CHOOSE(CONTROL!$C$32, $C$9, 100%, $E$9)</f>
        <v>11.7667</v>
      </c>
      <c r="M715" s="11">
        <f>11.7709 * CHOOSE(CONTROL!$C$32, $C$9, 100%, $E$9)</f>
        <v>11.770899999999999</v>
      </c>
      <c r="N715" s="11">
        <f>11.7667 * CHOOSE(CONTROL!$C$32, $C$9, 100%, $E$9)</f>
        <v>11.7667</v>
      </c>
      <c r="O715" s="11">
        <f>11.7709 * CHOOSE(CONTROL!$C$32, $C$9, 100%, $E$9)</f>
        <v>11.770899999999999</v>
      </c>
    </row>
    <row r="716" spans="1:15" ht="15" x14ac:dyDescent="0.2">
      <c r="A716" s="13">
        <v>62640</v>
      </c>
      <c r="B716" s="9">
        <f>10.4501 * CHOOSE(CONTROL!$C$32, $C$9, 100%, $E$9)</f>
        <v>10.450100000000001</v>
      </c>
      <c r="C716" s="9">
        <f>10.4501 * CHOOSE(CONTROL!$C$32, $C$9, 100%, $E$9)</f>
        <v>10.450100000000001</v>
      </c>
      <c r="D716" s="9">
        <f>10.4514 * CHOOSE(CONTROL!$C$32, $C$9, 100%, $E$9)</f>
        <v>10.4514</v>
      </c>
      <c r="E716" s="11">
        <f>11.9319 * CHOOSE(CONTROL!$C$32, $C$9, 100%, $E$9)</f>
        <v>11.931900000000001</v>
      </c>
      <c r="F716" s="11">
        <f>11.9319 * CHOOSE(CONTROL!$C$32, $C$9, 100%, $E$9)</f>
        <v>11.931900000000001</v>
      </c>
      <c r="G716" s="11">
        <f>11.9361 * CHOOSE(CONTROL!$C$32, $C$9, 100%, $E$9)</f>
        <v>11.9361</v>
      </c>
      <c r="H716" s="11">
        <f>24.1464 * CHOOSE(CONTROL!$C$32, $C$9, 100%, $E$9)</f>
        <v>24.1464</v>
      </c>
      <c r="I716" s="11">
        <f>24.1506 * CHOOSE(CONTROL!$C$32, $C$9, 100%, $E$9)</f>
        <v>24.150600000000001</v>
      </c>
      <c r="J716" s="11">
        <f>24.1464 * CHOOSE(CONTROL!$C$32, $C$9, 100%, $E$9)</f>
        <v>24.1464</v>
      </c>
      <c r="K716" s="11">
        <f>24.1506 * CHOOSE(CONTROL!$C$32, $C$9, 100%, $E$9)</f>
        <v>24.150600000000001</v>
      </c>
      <c r="L716" s="11">
        <f>11.9319 * CHOOSE(CONTROL!$C$32, $C$9, 100%, $E$9)</f>
        <v>11.931900000000001</v>
      </c>
      <c r="M716" s="11">
        <f>11.9361 * CHOOSE(CONTROL!$C$32, $C$9, 100%, $E$9)</f>
        <v>11.9361</v>
      </c>
      <c r="N716" s="11">
        <f>11.9319 * CHOOSE(CONTROL!$C$32, $C$9, 100%, $E$9)</f>
        <v>11.931900000000001</v>
      </c>
      <c r="O716" s="11">
        <f>11.9361 * CHOOSE(CONTROL!$C$32, $C$9, 100%, $E$9)</f>
        <v>11.9361</v>
      </c>
    </row>
    <row r="717" spans="1:15" ht="15" x14ac:dyDescent="0.2">
      <c r="A717" s="13">
        <v>62671</v>
      </c>
      <c r="B717" s="9">
        <f>10.4568 * CHOOSE(CONTROL!$C$32, $C$9, 100%, $E$9)</f>
        <v>10.456799999999999</v>
      </c>
      <c r="C717" s="9">
        <f>10.4568 * CHOOSE(CONTROL!$C$32, $C$9, 100%, $E$9)</f>
        <v>10.456799999999999</v>
      </c>
      <c r="D717" s="9">
        <f>10.4581 * CHOOSE(CONTROL!$C$32, $C$9, 100%, $E$9)</f>
        <v>10.4581</v>
      </c>
      <c r="E717" s="11">
        <f>11.6546 * CHOOSE(CONTROL!$C$32, $C$9, 100%, $E$9)</f>
        <v>11.6546</v>
      </c>
      <c r="F717" s="11">
        <f>11.6546 * CHOOSE(CONTROL!$C$32, $C$9, 100%, $E$9)</f>
        <v>11.6546</v>
      </c>
      <c r="G717" s="11">
        <f>11.6588 * CHOOSE(CONTROL!$C$32, $C$9, 100%, $E$9)</f>
        <v>11.658799999999999</v>
      </c>
      <c r="H717" s="11">
        <f>24.1967 * CHOOSE(CONTROL!$C$32, $C$9, 100%, $E$9)</f>
        <v>24.1967</v>
      </c>
      <c r="I717" s="11">
        <f>24.2009 * CHOOSE(CONTROL!$C$32, $C$9, 100%, $E$9)</f>
        <v>24.200900000000001</v>
      </c>
      <c r="J717" s="11">
        <f>24.1967 * CHOOSE(CONTROL!$C$32, $C$9, 100%, $E$9)</f>
        <v>24.1967</v>
      </c>
      <c r="K717" s="11">
        <f>24.2009 * CHOOSE(CONTROL!$C$32, $C$9, 100%, $E$9)</f>
        <v>24.200900000000001</v>
      </c>
      <c r="L717" s="11">
        <f>11.6546 * CHOOSE(CONTROL!$C$32, $C$9, 100%, $E$9)</f>
        <v>11.6546</v>
      </c>
      <c r="M717" s="11">
        <f>11.6588 * CHOOSE(CONTROL!$C$32, $C$9, 100%, $E$9)</f>
        <v>11.658799999999999</v>
      </c>
      <c r="N717" s="11">
        <f>11.6546 * CHOOSE(CONTROL!$C$32, $C$9, 100%, $E$9)</f>
        <v>11.6546</v>
      </c>
      <c r="O717" s="11">
        <f>11.6588 * CHOOSE(CONTROL!$C$32, $C$9, 100%, $E$9)</f>
        <v>11.658799999999999</v>
      </c>
    </row>
    <row r="718" spans="1:15" ht="15" x14ac:dyDescent="0.2">
      <c r="A718" s="13">
        <v>62702</v>
      </c>
      <c r="B718" s="9">
        <f>10.4538 * CHOOSE(CONTROL!$C$32, $C$9, 100%, $E$9)</f>
        <v>10.453799999999999</v>
      </c>
      <c r="C718" s="9">
        <f>10.4538 * CHOOSE(CONTROL!$C$32, $C$9, 100%, $E$9)</f>
        <v>10.453799999999999</v>
      </c>
      <c r="D718" s="9">
        <f>10.455 * CHOOSE(CONTROL!$C$32, $C$9, 100%, $E$9)</f>
        <v>10.455</v>
      </c>
      <c r="E718" s="11">
        <f>11.6211 * CHOOSE(CONTROL!$C$32, $C$9, 100%, $E$9)</f>
        <v>11.6211</v>
      </c>
      <c r="F718" s="11">
        <f>11.6211 * CHOOSE(CONTROL!$C$32, $C$9, 100%, $E$9)</f>
        <v>11.6211</v>
      </c>
      <c r="G718" s="11">
        <f>11.6253 * CHOOSE(CONTROL!$C$32, $C$9, 100%, $E$9)</f>
        <v>11.625299999999999</v>
      </c>
      <c r="H718" s="11">
        <f>24.2471 * CHOOSE(CONTROL!$C$32, $C$9, 100%, $E$9)</f>
        <v>24.2471</v>
      </c>
      <c r="I718" s="11">
        <f>24.2513 * CHOOSE(CONTROL!$C$32, $C$9, 100%, $E$9)</f>
        <v>24.251300000000001</v>
      </c>
      <c r="J718" s="11">
        <f>24.2471 * CHOOSE(CONTROL!$C$32, $C$9, 100%, $E$9)</f>
        <v>24.2471</v>
      </c>
      <c r="K718" s="11">
        <f>24.2513 * CHOOSE(CONTROL!$C$32, $C$9, 100%, $E$9)</f>
        <v>24.251300000000001</v>
      </c>
      <c r="L718" s="11">
        <f>11.6211 * CHOOSE(CONTROL!$C$32, $C$9, 100%, $E$9)</f>
        <v>11.6211</v>
      </c>
      <c r="M718" s="11">
        <f>11.6253 * CHOOSE(CONTROL!$C$32, $C$9, 100%, $E$9)</f>
        <v>11.625299999999999</v>
      </c>
      <c r="N718" s="11">
        <f>11.6211 * CHOOSE(CONTROL!$C$32, $C$9, 100%, $E$9)</f>
        <v>11.6211</v>
      </c>
      <c r="O718" s="11">
        <f>11.6253 * CHOOSE(CONTROL!$C$32, $C$9, 100%, $E$9)</f>
        <v>11.625299999999999</v>
      </c>
    </row>
    <row r="719" spans="1:15" ht="15" x14ac:dyDescent="0.2">
      <c r="A719" s="13">
        <v>62732</v>
      </c>
      <c r="B719" s="9">
        <f>10.4729 * CHOOSE(CONTROL!$C$32, $C$9, 100%, $E$9)</f>
        <v>10.472899999999999</v>
      </c>
      <c r="C719" s="9">
        <f>10.4729 * CHOOSE(CONTROL!$C$32, $C$9, 100%, $E$9)</f>
        <v>10.472899999999999</v>
      </c>
      <c r="D719" s="9">
        <f>10.4739 * CHOOSE(CONTROL!$C$32, $C$9, 100%, $E$9)</f>
        <v>10.4739</v>
      </c>
      <c r="E719" s="11">
        <f>11.733 * CHOOSE(CONTROL!$C$32, $C$9, 100%, $E$9)</f>
        <v>11.733000000000001</v>
      </c>
      <c r="F719" s="11">
        <f>11.733 * CHOOSE(CONTROL!$C$32, $C$9, 100%, $E$9)</f>
        <v>11.733000000000001</v>
      </c>
      <c r="G719" s="11">
        <f>11.7363 * CHOOSE(CONTROL!$C$32, $C$9, 100%, $E$9)</f>
        <v>11.7363</v>
      </c>
      <c r="H719" s="11">
        <f>24.2976 * CHOOSE(CONTROL!$C$32, $C$9, 100%, $E$9)</f>
        <v>24.297599999999999</v>
      </c>
      <c r="I719" s="11">
        <f>24.3009 * CHOOSE(CONTROL!$C$32, $C$9, 100%, $E$9)</f>
        <v>24.300899999999999</v>
      </c>
      <c r="J719" s="11">
        <f>24.2976 * CHOOSE(CONTROL!$C$32, $C$9, 100%, $E$9)</f>
        <v>24.297599999999999</v>
      </c>
      <c r="K719" s="11">
        <f>24.3009 * CHOOSE(CONTROL!$C$32, $C$9, 100%, $E$9)</f>
        <v>24.300899999999999</v>
      </c>
      <c r="L719" s="11">
        <f>11.733 * CHOOSE(CONTROL!$C$32, $C$9, 100%, $E$9)</f>
        <v>11.733000000000001</v>
      </c>
      <c r="M719" s="11">
        <f>11.7363 * CHOOSE(CONTROL!$C$32, $C$9, 100%, $E$9)</f>
        <v>11.7363</v>
      </c>
      <c r="N719" s="11">
        <f>11.733 * CHOOSE(CONTROL!$C$32, $C$9, 100%, $E$9)</f>
        <v>11.733000000000001</v>
      </c>
      <c r="O719" s="11">
        <f>11.7363 * CHOOSE(CONTROL!$C$32, $C$9, 100%, $E$9)</f>
        <v>11.7363</v>
      </c>
    </row>
    <row r="720" spans="1:15" ht="15" x14ac:dyDescent="0.2">
      <c r="A720" s="13">
        <v>62763</v>
      </c>
      <c r="B720" s="9">
        <f>10.476 * CHOOSE(CONTROL!$C$32, $C$9, 100%, $E$9)</f>
        <v>10.476000000000001</v>
      </c>
      <c r="C720" s="9">
        <f>10.476 * CHOOSE(CONTROL!$C$32, $C$9, 100%, $E$9)</f>
        <v>10.476000000000001</v>
      </c>
      <c r="D720" s="9">
        <f>10.4769 * CHOOSE(CONTROL!$C$32, $C$9, 100%, $E$9)</f>
        <v>10.476900000000001</v>
      </c>
      <c r="E720" s="11">
        <f>11.7978 * CHOOSE(CONTROL!$C$32, $C$9, 100%, $E$9)</f>
        <v>11.797800000000001</v>
      </c>
      <c r="F720" s="11">
        <f>11.7978 * CHOOSE(CONTROL!$C$32, $C$9, 100%, $E$9)</f>
        <v>11.797800000000001</v>
      </c>
      <c r="G720" s="11">
        <f>11.801 * CHOOSE(CONTROL!$C$32, $C$9, 100%, $E$9)</f>
        <v>11.801</v>
      </c>
      <c r="H720" s="11">
        <f>24.3483 * CHOOSE(CONTROL!$C$32, $C$9, 100%, $E$9)</f>
        <v>24.348299999999998</v>
      </c>
      <c r="I720" s="11">
        <f>24.3515 * CHOOSE(CONTROL!$C$32, $C$9, 100%, $E$9)</f>
        <v>24.351500000000001</v>
      </c>
      <c r="J720" s="11">
        <f>24.3483 * CHOOSE(CONTROL!$C$32, $C$9, 100%, $E$9)</f>
        <v>24.348299999999998</v>
      </c>
      <c r="K720" s="11">
        <f>24.3515 * CHOOSE(CONTROL!$C$32, $C$9, 100%, $E$9)</f>
        <v>24.351500000000001</v>
      </c>
      <c r="L720" s="11">
        <f>11.7978 * CHOOSE(CONTROL!$C$32, $C$9, 100%, $E$9)</f>
        <v>11.797800000000001</v>
      </c>
      <c r="M720" s="11">
        <f>11.801 * CHOOSE(CONTROL!$C$32, $C$9, 100%, $E$9)</f>
        <v>11.801</v>
      </c>
      <c r="N720" s="11">
        <f>11.7978 * CHOOSE(CONTROL!$C$32, $C$9, 100%, $E$9)</f>
        <v>11.797800000000001</v>
      </c>
      <c r="O720" s="11">
        <f>11.801 * CHOOSE(CONTROL!$C$32, $C$9, 100%, $E$9)</f>
        <v>11.801</v>
      </c>
    </row>
    <row r="721" spans="1:15" ht="15" x14ac:dyDescent="0.2">
      <c r="A721" s="13">
        <v>62793</v>
      </c>
      <c r="B721" s="9">
        <f>10.476 * CHOOSE(CONTROL!$C$32, $C$9, 100%, $E$9)</f>
        <v>10.476000000000001</v>
      </c>
      <c r="C721" s="9">
        <f>10.476 * CHOOSE(CONTROL!$C$32, $C$9, 100%, $E$9)</f>
        <v>10.476000000000001</v>
      </c>
      <c r="D721" s="9">
        <f>10.4769 * CHOOSE(CONTROL!$C$32, $C$9, 100%, $E$9)</f>
        <v>10.476900000000001</v>
      </c>
      <c r="E721" s="11">
        <f>11.6412 * CHOOSE(CONTROL!$C$32, $C$9, 100%, $E$9)</f>
        <v>11.6412</v>
      </c>
      <c r="F721" s="11">
        <f>11.6412 * CHOOSE(CONTROL!$C$32, $C$9, 100%, $E$9)</f>
        <v>11.6412</v>
      </c>
      <c r="G721" s="11">
        <f>11.6444 * CHOOSE(CONTROL!$C$32, $C$9, 100%, $E$9)</f>
        <v>11.644399999999999</v>
      </c>
      <c r="H721" s="11">
        <f>24.399 * CHOOSE(CONTROL!$C$32, $C$9, 100%, $E$9)</f>
        <v>24.399000000000001</v>
      </c>
      <c r="I721" s="11">
        <f>24.4022 * CHOOSE(CONTROL!$C$32, $C$9, 100%, $E$9)</f>
        <v>24.402200000000001</v>
      </c>
      <c r="J721" s="11">
        <f>24.399 * CHOOSE(CONTROL!$C$32, $C$9, 100%, $E$9)</f>
        <v>24.399000000000001</v>
      </c>
      <c r="K721" s="11">
        <f>24.4022 * CHOOSE(CONTROL!$C$32, $C$9, 100%, $E$9)</f>
        <v>24.402200000000001</v>
      </c>
      <c r="L721" s="11">
        <f>11.6412 * CHOOSE(CONTROL!$C$32, $C$9, 100%, $E$9)</f>
        <v>11.6412</v>
      </c>
      <c r="M721" s="11">
        <f>11.6444 * CHOOSE(CONTROL!$C$32, $C$9, 100%, $E$9)</f>
        <v>11.644399999999999</v>
      </c>
      <c r="N721" s="11">
        <f>11.6412 * CHOOSE(CONTROL!$C$32, $C$9, 100%, $E$9)</f>
        <v>11.6412</v>
      </c>
      <c r="O721" s="11">
        <f>11.6444 * CHOOSE(CONTROL!$C$32, $C$9, 100%, $E$9)</f>
        <v>11.644399999999999</v>
      </c>
    </row>
    <row r="722" spans="1:15" ht="15" x14ac:dyDescent="0.2">
      <c r="A722" s="13">
        <v>62824</v>
      </c>
      <c r="B722" s="9">
        <f>10.5058 * CHOOSE(CONTROL!$C$32, $C$9, 100%, $E$9)</f>
        <v>10.505800000000001</v>
      </c>
      <c r="C722" s="9">
        <f>10.5058 * CHOOSE(CONTROL!$C$32, $C$9, 100%, $E$9)</f>
        <v>10.505800000000001</v>
      </c>
      <c r="D722" s="9">
        <f>10.5067 * CHOOSE(CONTROL!$C$32, $C$9, 100%, $E$9)</f>
        <v>10.5067</v>
      </c>
      <c r="E722" s="11">
        <f>11.7955 * CHOOSE(CONTROL!$C$32, $C$9, 100%, $E$9)</f>
        <v>11.795500000000001</v>
      </c>
      <c r="F722" s="11">
        <f>11.7955 * CHOOSE(CONTROL!$C$32, $C$9, 100%, $E$9)</f>
        <v>11.795500000000001</v>
      </c>
      <c r="G722" s="11">
        <f>11.7988 * CHOOSE(CONTROL!$C$32, $C$9, 100%, $E$9)</f>
        <v>11.7988</v>
      </c>
      <c r="H722" s="11">
        <f>24.3186 * CHOOSE(CONTROL!$C$32, $C$9, 100%, $E$9)</f>
        <v>24.3186</v>
      </c>
      <c r="I722" s="11">
        <f>24.3218 * CHOOSE(CONTROL!$C$32, $C$9, 100%, $E$9)</f>
        <v>24.3218</v>
      </c>
      <c r="J722" s="11">
        <f>24.3186 * CHOOSE(CONTROL!$C$32, $C$9, 100%, $E$9)</f>
        <v>24.3186</v>
      </c>
      <c r="K722" s="11">
        <f>24.3218 * CHOOSE(CONTROL!$C$32, $C$9, 100%, $E$9)</f>
        <v>24.3218</v>
      </c>
      <c r="L722" s="11">
        <f>11.7955 * CHOOSE(CONTROL!$C$32, $C$9, 100%, $E$9)</f>
        <v>11.795500000000001</v>
      </c>
      <c r="M722" s="11">
        <f>11.7988 * CHOOSE(CONTROL!$C$32, $C$9, 100%, $E$9)</f>
        <v>11.7988</v>
      </c>
      <c r="N722" s="11">
        <f>11.7955 * CHOOSE(CONTROL!$C$32, $C$9, 100%, $E$9)</f>
        <v>11.795500000000001</v>
      </c>
      <c r="O722" s="11">
        <f>11.7988 * CHOOSE(CONTROL!$C$32, $C$9, 100%, $E$9)</f>
        <v>11.7988</v>
      </c>
    </row>
    <row r="723" spans="1:15" ht="15" x14ac:dyDescent="0.2">
      <c r="A723" s="13">
        <v>62855</v>
      </c>
      <c r="B723" s="9">
        <f>10.5027 * CHOOSE(CONTROL!$C$32, $C$9, 100%, $E$9)</f>
        <v>10.502700000000001</v>
      </c>
      <c r="C723" s="9">
        <f>10.5027 * CHOOSE(CONTROL!$C$32, $C$9, 100%, $E$9)</f>
        <v>10.502700000000001</v>
      </c>
      <c r="D723" s="9">
        <f>10.5037 * CHOOSE(CONTROL!$C$32, $C$9, 100%, $E$9)</f>
        <v>10.5037</v>
      </c>
      <c r="E723" s="11">
        <f>11.4903 * CHOOSE(CONTROL!$C$32, $C$9, 100%, $E$9)</f>
        <v>11.4903</v>
      </c>
      <c r="F723" s="11">
        <f>11.4903 * CHOOSE(CONTROL!$C$32, $C$9, 100%, $E$9)</f>
        <v>11.4903</v>
      </c>
      <c r="G723" s="11">
        <f>11.4936 * CHOOSE(CONTROL!$C$32, $C$9, 100%, $E$9)</f>
        <v>11.493600000000001</v>
      </c>
      <c r="H723" s="11">
        <f>24.3692 * CHOOSE(CONTROL!$C$32, $C$9, 100%, $E$9)</f>
        <v>24.369199999999999</v>
      </c>
      <c r="I723" s="11">
        <f>24.3725 * CHOOSE(CONTROL!$C$32, $C$9, 100%, $E$9)</f>
        <v>24.372499999999999</v>
      </c>
      <c r="J723" s="11">
        <f>24.3692 * CHOOSE(CONTROL!$C$32, $C$9, 100%, $E$9)</f>
        <v>24.369199999999999</v>
      </c>
      <c r="K723" s="11">
        <f>24.3725 * CHOOSE(CONTROL!$C$32, $C$9, 100%, $E$9)</f>
        <v>24.372499999999999</v>
      </c>
      <c r="L723" s="11">
        <f>11.4903 * CHOOSE(CONTROL!$C$32, $C$9, 100%, $E$9)</f>
        <v>11.4903</v>
      </c>
      <c r="M723" s="11">
        <f>11.4936 * CHOOSE(CONTROL!$C$32, $C$9, 100%, $E$9)</f>
        <v>11.493600000000001</v>
      </c>
      <c r="N723" s="11">
        <f>11.4903 * CHOOSE(CONTROL!$C$32, $C$9, 100%, $E$9)</f>
        <v>11.4903</v>
      </c>
      <c r="O723" s="11">
        <f>11.4936 * CHOOSE(CONTROL!$C$32, $C$9, 100%, $E$9)</f>
        <v>11.493600000000001</v>
      </c>
    </row>
    <row r="724" spans="1:15" ht="15" x14ac:dyDescent="0.2">
      <c r="A724" s="13">
        <v>62884</v>
      </c>
      <c r="B724" s="9">
        <f>10.4997 * CHOOSE(CONTROL!$C$32, $C$9, 100%, $E$9)</f>
        <v>10.499700000000001</v>
      </c>
      <c r="C724" s="9">
        <f>10.4997 * CHOOSE(CONTROL!$C$32, $C$9, 100%, $E$9)</f>
        <v>10.499700000000001</v>
      </c>
      <c r="D724" s="9">
        <f>10.5007 * CHOOSE(CONTROL!$C$32, $C$9, 100%, $E$9)</f>
        <v>10.5007</v>
      </c>
      <c r="E724" s="11">
        <f>11.7271 * CHOOSE(CONTROL!$C$32, $C$9, 100%, $E$9)</f>
        <v>11.7271</v>
      </c>
      <c r="F724" s="11">
        <f>11.7271 * CHOOSE(CONTROL!$C$32, $C$9, 100%, $E$9)</f>
        <v>11.7271</v>
      </c>
      <c r="G724" s="11">
        <f>11.7304 * CHOOSE(CONTROL!$C$32, $C$9, 100%, $E$9)</f>
        <v>11.730399999999999</v>
      </c>
      <c r="H724" s="11">
        <f>24.42 * CHOOSE(CONTROL!$C$32, $C$9, 100%, $E$9)</f>
        <v>24.42</v>
      </c>
      <c r="I724" s="11">
        <f>24.4232 * CHOOSE(CONTROL!$C$32, $C$9, 100%, $E$9)</f>
        <v>24.423200000000001</v>
      </c>
      <c r="J724" s="11">
        <f>24.42 * CHOOSE(CONTROL!$C$32, $C$9, 100%, $E$9)</f>
        <v>24.42</v>
      </c>
      <c r="K724" s="11">
        <f>24.4232 * CHOOSE(CONTROL!$C$32, $C$9, 100%, $E$9)</f>
        <v>24.423200000000001</v>
      </c>
      <c r="L724" s="11">
        <f>11.7271 * CHOOSE(CONTROL!$C$32, $C$9, 100%, $E$9)</f>
        <v>11.7271</v>
      </c>
      <c r="M724" s="11">
        <f>11.7304 * CHOOSE(CONTROL!$C$32, $C$9, 100%, $E$9)</f>
        <v>11.730399999999999</v>
      </c>
      <c r="N724" s="11">
        <f>11.7271 * CHOOSE(CONTROL!$C$32, $C$9, 100%, $E$9)</f>
        <v>11.7271</v>
      </c>
      <c r="O724" s="11">
        <f>11.7304 * CHOOSE(CONTROL!$C$32, $C$9, 100%, $E$9)</f>
        <v>11.730399999999999</v>
      </c>
    </row>
    <row r="725" spans="1:15" ht="15" x14ac:dyDescent="0.2">
      <c r="A725" s="13">
        <v>62915</v>
      </c>
      <c r="B725" s="9">
        <f>10.5037 * CHOOSE(CONTROL!$C$32, $C$9, 100%, $E$9)</f>
        <v>10.5037</v>
      </c>
      <c r="C725" s="9">
        <f>10.5037 * CHOOSE(CONTROL!$C$32, $C$9, 100%, $E$9)</f>
        <v>10.5037</v>
      </c>
      <c r="D725" s="9">
        <f>10.5046 * CHOOSE(CONTROL!$C$32, $C$9, 100%, $E$9)</f>
        <v>10.5046</v>
      </c>
      <c r="E725" s="11">
        <f>11.9795 * CHOOSE(CONTROL!$C$32, $C$9, 100%, $E$9)</f>
        <v>11.9795</v>
      </c>
      <c r="F725" s="11">
        <f>11.9795 * CHOOSE(CONTROL!$C$32, $C$9, 100%, $E$9)</f>
        <v>11.9795</v>
      </c>
      <c r="G725" s="11">
        <f>11.9827 * CHOOSE(CONTROL!$C$32, $C$9, 100%, $E$9)</f>
        <v>11.982699999999999</v>
      </c>
      <c r="H725" s="11">
        <f>24.4709 * CHOOSE(CONTROL!$C$32, $C$9, 100%, $E$9)</f>
        <v>24.4709</v>
      </c>
      <c r="I725" s="11">
        <f>24.4741 * CHOOSE(CONTROL!$C$32, $C$9, 100%, $E$9)</f>
        <v>24.4741</v>
      </c>
      <c r="J725" s="11">
        <f>24.4709 * CHOOSE(CONTROL!$C$32, $C$9, 100%, $E$9)</f>
        <v>24.4709</v>
      </c>
      <c r="K725" s="11">
        <f>24.4741 * CHOOSE(CONTROL!$C$32, $C$9, 100%, $E$9)</f>
        <v>24.4741</v>
      </c>
      <c r="L725" s="11">
        <f>11.9795 * CHOOSE(CONTROL!$C$32, $C$9, 100%, $E$9)</f>
        <v>11.9795</v>
      </c>
      <c r="M725" s="11">
        <f>11.9827 * CHOOSE(CONTROL!$C$32, $C$9, 100%, $E$9)</f>
        <v>11.982699999999999</v>
      </c>
      <c r="N725" s="11">
        <f>11.9795 * CHOOSE(CONTROL!$C$32, $C$9, 100%, $E$9)</f>
        <v>11.9795</v>
      </c>
      <c r="O725" s="11">
        <f>11.9827 * CHOOSE(CONTROL!$C$32, $C$9, 100%, $E$9)</f>
        <v>11.982699999999999</v>
      </c>
    </row>
    <row r="726" spans="1:15" ht="15" x14ac:dyDescent="0.2">
      <c r="A726" s="13">
        <v>62945</v>
      </c>
      <c r="B726" s="9">
        <f>10.5037 * CHOOSE(CONTROL!$C$32, $C$9, 100%, $E$9)</f>
        <v>10.5037</v>
      </c>
      <c r="C726" s="9">
        <f>10.5037 * CHOOSE(CONTROL!$C$32, $C$9, 100%, $E$9)</f>
        <v>10.5037</v>
      </c>
      <c r="D726" s="9">
        <f>10.5049 * CHOOSE(CONTROL!$C$32, $C$9, 100%, $E$9)</f>
        <v>10.504899999999999</v>
      </c>
      <c r="E726" s="11">
        <f>12.0757 * CHOOSE(CONTROL!$C$32, $C$9, 100%, $E$9)</f>
        <v>12.075699999999999</v>
      </c>
      <c r="F726" s="11">
        <f>12.0757 * CHOOSE(CONTROL!$C$32, $C$9, 100%, $E$9)</f>
        <v>12.075699999999999</v>
      </c>
      <c r="G726" s="11">
        <f>12.0799 * CHOOSE(CONTROL!$C$32, $C$9, 100%, $E$9)</f>
        <v>12.0799</v>
      </c>
      <c r="H726" s="11">
        <f>24.5219 * CHOOSE(CONTROL!$C$32, $C$9, 100%, $E$9)</f>
        <v>24.521899999999999</v>
      </c>
      <c r="I726" s="11">
        <f>24.5261 * CHOOSE(CONTROL!$C$32, $C$9, 100%, $E$9)</f>
        <v>24.5261</v>
      </c>
      <c r="J726" s="11">
        <f>24.5219 * CHOOSE(CONTROL!$C$32, $C$9, 100%, $E$9)</f>
        <v>24.521899999999999</v>
      </c>
      <c r="K726" s="11">
        <f>24.5261 * CHOOSE(CONTROL!$C$32, $C$9, 100%, $E$9)</f>
        <v>24.5261</v>
      </c>
      <c r="L726" s="11">
        <f>12.0757 * CHOOSE(CONTROL!$C$32, $C$9, 100%, $E$9)</f>
        <v>12.075699999999999</v>
      </c>
      <c r="M726" s="11">
        <f>12.0799 * CHOOSE(CONTROL!$C$32, $C$9, 100%, $E$9)</f>
        <v>12.0799</v>
      </c>
      <c r="N726" s="11">
        <f>12.0757 * CHOOSE(CONTROL!$C$32, $C$9, 100%, $E$9)</f>
        <v>12.075699999999999</v>
      </c>
      <c r="O726" s="11">
        <f>12.0799 * CHOOSE(CONTROL!$C$32, $C$9, 100%, $E$9)</f>
        <v>12.0799</v>
      </c>
    </row>
    <row r="727" spans="1:15" ht="15" x14ac:dyDescent="0.2">
      <c r="A727" s="13">
        <v>62976</v>
      </c>
      <c r="B727" s="9">
        <f>10.5097 * CHOOSE(CONTROL!$C$32, $C$9, 100%, $E$9)</f>
        <v>10.5097</v>
      </c>
      <c r="C727" s="9">
        <f>10.5097 * CHOOSE(CONTROL!$C$32, $C$9, 100%, $E$9)</f>
        <v>10.5097</v>
      </c>
      <c r="D727" s="9">
        <f>10.511 * CHOOSE(CONTROL!$C$32, $C$9, 100%, $E$9)</f>
        <v>10.510999999999999</v>
      </c>
      <c r="E727" s="11">
        <f>11.9837 * CHOOSE(CONTROL!$C$32, $C$9, 100%, $E$9)</f>
        <v>11.983700000000001</v>
      </c>
      <c r="F727" s="11">
        <f>11.9837 * CHOOSE(CONTROL!$C$32, $C$9, 100%, $E$9)</f>
        <v>11.983700000000001</v>
      </c>
      <c r="G727" s="11">
        <f>11.9879 * CHOOSE(CONTROL!$C$32, $C$9, 100%, $E$9)</f>
        <v>11.9879</v>
      </c>
      <c r="H727" s="11">
        <f>24.573 * CHOOSE(CONTROL!$C$32, $C$9, 100%, $E$9)</f>
        <v>24.573</v>
      </c>
      <c r="I727" s="11">
        <f>24.5772 * CHOOSE(CONTROL!$C$32, $C$9, 100%, $E$9)</f>
        <v>24.577200000000001</v>
      </c>
      <c r="J727" s="11">
        <f>24.573 * CHOOSE(CONTROL!$C$32, $C$9, 100%, $E$9)</f>
        <v>24.573</v>
      </c>
      <c r="K727" s="11">
        <f>24.5772 * CHOOSE(CONTROL!$C$32, $C$9, 100%, $E$9)</f>
        <v>24.577200000000001</v>
      </c>
      <c r="L727" s="11">
        <f>11.9837 * CHOOSE(CONTROL!$C$32, $C$9, 100%, $E$9)</f>
        <v>11.983700000000001</v>
      </c>
      <c r="M727" s="11">
        <f>11.9879 * CHOOSE(CONTROL!$C$32, $C$9, 100%, $E$9)</f>
        <v>11.9879</v>
      </c>
      <c r="N727" s="11">
        <f>11.9837 * CHOOSE(CONTROL!$C$32, $C$9, 100%, $E$9)</f>
        <v>11.983700000000001</v>
      </c>
      <c r="O727" s="11">
        <f>11.9879 * CHOOSE(CONTROL!$C$32, $C$9, 100%, $E$9)</f>
        <v>11.9879</v>
      </c>
    </row>
    <row r="728" spans="1:15" ht="15" x14ac:dyDescent="0.2">
      <c r="A728" s="13">
        <v>63006</v>
      </c>
      <c r="B728" s="9">
        <f>10.6397 * CHOOSE(CONTROL!$C$32, $C$9, 100%, $E$9)</f>
        <v>10.639699999999999</v>
      </c>
      <c r="C728" s="9">
        <f>10.6397 * CHOOSE(CONTROL!$C$32, $C$9, 100%, $E$9)</f>
        <v>10.639699999999999</v>
      </c>
      <c r="D728" s="9">
        <f>10.641 * CHOOSE(CONTROL!$C$32, $C$9, 100%, $E$9)</f>
        <v>10.641</v>
      </c>
      <c r="E728" s="11">
        <f>12.152 * CHOOSE(CONTROL!$C$32, $C$9, 100%, $E$9)</f>
        <v>12.151999999999999</v>
      </c>
      <c r="F728" s="11">
        <f>12.152 * CHOOSE(CONTROL!$C$32, $C$9, 100%, $E$9)</f>
        <v>12.151999999999999</v>
      </c>
      <c r="G728" s="11">
        <f>12.1562 * CHOOSE(CONTROL!$C$32, $C$9, 100%, $E$9)</f>
        <v>12.1562</v>
      </c>
      <c r="H728" s="11">
        <f>24.6242 * CHOOSE(CONTROL!$C$32, $C$9, 100%, $E$9)</f>
        <v>24.624199999999998</v>
      </c>
      <c r="I728" s="11">
        <f>24.6284 * CHOOSE(CONTROL!$C$32, $C$9, 100%, $E$9)</f>
        <v>24.628399999999999</v>
      </c>
      <c r="J728" s="11">
        <f>24.6242 * CHOOSE(CONTROL!$C$32, $C$9, 100%, $E$9)</f>
        <v>24.624199999999998</v>
      </c>
      <c r="K728" s="11">
        <f>24.6284 * CHOOSE(CONTROL!$C$32, $C$9, 100%, $E$9)</f>
        <v>24.628399999999999</v>
      </c>
      <c r="L728" s="11">
        <f>12.152 * CHOOSE(CONTROL!$C$32, $C$9, 100%, $E$9)</f>
        <v>12.151999999999999</v>
      </c>
      <c r="M728" s="11">
        <f>12.1562 * CHOOSE(CONTROL!$C$32, $C$9, 100%, $E$9)</f>
        <v>12.1562</v>
      </c>
      <c r="N728" s="11">
        <f>12.152 * CHOOSE(CONTROL!$C$32, $C$9, 100%, $E$9)</f>
        <v>12.151999999999999</v>
      </c>
      <c r="O728" s="11">
        <f>12.1562 * CHOOSE(CONTROL!$C$32, $C$9, 100%, $E$9)</f>
        <v>12.1562</v>
      </c>
    </row>
    <row r="729" spans="1:15" ht="15" x14ac:dyDescent="0.2">
      <c r="A729" s="13">
        <v>63037</v>
      </c>
      <c r="B729" s="9">
        <f>10.6464 * CHOOSE(CONTROL!$C$32, $C$9, 100%, $E$9)</f>
        <v>10.6464</v>
      </c>
      <c r="C729" s="9">
        <f>10.6464 * CHOOSE(CONTROL!$C$32, $C$9, 100%, $E$9)</f>
        <v>10.6464</v>
      </c>
      <c r="D729" s="9">
        <f>10.6476 * CHOOSE(CONTROL!$C$32, $C$9, 100%, $E$9)</f>
        <v>10.647600000000001</v>
      </c>
      <c r="E729" s="11">
        <f>11.868 * CHOOSE(CONTROL!$C$32, $C$9, 100%, $E$9)</f>
        <v>11.868</v>
      </c>
      <c r="F729" s="11">
        <f>11.868 * CHOOSE(CONTROL!$C$32, $C$9, 100%, $E$9)</f>
        <v>11.868</v>
      </c>
      <c r="G729" s="11">
        <f>11.8722 * CHOOSE(CONTROL!$C$32, $C$9, 100%, $E$9)</f>
        <v>11.872199999999999</v>
      </c>
      <c r="H729" s="11">
        <f>24.6755 * CHOOSE(CONTROL!$C$32, $C$9, 100%, $E$9)</f>
        <v>24.6755</v>
      </c>
      <c r="I729" s="11">
        <f>24.6797 * CHOOSE(CONTROL!$C$32, $C$9, 100%, $E$9)</f>
        <v>24.6797</v>
      </c>
      <c r="J729" s="11">
        <f>24.6755 * CHOOSE(CONTROL!$C$32, $C$9, 100%, $E$9)</f>
        <v>24.6755</v>
      </c>
      <c r="K729" s="11">
        <f>24.6797 * CHOOSE(CONTROL!$C$32, $C$9, 100%, $E$9)</f>
        <v>24.6797</v>
      </c>
      <c r="L729" s="11">
        <f>11.868 * CHOOSE(CONTROL!$C$32, $C$9, 100%, $E$9)</f>
        <v>11.868</v>
      </c>
      <c r="M729" s="11">
        <f>11.8722 * CHOOSE(CONTROL!$C$32, $C$9, 100%, $E$9)</f>
        <v>11.872199999999999</v>
      </c>
      <c r="N729" s="11">
        <f>11.868 * CHOOSE(CONTROL!$C$32, $C$9, 100%, $E$9)</f>
        <v>11.868</v>
      </c>
      <c r="O729" s="11">
        <f>11.8722 * CHOOSE(CONTROL!$C$32, $C$9, 100%, $E$9)</f>
        <v>11.872199999999999</v>
      </c>
    </row>
    <row r="730" spans="1:15" ht="15" x14ac:dyDescent="0.2">
      <c r="A730" s="13">
        <v>63068</v>
      </c>
      <c r="B730" s="9">
        <f>10.6434 * CHOOSE(CONTROL!$C$32, $C$9, 100%, $E$9)</f>
        <v>10.6434</v>
      </c>
      <c r="C730" s="9">
        <f>10.6434 * CHOOSE(CONTROL!$C$32, $C$9, 100%, $E$9)</f>
        <v>10.6434</v>
      </c>
      <c r="D730" s="9">
        <f>10.6446 * CHOOSE(CONTROL!$C$32, $C$9, 100%, $E$9)</f>
        <v>10.644600000000001</v>
      </c>
      <c r="E730" s="11">
        <f>11.8338 * CHOOSE(CONTROL!$C$32, $C$9, 100%, $E$9)</f>
        <v>11.8338</v>
      </c>
      <c r="F730" s="11">
        <f>11.8338 * CHOOSE(CONTROL!$C$32, $C$9, 100%, $E$9)</f>
        <v>11.8338</v>
      </c>
      <c r="G730" s="11">
        <f>11.838 * CHOOSE(CONTROL!$C$32, $C$9, 100%, $E$9)</f>
        <v>11.837999999999999</v>
      </c>
      <c r="H730" s="11">
        <f>24.7269 * CHOOSE(CONTROL!$C$32, $C$9, 100%, $E$9)</f>
        <v>24.726900000000001</v>
      </c>
      <c r="I730" s="11">
        <f>24.7311 * CHOOSE(CONTROL!$C$32, $C$9, 100%, $E$9)</f>
        <v>24.731100000000001</v>
      </c>
      <c r="J730" s="11">
        <f>24.7269 * CHOOSE(CONTROL!$C$32, $C$9, 100%, $E$9)</f>
        <v>24.726900000000001</v>
      </c>
      <c r="K730" s="11">
        <f>24.7311 * CHOOSE(CONTROL!$C$32, $C$9, 100%, $E$9)</f>
        <v>24.731100000000001</v>
      </c>
      <c r="L730" s="11">
        <f>11.8338 * CHOOSE(CONTROL!$C$32, $C$9, 100%, $E$9)</f>
        <v>11.8338</v>
      </c>
      <c r="M730" s="11">
        <f>11.838 * CHOOSE(CONTROL!$C$32, $C$9, 100%, $E$9)</f>
        <v>11.837999999999999</v>
      </c>
      <c r="N730" s="11">
        <f>11.8338 * CHOOSE(CONTROL!$C$32, $C$9, 100%, $E$9)</f>
        <v>11.8338</v>
      </c>
      <c r="O730" s="11">
        <f>11.838 * CHOOSE(CONTROL!$C$32, $C$9, 100%, $E$9)</f>
        <v>11.837999999999999</v>
      </c>
    </row>
    <row r="731" spans="1:15" ht="15" x14ac:dyDescent="0.2">
      <c r="A731" s="13">
        <v>63098</v>
      </c>
      <c r="B731" s="9">
        <f>10.6632 * CHOOSE(CONTROL!$C$32, $C$9, 100%, $E$9)</f>
        <v>10.6632</v>
      </c>
      <c r="C731" s="9">
        <f>10.6632 * CHOOSE(CONTROL!$C$32, $C$9, 100%, $E$9)</f>
        <v>10.6632</v>
      </c>
      <c r="D731" s="9">
        <f>10.6642 * CHOOSE(CONTROL!$C$32, $C$9, 100%, $E$9)</f>
        <v>10.664199999999999</v>
      </c>
      <c r="E731" s="11">
        <f>11.9487 * CHOOSE(CONTROL!$C$32, $C$9, 100%, $E$9)</f>
        <v>11.948700000000001</v>
      </c>
      <c r="F731" s="11">
        <f>11.9487 * CHOOSE(CONTROL!$C$32, $C$9, 100%, $E$9)</f>
        <v>11.948700000000001</v>
      </c>
      <c r="G731" s="11">
        <f>11.9519 * CHOOSE(CONTROL!$C$32, $C$9, 100%, $E$9)</f>
        <v>11.9519</v>
      </c>
      <c r="H731" s="11">
        <f>24.7784 * CHOOSE(CONTROL!$C$32, $C$9, 100%, $E$9)</f>
        <v>24.778400000000001</v>
      </c>
      <c r="I731" s="11">
        <f>24.7816 * CHOOSE(CONTROL!$C$32, $C$9, 100%, $E$9)</f>
        <v>24.781600000000001</v>
      </c>
      <c r="J731" s="11">
        <f>24.7784 * CHOOSE(CONTROL!$C$32, $C$9, 100%, $E$9)</f>
        <v>24.778400000000001</v>
      </c>
      <c r="K731" s="11">
        <f>24.7816 * CHOOSE(CONTROL!$C$32, $C$9, 100%, $E$9)</f>
        <v>24.781600000000001</v>
      </c>
      <c r="L731" s="11">
        <f>11.9487 * CHOOSE(CONTROL!$C$32, $C$9, 100%, $E$9)</f>
        <v>11.948700000000001</v>
      </c>
      <c r="M731" s="11">
        <f>11.9519 * CHOOSE(CONTROL!$C$32, $C$9, 100%, $E$9)</f>
        <v>11.9519</v>
      </c>
      <c r="N731" s="11">
        <f>11.9487 * CHOOSE(CONTROL!$C$32, $C$9, 100%, $E$9)</f>
        <v>11.948700000000001</v>
      </c>
      <c r="O731" s="11">
        <f>11.9519 * CHOOSE(CONTROL!$C$32, $C$9, 100%, $E$9)</f>
        <v>11.9519</v>
      </c>
    </row>
    <row r="732" spans="1:15" ht="15" x14ac:dyDescent="0.2">
      <c r="A732" s="13">
        <v>63129</v>
      </c>
      <c r="B732" s="9">
        <f>10.6663 * CHOOSE(CONTROL!$C$32, $C$9, 100%, $E$9)</f>
        <v>10.6663</v>
      </c>
      <c r="C732" s="9">
        <f>10.6663 * CHOOSE(CONTROL!$C$32, $C$9, 100%, $E$9)</f>
        <v>10.6663</v>
      </c>
      <c r="D732" s="9">
        <f>10.6672 * CHOOSE(CONTROL!$C$32, $C$9, 100%, $E$9)</f>
        <v>10.667199999999999</v>
      </c>
      <c r="E732" s="11">
        <f>12.015 * CHOOSE(CONTROL!$C$32, $C$9, 100%, $E$9)</f>
        <v>12.015000000000001</v>
      </c>
      <c r="F732" s="11">
        <f>12.015 * CHOOSE(CONTROL!$C$32, $C$9, 100%, $E$9)</f>
        <v>12.015000000000001</v>
      </c>
      <c r="G732" s="11">
        <f>12.0182 * CHOOSE(CONTROL!$C$32, $C$9, 100%, $E$9)</f>
        <v>12.0182</v>
      </c>
      <c r="H732" s="11">
        <f>24.83 * CHOOSE(CONTROL!$C$32, $C$9, 100%, $E$9)</f>
        <v>24.83</v>
      </c>
      <c r="I732" s="11">
        <f>24.8332 * CHOOSE(CONTROL!$C$32, $C$9, 100%, $E$9)</f>
        <v>24.833200000000001</v>
      </c>
      <c r="J732" s="11">
        <f>24.83 * CHOOSE(CONTROL!$C$32, $C$9, 100%, $E$9)</f>
        <v>24.83</v>
      </c>
      <c r="K732" s="11">
        <f>24.8332 * CHOOSE(CONTROL!$C$32, $C$9, 100%, $E$9)</f>
        <v>24.833200000000001</v>
      </c>
      <c r="L732" s="11">
        <f>12.015 * CHOOSE(CONTROL!$C$32, $C$9, 100%, $E$9)</f>
        <v>12.015000000000001</v>
      </c>
      <c r="M732" s="11">
        <f>12.0182 * CHOOSE(CONTROL!$C$32, $C$9, 100%, $E$9)</f>
        <v>12.0182</v>
      </c>
      <c r="N732" s="11">
        <f>12.015 * CHOOSE(CONTROL!$C$32, $C$9, 100%, $E$9)</f>
        <v>12.015000000000001</v>
      </c>
      <c r="O732" s="11">
        <f>12.0182 * CHOOSE(CONTROL!$C$32, $C$9, 100%, $E$9)</f>
        <v>12.0182</v>
      </c>
    </row>
    <row r="733" spans="1:15" ht="15" x14ac:dyDescent="0.2">
      <c r="A733" s="13">
        <v>63159</v>
      </c>
      <c r="B733" s="9">
        <f>10.6663 * CHOOSE(CONTROL!$C$32, $C$9, 100%, $E$9)</f>
        <v>10.6663</v>
      </c>
      <c r="C733" s="9">
        <f>10.6663 * CHOOSE(CONTROL!$C$32, $C$9, 100%, $E$9)</f>
        <v>10.6663</v>
      </c>
      <c r="D733" s="9">
        <f>10.6672 * CHOOSE(CONTROL!$C$32, $C$9, 100%, $E$9)</f>
        <v>10.667199999999999</v>
      </c>
      <c r="E733" s="11">
        <f>11.8546 * CHOOSE(CONTROL!$C$32, $C$9, 100%, $E$9)</f>
        <v>11.8546</v>
      </c>
      <c r="F733" s="11">
        <f>11.8546 * CHOOSE(CONTROL!$C$32, $C$9, 100%, $E$9)</f>
        <v>11.8546</v>
      </c>
      <c r="G733" s="11">
        <f>11.8578 * CHOOSE(CONTROL!$C$32, $C$9, 100%, $E$9)</f>
        <v>11.857799999999999</v>
      </c>
      <c r="H733" s="11">
        <f>24.8817 * CHOOSE(CONTROL!$C$32, $C$9, 100%, $E$9)</f>
        <v>24.881699999999999</v>
      </c>
      <c r="I733" s="11">
        <f>24.885 * CHOOSE(CONTROL!$C$32, $C$9, 100%, $E$9)</f>
        <v>24.885000000000002</v>
      </c>
      <c r="J733" s="11">
        <f>24.8817 * CHOOSE(CONTROL!$C$32, $C$9, 100%, $E$9)</f>
        <v>24.881699999999999</v>
      </c>
      <c r="K733" s="11">
        <f>24.885 * CHOOSE(CONTROL!$C$32, $C$9, 100%, $E$9)</f>
        <v>24.885000000000002</v>
      </c>
      <c r="L733" s="11">
        <f>11.8546 * CHOOSE(CONTROL!$C$32, $C$9, 100%, $E$9)</f>
        <v>11.8546</v>
      </c>
      <c r="M733" s="11">
        <f>11.8578 * CHOOSE(CONTROL!$C$32, $C$9, 100%, $E$9)</f>
        <v>11.857799999999999</v>
      </c>
      <c r="N733" s="11">
        <f>11.8546 * CHOOSE(CONTROL!$C$32, $C$9, 100%, $E$9)</f>
        <v>11.8546</v>
      </c>
      <c r="O733" s="11">
        <f>11.8578 * CHOOSE(CONTROL!$C$32, $C$9, 100%, $E$9)</f>
        <v>11.857799999999999</v>
      </c>
    </row>
    <row r="734" spans="1:15" ht="15" x14ac:dyDescent="0.2">
      <c r="A734" s="13">
        <v>63190</v>
      </c>
      <c r="B734" s="9">
        <f>10.6931 * CHOOSE(CONTROL!$C$32, $C$9, 100%, $E$9)</f>
        <v>10.693099999999999</v>
      </c>
      <c r="C734" s="9">
        <f>10.6931 * CHOOSE(CONTROL!$C$32, $C$9, 100%, $E$9)</f>
        <v>10.693099999999999</v>
      </c>
      <c r="D734" s="9">
        <f>10.6941 * CHOOSE(CONTROL!$C$32, $C$9, 100%, $E$9)</f>
        <v>10.694100000000001</v>
      </c>
      <c r="E734" s="11">
        <f>12.008 * CHOOSE(CONTROL!$C$32, $C$9, 100%, $E$9)</f>
        <v>12.007999999999999</v>
      </c>
      <c r="F734" s="11">
        <f>12.008 * CHOOSE(CONTROL!$C$32, $C$9, 100%, $E$9)</f>
        <v>12.007999999999999</v>
      </c>
      <c r="G734" s="11">
        <f>12.0113 * CHOOSE(CONTROL!$C$32, $C$9, 100%, $E$9)</f>
        <v>12.0113</v>
      </c>
      <c r="H734" s="11">
        <f>24.7904 * CHOOSE(CONTROL!$C$32, $C$9, 100%, $E$9)</f>
        <v>24.790400000000002</v>
      </c>
      <c r="I734" s="11">
        <f>24.7936 * CHOOSE(CONTROL!$C$32, $C$9, 100%, $E$9)</f>
        <v>24.793600000000001</v>
      </c>
      <c r="J734" s="11">
        <f>24.7904 * CHOOSE(CONTROL!$C$32, $C$9, 100%, $E$9)</f>
        <v>24.790400000000002</v>
      </c>
      <c r="K734" s="11">
        <f>24.7936 * CHOOSE(CONTROL!$C$32, $C$9, 100%, $E$9)</f>
        <v>24.793600000000001</v>
      </c>
      <c r="L734" s="11">
        <f>12.008 * CHOOSE(CONTROL!$C$32, $C$9, 100%, $E$9)</f>
        <v>12.007999999999999</v>
      </c>
      <c r="M734" s="11">
        <f>12.0113 * CHOOSE(CONTROL!$C$32, $C$9, 100%, $E$9)</f>
        <v>12.0113</v>
      </c>
      <c r="N734" s="11">
        <f>12.008 * CHOOSE(CONTROL!$C$32, $C$9, 100%, $E$9)</f>
        <v>12.007999999999999</v>
      </c>
      <c r="O734" s="11">
        <f>12.0113 * CHOOSE(CONTROL!$C$32, $C$9, 100%, $E$9)</f>
        <v>12.0113</v>
      </c>
    </row>
    <row r="735" spans="1:15" ht="15" x14ac:dyDescent="0.2">
      <c r="A735" s="13">
        <v>63221</v>
      </c>
      <c r="B735" s="9">
        <f>10.6901 * CHOOSE(CONTROL!$C$32, $C$9, 100%, $E$9)</f>
        <v>10.690099999999999</v>
      </c>
      <c r="C735" s="9">
        <f>10.6901 * CHOOSE(CONTROL!$C$32, $C$9, 100%, $E$9)</f>
        <v>10.690099999999999</v>
      </c>
      <c r="D735" s="9">
        <f>10.6911 * CHOOSE(CONTROL!$C$32, $C$9, 100%, $E$9)</f>
        <v>10.6911</v>
      </c>
      <c r="E735" s="11">
        <f>11.6957 * CHOOSE(CONTROL!$C$32, $C$9, 100%, $E$9)</f>
        <v>11.6957</v>
      </c>
      <c r="F735" s="11">
        <f>11.6957 * CHOOSE(CONTROL!$C$32, $C$9, 100%, $E$9)</f>
        <v>11.6957</v>
      </c>
      <c r="G735" s="11">
        <f>11.699 * CHOOSE(CONTROL!$C$32, $C$9, 100%, $E$9)</f>
        <v>11.699</v>
      </c>
      <c r="H735" s="11">
        <f>24.842 * CHOOSE(CONTROL!$C$32, $C$9, 100%, $E$9)</f>
        <v>24.841999999999999</v>
      </c>
      <c r="I735" s="11">
        <f>24.8453 * CHOOSE(CONTROL!$C$32, $C$9, 100%, $E$9)</f>
        <v>24.845300000000002</v>
      </c>
      <c r="J735" s="11">
        <f>24.842 * CHOOSE(CONTROL!$C$32, $C$9, 100%, $E$9)</f>
        <v>24.841999999999999</v>
      </c>
      <c r="K735" s="11">
        <f>24.8453 * CHOOSE(CONTROL!$C$32, $C$9, 100%, $E$9)</f>
        <v>24.845300000000002</v>
      </c>
      <c r="L735" s="11">
        <f>11.6957 * CHOOSE(CONTROL!$C$32, $C$9, 100%, $E$9)</f>
        <v>11.6957</v>
      </c>
      <c r="M735" s="11">
        <f>11.699 * CHOOSE(CONTROL!$C$32, $C$9, 100%, $E$9)</f>
        <v>11.699</v>
      </c>
      <c r="N735" s="11">
        <f>11.6957 * CHOOSE(CONTROL!$C$32, $C$9, 100%, $E$9)</f>
        <v>11.6957</v>
      </c>
      <c r="O735" s="11">
        <f>11.699 * CHOOSE(CONTROL!$C$32, $C$9, 100%, $E$9)</f>
        <v>11.699</v>
      </c>
    </row>
    <row r="736" spans="1:15" ht="15" x14ac:dyDescent="0.2">
      <c r="A736" s="13">
        <v>63249</v>
      </c>
      <c r="B736" s="9">
        <f>10.6871 * CHOOSE(CONTROL!$C$32, $C$9, 100%, $E$9)</f>
        <v>10.687099999999999</v>
      </c>
      <c r="C736" s="9">
        <f>10.6871 * CHOOSE(CONTROL!$C$32, $C$9, 100%, $E$9)</f>
        <v>10.687099999999999</v>
      </c>
      <c r="D736" s="9">
        <f>10.688 * CHOOSE(CONTROL!$C$32, $C$9, 100%, $E$9)</f>
        <v>10.688000000000001</v>
      </c>
      <c r="E736" s="11">
        <f>11.9381 * CHOOSE(CONTROL!$C$32, $C$9, 100%, $E$9)</f>
        <v>11.9381</v>
      </c>
      <c r="F736" s="11">
        <f>11.9381 * CHOOSE(CONTROL!$C$32, $C$9, 100%, $E$9)</f>
        <v>11.9381</v>
      </c>
      <c r="G736" s="11">
        <f>11.9414 * CHOOSE(CONTROL!$C$32, $C$9, 100%, $E$9)</f>
        <v>11.9414</v>
      </c>
      <c r="H736" s="11">
        <f>24.8938 * CHOOSE(CONTROL!$C$32, $C$9, 100%, $E$9)</f>
        <v>24.893799999999999</v>
      </c>
      <c r="I736" s="11">
        <f>24.897 * CHOOSE(CONTROL!$C$32, $C$9, 100%, $E$9)</f>
        <v>24.896999999999998</v>
      </c>
      <c r="J736" s="11">
        <f>24.8938 * CHOOSE(CONTROL!$C$32, $C$9, 100%, $E$9)</f>
        <v>24.893799999999999</v>
      </c>
      <c r="K736" s="11">
        <f>24.897 * CHOOSE(CONTROL!$C$32, $C$9, 100%, $E$9)</f>
        <v>24.896999999999998</v>
      </c>
      <c r="L736" s="11">
        <f>11.9381 * CHOOSE(CONTROL!$C$32, $C$9, 100%, $E$9)</f>
        <v>11.9381</v>
      </c>
      <c r="M736" s="11">
        <f>11.9414 * CHOOSE(CONTROL!$C$32, $C$9, 100%, $E$9)</f>
        <v>11.9414</v>
      </c>
      <c r="N736" s="11">
        <f>11.9381 * CHOOSE(CONTROL!$C$32, $C$9, 100%, $E$9)</f>
        <v>11.9381</v>
      </c>
      <c r="O736" s="11">
        <f>11.9414 * CHOOSE(CONTROL!$C$32, $C$9, 100%, $E$9)</f>
        <v>11.9414</v>
      </c>
    </row>
    <row r="737" spans="1:15" ht="15" x14ac:dyDescent="0.2">
      <c r="A737" s="13">
        <v>63280</v>
      </c>
      <c r="B737" s="9">
        <f>10.6912 * CHOOSE(CONTROL!$C$32, $C$9, 100%, $E$9)</f>
        <v>10.6912</v>
      </c>
      <c r="C737" s="9">
        <f>10.6912 * CHOOSE(CONTROL!$C$32, $C$9, 100%, $E$9)</f>
        <v>10.6912</v>
      </c>
      <c r="D737" s="9">
        <f>10.6922 * CHOOSE(CONTROL!$C$32, $C$9, 100%, $E$9)</f>
        <v>10.6922</v>
      </c>
      <c r="E737" s="11">
        <f>12.1965 * CHOOSE(CONTROL!$C$32, $C$9, 100%, $E$9)</f>
        <v>12.1965</v>
      </c>
      <c r="F737" s="11">
        <f>12.1965 * CHOOSE(CONTROL!$C$32, $C$9, 100%, $E$9)</f>
        <v>12.1965</v>
      </c>
      <c r="G737" s="11">
        <f>12.1997 * CHOOSE(CONTROL!$C$32, $C$9, 100%, $E$9)</f>
        <v>12.1997</v>
      </c>
      <c r="H737" s="11">
        <f>24.9457 * CHOOSE(CONTROL!$C$32, $C$9, 100%, $E$9)</f>
        <v>24.945699999999999</v>
      </c>
      <c r="I737" s="11">
        <f>24.9489 * CHOOSE(CONTROL!$C$32, $C$9, 100%, $E$9)</f>
        <v>24.948899999999998</v>
      </c>
      <c r="J737" s="11">
        <f>24.9457 * CHOOSE(CONTROL!$C$32, $C$9, 100%, $E$9)</f>
        <v>24.945699999999999</v>
      </c>
      <c r="K737" s="11">
        <f>24.9489 * CHOOSE(CONTROL!$C$32, $C$9, 100%, $E$9)</f>
        <v>24.948899999999998</v>
      </c>
      <c r="L737" s="11">
        <f>12.1965 * CHOOSE(CONTROL!$C$32, $C$9, 100%, $E$9)</f>
        <v>12.1965</v>
      </c>
      <c r="M737" s="11">
        <f>12.1997 * CHOOSE(CONTROL!$C$32, $C$9, 100%, $E$9)</f>
        <v>12.1997</v>
      </c>
      <c r="N737" s="11">
        <f>12.1965 * CHOOSE(CONTROL!$C$32, $C$9, 100%, $E$9)</f>
        <v>12.1965</v>
      </c>
      <c r="O737" s="11">
        <f>12.1997 * CHOOSE(CONTROL!$C$32, $C$9, 100%, $E$9)</f>
        <v>12.1997</v>
      </c>
    </row>
    <row r="738" spans="1:15" ht="15" x14ac:dyDescent="0.2">
      <c r="A738" s="13">
        <v>63310</v>
      </c>
      <c r="B738" s="9">
        <f>10.6912 * CHOOSE(CONTROL!$C$32, $C$9, 100%, $E$9)</f>
        <v>10.6912</v>
      </c>
      <c r="C738" s="9">
        <f>10.6912 * CHOOSE(CONTROL!$C$32, $C$9, 100%, $E$9)</f>
        <v>10.6912</v>
      </c>
      <c r="D738" s="9">
        <f>10.6925 * CHOOSE(CONTROL!$C$32, $C$9, 100%, $E$9)</f>
        <v>10.692500000000001</v>
      </c>
      <c r="E738" s="11">
        <f>12.295 * CHOOSE(CONTROL!$C$32, $C$9, 100%, $E$9)</f>
        <v>12.295</v>
      </c>
      <c r="F738" s="11">
        <f>12.295 * CHOOSE(CONTROL!$C$32, $C$9, 100%, $E$9)</f>
        <v>12.295</v>
      </c>
      <c r="G738" s="11">
        <f>12.2992 * CHOOSE(CONTROL!$C$32, $C$9, 100%, $E$9)</f>
        <v>12.299200000000001</v>
      </c>
      <c r="H738" s="11">
        <f>24.9976 * CHOOSE(CONTROL!$C$32, $C$9, 100%, $E$9)</f>
        <v>24.997599999999998</v>
      </c>
      <c r="I738" s="11">
        <f>25.0018 * CHOOSE(CONTROL!$C$32, $C$9, 100%, $E$9)</f>
        <v>25.001799999999999</v>
      </c>
      <c r="J738" s="11">
        <f>24.9976 * CHOOSE(CONTROL!$C$32, $C$9, 100%, $E$9)</f>
        <v>24.997599999999998</v>
      </c>
      <c r="K738" s="11">
        <f>25.0018 * CHOOSE(CONTROL!$C$32, $C$9, 100%, $E$9)</f>
        <v>25.001799999999999</v>
      </c>
      <c r="L738" s="11">
        <f>12.295 * CHOOSE(CONTROL!$C$32, $C$9, 100%, $E$9)</f>
        <v>12.295</v>
      </c>
      <c r="M738" s="11">
        <f>12.2992 * CHOOSE(CONTROL!$C$32, $C$9, 100%, $E$9)</f>
        <v>12.299200000000001</v>
      </c>
      <c r="N738" s="11">
        <f>12.295 * CHOOSE(CONTROL!$C$32, $C$9, 100%, $E$9)</f>
        <v>12.295</v>
      </c>
      <c r="O738" s="11">
        <f>12.2992 * CHOOSE(CONTROL!$C$32, $C$9, 100%, $E$9)</f>
        <v>12.299200000000001</v>
      </c>
    </row>
    <row r="739" spans="1:15" ht="15" x14ac:dyDescent="0.2">
      <c r="A739" s="13">
        <v>63341</v>
      </c>
      <c r="B739" s="9">
        <f>10.6973 * CHOOSE(CONTROL!$C$32, $C$9, 100%, $E$9)</f>
        <v>10.6973</v>
      </c>
      <c r="C739" s="9">
        <f>10.6973 * CHOOSE(CONTROL!$C$32, $C$9, 100%, $E$9)</f>
        <v>10.6973</v>
      </c>
      <c r="D739" s="9">
        <f>10.6985 * CHOOSE(CONTROL!$C$32, $C$9, 100%, $E$9)</f>
        <v>10.698499999999999</v>
      </c>
      <c r="E739" s="11">
        <f>12.2007 * CHOOSE(CONTROL!$C$32, $C$9, 100%, $E$9)</f>
        <v>12.200699999999999</v>
      </c>
      <c r="F739" s="11">
        <f>12.2007 * CHOOSE(CONTROL!$C$32, $C$9, 100%, $E$9)</f>
        <v>12.200699999999999</v>
      </c>
      <c r="G739" s="11">
        <f>12.2049 * CHOOSE(CONTROL!$C$32, $C$9, 100%, $E$9)</f>
        <v>12.2049</v>
      </c>
      <c r="H739" s="11">
        <f>25.0497 * CHOOSE(CONTROL!$C$32, $C$9, 100%, $E$9)</f>
        <v>25.049700000000001</v>
      </c>
      <c r="I739" s="11">
        <f>25.0539 * CHOOSE(CONTROL!$C$32, $C$9, 100%, $E$9)</f>
        <v>25.053899999999999</v>
      </c>
      <c r="J739" s="11">
        <f>25.0497 * CHOOSE(CONTROL!$C$32, $C$9, 100%, $E$9)</f>
        <v>25.049700000000001</v>
      </c>
      <c r="K739" s="11">
        <f>25.0539 * CHOOSE(CONTROL!$C$32, $C$9, 100%, $E$9)</f>
        <v>25.053899999999999</v>
      </c>
      <c r="L739" s="11">
        <f>12.2007 * CHOOSE(CONTROL!$C$32, $C$9, 100%, $E$9)</f>
        <v>12.200699999999999</v>
      </c>
      <c r="M739" s="11">
        <f>12.2049 * CHOOSE(CONTROL!$C$32, $C$9, 100%, $E$9)</f>
        <v>12.2049</v>
      </c>
      <c r="N739" s="11">
        <f>12.2007 * CHOOSE(CONTROL!$C$32, $C$9, 100%, $E$9)</f>
        <v>12.200699999999999</v>
      </c>
      <c r="O739" s="11">
        <f>12.2049 * CHOOSE(CONTROL!$C$32, $C$9, 100%, $E$9)</f>
        <v>12.2049</v>
      </c>
    </row>
    <row r="740" spans="1:15" ht="15" x14ac:dyDescent="0.2">
      <c r="A740" s="13">
        <v>63371</v>
      </c>
      <c r="B740" s="9">
        <f>10.8293 * CHOOSE(CONTROL!$C$32, $C$9, 100%, $E$9)</f>
        <v>10.8293</v>
      </c>
      <c r="C740" s="9">
        <f>10.8293 * CHOOSE(CONTROL!$C$32, $C$9, 100%, $E$9)</f>
        <v>10.8293</v>
      </c>
      <c r="D740" s="9">
        <f>10.8306 * CHOOSE(CONTROL!$C$32, $C$9, 100%, $E$9)</f>
        <v>10.8306</v>
      </c>
      <c r="E740" s="11">
        <f>12.3722 * CHOOSE(CONTROL!$C$32, $C$9, 100%, $E$9)</f>
        <v>12.372199999999999</v>
      </c>
      <c r="F740" s="11">
        <f>12.3722 * CHOOSE(CONTROL!$C$32, $C$9, 100%, $E$9)</f>
        <v>12.372199999999999</v>
      </c>
      <c r="G740" s="11">
        <f>12.3764 * CHOOSE(CONTROL!$C$32, $C$9, 100%, $E$9)</f>
        <v>12.3764</v>
      </c>
      <c r="H740" s="11">
        <f>25.1019 * CHOOSE(CONTROL!$C$32, $C$9, 100%, $E$9)</f>
        <v>25.101900000000001</v>
      </c>
      <c r="I740" s="11">
        <f>25.1061 * CHOOSE(CONTROL!$C$32, $C$9, 100%, $E$9)</f>
        <v>25.106100000000001</v>
      </c>
      <c r="J740" s="11">
        <f>25.1019 * CHOOSE(CONTROL!$C$32, $C$9, 100%, $E$9)</f>
        <v>25.101900000000001</v>
      </c>
      <c r="K740" s="11">
        <f>25.1061 * CHOOSE(CONTROL!$C$32, $C$9, 100%, $E$9)</f>
        <v>25.106100000000001</v>
      </c>
      <c r="L740" s="11">
        <f>12.3722 * CHOOSE(CONTROL!$C$32, $C$9, 100%, $E$9)</f>
        <v>12.372199999999999</v>
      </c>
      <c r="M740" s="11">
        <f>12.3764 * CHOOSE(CONTROL!$C$32, $C$9, 100%, $E$9)</f>
        <v>12.3764</v>
      </c>
      <c r="N740" s="11">
        <f>12.3722 * CHOOSE(CONTROL!$C$32, $C$9, 100%, $E$9)</f>
        <v>12.372199999999999</v>
      </c>
      <c r="O740" s="11">
        <f>12.3764 * CHOOSE(CONTROL!$C$32, $C$9, 100%, $E$9)</f>
        <v>12.3764</v>
      </c>
    </row>
    <row r="741" spans="1:15" ht="15" x14ac:dyDescent="0.2">
      <c r="A741" s="13">
        <v>63402</v>
      </c>
      <c r="B741" s="9">
        <f>10.836 * CHOOSE(CONTROL!$C$32, $C$9, 100%, $E$9)</f>
        <v>10.836</v>
      </c>
      <c r="C741" s="9">
        <f>10.836 * CHOOSE(CONTROL!$C$32, $C$9, 100%, $E$9)</f>
        <v>10.836</v>
      </c>
      <c r="D741" s="9">
        <f>10.8372 * CHOOSE(CONTROL!$C$32, $C$9, 100%, $E$9)</f>
        <v>10.837199999999999</v>
      </c>
      <c r="E741" s="11">
        <f>12.0815 * CHOOSE(CONTROL!$C$32, $C$9, 100%, $E$9)</f>
        <v>12.0815</v>
      </c>
      <c r="F741" s="11">
        <f>12.0815 * CHOOSE(CONTROL!$C$32, $C$9, 100%, $E$9)</f>
        <v>12.0815</v>
      </c>
      <c r="G741" s="11">
        <f>12.0857 * CHOOSE(CONTROL!$C$32, $C$9, 100%, $E$9)</f>
        <v>12.085699999999999</v>
      </c>
      <c r="H741" s="11">
        <f>25.1542 * CHOOSE(CONTROL!$C$32, $C$9, 100%, $E$9)</f>
        <v>25.154199999999999</v>
      </c>
      <c r="I741" s="11">
        <f>25.1584 * CHOOSE(CONTROL!$C$32, $C$9, 100%, $E$9)</f>
        <v>25.1584</v>
      </c>
      <c r="J741" s="11">
        <f>25.1542 * CHOOSE(CONTROL!$C$32, $C$9, 100%, $E$9)</f>
        <v>25.154199999999999</v>
      </c>
      <c r="K741" s="11">
        <f>25.1584 * CHOOSE(CONTROL!$C$32, $C$9, 100%, $E$9)</f>
        <v>25.1584</v>
      </c>
      <c r="L741" s="11">
        <f>12.0815 * CHOOSE(CONTROL!$C$32, $C$9, 100%, $E$9)</f>
        <v>12.0815</v>
      </c>
      <c r="M741" s="11">
        <f>12.0857 * CHOOSE(CONTROL!$C$32, $C$9, 100%, $E$9)</f>
        <v>12.085699999999999</v>
      </c>
      <c r="N741" s="11">
        <f>12.0815 * CHOOSE(CONTROL!$C$32, $C$9, 100%, $E$9)</f>
        <v>12.0815</v>
      </c>
      <c r="O741" s="11">
        <f>12.0857 * CHOOSE(CONTROL!$C$32, $C$9, 100%, $E$9)</f>
        <v>12.085699999999999</v>
      </c>
    </row>
    <row r="742" spans="1:15" ht="15" x14ac:dyDescent="0.2">
      <c r="A742" s="13">
        <v>63433</v>
      </c>
      <c r="B742" s="9">
        <f>10.833 * CHOOSE(CONTROL!$C$32, $C$9, 100%, $E$9)</f>
        <v>10.833</v>
      </c>
      <c r="C742" s="9">
        <f>10.833 * CHOOSE(CONTROL!$C$32, $C$9, 100%, $E$9)</f>
        <v>10.833</v>
      </c>
      <c r="D742" s="9">
        <f>10.8342 * CHOOSE(CONTROL!$C$32, $C$9, 100%, $E$9)</f>
        <v>10.834199999999999</v>
      </c>
      <c r="E742" s="11">
        <f>12.0465 * CHOOSE(CONTROL!$C$32, $C$9, 100%, $E$9)</f>
        <v>12.0465</v>
      </c>
      <c r="F742" s="11">
        <f>12.0465 * CHOOSE(CONTROL!$C$32, $C$9, 100%, $E$9)</f>
        <v>12.0465</v>
      </c>
      <c r="G742" s="11">
        <f>12.0507 * CHOOSE(CONTROL!$C$32, $C$9, 100%, $E$9)</f>
        <v>12.050700000000001</v>
      </c>
      <c r="H742" s="11">
        <f>25.2066 * CHOOSE(CONTROL!$C$32, $C$9, 100%, $E$9)</f>
        <v>25.206600000000002</v>
      </c>
      <c r="I742" s="11">
        <f>25.2108 * CHOOSE(CONTROL!$C$32, $C$9, 100%, $E$9)</f>
        <v>25.210799999999999</v>
      </c>
      <c r="J742" s="11">
        <f>25.2066 * CHOOSE(CONTROL!$C$32, $C$9, 100%, $E$9)</f>
        <v>25.206600000000002</v>
      </c>
      <c r="K742" s="11">
        <f>25.2108 * CHOOSE(CONTROL!$C$32, $C$9, 100%, $E$9)</f>
        <v>25.210799999999999</v>
      </c>
      <c r="L742" s="11">
        <f>12.0465 * CHOOSE(CONTROL!$C$32, $C$9, 100%, $E$9)</f>
        <v>12.0465</v>
      </c>
      <c r="M742" s="11">
        <f>12.0507 * CHOOSE(CONTROL!$C$32, $C$9, 100%, $E$9)</f>
        <v>12.050700000000001</v>
      </c>
      <c r="N742" s="11">
        <f>12.0465 * CHOOSE(CONTROL!$C$32, $C$9, 100%, $E$9)</f>
        <v>12.0465</v>
      </c>
      <c r="O742" s="11">
        <f>12.0507 * CHOOSE(CONTROL!$C$32, $C$9, 100%, $E$9)</f>
        <v>12.050700000000001</v>
      </c>
    </row>
    <row r="743" spans="1:15" ht="15" x14ac:dyDescent="0.2">
      <c r="A743" s="13">
        <v>63463</v>
      </c>
      <c r="B743" s="9">
        <f>10.8535 * CHOOSE(CONTROL!$C$32, $C$9, 100%, $E$9)</f>
        <v>10.8535</v>
      </c>
      <c r="C743" s="9">
        <f>10.8535 * CHOOSE(CONTROL!$C$32, $C$9, 100%, $E$9)</f>
        <v>10.8535</v>
      </c>
      <c r="D743" s="9">
        <f>10.8545 * CHOOSE(CONTROL!$C$32, $C$9, 100%, $E$9)</f>
        <v>10.8545</v>
      </c>
      <c r="E743" s="11">
        <f>12.1644 * CHOOSE(CONTROL!$C$32, $C$9, 100%, $E$9)</f>
        <v>12.164400000000001</v>
      </c>
      <c r="F743" s="11">
        <f>12.1644 * CHOOSE(CONTROL!$C$32, $C$9, 100%, $E$9)</f>
        <v>12.164400000000001</v>
      </c>
      <c r="G743" s="11">
        <f>12.1676 * CHOOSE(CONTROL!$C$32, $C$9, 100%, $E$9)</f>
        <v>12.1676</v>
      </c>
      <c r="H743" s="11">
        <f>25.2591 * CHOOSE(CONTROL!$C$32, $C$9, 100%, $E$9)</f>
        <v>25.2591</v>
      </c>
      <c r="I743" s="11">
        <f>25.2623 * CHOOSE(CONTROL!$C$32, $C$9, 100%, $E$9)</f>
        <v>25.2623</v>
      </c>
      <c r="J743" s="11">
        <f>25.2591 * CHOOSE(CONTROL!$C$32, $C$9, 100%, $E$9)</f>
        <v>25.2591</v>
      </c>
      <c r="K743" s="11">
        <f>25.2623 * CHOOSE(CONTROL!$C$32, $C$9, 100%, $E$9)</f>
        <v>25.2623</v>
      </c>
      <c r="L743" s="11">
        <f>12.1644 * CHOOSE(CONTROL!$C$32, $C$9, 100%, $E$9)</f>
        <v>12.164400000000001</v>
      </c>
      <c r="M743" s="11">
        <f>12.1676 * CHOOSE(CONTROL!$C$32, $C$9, 100%, $E$9)</f>
        <v>12.1676</v>
      </c>
      <c r="N743" s="11">
        <f>12.1644 * CHOOSE(CONTROL!$C$32, $C$9, 100%, $E$9)</f>
        <v>12.164400000000001</v>
      </c>
      <c r="O743" s="11">
        <f>12.1676 * CHOOSE(CONTROL!$C$32, $C$9, 100%, $E$9)</f>
        <v>12.1676</v>
      </c>
    </row>
    <row r="744" spans="1:15" ht="15" x14ac:dyDescent="0.2">
      <c r="A744" s="13">
        <v>63494</v>
      </c>
      <c r="B744" s="9">
        <f>10.8566 * CHOOSE(CONTROL!$C$32, $C$9, 100%, $E$9)</f>
        <v>10.8566</v>
      </c>
      <c r="C744" s="9">
        <f>10.8566 * CHOOSE(CONTROL!$C$32, $C$9, 100%, $E$9)</f>
        <v>10.8566</v>
      </c>
      <c r="D744" s="9">
        <f>10.8575 * CHOOSE(CONTROL!$C$32, $C$9, 100%, $E$9)</f>
        <v>10.8575</v>
      </c>
      <c r="E744" s="11">
        <f>12.2322 * CHOOSE(CONTROL!$C$32, $C$9, 100%, $E$9)</f>
        <v>12.232200000000001</v>
      </c>
      <c r="F744" s="11">
        <f>12.2322 * CHOOSE(CONTROL!$C$32, $C$9, 100%, $E$9)</f>
        <v>12.232200000000001</v>
      </c>
      <c r="G744" s="11">
        <f>12.2354 * CHOOSE(CONTROL!$C$32, $C$9, 100%, $E$9)</f>
        <v>12.2354</v>
      </c>
      <c r="H744" s="11">
        <f>25.3117 * CHOOSE(CONTROL!$C$32, $C$9, 100%, $E$9)</f>
        <v>25.311699999999998</v>
      </c>
      <c r="I744" s="11">
        <f>25.3149 * CHOOSE(CONTROL!$C$32, $C$9, 100%, $E$9)</f>
        <v>25.314900000000002</v>
      </c>
      <c r="J744" s="11">
        <f>25.3117 * CHOOSE(CONTROL!$C$32, $C$9, 100%, $E$9)</f>
        <v>25.311699999999998</v>
      </c>
      <c r="K744" s="11">
        <f>25.3149 * CHOOSE(CONTROL!$C$32, $C$9, 100%, $E$9)</f>
        <v>25.314900000000002</v>
      </c>
      <c r="L744" s="11">
        <f>12.2322 * CHOOSE(CONTROL!$C$32, $C$9, 100%, $E$9)</f>
        <v>12.232200000000001</v>
      </c>
      <c r="M744" s="11">
        <f>12.2354 * CHOOSE(CONTROL!$C$32, $C$9, 100%, $E$9)</f>
        <v>12.2354</v>
      </c>
      <c r="N744" s="11">
        <f>12.2322 * CHOOSE(CONTROL!$C$32, $C$9, 100%, $E$9)</f>
        <v>12.232200000000001</v>
      </c>
      <c r="O744" s="11">
        <f>12.2354 * CHOOSE(CONTROL!$C$32, $C$9, 100%, $E$9)</f>
        <v>12.2354</v>
      </c>
    </row>
    <row r="745" spans="1:15" ht="15" x14ac:dyDescent="0.2">
      <c r="A745" s="13">
        <v>63524</v>
      </c>
      <c r="B745" s="9">
        <f>10.8566 * CHOOSE(CONTROL!$C$32, $C$9, 100%, $E$9)</f>
        <v>10.8566</v>
      </c>
      <c r="C745" s="9">
        <f>10.8566 * CHOOSE(CONTROL!$C$32, $C$9, 100%, $E$9)</f>
        <v>10.8566</v>
      </c>
      <c r="D745" s="9">
        <f>10.8575 * CHOOSE(CONTROL!$C$32, $C$9, 100%, $E$9)</f>
        <v>10.8575</v>
      </c>
      <c r="E745" s="11">
        <f>12.068 * CHOOSE(CONTROL!$C$32, $C$9, 100%, $E$9)</f>
        <v>12.068</v>
      </c>
      <c r="F745" s="11">
        <f>12.068 * CHOOSE(CONTROL!$C$32, $C$9, 100%, $E$9)</f>
        <v>12.068</v>
      </c>
      <c r="G745" s="11">
        <f>12.0713 * CHOOSE(CONTROL!$C$32, $C$9, 100%, $E$9)</f>
        <v>12.071300000000001</v>
      </c>
      <c r="H745" s="11">
        <f>25.3645 * CHOOSE(CONTROL!$C$32, $C$9, 100%, $E$9)</f>
        <v>25.3645</v>
      </c>
      <c r="I745" s="11">
        <f>25.3677 * CHOOSE(CONTROL!$C$32, $C$9, 100%, $E$9)</f>
        <v>25.367699999999999</v>
      </c>
      <c r="J745" s="11">
        <f>25.3645 * CHOOSE(CONTROL!$C$32, $C$9, 100%, $E$9)</f>
        <v>25.3645</v>
      </c>
      <c r="K745" s="11">
        <f>25.3677 * CHOOSE(CONTROL!$C$32, $C$9, 100%, $E$9)</f>
        <v>25.367699999999999</v>
      </c>
      <c r="L745" s="11">
        <f>12.068 * CHOOSE(CONTROL!$C$32, $C$9, 100%, $E$9)</f>
        <v>12.068</v>
      </c>
      <c r="M745" s="11">
        <f>12.0713 * CHOOSE(CONTROL!$C$32, $C$9, 100%, $E$9)</f>
        <v>12.071300000000001</v>
      </c>
      <c r="N745" s="11">
        <f>12.068 * CHOOSE(CONTROL!$C$32, $C$9, 100%, $E$9)</f>
        <v>12.068</v>
      </c>
      <c r="O745" s="11">
        <f>12.0713 * CHOOSE(CONTROL!$C$32, $C$9, 100%, $E$9)</f>
        <v>12.071300000000001</v>
      </c>
    </row>
    <row r="746" spans="1:15" ht="15" x14ac:dyDescent="0.2">
      <c r="A746" s="13">
        <v>63555</v>
      </c>
      <c r="B746" s="9">
        <f>10.8805 * CHOOSE(CONTROL!$C$32, $C$9, 100%, $E$9)</f>
        <v>10.8805</v>
      </c>
      <c r="C746" s="9">
        <f>10.8805 * CHOOSE(CONTROL!$C$32, $C$9, 100%, $E$9)</f>
        <v>10.8805</v>
      </c>
      <c r="D746" s="9">
        <f>10.8815 * CHOOSE(CONTROL!$C$32, $C$9, 100%, $E$9)</f>
        <v>10.881500000000001</v>
      </c>
      <c r="E746" s="11">
        <f>12.2205 * CHOOSE(CONTROL!$C$32, $C$9, 100%, $E$9)</f>
        <v>12.220499999999999</v>
      </c>
      <c r="F746" s="11">
        <f>12.2205 * CHOOSE(CONTROL!$C$32, $C$9, 100%, $E$9)</f>
        <v>12.220499999999999</v>
      </c>
      <c r="G746" s="11">
        <f>12.2238 * CHOOSE(CONTROL!$C$32, $C$9, 100%, $E$9)</f>
        <v>12.223800000000001</v>
      </c>
      <c r="H746" s="11">
        <f>25.2622 * CHOOSE(CONTROL!$C$32, $C$9, 100%, $E$9)</f>
        <v>25.2622</v>
      </c>
      <c r="I746" s="11">
        <f>25.2654 * CHOOSE(CONTROL!$C$32, $C$9, 100%, $E$9)</f>
        <v>25.2654</v>
      </c>
      <c r="J746" s="11">
        <f>25.2622 * CHOOSE(CONTROL!$C$32, $C$9, 100%, $E$9)</f>
        <v>25.2622</v>
      </c>
      <c r="K746" s="11">
        <f>25.2654 * CHOOSE(CONTROL!$C$32, $C$9, 100%, $E$9)</f>
        <v>25.2654</v>
      </c>
      <c r="L746" s="11">
        <f>12.2205 * CHOOSE(CONTROL!$C$32, $C$9, 100%, $E$9)</f>
        <v>12.220499999999999</v>
      </c>
      <c r="M746" s="11">
        <f>12.2238 * CHOOSE(CONTROL!$C$32, $C$9, 100%, $E$9)</f>
        <v>12.223800000000001</v>
      </c>
      <c r="N746" s="11">
        <f>12.2205 * CHOOSE(CONTROL!$C$32, $C$9, 100%, $E$9)</f>
        <v>12.220499999999999</v>
      </c>
      <c r="O746" s="11">
        <f>12.2238 * CHOOSE(CONTROL!$C$32, $C$9, 100%, $E$9)</f>
        <v>12.223800000000001</v>
      </c>
    </row>
    <row r="747" spans="1:15" ht="15" x14ac:dyDescent="0.2">
      <c r="A747" s="13">
        <v>63586</v>
      </c>
      <c r="B747" s="9">
        <f>10.8775 * CHOOSE(CONTROL!$C$32, $C$9, 100%, $E$9)</f>
        <v>10.8775</v>
      </c>
      <c r="C747" s="9">
        <f>10.8775 * CHOOSE(CONTROL!$C$32, $C$9, 100%, $E$9)</f>
        <v>10.8775</v>
      </c>
      <c r="D747" s="9">
        <f>10.8784 * CHOOSE(CONTROL!$C$32, $C$9, 100%, $E$9)</f>
        <v>10.878399999999999</v>
      </c>
      <c r="E747" s="11">
        <f>11.9012 * CHOOSE(CONTROL!$C$32, $C$9, 100%, $E$9)</f>
        <v>11.901199999999999</v>
      </c>
      <c r="F747" s="11">
        <f>11.9012 * CHOOSE(CONTROL!$C$32, $C$9, 100%, $E$9)</f>
        <v>11.901199999999999</v>
      </c>
      <c r="G747" s="11">
        <f>11.9044 * CHOOSE(CONTROL!$C$32, $C$9, 100%, $E$9)</f>
        <v>11.904400000000001</v>
      </c>
      <c r="H747" s="11">
        <f>25.3148 * CHOOSE(CONTROL!$C$32, $C$9, 100%, $E$9)</f>
        <v>25.314800000000002</v>
      </c>
      <c r="I747" s="11">
        <f>25.318 * CHOOSE(CONTROL!$C$32, $C$9, 100%, $E$9)</f>
        <v>25.318000000000001</v>
      </c>
      <c r="J747" s="11">
        <f>25.3148 * CHOOSE(CONTROL!$C$32, $C$9, 100%, $E$9)</f>
        <v>25.314800000000002</v>
      </c>
      <c r="K747" s="11">
        <f>25.318 * CHOOSE(CONTROL!$C$32, $C$9, 100%, $E$9)</f>
        <v>25.318000000000001</v>
      </c>
      <c r="L747" s="11">
        <f>11.9012 * CHOOSE(CONTROL!$C$32, $C$9, 100%, $E$9)</f>
        <v>11.901199999999999</v>
      </c>
      <c r="M747" s="11">
        <f>11.9044 * CHOOSE(CONTROL!$C$32, $C$9, 100%, $E$9)</f>
        <v>11.904400000000001</v>
      </c>
      <c r="N747" s="11">
        <f>11.9012 * CHOOSE(CONTROL!$C$32, $C$9, 100%, $E$9)</f>
        <v>11.901199999999999</v>
      </c>
      <c r="O747" s="11">
        <f>11.9044 * CHOOSE(CONTROL!$C$32, $C$9, 100%, $E$9)</f>
        <v>11.904400000000001</v>
      </c>
    </row>
    <row r="748" spans="1:15" ht="15" x14ac:dyDescent="0.2">
      <c r="A748" s="13">
        <v>63614</v>
      </c>
      <c r="B748" s="9">
        <f>10.8744 * CHOOSE(CONTROL!$C$32, $C$9, 100%, $E$9)</f>
        <v>10.8744</v>
      </c>
      <c r="C748" s="9">
        <f>10.8744 * CHOOSE(CONTROL!$C$32, $C$9, 100%, $E$9)</f>
        <v>10.8744</v>
      </c>
      <c r="D748" s="9">
        <f>10.8754 * CHOOSE(CONTROL!$C$32, $C$9, 100%, $E$9)</f>
        <v>10.875400000000001</v>
      </c>
      <c r="E748" s="11">
        <f>12.1491 * CHOOSE(CONTROL!$C$32, $C$9, 100%, $E$9)</f>
        <v>12.149100000000001</v>
      </c>
      <c r="F748" s="11">
        <f>12.1491 * CHOOSE(CONTROL!$C$32, $C$9, 100%, $E$9)</f>
        <v>12.149100000000001</v>
      </c>
      <c r="G748" s="11">
        <f>12.1524 * CHOOSE(CONTROL!$C$32, $C$9, 100%, $E$9)</f>
        <v>12.1524</v>
      </c>
      <c r="H748" s="11">
        <f>25.3676 * CHOOSE(CONTROL!$C$32, $C$9, 100%, $E$9)</f>
        <v>25.367599999999999</v>
      </c>
      <c r="I748" s="11">
        <f>25.3708 * CHOOSE(CONTROL!$C$32, $C$9, 100%, $E$9)</f>
        <v>25.370799999999999</v>
      </c>
      <c r="J748" s="11">
        <f>25.3676 * CHOOSE(CONTROL!$C$32, $C$9, 100%, $E$9)</f>
        <v>25.367599999999999</v>
      </c>
      <c r="K748" s="11">
        <f>25.3708 * CHOOSE(CONTROL!$C$32, $C$9, 100%, $E$9)</f>
        <v>25.370799999999999</v>
      </c>
      <c r="L748" s="11">
        <f>12.1491 * CHOOSE(CONTROL!$C$32, $C$9, 100%, $E$9)</f>
        <v>12.149100000000001</v>
      </c>
      <c r="M748" s="11">
        <f>12.1524 * CHOOSE(CONTROL!$C$32, $C$9, 100%, $E$9)</f>
        <v>12.1524</v>
      </c>
      <c r="N748" s="11">
        <f>12.1491 * CHOOSE(CONTROL!$C$32, $C$9, 100%, $E$9)</f>
        <v>12.149100000000001</v>
      </c>
      <c r="O748" s="11">
        <f>12.1524 * CHOOSE(CONTROL!$C$32, $C$9, 100%, $E$9)</f>
        <v>12.1524</v>
      </c>
    </row>
    <row r="749" spans="1:15" ht="15" x14ac:dyDescent="0.2">
      <c r="A749" s="13">
        <v>63645</v>
      </c>
      <c r="B749" s="9">
        <f>10.8787 * CHOOSE(CONTROL!$C$32, $C$9, 100%, $E$9)</f>
        <v>10.8787</v>
      </c>
      <c r="C749" s="9">
        <f>10.8787 * CHOOSE(CONTROL!$C$32, $C$9, 100%, $E$9)</f>
        <v>10.8787</v>
      </c>
      <c r="D749" s="9">
        <f>10.8797 * CHOOSE(CONTROL!$C$32, $C$9, 100%, $E$9)</f>
        <v>10.8797</v>
      </c>
      <c r="E749" s="11">
        <f>12.4135 * CHOOSE(CONTROL!$C$32, $C$9, 100%, $E$9)</f>
        <v>12.413500000000001</v>
      </c>
      <c r="F749" s="11">
        <f>12.4135 * CHOOSE(CONTROL!$C$32, $C$9, 100%, $E$9)</f>
        <v>12.413500000000001</v>
      </c>
      <c r="G749" s="11">
        <f>12.4167 * CHOOSE(CONTROL!$C$32, $C$9, 100%, $E$9)</f>
        <v>12.416700000000001</v>
      </c>
      <c r="H749" s="11">
        <f>25.4204 * CHOOSE(CONTROL!$C$32, $C$9, 100%, $E$9)</f>
        <v>25.420400000000001</v>
      </c>
      <c r="I749" s="11">
        <f>25.4236 * CHOOSE(CONTROL!$C$32, $C$9, 100%, $E$9)</f>
        <v>25.4236</v>
      </c>
      <c r="J749" s="11">
        <f>25.4204 * CHOOSE(CONTROL!$C$32, $C$9, 100%, $E$9)</f>
        <v>25.420400000000001</v>
      </c>
      <c r="K749" s="11">
        <f>25.4236 * CHOOSE(CONTROL!$C$32, $C$9, 100%, $E$9)</f>
        <v>25.4236</v>
      </c>
      <c r="L749" s="11">
        <f>12.4135 * CHOOSE(CONTROL!$C$32, $C$9, 100%, $E$9)</f>
        <v>12.413500000000001</v>
      </c>
      <c r="M749" s="11">
        <f>12.4167 * CHOOSE(CONTROL!$C$32, $C$9, 100%, $E$9)</f>
        <v>12.416700000000001</v>
      </c>
      <c r="N749" s="11">
        <f>12.4135 * CHOOSE(CONTROL!$C$32, $C$9, 100%, $E$9)</f>
        <v>12.413500000000001</v>
      </c>
      <c r="O749" s="11">
        <f>12.4167 * CHOOSE(CONTROL!$C$32, $C$9, 100%, $E$9)</f>
        <v>12.416700000000001</v>
      </c>
    </row>
    <row r="750" spans="1:15" ht="15" x14ac:dyDescent="0.2">
      <c r="A750" s="13">
        <v>63675</v>
      </c>
      <c r="B750" s="9">
        <f>10.8787 * CHOOSE(CONTROL!$C$32, $C$9, 100%, $E$9)</f>
        <v>10.8787</v>
      </c>
      <c r="C750" s="9">
        <f>10.8787 * CHOOSE(CONTROL!$C$32, $C$9, 100%, $E$9)</f>
        <v>10.8787</v>
      </c>
      <c r="D750" s="9">
        <f>10.88 * CHOOSE(CONTROL!$C$32, $C$9, 100%, $E$9)</f>
        <v>10.88</v>
      </c>
      <c r="E750" s="11">
        <f>12.5142 * CHOOSE(CONTROL!$C$32, $C$9, 100%, $E$9)</f>
        <v>12.514200000000001</v>
      </c>
      <c r="F750" s="11">
        <f>12.5142 * CHOOSE(CONTROL!$C$32, $C$9, 100%, $E$9)</f>
        <v>12.514200000000001</v>
      </c>
      <c r="G750" s="11">
        <f>12.5184 * CHOOSE(CONTROL!$C$32, $C$9, 100%, $E$9)</f>
        <v>12.5184</v>
      </c>
      <c r="H750" s="11">
        <f>25.4734 * CHOOSE(CONTROL!$C$32, $C$9, 100%, $E$9)</f>
        <v>25.473400000000002</v>
      </c>
      <c r="I750" s="11">
        <f>25.4776 * CHOOSE(CONTROL!$C$32, $C$9, 100%, $E$9)</f>
        <v>25.477599999999999</v>
      </c>
      <c r="J750" s="11">
        <f>25.4734 * CHOOSE(CONTROL!$C$32, $C$9, 100%, $E$9)</f>
        <v>25.473400000000002</v>
      </c>
      <c r="K750" s="11">
        <f>25.4776 * CHOOSE(CONTROL!$C$32, $C$9, 100%, $E$9)</f>
        <v>25.477599999999999</v>
      </c>
      <c r="L750" s="11">
        <f>12.5142 * CHOOSE(CONTROL!$C$32, $C$9, 100%, $E$9)</f>
        <v>12.514200000000001</v>
      </c>
      <c r="M750" s="11">
        <f>12.5184 * CHOOSE(CONTROL!$C$32, $C$9, 100%, $E$9)</f>
        <v>12.5184</v>
      </c>
      <c r="N750" s="11">
        <f>12.5142 * CHOOSE(CONTROL!$C$32, $C$9, 100%, $E$9)</f>
        <v>12.514200000000001</v>
      </c>
      <c r="O750" s="11">
        <f>12.5184 * CHOOSE(CONTROL!$C$32, $C$9, 100%, $E$9)</f>
        <v>12.5184</v>
      </c>
    </row>
    <row r="751" spans="1:15" ht="15" x14ac:dyDescent="0.2">
      <c r="A751" s="13">
        <v>63706</v>
      </c>
      <c r="B751" s="9">
        <f>10.8848 * CHOOSE(CONTROL!$C$32, $C$9, 100%, $E$9)</f>
        <v>10.8848</v>
      </c>
      <c r="C751" s="9">
        <f>10.8848 * CHOOSE(CONTROL!$C$32, $C$9, 100%, $E$9)</f>
        <v>10.8848</v>
      </c>
      <c r="D751" s="9">
        <f>10.8861 * CHOOSE(CONTROL!$C$32, $C$9, 100%, $E$9)</f>
        <v>10.886100000000001</v>
      </c>
      <c r="E751" s="11">
        <f>12.4177 * CHOOSE(CONTROL!$C$32, $C$9, 100%, $E$9)</f>
        <v>12.4177</v>
      </c>
      <c r="F751" s="11">
        <f>12.4177 * CHOOSE(CONTROL!$C$32, $C$9, 100%, $E$9)</f>
        <v>12.4177</v>
      </c>
      <c r="G751" s="11">
        <f>12.4219 * CHOOSE(CONTROL!$C$32, $C$9, 100%, $E$9)</f>
        <v>12.421900000000001</v>
      </c>
      <c r="H751" s="11">
        <f>25.5264 * CHOOSE(CONTROL!$C$32, $C$9, 100%, $E$9)</f>
        <v>25.526399999999999</v>
      </c>
      <c r="I751" s="11">
        <f>25.5306 * CHOOSE(CONTROL!$C$32, $C$9, 100%, $E$9)</f>
        <v>25.5306</v>
      </c>
      <c r="J751" s="11">
        <f>25.5264 * CHOOSE(CONTROL!$C$32, $C$9, 100%, $E$9)</f>
        <v>25.526399999999999</v>
      </c>
      <c r="K751" s="11">
        <f>25.5306 * CHOOSE(CONTROL!$C$32, $C$9, 100%, $E$9)</f>
        <v>25.5306</v>
      </c>
      <c r="L751" s="11">
        <f>12.4177 * CHOOSE(CONTROL!$C$32, $C$9, 100%, $E$9)</f>
        <v>12.4177</v>
      </c>
      <c r="M751" s="11">
        <f>12.4219 * CHOOSE(CONTROL!$C$32, $C$9, 100%, $E$9)</f>
        <v>12.421900000000001</v>
      </c>
      <c r="N751" s="11">
        <f>12.4177 * CHOOSE(CONTROL!$C$32, $C$9, 100%, $E$9)</f>
        <v>12.4177</v>
      </c>
      <c r="O751" s="11">
        <f>12.4219 * CHOOSE(CONTROL!$C$32, $C$9, 100%, $E$9)</f>
        <v>12.421900000000001</v>
      </c>
    </row>
    <row r="752" spans="1:15" ht="15" x14ac:dyDescent="0.2">
      <c r="A752" s="13">
        <v>63736</v>
      </c>
      <c r="B752" s="9">
        <f>11.0189 * CHOOSE(CONTROL!$C$32, $C$9, 100%, $E$9)</f>
        <v>11.0189</v>
      </c>
      <c r="C752" s="9">
        <f>11.0189 * CHOOSE(CONTROL!$C$32, $C$9, 100%, $E$9)</f>
        <v>11.0189</v>
      </c>
      <c r="D752" s="9">
        <f>11.0202 * CHOOSE(CONTROL!$C$32, $C$9, 100%, $E$9)</f>
        <v>11.020200000000001</v>
      </c>
      <c r="E752" s="11">
        <f>12.5924 * CHOOSE(CONTROL!$C$32, $C$9, 100%, $E$9)</f>
        <v>12.5924</v>
      </c>
      <c r="F752" s="11">
        <f>12.5924 * CHOOSE(CONTROL!$C$32, $C$9, 100%, $E$9)</f>
        <v>12.5924</v>
      </c>
      <c r="G752" s="11">
        <f>12.5966 * CHOOSE(CONTROL!$C$32, $C$9, 100%, $E$9)</f>
        <v>12.5966</v>
      </c>
      <c r="H752" s="11">
        <f>25.5796 * CHOOSE(CONTROL!$C$32, $C$9, 100%, $E$9)</f>
        <v>25.579599999999999</v>
      </c>
      <c r="I752" s="11">
        <f>25.5838 * CHOOSE(CONTROL!$C$32, $C$9, 100%, $E$9)</f>
        <v>25.5838</v>
      </c>
      <c r="J752" s="11">
        <f>25.5796 * CHOOSE(CONTROL!$C$32, $C$9, 100%, $E$9)</f>
        <v>25.579599999999999</v>
      </c>
      <c r="K752" s="11">
        <f>25.5838 * CHOOSE(CONTROL!$C$32, $C$9, 100%, $E$9)</f>
        <v>25.5838</v>
      </c>
      <c r="L752" s="11">
        <f>12.5924 * CHOOSE(CONTROL!$C$32, $C$9, 100%, $E$9)</f>
        <v>12.5924</v>
      </c>
      <c r="M752" s="11">
        <f>12.5966 * CHOOSE(CONTROL!$C$32, $C$9, 100%, $E$9)</f>
        <v>12.5966</v>
      </c>
      <c r="N752" s="11">
        <f>12.5924 * CHOOSE(CONTROL!$C$32, $C$9, 100%, $E$9)</f>
        <v>12.5924</v>
      </c>
      <c r="O752" s="11">
        <f>12.5966 * CHOOSE(CONTROL!$C$32, $C$9, 100%, $E$9)</f>
        <v>12.5966</v>
      </c>
    </row>
    <row r="753" spans="1:15" ht="15" x14ac:dyDescent="0.2">
      <c r="A753" s="13">
        <v>63767</v>
      </c>
      <c r="B753" s="9">
        <f>11.0256 * CHOOSE(CONTROL!$C$32, $C$9, 100%, $E$9)</f>
        <v>11.025600000000001</v>
      </c>
      <c r="C753" s="9">
        <f>11.0256 * CHOOSE(CONTROL!$C$32, $C$9, 100%, $E$9)</f>
        <v>11.025600000000001</v>
      </c>
      <c r="D753" s="9">
        <f>11.0268 * CHOOSE(CONTROL!$C$32, $C$9, 100%, $E$9)</f>
        <v>11.0268</v>
      </c>
      <c r="E753" s="11">
        <f>12.2949 * CHOOSE(CONTROL!$C$32, $C$9, 100%, $E$9)</f>
        <v>12.2949</v>
      </c>
      <c r="F753" s="11">
        <f>12.2949 * CHOOSE(CONTROL!$C$32, $C$9, 100%, $E$9)</f>
        <v>12.2949</v>
      </c>
      <c r="G753" s="11">
        <f>12.2991 * CHOOSE(CONTROL!$C$32, $C$9, 100%, $E$9)</f>
        <v>12.299099999999999</v>
      </c>
      <c r="H753" s="11">
        <f>25.6329 * CHOOSE(CONTROL!$C$32, $C$9, 100%, $E$9)</f>
        <v>25.632899999999999</v>
      </c>
      <c r="I753" s="11">
        <f>25.6371 * CHOOSE(CONTROL!$C$32, $C$9, 100%, $E$9)</f>
        <v>25.6371</v>
      </c>
      <c r="J753" s="11">
        <f>25.6329 * CHOOSE(CONTROL!$C$32, $C$9, 100%, $E$9)</f>
        <v>25.632899999999999</v>
      </c>
      <c r="K753" s="11">
        <f>25.6371 * CHOOSE(CONTROL!$C$32, $C$9, 100%, $E$9)</f>
        <v>25.6371</v>
      </c>
      <c r="L753" s="11">
        <f>12.2949 * CHOOSE(CONTROL!$C$32, $C$9, 100%, $E$9)</f>
        <v>12.2949</v>
      </c>
      <c r="M753" s="11">
        <f>12.2991 * CHOOSE(CONTROL!$C$32, $C$9, 100%, $E$9)</f>
        <v>12.299099999999999</v>
      </c>
      <c r="N753" s="11">
        <f>12.2949 * CHOOSE(CONTROL!$C$32, $C$9, 100%, $E$9)</f>
        <v>12.2949</v>
      </c>
      <c r="O753" s="11">
        <f>12.2991 * CHOOSE(CONTROL!$C$32, $C$9, 100%, $E$9)</f>
        <v>12.299099999999999</v>
      </c>
    </row>
    <row r="754" spans="1:15" ht="15" x14ac:dyDescent="0.2">
      <c r="A754" s="13">
        <v>63798</v>
      </c>
      <c r="B754" s="9">
        <f>11.0226 * CHOOSE(CONTROL!$C$32, $C$9, 100%, $E$9)</f>
        <v>11.022600000000001</v>
      </c>
      <c r="C754" s="9">
        <f>11.0226 * CHOOSE(CONTROL!$C$32, $C$9, 100%, $E$9)</f>
        <v>11.022600000000001</v>
      </c>
      <c r="D754" s="9">
        <f>11.0238 * CHOOSE(CONTROL!$C$32, $C$9, 100%, $E$9)</f>
        <v>11.0238</v>
      </c>
      <c r="E754" s="11">
        <f>12.2592 * CHOOSE(CONTROL!$C$32, $C$9, 100%, $E$9)</f>
        <v>12.2592</v>
      </c>
      <c r="F754" s="11">
        <f>12.2592 * CHOOSE(CONTROL!$C$32, $C$9, 100%, $E$9)</f>
        <v>12.2592</v>
      </c>
      <c r="G754" s="11">
        <f>12.2634 * CHOOSE(CONTROL!$C$32, $C$9, 100%, $E$9)</f>
        <v>12.263400000000001</v>
      </c>
      <c r="H754" s="11">
        <f>25.6863 * CHOOSE(CONTROL!$C$32, $C$9, 100%, $E$9)</f>
        <v>25.686299999999999</v>
      </c>
      <c r="I754" s="11">
        <f>25.6905 * CHOOSE(CONTROL!$C$32, $C$9, 100%, $E$9)</f>
        <v>25.6905</v>
      </c>
      <c r="J754" s="11">
        <f>25.6863 * CHOOSE(CONTROL!$C$32, $C$9, 100%, $E$9)</f>
        <v>25.686299999999999</v>
      </c>
      <c r="K754" s="11">
        <f>25.6905 * CHOOSE(CONTROL!$C$32, $C$9, 100%, $E$9)</f>
        <v>25.6905</v>
      </c>
      <c r="L754" s="11">
        <f>12.2592 * CHOOSE(CONTROL!$C$32, $C$9, 100%, $E$9)</f>
        <v>12.2592</v>
      </c>
      <c r="M754" s="11">
        <f>12.2634 * CHOOSE(CONTROL!$C$32, $C$9, 100%, $E$9)</f>
        <v>12.263400000000001</v>
      </c>
      <c r="N754" s="11">
        <f>12.2592 * CHOOSE(CONTROL!$C$32, $C$9, 100%, $E$9)</f>
        <v>12.2592</v>
      </c>
      <c r="O754" s="11">
        <f>12.2634 * CHOOSE(CONTROL!$C$32, $C$9, 100%, $E$9)</f>
        <v>12.263400000000001</v>
      </c>
    </row>
    <row r="755" spans="1:15" ht="15" x14ac:dyDescent="0.2">
      <c r="A755" s="13">
        <v>63828</v>
      </c>
      <c r="B755" s="9">
        <f>11.0438 * CHOOSE(CONTROL!$C$32, $C$9, 100%, $E$9)</f>
        <v>11.043799999999999</v>
      </c>
      <c r="C755" s="9">
        <f>11.0438 * CHOOSE(CONTROL!$C$32, $C$9, 100%, $E$9)</f>
        <v>11.043799999999999</v>
      </c>
      <c r="D755" s="9">
        <f>11.0448 * CHOOSE(CONTROL!$C$32, $C$9, 100%, $E$9)</f>
        <v>11.0448</v>
      </c>
      <c r="E755" s="11">
        <f>12.3801 * CHOOSE(CONTROL!$C$32, $C$9, 100%, $E$9)</f>
        <v>12.380100000000001</v>
      </c>
      <c r="F755" s="11">
        <f>12.3801 * CHOOSE(CONTROL!$C$32, $C$9, 100%, $E$9)</f>
        <v>12.380100000000001</v>
      </c>
      <c r="G755" s="11">
        <f>12.3833 * CHOOSE(CONTROL!$C$32, $C$9, 100%, $E$9)</f>
        <v>12.3833</v>
      </c>
      <c r="H755" s="11">
        <f>25.7398 * CHOOSE(CONTROL!$C$32, $C$9, 100%, $E$9)</f>
        <v>25.739799999999999</v>
      </c>
      <c r="I755" s="11">
        <f>25.7431 * CHOOSE(CONTROL!$C$32, $C$9, 100%, $E$9)</f>
        <v>25.743099999999998</v>
      </c>
      <c r="J755" s="11">
        <f>25.7398 * CHOOSE(CONTROL!$C$32, $C$9, 100%, $E$9)</f>
        <v>25.739799999999999</v>
      </c>
      <c r="K755" s="11">
        <f>25.7431 * CHOOSE(CONTROL!$C$32, $C$9, 100%, $E$9)</f>
        <v>25.743099999999998</v>
      </c>
      <c r="L755" s="11">
        <f>12.3801 * CHOOSE(CONTROL!$C$32, $C$9, 100%, $E$9)</f>
        <v>12.380100000000001</v>
      </c>
      <c r="M755" s="11">
        <f>12.3833 * CHOOSE(CONTROL!$C$32, $C$9, 100%, $E$9)</f>
        <v>12.3833</v>
      </c>
      <c r="N755" s="11">
        <f>12.3801 * CHOOSE(CONTROL!$C$32, $C$9, 100%, $E$9)</f>
        <v>12.380100000000001</v>
      </c>
      <c r="O755" s="11">
        <f>12.3833 * CHOOSE(CONTROL!$C$32, $C$9, 100%, $E$9)</f>
        <v>12.3833</v>
      </c>
    </row>
    <row r="756" spans="1:15" ht="15" x14ac:dyDescent="0.2">
      <c r="A756" s="13">
        <v>63859</v>
      </c>
      <c r="B756" s="9">
        <f>11.0469 * CHOOSE(CONTROL!$C$32, $C$9, 100%, $E$9)</f>
        <v>11.046900000000001</v>
      </c>
      <c r="C756" s="9">
        <f>11.0469 * CHOOSE(CONTROL!$C$32, $C$9, 100%, $E$9)</f>
        <v>11.046900000000001</v>
      </c>
      <c r="D756" s="9">
        <f>11.0478 * CHOOSE(CONTROL!$C$32, $C$9, 100%, $E$9)</f>
        <v>11.047800000000001</v>
      </c>
      <c r="E756" s="11">
        <f>12.4493 * CHOOSE(CONTROL!$C$32, $C$9, 100%, $E$9)</f>
        <v>12.449299999999999</v>
      </c>
      <c r="F756" s="11">
        <f>12.4493 * CHOOSE(CONTROL!$C$32, $C$9, 100%, $E$9)</f>
        <v>12.449299999999999</v>
      </c>
      <c r="G756" s="11">
        <f>12.4526 * CHOOSE(CONTROL!$C$32, $C$9, 100%, $E$9)</f>
        <v>12.4526</v>
      </c>
      <c r="H756" s="11">
        <f>25.7934 * CHOOSE(CONTROL!$C$32, $C$9, 100%, $E$9)</f>
        <v>25.793399999999998</v>
      </c>
      <c r="I756" s="11">
        <f>25.7967 * CHOOSE(CONTROL!$C$32, $C$9, 100%, $E$9)</f>
        <v>25.796700000000001</v>
      </c>
      <c r="J756" s="11">
        <f>25.7934 * CHOOSE(CONTROL!$C$32, $C$9, 100%, $E$9)</f>
        <v>25.793399999999998</v>
      </c>
      <c r="K756" s="11">
        <f>25.7967 * CHOOSE(CONTROL!$C$32, $C$9, 100%, $E$9)</f>
        <v>25.796700000000001</v>
      </c>
      <c r="L756" s="11">
        <f>12.4493 * CHOOSE(CONTROL!$C$32, $C$9, 100%, $E$9)</f>
        <v>12.449299999999999</v>
      </c>
      <c r="M756" s="11">
        <f>12.4526 * CHOOSE(CONTROL!$C$32, $C$9, 100%, $E$9)</f>
        <v>12.4526</v>
      </c>
      <c r="N756" s="11">
        <f>12.4493 * CHOOSE(CONTROL!$C$32, $C$9, 100%, $E$9)</f>
        <v>12.449299999999999</v>
      </c>
      <c r="O756" s="11">
        <f>12.4526 * CHOOSE(CONTROL!$C$32, $C$9, 100%, $E$9)</f>
        <v>12.4526</v>
      </c>
    </row>
    <row r="757" spans="1:15" ht="15" x14ac:dyDescent="0.2">
      <c r="A757" s="13">
        <v>63889</v>
      </c>
      <c r="B757" s="9">
        <f>11.0469 * CHOOSE(CONTROL!$C$32, $C$9, 100%, $E$9)</f>
        <v>11.046900000000001</v>
      </c>
      <c r="C757" s="9">
        <f>11.0469 * CHOOSE(CONTROL!$C$32, $C$9, 100%, $E$9)</f>
        <v>11.046900000000001</v>
      </c>
      <c r="D757" s="9">
        <f>11.0478 * CHOOSE(CONTROL!$C$32, $C$9, 100%, $E$9)</f>
        <v>11.047800000000001</v>
      </c>
      <c r="E757" s="11">
        <f>12.2815 * CHOOSE(CONTROL!$C$32, $C$9, 100%, $E$9)</f>
        <v>12.281499999999999</v>
      </c>
      <c r="F757" s="11">
        <f>12.2815 * CHOOSE(CONTROL!$C$32, $C$9, 100%, $E$9)</f>
        <v>12.281499999999999</v>
      </c>
      <c r="G757" s="11">
        <f>12.2847 * CHOOSE(CONTROL!$C$32, $C$9, 100%, $E$9)</f>
        <v>12.284700000000001</v>
      </c>
      <c r="H757" s="11">
        <f>25.8472 * CHOOSE(CONTROL!$C$32, $C$9, 100%, $E$9)</f>
        <v>25.847200000000001</v>
      </c>
      <c r="I757" s="11">
        <f>25.8504 * CHOOSE(CONTROL!$C$32, $C$9, 100%, $E$9)</f>
        <v>25.8504</v>
      </c>
      <c r="J757" s="11">
        <f>25.8472 * CHOOSE(CONTROL!$C$32, $C$9, 100%, $E$9)</f>
        <v>25.847200000000001</v>
      </c>
      <c r="K757" s="11">
        <f>25.8504 * CHOOSE(CONTROL!$C$32, $C$9, 100%, $E$9)</f>
        <v>25.8504</v>
      </c>
      <c r="L757" s="11">
        <f>12.2815 * CHOOSE(CONTROL!$C$32, $C$9, 100%, $E$9)</f>
        <v>12.281499999999999</v>
      </c>
      <c r="M757" s="11">
        <f>12.2847 * CHOOSE(CONTROL!$C$32, $C$9, 100%, $E$9)</f>
        <v>12.284700000000001</v>
      </c>
      <c r="N757" s="11">
        <f>12.2815 * CHOOSE(CONTROL!$C$32, $C$9, 100%, $E$9)</f>
        <v>12.281499999999999</v>
      </c>
      <c r="O757" s="11">
        <f>12.2847 * CHOOSE(CONTROL!$C$32, $C$9, 100%, $E$9)</f>
        <v>12.284700000000001</v>
      </c>
    </row>
    <row r="758" spans="1:15" ht="15" x14ac:dyDescent="0.2">
      <c r="A758" s="13">
        <v>63920</v>
      </c>
      <c r="B758" s="9">
        <f>11.0679 * CHOOSE(CONTROL!$C$32, $C$9, 100%, $E$9)</f>
        <v>11.0679</v>
      </c>
      <c r="C758" s="9">
        <f>11.0679 * CHOOSE(CONTROL!$C$32, $C$9, 100%, $E$9)</f>
        <v>11.0679</v>
      </c>
      <c r="D758" s="9">
        <f>11.0688 * CHOOSE(CONTROL!$C$32, $C$9, 100%, $E$9)</f>
        <v>11.0688</v>
      </c>
      <c r="E758" s="11">
        <f>12.433 * CHOOSE(CONTROL!$C$32, $C$9, 100%, $E$9)</f>
        <v>12.433</v>
      </c>
      <c r="F758" s="11">
        <f>12.433 * CHOOSE(CONTROL!$C$32, $C$9, 100%, $E$9)</f>
        <v>12.433</v>
      </c>
      <c r="G758" s="11">
        <f>12.4363 * CHOOSE(CONTROL!$C$32, $C$9, 100%, $E$9)</f>
        <v>12.436299999999999</v>
      </c>
      <c r="H758" s="11">
        <f>25.734 * CHOOSE(CONTROL!$C$32, $C$9, 100%, $E$9)</f>
        <v>25.734000000000002</v>
      </c>
      <c r="I758" s="11">
        <f>25.7372 * CHOOSE(CONTROL!$C$32, $C$9, 100%, $E$9)</f>
        <v>25.737200000000001</v>
      </c>
      <c r="J758" s="11">
        <f>25.734 * CHOOSE(CONTROL!$C$32, $C$9, 100%, $E$9)</f>
        <v>25.734000000000002</v>
      </c>
      <c r="K758" s="11">
        <f>25.7372 * CHOOSE(CONTROL!$C$32, $C$9, 100%, $E$9)</f>
        <v>25.737200000000001</v>
      </c>
      <c r="L758" s="11">
        <f>12.433 * CHOOSE(CONTROL!$C$32, $C$9, 100%, $E$9)</f>
        <v>12.433</v>
      </c>
      <c r="M758" s="11">
        <f>12.4363 * CHOOSE(CONTROL!$C$32, $C$9, 100%, $E$9)</f>
        <v>12.436299999999999</v>
      </c>
      <c r="N758" s="11">
        <f>12.433 * CHOOSE(CONTROL!$C$32, $C$9, 100%, $E$9)</f>
        <v>12.433</v>
      </c>
      <c r="O758" s="11">
        <f>12.4363 * CHOOSE(CONTROL!$C$32, $C$9, 100%, $E$9)</f>
        <v>12.436299999999999</v>
      </c>
    </row>
    <row r="759" spans="1:15" ht="15" x14ac:dyDescent="0.2">
      <c r="A759" s="13">
        <v>63951</v>
      </c>
      <c r="B759" s="9">
        <f>11.0648 * CHOOSE(CONTROL!$C$32, $C$9, 100%, $E$9)</f>
        <v>11.0648</v>
      </c>
      <c r="C759" s="9">
        <f>11.0648 * CHOOSE(CONTROL!$C$32, $C$9, 100%, $E$9)</f>
        <v>11.0648</v>
      </c>
      <c r="D759" s="9">
        <f>11.0658 * CHOOSE(CONTROL!$C$32, $C$9, 100%, $E$9)</f>
        <v>11.065799999999999</v>
      </c>
      <c r="E759" s="11">
        <f>12.1066 * CHOOSE(CONTROL!$C$32, $C$9, 100%, $E$9)</f>
        <v>12.1066</v>
      </c>
      <c r="F759" s="11">
        <f>12.1066 * CHOOSE(CONTROL!$C$32, $C$9, 100%, $E$9)</f>
        <v>12.1066</v>
      </c>
      <c r="G759" s="11">
        <f>12.1098 * CHOOSE(CONTROL!$C$32, $C$9, 100%, $E$9)</f>
        <v>12.1098</v>
      </c>
      <c r="H759" s="11">
        <f>25.7876 * CHOOSE(CONTROL!$C$32, $C$9, 100%, $E$9)</f>
        <v>25.787600000000001</v>
      </c>
      <c r="I759" s="11">
        <f>25.7908 * CHOOSE(CONTROL!$C$32, $C$9, 100%, $E$9)</f>
        <v>25.790800000000001</v>
      </c>
      <c r="J759" s="11">
        <f>25.7876 * CHOOSE(CONTROL!$C$32, $C$9, 100%, $E$9)</f>
        <v>25.787600000000001</v>
      </c>
      <c r="K759" s="11">
        <f>25.7908 * CHOOSE(CONTROL!$C$32, $C$9, 100%, $E$9)</f>
        <v>25.790800000000001</v>
      </c>
      <c r="L759" s="11">
        <f>12.1066 * CHOOSE(CONTROL!$C$32, $C$9, 100%, $E$9)</f>
        <v>12.1066</v>
      </c>
      <c r="M759" s="11">
        <f>12.1098 * CHOOSE(CONTROL!$C$32, $C$9, 100%, $E$9)</f>
        <v>12.1098</v>
      </c>
      <c r="N759" s="11">
        <f>12.1066 * CHOOSE(CONTROL!$C$32, $C$9, 100%, $E$9)</f>
        <v>12.1066</v>
      </c>
      <c r="O759" s="11">
        <f>12.1098 * CHOOSE(CONTROL!$C$32, $C$9, 100%, $E$9)</f>
        <v>12.1098</v>
      </c>
    </row>
    <row r="760" spans="1:15" ht="15" x14ac:dyDescent="0.2">
      <c r="A760" s="13">
        <v>63979</v>
      </c>
      <c r="B760" s="9">
        <f>11.0618 * CHOOSE(CONTROL!$C$32, $C$9, 100%, $E$9)</f>
        <v>11.0618</v>
      </c>
      <c r="C760" s="9">
        <f>11.0618 * CHOOSE(CONTROL!$C$32, $C$9, 100%, $E$9)</f>
        <v>11.0618</v>
      </c>
      <c r="D760" s="9">
        <f>11.0627 * CHOOSE(CONTROL!$C$32, $C$9, 100%, $E$9)</f>
        <v>11.0627</v>
      </c>
      <c r="E760" s="11">
        <f>12.3602 * CHOOSE(CONTROL!$C$32, $C$9, 100%, $E$9)</f>
        <v>12.360200000000001</v>
      </c>
      <c r="F760" s="11">
        <f>12.3602 * CHOOSE(CONTROL!$C$32, $C$9, 100%, $E$9)</f>
        <v>12.360200000000001</v>
      </c>
      <c r="G760" s="11">
        <f>12.3634 * CHOOSE(CONTROL!$C$32, $C$9, 100%, $E$9)</f>
        <v>12.3634</v>
      </c>
      <c r="H760" s="11">
        <f>25.8413 * CHOOSE(CONTROL!$C$32, $C$9, 100%, $E$9)</f>
        <v>25.8413</v>
      </c>
      <c r="I760" s="11">
        <f>25.8446 * CHOOSE(CONTROL!$C$32, $C$9, 100%, $E$9)</f>
        <v>25.8446</v>
      </c>
      <c r="J760" s="11">
        <f>25.8413 * CHOOSE(CONTROL!$C$32, $C$9, 100%, $E$9)</f>
        <v>25.8413</v>
      </c>
      <c r="K760" s="11">
        <f>25.8446 * CHOOSE(CONTROL!$C$32, $C$9, 100%, $E$9)</f>
        <v>25.8446</v>
      </c>
      <c r="L760" s="11">
        <f>12.3602 * CHOOSE(CONTROL!$C$32, $C$9, 100%, $E$9)</f>
        <v>12.360200000000001</v>
      </c>
      <c r="M760" s="11">
        <f>12.3634 * CHOOSE(CONTROL!$C$32, $C$9, 100%, $E$9)</f>
        <v>12.3634</v>
      </c>
      <c r="N760" s="11">
        <f>12.3602 * CHOOSE(CONTROL!$C$32, $C$9, 100%, $E$9)</f>
        <v>12.360200000000001</v>
      </c>
      <c r="O760" s="11">
        <f>12.3634 * CHOOSE(CONTROL!$C$32, $C$9, 100%, $E$9)</f>
        <v>12.3634</v>
      </c>
    </row>
    <row r="761" spans="1:15" ht="15" x14ac:dyDescent="0.2">
      <c r="A761" s="13">
        <v>64010</v>
      </c>
      <c r="B761" s="9">
        <f>11.0663 * CHOOSE(CONTROL!$C$32, $C$9, 100%, $E$9)</f>
        <v>11.0663</v>
      </c>
      <c r="C761" s="9">
        <f>11.0663 * CHOOSE(CONTROL!$C$32, $C$9, 100%, $E$9)</f>
        <v>11.0663</v>
      </c>
      <c r="D761" s="9">
        <f>11.0672 * CHOOSE(CONTROL!$C$32, $C$9, 100%, $E$9)</f>
        <v>11.0672</v>
      </c>
      <c r="E761" s="11">
        <f>12.6305 * CHOOSE(CONTROL!$C$32, $C$9, 100%, $E$9)</f>
        <v>12.6305</v>
      </c>
      <c r="F761" s="11">
        <f>12.6305 * CHOOSE(CONTROL!$C$32, $C$9, 100%, $E$9)</f>
        <v>12.6305</v>
      </c>
      <c r="G761" s="11">
        <f>12.6337 * CHOOSE(CONTROL!$C$32, $C$9, 100%, $E$9)</f>
        <v>12.633699999999999</v>
      </c>
      <c r="H761" s="11">
        <f>25.8952 * CHOOSE(CONTROL!$C$32, $C$9, 100%, $E$9)</f>
        <v>25.895199999999999</v>
      </c>
      <c r="I761" s="11">
        <f>25.8984 * CHOOSE(CONTROL!$C$32, $C$9, 100%, $E$9)</f>
        <v>25.898399999999999</v>
      </c>
      <c r="J761" s="11">
        <f>25.8952 * CHOOSE(CONTROL!$C$32, $C$9, 100%, $E$9)</f>
        <v>25.895199999999999</v>
      </c>
      <c r="K761" s="11">
        <f>25.8984 * CHOOSE(CONTROL!$C$32, $C$9, 100%, $E$9)</f>
        <v>25.898399999999999</v>
      </c>
      <c r="L761" s="11">
        <f>12.6305 * CHOOSE(CONTROL!$C$32, $C$9, 100%, $E$9)</f>
        <v>12.6305</v>
      </c>
      <c r="M761" s="11">
        <f>12.6337 * CHOOSE(CONTROL!$C$32, $C$9, 100%, $E$9)</f>
        <v>12.633699999999999</v>
      </c>
      <c r="N761" s="11">
        <f>12.6305 * CHOOSE(CONTROL!$C$32, $C$9, 100%, $E$9)</f>
        <v>12.6305</v>
      </c>
      <c r="O761" s="11">
        <f>12.6337 * CHOOSE(CONTROL!$C$32, $C$9, 100%, $E$9)</f>
        <v>12.633699999999999</v>
      </c>
    </row>
    <row r="762" spans="1:15" ht="15" x14ac:dyDescent="0.2">
      <c r="A762" s="13">
        <v>64040</v>
      </c>
      <c r="B762" s="9">
        <f>11.0663 * CHOOSE(CONTROL!$C$32, $C$9, 100%, $E$9)</f>
        <v>11.0663</v>
      </c>
      <c r="C762" s="9">
        <f>11.0663 * CHOOSE(CONTROL!$C$32, $C$9, 100%, $E$9)</f>
        <v>11.0663</v>
      </c>
      <c r="D762" s="9">
        <f>11.0675 * CHOOSE(CONTROL!$C$32, $C$9, 100%, $E$9)</f>
        <v>11.067500000000001</v>
      </c>
      <c r="E762" s="11">
        <f>12.7335 * CHOOSE(CONTROL!$C$32, $C$9, 100%, $E$9)</f>
        <v>12.733499999999999</v>
      </c>
      <c r="F762" s="11">
        <f>12.7335 * CHOOSE(CONTROL!$C$32, $C$9, 100%, $E$9)</f>
        <v>12.733499999999999</v>
      </c>
      <c r="G762" s="11">
        <f>12.7377 * CHOOSE(CONTROL!$C$32, $C$9, 100%, $E$9)</f>
        <v>12.7377</v>
      </c>
      <c r="H762" s="11">
        <f>25.9491 * CHOOSE(CONTROL!$C$32, $C$9, 100%, $E$9)</f>
        <v>25.949100000000001</v>
      </c>
      <c r="I762" s="11">
        <f>25.9533 * CHOOSE(CONTROL!$C$32, $C$9, 100%, $E$9)</f>
        <v>25.953299999999999</v>
      </c>
      <c r="J762" s="11">
        <f>25.9491 * CHOOSE(CONTROL!$C$32, $C$9, 100%, $E$9)</f>
        <v>25.949100000000001</v>
      </c>
      <c r="K762" s="11">
        <f>25.9533 * CHOOSE(CONTROL!$C$32, $C$9, 100%, $E$9)</f>
        <v>25.953299999999999</v>
      </c>
      <c r="L762" s="11">
        <f>12.7335 * CHOOSE(CONTROL!$C$32, $C$9, 100%, $E$9)</f>
        <v>12.733499999999999</v>
      </c>
      <c r="M762" s="11">
        <f>12.7377 * CHOOSE(CONTROL!$C$32, $C$9, 100%, $E$9)</f>
        <v>12.7377</v>
      </c>
      <c r="N762" s="11">
        <f>12.7335 * CHOOSE(CONTROL!$C$32, $C$9, 100%, $E$9)</f>
        <v>12.733499999999999</v>
      </c>
      <c r="O762" s="11">
        <f>12.7377 * CHOOSE(CONTROL!$C$32, $C$9, 100%, $E$9)</f>
        <v>12.7377</v>
      </c>
    </row>
    <row r="763" spans="1:15" ht="15" x14ac:dyDescent="0.2">
      <c r="A763" s="13">
        <v>64071</v>
      </c>
      <c r="B763" s="9">
        <f>11.0724 * CHOOSE(CONTROL!$C$32, $C$9, 100%, $E$9)</f>
        <v>11.0724</v>
      </c>
      <c r="C763" s="9">
        <f>11.0724 * CHOOSE(CONTROL!$C$32, $C$9, 100%, $E$9)</f>
        <v>11.0724</v>
      </c>
      <c r="D763" s="9">
        <f>11.0736 * CHOOSE(CONTROL!$C$32, $C$9, 100%, $E$9)</f>
        <v>11.073600000000001</v>
      </c>
      <c r="E763" s="11">
        <f>12.6347 * CHOOSE(CONTROL!$C$32, $C$9, 100%, $E$9)</f>
        <v>12.6347</v>
      </c>
      <c r="F763" s="11">
        <f>12.6347 * CHOOSE(CONTROL!$C$32, $C$9, 100%, $E$9)</f>
        <v>12.6347</v>
      </c>
      <c r="G763" s="11">
        <f>12.6389 * CHOOSE(CONTROL!$C$32, $C$9, 100%, $E$9)</f>
        <v>12.6389</v>
      </c>
      <c r="H763" s="11">
        <f>26.0032 * CHOOSE(CONTROL!$C$32, $C$9, 100%, $E$9)</f>
        <v>26.0032</v>
      </c>
      <c r="I763" s="11">
        <f>26.0074 * CHOOSE(CONTROL!$C$32, $C$9, 100%, $E$9)</f>
        <v>26.007400000000001</v>
      </c>
      <c r="J763" s="11">
        <f>26.0032 * CHOOSE(CONTROL!$C$32, $C$9, 100%, $E$9)</f>
        <v>26.0032</v>
      </c>
      <c r="K763" s="11">
        <f>26.0074 * CHOOSE(CONTROL!$C$32, $C$9, 100%, $E$9)</f>
        <v>26.007400000000001</v>
      </c>
      <c r="L763" s="11">
        <f>12.6347 * CHOOSE(CONTROL!$C$32, $C$9, 100%, $E$9)</f>
        <v>12.6347</v>
      </c>
      <c r="M763" s="11">
        <f>12.6389 * CHOOSE(CONTROL!$C$32, $C$9, 100%, $E$9)</f>
        <v>12.6389</v>
      </c>
      <c r="N763" s="11">
        <f>12.6347 * CHOOSE(CONTROL!$C$32, $C$9, 100%, $E$9)</f>
        <v>12.6347</v>
      </c>
      <c r="O763" s="11">
        <f>12.6389 * CHOOSE(CONTROL!$C$32, $C$9, 100%, $E$9)</f>
        <v>12.6389</v>
      </c>
    </row>
    <row r="764" spans="1:15" ht="15" x14ac:dyDescent="0.2">
      <c r="A764" s="13">
        <v>64101</v>
      </c>
      <c r="B764" s="9">
        <f>11.2085 * CHOOSE(CONTROL!$C$32, $C$9, 100%, $E$9)</f>
        <v>11.208500000000001</v>
      </c>
      <c r="C764" s="9">
        <f>11.2085 * CHOOSE(CONTROL!$C$32, $C$9, 100%, $E$9)</f>
        <v>11.208500000000001</v>
      </c>
      <c r="D764" s="9">
        <f>11.2098 * CHOOSE(CONTROL!$C$32, $C$9, 100%, $E$9)</f>
        <v>11.2098</v>
      </c>
      <c r="E764" s="11">
        <f>12.8126 * CHOOSE(CONTROL!$C$32, $C$9, 100%, $E$9)</f>
        <v>12.8126</v>
      </c>
      <c r="F764" s="11">
        <f>12.8126 * CHOOSE(CONTROL!$C$32, $C$9, 100%, $E$9)</f>
        <v>12.8126</v>
      </c>
      <c r="G764" s="11">
        <f>12.8168 * CHOOSE(CONTROL!$C$32, $C$9, 100%, $E$9)</f>
        <v>12.816800000000001</v>
      </c>
      <c r="H764" s="11">
        <f>26.0574 * CHOOSE(CONTROL!$C$32, $C$9, 100%, $E$9)</f>
        <v>26.057400000000001</v>
      </c>
      <c r="I764" s="11">
        <f>26.0616 * CHOOSE(CONTROL!$C$32, $C$9, 100%, $E$9)</f>
        <v>26.061599999999999</v>
      </c>
      <c r="J764" s="11">
        <f>26.0574 * CHOOSE(CONTROL!$C$32, $C$9, 100%, $E$9)</f>
        <v>26.057400000000001</v>
      </c>
      <c r="K764" s="11">
        <f>26.0616 * CHOOSE(CONTROL!$C$32, $C$9, 100%, $E$9)</f>
        <v>26.061599999999999</v>
      </c>
      <c r="L764" s="11">
        <f>12.8126 * CHOOSE(CONTROL!$C$32, $C$9, 100%, $E$9)</f>
        <v>12.8126</v>
      </c>
      <c r="M764" s="11">
        <f>12.8168 * CHOOSE(CONTROL!$C$32, $C$9, 100%, $E$9)</f>
        <v>12.816800000000001</v>
      </c>
      <c r="N764" s="11">
        <f>12.8126 * CHOOSE(CONTROL!$C$32, $C$9, 100%, $E$9)</f>
        <v>12.8126</v>
      </c>
      <c r="O764" s="11">
        <f>12.8168 * CHOOSE(CONTROL!$C$32, $C$9, 100%, $E$9)</f>
        <v>12.816800000000001</v>
      </c>
    </row>
    <row r="765" spans="1:15" ht="15" x14ac:dyDescent="0.2">
      <c r="A765" s="13">
        <v>64132</v>
      </c>
      <c r="B765" s="9">
        <f>11.2152 * CHOOSE(CONTROL!$C$32, $C$9, 100%, $E$9)</f>
        <v>11.215199999999999</v>
      </c>
      <c r="C765" s="9">
        <f>11.2152 * CHOOSE(CONTROL!$C$32, $C$9, 100%, $E$9)</f>
        <v>11.215199999999999</v>
      </c>
      <c r="D765" s="9">
        <f>11.2164 * CHOOSE(CONTROL!$C$32, $C$9, 100%, $E$9)</f>
        <v>11.2164</v>
      </c>
      <c r="E765" s="11">
        <f>12.5083 * CHOOSE(CONTROL!$C$32, $C$9, 100%, $E$9)</f>
        <v>12.5083</v>
      </c>
      <c r="F765" s="11">
        <f>12.5083 * CHOOSE(CONTROL!$C$32, $C$9, 100%, $E$9)</f>
        <v>12.5083</v>
      </c>
      <c r="G765" s="11">
        <f>12.5125 * CHOOSE(CONTROL!$C$32, $C$9, 100%, $E$9)</f>
        <v>12.512499999999999</v>
      </c>
      <c r="H765" s="11">
        <f>26.1116 * CHOOSE(CONTROL!$C$32, $C$9, 100%, $E$9)</f>
        <v>26.111599999999999</v>
      </c>
      <c r="I765" s="11">
        <f>26.1158 * CHOOSE(CONTROL!$C$32, $C$9, 100%, $E$9)</f>
        <v>26.1158</v>
      </c>
      <c r="J765" s="11">
        <f>26.1116 * CHOOSE(CONTROL!$C$32, $C$9, 100%, $E$9)</f>
        <v>26.111599999999999</v>
      </c>
      <c r="K765" s="11">
        <f>26.1158 * CHOOSE(CONTROL!$C$32, $C$9, 100%, $E$9)</f>
        <v>26.1158</v>
      </c>
      <c r="L765" s="11">
        <f>12.5083 * CHOOSE(CONTROL!$C$32, $C$9, 100%, $E$9)</f>
        <v>12.5083</v>
      </c>
      <c r="M765" s="11">
        <f>12.5125 * CHOOSE(CONTROL!$C$32, $C$9, 100%, $E$9)</f>
        <v>12.512499999999999</v>
      </c>
      <c r="N765" s="11">
        <f>12.5083 * CHOOSE(CONTROL!$C$32, $C$9, 100%, $E$9)</f>
        <v>12.5083</v>
      </c>
      <c r="O765" s="11">
        <f>12.5125 * CHOOSE(CONTROL!$C$32, $C$9, 100%, $E$9)</f>
        <v>12.512499999999999</v>
      </c>
    </row>
    <row r="766" spans="1:15" ht="15" x14ac:dyDescent="0.2">
      <c r="A766" s="13">
        <v>64163</v>
      </c>
      <c r="B766" s="9">
        <f>11.2122 * CHOOSE(CONTROL!$C$32, $C$9, 100%, $E$9)</f>
        <v>11.212199999999999</v>
      </c>
      <c r="C766" s="9">
        <f>11.2122 * CHOOSE(CONTROL!$C$32, $C$9, 100%, $E$9)</f>
        <v>11.212199999999999</v>
      </c>
      <c r="D766" s="9">
        <f>11.2134 * CHOOSE(CONTROL!$C$32, $C$9, 100%, $E$9)</f>
        <v>11.2134</v>
      </c>
      <c r="E766" s="11">
        <f>12.4719 * CHOOSE(CONTROL!$C$32, $C$9, 100%, $E$9)</f>
        <v>12.4719</v>
      </c>
      <c r="F766" s="11">
        <f>12.4719 * CHOOSE(CONTROL!$C$32, $C$9, 100%, $E$9)</f>
        <v>12.4719</v>
      </c>
      <c r="G766" s="11">
        <f>12.4761 * CHOOSE(CONTROL!$C$32, $C$9, 100%, $E$9)</f>
        <v>12.476100000000001</v>
      </c>
      <c r="H766" s="11">
        <f>26.166 * CHOOSE(CONTROL!$C$32, $C$9, 100%, $E$9)</f>
        <v>26.166</v>
      </c>
      <c r="I766" s="11">
        <f>26.1702 * CHOOSE(CONTROL!$C$32, $C$9, 100%, $E$9)</f>
        <v>26.170200000000001</v>
      </c>
      <c r="J766" s="11">
        <f>26.166 * CHOOSE(CONTROL!$C$32, $C$9, 100%, $E$9)</f>
        <v>26.166</v>
      </c>
      <c r="K766" s="11">
        <f>26.1702 * CHOOSE(CONTROL!$C$32, $C$9, 100%, $E$9)</f>
        <v>26.170200000000001</v>
      </c>
      <c r="L766" s="11">
        <f>12.4719 * CHOOSE(CONTROL!$C$32, $C$9, 100%, $E$9)</f>
        <v>12.4719</v>
      </c>
      <c r="M766" s="11">
        <f>12.4761 * CHOOSE(CONTROL!$C$32, $C$9, 100%, $E$9)</f>
        <v>12.476100000000001</v>
      </c>
      <c r="N766" s="11">
        <f>12.4719 * CHOOSE(CONTROL!$C$32, $C$9, 100%, $E$9)</f>
        <v>12.4719</v>
      </c>
      <c r="O766" s="11">
        <f>12.4761 * CHOOSE(CONTROL!$C$32, $C$9, 100%, $E$9)</f>
        <v>12.476100000000001</v>
      </c>
    </row>
    <row r="767" spans="1:15" ht="15" x14ac:dyDescent="0.2">
      <c r="A767" s="13">
        <v>64193</v>
      </c>
      <c r="B767" s="9">
        <f>11.2342 * CHOOSE(CONTROL!$C$32, $C$9, 100%, $E$9)</f>
        <v>11.2342</v>
      </c>
      <c r="C767" s="9">
        <f>11.2342 * CHOOSE(CONTROL!$C$32, $C$9, 100%, $E$9)</f>
        <v>11.2342</v>
      </c>
      <c r="D767" s="9">
        <f>11.2351 * CHOOSE(CONTROL!$C$32, $C$9, 100%, $E$9)</f>
        <v>11.235099999999999</v>
      </c>
      <c r="E767" s="11">
        <f>12.5958 * CHOOSE(CONTROL!$C$32, $C$9, 100%, $E$9)</f>
        <v>12.595800000000001</v>
      </c>
      <c r="F767" s="11">
        <f>12.5958 * CHOOSE(CONTROL!$C$32, $C$9, 100%, $E$9)</f>
        <v>12.595800000000001</v>
      </c>
      <c r="G767" s="11">
        <f>12.599 * CHOOSE(CONTROL!$C$32, $C$9, 100%, $E$9)</f>
        <v>12.599</v>
      </c>
      <c r="H767" s="11">
        <f>26.2206 * CHOOSE(CONTROL!$C$32, $C$9, 100%, $E$9)</f>
        <v>26.220600000000001</v>
      </c>
      <c r="I767" s="11">
        <f>26.2238 * CHOOSE(CONTROL!$C$32, $C$9, 100%, $E$9)</f>
        <v>26.223800000000001</v>
      </c>
      <c r="J767" s="11">
        <f>26.2206 * CHOOSE(CONTROL!$C$32, $C$9, 100%, $E$9)</f>
        <v>26.220600000000001</v>
      </c>
      <c r="K767" s="11">
        <f>26.2238 * CHOOSE(CONTROL!$C$32, $C$9, 100%, $E$9)</f>
        <v>26.223800000000001</v>
      </c>
      <c r="L767" s="11">
        <f>12.5958 * CHOOSE(CONTROL!$C$32, $C$9, 100%, $E$9)</f>
        <v>12.595800000000001</v>
      </c>
      <c r="M767" s="11">
        <f>12.599 * CHOOSE(CONTROL!$C$32, $C$9, 100%, $E$9)</f>
        <v>12.599</v>
      </c>
      <c r="N767" s="11">
        <f>12.5958 * CHOOSE(CONTROL!$C$32, $C$9, 100%, $E$9)</f>
        <v>12.595800000000001</v>
      </c>
      <c r="O767" s="11">
        <f>12.599 * CHOOSE(CONTROL!$C$32, $C$9, 100%, $E$9)</f>
        <v>12.599</v>
      </c>
    </row>
    <row r="768" spans="1:15" ht="15" x14ac:dyDescent="0.2">
      <c r="A768" s="13">
        <v>64224</v>
      </c>
      <c r="B768" s="9">
        <f>11.2372 * CHOOSE(CONTROL!$C$32, $C$9, 100%, $E$9)</f>
        <v>11.2372</v>
      </c>
      <c r="C768" s="9">
        <f>11.2372 * CHOOSE(CONTROL!$C$32, $C$9, 100%, $E$9)</f>
        <v>11.2372</v>
      </c>
      <c r="D768" s="9">
        <f>11.2381 * CHOOSE(CONTROL!$C$32, $C$9, 100%, $E$9)</f>
        <v>11.238099999999999</v>
      </c>
      <c r="E768" s="11">
        <f>12.6665 * CHOOSE(CONTROL!$C$32, $C$9, 100%, $E$9)</f>
        <v>12.666499999999999</v>
      </c>
      <c r="F768" s="11">
        <f>12.6665 * CHOOSE(CONTROL!$C$32, $C$9, 100%, $E$9)</f>
        <v>12.666499999999999</v>
      </c>
      <c r="G768" s="11">
        <f>12.6698 * CHOOSE(CONTROL!$C$32, $C$9, 100%, $E$9)</f>
        <v>12.6698</v>
      </c>
      <c r="H768" s="11">
        <f>26.2752 * CHOOSE(CONTROL!$C$32, $C$9, 100%, $E$9)</f>
        <v>26.275200000000002</v>
      </c>
      <c r="I768" s="11">
        <f>26.2784 * CHOOSE(CONTROL!$C$32, $C$9, 100%, $E$9)</f>
        <v>26.278400000000001</v>
      </c>
      <c r="J768" s="11">
        <f>26.2752 * CHOOSE(CONTROL!$C$32, $C$9, 100%, $E$9)</f>
        <v>26.275200000000002</v>
      </c>
      <c r="K768" s="11">
        <f>26.2784 * CHOOSE(CONTROL!$C$32, $C$9, 100%, $E$9)</f>
        <v>26.278400000000001</v>
      </c>
      <c r="L768" s="11">
        <f>12.6665 * CHOOSE(CONTROL!$C$32, $C$9, 100%, $E$9)</f>
        <v>12.666499999999999</v>
      </c>
      <c r="M768" s="11">
        <f>12.6698 * CHOOSE(CONTROL!$C$32, $C$9, 100%, $E$9)</f>
        <v>12.6698</v>
      </c>
      <c r="N768" s="11">
        <f>12.6665 * CHOOSE(CONTROL!$C$32, $C$9, 100%, $E$9)</f>
        <v>12.666499999999999</v>
      </c>
      <c r="O768" s="11">
        <f>12.6698 * CHOOSE(CONTROL!$C$32, $C$9, 100%, $E$9)</f>
        <v>12.6698</v>
      </c>
    </row>
    <row r="769" spans="1:15" ht="15" x14ac:dyDescent="0.2">
      <c r="A769" s="13">
        <v>64254</v>
      </c>
      <c r="B769" s="9">
        <f>11.2372 * CHOOSE(CONTROL!$C$32, $C$9, 100%, $E$9)</f>
        <v>11.2372</v>
      </c>
      <c r="C769" s="9">
        <f>11.2372 * CHOOSE(CONTROL!$C$32, $C$9, 100%, $E$9)</f>
        <v>11.2372</v>
      </c>
      <c r="D769" s="9">
        <f>11.2381 * CHOOSE(CONTROL!$C$32, $C$9, 100%, $E$9)</f>
        <v>11.238099999999999</v>
      </c>
      <c r="E769" s="11">
        <f>12.4949 * CHOOSE(CONTROL!$C$32, $C$9, 100%, $E$9)</f>
        <v>12.494899999999999</v>
      </c>
      <c r="F769" s="11">
        <f>12.4949 * CHOOSE(CONTROL!$C$32, $C$9, 100%, $E$9)</f>
        <v>12.494899999999999</v>
      </c>
      <c r="G769" s="11">
        <f>12.4981 * CHOOSE(CONTROL!$C$32, $C$9, 100%, $E$9)</f>
        <v>12.498100000000001</v>
      </c>
      <c r="H769" s="11">
        <f>26.3299 * CHOOSE(CONTROL!$C$32, $C$9, 100%, $E$9)</f>
        <v>26.329899999999999</v>
      </c>
      <c r="I769" s="11">
        <f>26.3331 * CHOOSE(CONTROL!$C$32, $C$9, 100%, $E$9)</f>
        <v>26.333100000000002</v>
      </c>
      <c r="J769" s="11">
        <f>26.3299 * CHOOSE(CONTROL!$C$32, $C$9, 100%, $E$9)</f>
        <v>26.329899999999999</v>
      </c>
      <c r="K769" s="11">
        <f>26.3331 * CHOOSE(CONTROL!$C$32, $C$9, 100%, $E$9)</f>
        <v>26.333100000000002</v>
      </c>
      <c r="L769" s="11">
        <f>12.4949 * CHOOSE(CONTROL!$C$32, $C$9, 100%, $E$9)</f>
        <v>12.494899999999999</v>
      </c>
      <c r="M769" s="11">
        <f>12.4981 * CHOOSE(CONTROL!$C$32, $C$9, 100%, $E$9)</f>
        <v>12.498100000000001</v>
      </c>
      <c r="N769" s="11">
        <f>12.4949 * CHOOSE(CONTROL!$C$32, $C$9, 100%, $E$9)</f>
        <v>12.494899999999999</v>
      </c>
      <c r="O769" s="11">
        <f>12.4981 * CHOOSE(CONTROL!$C$32, $C$9, 100%, $E$9)</f>
        <v>12.498100000000001</v>
      </c>
    </row>
    <row r="770" spans="1:15" ht="15" x14ac:dyDescent="0.2">
      <c r="A770" s="13">
        <v>64285</v>
      </c>
      <c r="B770" s="9">
        <f>11.2552 * CHOOSE(CONTROL!$C$32, $C$9, 100%, $E$9)</f>
        <v>11.2552</v>
      </c>
      <c r="C770" s="9">
        <f>11.2552 * CHOOSE(CONTROL!$C$32, $C$9, 100%, $E$9)</f>
        <v>11.2552</v>
      </c>
      <c r="D770" s="9">
        <f>11.2562 * CHOOSE(CONTROL!$C$32, $C$9, 100%, $E$9)</f>
        <v>11.2562</v>
      </c>
      <c r="E770" s="11">
        <f>12.6455 * CHOOSE(CONTROL!$C$32, $C$9, 100%, $E$9)</f>
        <v>12.6455</v>
      </c>
      <c r="F770" s="11">
        <f>12.6455 * CHOOSE(CONTROL!$C$32, $C$9, 100%, $E$9)</f>
        <v>12.6455</v>
      </c>
      <c r="G770" s="11">
        <f>12.6488 * CHOOSE(CONTROL!$C$32, $C$9, 100%, $E$9)</f>
        <v>12.6488</v>
      </c>
      <c r="H770" s="11">
        <f>26.2058 * CHOOSE(CONTROL!$C$32, $C$9, 100%, $E$9)</f>
        <v>26.2058</v>
      </c>
      <c r="I770" s="11">
        <f>26.209 * CHOOSE(CONTROL!$C$32, $C$9, 100%, $E$9)</f>
        <v>26.209</v>
      </c>
      <c r="J770" s="11">
        <f>26.2058 * CHOOSE(CONTROL!$C$32, $C$9, 100%, $E$9)</f>
        <v>26.2058</v>
      </c>
      <c r="K770" s="11">
        <f>26.209 * CHOOSE(CONTROL!$C$32, $C$9, 100%, $E$9)</f>
        <v>26.209</v>
      </c>
      <c r="L770" s="11">
        <f>12.6455 * CHOOSE(CONTROL!$C$32, $C$9, 100%, $E$9)</f>
        <v>12.6455</v>
      </c>
      <c r="M770" s="11">
        <f>12.6488 * CHOOSE(CONTROL!$C$32, $C$9, 100%, $E$9)</f>
        <v>12.6488</v>
      </c>
      <c r="N770" s="11">
        <f>12.6455 * CHOOSE(CONTROL!$C$32, $C$9, 100%, $E$9)</f>
        <v>12.6455</v>
      </c>
      <c r="O770" s="11">
        <f>12.6488 * CHOOSE(CONTROL!$C$32, $C$9, 100%, $E$9)</f>
        <v>12.6488</v>
      </c>
    </row>
    <row r="771" spans="1:15" ht="15" x14ac:dyDescent="0.2">
      <c r="A771" s="13">
        <v>64316</v>
      </c>
      <c r="B771" s="9">
        <f>11.2522 * CHOOSE(CONTROL!$C$32, $C$9, 100%, $E$9)</f>
        <v>11.2522</v>
      </c>
      <c r="C771" s="9">
        <f>11.2522 * CHOOSE(CONTROL!$C$32, $C$9, 100%, $E$9)</f>
        <v>11.2522</v>
      </c>
      <c r="D771" s="9">
        <f>11.2531 * CHOOSE(CONTROL!$C$32, $C$9, 100%, $E$9)</f>
        <v>11.2531</v>
      </c>
      <c r="E771" s="11">
        <f>12.312 * CHOOSE(CONTROL!$C$32, $C$9, 100%, $E$9)</f>
        <v>12.311999999999999</v>
      </c>
      <c r="F771" s="11">
        <f>12.312 * CHOOSE(CONTROL!$C$32, $C$9, 100%, $E$9)</f>
        <v>12.311999999999999</v>
      </c>
      <c r="G771" s="11">
        <f>12.3152 * CHOOSE(CONTROL!$C$32, $C$9, 100%, $E$9)</f>
        <v>12.315200000000001</v>
      </c>
      <c r="H771" s="11">
        <f>26.2604 * CHOOSE(CONTROL!$C$32, $C$9, 100%, $E$9)</f>
        <v>26.260400000000001</v>
      </c>
      <c r="I771" s="11">
        <f>26.2636 * CHOOSE(CONTROL!$C$32, $C$9, 100%, $E$9)</f>
        <v>26.2636</v>
      </c>
      <c r="J771" s="11">
        <f>26.2604 * CHOOSE(CONTROL!$C$32, $C$9, 100%, $E$9)</f>
        <v>26.260400000000001</v>
      </c>
      <c r="K771" s="11">
        <f>26.2636 * CHOOSE(CONTROL!$C$32, $C$9, 100%, $E$9)</f>
        <v>26.2636</v>
      </c>
      <c r="L771" s="11">
        <f>12.312 * CHOOSE(CONTROL!$C$32, $C$9, 100%, $E$9)</f>
        <v>12.311999999999999</v>
      </c>
      <c r="M771" s="11">
        <f>12.3152 * CHOOSE(CONTROL!$C$32, $C$9, 100%, $E$9)</f>
        <v>12.315200000000001</v>
      </c>
      <c r="N771" s="11">
        <f>12.312 * CHOOSE(CONTROL!$C$32, $C$9, 100%, $E$9)</f>
        <v>12.311999999999999</v>
      </c>
      <c r="O771" s="11">
        <f>12.3152 * CHOOSE(CONTROL!$C$32, $C$9, 100%, $E$9)</f>
        <v>12.315200000000001</v>
      </c>
    </row>
    <row r="772" spans="1:15" ht="15" x14ac:dyDescent="0.2">
      <c r="A772" s="13">
        <v>64345</v>
      </c>
      <c r="B772" s="9">
        <f>11.2491 * CHOOSE(CONTROL!$C$32, $C$9, 100%, $E$9)</f>
        <v>11.2491</v>
      </c>
      <c r="C772" s="9">
        <f>11.2491 * CHOOSE(CONTROL!$C$32, $C$9, 100%, $E$9)</f>
        <v>11.2491</v>
      </c>
      <c r="D772" s="9">
        <f>11.2501 * CHOOSE(CONTROL!$C$32, $C$9, 100%, $E$9)</f>
        <v>11.2501</v>
      </c>
      <c r="E772" s="11">
        <f>12.5712 * CHOOSE(CONTROL!$C$32, $C$9, 100%, $E$9)</f>
        <v>12.571199999999999</v>
      </c>
      <c r="F772" s="11">
        <f>12.5712 * CHOOSE(CONTROL!$C$32, $C$9, 100%, $E$9)</f>
        <v>12.571199999999999</v>
      </c>
      <c r="G772" s="11">
        <f>12.5744 * CHOOSE(CONTROL!$C$32, $C$9, 100%, $E$9)</f>
        <v>12.574400000000001</v>
      </c>
      <c r="H772" s="11">
        <f>26.3151 * CHOOSE(CONTROL!$C$32, $C$9, 100%, $E$9)</f>
        <v>26.315100000000001</v>
      </c>
      <c r="I772" s="11">
        <f>26.3183 * CHOOSE(CONTROL!$C$32, $C$9, 100%, $E$9)</f>
        <v>26.318300000000001</v>
      </c>
      <c r="J772" s="11">
        <f>26.3151 * CHOOSE(CONTROL!$C$32, $C$9, 100%, $E$9)</f>
        <v>26.315100000000001</v>
      </c>
      <c r="K772" s="11">
        <f>26.3183 * CHOOSE(CONTROL!$C$32, $C$9, 100%, $E$9)</f>
        <v>26.318300000000001</v>
      </c>
      <c r="L772" s="11">
        <f>12.5712 * CHOOSE(CONTROL!$C$32, $C$9, 100%, $E$9)</f>
        <v>12.571199999999999</v>
      </c>
      <c r="M772" s="11">
        <f>12.5744 * CHOOSE(CONTROL!$C$32, $C$9, 100%, $E$9)</f>
        <v>12.574400000000001</v>
      </c>
      <c r="N772" s="11">
        <f>12.5712 * CHOOSE(CONTROL!$C$32, $C$9, 100%, $E$9)</f>
        <v>12.571199999999999</v>
      </c>
      <c r="O772" s="11">
        <f>12.5744 * CHOOSE(CONTROL!$C$32, $C$9, 100%, $E$9)</f>
        <v>12.574400000000001</v>
      </c>
    </row>
    <row r="773" spans="1:15" ht="15" x14ac:dyDescent="0.2">
      <c r="A773" s="13">
        <v>64376</v>
      </c>
      <c r="B773" s="9">
        <f>11.2538 * CHOOSE(CONTROL!$C$32, $C$9, 100%, $E$9)</f>
        <v>11.2538</v>
      </c>
      <c r="C773" s="9">
        <f>11.2538 * CHOOSE(CONTROL!$C$32, $C$9, 100%, $E$9)</f>
        <v>11.2538</v>
      </c>
      <c r="D773" s="9">
        <f>11.2548 * CHOOSE(CONTROL!$C$32, $C$9, 100%, $E$9)</f>
        <v>11.254799999999999</v>
      </c>
      <c r="E773" s="11">
        <f>12.8475 * CHOOSE(CONTROL!$C$32, $C$9, 100%, $E$9)</f>
        <v>12.8475</v>
      </c>
      <c r="F773" s="11">
        <f>12.8475 * CHOOSE(CONTROL!$C$32, $C$9, 100%, $E$9)</f>
        <v>12.8475</v>
      </c>
      <c r="G773" s="11">
        <f>12.8507 * CHOOSE(CONTROL!$C$32, $C$9, 100%, $E$9)</f>
        <v>12.8507</v>
      </c>
      <c r="H773" s="11">
        <f>26.3699 * CHOOSE(CONTROL!$C$32, $C$9, 100%, $E$9)</f>
        <v>26.369900000000001</v>
      </c>
      <c r="I773" s="11">
        <f>26.3732 * CHOOSE(CONTROL!$C$32, $C$9, 100%, $E$9)</f>
        <v>26.373200000000001</v>
      </c>
      <c r="J773" s="11">
        <f>26.3699 * CHOOSE(CONTROL!$C$32, $C$9, 100%, $E$9)</f>
        <v>26.369900000000001</v>
      </c>
      <c r="K773" s="11">
        <f>26.3732 * CHOOSE(CONTROL!$C$32, $C$9, 100%, $E$9)</f>
        <v>26.373200000000001</v>
      </c>
      <c r="L773" s="11">
        <f>12.8475 * CHOOSE(CONTROL!$C$32, $C$9, 100%, $E$9)</f>
        <v>12.8475</v>
      </c>
      <c r="M773" s="11">
        <f>12.8507 * CHOOSE(CONTROL!$C$32, $C$9, 100%, $E$9)</f>
        <v>12.8507</v>
      </c>
      <c r="N773" s="11">
        <f>12.8475 * CHOOSE(CONTROL!$C$32, $C$9, 100%, $E$9)</f>
        <v>12.8475</v>
      </c>
      <c r="O773" s="11">
        <f>12.8507 * CHOOSE(CONTROL!$C$32, $C$9, 100%, $E$9)</f>
        <v>12.8507</v>
      </c>
    </row>
    <row r="774" spans="1:15" ht="15" x14ac:dyDescent="0.2">
      <c r="A774" s="13">
        <v>64406</v>
      </c>
      <c r="B774" s="9">
        <f>11.2538 * CHOOSE(CONTROL!$C$32, $C$9, 100%, $E$9)</f>
        <v>11.2538</v>
      </c>
      <c r="C774" s="9">
        <f>11.2538 * CHOOSE(CONTROL!$C$32, $C$9, 100%, $E$9)</f>
        <v>11.2538</v>
      </c>
      <c r="D774" s="9">
        <f>11.2551 * CHOOSE(CONTROL!$C$32, $C$9, 100%, $E$9)</f>
        <v>11.255100000000001</v>
      </c>
      <c r="E774" s="11">
        <f>12.9527 * CHOOSE(CONTROL!$C$32, $C$9, 100%, $E$9)</f>
        <v>12.9527</v>
      </c>
      <c r="F774" s="11">
        <f>12.9527 * CHOOSE(CONTROL!$C$32, $C$9, 100%, $E$9)</f>
        <v>12.9527</v>
      </c>
      <c r="G774" s="11">
        <f>12.9569 * CHOOSE(CONTROL!$C$32, $C$9, 100%, $E$9)</f>
        <v>12.956899999999999</v>
      </c>
      <c r="H774" s="11">
        <f>26.4249 * CHOOSE(CONTROL!$C$32, $C$9, 100%, $E$9)</f>
        <v>26.424900000000001</v>
      </c>
      <c r="I774" s="11">
        <f>26.4291 * CHOOSE(CONTROL!$C$32, $C$9, 100%, $E$9)</f>
        <v>26.429099999999998</v>
      </c>
      <c r="J774" s="11">
        <f>26.4249 * CHOOSE(CONTROL!$C$32, $C$9, 100%, $E$9)</f>
        <v>26.424900000000001</v>
      </c>
      <c r="K774" s="11">
        <f>26.4291 * CHOOSE(CONTROL!$C$32, $C$9, 100%, $E$9)</f>
        <v>26.429099999999998</v>
      </c>
      <c r="L774" s="11">
        <f>12.9527 * CHOOSE(CONTROL!$C$32, $C$9, 100%, $E$9)</f>
        <v>12.9527</v>
      </c>
      <c r="M774" s="11">
        <f>12.9569 * CHOOSE(CONTROL!$C$32, $C$9, 100%, $E$9)</f>
        <v>12.956899999999999</v>
      </c>
      <c r="N774" s="11">
        <f>12.9527 * CHOOSE(CONTROL!$C$32, $C$9, 100%, $E$9)</f>
        <v>12.9527</v>
      </c>
      <c r="O774" s="11">
        <f>12.9569 * CHOOSE(CONTROL!$C$32, $C$9, 100%, $E$9)</f>
        <v>12.956899999999999</v>
      </c>
    </row>
    <row r="775" spans="1:15" ht="15" x14ac:dyDescent="0.2">
      <c r="A775" s="13">
        <v>64437</v>
      </c>
      <c r="B775" s="9">
        <f>11.2599 * CHOOSE(CONTROL!$C$32, $C$9, 100%, $E$9)</f>
        <v>11.2599</v>
      </c>
      <c r="C775" s="9">
        <f>11.2599 * CHOOSE(CONTROL!$C$32, $C$9, 100%, $E$9)</f>
        <v>11.2599</v>
      </c>
      <c r="D775" s="9">
        <f>11.2612 * CHOOSE(CONTROL!$C$32, $C$9, 100%, $E$9)</f>
        <v>11.261200000000001</v>
      </c>
      <c r="E775" s="11">
        <f>12.8518 * CHOOSE(CONTROL!$C$32, $C$9, 100%, $E$9)</f>
        <v>12.851800000000001</v>
      </c>
      <c r="F775" s="11">
        <f>12.8518 * CHOOSE(CONTROL!$C$32, $C$9, 100%, $E$9)</f>
        <v>12.851800000000001</v>
      </c>
      <c r="G775" s="11">
        <f>12.856 * CHOOSE(CONTROL!$C$32, $C$9, 100%, $E$9)</f>
        <v>12.856</v>
      </c>
      <c r="H775" s="11">
        <f>26.4799 * CHOOSE(CONTROL!$C$32, $C$9, 100%, $E$9)</f>
        <v>26.479900000000001</v>
      </c>
      <c r="I775" s="11">
        <f>26.4841 * CHOOSE(CONTROL!$C$32, $C$9, 100%, $E$9)</f>
        <v>26.484100000000002</v>
      </c>
      <c r="J775" s="11">
        <f>26.4799 * CHOOSE(CONTROL!$C$32, $C$9, 100%, $E$9)</f>
        <v>26.479900000000001</v>
      </c>
      <c r="K775" s="11">
        <f>26.4841 * CHOOSE(CONTROL!$C$32, $C$9, 100%, $E$9)</f>
        <v>26.484100000000002</v>
      </c>
      <c r="L775" s="11">
        <f>12.8518 * CHOOSE(CONTROL!$C$32, $C$9, 100%, $E$9)</f>
        <v>12.851800000000001</v>
      </c>
      <c r="M775" s="11">
        <f>12.856 * CHOOSE(CONTROL!$C$32, $C$9, 100%, $E$9)</f>
        <v>12.856</v>
      </c>
      <c r="N775" s="11">
        <f>12.8518 * CHOOSE(CONTROL!$C$32, $C$9, 100%, $E$9)</f>
        <v>12.851800000000001</v>
      </c>
      <c r="O775" s="11">
        <f>12.856 * CHOOSE(CONTROL!$C$32, $C$9, 100%, $E$9)</f>
        <v>12.856</v>
      </c>
    </row>
    <row r="776" spans="1:15" ht="15" x14ac:dyDescent="0.2">
      <c r="A776" s="13">
        <v>64467</v>
      </c>
      <c r="B776" s="9">
        <f>11.3981 * CHOOSE(CONTROL!$C$32, $C$9, 100%, $E$9)</f>
        <v>11.398099999999999</v>
      </c>
      <c r="C776" s="9">
        <f>11.3981 * CHOOSE(CONTROL!$C$32, $C$9, 100%, $E$9)</f>
        <v>11.398099999999999</v>
      </c>
      <c r="D776" s="9">
        <f>11.3994 * CHOOSE(CONTROL!$C$32, $C$9, 100%, $E$9)</f>
        <v>11.3994</v>
      </c>
      <c r="E776" s="11">
        <f>13.0328 * CHOOSE(CONTROL!$C$32, $C$9, 100%, $E$9)</f>
        <v>13.0328</v>
      </c>
      <c r="F776" s="11">
        <f>13.0328 * CHOOSE(CONTROL!$C$32, $C$9, 100%, $E$9)</f>
        <v>13.0328</v>
      </c>
      <c r="G776" s="11">
        <f>13.037 * CHOOSE(CONTROL!$C$32, $C$9, 100%, $E$9)</f>
        <v>13.037000000000001</v>
      </c>
      <c r="H776" s="11">
        <f>26.5351 * CHOOSE(CONTROL!$C$32, $C$9, 100%, $E$9)</f>
        <v>26.5351</v>
      </c>
      <c r="I776" s="11">
        <f>26.5393 * CHOOSE(CONTROL!$C$32, $C$9, 100%, $E$9)</f>
        <v>26.539300000000001</v>
      </c>
      <c r="J776" s="11">
        <f>26.5351 * CHOOSE(CONTROL!$C$32, $C$9, 100%, $E$9)</f>
        <v>26.5351</v>
      </c>
      <c r="K776" s="11">
        <f>26.5393 * CHOOSE(CONTROL!$C$32, $C$9, 100%, $E$9)</f>
        <v>26.539300000000001</v>
      </c>
      <c r="L776" s="11">
        <f>13.0328 * CHOOSE(CONTROL!$C$32, $C$9, 100%, $E$9)</f>
        <v>13.0328</v>
      </c>
      <c r="M776" s="11">
        <f>13.037 * CHOOSE(CONTROL!$C$32, $C$9, 100%, $E$9)</f>
        <v>13.037000000000001</v>
      </c>
      <c r="N776" s="11">
        <f>13.0328 * CHOOSE(CONTROL!$C$32, $C$9, 100%, $E$9)</f>
        <v>13.0328</v>
      </c>
      <c r="O776" s="11">
        <f>13.037 * CHOOSE(CONTROL!$C$32, $C$9, 100%, $E$9)</f>
        <v>13.037000000000001</v>
      </c>
    </row>
    <row r="777" spans="1:15" ht="15" x14ac:dyDescent="0.2">
      <c r="A777" s="13">
        <v>64498</v>
      </c>
      <c r="B777" s="9">
        <f>11.4048 * CHOOSE(CONTROL!$C$32, $C$9, 100%, $E$9)</f>
        <v>11.4048</v>
      </c>
      <c r="C777" s="9">
        <f>11.4048 * CHOOSE(CONTROL!$C$32, $C$9, 100%, $E$9)</f>
        <v>11.4048</v>
      </c>
      <c r="D777" s="9">
        <f>11.406 * CHOOSE(CONTROL!$C$32, $C$9, 100%, $E$9)</f>
        <v>11.406000000000001</v>
      </c>
      <c r="E777" s="11">
        <f>12.7218 * CHOOSE(CONTROL!$C$32, $C$9, 100%, $E$9)</f>
        <v>12.7218</v>
      </c>
      <c r="F777" s="11">
        <f>12.7218 * CHOOSE(CONTROL!$C$32, $C$9, 100%, $E$9)</f>
        <v>12.7218</v>
      </c>
      <c r="G777" s="11">
        <f>12.726 * CHOOSE(CONTROL!$C$32, $C$9, 100%, $E$9)</f>
        <v>12.726000000000001</v>
      </c>
      <c r="H777" s="11">
        <f>26.5904 * CHOOSE(CONTROL!$C$32, $C$9, 100%, $E$9)</f>
        <v>26.590399999999999</v>
      </c>
      <c r="I777" s="11">
        <f>26.5946 * CHOOSE(CONTROL!$C$32, $C$9, 100%, $E$9)</f>
        <v>26.5946</v>
      </c>
      <c r="J777" s="11">
        <f>26.5904 * CHOOSE(CONTROL!$C$32, $C$9, 100%, $E$9)</f>
        <v>26.590399999999999</v>
      </c>
      <c r="K777" s="11">
        <f>26.5946 * CHOOSE(CONTROL!$C$32, $C$9, 100%, $E$9)</f>
        <v>26.5946</v>
      </c>
      <c r="L777" s="11">
        <f>12.7218 * CHOOSE(CONTROL!$C$32, $C$9, 100%, $E$9)</f>
        <v>12.7218</v>
      </c>
      <c r="M777" s="11">
        <f>12.726 * CHOOSE(CONTROL!$C$32, $C$9, 100%, $E$9)</f>
        <v>12.726000000000001</v>
      </c>
      <c r="N777" s="11">
        <f>12.7218 * CHOOSE(CONTROL!$C$32, $C$9, 100%, $E$9)</f>
        <v>12.7218</v>
      </c>
      <c r="O777" s="11">
        <f>12.726 * CHOOSE(CONTROL!$C$32, $C$9, 100%, $E$9)</f>
        <v>12.726000000000001</v>
      </c>
    </row>
    <row r="778" spans="1:15" ht="15" x14ac:dyDescent="0.2">
      <c r="A778" s="13">
        <v>64529</v>
      </c>
      <c r="B778" s="9">
        <f>11.4018 * CHOOSE(CONTROL!$C$32, $C$9, 100%, $E$9)</f>
        <v>11.4018</v>
      </c>
      <c r="C778" s="9">
        <f>11.4018 * CHOOSE(CONTROL!$C$32, $C$9, 100%, $E$9)</f>
        <v>11.4018</v>
      </c>
      <c r="D778" s="9">
        <f>11.403 * CHOOSE(CONTROL!$C$32, $C$9, 100%, $E$9)</f>
        <v>11.403</v>
      </c>
      <c r="E778" s="11">
        <f>12.6846 * CHOOSE(CONTROL!$C$32, $C$9, 100%, $E$9)</f>
        <v>12.6846</v>
      </c>
      <c r="F778" s="11">
        <f>12.6846 * CHOOSE(CONTROL!$C$32, $C$9, 100%, $E$9)</f>
        <v>12.6846</v>
      </c>
      <c r="G778" s="11">
        <f>12.6888 * CHOOSE(CONTROL!$C$32, $C$9, 100%, $E$9)</f>
        <v>12.688800000000001</v>
      </c>
      <c r="H778" s="11">
        <f>26.6458 * CHOOSE(CONTROL!$C$32, $C$9, 100%, $E$9)</f>
        <v>26.645800000000001</v>
      </c>
      <c r="I778" s="11">
        <f>26.65 * CHOOSE(CONTROL!$C$32, $C$9, 100%, $E$9)</f>
        <v>26.65</v>
      </c>
      <c r="J778" s="11">
        <f>26.6458 * CHOOSE(CONTROL!$C$32, $C$9, 100%, $E$9)</f>
        <v>26.645800000000001</v>
      </c>
      <c r="K778" s="11">
        <f>26.65 * CHOOSE(CONTROL!$C$32, $C$9, 100%, $E$9)</f>
        <v>26.65</v>
      </c>
      <c r="L778" s="11">
        <f>12.6846 * CHOOSE(CONTROL!$C$32, $C$9, 100%, $E$9)</f>
        <v>12.6846</v>
      </c>
      <c r="M778" s="11">
        <f>12.6888 * CHOOSE(CONTROL!$C$32, $C$9, 100%, $E$9)</f>
        <v>12.688800000000001</v>
      </c>
      <c r="N778" s="11">
        <f>12.6846 * CHOOSE(CONTROL!$C$32, $C$9, 100%, $E$9)</f>
        <v>12.6846</v>
      </c>
      <c r="O778" s="11">
        <f>12.6888 * CHOOSE(CONTROL!$C$32, $C$9, 100%, $E$9)</f>
        <v>12.688800000000001</v>
      </c>
    </row>
    <row r="779" spans="1:15" ht="15" x14ac:dyDescent="0.2">
      <c r="A779" s="13">
        <v>64559</v>
      </c>
      <c r="B779" s="9">
        <f>11.4245 * CHOOSE(CONTROL!$C$32, $C$9, 100%, $E$9)</f>
        <v>11.4245</v>
      </c>
      <c r="C779" s="9">
        <f>11.4245 * CHOOSE(CONTROL!$C$32, $C$9, 100%, $E$9)</f>
        <v>11.4245</v>
      </c>
      <c r="D779" s="9">
        <f>11.4254 * CHOOSE(CONTROL!$C$32, $C$9, 100%, $E$9)</f>
        <v>11.4254</v>
      </c>
      <c r="E779" s="11">
        <f>12.8114 * CHOOSE(CONTROL!$C$32, $C$9, 100%, $E$9)</f>
        <v>12.811400000000001</v>
      </c>
      <c r="F779" s="11">
        <f>12.8114 * CHOOSE(CONTROL!$C$32, $C$9, 100%, $E$9)</f>
        <v>12.811400000000001</v>
      </c>
      <c r="G779" s="11">
        <f>12.8147 * CHOOSE(CONTROL!$C$32, $C$9, 100%, $E$9)</f>
        <v>12.8147</v>
      </c>
      <c r="H779" s="11">
        <f>26.7013 * CHOOSE(CONTROL!$C$32, $C$9, 100%, $E$9)</f>
        <v>26.7013</v>
      </c>
      <c r="I779" s="11">
        <f>26.7045 * CHOOSE(CONTROL!$C$32, $C$9, 100%, $E$9)</f>
        <v>26.704499999999999</v>
      </c>
      <c r="J779" s="11">
        <f>26.7013 * CHOOSE(CONTROL!$C$32, $C$9, 100%, $E$9)</f>
        <v>26.7013</v>
      </c>
      <c r="K779" s="11">
        <f>26.7045 * CHOOSE(CONTROL!$C$32, $C$9, 100%, $E$9)</f>
        <v>26.704499999999999</v>
      </c>
      <c r="L779" s="11">
        <f>12.8114 * CHOOSE(CONTROL!$C$32, $C$9, 100%, $E$9)</f>
        <v>12.811400000000001</v>
      </c>
      <c r="M779" s="11">
        <f>12.8147 * CHOOSE(CONTROL!$C$32, $C$9, 100%, $E$9)</f>
        <v>12.8147</v>
      </c>
      <c r="N779" s="11">
        <f>12.8114 * CHOOSE(CONTROL!$C$32, $C$9, 100%, $E$9)</f>
        <v>12.811400000000001</v>
      </c>
      <c r="O779" s="11">
        <f>12.8147 * CHOOSE(CONTROL!$C$32, $C$9, 100%, $E$9)</f>
        <v>12.8147</v>
      </c>
    </row>
    <row r="780" spans="1:15" ht="15" x14ac:dyDescent="0.2">
      <c r="A780" s="13">
        <v>64590</v>
      </c>
      <c r="B780" s="9">
        <f>11.4275 * CHOOSE(CONTROL!$C$32, $C$9, 100%, $E$9)</f>
        <v>11.4275</v>
      </c>
      <c r="C780" s="9">
        <f>11.4275 * CHOOSE(CONTROL!$C$32, $C$9, 100%, $E$9)</f>
        <v>11.4275</v>
      </c>
      <c r="D780" s="9">
        <f>11.4285 * CHOOSE(CONTROL!$C$32, $C$9, 100%, $E$9)</f>
        <v>11.4285</v>
      </c>
      <c r="E780" s="11">
        <f>12.8837 * CHOOSE(CONTROL!$C$32, $C$9, 100%, $E$9)</f>
        <v>12.883699999999999</v>
      </c>
      <c r="F780" s="11">
        <f>12.8837 * CHOOSE(CONTROL!$C$32, $C$9, 100%, $E$9)</f>
        <v>12.883699999999999</v>
      </c>
      <c r="G780" s="11">
        <f>12.8869 * CHOOSE(CONTROL!$C$32, $C$9, 100%, $E$9)</f>
        <v>12.886900000000001</v>
      </c>
      <c r="H780" s="11">
        <f>26.7569 * CHOOSE(CONTROL!$C$32, $C$9, 100%, $E$9)</f>
        <v>26.756900000000002</v>
      </c>
      <c r="I780" s="11">
        <f>26.7601 * CHOOSE(CONTROL!$C$32, $C$9, 100%, $E$9)</f>
        <v>26.760100000000001</v>
      </c>
      <c r="J780" s="11">
        <f>26.7569 * CHOOSE(CONTROL!$C$32, $C$9, 100%, $E$9)</f>
        <v>26.756900000000002</v>
      </c>
      <c r="K780" s="11">
        <f>26.7601 * CHOOSE(CONTROL!$C$32, $C$9, 100%, $E$9)</f>
        <v>26.760100000000001</v>
      </c>
      <c r="L780" s="11">
        <f>12.8837 * CHOOSE(CONTROL!$C$32, $C$9, 100%, $E$9)</f>
        <v>12.883699999999999</v>
      </c>
      <c r="M780" s="11">
        <f>12.8869 * CHOOSE(CONTROL!$C$32, $C$9, 100%, $E$9)</f>
        <v>12.886900000000001</v>
      </c>
      <c r="N780" s="11">
        <f>12.8837 * CHOOSE(CONTROL!$C$32, $C$9, 100%, $E$9)</f>
        <v>12.883699999999999</v>
      </c>
      <c r="O780" s="11">
        <f>12.8869 * CHOOSE(CONTROL!$C$32, $C$9, 100%, $E$9)</f>
        <v>12.886900000000001</v>
      </c>
    </row>
    <row r="781" spans="1:15" ht="15" x14ac:dyDescent="0.2">
      <c r="A781" s="13">
        <v>64620</v>
      </c>
      <c r="B781" s="9">
        <f>11.4275 * CHOOSE(CONTROL!$C$32, $C$9, 100%, $E$9)</f>
        <v>11.4275</v>
      </c>
      <c r="C781" s="9">
        <f>11.4275 * CHOOSE(CONTROL!$C$32, $C$9, 100%, $E$9)</f>
        <v>11.4275</v>
      </c>
      <c r="D781" s="9">
        <f>11.4285 * CHOOSE(CONTROL!$C$32, $C$9, 100%, $E$9)</f>
        <v>11.4285</v>
      </c>
      <c r="E781" s="11">
        <f>12.7083 * CHOOSE(CONTROL!$C$32, $C$9, 100%, $E$9)</f>
        <v>12.708299999999999</v>
      </c>
      <c r="F781" s="11">
        <f>12.7083 * CHOOSE(CONTROL!$C$32, $C$9, 100%, $E$9)</f>
        <v>12.708299999999999</v>
      </c>
      <c r="G781" s="11">
        <f>12.7116 * CHOOSE(CONTROL!$C$32, $C$9, 100%, $E$9)</f>
        <v>12.711600000000001</v>
      </c>
      <c r="H781" s="11">
        <f>26.8126 * CHOOSE(CONTROL!$C$32, $C$9, 100%, $E$9)</f>
        <v>26.8126</v>
      </c>
      <c r="I781" s="11">
        <f>26.8159 * CHOOSE(CONTROL!$C$32, $C$9, 100%, $E$9)</f>
        <v>26.815899999999999</v>
      </c>
      <c r="J781" s="11">
        <f>26.8126 * CHOOSE(CONTROL!$C$32, $C$9, 100%, $E$9)</f>
        <v>26.8126</v>
      </c>
      <c r="K781" s="11">
        <f>26.8159 * CHOOSE(CONTROL!$C$32, $C$9, 100%, $E$9)</f>
        <v>26.815899999999999</v>
      </c>
      <c r="L781" s="11">
        <f>12.7083 * CHOOSE(CONTROL!$C$32, $C$9, 100%, $E$9)</f>
        <v>12.708299999999999</v>
      </c>
      <c r="M781" s="11">
        <f>12.7116 * CHOOSE(CONTROL!$C$32, $C$9, 100%, $E$9)</f>
        <v>12.711600000000001</v>
      </c>
      <c r="N781" s="11">
        <f>12.7083 * CHOOSE(CONTROL!$C$32, $C$9, 100%, $E$9)</f>
        <v>12.708299999999999</v>
      </c>
      <c r="O781" s="11">
        <f>12.7116 * CHOOSE(CONTROL!$C$32, $C$9, 100%, $E$9)</f>
        <v>12.711600000000001</v>
      </c>
    </row>
    <row r="782" spans="1:15" ht="15" x14ac:dyDescent="0.2">
      <c r="A782" s="13">
        <v>64651</v>
      </c>
      <c r="B782" s="9">
        <f>11.4426 * CHOOSE(CONTROL!$C$32, $C$9, 100%, $E$9)</f>
        <v>11.442600000000001</v>
      </c>
      <c r="C782" s="9">
        <f>11.4426 * CHOOSE(CONTROL!$C$32, $C$9, 100%, $E$9)</f>
        <v>11.442600000000001</v>
      </c>
      <c r="D782" s="9">
        <f>11.4435 * CHOOSE(CONTROL!$C$32, $C$9, 100%, $E$9)</f>
        <v>11.4435</v>
      </c>
      <c r="E782" s="11">
        <f>12.858 * CHOOSE(CONTROL!$C$32, $C$9, 100%, $E$9)</f>
        <v>12.858000000000001</v>
      </c>
      <c r="F782" s="11">
        <f>12.858 * CHOOSE(CONTROL!$C$32, $C$9, 100%, $E$9)</f>
        <v>12.858000000000001</v>
      </c>
      <c r="G782" s="11">
        <f>12.8613 * CHOOSE(CONTROL!$C$32, $C$9, 100%, $E$9)</f>
        <v>12.8613</v>
      </c>
      <c r="H782" s="11">
        <f>26.6776 * CHOOSE(CONTROL!$C$32, $C$9, 100%, $E$9)</f>
        <v>26.677600000000002</v>
      </c>
      <c r="I782" s="11">
        <f>26.6808 * CHOOSE(CONTROL!$C$32, $C$9, 100%, $E$9)</f>
        <v>26.680800000000001</v>
      </c>
      <c r="J782" s="11">
        <f>26.6776 * CHOOSE(CONTROL!$C$32, $C$9, 100%, $E$9)</f>
        <v>26.677600000000002</v>
      </c>
      <c r="K782" s="11">
        <f>26.6808 * CHOOSE(CONTROL!$C$32, $C$9, 100%, $E$9)</f>
        <v>26.680800000000001</v>
      </c>
      <c r="L782" s="11">
        <f>12.858 * CHOOSE(CONTROL!$C$32, $C$9, 100%, $E$9)</f>
        <v>12.858000000000001</v>
      </c>
      <c r="M782" s="11">
        <f>12.8613 * CHOOSE(CONTROL!$C$32, $C$9, 100%, $E$9)</f>
        <v>12.8613</v>
      </c>
      <c r="N782" s="11">
        <f>12.858 * CHOOSE(CONTROL!$C$32, $C$9, 100%, $E$9)</f>
        <v>12.858000000000001</v>
      </c>
      <c r="O782" s="11">
        <f>12.8613 * CHOOSE(CONTROL!$C$32, $C$9, 100%, $E$9)</f>
        <v>12.8613</v>
      </c>
    </row>
    <row r="783" spans="1:15" ht="15" x14ac:dyDescent="0.2">
      <c r="A783" s="13">
        <v>64682</v>
      </c>
      <c r="B783" s="9">
        <f>11.4395 * CHOOSE(CONTROL!$C$32, $C$9, 100%, $E$9)</f>
        <v>11.439500000000001</v>
      </c>
      <c r="C783" s="9">
        <f>11.4395 * CHOOSE(CONTROL!$C$32, $C$9, 100%, $E$9)</f>
        <v>11.439500000000001</v>
      </c>
      <c r="D783" s="9">
        <f>11.4405 * CHOOSE(CONTROL!$C$32, $C$9, 100%, $E$9)</f>
        <v>11.4405</v>
      </c>
      <c r="E783" s="11">
        <f>12.5174 * CHOOSE(CONTROL!$C$32, $C$9, 100%, $E$9)</f>
        <v>12.5174</v>
      </c>
      <c r="F783" s="11">
        <f>12.5174 * CHOOSE(CONTROL!$C$32, $C$9, 100%, $E$9)</f>
        <v>12.5174</v>
      </c>
      <c r="G783" s="11">
        <f>12.5206 * CHOOSE(CONTROL!$C$32, $C$9, 100%, $E$9)</f>
        <v>12.5206</v>
      </c>
      <c r="H783" s="11">
        <f>26.7332 * CHOOSE(CONTROL!$C$32, $C$9, 100%, $E$9)</f>
        <v>26.7332</v>
      </c>
      <c r="I783" s="11">
        <f>26.7364 * CHOOSE(CONTROL!$C$32, $C$9, 100%, $E$9)</f>
        <v>26.7364</v>
      </c>
      <c r="J783" s="11">
        <f>26.7332 * CHOOSE(CONTROL!$C$32, $C$9, 100%, $E$9)</f>
        <v>26.7332</v>
      </c>
      <c r="K783" s="11">
        <f>26.7364 * CHOOSE(CONTROL!$C$32, $C$9, 100%, $E$9)</f>
        <v>26.7364</v>
      </c>
      <c r="L783" s="11">
        <f>12.5174 * CHOOSE(CONTROL!$C$32, $C$9, 100%, $E$9)</f>
        <v>12.5174</v>
      </c>
      <c r="M783" s="11">
        <f>12.5206 * CHOOSE(CONTROL!$C$32, $C$9, 100%, $E$9)</f>
        <v>12.5206</v>
      </c>
      <c r="N783" s="11">
        <f>12.5174 * CHOOSE(CONTROL!$C$32, $C$9, 100%, $E$9)</f>
        <v>12.5174</v>
      </c>
      <c r="O783" s="11">
        <f>12.5206 * CHOOSE(CONTROL!$C$32, $C$9, 100%, $E$9)</f>
        <v>12.5206</v>
      </c>
    </row>
    <row r="784" spans="1:15" ht="15" x14ac:dyDescent="0.2">
      <c r="A784" s="13">
        <v>64710</v>
      </c>
      <c r="B784" s="9">
        <f>11.4365 * CHOOSE(CONTROL!$C$32, $C$9, 100%, $E$9)</f>
        <v>11.436500000000001</v>
      </c>
      <c r="C784" s="9">
        <f>11.4365 * CHOOSE(CONTROL!$C$32, $C$9, 100%, $E$9)</f>
        <v>11.436500000000001</v>
      </c>
      <c r="D784" s="9">
        <f>11.4375 * CHOOSE(CONTROL!$C$32, $C$9, 100%, $E$9)</f>
        <v>11.4375</v>
      </c>
      <c r="E784" s="11">
        <f>12.7822 * CHOOSE(CONTROL!$C$32, $C$9, 100%, $E$9)</f>
        <v>12.7822</v>
      </c>
      <c r="F784" s="11">
        <f>12.7822 * CHOOSE(CONTROL!$C$32, $C$9, 100%, $E$9)</f>
        <v>12.7822</v>
      </c>
      <c r="G784" s="11">
        <f>12.7854 * CHOOSE(CONTROL!$C$32, $C$9, 100%, $E$9)</f>
        <v>12.785399999999999</v>
      </c>
      <c r="H784" s="11">
        <f>26.7889 * CHOOSE(CONTROL!$C$32, $C$9, 100%, $E$9)</f>
        <v>26.788900000000002</v>
      </c>
      <c r="I784" s="11">
        <f>26.7921 * CHOOSE(CONTROL!$C$32, $C$9, 100%, $E$9)</f>
        <v>26.792100000000001</v>
      </c>
      <c r="J784" s="11">
        <f>26.7889 * CHOOSE(CONTROL!$C$32, $C$9, 100%, $E$9)</f>
        <v>26.788900000000002</v>
      </c>
      <c r="K784" s="11">
        <f>26.7921 * CHOOSE(CONTROL!$C$32, $C$9, 100%, $E$9)</f>
        <v>26.792100000000001</v>
      </c>
      <c r="L784" s="11">
        <f>12.7822 * CHOOSE(CONTROL!$C$32, $C$9, 100%, $E$9)</f>
        <v>12.7822</v>
      </c>
      <c r="M784" s="11">
        <f>12.7854 * CHOOSE(CONTROL!$C$32, $C$9, 100%, $E$9)</f>
        <v>12.785399999999999</v>
      </c>
      <c r="N784" s="11">
        <f>12.7822 * CHOOSE(CONTROL!$C$32, $C$9, 100%, $E$9)</f>
        <v>12.7822</v>
      </c>
      <c r="O784" s="11">
        <f>12.7854 * CHOOSE(CONTROL!$C$32, $C$9, 100%, $E$9)</f>
        <v>12.785399999999999</v>
      </c>
    </row>
    <row r="785" spans="1:15" ht="15" x14ac:dyDescent="0.2">
      <c r="A785" s="13">
        <v>64741</v>
      </c>
      <c r="B785" s="9">
        <f>11.4414 * CHOOSE(CONTROL!$C$32, $C$9, 100%, $E$9)</f>
        <v>11.4414</v>
      </c>
      <c r="C785" s="9">
        <f>11.4414 * CHOOSE(CONTROL!$C$32, $C$9, 100%, $E$9)</f>
        <v>11.4414</v>
      </c>
      <c r="D785" s="9">
        <f>11.4423 * CHOOSE(CONTROL!$C$32, $C$9, 100%, $E$9)</f>
        <v>11.442299999999999</v>
      </c>
      <c r="E785" s="11">
        <f>13.0645 * CHOOSE(CONTROL!$C$32, $C$9, 100%, $E$9)</f>
        <v>13.064500000000001</v>
      </c>
      <c r="F785" s="11">
        <f>13.0645 * CHOOSE(CONTROL!$C$32, $C$9, 100%, $E$9)</f>
        <v>13.064500000000001</v>
      </c>
      <c r="G785" s="11">
        <f>13.0677 * CHOOSE(CONTROL!$C$32, $C$9, 100%, $E$9)</f>
        <v>13.0677</v>
      </c>
      <c r="H785" s="11">
        <f>26.8447 * CHOOSE(CONTROL!$C$32, $C$9, 100%, $E$9)</f>
        <v>26.8447</v>
      </c>
      <c r="I785" s="11">
        <f>26.8479 * CHOOSE(CONTROL!$C$32, $C$9, 100%, $E$9)</f>
        <v>26.847899999999999</v>
      </c>
      <c r="J785" s="11">
        <f>26.8447 * CHOOSE(CONTROL!$C$32, $C$9, 100%, $E$9)</f>
        <v>26.8447</v>
      </c>
      <c r="K785" s="11">
        <f>26.8479 * CHOOSE(CONTROL!$C$32, $C$9, 100%, $E$9)</f>
        <v>26.847899999999999</v>
      </c>
      <c r="L785" s="11">
        <f>13.0645 * CHOOSE(CONTROL!$C$32, $C$9, 100%, $E$9)</f>
        <v>13.064500000000001</v>
      </c>
      <c r="M785" s="11">
        <f>13.0677 * CHOOSE(CONTROL!$C$32, $C$9, 100%, $E$9)</f>
        <v>13.0677</v>
      </c>
      <c r="N785" s="11">
        <f>13.0645 * CHOOSE(CONTROL!$C$32, $C$9, 100%, $E$9)</f>
        <v>13.064500000000001</v>
      </c>
      <c r="O785" s="11">
        <f>13.0677 * CHOOSE(CONTROL!$C$32, $C$9, 100%, $E$9)</f>
        <v>13.0677</v>
      </c>
    </row>
    <row r="786" spans="1:15" ht="15" x14ac:dyDescent="0.2">
      <c r="A786" s="13">
        <v>64771</v>
      </c>
      <c r="B786" s="9">
        <f>11.4414 * CHOOSE(CONTROL!$C$32, $C$9, 100%, $E$9)</f>
        <v>11.4414</v>
      </c>
      <c r="C786" s="9">
        <f>11.4414 * CHOOSE(CONTROL!$C$32, $C$9, 100%, $E$9)</f>
        <v>11.4414</v>
      </c>
      <c r="D786" s="9">
        <f>11.4426 * CHOOSE(CONTROL!$C$32, $C$9, 100%, $E$9)</f>
        <v>11.442600000000001</v>
      </c>
      <c r="E786" s="11">
        <f>13.172 * CHOOSE(CONTROL!$C$32, $C$9, 100%, $E$9)</f>
        <v>13.172000000000001</v>
      </c>
      <c r="F786" s="11">
        <f>13.172 * CHOOSE(CONTROL!$C$32, $C$9, 100%, $E$9)</f>
        <v>13.172000000000001</v>
      </c>
      <c r="G786" s="11">
        <f>13.1762 * CHOOSE(CONTROL!$C$32, $C$9, 100%, $E$9)</f>
        <v>13.1762</v>
      </c>
      <c r="H786" s="11">
        <f>26.9006 * CHOOSE(CONTROL!$C$32, $C$9, 100%, $E$9)</f>
        <v>26.900600000000001</v>
      </c>
      <c r="I786" s="11">
        <f>26.9048 * CHOOSE(CONTROL!$C$32, $C$9, 100%, $E$9)</f>
        <v>26.904800000000002</v>
      </c>
      <c r="J786" s="11">
        <f>26.9006 * CHOOSE(CONTROL!$C$32, $C$9, 100%, $E$9)</f>
        <v>26.900600000000001</v>
      </c>
      <c r="K786" s="11">
        <f>26.9048 * CHOOSE(CONTROL!$C$32, $C$9, 100%, $E$9)</f>
        <v>26.904800000000002</v>
      </c>
      <c r="L786" s="11">
        <f>13.172 * CHOOSE(CONTROL!$C$32, $C$9, 100%, $E$9)</f>
        <v>13.172000000000001</v>
      </c>
      <c r="M786" s="11">
        <f>13.1762 * CHOOSE(CONTROL!$C$32, $C$9, 100%, $E$9)</f>
        <v>13.1762</v>
      </c>
      <c r="N786" s="11">
        <f>13.172 * CHOOSE(CONTROL!$C$32, $C$9, 100%, $E$9)</f>
        <v>13.172000000000001</v>
      </c>
      <c r="O786" s="11">
        <f>13.1762 * CHOOSE(CONTROL!$C$32, $C$9, 100%, $E$9)</f>
        <v>13.1762</v>
      </c>
    </row>
    <row r="787" spans="1:15" ht="15" x14ac:dyDescent="0.2">
      <c r="A787" s="13">
        <v>64802</v>
      </c>
      <c r="B787" s="9">
        <f>11.4474 * CHOOSE(CONTROL!$C$32, $C$9, 100%, $E$9)</f>
        <v>11.4474</v>
      </c>
      <c r="C787" s="9">
        <f>11.4474 * CHOOSE(CONTROL!$C$32, $C$9, 100%, $E$9)</f>
        <v>11.4474</v>
      </c>
      <c r="D787" s="9">
        <f>11.4487 * CHOOSE(CONTROL!$C$32, $C$9, 100%, $E$9)</f>
        <v>11.448700000000001</v>
      </c>
      <c r="E787" s="11">
        <f>13.0688 * CHOOSE(CONTROL!$C$32, $C$9, 100%, $E$9)</f>
        <v>13.0688</v>
      </c>
      <c r="F787" s="11">
        <f>13.0688 * CHOOSE(CONTROL!$C$32, $C$9, 100%, $E$9)</f>
        <v>13.0688</v>
      </c>
      <c r="G787" s="11">
        <f>13.073 * CHOOSE(CONTROL!$C$32, $C$9, 100%, $E$9)</f>
        <v>13.073</v>
      </c>
      <c r="H787" s="11">
        <f>26.9567 * CHOOSE(CONTROL!$C$32, $C$9, 100%, $E$9)</f>
        <v>26.956700000000001</v>
      </c>
      <c r="I787" s="11">
        <f>26.9609 * CHOOSE(CONTROL!$C$32, $C$9, 100%, $E$9)</f>
        <v>26.960899999999999</v>
      </c>
      <c r="J787" s="11">
        <f>26.9567 * CHOOSE(CONTROL!$C$32, $C$9, 100%, $E$9)</f>
        <v>26.956700000000001</v>
      </c>
      <c r="K787" s="11">
        <f>26.9609 * CHOOSE(CONTROL!$C$32, $C$9, 100%, $E$9)</f>
        <v>26.960899999999999</v>
      </c>
      <c r="L787" s="11">
        <f>13.0688 * CHOOSE(CONTROL!$C$32, $C$9, 100%, $E$9)</f>
        <v>13.0688</v>
      </c>
      <c r="M787" s="11">
        <f>13.073 * CHOOSE(CONTROL!$C$32, $C$9, 100%, $E$9)</f>
        <v>13.073</v>
      </c>
      <c r="N787" s="11">
        <f>13.0688 * CHOOSE(CONTROL!$C$32, $C$9, 100%, $E$9)</f>
        <v>13.0688</v>
      </c>
      <c r="O787" s="11">
        <f>13.073 * CHOOSE(CONTROL!$C$32, $C$9, 100%, $E$9)</f>
        <v>13.073</v>
      </c>
    </row>
    <row r="788" spans="1:15" ht="15" x14ac:dyDescent="0.2">
      <c r="A788" s="13">
        <v>64832</v>
      </c>
      <c r="B788" s="9">
        <f>11.5877 * CHOOSE(CONTROL!$C$32, $C$9, 100%, $E$9)</f>
        <v>11.5877</v>
      </c>
      <c r="C788" s="9">
        <f>11.5877 * CHOOSE(CONTROL!$C$32, $C$9, 100%, $E$9)</f>
        <v>11.5877</v>
      </c>
      <c r="D788" s="9">
        <f>11.5889 * CHOOSE(CONTROL!$C$32, $C$9, 100%, $E$9)</f>
        <v>11.588900000000001</v>
      </c>
      <c r="E788" s="11">
        <f>13.2529 * CHOOSE(CONTROL!$C$32, $C$9, 100%, $E$9)</f>
        <v>13.2529</v>
      </c>
      <c r="F788" s="11">
        <f>13.2529 * CHOOSE(CONTROL!$C$32, $C$9, 100%, $E$9)</f>
        <v>13.2529</v>
      </c>
      <c r="G788" s="11">
        <f>13.2571 * CHOOSE(CONTROL!$C$32, $C$9, 100%, $E$9)</f>
        <v>13.257099999999999</v>
      </c>
      <c r="H788" s="11">
        <f>27.0128 * CHOOSE(CONTROL!$C$32, $C$9, 100%, $E$9)</f>
        <v>27.012799999999999</v>
      </c>
      <c r="I788" s="11">
        <f>27.017 * CHOOSE(CONTROL!$C$32, $C$9, 100%, $E$9)</f>
        <v>27.016999999999999</v>
      </c>
      <c r="J788" s="11">
        <f>27.0128 * CHOOSE(CONTROL!$C$32, $C$9, 100%, $E$9)</f>
        <v>27.012799999999999</v>
      </c>
      <c r="K788" s="11">
        <f>27.017 * CHOOSE(CONTROL!$C$32, $C$9, 100%, $E$9)</f>
        <v>27.016999999999999</v>
      </c>
      <c r="L788" s="11">
        <f>13.2529 * CHOOSE(CONTROL!$C$32, $C$9, 100%, $E$9)</f>
        <v>13.2529</v>
      </c>
      <c r="M788" s="11">
        <f>13.2571 * CHOOSE(CONTROL!$C$32, $C$9, 100%, $E$9)</f>
        <v>13.257099999999999</v>
      </c>
      <c r="N788" s="11">
        <f>13.2529 * CHOOSE(CONTROL!$C$32, $C$9, 100%, $E$9)</f>
        <v>13.2529</v>
      </c>
      <c r="O788" s="11">
        <f>13.2571 * CHOOSE(CONTROL!$C$32, $C$9, 100%, $E$9)</f>
        <v>13.257099999999999</v>
      </c>
    </row>
    <row r="789" spans="1:15" ht="15" x14ac:dyDescent="0.2">
      <c r="A789" s="13">
        <v>64863</v>
      </c>
      <c r="B789" s="9">
        <f>11.5944 * CHOOSE(CONTROL!$C$32, $C$9, 100%, $E$9)</f>
        <v>11.5944</v>
      </c>
      <c r="C789" s="9">
        <f>11.5944 * CHOOSE(CONTROL!$C$32, $C$9, 100%, $E$9)</f>
        <v>11.5944</v>
      </c>
      <c r="D789" s="9">
        <f>11.5956 * CHOOSE(CONTROL!$C$32, $C$9, 100%, $E$9)</f>
        <v>11.595599999999999</v>
      </c>
      <c r="E789" s="11">
        <f>12.9352 * CHOOSE(CONTROL!$C$32, $C$9, 100%, $E$9)</f>
        <v>12.9352</v>
      </c>
      <c r="F789" s="11">
        <f>12.9352 * CHOOSE(CONTROL!$C$32, $C$9, 100%, $E$9)</f>
        <v>12.9352</v>
      </c>
      <c r="G789" s="11">
        <f>12.9394 * CHOOSE(CONTROL!$C$32, $C$9, 100%, $E$9)</f>
        <v>12.939399999999999</v>
      </c>
      <c r="H789" s="11">
        <f>27.0691 * CHOOSE(CONTROL!$C$32, $C$9, 100%, $E$9)</f>
        <v>27.069099999999999</v>
      </c>
      <c r="I789" s="11">
        <f>27.0733 * CHOOSE(CONTROL!$C$32, $C$9, 100%, $E$9)</f>
        <v>27.0733</v>
      </c>
      <c r="J789" s="11">
        <f>27.0691 * CHOOSE(CONTROL!$C$32, $C$9, 100%, $E$9)</f>
        <v>27.069099999999999</v>
      </c>
      <c r="K789" s="11">
        <f>27.0733 * CHOOSE(CONTROL!$C$32, $C$9, 100%, $E$9)</f>
        <v>27.0733</v>
      </c>
      <c r="L789" s="11">
        <f>12.9352 * CHOOSE(CONTROL!$C$32, $C$9, 100%, $E$9)</f>
        <v>12.9352</v>
      </c>
      <c r="M789" s="11">
        <f>12.9394 * CHOOSE(CONTROL!$C$32, $C$9, 100%, $E$9)</f>
        <v>12.939399999999999</v>
      </c>
      <c r="N789" s="11">
        <f>12.9352 * CHOOSE(CONTROL!$C$32, $C$9, 100%, $E$9)</f>
        <v>12.9352</v>
      </c>
      <c r="O789" s="11">
        <f>12.9394 * CHOOSE(CONTROL!$C$32, $C$9, 100%, $E$9)</f>
        <v>12.939399999999999</v>
      </c>
    </row>
    <row r="790" spans="1:15" ht="15" x14ac:dyDescent="0.2">
      <c r="A790" s="13">
        <v>64894</v>
      </c>
      <c r="B790" s="9">
        <f>11.5913 * CHOOSE(CONTROL!$C$32, $C$9, 100%, $E$9)</f>
        <v>11.5913</v>
      </c>
      <c r="C790" s="9">
        <f>11.5913 * CHOOSE(CONTROL!$C$32, $C$9, 100%, $E$9)</f>
        <v>11.5913</v>
      </c>
      <c r="D790" s="9">
        <f>11.5926 * CHOOSE(CONTROL!$C$32, $C$9, 100%, $E$9)</f>
        <v>11.592599999999999</v>
      </c>
      <c r="E790" s="11">
        <f>12.8972 * CHOOSE(CONTROL!$C$32, $C$9, 100%, $E$9)</f>
        <v>12.8972</v>
      </c>
      <c r="F790" s="11">
        <f>12.8972 * CHOOSE(CONTROL!$C$32, $C$9, 100%, $E$9)</f>
        <v>12.8972</v>
      </c>
      <c r="G790" s="11">
        <f>12.9014 * CHOOSE(CONTROL!$C$32, $C$9, 100%, $E$9)</f>
        <v>12.901400000000001</v>
      </c>
      <c r="H790" s="11">
        <f>27.1255 * CHOOSE(CONTROL!$C$32, $C$9, 100%, $E$9)</f>
        <v>27.125499999999999</v>
      </c>
      <c r="I790" s="11">
        <f>27.1297 * CHOOSE(CONTROL!$C$32, $C$9, 100%, $E$9)</f>
        <v>27.1297</v>
      </c>
      <c r="J790" s="11">
        <f>27.1255 * CHOOSE(CONTROL!$C$32, $C$9, 100%, $E$9)</f>
        <v>27.125499999999999</v>
      </c>
      <c r="K790" s="11">
        <f>27.1297 * CHOOSE(CONTROL!$C$32, $C$9, 100%, $E$9)</f>
        <v>27.1297</v>
      </c>
      <c r="L790" s="11">
        <f>12.8972 * CHOOSE(CONTROL!$C$32, $C$9, 100%, $E$9)</f>
        <v>12.8972</v>
      </c>
      <c r="M790" s="11">
        <f>12.9014 * CHOOSE(CONTROL!$C$32, $C$9, 100%, $E$9)</f>
        <v>12.901400000000001</v>
      </c>
      <c r="N790" s="11">
        <f>12.8972 * CHOOSE(CONTROL!$C$32, $C$9, 100%, $E$9)</f>
        <v>12.8972</v>
      </c>
      <c r="O790" s="11">
        <f>12.9014 * CHOOSE(CONTROL!$C$32, $C$9, 100%, $E$9)</f>
        <v>12.901400000000001</v>
      </c>
    </row>
    <row r="791" spans="1:15" ht="15" x14ac:dyDescent="0.2">
      <c r="A791" s="13">
        <v>64924</v>
      </c>
      <c r="B791" s="9">
        <f>11.6148 * CHOOSE(CONTROL!$C$32, $C$9, 100%, $E$9)</f>
        <v>11.614800000000001</v>
      </c>
      <c r="C791" s="9">
        <f>11.6148 * CHOOSE(CONTROL!$C$32, $C$9, 100%, $E$9)</f>
        <v>11.614800000000001</v>
      </c>
      <c r="D791" s="9">
        <f>11.6157 * CHOOSE(CONTROL!$C$32, $C$9, 100%, $E$9)</f>
        <v>11.6157</v>
      </c>
      <c r="E791" s="11">
        <f>13.0271 * CHOOSE(CONTROL!$C$32, $C$9, 100%, $E$9)</f>
        <v>13.027100000000001</v>
      </c>
      <c r="F791" s="11">
        <f>13.0271 * CHOOSE(CONTROL!$C$32, $C$9, 100%, $E$9)</f>
        <v>13.027100000000001</v>
      </c>
      <c r="G791" s="11">
        <f>13.0304 * CHOOSE(CONTROL!$C$32, $C$9, 100%, $E$9)</f>
        <v>13.0304</v>
      </c>
      <c r="H791" s="11">
        <f>27.182 * CHOOSE(CONTROL!$C$32, $C$9, 100%, $E$9)</f>
        <v>27.181999999999999</v>
      </c>
      <c r="I791" s="11">
        <f>27.1852 * CHOOSE(CONTROL!$C$32, $C$9, 100%, $E$9)</f>
        <v>27.185199999999998</v>
      </c>
      <c r="J791" s="11">
        <f>27.182 * CHOOSE(CONTROL!$C$32, $C$9, 100%, $E$9)</f>
        <v>27.181999999999999</v>
      </c>
      <c r="K791" s="11">
        <f>27.1852 * CHOOSE(CONTROL!$C$32, $C$9, 100%, $E$9)</f>
        <v>27.185199999999998</v>
      </c>
      <c r="L791" s="11">
        <f>13.0271 * CHOOSE(CONTROL!$C$32, $C$9, 100%, $E$9)</f>
        <v>13.027100000000001</v>
      </c>
      <c r="M791" s="11">
        <f>13.0304 * CHOOSE(CONTROL!$C$32, $C$9, 100%, $E$9)</f>
        <v>13.0304</v>
      </c>
      <c r="N791" s="11">
        <f>13.0271 * CHOOSE(CONTROL!$C$32, $C$9, 100%, $E$9)</f>
        <v>13.027100000000001</v>
      </c>
      <c r="O791" s="11">
        <f>13.0304 * CHOOSE(CONTROL!$C$32, $C$9, 100%, $E$9)</f>
        <v>13.0304</v>
      </c>
    </row>
    <row r="792" spans="1:15" ht="15" x14ac:dyDescent="0.2">
      <c r="A792" s="13">
        <v>64955</v>
      </c>
      <c r="B792" s="9">
        <f>11.6178 * CHOOSE(CONTROL!$C$32, $C$9, 100%, $E$9)</f>
        <v>11.617800000000001</v>
      </c>
      <c r="C792" s="9">
        <f>11.6178 * CHOOSE(CONTROL!$C$32, $C$9, 100%, $E$9)</f>
        <v>11.617800000000001</v>
      </c>
      <c r="D792" s="9">
        <f>11.6188 * CHOOSE(CONTROL!$C$32, $C$9, 100%, $E$9)</f>
        <v>11.6188</v>
      </c>
      <c r="E792" s="11">
        <f>13.1009 * CHOOSE(CONTROL!$C$32, $C$9, 100%, $E$9)</f>
        <v>13.100899999999999</v>
      </c>
      <c r="F792" s="11">
        <f>13.1009 * CHOOSE(CONTROL!$C$32, $C$9, 100%, $E$9)</f>
        <v>13.100899999999999</v>
      </c>
      <c r="G792" s="11">
        <f>13.1041 * CHOOSE(CONTROL!$C$32, $C$9, 100%, $E$9)</f>
        <v>13.104100000000001</v>
      </c>
      <c r="H792" s="11">
        <f>27.2386 * CHOOSE(CONTROL!$C$32, $C$9, 100%, $E$9)</f>
        <v>27.238600000000002</v>
      </c>
      <c r="I792" s="11">
        <f>27.2419 * CHOOSE(CONTROL!$C$32, $C$9, 100%, $E$9)</f>
        <v>27.241900000000001</v>
      </c>
      <c r="J792" s="11">
        <f>27.2386 * CHOOSE(CONTROL!$C$32, $C$9, 100%, $E$9)</f>
        <v>27.238600000000002</v>
      </c>
      <c r="K792" s="11">
        <f>27.2419 * CHOOSE(CONTROL!$C$32, $C$9, 100%, $E$9)</f>
        <v>27.241900000000001</v>
      </c>
      <c r="L792" s="11">
        <f>13.1009 * CHOOSE(CONTROL!$C$32, $C$9, 100%, $E$9)</f>
        <v>13.100899999999999</v>
      </c>
      <c r="M792" s="11">
        <f>13.1041 * CHOOSE(CONTROL!$C$32, $C$9, 100%, $E$9)</f>
        <v>13.104100000000001</v>
      </c>
      <c r="N792" s="11">
        <f>13.1009 * CHOOSE(CONTROL!$C$32, $C$9, 100%, $E$9)</f>
        <v>13.100899999999999</v>
      </c>
      <c r="O792" s="11">
        <f>13.1041 * CHOOSE(CONTROL!$C$32, $C$9, 100%, $E$9)</f>
        <v>13.104100000000001</v>
      </c>
    </row>
    <row r="793" spans="1:15" ht="15" x14ac:dyDescent="0.2">
      <c r="A793" s="13">
        <v>64985</v>
      </c>
      <c r="B793" s="9">
        <f>11.6178 * CHOOSE(CONTROL!$C$32, $C$9, 100%, $E$9)</f>
        <v>11.617800000000001</v>
      </c>
      <c r="C793" s="9">
        <f>11.6178 * CHOOSE(CONTROL!$C$32, $C$9, 100%, $E$9)</f>
        <v>11.617800000000001</v>
      </c>
      <c r="D793" s="9">
        <f>11.6188 * CHOOSE(CONTROL!$C$32, $C$9, 100%, $E$9)</f>
        <v>11.6188</v>
      </c>
      <c r="E793" s="11">
        <f>12.9218 * CHOOSE(CONTROL!$C$32, $C$9, 100%, $E$9)</f>
        <v>12.921799999999999</v>
      </c>
      <c r="F793" s="11">
        <f>12.9218 * CHOOSE(CONTROL!$C$32, $C$9, 100%, $E$9)</f>
        <v>12.921799999999999</v>
      </c>
      <c r="G793" s="11">
        <f>12.925 * CHOOSE(CONTROL!$C$32, $C$9, 100%, $E$9)</f>
        <v>12.925000000000001</v>
      </c>
      <c r="H793" s="11">
        <f>27.2954 * CHOOSE(CONTROL!$C$32, $C$9, 100%, $E$9)</f>
        <v>27.295400000000001</v>
      </c>
      <c r="I793" s="11">
        <f>27.2986 * CHOOSE(CONTROL!$C$32, $C$9, 100%, $E$9)</f>
        <v>27.2986</v>
      </c>
      <c r="J793" s="11">
        <f>27.2954 * CHOOSE(CONTROL!$C$32, $C$9, 100%, $E$9)</f>
        <v>27.295400000000001</v>
      </c>
      <c r="K793" s="11">
        <f>27.2986 * CHOOSE(CONTROL!$C$32, $C$9, 100%, $E$9)</f>
        <v>27.2986</v>
      </c>
      <c r="L793" s="11">
        <f>12.9218 * CHOOSE(CONTROL!$C$32, $C$9, 100%, $E$9)</f>
        <v>12.921799999999999</v>
      </c>
      <c r="M793" s="11">
        <f>12.925 * CHOOSE(CONTROL!$C$32, $C$9, 100%, $E$9)</f>
        <v>12.925000000000001</v>
      </c>
      <c r="N793" s="11">
        <f>12.9218 * CHOOSE(CONTROL!$C$32, $C$9, 100%, $E$9)</f>
        <v>12.921799999999999</v>
      </c>
      <c r="O793" s="11">
        <f>12.925 * CHOOSE(CONTROL!$C$32, $C$9, 100%, $E$9)</f>
        <v>12.925000000000001</v>
      </c>
    </row>
    <row r="794" spans="1:15" ht="15" x14ac:dyDescent="0.2">
      <c r="A794" s="13">
        <v>65016</v>
      </c>
      <c r="B794" s="9">
        <f>11.6299 * CHOOSE(CONTROL!$C$32, $C$9, 100%, $E$9)</f>
        <v>11.629899999999999</v>
      </c>
      <c r="C794" s="9">
        <f>11.6299 * CHOOSE(CONTROL!$C$32, $C$9, 100%, $E$9)</f>
        <v>11.629899999999999</v>
      </c>
      <c r="D794" s="9">
        <f>11.6309 * CHOOSE(CONTROL!$C$32, $C$9, 100%, $E$9)</f>
        <v>11.6309</v>
      </c>
      <c r="E794" s="11">
        <f>13.0706 * CHOOSE(CONTROL!$C$32, $C$9, 100%, $E$9)</f>
        <v>13.070600000000001</v>
      </c>
      <c r="F794" s="11">
        <f>13.0706 * CHOOSE(CONTROL!$C$32, $C$9, 100%, $E$9)</f>
        <v>13.070600000000001</v>
      </c>
      <c r="G794" s="11">
        <f>13.0738 * CHOOSE(CONTROL!$C$32, $C$9, 100%, $E$9)</f>
        <v>13.0738</v>
      </c>
      <c r="H794" s="11">
        <f>27.1494 * CHOOSE(CONTROL!$C$32, $C$9, 100%, $E$9)</f>
        <v>27.1494</v>
      </c>
      <c r="I794" s="11">
        <f>27.1526 * CHOOSE(CONTROL!$C$32, $C$9, 100%, $E$9)</f>
        <v>27.1526</v>
      </c>
      <c r="J794" s="11">
        <f>27.1494 * CHOOSE(CONTROL!$C$32, $C$9, 100%, $E$9)</f>
        <v>27.1494</v>
      </c>
      <c r="K794" s="11">
        <f>27.1526 * CHOOSE(CONTROL!$C$32, $C$9, 100%, $E$9)</f>
        <v>27.1526</v>
      </c>
      <c r="L794" s="11">
        <f>13.0706 * CHOOSE(CONTROL!$C$32, $C$9, 100%, $E$9)</f>
        <v>13.070600000000001</v>
      </c>
      <c r="M794" s="11">
        <f>13.0738 * CHOOSE(CONTROL!$C$32, $C$9, 100%, $E$9)</f>
        <v>13.0738</v>
      </c>
      <c r="N794" s="11">
        <f>13.0706 * CHOOSE(CONTROL!$C$32, $C$9, 100%, $E$9)</f>
        <v>13.070600000000001</v>
      </c>
      <c r="O794" s="11">
        <f>13.0738 * CHOOSE(CONTROL!$C$32, $C$9, 100%, $E$9)</f>
        <v>13.0738</v>
      </c>
    </row>
    <row r="795" spans="1:15" ht="15" x14ac:dyDescent="0.2">
      <c r="A795" s="13">
        <v>65047</v>
      </c>
      <c r="B795" s="9">
        <f>11.6269 * CHOOSE(CONTROL!$C$32, $C$9, 100%, $E$9)</f>
        <v>11.626899999999999</v>
      </c>
      <c r="C795" s="9">
        <f>11.6269 * CHOOSE(CONTROL!$C$32, $C$9, 100%, $E$9)</f>
        <v>11.626899999999999</v>
      </c>
      <c r="D795" s="9">
        <f>11.6279 * CHOOSE(CONTROL!$C$32, $C$9, 100%, $E$9)</f>
        <v>11.6279</v>
      </c>
      <c r="E795" s="11">
        <f>12.7228 * CHOOSE(CONTROL!$C$32, $C$9, 100%, $E$9)</f>
        <v>12.722799999999999</v>
      </c>
      <c r="F795" s="11">
        <f>12.7228 * CHOOSE(CONTROL!$C$32, $C$9, 100%, $E$9)</f>
        <v>12.722799999999999</v>
      </c>
      <c r="G795" s="11">
        <f>12.7261 * CHOOSE(CONTROL!$C$32, $C$9, 100%, $E$9)</f>
        <v>12.726100000000001</v>
      </c>
      <c r="H795" s="11">
        <f>27.206 * CHOOSE(CONTROL!$C$32, $C$9, 100%, $E$9)</f>
        <v>27.206</v>
      </c>
      <c r="I795" s="11">
        <f>27.2092 * CHOOSE(CONTROL!$C$32, $C$9, 100%, $E$9)</f>
        <v>27.209199999999999</v>
      </c>
      <c r="J795" s="11">
        <f>27.206 * CHOOSE(CONTROL!$C$32, $C$9, 100%, $E$9)</f>
        <v>27.206</v>
      </c>
      <c r="K795" s="11">
        <f>27.2092 * CHOOSE(CONTROL!$C$32, $C$9, 100%, $E$9)</f>
        <v>27.209199999999999</v>
      </c>
      <c r="L795" s="11">
        <f>12.7228 * CHOOSE(CONTROL!$C$32, $C$9, 100%, $E$9)</f>
        <v>12.722799999999999</v>
      </c>
      <c r="M795" s="11">
        <f>12.7261 * CHOOSE(CONTROL!$C$32, $C$9, 100%, $E$9)</f>
        <v>12.726100000000001</v>
      </c>
      <c r="N795" s="11">
        <f>12.7228 * CHOOSE(CONTROL!$C$32, $C$9, 100%, $E$9)</f>
        <v>12.722799999999999</v>
      </c>
      <c r="O795" s="11">
        <f>12.7261 * CHOOSE(CONTROL!$C$32, $C$9, 100%, $E$9)</f>
        <v>12.726100000000001</v>
      </c>
    </row>
    <row r="796" spans="1:15" ht="15" x14ac:dyDescent="0.2">
      <c r="A796" s="13">
        <v>65075</v>
      </c>
      <c r="B796" s="9">
        <f>11.6239 * CHOOSE(CONTROL!$C$32, $C$9, 100%, $E$9)</f>
        <v>11.623900000000001</v>
      </c>
      <c r="C796" s="9">
        <f>11.6239 * CHOOSE(CONTROL!$C$32, $C$9, 100%, $E$9)</f>
        <v>11.623900000000001</v>
      </c>
      <c r="D796" s="9">
        <f>11.6248 * CHOOSE(CONTROL!$C$32, $C$9, 100%, $E$9)</f>
        <v>11.6248</v>
      </c>
      <c r="E796" s="11">
        <f>12.9932 * CHOOSE(CONTROL!$C$32, $C$9, 100%, $E$9)</f>
        <v>12.9932</v>
      </c>
      <c r="F796" s="11">
        <f>12.9932 * CHOOSE(CONTROL!$C$32, $C$9, 100%, $E$9)</f>
        <v>12.9932</v>
      </c>
      <c r="G796" s="11">
        <f>12.9964 * CHOOSE(CONTROL!$C$32, $C$9, 100%, $E$9)</f>
        <v>12.9964</v>
      </c>
      <c r="H796" s="11">
        <f>27.2627 * CHOOSE(CONTROL!$C$32, $C$9, 100%, $E$9)</f>
        <v>27.262699999999999</v>
      </c>
      <c r="I796" s="11">
        <f>27.2659 * CHOOSE(CONTROL!$C$32, $C$9, 100%, $E$9)</f>
        <v>27.265899999999998</v>
      </c>
      <c r="J796" s="11">
        <f>27.2627 * CHOOSE(CONTROL!$C$32, $C$9, 100%, $E$9)</f>
        <v>27.262699999999999</v>
      </c>
      <c r="K796" s="11">
        <f>27.2659 * CHOOSE(CONTROL!$C$32, $C$9, 100%, $E$9)</f>
        <v>27.265899999999998</v>
      </c>
      <c r="L796" s="11">
        <f>12.9932 * CHOOSE(CONTROL!$C$32, $C$9, 100%, $E$9)</f>
        <v>12.9932</v>
      </c>
      <c r="M796" s="11">
        <f>12.9964 * CHOOSE(CONTROL!$C$32, $C$9, 100%, $E$9)</f>
        <v>12.9964</v>
      </c>
      <c r="N796" s="11">
        <f>12.9932 * CHOOSE(CONTROL!$C$32, $C$9, 100%, $E$9)</f>
        <v>12.9932</v>
      </c>
      <c r="O796" s="11">
        <f>12.9964 * CHOOSE(CONTROL!$C$32, $C$9, 100%, $E$9)</f>
        <v>12.9964</v>
      </c>
    </row>
    <row r="797" spans="1:15" ht="15" x14ac:dyDescent="0.2">
      <c r="A797" s="13">
        <v>65106</v>
      </c>
      <c r="B797" s="9">
        <f>11.6289 * CHOOSE(CONTROL!$C$32, $C$9, 100%, $E$9)</f>
        <v>11.6289</v>
      </c>
      <c r="C797" s="9">
        <f>11.6289 * CHOOSE(CONTROL!$C$32, $C$9, 100%, $E$9)</f>
        <v>11.6289</v>
      </c>
      <c r="D797" s="9">
        <f>11.6299 * CHOOSE(CONTROL!$C$32, $C$9, 100%, $E$9)</f>
        <v>11.629899999999999</v>
      </c>
      <c r="E797" s="11">
        <f>13.2815 * CHOOSE(CONTROL!$C$32, $C$9, 100%, $E$9)</f>
        <v>13.281499999999999</v>
      </c>
      <c r="F797" s="11">
        <f>13.2815 * CHOOSE(CONTROL!$C$32, $C$9, 100%, $E$9)</f>
        <v>13.281499999999999</v>
      </c>
      <c r="G797" s="11">
        <f>13.2847 * CHOOSE(CONTROL!$C$32, $C$9, 100%, $E$9)</f>
        <v>13.284700000000001</v>
      </c>
      <c r="H797" s="11">
        <f>27.3194 * CHOOSE(CONTROL!$C$32, $C$9, 100%, $E$9)</f>
        <v>27.319400000000002</v>
      </c>
      <c r="I797" s="11">
        <f>27.3227 * CHOOSE(CONTROL!$C$32, $C$9, 100%, $E$9)</f>
        <v>27.322700000000001</v>
      </c>
      <c r="J797" s="11">
        <f>27.3194 * CHOOSE(CONTROL!$C$32, $C$9, 100%, $E$9)</f>
        <v>27.319400000000002</v>
      </c>
      <c r="K797" s="11">
        <f>27.3227 * CHOOSE(CONTROL!$C$32, $C$9, 100%, $E$9)</f>
        <v>27.322700000000001</v>
      </c>
      <c r="L797" s="11">
        <f>13.2815 * CHOOSE(CONTROL!$C$32, $C$9, 100%, $E$9)</f>
        <v>13.281499999999999</v>
      </c>
      <c r="M797" s="11">
        <f>13.2847 * CHOOSE(CONTROL!$C$32, $C$9, 100%, $E$9)</f>
        <v>13.284700000000001</v>
      </c>
      <c r="N797" s="11">
        <f>13.2815 * CHOOSE(CONTROL!$C$32, $C$9, 100%, $E$9)</f>
        <v>13.281499999999999</v>
      </c>
      <c r="O797" s="11">
        <f>13.2847 * CHOOSE(CONTROL!$C$32, $C$9, 100%, $E$9)</f>
        <v>13.284700000000001</v>
      </c>
    </row>
    <row r="798" spans="1:15" ht="15" x14ac:dyDescent="0.2">
      <c r="A798" s="13">
        <v>65136</v>
      </c>
      <c r="B798" s="9">
        <f>11.6289 * CHOOSE(CONTROL!$C$32, $C$9, 100%, $E$9)</f>
        <v>11.6289</v>
      </c>
      <c r="C798" s="9">
        <f>11.6289 * CHOOSE(CONTROL!$C$32, $C$9, 100%, $E$9)</f>
        <v>11.6289</v>
      </c>
      <c r="D798" s="9">
        <f>11.6302 * CHOOSE(CONTROL!$C$32, $C$9, 100%, $E$9)</f>
        <v>11.6302</v>
      </c>
      <c r="E798" s="11">
        <f>13.3912 * CHOOSE(CONTROL!$C$32, $C$9, 100%, $E$9)</f>
        <v>13.3912</v>
      </c>
      <c r="F798" s="11">
        <f>13.3912 * CHOOSE(CONTROL!$C$32, $C$9, 100%, $E$9)</f>
        <v>13.3912</v>
      </c>
      <c r="G798" s="11">
        <f>13.3954 * CHOOSE(CONTROL!$C$32, $C$9, 100%, $E$9)</f>
        <v>13.3954</v>
      </c>
      <c r="H798" s="11">
        <f>27.3764 * CHOOSE(CONTROL!$C$32, $C$9, 100%, $E$9)</f>
        <v>27.3764</v>
      </c>
      <c r="I798" s="11">
        <f>27.3806 * CHOOSE(CONTROL!$C$32, $C$9, 100%, $E$9)</f>
        <v>27.380600000000001</v>
      </c>
      <c r="J798" s="11">
        <f>27.3764 * CHOOSE(CONTROL!$C$32, $C$9, 100%, $E$9)</f>
        <v>27.3764</v>
      </c>
      <c r="K798" s="11">
        <f>27.3806 * CHOOSE(CONTROL!$C$32, $C$9, 100%, $E$9)</f>
        <v>27.380600000000001</v>
      </c>
      <c r="L798" s="11">
        <f>13.3912 * CHOOSE(CONTROL!$C$32, $C$9, 100%, $E$9)</f>
        <v>13.3912</v>
      </c>
      <c r="M798" s="11">
        <f>13.3954 * CHOOSE(CONTROL!$C$32, $C$9, 100%, $E$9)</f>
        <v>13.3954</v>
      </c>
      <c r="N798" s="11">
        <f>13.3912 * CHOOSE(CONTROL!$C$32, $C$9, 100%, $E$9)</f>
        <v>13.3912</v>
      </c>
      <c r="O798" s="11">
        <f>13.3954 * CHOOSE(CONTROL!$C$32, $C$9, 100%, $E$9)</f>
        <v>13.3954</v>
      </c>
    </row>
    <row r="799" spans="1:15" ht="15" x14ac:dyDescent="0.2">
      <c r="A799" s="13">
        <v>65167</v>
      </c>
      <c r="B799" s="9">
        <f>11.635 * CHOOSE(CONTROL!$C$32, $C$9, 100%, $E$9)</f>
        <v>11.635</v>
      </c>
      <c r="C799" s="9">
        <f>11.635 * CHOOSE(CONTROL!$C$32, $C$9, 100%, $E$9)</f>
        <v>11.635</v>
      </c>
      <c r="D799" s="9">
        <f>11.6362 * CHOOSE(CONTROL!$C$32, $C$9, 100%, $E$9)</f>
        <v>11.636200000000001</v>
      </c>
      <c r="E799" s="11">
        <f>13.2858 * CHOOSE(CONTROL!$C$32, $C$9, 100%, $E$9)</f>
        <v>13.2858</v>
      </c>
      <c r="F799" s="11">
        <f>13.2858 * CHOOSE(CONTROL!$C$32, $C$9, 100%, $E$9)</f>
        <v>13.2858</v>
      </c>
      <c r="G799" s="11">
        <f>13.29 * CHOOSE(CONTROL!$C$32, $C$9, 100%, $E$9)</f>
        <v>13.29</v>
      </c>
      <c r="H799" s="11">
        <f>27.4334 * CHOOSE(CONTROL!$C$32, $C$9, 100%, $E$9)</f>
        <v>27.433399999999999</v>
      </c>
      <c r="I799" s="11">
        <f>27.4376 * CHOOSE(CONTROL!$C$32, $C$9, 100%, $E$9)</f>
        <v>27.4376</v>
      </c>
      <c r="J799" s="11">
        <f>27.4334 * CHOOSE(CONTROL!$C$32, $C$9, 100%, $E$9)</f>
        <v>27.433399999999999</v>
      </c>
      <c r="K799" s="11">
        <f>27.4376 * CHOOSE(CONTROL!$C$32, $C$9, 100%, $E$9)</f>
        <v>27.4376</v>
      </c>
      <c r="L799" s="11">
        <f>13.2858 * CHOOSE(CONTROL!$C$32, $C$9, 100%, $E$9)</f>
        <v>13.2858</v>
      </c>
      <c r="M799" s="11">
        <f>13.29 * CHOOSE(CONTROL!$C$32, $C$9, 100%, $E$9)</f>
        <v>13.29</v>
      </c>
      <c r="N799" s="11">
        <f>13.2858 * CHOOSE(CONTROL!$C$32, $C$9, 100%, $E$9)</f>
        <v>13.2858</v>
      </c>
      <c r="O799" s="11">
        <f>13.29 * CHOOSE(CONTROL!$C$32, $C$9, 100%, $E$9)</f>
        <v>13.29</v>
      </c>
    </row>
    <row r="800" spans="1:15" ht="15" x14ac:dyDescent="0.2">
      <c r="A800" s="13">
        <v>65197</v>
      </c>
      <c r="B800" s="9">
        <f>11.7773 * CHOOSE(CONTROL!$C$32, $C$9, 100%, $E$9)</f>
        <v>11.7773</v>
      </c>
      <c r="C800" s="9">
        <f>11.7773 * CHOOSE(CONTROL!$C$32, $C$9, 100%, $E$9)</f>
        <v>11.7773</v>
      </c>
      <c r="D800" s="9">
        <f>11.7785 * CHOOSE(CONTROL!$C$32, $C$9, 100%, $E$9)</f>
        <v>11.778499999999999</v>
      </c>
      <c r="E800" s="11">
        <f>13.4731 * CHOOSE(CONTROL!$C$32, $C$9, 100%, $E$9)</f>
        <v>13.473100000000001</v>
      </c>
      <c r="F800" s="11">
        <f>13.4731 * CHOOSE(CONTROL!$C$32, $C$9, 100%, $E$9)</f>
        <v>13.473100000000001</v>
      </c>
      <c r="G800" s="11">
        <f>13.4773 * CHOOSE(CONTROL!$C$32, $C$9, 100%, $E$9)</f>
        <v>13.4773</v>
      </c>
      <c r="H800" s="11">
        <f>27.4906 * CHOOSE(CONTROL!$C$32, $C$9, 100%, $E$9)</f>
        <v>27.490600000000001</v>
      </c>
      <c r="I800" s="11">
        <f>27.4948 * CHOOSE(CONTROL!$C$32, $C$9, 100%, $E$9)</f>
        <v>27.494800000000001</v>
      </c>
      <c r="J800" s="11">
        <f>27.4906 * CHOOSE(CONTROL!$C$32, $C$9, 100%, $E$9)</f>
        <v>27.490600000000001</v>
      </c>
      <c r="K800" s="11">
        <f>27.4948 * CHOOSE(CONTROL!$C$32, $C$9, 100%, $E$9)</f>
        <v>27.494800000000001</v>
      </c>
      <c r="L800" s="11">
        <f>13.4731 * CHOOSE(CONTROL!$C$32, $C$9, 100%, $E$9)</f>
        <v>13.473100000000001</v>
      </c>
      <c r="M800" s="11">
        <f>13.4773 * CHOOSE(CONTROL!$C$32, $C$9, 100%, $E$9)</f>
        <v>13.4773</v>
      </c>
      <c r="N800" s="11">
        <f>13.4731 * CHOOSE(CONTROL!$C$32, $C$9, 100%, $E$9)</f>
        <v>13.473100000000001</v>
      </c>
      <c r="O800" s="11">
        <f>13.4773 * CHOOSE(CONTROL!$C$32, $C$9, 100%, $E$9)</f>
        <v>13.4773</v>
      </c>
    </row>
    <row r="801" spans="1:15" ht="15" x14ac:dyDescent="0.2">
      <c r="A801" s="13">
        <v>65228</v>
      </c>
      <c r="B801" s="9">
        <f>11.784 * CHOOSE(CONTROL!$C$32, $C$9, 100%, $E$9)</f>
        <v>11.784000000000001</v>
      </c>
      <c r="C801" s="9">
        <f>11.784 * CHOOSE(CONTROL!$C$32, $C$9, 100%, $E$9)</f>
        <v>11.784000000000001</v>
      </c>
      <c r="D801" s="9">
        <f>11.7852 * CHOOSE(CONTROL!$C$32, $C$9, 100%, $E$9)</f>
        <v>11.7852</v>
      </c>
      <c r="E801" s="11">
        <f>13.1486 * CHOOSE(CONTROL!$C$32, $C$9, 100%, $E$9)</f>
        <v>13.1486</v>
      </c>
      <c r="F801" s="11">
        <f>13.1486 * CHOOSE(CONTROL!$C$32, $C$9, 100%, $E$9)</f>
        <v>13.1486</v>
      </c>
      <c r="G801" s="11">
        <f>13.1528 * CHOOSE(CONTROL!$C$32, $C$9, 100%, $E$9)</f>
        <v>13.152799999999999</v>
      </c>
      <c r="H801" s="11">
        <f>27.5478 * CHOOSE(CONTROL!$C$32, $C$9, 100%, $E$9)</f>
        <v>27.547799999999999</v>
      </c>
      <c r="I801" s="11">
        <f>27.552 * CHOOSE(CONTROL!$C$32, $C$9, 100%, $E$9)</f>
        <v>27.552</v>
      </c>
      <c r="J801" s="11">
        <f>27.5478 * CHOOSE(CONTROL!$C$32, $C$9, 100%, $E$9)</f>
        <v>27.547799999999999</v>
      </c>
      <c r="K801" s="11">
        <f>27.552 * CHOOSE(CONTROL!$C$32, $C$9, 100%, $E$9)</f>
        <v>27.552</v>
      </c>
      <c r="L801" s="11">
        <f>13.1486 * CHOOSE(CONTROL!$C$32, $C$9, 100%, $E$9)</f>
        <v>13.1486</v>
      </c>
      <c r="M801" s="11">
        <f>13.1528 * CHOOSE(CONTROL!$C$32, $C$9, 100%, $E$9)</f>
        <v>13.152799999999999</v>
      </c>
      <c r="N801" s="11">
        <f>13.1486 * CHOOSE(CONTROL!$C$32, $C$9, 100%, $E$9)</f>
        <v>13.1486</v>
      </c>
      <c r="O801" s="11">
        <f>13.1528 * CHOOSE(CONTROL!$C$32, $C$9, 100%, $E$9)</f>
        <v>13.152799999999999</v>
      </c>
    </row>
    <row r="802" spans="1:15" ht="15" x14ac:dyDescent="0.2">
      <c r="A802" s="13">
        <v>65259</v>
      </c>
      <c r="B802" s="9">
        <f>11.7809 * CHOOSE(CONTROL!$C$32, $C$9, 100%, $E$9)</f>
        <v>11.780900000000001</v>
      </c>
      <c r="C802" s="9">
        <f>11.7809 * CHOOSE(CONTROL!$C$32, $C$9, 100%, $E$9)</f>
        <v>11.780900000000001</v>
      </c>
      <c r="D802" s="9">
        <f>11.7822 * CHOOSE(CONTROL!$C$32, $C$9, 100%, $E$9)</f>
        <v>11.7822</v>
      </c>
      <c r="E802" s="11">
        <f>13.1099 * CHOOSE(CONTROL!$C$32, $C$9, 100%, $E$9)</f>
        <v>13.1099</v>
      </c>
      <c r="F802" s="11">
        <f>13.1099 * CHOOSE(CONTROL!$C$32, $C$9, 100%, $E$9)</f>
        <v>13.1099</v>
      </c>
      <c r="G802" s="11">
        <f>13.1141 * CHOOSE(CONTROL!$C$32, $C$9, 100%, $E$9)</f>
        <v>13.114100000000001</v>
      </c>
      <c r="H802" s="11">
        <f>27.6052 * CHOOSE(CONTROL!$C$32, $C$9, 100%, $E$9)</f>
        <v>27.6052</v>
      </c>
      <c r="I802" s="11">
        <f>27.6094 * CHOOSE(CONTROL!$C$32, $C$9, 100%, $E$9)</f>
        <v>27.609400000000001</v>
      </c>
      <c r="J802" s="11">
        <f>27.6052 * CHOOSE(CONTROL!$C$32, $C$9, 100%, $E$9)</f>
        <v>27.6052</v>
      </c>
      <c r="K802" s="11">
        <f>27.6094 * CHOOSE(CONTROL!$C$32, $C$9, 100%, $E$9)</f>
        <v>27.609400000000001</v>
      </c>
      <c r="L802" s="11">
        <f>13.1099 * CHOOSE(CONTROL!$C$32, $C$9, 100%, $E$9)</f>
        <v>13.1099</v>
      </c>
      <c r="M802" s="11">
        <f>13.1141 * CHOOSE(CONTROL!$C$32, $C$9, 100%, $E$9)</f>
        <v>13.114100000000001</v>
      </c>
      <c r="N802" s="11">
        <f>13.1099 * CHOOSE(CONTROL!$C$32, $C$9, 100%, $E$9)</f>
        <v>13.1099</v>
      </c>
      <c r="O802" s="11">
        <f>13.1141 * CHOOSE(CONTROL!$C$32, $C$9, 100%, $E$9)</f>
        <v>13.114100000000001</v>
      </c>
    </row>
    <row r="803" spans="1:15" ht="15" x14ac:dyDescent="0.2">
      <c r="A803" s="13">
        <v>65289</v>
      </c>
      <c r="B803" s="9">
        <f>11.8051 * CHOOSE(CONTROL!$C$32, $C$9, 100%, $E$9)</f>
        <v>11.805099999999999</v>
      </c>
      <c r="C803" s="9">
        <f>11.8051 * CHOOSE(CONTROL!$C$32, $C$9, 100%, $E$9)</f>
        <v>11.805099999999999</v>
      </c>
      <c r="D803" s="9">
        <f>11.806 * CHOOSE(CONTROL!$C$32, $C$9, 100%, $E$9)</f>
        <v>11.805999999999999</v>
      </c>
      <c r="E803" s="11">
        <f>13.2428 * CHOOSE(CONTROL!$C$32, $C$9, 100%, $E$9)</f>
        <v>13.242800000000001</v>
      </c>
      <c r="F803" s="11">
        <f>13.2428 * CHOOSE(CONTROL!$C$32, $C$9, 100%, $E$9)</f>
        <v>13.242800000000001</v>
      </c>
      <c r="G803" s="11">
        <f>13.246 * CHOOSE(CONTROL!$C$32, $C$9, 100%, $E$9)</f>
        <v>13.246</v>
      </c>
      <c r="H803" s="11">
        <f>27.6627 * CHOOSE(CONTROL!$C$32, $C$9, 100%, $E$9)</f>
        <v>27.662700000000001</v>
      </c>
      <c r="I803" s="11">
        <f>27.666 * CHOOSE(CONTROL!$C$32, $C$9, 100%, $E$9)</f>
        <v>27.666</v>
      </c>
      <c r="J803" s="11">
        <f>27.6627 * CHOOSE(CONTROL!$C$32, $C$9, 100%, $E$9)</f>
        <v>27.662700000000001</v>
      </c>
      <c r="K803" s="11">
        <f>27.666 * CHOOSE(CONTROL!$C$32, $C$9, 100%, $E$9)</f>
        <v>27.666</v>
      </c>
      <c r="L803" s="11">
        <f>13.2428 * CHOOSE(CONTROL!$C$32, $C$9, 100%, $E$9)</f>
        <v>13.242800000000001</v>
      </c>
      <c r="M803" s="11">
        <f>13.246 * CHOOSE(CONTROL!$C$32, $C$9, 100%, $E$9)</f>
        <v>13.246</v>
      </c>
      <c r="N803" s="11">
        <f>13.2428 * CHOOSE(CONTROL!$C$32, $C$9, 100%, $E$9)</f>
        <v>13.242800000000001</v>
      </c>
      <c r="O803" s="11">
        <f>13.246 * CHOOSE(CONTROL!$C$32, $C$9, 100%, $E$9)</f>
        <v>13.246</v>
      </c>
    </row>
    <row r="804" spans="1:15" ht="15" x14ac:dyDescent="0.2">
      <c r="A804" s="13">
        <v>65320</v>
      </c>
      <c r="B804" s="9">
        <f>11.8081 * CHOOSE(CONTROL!$C$32, $C$9, 100%, $E$9)</f>
        <v>11.8081</v>
      </c>
      <c r="C804" s="9">
        <f>11.8081 * CHOOSE(CONTROL!$C$32, $C$9, 100%, $E$9)</f>
        <v>11.8081</v>
      </c>
      <c r="D804" s="9">
        <f>11.8091 * CHOOSE(CONTROL!$C$32, $C$9, 100%, $E$9)</f>
        <v>11.809100000000001</v>
      </c>
      <c r="E804" s="11">
        <f>13.3181 * CHOOSE(CONTROL!$C$32, $C$9, 100%, $E$9)</f>
        <v>13.318099999999999</v>
      </c>
      <c r="F804" s="11">
        <f>13.3181 * CHOOSE(CONTROL!$C$32, $C$9, 100%, $E$9)</f>
        <v>13.318099999999999</v>
      </c>
      <c r="G804" s="11">
        <f>13.3213 * CHOOSE(CONTROL!$C$32, $C$9, 100%, $E$9)</f>
        <v>13.321300000000001</v>
      </c>
      <c r="H804" s="11">
        <f>27.7204 * CHOOSE(CONTROL!$C$32, $C$9, 100%, $E$9)</f>
        <v>27.720400000000001</v>
      </c>
      <c r="I804" s="11">
        <f>27.7236 * CHOOSE(CONTROL!$C$32, $C$9, 100%, $E$9)</f>
        <v>27.723600000000001</v>
      </c>
      <c r="J804" s="11">
        <f>27.7204 * CHOOSE(CONTROL!$C$32, $C$9, 100%, $E$9)</f>
        <v>27.720400000000001</v>
      </c>
      <c r="K804" s="11">
        <f>27.7236 * CHOOSE(CONTROL!$C$32, $C$9, 100%, $E$9)</f>
        <v>27.723600000000001</v>
      </c>
      <c r="L804" s="11">
        <f>13.3181 * CHOOSE(CONTROL!$C$32, $C$9, 100%, $E$9)</f>
        <v>13.318099999999999</v>
      </c>
      <c r="M804" s="11">
        <f>13.3213 * CHOOSE(CONTROL!$C$32, $C$9, 100%, $E$9)</f>
        <v>13.321300000000001</v>
      </c>
      <c r="N804" s="11">
        <f>13.3181 * CHOOSE(CONTROL!$C$32, $C$9, 100%, $E$9)</f>
        <v>13.318099999999999</v>
      </c>
      <c r="O804" s="11">
        <f>13.3213 * CHOOSE(CONTROL!$C$32, $C$9, 100%, $E$9)</f>
        <v>13.321300000000001</v>
      </c>
    </row>
    <row r="805" spans="1:15" ht="15" x14ac:dyDescent="0.2">
      <c r="A805" s="13">
        <v>65350</v>
      </c>
      <c r="B805" s="9">
        <f>11.8081 * CHOOSE(CONTROL!$C$32, $C$9, 100%, $E$9)</f>
        <v>11.8081</v>
      </c>
      <c r="C805" s="9">
        <f>11.8081 * CHOOSE(CONTROL!$C$32, $C$9, 100%, $E$9)</f>
        <v>11.8081</v>
      </c>
      <c r="D805" s="9">
        <f>11.8091 * CHOOSE(CONTROL!$C$32, $C$9, 100%, $E$9)</f>
        <v>11.809100000000001</v>
      </c>
      <c r="E805" s="11">
        <f>13.1352 * CHOOSE(CONTROL!$C$32, $C$9, 100%, $E$9)</f>
        <v>13.135199999999999</v>
      </c>
      <c r="F805" s="11">
        <f>13.1352 * CHOOSE(CONTROL!$C$32, $C$9, 100%, $E$9)</f>
        <v>13.135199999999999</v>
      </c>
      <c r="G805" s="11">
        <f>13.1384 * CHOOSE(CONTROL!$C$32, $C$9, 100%, $E$9)</f>
        <v>13.138400000000001</v>
      </c>
      <c r="H805" s="11">
        <f>27.7781 * CHOOSE(CONTROL!$C$32, $C$9, 100%, $E$9)</f>
        <v>27.778099999999998</v>
      </c>
      <c r="I805" s="11">
        <f>27.7813 * CHOOSE(CONTROL!$C$32, $C$9, 100%, $E$9)</f>
        <v>27.781300000000002</v>
      </c>
      <c r="J805" s="11">
        <f>27.7781 * CHOOSE(CONTROL!$C$32, $C$9, 100%, $E$9)</f>
        <v>27.778099999999998</v>
      </c>
      <c r="K805" s="11">
        <f>27.7813 * CHOOSE(CONTROL!$C$32, $C$9, 100%, $E$9)</f>
        <v>27.781300000000002</v>
      </c>
      <c r="L805" s="11">
        <f>13.1352 * CHOOSE(CONTROL!$C$32, $C$9, 100%, $E$9)</f>
        <v>13.135199999999999</v>
      </c>
      <c r="M805" s="11">
        <f>13.1384 * CHOOSE(CONTROL!$C$32, $C$9, 100%, $E$9)</f>
        <v>13.138400000000001</v>
      </c>
      <c r="N805" s="11">
        <f>13.1352 * CHOOSE(CONTROL!$C$32, $C$9, 100%, $E$9)</f>
        <v>13.135199999999999</v>
      </c>
      <c r="O805" s="11">
        <f>13.1384 * CHOOSE(CONTROL!$C$32, $C$9, 100%, $E$9)</f>
        <v>13.138400000000001</v>
      </c>
    </row>
    <row r="806" spans="1:15" ht="15" x14ac:dyDescent="0.2">
      <c r="A806" s="13">
        <v>65381</v>
      </c>
      <c r="B806" s="9">
        <f>11.8173 * CHOOSE(CONTROL!$C$32, $C$9, 100%, $E$9)</f>
        <v>11.817299999999999</v>
      </c>
      <c r="C806" s="9">
        <f>11.8173 * CHOOSE(CONTROL!$C$32, $C$9, 100%, $E$9)</f>
        <v>11.817299999999999</v>
      </c>
      <c r="D806" s="9">
        <f>11.8182 * CHOOSE(CONTROL!$C$32, $C$9, 100%, $E$9)</f>
        <v>11.818199999999999</v>
      </c>
      <c r="E806" s="11">
        <f>13.2831 * CHOOSE(CONTROL!$C$32, $C$9, 100%, $E$9)</f>
        <v>13.283099999999999</v>
      </c>
      <c r="F806" s="11">
        <f>13.2831 * CHOOSE(CONTROL!$C$32, $C$9, 100%, $E$9)</f>
        <v>13.283099999999999</v>
      </c>
      <c r="G806" s="11">
        <f>13.2863 * CHOOSE(CONTROL!$C$32, $C$9, 100%, $E$9)</f>
        <v>13.286300000000001</v>
      </c>
      <c r="H806" s="11">
        <f>27.6212 * CHOOSE(CONTROL!$C$32, $C$9, 100%, $E$9)</f>
        <v>27.621200000000002</v>
      </c>
      <c r="I806" s="11">
        <f>27.6244 * CHOOSE(CONTROL!$C$32, $C$9, 100%, $E$9)</f>
        <v>27.624400000000001</v>
      </c>
      <c r="J806" s="11">
        <f>27.6212 * CHOOSE(CONTROL!$C$32, $C$9, 100%, $E$9)</f>
        <v>27.621200000000002</v>
      </c>
      <c r="K806" s="11">
        <f>27.6244 * CHOOSE(CONTROL!$C$32, $C$9, 100%, $E$9)</f>
        <v>27.624400000000001</v>
      </c>
      <c r="L806" s="11">
        <f>13.2831 * CHOOSE(CONTROL!$C$32, $C$9, 100%, $E$9)</f>
        <v>13.283099999999999</v>
      </c>
      <c r="M806" s="11">
        <f>13.2863 * CHOOSE(CONTROL!$C$32, $C$9, 100%, $E$9)</f>
        <v>13.286300000000001</v>
      </c>
      <c r="N806" s="11">
        <f>13.2831 * CHOOSE(CONTROL!$C$32, $C$9, 100%, $E$9)</f>
        <v>13.283099999999999</v>
      </c>
      <c r="O806" s="11">
        <f>13.2863 * CHOOSE(CONTROL!$C$32, $C$9, 100%, $E$9)</f>
        <v>13.286300000000001</v>
      </c>
    </row>
    <row r="807" spans="1:15" ht="15" x14ac:dyDescent="0.2">
      <c r="A807" s="13">
        <v>65412</v>
      </c>
      <c r="B807" s="9">
        <f>11.8143 * CHOOSE(CONTROL!$C$32, $C$9, 100%, $E$9)</f>
        <v>11.814299999999999</v>
      </c>
      <c r="C807" s="9">
        <f>11.8143 * CHOOSE(CONTROL!$C$32, $C$9, 100%, $E$9)</f>
        <v>11.814299999999999</v>
      </c>
      <c r="D807" s="9">
        <f>11.8152 * CHOOSE(CONTROL!$C$32, $C$9, 100%, $E$9)</f>
        <v>11.815200000000001</v>
      </c>
      <c r="E807" s="11">
        <f>12.9283 * CHOOSE(CONTROL!$C$32, $C$9, 100%, $E$9)</f>
        <v>12.9283</v>
      </c>
      <c r="F807" s="11">
        <f>12.9283 * CHOOSE(CONTROL!$C$32, $C$9, 100%, $E$9)</f>
        <v>12.9283</v>
      </c>
      <c r="G807" s="11">
        <f>12.9315 * CHOOSE(CONTROL!$C$32, $C$9, 100%, $E$9)</f>
        <v>12.9315</v>
      </c>
      <c r="H807" s="11">
        <f>27.6788 * CHOOSE(CONTROL!$C$32, $C$9, 100%, $E$9)</f>
        <v>27.678799999999999</v>
      </c>
      <c r="I807" s="11">
        <f>27.682 * CHOOSE(CONTROL!$C$32, $C$9, 100%, $E$9)</f>
        <v>27.681999999999999</v>
      </c>
      <c r="J807" s="11">
        <f>27.6788 * CHOOSE(CONTROL!$C$32, $C$9, 100%, $E$9)</f>
        <v>27.678799999999999</v>
      </c>
      <c r="K807" s="11">
        <f>27.682 * CHOOSE(CONTROL!$C$32, $C$9, 100%, $E$9)</f>
        <v>27.681999999999999</v>
      </c>
      <c r="L807" s="11">
        <f>12.9283 * CHOOSE(CONTROL!$C$32, $C$9, 100%, $E$9)</f>
        <v>12.9283</v>
      </c>
      <c r="M807" s="11">
        <f>12.9315 * CHOOSE(CONTROL!$C$32, $C$9, 100%, $E$9)</f>
        <v>12.9315</v>
      </c>
      <c r="N807" s="11">
        <f>12.9283 * CHOOSE(CONTROL!$C$32, $C$9, 100%, $E$9)</f>
        <v>12.9283</v>
      </c>
      <c r="O807" s="11">
        <f>12.9315 * CHOOSE(CONTROL!$C$32, $C$9, 100%, $E$9)</f>
        <v>12.9315</v>
      </c>
    </row>
    <row r="808" spans="1:15" ht="15" x14ac:dyDescent="0.2">
      <c r="A808" s="13">
        <v>65440</v>
      </c>
      <c r="B808" s="9">
        <f>11.8112 * CHOOSE(CONTROL!$C$32, $C$9, 100%, $E$9)</f>
        <v>11.811199999999999</v>
      </c>
      <c r="C808" s="9">
        <f>11.8112 * CHOOSE(CONTROL!$C$32, $C$9, 100%, $E$9)</f>
        <v>11.811199999999999</v>
      </c>
      <c r="D808" s="9">
        <f>11.8122 * CHOOSE(CONTROL!$C$32, $C$9, 100%, $E$9)</f>
        <v>11.812200000000001</v>
      </c>
      <c r="E808" s="11">
        <f>13.2042 * CHOOSE(CONTROL!$C$32, $C$9, 100%, $E$9)</f>
        <v>13.2042</v>
      </c>
      <c r="F808" s="11">
        <f>13.2042 * CHOOSE(CONTROL!$C$32, $C$9, 100%, $E$9)</f>
        <v>13.2042</v>
      </c>
      <c r="G808" s="11">
        <f>13.2074 * CHOOSE(CONTROL!$C$32, $C$9, 100%, $E$9)</f>
        <v>13.2074</v>
      </c>
      <c r="H808" s="11">
        <f>27.7364 * CHOOSE(CONTROL!$C$32, $C$9, 100%, $E$9)</f>
        <v>27.7364</v>
      </c>
      <c r="I808" s="11">
        <f>27.7397 * CHOOSE(CONTROL!$C$32, $C$9, 100%, $E$9)</f>
        <v>27.739699999999999</v>
      </c>
      <c r="J808" s="11">
        <f>27.7364 * CHOOSE(CONTROL!$C$32, $C$9, 100%, $E$9)</f>
        <v>27.7364</v>
      </c>
      <c r="K808" s="11">
        <f>27.7397 * CHOOSE(CONTROL!$C$32, $C$9, 100%, $E$9)</f>
        <v>27.739699999999999</v>
      </c>
      <c r="L808" s="11">
        <f>13.2042 * CHOOSE(CONTROL!$C$32, $C$9, 100%, $E$9)</f>
        <v>13.2042</v>
      </c>
      <c r="M808" s="11">
        <f>13.2074 * CHOOSE(CONTROL!$C$32, $C$9, 100%, $E$9)</f>
        <v>13.2074</v>
      </c>
      <c r="N808" s="11">
        <f>13.2042 * CHOOSE(CONTROL!$C$32, $C$9, 100%, $E$9)</f>
        <v>13.2042</v>
      </c>
      <c r="O808" s="11">
        <f>13.2074 * CHOOSE(CONTROL!$C$32, $C$9, 100%, $E$9)</f>
        <v>13.2074</v>
      </c>
    </row>
    <row r="809" spans="1:15" ht="15" x14ac:dyDescent="0.2">
      <c r="A809" s="13">
        <v>65471</v>
      </c>
      <c r="B809" s="9">
        <f>11.8164 * CHOOSE(CONTROL!$C$32, $C$9, 100%, $E$9)</f>
        <v>11.8164</v>
      </c>
      <c r="C809" s="9">
        <f>11.8164 * CHOOSE(CONTROL!$C$32, $C$9, 100%, $E$9)</f>
        <v>11.8164</v>
      </c>
      <c r="D809" s="9">
        <f>11.8174 * CHOOSE(CONTROL!$C$32, $C$9, 100%, $E$9)</f>
        <v>11.817399999999999</v>
      </c>
      <c r="E809" s="11">
        <f>13.4985 * CHOOSE(CONTROL!$C$32, $C$9, 100%, $E$9)</f>
        <v>13.4985</v>
      </c>
      <c r="F809" s="11">
        <f>13.4985 * CHOOSE(CONTROL!$C$32, $C$9, 100%, $E$9)</f>
        <v>13.4985</v>
      </c>
      <c r="G809" s="11">
        <f>13.5018 * CHOOSE(CONTROL!$C$32, $C$9, 100%, $E$9)</f>
        <v>13.501799999999999</v>
      </c>
      <c r="H809" s="11">
        <f>27.7942 * CHOOSE(CONTROL!$C$32, $C$9, 100%, $E$9)</f>
        <v>27.7942</v>
      </c>
      <c r="I809" s="11">
        <f>27.7974 * CHOOSE(CONTROL!$C$32, $C$9, 100%, $E$9)</f>
        <v>27.7974</v>
      </c>
      <c r="J809" s="11">
        <f>27.7942 * CHOOSE(CONTROL!$C$32, $C$9, 100%, $E$9)</f>
        <v>27.7942</v>
      </c>
      <c r="K809" s="11">
        <f>27.7974 * CHOOSE(CONTROL!$C$32, $C$9, 100%, $E$9)</f>
        <v>27.7974</v>
      </c>
      <c r="L809" s="11">
        <f>13.4985 * CHOOSE(CONTROL!$C$32, $C$9, 100%, $E$9)</f>
        <v>13.4985</v>
      </c>
      <c r="M809" s="11">
        <f>13.5018 * CHOOSE(CONTROL!$C$32, $C$9, 100%, $E$9)</f>
        <v>13.501799999999999</v>
      </c>
      <c r="N809" s="11">
        <f>13.4985 * CHOOSE(CONTROL!$C$32, $C$9, 100%, $E$9)</f>
        <v>13.4985</v>
      </c>
      <c r="O809" s="11">
        <f>13.5018 * CHOOSE(CONTROL!$C$32, $C$9, 100%, $E$9)</f>
        <v>13.501799999999999</v>
      </c>
    </row>
    <row r="810" spans="1:15" ht="15" x14ac:dyDescent="0.2">
      <c r="A810" s="13">
        <v>65501</v>
      </c>
      <c r="B810" s="9">
        <f>11.8164 * CHOOSE(CONTROL!$C$32, $C$9, 100%, $E$9)</f>
        <v>11.8164</v>
      </c>
      <c r="C810" s="9">
        <f>11.8164 * CHOOSE(CONTROL!$C$32, $C$9, 100%, $E$9)</f>
        <v>11.8164</v>
      </c>
      <c r="D810" s="9">
        <f>11.8177 * CHOOSE(CONTROL!$C$32, $C$9, 100%, $E$9)</f>
        <v>11.8177</v>
      </c>
      <c r="E810" s="11">
        <f>13.6105 * CHOOSE(CONTROL!$C$32, $C$9, 100%, $E$9)</f>
        <v>13.6105</v>
      </c>
      <c r="F810" s="11">
        <f>13.6105 * CHOOSE(CONTROL!$C$32, $C$9, 100%, $E$9)</f>
        <v>13.6105</v>
      </c>
      <c r="G810" s="11">
        <f>13.6147 * CHOOSE(CONTROL!$C$32, $C$9, 100%, $E$9)</f>
        <v>13.614699999999999</v>
      </c>
      <c r="H810" s="11">
        <f>27.8521 * CHOOSE(CONTROL!$C$32, $C$9, 100%, $E$9)</f>
        <v>27.8521</v>
      </c>
      <c r="I810" s="11">
        <f>27.8563 * CHOOSE(CONTROL!$C$32, $C$9, 100%, $E$9)</f>
        <v>27.856300000000001</v>
      </c>
      <c r="J810" s="11">
        <f>27.8521 * CHOOSE(CONTROL!$C$32, $C$9, 100%, $E$9)</f>
        <v>27.8521</v>
      </c>
      <c r="K810" s="11">
        <f>27.8563 * CHOOSE(CONTROL!$C$32, $C$9, 100%, $E$9)</f>
        <v>27.856300000000001</v>
      </c>
      <c r="L810" s="11">
        <f>13.6105 * CHOOSE(CONTROL!$C$32, $C$9, 100%, $E$9)</f>
        <v>13.6105</v>
      </c>
      <c r="M810" s="11">
        <f>13.6147 * CHOOSE(CONTROL!$C$32, $C$9, 100%, $E$9)</f>
        <v>13.614699999999999</v>
      </c>
      <c r="N810" s="11">
        <f>13.6105 * CHOOSE(CONTROL!$C$32, $C$9, 100%, $E$9)</f>
        <v>13.6105</v>
      </c>
      <c r="O810" s="11">
        <f>13.6147 * CHOOSE(CONTROL!$C$32, $C$9, 100%, $E$9)</f>
        <v>13.614699999999999</v>
      </c>
    </row>
    <row r="811" spans="1:15" ht="15" x14ac:dyDescent="0.2">
      <c r="A811" s="13">
        <v>65532</v>
      </c>
      <c r="B811" s="9">
        <f>11.8225 * CHOOSE(CONTROL!$C$32, $C$9, 100%, $E$9)</f>
        <v>11.8225</v>
      </c>
      <c r="C811" s="9">
        <f>11.8225 * CHOOSE(CONTROL!$C$32, $C$9, 100%, $E$9)</f>
        <v>11.8225</v>
      </c>
      <c r="D811" s="9">
        <f>11.8238 * CHOOSE(CONTROL!$C$32, $C$9, 100%, $E$9)</f>
        <v>11.8238</v>
      </c>
      <c r="E811" s="11">
        <f>13.5028 * CHOOSE(CONTROL!$C$32, $C$9, 100%, $E$9)</f>
        <v>13.502800000000001</v>
      </c>
      <c r="F811" s="11">
        <f>13.5028 * CHOOSE(CONTROL!$C$32, $C$9, 100%, $E$9)</f>
        <v>13.502800000000001</v>
      </c>
      <c r="G811" s="11">
        <f>13.507 * CHOOSE(CONTROL!$C$32, $C$9, 100%, $E$9)</f>
        <v>13.507</v>
      </c>
      <c r="H811" s="11">
        <f>27.9101 * CHOOSE(CONTROL!$C$32, $C$9, 100%, $E$9)</f>
        <v>27.9101</v>
      </c>
      <c r="I811" s="11">
        <f>27.9143 * CHOOSE(CONTROL!$C$32, $C$9, 100%, $E$9)</f>
        <v>27.914300000000001</v>
      </c>
      <c r="J811" s="11">
        <f>27.9101 * CHOOSE(CONTROL!$C$32, $C$9, 100%, $E$9)</f>
        <v>27.9101</v>
      </c>
      <c r="K811" s="11">
        <f>27.9143 * CHOOSE(CONTROL!$C$32, $C$9, 100%, $E$9)</f>
        <v>27.914300000000001</v>
      </c>
      <c r="L811" s="11">
        <f>13.5028 * CHOOSE(CONTROL!$C$32, $C$9, 100%, $E$9)</f>
        <v>13.502800000000001</v>
      </c>
      <c r="M811" s="11">
        <f>13.507 * CHOOSE(CONTROL!$C$32, $C$9, 100%, $E$9)</f>
        <v>13.507</v>
      </c>
      <c r="N811" s="11">
        <f>13.5028 * CHOOSE(CONTROL!$C$32, $C$9, 100%, $E$9)</f>
        <v>13.502800000000001</v>
      </c>
      <c r="O811" s="11">
        <f>13.507 * CHOOSE(CONTROL!$C$32, $C$9, 100%, $E$9)</f>
        <v>13.507</v>
      </c>
    </row>
    <row r="812" spans="1:15" ht="15" x14ac:dyDescent="0.2">
      <c r="A812" s="13">
        <v>65562</v>
      </c>
      <c r="B812" s="9">
        <f>11.9669 * CHOOSE(CONTROL!$C$32, $C$9, 100%, $E$9)</f>
        <v>11.966900000000001</v>
      </c>
      <c r="C812" s="9">
        <f>11.9669 * CHOOSE(CONTROL!$C$32, $C$9, 100%, $E$9)</f>
        <v>11.966900000000001</v>
      </c>
      <c r="D812" s="9">
        <f>11.9681 * CHOOSE(CONTROL!$C$32, $C$9, 100%, $E$9)</f>
        <v>11.9681</v>
      </c>
      <c r="E812" s="11">
        <f>13.6933 * CHOOSE(CONTROL!$C$32, $C$9, 100%, $E$9)</f>
        <v>13.693300000000001</v>
      </c>
      <c r="F812" s="11">
        <f>13.6933 * CHOOSE(CONTROL!$C$32, $C$9, 100%, $E$9)</f>
        <v>13.693300000000001</v>
      </c>
      <c r="G812" s="11">
        <f>13.6975 * CHOOSE(CONTROL!$C$32, $C$9, 100%, $E$9)</f>
        <v>13.6975</v>
      </c>
      <c r="H812" s="11">
        <f>27.9683 * CHOOSE(CONTROL!$C$32, $C$9, 100%, $E$9)</f>
        <v>27.968299999999999</v>
      </c>
      <c r="I812" s="11">
        <f>27.9725 * CHOOSE(CONTROL!$C$32, $C$9, 100%, $E$9)</f>
        <v>27.9725</v>
      </c>
      <c r="J812" s="11">
        <f>27.9683 * CHOOSE(CONTROL!$C$32, $C$9, 100%, $E$9)</f>
        <v>27.968299999999999</v>
      </c>
      <c r="K812" s="11">
        <f>27.9725 * CHOOSE(CONTROL!$C$32, $C$9, 100%, $E$9)</f>
        <v>27.9725</v>
      </c>
      <c r="L812" s="11">
        <f>13.6933 * CHOOSE(CONTROL!$C$32, $C$9, 100%, $E$9)</f>
        <v>13.693300000000001</v>
      </c>
      <c r="M812" s="11">
        <f>13.6975 * CHOOSE(CONTROL!$C$32, $C$9, 100%, $E$9)</f>
        <v>13.6975</v>
      </c>
      <c r="N812" s="11">
        <f>13.6933 * CHOOSE(CONTROL!$C$32, $C$9, 100%, $E$9)</f>
        <v>13.693300000000001</v>
      </c>
      <c r="O812" s="11">
        <f>13.6975 * CHOOSE(CONTROL!$C$32, $C$9, 100%, $E$9)</f>
        <v>13.6975</v>
      </c>
    </row>
    <row r="813" spans="1:15" ht="15" x14ac:dyDescent="0.2">
      <c r="A813" s="13">
        <v>65593</v>
      </c>
      <c r="B813" s="9">
        <f>11.9736 * CHOOSE(CONTROL!$C$32, $C$9, 100%, $E$9)</f>
        <v>11.973599999999999</v>
      </c>
      <c r="C813" s="9">
        <f>11.9736 * CHOOSE(CONTROL!$C$32, $C$9, 100%, $E$9)</f>
        <v>11.973599999999999</v>
      </c>
      <c r="D813" s="9">
        <f>11.9748 * CHOOSE(CONTROL!$C$32, $C$9, 100%, $E$9)</f>
        <v>11.9748</v>
      </c>
      <c r="E813" s="11">
        <f>13.3621 * CHOOSE(CONTROL!$C$32, $C$9, 100%, $E$9)</f>
        <v>13.3621</v>
      </c>
      <c r="F813" s="11">
        <f>13.3621 * CHOOSE(CONTROL!$C$32, $C$9, 100%, $E$9)</f>
        <v>13.3621</v>
      </c>
      <c r="G813" s="11">
        <f>13.3663 * CHOOSE(CONTROL!$C$32, $C$9, 100%, $E$9)</f>
        <v>13.366300000000001</v>
      </c>
      <c r="H813" s="11">
        <f>28.0266 * CHOOSE(CONTROL!$C$32, $C$9, 100%, $E$9)</f>
        <v>28.026599999999998</v>
      </c>
      <c r="I813" s="11">
        <f>28.0308 * CHOOSE(CONTROL!$C$32, $C$9, 100%, $E$9)</f>
        <v>28.030799999999999</v>
      </c>
      <c r="J813" s="11">
        <f>28.0266 * CHOOSE(CONTROL!$C$32, $C$9, 100%, $E$9)</f>
        <v>28.026599999999998</v>
      </c>
      <c r="K813" s="11">
        <f>28.0308 * CHOOSE(CONTROL!$C$32, $C$9, 100%, $E$9)</f>
        <v>28.030799999999999</v>
      </c>
      <c r="L813" s="11">
        <f>13.3621 * CHOOSE(CONTROL!$C$32, $C$9, 100%, $E$9)</f>
        <v>13.3621</v>
      </c>
      <c r="M813" s="11">
        <f>13.3663 * CHOOSE(CONTROL!$C$32, $C$9, 100%, $E$9)</f>
        <v>13.366300000000001</v>
      </c>
      <c r="N813" s="11">
        <f>13.3621 * CHOOSE(CONTROL!$C$32, $C$9, 100%, $E$9)</f>
        <v>13.3621</v>
      </c>
      <c r="O813" s="11">
        <f>13.3663 * CHOOSE(CONTROL!$C$32, $C$9, 100%, $E$9)</f>
        <v>13.366300000000001</v>
      </c>
    </row>
    <row r="814" spans="1:15" ht="15" x14ac:dyDescent="0.2">
      <c r="A814" s="13">
        <v>65624</v>
      </c>
      <c r="B814" s="9">
        <f>11.9705 * CHOOSE(CONTROL!$C$32, $C$9, 100%, $E$9)</f>
        <v>11.970499999999999</v>
      </c>
      <c r="C814" s="9">
        <f>11.9705 * CHOOSE(CONTROL!$C$32, $C$9, 100%, $E$9)</f>
        <v>11.970499999999999</v>
      </c>
      <c r="D814" s="9">
        <f>11.9718 * CHOOSE(CONTROL!$C$32, $C$9, 100%, $E$9)</f>
        <v>11.9718</v>
      </c>
      <c r="E814" s="11">
        <f>13.3226 * CHOOSE(CONTROL!$C$32, $C$9, 100%, $E$9)</f>
        <v>13.3226</v>
      </c>
      <c r="F814" s="11">
        <f>13.3226 * CHOOSE(CONTROL!$C$32, $C$9, 100%, $E$9)</f>
        <v>13.3226</v>
      </c>
      <c r="G814" s="11">
        <f>13.3268 * CHOOSE(CONTROL!$C$32, $C$9, 100%, $E$9)</f>
        <v>13.3268</v>
      </c>
      <c r="H814" s="11">
        <f>28.0849 * CHOOSE(CONTROL!$C$32, $C$9, 100%, $E$9)</f>
        <v>28.084900000000001</v>
      </c>
      <c r="I814" s="11">
        <f>28.0891 * CHOOSE(CONTROL!$C$32, $C$9, 100%, $E$9)</f>
        <v>28.089099999999998</v>
      </c>
      <c r="J814" s="11">
        <f>28.0849 * CHOOSE(CONTROL!$C$32, $C$9, 100%, $E$9)</f>
        <v>28.084900000000001</v>
      </c>
      <c r="K814" s="11">
        <f>28.0891 * CHOOSE(CONTROL!$C$32, $C$9, 100%, $E$9)</f>
        <v>28.089099999999998</v>
      </c>
      <c r="L814" s="11">
        <f>13.3226 * CHOOSE(CONTROL!$C$32, $C$9, 100%, $E$9)</f>
        <v>13.3226</v>
      </c>
      <c r="M814" s="11">
        <f>13.3268 * CHOOSE(CONTROL!$C$32, $C$9, 100%, $E$9)</f>
        <v>13.3268</v>
      </c>
      <c r="N814" s="11">
        <f>13.3226 * CHOOSE(CONTROL!$C$32, $C$9, 100%, $E$9)</f>
        <v>13.3226</v>
      </c>
      <c r="O814" s="11">
        <f>13.3268 * CHOOSE(CONTROL!$C$32, $C$9, 100%, $E$9)</f>
        <v>13.3268</v>
      </c>
    </row>
    <row r="815" spans="1:15" ht="15" x14ac:dyDescent="0.2">
      <c r="A815" s="13">
        <v>65654</v>
      </c>
      <c r="B815" s="9">
        <f>11.9954 * CHOOSE(CONTROL!$C$32, $C$9, 100%, $E$9)</f>
        <v>11.9954</v>
      </c>
      <c r="C815" s="9">
        <f>11.9954 * CHOOSE(CONTROL!$C$32, $C$9, 100%, $E$9)</f>
        <v>11.9954</v>
      </c>
      <c r="D815" s="9">
        <f>11.9963 * CHOOSE(CONTROL!$C$32, $C$9, 100%, $E$9)</f>
        <v>11.9963</v>
      </c>
      <c r="E815" s="11">
        <f>13.4585 * CHOOSE(CONTROL!$C$32, $C$9, 100%, $E$9)</f>
        <v>13.458500000000001</v>
      </c>
      <c r="F815" s="11">
        <f>13.4585 * CHOOSE(CONTROL!$C$32, $C$9, 100%, $E$9)</f>
        <v>13.458500000000001</v>
      </c>
      <c r="G815" s="11">
        <f>13.4617 * CHOOSE(CONTROL!$C$32, $C$9, 100%, $E$9)</f>
        <v>13.4617</v>
      </c>
      <c r="H815" s="11">
        <f>28.1435 * CHOOSE(CONTROL!$C$32, $C$9, 100%, $E$9)</f>
        <v>28.1435</v>
      </c>
      <c r="I815" s="11">
        <f>28.1467 * CHOOSE(CONTROL!$C$32, $C$9, 100%, $E$9)</f>
        <v>28.146699999999999</v>
      </c>
      <c r="J815" s="11">
        <f>28.1435 * CHOOSE(CONTROL!$C$32, $C$9, 100%, $E$9)</f>
        <v>28.1435</v>
      </c>
      <c r="K815" s="11">
        <f>28.1467 * CHOOSE(CONTROL!$C$32, $C$9, 100%, $E$9)</f>
        <v>28.146699999999999</v>
      </c>
      <c r="L815" s="11">
        <f>13.4585 * CHOOSE(CONTROL!$C$32, $C$9, 100%, $E$9)</f>
        <v>13.458500000000001</v>
      </c>
      <c r="M815" s="11">
        <f>13.4617 * CHOOSE(CONTROL!$C$32, $C$9, 100%, $E$9)</f>
        <v>13.4617</v>
      </c>
      <c r="N815" s="11">
        <f>13.4585 * CHOOSE(CONTROL!$C$32, $C$9, 100%, $E$9)</f>
        <v>13.458500000000001</v>
      </c>
      <c r="O815" s="11">
        <f>13.4617 * CHOOSE(CONTROL!$C$32, $C$9, 100%, $E$9)</f>
        <v>13.4617</v>
      </c>
    </row>
    <row r="816" spans="1:15" ht="15" x14ac:dyDescent="0.2">
      <c r="A816" s="13">
        <v>65685</v>
      </c>
      <c r="B816" s="9">
        <f>11.9984 * CHOOSE(CONTROL!$C$32, $C$9, 100%, $E$9)</f>
        <v>11.9984</v>
      </c>
      <c r="C816" s="9">
        <f>11.9984 * CHOOSE(CONTROL!$C$32, $C$9, 100%, $E$9)</f>
        <v>11.9984</v>
      </c>
      <c r="D816" s="9">
        <f>11.9994 * CHOOSE(CONTROL!$C$32, $C$9, 100%, $E$9)</f>
        <v>11.9994</v>
      </c>
      <c r="E816" s="11">
        <f>13.5353 * CHOOSE(CONTROL!$C$32, $C$9, 100%, $E$9)</f>
        <v>13.535299999999999</v>
      </c>
      <c r="F816" s="11">
        <f>13.5353 * CHOOSE(CONTROL!$C$32, $C$9, 100%, $E$9)</f>
        <v>13.535299999999999</v>
      </c>
      <c r="G816" s="11">
        <f>13.5385 * CHOOSE(CONTROL!$C$32, $C$9, 100%, $E$9)</f>
        <v>13.538500000000001</v>
      </c>
      <c r="H816" s="11">
        <f>28.2021 * CHOOSE(CONTROL!$C$32, $C$9, 100%, $E$9)</f>
        <v>28.202100000000002</v>
      </c>
      <c r="I816" s="11">
        <f>28.2053 * CHOOSE(CONTROL!$C$32, $C$9, 100%, $E$9)</f>
        <v>28.205300000000001</v>
      </c>
      <c r="J816" s="11">
        <f>28.2021 * CHOOSE(CONTROL!$C$32, $C$9, 100%, $E$9)</f>
        <v>28.202100000000002</v>
      </c>
      <c r="K816" s="11">
        <f>28.2053 * CHOOSE(CONTROL!$C$32, $C$9, 100%, $E$9)</f>
        <v>28.205300000000001</v>
      </c>
      <c r="L816" s="11">
        <f>13.5353 * CHOOSE(CONTROL!$C$32, $C$9, 100%, $E$9)</f>
        <v>13.535299999999999</v>
      </c>
      <c r="M816" s="11">
        <f>13.5385 * CHOOSE(CONTROL!$C$32, $C$9, 100%, $E$9)</f>
        <v>13.538500000000001</v>
      </c>
      <c r="N816" s="11">
        <f>13.5353 * CHOOSE(CONTROL!$C$32, $C$9, 100%, $E$9)</f>
        <v>13.535299999999999</v>
      </c>
      <c r="O816" s="11">
        <f>13.5385 * CHOOSE(CONTROL!$C$32, $C$9, 100%, $E$9)</f>
        <v>13.538500000000001</v>
      </c>
    </row>
    <row r="817" spans="1:15" ht="15" x14ac:dyDescent="0.2">
      <c r="A817" s="13">
        <v>65715</v>
      </c>
      <c r="B817" s="9">
        <f>11.9984 * CHOOSE(CONTROL!$C$32, $C$9, 100%, $E$9)</f>
        <v>11.9984</v>
      </c>
      <c r="C817" s="9">
        <f>11.9984 * CHOOSE(CONTROL!$C$32, $C$9, 100%, $E$9)</f>
        <v>11.9984</v>
      </c>
      <c r="D817" s="9">
        <f>11.9994 * CHOOSE(CONTROL!$C$32, $C$9, 100%, $E$9)</f>
        <v>11.9994</v>
      </c>
      <c r="E817" s="11">
        <f>13.3486 * CHOOSE(CONTROL!$C$32, $C$9, 100%, $E$9)</f>
        <v>13.348599999999999</v>
      </c>
      <c r="F817" s="11">
        <f>13.3486 * CHOOSE(CONTROL!$C$32, $C$9, 100%, $E$9)</f>
        <v>13.348599999999999</v>
      </c>
      <c r="G817" s="11">
        <f>13.3519 * CHOOSE(CONTROL!$C$32, $C$9, 100%, $E$9)</f>
        <v>13.351900000000001</v>
      </c>
      <c r="H817" s="11">
        <f>28.2608 * CHOOSE(CONTROL!$C$32, $C$9, 100%, $E$9)</f>
        <v>28.2608</v>
      </c>
      <c r="I817" s="11">
        <f>28.2641 * CHOOSE(CONTROL!$C$32, $C$9, 100%, $E$9)</f>
        <v>28.264099999999999</v>
      </c>
      <c r="J817" s="11">
        <f>28.2608 * CHOOSE(CONTROL!$C$32, $C$9, 100%, $E$9)</f>
        <v>28.2608</v>
      </c>
      <c r="K817" s="11">
        <f>28.2641 * CHOOSE(CONTROL!$C$32, $C$9, 100%, $E$9)</f>
        <v>28.264099999999999</v>
      </c>
      <c r="L817" s="11">
        <f>13.3486 * CHOOSE(CONTROL!$C$32, $C$9, 100%, $E$9)</f>
        <v>13.348599999999999</v>
      </c>
      <c r="M817" s="11">
        <f>13.3519 * CHOOSE(CONTROL!$C$32, $C$9, 100%, $E$9)</f>
        <v>13.351900000000001</v>
      </c>
      <c r="N817" s="11">
        <f>13.3486 * CHOOSE(CONTROL!$C$32, $C$9, 100%, $E$9)</f>
        <v>13.348599999999999</v>
      </c>
      <c r="O817" s="11">
        <f>13.3519 * CHOOSE(CONTROL!$C$32, $C$9, 100%, $E$9)</f>
        <v>13.351900000000001</v>
      </c>
    </row>
    <row r="818" spans="1:15" ht="15" x14ac:dyDescent="0.2">
      <c r="A818" s="13">
        <v>65746</v>
      </c>
      <c r="B818" s="9">
        <f>12.0047 * CHOOSE(CONTROL!$C$32, $C$9, 100%, $E$9)</f>
        <v>12.0047</v>
      </c>
      <c r="C818" s="9">
        <f>12.0047 * CHOOSE(CONTROL!$C$32, $C$9, 100%, $E$9)</f>
        <v>12.0047</v>
      </c>
      <c r="D818" s="9">
        <f>12.0056 * CHOOSE(CONTROL!$C$32, $C$9, 100%, $E$9)</f>
        <v>12.005599999999999</v>
      </c>
      <c r="E818" s="11">
        <f>13.4956 * CHOOSE(CONTROL!$C$32, $C$9, 100%, $E$9)</f>
        <v>13.4956</v>
      </c>
      <c r="F818" s="11">
        <f>13.4956 * CHOOSE(CONTROL!$C$32, $C$9, 100%, $E$9)</f>
        <v>13.4956</v>
      </c>
      <c r="G818" s="11">
        <f>13.4988 * CHOOSE(CONTROL!$C$32, $C$9, 100%, $E$9)</f>
        <v>13.498799999999999</v>
      </c>
      <c r="H818" s="11">
        <f>28.093 * CHOOSE(CONTROL!$C$32, $C$9, 100%, $E$9)</f>
        <v>28.093</v>
      </c>
      <c r="I818" s="11">
        <f>28.0962 * CHOOSE(CONTROL!$C$32, $C$9, 100%, $E$9)</f>
        <v>28.0962</v>
      </c>
      <c r="J818" s="11">
        <f>28.093 * CHOOSE(CONTROL!$C$32, $C$9, 100%, $E$9)</f>
        <v>28.093</v>
      </c>
      <c r="K818" s="11">
        <f>28.0962 * CHOOSE(CONTROL!$C$32, $C$9, 100%, $E$9)</f>
        <v>28.0962</v>
      </c>
      <c r="L818" s="11">
        <f>13.4956 * CHOOSE(CONTROL!$C$32, $C$9, 100%, $E$9)</f>
        <v>13.4956</v>
      </c>
      <c r="M818" s="11">
        <f>13.4988 * CHOOSE(CONTROL!$C$32, $C$9, 100%, $E$9)</f>
        <v>13.498799999999999</v>
      </c>
      <c r="N818" s="11">
        <f>13.4956 * CHOOSE(CONTROL!$C$32, $C$9, 100%, $E$9)</f>
        <v>13.4956</v>
      </c>
      <c r="O818" s="11">
        <f>13.4988 * CHOOSE(CONTROL!$C$32, $C$9, 100%, $E$9)</f>
        <v>13.498799999999999</v>
      </c>
    </row>
    <row r="819" spans="1:15" ht="15" x14ac:dyDescent="0.2">
      <c r="A819" s="13">
        <v>65777</v>
      </c>
      <c r="B819" s="9">
        <f>12.0016 * CHOOSE(CONTROL!$C$32, $C$9, 100%, $E$9)</f>
        <v>12.0016</v>
      </c>
      <c r="C819" s="9">
        <f>12.0016 * CHOOSE(CONTROL!$C$32, $C$9, 100%, $E$9)</f>
        <v>12.0016</v>
      </c>
      <c r="D819" s="9">
        <f>12.0026 * CHOOSE(CONTROL!$C$32, $C$9, 100%, $E$9)</f>
        <v>12.002599999999999</v>
      </c>
      <c r="E819" s="11">
        <f>13.1337 * CHOOSE(CONTROL!$C$32, $C$9, 100%, $E$9)</f>
        <v>13.133699999999999</v>
      </c>
      <c r="F819" s="11">
        <f>13.1337 * CHOOSE(CONTROL!$C$32, $C$9, 100%, $E$9)</f>
        <v>13.133699999999999</v>
      </c>
      <c r="G819" s="11">
        <f>13.1369 * CHOOSE(CONTROL!$C$32, $C$9, 100%, $E$9)</f>
        <v>13.136900000000001</v>
      </c>
      <c r="H819" s="11">
        <f>28.1515 * CHOOSE(CONTROL!$C$32, $C$9, 100%, $E$9)</f>
        <v>28.151499999999999</v>
      </c>
      <c r="I819" s="11">
        <f>28.1548 * CHOOSE(CONTROL!$C$32, $C$9, 100%, $E$9)</f>
        <v>28.154800000000002</v>
      </c>
      <c r="J819" s="11">
        <f>28.1515 * CHOOSE(CONTROL!$C$32, $C$9, 100%, $E$9)</f>
        <v>28.151499999999999</v>
      </c>
      <c r="K819" s="11">
        <f>28.1548 * CHOOSE(CONTROL!$C$32, $C$9, 100%, $E$9)</f>
        <v>28.154800000000002</v>
      </c>
      <c r="L819" s="11">
        <f>13.1337 * CHOOSE(CONTROL!$C$32, $C$9, 100%, $E$9)</f>
        <v>13.133699999999999</v>
      </c>
      <c r="M819" s="11">
        <f>13.1369 * CHOOSE(CONTROL!$C$32, $C$9, 100%, $E$9)</f>
        <v>13.136900000000001</v>
      </c>
      <c r="N819" s="11">
        <f>13.1337 * CHOOSE(CONTROL!$C$32, $C$9, 100%, $E$9)</f>
        <v>13.133699999999999</v>
      </c>
      <c r="O819" s="11">
        <f>13.1369 * CHOOSE(CONTROL!$C$32, $C$9, 100%, $E$9)</f>
        <v>13.136900000000001</v>
      </c>
    </row>
    <row r="820" spans="1:15" ht="15" x14ac:dyDescent="0.2">
      <c r="A820" s="13">
        <v>65806</v>
      </c>
      <c r="B820" s="9">
        <f>11.9986 * CHOOSE(CONTROL!$C$32, $C$9, 100%, $E$9)</f>
        <v>11.9986</v>
      </c>
      <c r="C820" s="9">
        <f>11.9986 * CHOOSE(CONTROL!$C$32, $C$9, 100%, $E$9)</f>
        <v>11.9986</v>
      </c>
      <c r="D820" s="9">
        <f>11.9995 * CHOOSE(CONTROL!$C$32, $C$9, 100%, $E$9)</f>
        <v>11.999499999999999</v>
      </c>
      <c r="E820" s="11">
        <f>13.4152 * CHOOSE(CONTROL!$C$32, $C$9, 100%, $E$9)</f>
        <v>13.4152</v>
      </c>
      <c r="F820" s="11">
        <f>13.4152 * CHOOSE(CONTROL!$C$32, $C$9, 100%, $E$9)</f>
        <v>13.4152</v>
      </c>
      <c r="G820" s="11">
        <f>13.4184 * CHOOSE(CONTROL!$C$32, $C$9, 100%, $E$9)</f>
        <v>13.4184</v>
      </c>
      <c r="H820" s="11">
        <f>28.2102 * CHOOSE(CONTROL!$C$32, $C$9, 100%, $E$9)</f>
        <v>28.2102</v>
      </c>
      <c r="I820" s="11">
        <f>28.2134 * CHOOSE(CONTROL!$C$32, $C$9, 100%, $E$9)</f>
        <v>28.2134</v>
      </c>
      <c r="J820" s="11">
        <f>28.2102 * CHOOSE(CONTROL!$C$32, $C$9, 100%, $E$9)</f>
        <v>28.2102</v>
      </c>
      <c r="K820" s="11">
        <f>28.2134 * CHOOSE(CONTROL!$C$32, $C$9, 100%, $E$9)</f>
        <v>28.2134</v>
      </c>
      <c r="L820" s="11">
        <f>13.4152 * CHOOSE(CONTROL!$C$32, $C$9, 100%, $E$9)</f>
        <v>13.4152</v>
      </c>
      <c r="M820" s="11">
        <f>13.4184 * CHOOSE(CONTROL!$C$32, $C$9, 100%, $E$9)</f>
        <v>13.4184</v>
      </c>
      <c r="N820" s="11">
        <f>13.4152 * CHOOSE(CONTROL!$C$32, $C$9, 100%, $E$9)</f>
        <v>13.4152</v>
      </c>
      <c r="O820" s="11">
        <f>13.4184 * CHOOSE(CONTROL!$C$32, $C$9, 100%, $E$9)</f>
        <v>13.4184</v>
      </c>
    </row>
    <row r="821" spans="1:15" ht="15" x14ac:dyDescent="0.2">
      <c r="A821" s="13">
        <v>65837</v>
      </c>
      <c r="B821" s="9">
        <f>12.004 * CHOOSE(CONTROL!$C$32, $C$9, 100%, $E$9)</f>
        <v>12.004</v>
      </c>
      <c r="C821" s="9">
        <f>12.004 * CHOOSE(CONTROL!$C$32, $C$9, 100%, $E$9)</f>
        <v>12.004</v>
      </c>
      <c r="D821" s="9">
        <f>12.0049 * CHOOSE(CONTROL!$C$32, $C$9, 100%, $E$9)</f>
        <v>12.004899999999999</v>
      </c>
      <c r="E821" s="11">
        <f>13.7155 * CHOOSE(CONTROL!$C$32, $C$9, 100%, $E$9)</f>
        <v>13.7155</v>
      </c>
      <c r="F821" s="11">
        <f>13.7155 * CHOOSE(CONTROL!$C$32, $C$9, 100%, $E$9)</f>
        <v>13.7155</v>
      </c>
      <c r="G821" s="11">
        <f>13.7188 * CHOOSE(CONTROL!$C$32, $C$9, 100%, $E$9)</f>
        <v>13.7188</v>
      </c>
      <c r="H821" s="11">
        <f>28.269 * CHOOSE(CONTROL!$C$32, $C$9, 100%, $E$9)</f>
        <v>28.268999999999998</v>
      </c>
      <c r="I821" s="11">
        <f>28.2722 * CHOOSE(CONTROL!$C$32, $C$9, 100%, $E$9)</f>
        <v>28.272200000000002</v>
      </c>
      <c r="J821" s="11">
        <f>28.269 * CHOOSE(CONTROL!$C$32, $C$9, 100%, $E$9)</f>
        <v>28.268999999999998</v>
      </c>
      <c r="K821" s="11">
        <f>28.2722 * CHOOSE(CONTROL!$C$32, $C$9, 100%, $E$9)</f>
        <v>28.272200000000002</v>
      </c>
      <c r="L821" s="11">
        <f>13.7155 * CHOOSE(CONTROL!$C$32, $C$9, 100%, $E$9)</f>
        <v>13.7155</v>
      </c>
      <c r="M821" s="11">
        <f>13.7188 * CHOOSE(CONTROL!$C$32, $C$9, 100%, $E$9)</f>
        <v>13.7188</v>
      </c>
      <c r="N821" s="11">
        <f>13.7155 * CHOOSE(CONTROL!$C$32, $C$9, 100%, $E$9)</f>
        <v>13.7155</v>
      </c>
      <c r="O821" s="11">
        <f>13.7188 * CHOOSE(CONTROL!$C$32, $C$9, 100%, $E$9)</f>
        <v>13.7188</v>
      </c>
    </row>
    <row r="822" spans="1:15" ht="15" x14ac:dyDescent="0.2">
      <c r="A822" s="13">
        <v>65867</v>
      </c>
      <c r="B822" s="9">
        <f>12.004 * CHOOSE(CONTROL!$C$32, $C$9, 100%, $E$9)</f>
        <v>12.004</v>
      </c>
      <c r="C822" s="9">
        <f>12.004 * CHOOSE(CONTROL!$C$32, $C$9, 100%, $E$9)</f>
        <v>12.004</v>
      </c>
      <c r="D822" s="9">
        <f>12.0052 * CHOOSE(CONTROL!$C$32, $C$9, 100%, $E$9)</f>
        <v>12.0052</v>
      </c>
      <c r="E822" s="11">
        <f>13.8298 * CHOOSE(CONTROL!$C$32, $C$9, 100%, $E$9)</f>
        <v>13.829800000000001</v>
      </c>
      <c r="F822" s="11">
        <f>13.8298 * CHOOSE(CONTROL!$C$32, $C$9, 100%, $E$9)</f>
        <v>13.829800000000001</v>
      </c>
      <c r="G822" s="11">
        <f>13.834 * CHOOSE(CONTROL!$C$32, $C$9, 100%, $E$9)</f>
        <v>13.834</v>
      </c>
      <c r="H822" s="11">
        <f>28.3279 * CHOOSE(CONTROL!$C$32, $C$9, 100%, $E$9)</f>
        <v>28.3279</v>
      </c>
      <c r="I822" s="11">
        <f>28.3321 * CHOOSE(CONTROL!$C$32, $C$9, 100%, $E$9)</f>
        <v>28.332100000000001</v>
      </c>
      <c r="J822" s="11">
        <f>28.3279 * CHOOSE(CONTROL!$C$32, $C$9, 100%, $E$9)</f>
        <v>28.3279</v>
      </c>
      <c r="K822" s="11">
        <f>28.3321 * CHOOSE(CONTROL!$C$32, $C$9, 100%, $E$9)</f>
        <v>28.332100000000001</v>
      </c>
      <c r="L822" s="11">
        <f>13.8298 * CHOOSE(CONTROL!$C$32, $C$9, 100%, $E$9)</f>
        <v>13.829800000000001</v>
      </c>
      <c r="M822" s="11">
        <f>13.834 * CHOOSE(CONTROL!$C$32, $C$9, 100%, $E$9)</f>
        <v>13.834</v>
      </c>
      <c r="N822" s="11">
        <f>13.8298 * CHOOSE(CONTROL!$C$32, $C$9, 100%, $E$9)</f>
        <v>13.829800000000001</v>
      </c>
      <c r="O822" s="11">
        <f>13.834 * CHOOSE(CONTROL!$C$32, $C$9, 100%, $E$9)</f>
        <v>13.834</v>
      </c>
    </row>
    <row r="823" spans="1:15" ht="15" x14ac:dyDescent="0.2">
      <c r="A823" s="13">
        <v>65898</v>
      </c>
      <c r="B823" s="9">
        <f>12.0101 * CHOOSE(CONTROL!$C$32, $C$9, 100%, $E$9)</f>
        <v>12.0101</v>
      </c>
      <c r="C823" s="9">
        <f>12.0101 * CHOOSE(CONTROL!$C$32, $C$9, 100%, $E$9)</f>
        <v>12.0101</v>
      </c>
      <c r="D823" s="9">
        <f>12.0113 * CHOOSE(CONTROL!$C$32, $C$9, 100%, $E$9)</f>
        <v>12.0113</v>
      </c>
      <c r="E823" s="11">
        <f>13.7198 * CHOOSE(CONTROL!$C$32, $C$9, 100%, $E$9)</f>
        <v>13.719799999999999</v>
      </c>
      <c r="F823" s="11">
        <f>13.7198 * CHOOSE(CONTROL!$C$32, $C$9, 100%, $E$9)</f>
        <v>13.719799999999999</v>
      </c>
      <c r="G823" s="11">
        <f>13.724 * CHOOSE(CONTROL!$C$32, $C$9, 100%, $E$9)</f>
        <v>13.724</v>
      </c>
      <c r="H823" s="11">
        <f>28.3869 * CHOOSE(CONTROL!$C$32, $C$9, 100%, $E$9)</f>
        <v>28.386900000000001</v>
      </c>
      <c r="I823" s="11">
        <f>28.3911 * CHOOSE(CONTROL!$C$32, $C$9, 100%, $E$9)</f>
        <v>28.391100000000002</v>
      </c>
      <c r="J823" s="11">
        <f>28.3869 * CHOOSE(CONTROL!$C$32, $C$9, 100%, $E$9)</f>
        <v>28.386900000000001</v>
      </c>
      <c r="K823" s="11">
        <f>28.3911 * CHOOSE(CONTROL!$C$32, $C$9, 100%, $E$9)</f>
        <v>28.391100000000002</v>
      </c>
      <c r="L823" s="11">
        <f>13.7198 * CHOOSE(CONTROL!$C$32, $C$9, 100%, $E$9)</f>
        <v>13.719799999999999</v>
      </c>
      <c r="M823" s="11">
        <f>13.724 * CHOOSE(CONTROL!$C$32, $C$9, 100%, $E$9)</f>
        <v>13.724</v>
      </c>
      <c r="N823" s="11">
        <f>13.7198 * CHOOSE(CONTROL!$C$32, $C$9, 100%, $E$9)</f>
        <v>13.719799999999999</v>
      </c>
      <c r="O823" s="11">
        <f>13.724 * CHOOSE(CONTROL!$C$32, $C$9, 100%, $E$9)</f>
        <v>13.724</v>
      </c>
    </row>
    <row r="824" spans="1:15" ht="15" x14ac:dyDescent="0.2">
      <c r="A824" s="13">
        <v>65928</v>
      </c>
      <c r="B824" s="9">
        <f>12.1565 * CHOOSE(CONTROL!$C$32, $C$9, 100%, $E$9)</f>
        <v>12.156499999999999</v>
      </c>
      <c r="C824" s="9">
        <f>12.1565 * CHOOSE(CONTROL!$C$32, $C$9, 100%, $E$9)</f>
        <v>12.156499999999999</v>
      </c>
      <c r="D824" s="9">
        <f>12.1577 * CHOOSE(CONTROL!$C$32, $C$9, 100%, $E$9)</f>
        <v>12.1577</v>
      </c>
      <c r="E824" s="11">
        <f>13.9135 * CHOOSE(CONTROL!$C$32, $C$9, 100%, $E$9)</f>
        <v>13.913500000000001</v>
      </c>
      <c r="F824" s="11">
        <f>13.9135 * CHOOSE(CONTROL!$C$32, $C$9, 100%, $E$9)</f>
        <v>13.913500000000001</v>
      </c>
      <c r="G824" s="11">
        <f>13.9177 * CHOOSE(CONTROL!$C$32, $C$9, 100%, $E$9)</f>
        <v>13.9177</v>
      </c>
      <c r="H824" s="11">
        <f>28.446 * CHOOSE(CONTROL!$C$32, $C$9, 100%, $E$9)</f>
        <v>28.446000000000002</v>
      </c>
      <c r="I824" s="11">
        <f>28.4502 * CHOOSE(CONTROL!$C$32, $C$9, 100%, $E$9)</f>
        <v>28.450199999999999</v>
      </c>
      <c r="J824" s="11">
        <f>28.446 * CHOOSE(CONTROL!$C$32, $C$9, 100%, $E$9)</f>
        <v>28.446000000000002</v>
      </c>
      <c r="K824" s="11">
        <f>28.4502 * CHOOSE(CONTROL!$C$32, $C$9, 100%, $E$9)</f>
        <v>28.450199999999999</v>
      </c>
      <c r="L824" s="11">
        <f>13.9135 * CHOOSE(CONTROL!$C$32, $C$9, 100%, $E$9)</f>
        <v>13.913500000000001</v>
      </c>
      <c r="M824" s="11">
        <f>13.9177 * CHOOSE(CONTROL!$C$32, $C$9, 100%, $E$9)</f>
        <v>13.9177</v>
      </c>
      <c r="N824" s="11">
        <f>13.9135 * CHOOSE(CONTROL!$C$32, $C$9, 100%, $E$9)</f>
        <v>13.913500000000001</v>
      </c>
      <c r="O824" s="11">
        <f>13.9177 * CHOOSE(CONTROL!$C$32, $C$9, 100%, $E$9)</f>
        <v>13.9177</v>
      </c>
    </row>
    <row r="825" spans="1:15" ht="15" x14ac:dyDescent="0.2">
      <c r="A825" s="13">
        <v>65959</v>
      </c>
      <c r="B825" s="9">
        <f>12.1632 * CHOOSE(CONTROL!$C$32, $C$9, 100%, $E$9)</f>
        <v>12.1632</v>
      </c>
      <c r="C825" s="9">
        <f>12.1632 * CHOOSE(CONTROL!$C$32, $C$9, 100%, $E$9)</f>
        <v>12.1632</v>
      </c>
      <c r="D825" s="9">
        <f>12.1644 * CHOOSE(CONTROL!$C$32, $C$9, 100%, $E$9)</f>
        <v>12.164400000000001</v>
      </c>
      <c r="E825" s="11">
        <f>13.5755 * CHOOSE(CONTROL!$C$32, $C$9, 100%, $E$9)</f>
        <v>13.5755</v>
      </c>
      <c r="F825" s="11">
        <f>13.5755 * CHOOSE(CONTROL!$C$32, $C$9, 100%, $E$9)</f>
        <v>13.5755</v>
      </c>
      <c r="G825" s="11">
        <f>13.5797 * CHOOSE(CONTROL!$C$32, $C$9, 100%, $E$9)</f>
        <v>13.579700000000001</v>
      </c>
      <c r="H825" s="11">
        <f>28.5053 * CHOOSE(CONTROL!$C$32, $C$9, 100%, $E$9)</f>
        <v>28.505299999999998</v>
      </c>
      <c r="I825" s="11">
        <f>28.5095 * CHOOSE(CONTROL!$C$32, $C$9, 100%, $E$9)</f>
        <v>28.509499999999999</v>
      </c>
      <c r="J825" s="11">
        <f>28.5053 * CHOOSE(CONTROL!$C$32, $C$9, 100%, $E$9)</f>
        <v>28.505299999999998</v>
      </c>
      <c r="K825" s="11">
        <f>28.5095 * CHOOSE(CONTROL!$C$32, $C$9, 100%, $E$9)</f>
        <v>28.509499999999999</v>
      </c>
      <c r="L825" s="11">
        <f>13.5755 * CHOOSE(CONTROL!$C$32, $C$9, 100%, $E$9)</f>
        <v>13.5755</v>
      </c>
      <c r="M825" s="11">
        <f>13.5797 * CHOOSE(CONTROL!$C$32, $C$9, 100%, $E$9)</f>
        <v>13.579700000000001</v>
      </c>
      <c r="N825" s="11">
        <f>13.5755 * CHOOSE(CONTROL!$C$32, $C$9, 100%, $E$9)</f>
        <v>13.5755</v>
      </c>
      <c r="O825" s="11">
        <f>13.5797 * CHOOSE(CONTROL!$C$32, $C$9, 100%, $E$9)</f>
        <v>13.579700000000001</v>
      </c>
    </row>
    <row r="826" spans="1:15" ht="15" x14ac:dyDescent="0.2">
      <c r="A826" s="13">
        <v>65990</v>
      </c>
      <c r="B826" s="9">
        <f>12.1601 * CHOOSE(CONTROL!$C$32, $C$9, 100%, $E$9)</f>
        <v>12.1601</v>
      </c>
      <c r="C826" s="9">
        <f>12.1601 * CHOOSE(CONTROL!$C$32, $C$9, 100%, $E$9)</f>
        <v>12.1601</v>
      </c>
      <c r="D826" s="9">
        <f>12.1614 * CHOOSE(CONTROL!$C$32, $C$9, 100%, $E$9)</f>
        <v>12.1614</v>
      </c>
      <c r="E826" s="11">
        <f>13.5353 * CHOOSE(CONTROL!$C$32, $C$9, 100%, $E$9)</f>
        <v>13.535299999999999</v>
      </c>
      <c r="F826" s="11">
        <f>13.5353 * CHOOSE(CONTROL!$C$32, $C$9, 100%, $E$9)</f>
        <v>13.535299999999999</v>
      </c>
      <c r="G826" s="11">
        <f>13.5395 * CHOOSE(CONTROL!$C$32, $C$9, 100%, $E$9)</f>
        <v>13.5395</v>
      </c>
      <c r="H826" s="11">
        <f>28.5647 * CHOOSE(CONTROL!$C$32, $C$9, 100%, $E$9)</f>
        <v>28.564699999999998</v>
      </c>
      <c r="I826" s="11">
        <f>28.5689 * CHOOSE(CONTROL!$C$32, $C$9, 100%, $E$9)</f>
        <v>28.568899999999999</v>
      </c>
      <c r="J826" s="11">
        <f>28.5647 * CHOOSE(CONTROL!$C$32, $C$9, 100%, $E$9)</f>
        <v>28.564699999999998</v>
      </c>
      <c r="K826" s="11">
        <f>28.5689 * CHOOSE(CONTROL!$C$32, $C$9, 100%, $E$9)</f>
        <v>28.568899999999999</v>
      </c>
      <c r="L826" s="11">
        <f>13.5353 * CHOOSE(CONTROL!$C$32, $C$9, 100%, $E$9)</f>
        <v>13.535299999999999</v>
      </c>
      <c r="M826" s="11">
        <f>13.5395 * CHOOSE(CONTROL!$C$32, $C$9, 100%, $E$9)</f>
        <v>13.5395</v>
      </c>
      <c r="N826" s="11">
        <f>13.5353 * CHOOSE(CONTROL!$C$32, $C$9, 100%, $E$9)</f>
        <v>13.535299999999999</v>
      </c>
      <c r="O826" s="11">
        <f>13.5395 * CHOOSE(CONTROL!$C$32, $C$9, 100%, $E$9)</f>
        <v>13.5395</v>
      </c>
    </row>
    <row r="827" spans="1:15" ht="15" x14ac:dyDescent="0.2">
      <c r="A827" s="13">
        <v>66020</v>
      </c>
      <c r="B827" s="9">
        <f>12.1857 * CHOOSE(CONTROL!$C$32, $C$9, 100%, $E$9)</f>
        <v>12.185700000000001</v>
      </c>
      <c r="C827" s="9">
        <f>12.1857 * CHOOSE(CONTROL!$C$32, $C$9, 100%, $E$9)</f>
        <v>12.185700000000001</v>
      </c>
      <c r="D827" s="9">
        <f>12.1867 * CHOOSE(CONTROL!$C$32, $C$9, 100%, $E$9)</f>
        <v>12.1867</v>
      </c>
      <c r="E827" s="11">
        <f>13.6742 * CHOOSE(CONTROL!$C$32, $C$9, 100%, $E$9)</f>
        <v>13.674200000000001</v>
      </c>
      <c r="F827" s="11">
        <f>13.6742 * CHOOSE(CONTROL!$C$32, $C$9, 100%, $E$9)</f>
        <v>13.674200000000001</v>
      </c>
      <c r="G827" s="11">
        <f>13.6774 * CHOOSE(CONTROL!$C$32, $C$9, 100%, $E$9)</f>
        <v>13.6774</v>
      </c>
      <c r="H827" s="11">
        <f>28.6242 * CHOOSE(CONTROL!$C$32, $C$9, 100%, $E$9)</f>
        <v>28.624199999999998</v>
      </c>
      <c r="I827" s="11">
        <f>28.6274 * CHOOSE(CONTROL!$C$32, $C$9, 100%, $E$9)</f>
        <v>28.627400000000002</v>
      </c>
      <c r="J827" s="11">
        <f>28.6242 * CHOOSE(CONTROL!$C$32, $C$9, 100%, $E$9)</f>
        <v>28.624199999999998</v>
      </c>
      <c r="K827" s="11">
        <f>28.6274 * CHOOSE(CONTROL!$C$32, $C$9, 100%, $E$9)</f>
        <v>28.627400000000002</v>
      </c>
      <c r="L827" s="11">
        <f>13.6742 * CHOOSE(CONTROL!$C$32, $C$9, 100%, $E$9)</f>
        <v>13.674200000000001</v>
      </c>
      <c r="M827" s="11">
        <f>13.6774 * CHOOSE(CONTROL!$C$32, $C$9, 100%, $E$9)</f>
        <v>13.6774</v>
      </c>
      <c r="N827" s="11">
        <f>13.6742 * CHOOSE(CONTROL!$C$32, $C$9, 100%, $E$9)</f>
        <v>13.674200000000001</v>
      </c>
      <c r="O827" s="11">
        <f>13.6774 * CHOOSE(CONTROL!$C$32, $C$9, 100%, $E$9)</f>
        <v>13.6774</v>
      </c>
    </row>
    <row r="828" spans="1:15" ht="15" x14ac:dyDescent="0.2">
      <c r="A828" s="13">
        <v>66051</v>
      </c>
      <c r="B828" s="9">
        <f>12.1887 * CHOOSE(CONTROL!$C$32, $C$9, 100%, $E$9)</f>
        <v>12.188700000000001</v>
      </c>
      <c r="C828" s="9">
        <f>12.1887 * CHOOSE(CONTROL!$C$32, $C$9, 100%, $E$9)</f>
        <v>12.188700000000001</v>
      </c>
      <c r="D828" s="9">
        <f>12.1897 * CHOOSE(CONTROL!$C$32, $C$9, 100%, $E$9)</f>
        <v>12.1897</v>
      </c>
      <c r="E828" s="11">
        <f>13.7524 * CHOOSE(CONTROL!$C$32, $C$9, 100%, $E$9)</f>
        <v>13.7524</v>
      </c>
      <c r="F828" s="11">
        <f>13.7524 * CHOOSE(CONTROL!$C$32, $C$9, 100%, $E$9)</f>
        <v>13.7524</v>
      </c>
      <c r="G828" s="11">
        <f>13.7557 * CHOOSE(CONTROL!$C$32, $C$9, 100%, $E$9)</f>
        <v>13.755699999999999</v>
      </c>
      <c r="H828" s="11">
        <f>28.6838 * CHOOSE(CONTROL!$C$32, $C$9, 100%, $E$9)</f>
        <v>28.683800000000002</v>
      </c>
      <c r="I828" s="11">
        <f>28.687 * CHOOSE(CONTROL!$C$32, $C$9, 100%, $E$9)</f>
        <v>28.687000000000001</v>
      </c>
      <c r="J828" s="11">
        <f>28.6838 * CHOOSE(CONTROL!$C$32, $C$9, 100%, $E$9)</f>
        <v>28.683800000000002</v>
      </c>
      <c r="K828" s="11">
        <f>28.687 * CHOOSE(CONTROL!$C$32, $C$9, 100%, $E$9)</f>
        <v>28.687000000000001</v>
      </c>
      <c r="L828" s="11">
        <f>13.7524 * CHOOSE(CONTROL!$C$32, $C$9, 100%, $E$9)</f>
        <v>13.7524</v>
      </c>
      <c r="M828" s="11">
        <f>13.7557 * CHOOSE(CONTROL!$C$32, $C$9, 100%, $E$9)</f>
        <v>13.755699999999999</v>
      </c>
      <c r="N828" s="11">
        <f>13.7524 * CHOOSE(CONTROL!$C$32, $C$9, 100%, $E$9)</f>
        <v>13.7524</v>
      </c>
      <c r="O828" s="11">
        <f>13.7557 * CHOOSE(CONTROL!$C$32, $C$9, 100%, $E$9)</f>
        <v>13.755699999999999</v>
      </c>
    </row>
    <row r="829" spans="1:15" ht="15" x14ac:dyDescent="0.2">
      <c r="A829" s="13">
        <v>66081</v>
      </c>
      <c r="B829" s="9">
        <f>12.1887 * CHOOSE(CONTROL!$C$32, $C$9, 100%, $E$9)</f>
        <v>12.188700000000001</v>
      </c>
      <c r="C829" s="9">
        <f>12.1887 * CHOOSE(CONTROL!$C$32, $C$9, 100%, $E$9)</f>
        <v>12.188700000000001</v>
      </c>
      <c r="D829" s="9">
        <f>12.1897 * CHOOSE(CONTROL!$C$32, $C$9, 100%, $E$9)</f>
        <v>12.1897</v>
      </c>
      <c r="E829" s="11">
        <f>13.5621 * CHOOSE(CONTROL!$C$32, $C$9, 100%, $E$9)</f>
        <v>13.562099999999999</v>
      </c>
      <c r="F829" s="11">
        <f>13.5621 * CHOOSE(CONTROL!$C$32, $C$9, 100%, $E$9)</f>
        <v>13.562099999999999</v>
      </c>
      <c r="G829" s="11">
        <f>13.5653 * CHOOSE(CONTROL!$C$32, $C$9, 100%, $E$9)</f>
        <v>13.565300000000001</v>
      </c>
      <c r="H829" s="11">
        <f>28.7436 * CHOOSE(CONTROL!$C$32, $C$9, 100%, $E$9)</f>
        <v>28.743600000000001</v>
      </c>
      <c r="I829" s="11">
        <f>28.7468 * CHOOSE(CONTROL!$C$32, $C$9, 100%, $E$9)</f>
        <v>28.7468</v>
      </c>
      <c r="J829" s="11">
        <f>28.7436 * CHOOSE(CONTROL!$C$32, $C$9, 100%, $E$9)</f>
        <v>28.743600000000001</v>
      </c>
      <c r="K829" s="11">
        <f>28.7468 * CHOOSE(CONTROL!$C$32, $C$9, 100%, $E$9)</f>
        <v>28.7468</v>
      </c>
      <c r="L829" s="11">
        <f>13.5621 * CHOOSE(CONTROL!$C$32, $C$9, 100%, $E$9)</f>
        <v>13.562099999999999</v>
      </c>
      <c r="M829" s="11">
        <f>13.5653 * CHOOSE(CONTROL!$C$32, $C$9, 100%, $E$9)</f>
        <v>13.565300000000001</v>
      </c>
      <c r="N829" s="11">
        <f>13.5621 * CHOOSE(CONTROL!$C$32, $C$9, 100%, $E$9)</f>
        <v>13.562099999999999</v>
      </c>
      <c r="O829" s="11">
        <f>13.5653 * CHOOSE(CONTROL!$C$32, $C$9, 100%, $E$9)</f>
        <v>13.565300000000001</v>
      </c>
    </row>
    <row r="830" spans="1:15" ht="15" x14ac:dyDescent="0.2">
      <c r="A830" s="13">
        <v>66112</v>
      </c>
      <c r="B830" s="9">
        <f>12.192 * CHOOSE(CONTROL!$C$32, $C$9, 100%, $E$9)</f>
        <v>12.192</v>
      </c>
      <c r="C830" s="9">
        <f>12.192 * CHOOSE(CONTROL!$C$32, $C$9, 100%, $E$9)</f>
        <v>12.192</v>
      </c>
      <c r="D830" s="9">
        <f>12.193 * CHOOSE(CONTROL!$C$32, $C$9, 100%, $E$9)</f>
        <v>12.193</v>
      </c>
      <c r="E830" s="11">
        <f>13.7081 * CHOOSE(CONTROL!$C$32, $C$9, 100%, $E$9)</f>
        <v>13.7081</v>
      </c>
      <c r="F830" s="11">
        <f>13.7081 * CHOOSE(CONTROL!$C$32, $C$9, 100%, $E$9)</f>
        <v>13.7081</v>
      </c>
      <c r="G830" s="11">
        <f>13.7113 * CHOOSE(CONTROL!$C$32, $C$9, 100%, $E$9)</f>
        <v>13.7113</v>
      </c>
      <c r="H830" s="11">
        <f>28.5648 * CHOOSE(CONTROL!$C$32, $C$9, 100%, $E$9)</f>
        <v>28.564800000000002</v>
      </c>
      <c r="I830" s="11">
        <f>28.5681 * CHOOSE(CONTROL!$C$32, $C$9, 100%, $E$9)</f>
        <v>28.568100000000001</v>
      </c>
      <c r="J830" s="11">
        <f>28.5648 * CHOOSE(CONTROL!$C$32, $C$9, 100%, $E$9)</f>
        <v>28.564800000000002</v>
      </c>
      <c r="K830" s="11">
        <f>28.5681 * CHOOSE(CONTROL!$C$32, $C$9, 100%, $E$9)</f>
        <v>28.568100000000001</v>
      </c>
      <c r="L830" s="11">
        <f>13.7081 * CHOOSE(CONTROL!$C$32, $C$9, 100%, $E$9)</f>
        <v>13.7081</v>
      </c>
      <c r="M830" s="11">
        <f>13.7113 * CHOOSE(CONTROL!$C$32, $C$9, 100%, $E$9)</f>
        <v>13.7113</v>
      </c>
      <c r="N830" s="11">
        <f>13.7081 * CHOOSE(CONTROL!$C$32, $C$9, 100%, $E$9)</f>
        <v>13.7081</v>
      </c>
      <c r="O830" s="11">
        <f>13.7113 * CHOOSE(CONTROL!$C$32, $C$9, 100%, $E$9)</f>
        <v>13.7113</v>
      </c>
    </row>
    <row r="831" spans="1:15" ht="15" x14ac:dyDescent="0.2">
      <c r="A831" s="13">
        <v>66143</v>
      </c>
      <c r="B831" s="9">
        <f>12.189 * CHOOSE(CONTROL!$C$32, $C$9, 100%, $E$9)</f>
        <v>12.189</v>
      </c>
      <c r="C831" s="9">
        <f>12.189 * CHOOSE(CONTROL!$C$32, $C$9, 100%, $E$9)</f>
        <v>12.189</v>
      </c>
      <c r="D831" s="9">
        <f>12.1899 * CHOOSE(CONTROL!$C$32, $C$9, 100%, $E$9)</f>
        <v>12.1899</v>
      </c>
      <c r="E831" s="11">
        <f>13.3391 * CHOOSE(CONTROL!$C$32, $C$9, 100%, $E$9)</f>
        <v>13.3391</v>
      </c>
      <c r="F831" s="11">
        <f>13.3391 * CHOOSE(CONTROL!$C$32, $C$9, 100%, $E$9)</f>
        <v>13.3391</v>
      </c>
      <c r="G831" s="11">
        <f>13.3423 * CHOOSE(CONTROL!$C$32, $C$9, 100%, $E$9)</f>
        <v>13.3423</v>
      </c>
      <c r="H831" s="11">
        <f>28.6243 * CHOOSE(CONTROL!$C$32, $C$9, 100%, $E$9)</f>
        <v>28.624300000000002</v>
      </c>
      <c r="I831" s="11">
        <f>28.6276 * CHOOSE(CONTROL!$C$32, $C$9, 100%, $E$9)</f>
        <v>28.627600000000001</v>
      </c>
      <c r="J831" s="11">
        <f>28.6243 * CHOOSE(CONTROL!$C$32, $C$9, 100%, $E$9)</f>
        <v>28.624300000000002</v>
      </c>
      <c r="K831" s="11">
        <f>28.6276 * CHOOSE(CONTROL!$C$32, $C$9, 100%, $E$9)</f>
        <v>28.627600000000001</v>
      </c>
      <c r="L831" s="11">
        <f>13.3391 * CHOOSE(CONTROL!$C$32, $C$9, 100%, $E$9)</f>
        <v>13.3391</v>
      </c>
      <c r="M831" s="11">
        <f>13.3423 * CHOOSE(CONTROL!$C$32, $C$9, 100%, $E$9)</f>
        <v>13.3423</v>
      </c>
      <c r="N831" s="11">
        <f>13.3391 * CHOOSE(CONTROL!$C$32, $C$9, 100%, $E$9)</f>
        <v>13.3391</v>
      </c>
      <c r="O831" s="11">
        <f>13.3423 * CHOOSE(CONTROL!$C$32, $C$9, 100%, $E$9)</f>
        <v>13.3423</v>
      </c>
    </row>
    <row r="832" spans="1:15" ht="15" x14ac:dyDescent="0.2">
      <c r="A832" s="13">
        <v>66171</v>
      </c>
      <c r="B832" s="9">
        <f>12.1859 * CHOOSE(CONTROL!$C$32, $C$9, 100%, $E$9)</f>
        <v>12.1859</v>
      </c>
      <c r="C832" s="9">
        <f>12.1859 * CHOOSE(CONTROL!$C$32, $C$9, 100%, $E$9)</f>
        <v>12.1859</v>
      </c>
      <c r="D832" s="9">
        <f>12.1869 * CHOOSE(CONTROL!$C$32, $C$9, 100%, $E$9)</f>
        <v>12.1869</v>
      </c>
      <c r="E832" s="11">
        <f>13.6262 * CHOOSE(CONTROL!$C$32, $C$9, 100%, $E$9)</f>
        <v>13.626200000000001</v>
      </c>
      <c r="F832" s="11">
        <f>13.6262 * CHOOSE(CONTROL!$C$32, $C$9, 100%, $E$9)</f>
        <v>13.626200000000001</v>
      </c>
      <c r="G832" s="11">
        <f>13.6294 * CHOOSE(CONTROL!$C$32, $C$9, 100%, $E$9)</f>
        <v>13.6294</v>
      </c>
      <c r="H832" s="11">
        <f>28.684 * CHOOSE(CONTROL!$C$32, $C$9, 100%, $E$9)</f>
        <v>28.684000000000001</v>
      </c>
      <c r="I832" s="11">
        <f>28.6872 * CHOOSE(CONTROL!$C$32, $C$9, 100%, $E$9)</f>
        <v>28.687200000000001</v>
      </c>
      <c r="J832" s="11">
        <f>28.684 * CHOOSE(CONTROL!$C$32, $C$9, 100%, $E$9)</f>
        <v>28.684000000000001</v>
      </c>
      <c r="K832" s="11">
        <f>28.6872 * CHOOSE(CONTROL!$C$32, $C$9, 100%, $E$9)</f>
        <v>28.687200000000001</v>
      </c>
      <c r="L832" s="11">
        <f>13.6262 * CHOOSE(CONTROL!$C$32, $C$9, 100%, $E$9)</f>
        <v>13.626200000000001</v>
      </c>
      <c r="M832" s="11">
        <f>13.6294 * CHOOSE(CONTROL!$C$32, $C$9, 100%, $E$9)</f>
        <v>13.6294</v>
      </c>
      <c r="N832" s="11">
        <f>13.6262 * CHOOSE(CONTROL!$C$32, $C$9, 100%, $E$9)</f>
        <v>13.626200000000001</v>
      </c>
      <c r="O832" s="11">
        <f>13.6294 * CHOOSE(CONTROL!$C$32, $C$9, 100%, $E$9)</f>
        <v>13.6294</v>
      </c>
    </row>
    <row r="833" spans="1:15" ht="15" x14ac:dyDescent="0.2">
      <c r="A833" s="13">
        <v>66202</v>
      </c>
      <c r="B833" s="9">
        <f>12.1915 * CHOOSE(CONTROL!$C$32, $C$9, 100%, $E$9)</f>
        <v>12.1915</v>
      </c>
      <c r="C833" s="9">
        <f>12.1915 * CHOOSE(CONTROL!$C$32, $C$9, 100%, $E$9)</f>
        <v>12.1915</v>
      </c>
      <c r="D833" s="9">
        <f>12.1925 * CHOOSE(CONTROL!$C$32, $C$9, 100%, $E$9)</f>
        <v>12.192500000000001</v>
      </c>
      <c r="E833" s="11">
        <f>13.9325 * CHOOSE(CONTROL!$C$32, $C$9, 100%, $E$9)</f>
        <v>13.932499999999999</v>
      </c>
      <c r="F833" s="11">
        <f>13.9325 * CHOOSE(CONTROL!$C$32, $C$9, 100%, $E$9)</f>
        <v>13.932499999999999</v>
      </c>
      <c r="G833" s="11">
        <f>13.9358 * CHOOSE(CONTROL!$C$32, $C$9, 100%, $E$9)</f>
        <v>13.9358</v>
      </c>
      <c r="H833" s="11">
        <f>28.7437 * CHOOSE(CONTROL!$C$32, $C$9, 100%, $E$9)</f>
        <v>28.7437</v>
      </c>
      <c r="I833" s="11">
        <f>28.747 * CHOOSE(CONTROL!$C$32, $C$9, 100%, $E$9)</f>
        <v>28.747</v>
      </c>
      <c r="J833" s="11">
        <f>28.7437 * CHOOSE(CONTROL!$C$32, $C$9, 100%, $E$9)</f>
        <v>28.7437</v>
      </c>
      <c r="K833" s="11">
        <f>28.747 * CHOOSE(CONTROL!$C$32, $C$9, 100%, $E$9)</f>
        <v>28.747</v>
      </c>
      <c r="L833" s="11">
        <f>13.9325 * CHOOSE(CONTROL!$C$32, $C$9, 100%, $E$9)</f>
        <v>13.932499999999999</v>
      </c>
      <c r="M833" s="11">
        <f>13.9358 * CHOOSE(CONTROL!$C$32, $C$9, 100%, $E$9)</f>
        <v>13.9358</v>
      </c>
      <c r="N833" s="11">
        <f>13.9325 * CHOOSE(CONTROL!$C$32, $C$9, 100%, $E$9)</f>
        <v>13.932499999999999</v>
      </c>
      <c r="O833" s="11">
        <f>13.9358 * CHOOSE(CONTROL!$C$32, $C$9, 100%, $E$9)</f>
        <v>13.9358</v>
      </c>
    </row>
    <row r="834" spans="1:15" ht="15" x14ac:dyDescent="0.2">
      <c r="A834" s="13">
        <v>66232</v>
      </c>
      <c r="B834" s="9">
        <f>12.1915 * CHOOSE(CONTROL!$C$32, $C$9, 100%, $E$9)</f>
        <v>12.1915</v>
      </c>
      <c r="C834" s="9">
        <f>12.1915 * CHOOSE(CONTROL!$C$32, $C$9, 100%, $E$9)</f>
        <v>12.1915</v>
      </c>
      <c r="D834" s="9">
        <f>12.1928 * CHOOSE(CONTROL!$C$32, $C$9, 100%, $E$9)</f>
        <v>12.1928</v>
      </c>
      <c r="E834" s="11">
        <f>14.049 * CHOOSE(CONTROL!$C$32, $C$9, 100%, $E$9)</f>
        <v>14.048999999999999</v>
      </c>
      <c r="F834" s="11">
        <f>14.049 * CHOOSE(CONTROL!$C$32, $C$9, 100%, $E$9)</f>
        <v>14.048999999999999</v>
      </c>
      <c r="G834" s="11">
        <f>14.0532 * CHOOSE(CONTROL!$C$32, $C$9, 100%, $E$9)</f>
        <v>14.0532</v>
      </c>
      <c r="H834" s="11">
        <f>28.8036 * CHOOSE(CONTROL!$C$32, $C$9, 100%, $E$9)</f>
        <v>28.803599999999999</v>
      </c>
      <c r="I834" s="11">
        <f>28.8078 * CHOOSE(CONTROL!$C$32, $C$9, 100%, $E$9)</f>
        <v>28.8078</v>
      </c>
      <c r="J834" s="11">
        <f>28.8036 * CHOOSE(CONTROL!$C$32, $C$9, 100%, $E$9)</f>
        <v>28.803599999999999</v>
      </c>
      <c r="K834" s="11">
        <f>28.8078 * CHOOSE(CONTROL!$C$32, $C$9, 100%, $E$9)</f>
        <v>28.8078</v>
      </c>
      <c r="L834" s="11">
        <f>14.049 * CHOOSE(CONTROL!$C$32, $C$9, 100%, $E$9)</f>
        <v>14.048999999999999</v>
      </c>
      <c r="M834" s="11">
        <f>14.0532 * CHOOSE(CONTROL!$C$32, $C$9, 100%, $E$9)</f>
        <v>14.0532</v>
      </c>
      <c r="N834" s="11">
        <f>14.049 * CHOOSE(CONTROL!$C$32, $C$9, 100%, $E$9)</f>
        <v>14.048999999999999</v>
      </c>
      <c r="O834" s="11">
        <f>14.0532 * CHOOSE(CONTROL!$C$32, $C$9, 100%, $E$9)</f>
        <v>14.0532</v>
      </c>
    </row>
    <row r="835" spans="1:15" ht="15" x14ac:dyDescent="0.2">
      <c r="A835" s="13">
        <v>66263</v>
      </c>
      <c r="B835" s="9">
        <f>12.1976 * CHOOSE(CONTROL!$C$32, $C$9, 100%, $E$9)</f>
        <v>12.1976</v>
      </c>
      <c r="C835" s="9">
        <f>12.1976 * CHOOSE(CONTROL!$C$32, $C$9, 100%, $E$9)</f>
        <v>12.1976</v>
      </c>
      <c r="D835" s="9">
        <f>12.1989 * CHOOSE(CONTROL!$C$32, $C$9, 100%, $E$9)</f>
        <v>12.1989</v>
      </c>
      <c r="E835" s="11">
        <f>13.9368 * CHOOSE(CONTROL!$C$32, $C$9, 100%, $E$9)</f>
        <v>13.9368</v>
      </c>
      <c r="F835" s="11">
        <f>13.9368 * CHOOSE(CONTROL!$C$32, $C$9, 100%, $E$9)</f>
        <v>13.9368</v>
      </c>
      <c r="G835" s="11">
        <f>13.941 * CHOOSE(CONTROL!$C$32, $C$9, 100%, $E$9)</f>
        <v>13.941000000000001</v>
      </c>
      <c r="H835" s="11">
        <f>28.8636 * CHOOSE(CONTROL!$C$32, $C$9, 100%, $E$9)</f>
        <v>28.863600000000002</v>
      </c>
      <c r="I835" s="11">
        <f>28.8678 * CHOOSE(CONTROL!$C$32, $C$9, 100%, $E$9)</f>
        <v>28.867799999999999</v>
      </c>
      <c r="J835" s="11">
        <f>28.8636 * CHOOSE(CONTROL!$C$32, $C$9, 100%, $E$9)</f>
        <v>28.863600000000002</v>
      </c>
      <c r="K835" s="11">
        <f>28.8678 * CHOOSE(CONTROL!$C$32, $C$9, 100%, $E$9)</f>
        <v>28.867799999999999</v>
      </c>
      <c r="L835" s="11">
        <f>13.9368 * CHOOSE(CONTROL!$C$32, $C$9, 100%, $E$9)</f>
        <v>13.9368</v>
      </c>
      <c r="M835" s="11">
        <f>13.941 * CHOOSE(CONTROL!$C$32, $C$9, 100%, $E$9)</f>
        <v>13.941000000000001</v>
      </c>
      <c r="N835" s="11">
        <f>13.9368 * CHOOSE(CONTROL!$C$32, $C$9, 100%, $E$9)</f>
        <v>13.9368</v>
      </c>
      <c r="O835" s="11">
        <f>13.941 * CHOOSE(CONTROL!$C$32, $C$9, 100%, $E$9)</f>
        <v>13.941000000000001</v>
      </c>
    </row>
    <row r="836" spans="1:15" ht="15" x14ac:dyDescent="0.2">
      <c r="A836" s="13">
        <v>66293</v>
      </c>
      <c r="B836" s="9">
        <f>12.3461 * CHOOSE(CONTROL!$C$32, $C$9, 100%, $E$9)</f>
        <v>12.3461</v>
      </c>
      <c r="C836" s="9">
        <f>12.3461 * CHOOSE(CONTROL!$C$32, $C$9, 100%, $E$9)</f>
        <v>12.3461</v>
      </c>
      <c r="D836" s="9">
        <f>12.3473 * CHOOSE(CONTROL!$C$32, $C$9, 100%, $E$9)</f>
        <v>12.347300000000001</v>
      </c>
      <c r="E836" s="11">
        <f>14.1337 * CHOOSE(CONTROL!$C$32, $C$9, 100%, $E$9)</f>
        <v>14.133699999999999</v>
      </c>
      <c r="F836" s="11">
        <f>14.1337 * CHOOSE(CONTROL!$C$32, $C$9, 100%, $E$9)</f>
        <v>14.133699999999999</v>
      </c>
      <c r="G836" s="11">
        <f>14.1379 * CHOOSE(CONTROL!$C$32, $C$9, 100%, $E$9)</f>
        <v>14.1379</v>
      </c>
      <c r="H836" s="11">
        <f>28.9238 * CHOOSE(CONTROL!$C$32, $C$9, 100%, $E$9)</f>
        <v>28.9238</v>
      </c>
      <c r="I836" s="11">
        <f>28.928 * CHOOSE(CONTROL!$C$32, $C$9, 100%, $E$9)</f>
        <v>28.928000000000001</v>
      </c>
      <c r="J836" s="11">
        <f>28.9238 * CHOOSE(CONTROL!$C$32, $C$9, 100%, $E$9)</f>
        <v>28.9238</v>
      </c>
      <c r="K836" s="11">
        <f>28.928 * CHOOSE(CONTROL!$C$32, $C$9, 100%, $E$9)</f>
        <v>28.928000000000001</v>
      </c>
      <c r="L836" s="11">
        <f>14.1337 * CHOOSE(CONTROL!$C$32, $C$9, 100%, $E$9)</f>
        <v>14.133699999999999</v>
      </c>
      <c r="M836" s="11">
        <f>14.1379 * CHOOSE(CONTROL!$C$32, $C$9, 100%, $E$9)</f>
        <v>14.1379</v>
      </c>
      <c r="N836" s="11">
        <f>14.1337 * CHOOSE(CONTROL!$C$32, $C$9, 100%, $E$9)</f>
        <v>14.133699999999999</v>
      </c>
      <c r="O836" s="11">
        <f>14.1379 * CHOOSE(CONTROL!$C$32, $C$9, 100%, $E$9)</f>
        <v>14.1379</v>
      </c>
    </row>
    <row r="837" spans="1:15" ht="15" x14ac:dyDescent="0.2">
      <c r="A837" s="13">
        <v>66324</v>
      </c>
      <c r="B837" s="9">
        <f>12.3528 * CHOOSE(CONTROL!$C$32, $C$9, 100%, $E$9)</f>
        <v>12.3528</v>
      </c>
      <c r="C837" s="9">
        <f>12.3528 * CHOOSE(CONTROL!$C$32, $C$9, 100%, $E$9)</f>
        <v>12.3528</v>
      </c>
      <c r="D837" s="9">
        <f>12.354 * CHOOSE(CONTROL!$C$32, $C$9, 100%, $E$9)</f>
        <v>12.353999999999999</v>
      </c>
      <c r="E837" s="11">
        <f>13.7889 * CHOOSE(CONTROL!$C$32, $C$9, 100%, $E$9)</f>
        <v>13.7889</v>
      </c>
      <c r="F837" s="11">
        <f>13.7889 * CHOOSE(CONTROL!$C$32, $C$9, 100%, $E$9)</f>
        <v>13.7889</v>
      </c>
      <c r="G837" s="11">
        <f>13.7931 * CHOOSE(CONTROL!$C$32, $C$9, 100%, $E$9)</f>
        <v>13.793100000000001</v>
      </c>
      <c r="H837" s="11">
        <f>28.984 * CHOOSE(CONTROL!$C$32, $C$9, 100%, $E$9)</f>
        <v>28.984000000000002</v>
      </c>
      <c r="I837" s="11">
        <f>28.9882 * CHOOSE(CONTROL!$C$32, $C$9, 100%, $E$9)</f>
        <v>28.988199999999999</v>
      </c>
      <c r="J837" s="11">
        <f>28.984 * CHOOSE(CONTROL!$C$32, $C$9, 100%, $E$9)</f>
        <v>28.984000000000002</v>
      </c>
      <c r="K837" s="11">
        <f>28.9882 * CHOOSE(CONTROL!$C$32, $C$9, 100%, $E$9)</f>
        <v>28.988199999999999</v>
      </c>
      <c r="L837" s="11">
        <f>13.7889 * CHOOSE(CONTROL!$C$32, $C$9, 100%, $E$9)</f>
        <v>13.7889</v>
      </c>
      <c r="M837" s="11">
        <f>13.7931 * CHOOSE(CONTROL!$C$32, $C$9, 100%, $E$9)</f>
        <v>13.793100000000001</v>
      </c>
      <c r="N837" s="11">
        <f>13.7889 * CHOOSE(CONTROL!$C$32, $C$9, 100%, $E$9)</f>
        <v>13.7889</v>
      </c>
      <c r="O837" s="11">
        <f>13.7931 * CHOOSE(CONTROL!$C$32, $C$9, 100%, $E$9)</f>
        <v>13.793100000000001</v>
      </c>
    </row>
    <row r="838" spans="1:15" ht="15" x14ac:dyDescent="0.2">
      <c r="A838" s="13">
        <v>66355</v>
      </c>
      <c r="B838" s="9">
        <f>12.3497 * CHOOSE(CONTROL!$C$32, $C$9, 100%, $E$9)</f>
        <v>12.3497</v>
      </c>
      <c r="C838" s="9">
        <f>12.3497 * CHOOSE(CONTROL!$C$32, $C$9, 100%, $E$9)</f>
        <v>12.3497</v>
      </c>
      <c r="D838" s="9">
        <f>12.351 * CHOOSE(CONTROL!$C$32, $C$9, 100%, $E$9)</f>
        <v>12.351000000000001</v>
      </c>
      <c r="E838" s="11">
        <f>13.748 * CHOOSE(CONTROL!$C$32, $C$9, 100%, $E$9)</f>
        <v>13.747999999999999</v>
      </c>
      <c r="F838" s="11">
        <f>13.748 * CHOOSE(CONTROL!$C$32, $C$9, 100%, $E$9)</f>
        <v>13.747999999999999</v>
      </c>
      <c r="G838" s="11">
        <f>13.7522 * CHOOSE(CONTROL!$C$32, $C$9, 100%, $E$9)</f>
        <v>13.7522</v>
      </c>
      <c r="H838" s="11">
        <f>29.0444 * CHOOSE(CONTROL!$C$32, $C$9, 100%, $E$9)</f>
        <v>29.0444</v>
      </c>
      <c r="I838" s="11">
        <f>29.0486 * CHOOSE(CONTROL!$C$32, $C$9, 100%, $E$9)</f>
        <v>29.0486</v>
      </c>
      <c r="J838" s="11">
        <f>29.0444 * CHOOSE(CONTROL!$C$32, $C$9, 100%, $E$9)</f>
        <v>29.0444</v>
      </c>
      <c r="K838" s="11">
        <f>29.0486 * CHOOSE(CONTROL!$C$32, $C$9, 100%, $E$9)</f>
        <v>29.0486</v>
      </c>
      <c r="L838" s="11">
        <f>13.748 * CHOOSE(CONTROL!$C$32, $C$9, 100%, $E$9)</f>
        <v>13.747999999999999</v>
      </c>
      <c r="M838" s="11">
        <f>13.7522 * CHOOSE(CONTROL!$C$32, $C$9, 100%, $E$9)</f>
        <v>13.7522</v>
      </c>
      <c r="N838" s="11">
        <f>13.748 * CHOOSE(CONTROL!$C$32, $C$9, 100%, $E$9)</f>
        <v>13.747999999999999</v>
      </c>
      <c r="O838" s="11">
        <f>13.7522 * CHOOSE(CONTROL!$C$32, $C$9, 100%, $E$9)</f>
        <v>13.7522</v>
      </c>
    </row>
    <row r="839" spans="1:15" ht="15" x14ac:dyDescent="0.2">
      <c r="A839" s="13">
        <v>66385</v>
      </c>
      <c r="B839" s="9">
        <f>12.376 * CHOOSE(CONTROL!$C$32, $C$9, 100%, $E$9)</f>
        <v>12.375999999999999</v>
      </c>
      <c r="C839" s="9">
        <f>12.376 * CHOOSE(CONTROL!$C$32, $C$9, 100%, $E$9)</f>
        <v>12.375999999999999</v>
      </c>
      <c r="D839" s="9">
        <f>12.377 * CHOOSE(CONTROL!$C$32, $C$9, 100%, $E$9)</f>
        <v>12.377000000000001</v>
      </c>
      <c r="E839" s="11">
        <f>13.8899 * CHOOSE(CONTROL!$C$32, $C$9, 100%, $E$9)</f>
        <v>13.889900000000001</v>
      </c>
      <c r="F839" s="11">
        <f>13.8899 * CHOOSE(CONTROL!$C$32, $C$9, 100%, $E$9)</f>
        <v>13.889900000000001</v>
      </c>
      <c r="G839" s="11">
        <f>13.8931 * CHOOSE(CONTROL!$C$32, $C$9, 100%, $E$9)</f>
        <v>13.8931</v>
      </c>
      <c r="H839" s="11">
        <f>29.1049 * CHOOSE(CONTROL!$C$32, $C$9, 100%, $E$9)</f>
        <v>29.104900000000001</v>
      </c>
      <c r="I839" s="11">
        <f>29.1081 * CHOOSE(CONTROL!$C$32, $C$9, 100%, $E$9)</f>
        <v>29.1081</v>
      </c>
      <c r="J839" s="11">
        <f>29.1049 * CHOOSE(CONTROL!$C$32, $C$9, 100%, $E$9)</f>
        <v>29.104900000000001</v>
      </c>
      <c r="K839" s="11">
        <f>29.1081 * CHOOSE(CONTROL!$C$32, $C$9, 100%, $E$9)</f>
        <v>29.1081</v>
      </c>
      <c r="L839" s="11">
        <f>13.8899 * CHOOSE(CONTROL!$C$32, $C$9, 100%, $E$9)</f>
        <v>13.889900000000001</v>
      </c>
      <c r="M839" s="11">
        <f>13.8931 * CHOOSE(CONTROL!$C$32, $C$9, 100%, $E$9)</f>
        <v>13.8931</v>
      </c>
      <c r="N839" s="11">
        <f>13.8899 * CHOOSE(CONTROL!$C$32, $C$9, 100%, $E$9)</f>
        <v>13.889900000000001</v>
      </c>
      <c r="O839" s="11">
        <f>13.8931 * CHOOSE(CONTROL!$C$32, $C$9, 100%, $E$9)</f>
        <v>13.8931</v>
      </c>
    </row>
    <row r="840" spans="1:15" ht="15" x14ac:dyDescent="0.2">
      <c r="A840" s="13">
        <v>66416</v>
      </c>
      <c r="B840" s="9">
        <f>12.379 * CHOOSE(CONTROL!$C$32, $C$9, 100%, $E$9)</f>
        <v>12.379</v>
      </c>
      <c r="C840" s="9">
        <f>12.379 * CHOOSE(CONTROL!$C$32, $C$9, 100%, $E$9)</f>
        <v>12.379</v>
      </c>
      <c r="D840" s="9">
        <f>12.38 * CHOOSE(CONTROL!$C$32, $C$9, 100%, $E$9)</f>
        <v>12.38</v>
      </c>
      <c r="E840" s="11">
        <f>13.9696 * CHOOSE(CONTROL!$C$32, $C$9, 100%, $E$9)</f>
        <v>13.9696</v>
      </c>
      <c r="F840" s="11">
        <f>13.9696 * CHOOSE(CONTROL!$C$32, $C$9, 100%, $E$9)</f>
        <v>13.9696</v>
      </c>
      <c r="G840" s="11">
        <f>13.9728 * CHOOSE(CONTROL!$C$32, $C$9, 100%, $E$9)</f>
        <v>13.972799999999999</v>
      </c>
      <c r="H840" s="11">
        <f>29.1655 * CHOOSE(CONTROL!$C$32, $C$9, 100%, $E$9)</f>
        <v>29.165500000000002</v>
      </c>
      <c r="I840" s="11">
        <f>29.1688 * CHOOSE(CONTROL!$C$32, $C$9, 100%, $E$9)</f>
        <v>29.168800000000001</v>
      </c>
      <c r="J840" s="11">
        <f>29.1655 * CHOOSE(CONTROL!$C$32, $C$9, 100%, $E$9)</f>
        <v>29.165500000000002</v>
      </c>
      <c r="K840" s="11">
        <f>29.1688 * CHOOSE(CONTROL!$C$32, $C$9, 100%, $E$9)</f>
        <v>29.168800000000001</v>
      </c>
      <c r="L840" s="11">
        <f>13.9696 * CHOOSE(CONTROL!$C$32, $C$9, 100%, $E$9)</f>
        <v>13.9696</v>
      </c>
      <c r="M840" s="11">
        <f>13.9728 * CHOOSE(CONTROL!$C$32, $C$9, 100%, $E$9)</f>
        <v>13.972799999999999</v>
      </c>
      <c r="N840" s="11">
        <f>13.9696 * CHOOSE(CONTROL!$C$32, $C$9, 100%, $E$9)</f>
        <v>13.9696</v>
      </c>
      <c r="O840" s="11">
        <f>13.9728 * CHOOSE(CONTROL!$C$32, $C$9, 100%, $E$9)</f>
        <v>13.972799999999999</v>
      </c>
    </row>
    <row r="841" spans="1:15" ht="15" x14ac:dyDescent="0.2">
      <c r="A841" s="13">
        <v>66446</v>
      </c>
      <c r="B841" s="9">
        <f>12.379 * CHOOSE(CONTROL!$C$32, $C$9, 100%, $E$9)</f>
        <v>12.379</v>
      </c>
      <c r="C841" s="9">
        <f>12.379 * CHOOSE(CONTROL!$C$32, $C$9, 100%, $E$9)</f>
        <v>12.379</v>
      </c>
      <c r="D841" s="9">
        <f>12.38 * CHOOSE(CONTROL!$C$32, $C$9, 100%, $E$9)</f>
        <v>12.38</v>
      </c>
      <c r="E841" s="11">
        <f>13.7755 * CHOOSE(CONTROL!$C$32, $C$9, 100%, $E$9)</f>
        <v>13.775499999999999</v>
      </c>
      <c r="F841" s="11">
        <f>13.7755 * CHOOSE(CONTROL!$C$32, $C$9, 100%, $E$9)</f>
        <v>13.775499999999999</v>
      </c>
      <c r="G841" s="11">
        <f>13.7787 * CHOOSE(CONTROL!$C$32, $C$9, 100%, $E$9)</f>
        <v>13.778700000000001</v>
      </c>
      <c r="H841" s="11">
        <f>29.2263 * CHOOSE(CONTROL!$C$32, $C$9, 100%, $E$9)</f>
        <v>29.226299999999998</v>
      </c>
      <c r="I841" s="11">
        <f>29.2295 * CHOOSE(CONTROL!$C$32, $C$9, 100%, $E$9)</f>
        <v>29.229500000000002</v>
      </c>
      <c r="J841" s="11">
        <f>29.2263 * CHOOSE(CONTROL!$C$32, $C$9, 100%, $E$9)</f>
        <v>29.226299999999998</v>
      </c>
      <c r="K841" s="11">
        <f>29.2295 * CHOOSE(CONTROL!$C$32, $C$9, 100%, $E$9)</f>
        <v>29.229500000000002</v>
      </c>
      <c r="L841" s="11">
        <f>13.7755 * CHOOSE(CONTROL!$C$32, $C$9, 100%, $E$9)</f>
        <v>13.775499999999999</v>
      </c>
      <c r="M841" s="11">
        <f>13.7787 * CHOOSE(CONTROL!$C$32, $C$9, 100%, $E$9)</f>
        <v>13.778700000000001</v>
      </c>
      <c r="N841" s="11">
        <f>13.7755 * CHOOSE(CONTROL!$C$32, $C$9, 100%, $E$9)</f>
        <v>13.775499999999999</v>
      </c>
      <c r="O841" s="11">
        <f>13.7787 * CHOOSE(CONTROL!$C$32, $C$9, 100%, $E$9)</f>
        <v>13.778700000000001</v>
      </c>
    </row>
    <row r="842" spans="1:15" ht="15" x14ac:dyDescent="0.2">
      <c r="A842" s="13">
        <v>66477</v>
      </c>
      <c r="B842" s="9">
        <f>12.3794 * CHOOSE(CONTROL!$C$32, $C$9, 100%, $E$9)</f>
        <v>12.3794</v>
      </c>
      <c r="C842" s="9">
        <f>12.3794 * CHOOSE(CONTROL!$C$32, $C$9, 100%, $E$9)</f>
        <v>12.3794</v>
      </c>
      <c r="D842" s="9">
        <f>12.3803 * CHOOSE(CONTROL!$C$32, $C$9, 100%, $E$9)</f>
        <v>12.3803</v>
      </c>
      <c r="E842" s="11">
        <f>13.9206 * CHOOSE(CONTROL!$C$32, $C$9, 100%, $E$9)</f>
        <v>13.9206</v>
      </c>
      <c r="F842" s="11">
        <f>13.9206 * CHOOSE(CONTROL!$C$32, $C$9, 100%, $E$9)</f>
        <v>13.9206</v>
      </c>
      <c r="G842" s="11">
        <f>13.9238 * CHOOSE(CONTROL!$C$32, $C$9, 100%, $E$9)</f>
        <v>13.9238</v>
      </c>
      <c r="H842" s="11">
        <f>29.0366 * CHOOSE(CONTROL!$C$32, $C$9, 100%, $E$9)</f>
        <v>29.0366</v>
      </c>
      <c r="I842" s="11">
        <f>29.0399 * CHOOSE(CONTROL!$C$32, $C$9, 100%, $E$9)</f>
        <v>29.039899999999999</v>
      </c>
      <c r="J842" s="11">
        <f>29.0366 * CHOOSE(CONTROL!$C$32, $C$9, 100%, $E$9)</f>
        <v>29.0366</v>
      </c>
      <c r="K842" s="11">
        <f>29.0399 * CHOOSE(CONTROL!$C$32, $C$9, 100%, $E$9)</f>
        <v>29.039899999999999</v>
      </c>
      <c r="L842" s="11">
        <f>13.9206 * CHOOSE(CONTROL!$C$32, $C$9, 100%, $E$9)</f>
        <v>13.9206</v>
      </c>
      <c r="M842" s="11">
        <f>13.9238 * CHOOSE(CONTROL!$C$32, $C$9, 100%, $E$9)</f>
        <v>13.9238</v>
      </c>
      <c r="N842" s="11">
        <f>13.9206 * CHOOSE(CONTROL!$C$32, $C$9, 100%, $E$9)</f>
        <v>13.9206</v>
      </c>
      <c r="O842" s="11">
        <f>13.9238 * CHOOSE(CONTROL!$C$32, $C$9, 100%, $E$9)</f>
        <v>13.9238</v>
      </c>
    </row>
    <row r="843" spans="1:15" ht="15" x14ac:dyDescent="0.2">
      <c r="A843" s="13">
        <v>66508</v>
      </c>
      <c r="B843" s="9">
        <f>12.3763 * CHOOSE(CONTROL!$C$32, $C$9, 100%, $E$9)</f>
        <v>12.376300000000001</v>
      </c>
      <c r="C843" s="9">
        <f>12.3763 * CHOOSE(CONTROL!$C$32, $C$9, 100%, $E$9)</f>
        <v>12.376300000000001</v>
      </c>
      <c r="D843" s="9">
        <f>12.3773 * CHOOSE(CONTROL!$C$32, $C$9, 100%, $E$9)</f>
        <v>12.3773</v>
      </c>
      <c r="E843" s="11">
        <f>13.5445 * CHOOSE(CONTROL!$C$32, $C$9, 100%, $E$9)</f>
        <v>13.544499999999999</v>
      </c>
      <c r="F843" s="11">
        <f>13.5445 * CHOOSE(CONTROL!$C$32, $C$9, 100%, $E$9)</f>
        <v>13.544499999999999</v>
      </c>
      <c r="G843" s="11">
        <f>13.5477 * CHOOSE(CONTROL!$C$32, $C$9, 100%, $E$9)</f>
        <v>13.547700000000001</v>
      </c>
      <c r="H843" s="11">
        <f>29.0971 * CHOOSE(CONTROL!$C$32, $C$9, 100%, $E$9)</f>
        <v>29.097100000000001</v>
      </c>
      <c r="I843" s="11">
        <f>29.1004 * CHOOSE(CONTROL!$C$32, $C$9, 100%, $E$9)</f>
        <v>29.1004</v>
      </c>
      <c r="J843" s="11">
        <f>29.0971 * CHOOSE(CONTROL!$C$32, $C$9, 100%, $E$9)</f>
        <v>29.097100000000001</v>
      </c>
      <c r="K843" s="11">
        <f>29.1004 * CHOOSE(CONTROL!$C$32, $C$9, 100%, $E$9)</f>
        <v>29.1004</v>
      </c>
      <c r="L843" s="11">
        <f>13.5445 * CHOOSE(CONTROL!$C$32, $C$9, 100%, $E$9)</f>
        <v>13.544499999999999</v>
      </c>
      <c r="M843" s="11">
        <f>13.5477 * CHOOSE(CONTROL!$C$32, $C$9, 100%, $E$9)</f>
        <v>13.547700000000001</v>
      </c>
      <c r="N843" s="11">
        <f>13.5445 * CHOOSE(CONTROL!$C$32, $C$9, 100%, $E$9)</f>
        <v>13.544499999999999</v>
      </c>
      <c r="O843" s="11">
        <f>13.5477 * CHOOSE(CONTROL!$C$32, $C$9, 100%, $E$9)</f>
        <v>13.547700000000001</v>
      </c>
    </row>
    <row r="844" spans="1:15" ht="15" x14ac:dyDescent="0.2">
      <c r="A844" s="13">
        <v>66536</v>
      </c>
      <c r="B844" s="9">
        <f>12.3733 * CHOOSE(CONTROL!$C$32, $C$9, 100%, $E$9)</f>
        <v>12.3733</v>
      </c>
      <c r="C844" s="9">
        <f>12.3733 * CHOOSE(CONTROL!$C$32, $C$9, 100%, $E$9)</f>
        <v>12.3733</v>
      </c>
      <c r="D844" s="9">
        <f>12.3742 * CHOOSE(CONTROL!$C$32, $C$9, 100%, $E$9)</f>
        <v>12.3742</v>
      </c>
      <c r="E844" s="11">
        <f>13.8372 * CHOOSE(CONTROL!$C$32, $C$9, 100%, $E$9)</f>
        <v>13.837199999999999</v>
      </c>
      <c r="F844" s="11">
        <f>13.8372 * CHOOSE(CONTROL!$C$32, $C$9, 100%, $E$9)</f>
        <v>13.837199999999999</v>
      </c>
      <c r="G844" s="11">
        <f>13.8404 * CHOOSE(CONTROL!$C$32, $C$9, 100%, $E$9)</f>
        <v>13.840400000000001</v>
      </c>
      <c r="H844" s="11">
        <f>29.1577 * CHOOSE(CONTROL!$C$32, $C$9, 100%, $E$9)</f>
        <v>29.157699999999998</v>
      </c>
      <c r="I844" s="11">
        <f>29.161 * CHOOSE(CONTROL!$C$32, $C$9, 100%, $E$9)</f>
        <v>29.161000000000001</v>
      </c>
      <c r="J844" s="11">
        <f>29.1577 * CHOOSE(CONTROL!$C$32, $C$9, 100%, $E$9)</f>
        <v>29.157699999999998</v>
      </c>
      <c r="K844" s="11">
        <f>29.161 * CHOOSE(CONTROL!$C$32, $C$9, 100%, $E$9)</f>
        <v>29.161000000000001</v>
      </c>
      <c r="L844" s="11">
        <f>13.8372 * CHOOSE(CONTROL!$C$32, $C$9, 100%, $E$9)</f>
        <v>13.837199999999999</v>
      </c>
      <c r="M844" s="11">
        <f>13.8404 * CHOOSE(CONTROL!$C$32, $C$9, 100%, $E$9)</f>
        <v>13.840400000000001</v>
      </c>
      <c r="N844" s="11">
        <f>13.8372 * CHOOSE(CONTROL!$C$32, $C$9, 100%, $E$9)</f>
        <v>13.837199999999999</v>
      </c>
      <c r="O844" s="11">
        <f>13.8404 * CHOOSE(CONTROL!$C$32, $C$9, 100%, $E$9)</f>
        <v>13.840400000000001</v>
      </c>
    </row>
    <row r="845" spans="1:15" ht="15" x14ac:dyDescent="0.2">
      <c r="A845" s="13">
        <v>66567</v>
      </c>
      <c r="B845" s="9">
        <f>12.3791 * CHOOSE(CONTROL!$C$32, $C$9, 100%, $E$9)</f>
        <v>12.379099999999999</v>
      </c>
      <c r="C845" s="9">
        <f>12.3791 * CHOOSE(CONTROL!$C$32, $C$9, 100%, $E$9)</f>
        <v>12.379099999999999</v>
      </c>
      <c r="D845" s="9">
        <f>12.38 * CHOOSE(CONTROL!$C$32, $C$9, 100%, $E$9)</f>
        <v>12.38</v>
      </c>
      <c r="E845" s="11">
        <f>14.1495 * CHOOSE(CONTROL!$C$32, $C$9, 100%, $E$9)</f>
        <v>14.1495</v>
      </c>
      <c r="F845" s="11">
        <f>14.1495 * CHOOSE(CONTROL!$C$32, $C$9, 100%, $E$9)</f>
        <v>14.1495</v>
      </c>
      <c r="G845" s="11">
        <f>14.1528 * CHOOSE(CONTROL!$C$32, $C$9, 100%, $E$9)</f>
        <v>14.152799999999999</v>
      </c>
      <c r="H845" s="11">
        <f>29.2185 * CHOOSE(CONTROL!$C$32, $C$9, 100%, $E$9)</f>
        <v>29.218499999999999</v>
      </c>
      <c r="I845" s="11">
        <f>29.2217 * CHOOSE(CONTROL!$C$32, $C$9, 100%, $E$9)</f>
        <v>29.221699999999998</v>
      </c>
      <c r="J845" s="11">
        <f>29.2185 * CHOOSE(CONTROL!$C$32, $C$9, 100%, $E$9)</f>
        <v>29.218499999999999</v>
      </c>
      <c r="K845" s="11">
        <f>29.2217 * CHOOSE(CONTROL!$C$32, $C$9, 100%, $E$9)</f>
        <v>29.221699999999998</v>
      </c>
      <c r="L845" s="11">
        <f>14.1495 * CHOOSE(CONTROL!$C$32, $C$9, 100%, $E$9)</f>
        <v>14.1495</v>
      </c>
      <c r="M845" s="11">
        <f>14.1528 * CHOOSE(CONTROL!$C$32, $C$9, 100%, $E$9)</f>
        <v>14.152799999999999</v>
      </c>
      <c r="N845" s="11">
        <f>14.1495 * CHOOSE(CONTROL!$C$32, $C$9, 100%, $E$9)</f>
        <v>14.1495</v>
      </c>
      <c r="O845" s="11">
        <f>14.1528 * CHOOSE(CONTROL!$C$32, $C$9, 100%, $E$9)</f>
        <v>14.152799999999999</v>
      </c>
    </row>
    <row r="846" spans="1:15" ht="15" x14ac:dyDescent="0.2">
      <c r="A846" s="13">
        <v>66597</v>
      </c>
      <c r="B846" s="9">
        <f>12.3791 * CHOOSE(CONTROL!$C$32, $C$9, 100%, $E$9)</f>
        <v>12.379099999999999</v>
      </c>
      <c r="C846" s="9">
        <f>12.3791 * CHOOSE(CONTROL!$C$32, $C$9, 100%, $E$9)</f>
        <v>12.379099999999999</v>
      </c>
      <c r="D846" s="9">
        <f>12.3803 * CHOOSE(CONTROL!$C$32, $C$9, 100%, $E$9)</f>
        <v>12.3803</v>
      </c>
      <c r="E846" s="11">
        <f>14.2683 * CHOOSE(CONTROL!$C$32, $C$9, 100%, $E$9)</f>
        <v>14.2683</v>
      </c>
      <c r="F846" s="11">
        <f>14.2683 * CHOOSE(CONTROL!$C$32, $C$9, 100%, $E$9)</f>
        <v>14.2683</v>
      </c>
      <c r="G846" s="11">
        <f>14.2725 * CHOOSE(CONTROL!$C$32, $C$9, 100%, $E$9)</f>
        <v>14.272500000000001</v>
      </c>
      <c r="H846" s="11">
        <f>29.2794 * CHOOSE(CONTROL!$C$32, $C$9, 100%, $E$9)</f>
        <v>29.279399999999999</v>
      </c>
      <c r="I846" s="11">
        <f>29.2836 * CHOOSE(CONTROL!$C$32, $C$9, 100%, $E$9)</f>
        <v>29.2836</v>
      </c>
      <c r="J846" s="11">
        <f>29.2794 * CHOOSE(CONTROL!$C$32, $C$9, 100%, $E$9)</f>
        <v>29.279399999999999</v>
      </c>
      <c r="K846" s="11">
        <f>29.2836 * CHOOSE(CONTROL!$C$32, $C$9, 100%, $E$9)</f>
        <v>29.2836</v>
      </c>
      <c r="L846" s="11">
        <f>14.2683 * CHOOSE(CONTROL!$C$32, $C$9, 100%, $E$9)</f>
        <v>14.2683</v>
      </c>
      <c r="M846" s="11">
        <f>14.2725 * CHOOSE(CONTROL!$C$32, $C$9, 100%, $E$9)</f>
        <v>14.272500000000001</v>
      </c>
      <c r="N846" s="11">
        <f>14.2683 * CHOOSE(CONTROL!$C$32, $C$9, 100%, $E$9)</f>
        <v>14.2683</v>
      </c>
      <c r="O846" s="11">
        <f>14.2725 * CHOOSE(CONTROL!$C$32, $C$9, 100%, $E$9)</f>
        <v>14.272500000000001</v>
      </c>
    </row>
    <row r="847" spans="1:15" ht="15" x14ac:dyDescent="0.2">
      <c r="A847" s="13">
        <v>66628</v>
      </c>
      <c r="B847" s="9">
        <f>12.3851 * CHOOSE(CONTROL!$C$32, $C$9, 100%, $E$9)</f>
        <v>12.3851</v>
      </c>
      <c r="C847" s="9">
        <f>12.3851 * CHOOSE(CONTROL!$C$32, $C$9, 100%, $E$9)</f>
        <v>12.3851</v>
      </c>
      <c r="D847" s="9">
        <f>12.3864 * CHOOSE(CONTROL!$C$32, $C$9, 100%, $E$9)</f>
        <v>12.3864</v>
      </c>
      <c r="E847" s="11">
        <f>14.1538 * CHOOSE(CONTROL!$C$32, $C$9, 100%, $E$9)</f>
        <v>14.1538</v>
      </c>
      <c r="F847" s="11">
        <f>14.1538 * CHOOSE(CONTROL!$C$32, $C$9, 100%, $E$9)</f>
        <v>14.1538</v>
      </c>
      <c r="G847" s="11">
        <f>14.158 * CHOOSE(CONTROL!$C$32, $C$9, 100%, $E$9)</f>
        <v>14.157999999999999</v>
      </c>
      <c r="H847" s="11">
        <f>29.3404 * CHOOSE(CONTROL!$C$32, $C$9, 100%, $E$9)</f>
        <v>29.340399999999999</v>
      </c>
      <c r="I847" s="11">
        <f>29.3446 * CHOOSE(CONTROL!$C$32, $C$9, 100%, $E$9)</f>
        <v>29.3446</v>
      </c>
      <c r="J847" s="11">
        <f>29.3404 * CHOOSE(CONTROL!$C$32, $C$9, 100%, $E$9)</f>
        <v>29.340399999999999</v>
      </c>
      <c r="K847" s="11">
        <f>29.3446 * CHOOSE(CONTROL!$C$32, $C$9, 100%, $E$9)</f>
        <v>29.3446</v>
      </c>
      <c r="L847" s="11">
        <f>14.1538 * CHOOSE(CONTROL!$C$32, $C$9, 100%, $E$9)</f>
        <v>14.1538</v>
      </c>
      <c r="M847" s="11">
        <f>14.158 * CHOOSE(CONTROL!$C$32, $C$9, 100%, $E$9)</f>
        <v>14.157999999999999</v>
      </c>
      <c r="N847" s="11">
        <f>14.1538 * CHOOSE(CONTROL!$C$32, $C$9, 100%, $E$9)</f>
        <v>14.1538</v>
      </c>
      <c r="O847" s="11">
        <f>14.158 * CHOOSE(CONTROL!$C$32, $C$9, 100%, $E$9)</f>
        <v>14.157999999999999</v>
      </c>
    </row>
    <row r="848" spans="1:15" ht="15" x14ac:dyDescent="0.2">
      <c r="A848" s="13">
        <v>66658</v>
      </c>
      <c r="B848" s="9">
        <f>12.5357 * CHOOSE(CONTROL!$C$32, $C$9, 100%, $E$9)</f>
        <v>12.5357</v>
      </c>
      <c r="C848" s="9">
        <f>12.5357 * CHOOSE(CONTROL!$C$32, $C$9, 100%, $E$9)</f>
        <v>12.5357</v>
      </c>
      <c r="D848" s="9">
        <f>12.5369 * CHOOSE(CONTROL!$C$32, $C$9, 100%, $E$9)</f>
        <v>12.536899999999999</v>
      </c>
      <c r="E848" s="11">
        <f>14.3539 * CHOOSE(CONTROL!$C$32, $C$9, 100%, $E$9)</f>
        <v>14.353899999999999</v>
      </c>
      <c r="F848" s="11">
        <f>14.3539 * CHOOSE(CONTROL!$C$32, $C$9, 100%, $E$9)</f>
        <v>14.353899999999999</v>
      </c>
      <c r="G848" s="11">
        <f>14.3581 * CHOOSE(CONTROL!$C$32, $C$9, 100%, $E$9)</f>
        <v>14.3581</v>
      </c>
      <c r="H848" s="11">
        <f>29.4015 * CHOOSE(CONTROL!$C$32, $C$9, 100%, $E$9)</f>
        <v>29.401499999999999</v>
      </c>
      <c r="I848" s="11">
        <f>29.4057 * CHOOSE(CONTROL!$C$32, $C$9, 100%, $E$9)</f>
        <v>29.4057</v>
      </c>
      <c r="J848" s="11">
        <f>29.4015 * CHOOSE(CONTROL!$C$32, $C$9, 100%, $E$9)</f>
        <v>29.401499999999999</v>
      </c>
      <c r="K848" s="11">
        <f>29.4057 * CHOOSE(CONTROL!$C$32, $C$9, 100%, $E$9)</f>
        <v>29.4057</v>
      </c>
      <c r="L848" s="11">
        <f>14.3539 * CHOOSE(CONTROL!$C$32, $C$9, 100%, $E$9)</f>
        <v>14.353899999999999</v>
      </c>
      <c r="M848" s="11">
        <f>14.3581 * CHOOSE(CONTROL!$C$32, $C$9, 100%, $E$9)</f>
        <v>14.3581</v>
      </c>
      <c r="N848" s="11">
        <f>14.3539 * CHOOSE(CONTROL!$C$32, $C$9, 100%, $E$9)</f>
        <v>14.353899999999999</v>
      </c>
      <c r="O848" s="11">
        <f>14.3581 * CHOOSE(CONTROL!$C$32, $C$9, 100%, $E$9)</f>
        <v>14.3581</v>
      </c>
    </row>
    <row r="849" spans="1:15" ht="15" x14ac:dyDescent="0.2">
      <c r="A849" s="13">
        <v>66689</v>
      </c>
      <c r="B849" s="9">
        <f>12.5424 * CHOOSE(CONTROL!$C$32, $C$9, 100%, $E$9)</f>
        <v>12.542400000000001</v>
      </c>
      <c r="C849" s="9">
        <f>12.5424 * CHOOSE(CONTROL!$C$32, $C$9, 100%, $E$9)</f>
        <v>12.542400000000001</v>
      </c>
      <c r="D849" s="9">
        <f>12.5436 * CHOOSE(CONTROL!$C$32, $C$9, 100%, $E$9)</f>
        <v>12.5436</v>
      </c>
      <c r="E849" s="11">
        <f>14.0024 * CHOOSE(CONTROL!$C$32, $C$9, 100%, $E$9)</f>
        <v>14.0024</v>
      </c>
      <c r="F849" s="11">
        <f>14.0024 * CHOOSE(CONTROL!$C$32, $C$9, 100%, $E$9)</f>
        <v>14.0024</v>
      </c>
      <c r="G849" s="11">
        <f>14.0066 * CHOOSE(CONTROL!$C$32, $C$9, 100%, $E$9)</f>
        <v>14.006600000000001</v>
      </c>
      <c r="H849" s="11">
        <f>29.4627 * CHOOSE(CONTROL!$C$32, $C$9, 100%, $E$9)</f>
        <v>29.462700000000002</v>
      </c>
      <c r="I849" s="11">
        <f>29.4669 * CHOOSE(CONTROL!$C$32, $C$9, 100%, $E$9)</f>
        <v>29.466899999999999</v>
      </c>
      <c r="J849" s="11">
        <f>29.4627 * CHOOSE(CONTROL!$C$32, $C$9, 100%, $E$9)</f>
        <v>29.462700000000002</v>
      </c>
      <c r="K849" s="11">
        <f>29.4669 * CHOOSE(CONTROL!$C$32, $C$9, 100%, $E$9)</f>
        <v>29.466899999999999</v>
      </c>
      <c r="L849" s="11">
        <f>14.0024 * CHOOSE(CONTROL!$C$32, $C$9, 100%, $E$9)</f>
        <v>14.0024</v>
      </c>
      <c r="M849" s="11">
        <f>14.0066 * CHOOSE(CONTROL!$C$32, $C$9, 100%, $E$9)</f>
        <v>14.006600000000001</v>
      </c>
      <c r="N849" s="11">
        <f>14.0024 * CHOOSE(CONTROL!$C$32, $C$9, 100%, $E$9)</f>
        <v>14.0024</v>
      </c>
      <c r="O849" s="11">
        <f>14.0066 * CHOOSE(CONTROL!$C$32, $C$9, 100%, $E$9)</f>
        <v>14.006600000000001</v>
      </c>
    </row>
    <row r="850" spans="1:15" ht="15" x14ac:dyDescent="0.2">
      <c r="A850" s="13">
        <v>66720</v>
      </c>
      <c r="B850" s="9">
        <f>12.5393 * CHOOSE(CONTROL!$C$32, $C$9, 100%, $E$9)</f>
        <v>12.539300000000001</v>
      </c>
      <c r="C850" s="9">
        <f>12.5393 * CHOOSE(CONTROL!$C$32, $C$9, 100%, $E$9)</f>
        <v>12.539300000000001</v>
      </c>
      <c r="D850" s="9">
        <f>12.5406 * CHOOSE(CONTROL!$C$32, $C$9, 100%, $E$9)</f>
        <v>12.5406</v>
      </c>
      <c r="E850" s="11">
        <f>13.9607 * CHOOSE(CONTROL!$C$32, $C$9, 100%, $E$9)</f>
        <v>13.960699999999999</v>
      </c>
      <c r="F850" s="11">
        <f>13.9607 * CHOOSE(CONTROL!$C$32, $C$9, 100%, $E$9)</f>
        <v>13.960699999999999</v>
      </c>
      <c r="G850" s="11">
        <f>13.9649 * CHOOSE(CONTROL!$C$32, $C$9, 100%, $E$9)</f>
        <v>13.9649</v>
      </c>
      <c r="H850" s="11">
        <f>29.5241 * CHOOSE(CONTROL!$C$32, $C$9, 100%, $E$9)</f>
        <v>29.524100000000001</v>
      </c>
      <c r="I850" s="11">
        <f>29.5283 * CHOOSE(CONTROL!$C$32, $C$9, 100%, $E$9)</f>
        <v>29.528300000000002</v>
      </c>
      <c r="J850" s="11">
        <f>29.5241 * CHOOSE(CONTROL!$C$32, $C$9, 100%, $E$9)</f>
        <v>29.524100000000001</v>
      </c>
      <c r="K850" s="11">
        <f>29.5283 * CHOOSE(CONTROL!$C$32, $C$9, 100%, $E$9)</f>
        <v>29.528300000000002</v>
      </c>
      <c r="L850" s="11">
        <f>13.9607 * CHOOSE(CONTROL!$C$32, $C$9, 100%, $E$9)</f>
        <v>13.960699999999999</v>
      </c>
      <c r="M850" s="11">
        <f>13.9649 * CHOOSE(CONTROL!$C$32, $C$9, 100%, $E$9)</f>
        <v>13.9649</v>
      </c>
      <c r="N850" s="11">
        <f>13.9607 * CHOOSE(CONTROL!$C$32, $C$9, 100%, $E$9)</f>
        <v>13.960699999999999</v>
      </c>
      <c r="O850" s="11">
        <f>13.9649 * CHOOSE(CONTROL!$C$32, $C$9, 100%, $E$9)</f>
        <v>13.9649</v>
      </c>
    </row>
    <row r="851" spans="1:15" ht="15" x14ac:dyDescent="0.2">
      <c r="A851" s="13">
        <v>66750</v>
      </c>
      <c r="B851" s="9">
        <f>12.5663 * CHOOSE(CONTROL!$C$32, $C$9, 100%, $E$9)</f>
        <v>12.5663</v>
      </c>
      <c r="C851" s="9">
        <f>12.5663 * CHOOSE(CONTROL!$C$32, $C$9, 100%, $E$9)</f>
        <v>12.5663</v>
      </c>
      <c r="D851" s="9">
        <f>12.5673 * CHOOSE(CONTROL!$C$32, $C$9, 100%, $E$9)</f>
        <v>12.567299999999999</v>
      </c>
      <c r="E851" s="11">
        <f>14.1055 * CHOOSE(CONTROL!$C$32, $C$9, 100%, $E$9)</f>
        <v>14.105499999999999</v>
      </c>
      <c r="F851" s="11">
        <f>14.1055 * CHOOSE(CONTROL!$C$32, $C$9, 100%, $E$9)</f>
        <v>14.105499999999999</v>
      </c>
      <c r="G851" s="11">
        <f>14.1088 * CHOOSE(CONTROL!$C$32, $C$9, 100%, $E$9)</f>
        <v>14.1088</v>
      </c>
      <c r="H851" s="11">
        <f>29.5856 * CHOOSE(CONTROL!$C$32, $C$9, 100%, $E$9)</f>
        <v>29.585599999999999</v>
      </c>
      <c r="I851" s="11">
        <f>29.5889 * CHOOSE(CONTROL!$C$32, $C$9, 100%, $E$9)</f>
        <v>29.588899999999999</v>
      </c>
      <c r="J851" s="11">
        <f>29.5856 * CHOOSE(CONTROL!$C$32, $C$9, 100%, $E$9)</f>
        <v>29.585599999999999</v>
      </c>
      <c r="K851" s="11">
        <f>29.5889 * CHOOSE(CONTROL!$C$32, $C$9, 100%, $E$9)</f>
        <v>29.588899999999999</v>
      </c>
      <c r="L851" s="11">
        <f>14.1055 * CHOOSE(CONTROL!$C$32, $C$9, 100%, $E$9)</f>
        <v>14.105499999999999</v>
      </c>
      <c r="M851" s="11">
        <f>14.1088 * CHOOSE(CONTROL!$C$32, $C$9, 100%, $E$9)</f>
        <v>14.1088</v>
      </c>
      <c r="N851" s="11">
        <f>14.1055 * CHOOSE(CONTROL!$C$32, $C$9, 100%, $E$9)</f>
        <v>14.105499999999999</v>
      </c>
      <c r="O851" s="11">
        <f>14.1088 * CHOOSE(CONTROL!$C$32, $C$9, 100%, $E$9)</f>
        <v>14.1088</v>
      </c>
    </row>
    <row r="852" spans="1:15" ht="15" x14ac:dyDescent="0.2">
      <c r="A852" s="13">
        <v>66781</v>
      </c>
      <c r="B852" s="9">
        <f>12.5694 * CHOOSE(CONTROL!$C$32, $C$9, 100%, $E$9)</f>
        <v>12.5694</v>
      </c>
      <c r="C852" s="9">
        <f>12.5694 * CHOOSE(CONTROL!$C$32, $C$9, 100%, $E$9)</f>
        <v>12.5694</v>
      </c>
      <c r="D852" s="9">
        <f>12.5703 * CHOOSE(CONTROL!$C$32, $C$9, 100%, $E$9)</f>
        <v>12.5703</v>
      </c>
      <c r="E852" s="11">
        <f>14.1868 * CHOOSE(CONTROL!$C$32, $C$9, 100%, $E$9)</f>
        <v>14.1868</v>
      </c>
      <c r="F852" s="11">
        <f>14.1868 * CHOOSE(CONTROL!$C$32, $C$9, 100%, $E$9)</f>
        <v>14.1868</v>
      </c>
      <c r="G852" s="11">
        <f>14.19 * CHOOSE(CONTROL!$C$32, $C$9, 100%, $E$9)</f>
        <v>14.19</v>
      </c>
      <c r="H852" s="11">
        <f>29.6473 * CHOOSE(CONTROL!$C$32, $C$9, 100%, $E$9)</f>
        <v>29.647300000000001</v>
      </c>
      <c r="I852" s="11">
        <f>29.6505 * CHOOSE(CONTROL!$C$32, $C$9, 100%, $E$9)</f>
        <v>29.650500000000001</v>
      </c>
      <c r="J852" s="11">
        <f>29.6473 * CHOOSE(CONTROL!$C$32, $C$9, 100%, $E$9)</f>
        <v>29.647300000000001</v>
      </c>
      <c r="K852" s="11">
        <f>29.6505 * CHOOSE(CONTROL!$C$32, $C$9, 100%, $E$9)</f>
        <v>29.650500000000001</v>
      </c>
      <c r="L852" s="11">
        <f>14.1868 * CHOOSE(CONTROL!$C$32, $C$9, 100%, $E$9)</f>
        <v>14.1868</v>
      </c>
      <c r="M852" s="11">
        <f>14.19 * CHOOSE(CONTROL!$C$32, $C$9, 100%, $E$9)</f>
        <v>14.19</v>
      </c>
      <c r="N852" s="11">
        <f>14.1868 * CHOOSE(CONTROL!$C$32, $C$9, 100%, $E$9)</f>
        <v>14.1868</v>
      </c>
      <c r="O852" s="11">
        <f>14.19 * CHOOSE(CONTROL!$C$32, $C$9, 100%, $E$9)</f>
        <v>14.19</v>
      </c>
    </row>
    <row r="853" spans="1:15" ht="15" x14ac:dyDescent="0.2">
      <c r="A853" s="13">
        <v>66811</v>
      </c>
      <c r="B853" s="9">
        <f>12.5694 * CHOOSE(CONTROL!$C$32, $C$9, 100%, $E$9)</f>
        <v>12.5694</v>
      </c>
      <c r="C853" s="9">
        <f>12.5694 * CHOOSE(CONTROL!$C$32, $C$9, 100%, $E$9)</f>
        <v>12.5694</v>
      </c>
      <c r="D853" s="9">
        <f>12.5703 * CHOOSE(CONTROL!$C$32, $C$9, 100%, $E$9)</f>
        <v>12.5703</v>
      </c>
      <c r="E853" s="11">
        <f>13.9889 * CHOOSE(CONTROL!$C$32, $C$9, 100%, $E$9)</f>
        <v>13.988899999999999</v>
      </c>
      <c r="F853" s="11">
        <f>13.9889 * CHOOSE(CONTROL!$C$32, $C$9, 100%, $E$9)</f>
        <v>13.988899999999999</v>
      </c>
      <c r="G853" s="11">
        <f>13.9922 * CHOOSE(CONTROL!$C$32, $C$9, 100%, $E$9)</f>
        <v>13.9922</v>
      </c>
      <c r="H853" s="11">
        <f>29.709 * CHOOSE(CONTROL!$C$32, $C$9, 100%, $E$9)</f>
        <v>29.709</v>
      </c>
      <c r="I853" s="11">
        <f>29.7123 * CHOOSE(CONTROL!$C$32, $C$9, 100%, $E$9)</f>
        <v>29.712299999999999</v>
      </c>
      <c r="J853" s="11">
        <f>29.709 * CHOOSE(CONTROL!$C$32, $C$9, 100%, $E$9)</f>
        <v>29.709</v>
      </c>
      <c r="K853" s="11">
        <f>29.7123 * CHOOSE(CONTROL!$C$32, $C$9, 100%, $E$9)</f>
        <v>29.712299999999999</v>
      </c>
      <c r="L853" s="11">
        <f>13.9889 * CHOOSE(CONTROL!$C$32, $C$9, 100%, $E$9)</f>
        <v>13.988899999999999</v>
      </c>
      <c r="M853" s="11">
        <f>13.9922 * CHOOSE(CONTROL!$C$32, $C$9, 100%, $E$9)</f>
        <v>13.9922</v>
      </c>
      <c r="N853" s="11">
        <f>13.9889 * CHOOSE(CONTROL!$C$32, $C$9, 100%, $E$9)</f>
        <v>13.988899999999999</v>
      </c>
      <c r="O853" s="11">
        <f>13.9922 * CHOOSE(CONTROL!$C$32, $C$9, 100%, $E$9)</f>
        <v>13.9922</v>
      </c>
    </row>
    <row r="854" spans="1:15" ht="15" x14ac:dyDescent="0.2">
      <c r="A854" s="13">
        <v>66842</v>
      </c>
      <c r="B854" s="9">
        <f>12.5667 * CHOOSE(CONTROL!$C$32, $C$9, 100%, $E$9)</f>
        <v>12.566700000000001</v>
      </c>
      <c r="C854" s="9">
        <f>12.5667 * CHOOSE(CONTROL!$C$32, $C$9, 100%, $E$9)</f>
        <v>12.566700000000001</v>
      </c>
      <c r="D854" s="9">
        <f>12.5677 * CHOOSE(CONTROL!$C$32, $C$9, 100%, $E$9)</f>
        <v>12.5677</v>
      </c>
      <c r="E854" s="11">
        <f>14.1331 * CHOOSE(CONTROL!$C$32, $C$9, 100%, $E$9)</f>
        <v>14.133100000000001</v>
      </c>
      <c r="F854" s="11">
        <f>14.1331 * CHOOSE(CONTROL!$C$32, $C$9, 100%, $E$9)</f>
        <v>14.133100000000001</v>
      </c>
      <c r="G854" s="11">
        <f>14.1363 * CHOOSE(CONTROL!$C$32, $C$9, 100%, $E$9)</f>
        <v>14.1363</v>
      </c>
      <c r="H854" s="11">
        <f>29.5084 * CHOOSE(CONTROL!$C$32, $C$9, 100%, $E$9)</f>
        <v>29.508400000000002</v>
      </c>
      <c r="I854" s="11">
        <f>29.5117 * CHOOSE(CONTROL!$C$32, $C$9, 100%, $E$9)</f>
        <v>29.511700000000001</v>
      </c>
      <c r="J854" s="11">
        <f>29.5084 * CHOOSE(CONTROL!$C$32, $C$9, 100%, $E$9)</f>
        <v>29.508400000000002</v>
      </c>
      <c r="K854" s="11">
        <f>29.5117 * CHOOSE(CONTROL!$C$32, $C$9, 100%, $E$9)</f>
        <v>29.511700000000001</v>
      </c>
      <c r="L854" s="11">
        <f>14.1331 * CHOOSE(CONTROL!$C$32, $C$9, 100%, $E$9)</f>
        <v>14.133100000000001</v>
      </c>
      <c r="M854" s="11">
        <f>14.1363 * CHOOSE(CONTROL!$C$32, $C$9, 100%, $E$9)</f>
        <v>14.1363</v>
      </c>
      <c r="N854" s="11">
        <f>14.1331 * CHOOSE(CONTROL!$C$32, $C$9, 100%, $E$9)</f>
        <v>14.133100000000001</v>
      </c>
      <c r="O854" s="11">
        <f>14.1363 * CHOOSE(CONTROL!$C$32, $C$9, 100%, $E$9)</f>
        <v>14.1363</v>
      </c>
    </row>
    <row r="855" spans="1:15" ht="15" x14ac:dyDescent="0.2">
      <c r="A855" s="13">
        <v>66873</v>
      </c>
      <c r="B855" s="9">
        <f>12.5637 * CHOOSE(CONTROL!$C$32, $C$9, 100%, $E$9)</f>
        <v>12.563700000000001</v>
      </c>
      <c r="C855" s="9">
        <f>12.5637 * CHOOSE(CONTROL!$C$32, $C$9, 100%, $E$9)</f>
        <v>12.563700000000001</v>
      </c>
      <c r="D855" s="9">
        <f>12.5646 * CHOOSE(CONTROL!$C$32, $C$9, 100%, $E$9)</f>
        <v>12.5646</v>
      </c>
      <c r="E855" s="11">
        <f>13.7499 * CHOOSE(CONTROL!$C$32, $C$9, 100%, $E$9)</f>
        <v>13.7499</v>
      </c>
      <c r="F855" s="11">
        <f>13.7499 * CHOOSE(CONTROL!$C$32, $C$9, 100%, $E$9)</f>
        <v>13.7499</v>
      </c>
      <c r="G855" s="11">
        <f>13.7532 * CHOOSE(CONTROL!$C$32, $C$9, 100%, $E$9)</f>
        <v>13.7532</v>
      </c>
      <c r="H855" s="11">
        <f>29.5699 * CHOOSE(CONTROL!$C$32, $C$9, 100%, $E$9)</f>
        <v>29.569900000000001</v>
      </c>
      <c r="I855" s="11">
        <f>29.5731 * CHOOSE(CONTROL!$C$32, $C$9, 100%, $E$9)</f>
        <v>29.5731</v>
      </c>
      <c r="J855" s="11">
        <f>29.5699 * CHOOSE(CONTROL!$C$32, $C$9, 100%, $E$9)</f>
        <v>29.569900000000001</v>
      </c>
      <c r="K855" s="11">
        <f>29.5731 * CHOOSE(CONTROL!$C$32, $C$9, 100%, $E$9)</f>
        <v>29.5731</v>
      </c>
      <c r="L855" s="11">
        <f>13.7499 * CHOOSE(CONTROL!$C$32, $C$9, 100%, $E$9)</f>
        <v>13.7499</v>
      </c>
      <c r="M855" s="11">
        <f>13.7532 * CHOOSE(CONTROL!$C$32, $C$9, 100%, $E$9)</f>
        <v>13.7532</v>
      </c>
      <c r="N855" s="11">
        <f>13.7499 * CHOOSE(CONTROL!$C$32, $C$9, 100%, $E$9)</f>
        <v>13.7499</v>
      </c>
      <c r="O855" s="11">
        <f>13.7532 * CHOOSE(CONTROL!$C$32, $C$9, 100%, $E$9)</f>
        <v>13.7532</v>
      </c>
    </row>
    <row r="856" spans="1:15" ht="15" x14ac:dyDescent="0.2">
      <c r="A856" s="13">
        <v>66901</v>
      </c>
      <c r="B856" s="9">
        <f>12.5606 * CHOOSE(CONTROL!$C$32, $C$9, 100%, $E$9)</f>
        <v>12.560600000000001</v>
      </c>
      <c r="C856" s="9">
        <f>12.5606 * CHOOSE(CONTROL!$C$32, $C$9, 100%, $E$9)</f>
        <v>12.560600000000001</v>
      </c>
      <c r="D856" s="9">
        <f>12.5616 * CHOOSE(CONTROL!$C$32, $C$9, 100%, $E$9)</f>
        <v>12.5616</v>
      </c>
      <c r="E856" s="11">
        <f>14.0482 * CHOOSE(CONTROL!$C$32, $C$9, 100%, $E$9)</f>
        <v>14.0482</v>
      </c>
      <c r="F856" s="11">
        <f>14.0482 * CHOOSE(CONTROL!$C$32, $C$9, 100%, $E$9)</f>
        <v>14.0482</v>
      </c>
      <c r="G856" s="11">
        <f>14.0514 * CHOOSE(CONTROL!$C$32, $C$9, 100%, $E$9)</f>
        <v>14.051399999999999</v>
      </c>
      <c r="H856" s="11">
        <f>29.6315 * CHOOSE(CONTROL!$C$32, $C$9, 100%, $E$9)</f>
        <v>29.631499999999999</v>
      </c>
      <c r="I856" s="11">
        <f>29.6347 * CHOOSE(CONTROL!$C$32, $C$9, 100%, $E$9)</f>
        <v>29.634699999999999</v>
      </c>
      <c r="J856" s="11">
        <f>29.6315 * CHOOSE(CONTROL!$C$32, $C$9, 100%, $E$9)</f>
        <v>29.631499999999999</v>
      </c>
      <c r="K856" s="11">
        <f>29.6347 * CHOOSE(CONTROL!$C$32, $C$9, 100%, $E$9)</f>
        <v>29.634699999999999</v>
      </c>
      <c r="L856" s="11">
        <f>14.0482 * CHOOSE(CONTROL!$C$32, $C$9, 100%, $E$9)</f>
        <v>14.0482</v>
      </c>
      <c r="M856" s="11">
        <f>14.0514 * CHOOSE(CONTROL!$C$32, $C$9, 100%, $E$9)</f>
        <v>14.051399999999999</v>
      </c>
      <c r="N856" s="11">
        <f>14.0482 * CHOOSE(CONTROL!$C$32, $C$9, 100%, $E$9)</f>
        <v>14.0482</v>
      </c>
      <c r="O856" s="11">
        <f>14.0514 * CHOOSE(CONTROL!$C$32, $C$9, 100%, $E$9)</f>
        <v>14.051399999999999</v>
      </c>
    </row>
    <row r="857" spans="1:15" ht="15" x14ac:dyDescent="0.2">
      <c r="A857" s="13">
        <v>66932</v>
      </c>
      <c r="B857" s="9">
        <f>12.5666 * CHOOSE(CONTROL!$C$32, $C$9, 100%, $E$9)</f>
        <v>12.566599999999999</v>
      </c>
      <c r="C857" s="9">
        <f>12.5666 * CHOOSE(CONTROL!$C$32, $C$9, 100%, $E$9)</f>
        <v>12.566599999999999</v>
      </c>
      <c r="D857" s="9">
        <f>12.5676 * CHOOSE(CONTROL!$C$32, $C$9, 100%, $E$9)</f>
        <v>12.567600000000001</v>
      </c>
      <c r="E857" s="11">
        <f>14.3665 * CHOOSE(CONTROL!$C$32, $C$9, 100%, $E$9)</f>
        <v>14.3665</v>
      </c>
      <c r="F857" s="11">
        <f>14.3665 * CHOOSE(CONTROL!$C$32, $C$9, 100%, $E$9)</f>
        <v>14.3665</v>
      </c>
      <c r="G857" s="11">
        <f>14.3698 * CHOOSE(CONTROL!$C$32, $C$9, 100%, $E$9)</f>
        <v>14.3698</v>
      </c>
      <c r="H857" s="11">
        <f>29.6932 * CHOOSE(CONTROL!$C$32, $C$9, 100%, $E$9)</f>
        <v>29.693200000000001</v>
      </c>
      <c r="I857" s="11">
        <f>29.6965 * CHOOSE(CONTROL!$C$32, $C$9, 100%, $E$9)</f>
        <v>29.6965</v>
      </c>
      <c r="J857" s="11">
        <f>29.6932 * CHOOSE(CONTROL!$C$32, $C$9, 100%, $E$9)</f>
        <v>29.693200000000001</v>
      </c>
      <c r="K857" s="11">
        <f>29.6965 * CHOOSE(CONTROL!$C$32, $C$9, 100%, $E$9)</f>
        <v>29.6965</v>
      </c>
      <c r="L857" s="11">
        <f>14.3665 * CHOOSE(CONTROL!$C$32, $C$9, 100%, $E$9)</f>
        <v>14.3665</v>
      </c>
      <c r="M857" s="11">
        <f>14.3698 * CHOOSE(CONTROL!$C$32, $C$9, 100%, $E$9)</f>
        <v>14.3698</v>
      </c>
      <c r="N857" s="11">
        <f>14.3665 * CHOOSE(CONTROL!$C$32, $C$9, 100%, $E$9)</f>
        <v>14.3665</v>
      </c>
      <c r="O857" s="11">
        <f>14.3698 * CHOOSE(CONTROL!$C$32, $C$9, 100%, $E$9)</f>
        <v>14.3698</v>
      </c>
    </row>
    <row r="858" spans="1:15" ht="15" x14ac:dyDescent="0.2">
      <c r="A858" s="13">
        <v>66962</v>
      </c>
      <c r="B858" s="9">
        <f>12.5666 * CHOOSE(CONTROL!$C$32, $C$9, 100%, $E$9)</f>
        <v>12.566599999999999</v>
      </c>
      <c r="C858" s="9">
        <f>12.5666 * CHOOSE(CONTROL!$C$32, $C$9, 100%, $E$9)</f>
        <v>12.566599999999999</v>
      </c>
      <c r="D858" s="9">
        <f>12.5679 * CHOOSE(CONTROL!$C$32, $C$9, 100%, $E$9)</f>
        <v>12.5679</v>
      </c>
      <c r="E858" s="11">
        <f>14.4875 * CHOOSE(CONTROL!$C$32, $C$9, 100%, $E$9)</f>
        <v>14.487500000000001</v>
      </c>
      <c r="F858" s="11">
        <f>14.4875 * CHOOSE(CONTROL!$C$32, $C$9, 100%, $E$9)</f>
        <v>14.487500000000001</v>
      </c>
      <c r="G858" s="11">
        <f>14.4917 * CHOOSE(CONTROL!$C$32, $C$9, 100%, $E$9)</f>
        <v>14.4917</v>
      </c>
      <c r="H858" s="11">
        <f>29.7551 * CHOOSE(CONTROL!$C$32, $C$9, 100%, $E$9)</f>
        <v>29.755099999999999</v>
      </c>
      <c r="I858" s="11">
        <f>29.7593 * CHOOSE(CONTROL!$C$32, $C$9, 100%, $E$9)</f>
        <v>29.7593</v>
      </c>
      <c r="J858" s="11">
        <f>29.7551 * CHOOSE(CONTROL!$C$32, $C$9, 100%, $E$9)</f>
        <v>29.755099999999999</v>
      </c>
      <c r="K858" s="11">
        <f>29.7593 * CHOOSE(CONTROL!$C$32, $C$9, 100%, $E$9)</f>
        <v>29.7593</v>
      </c>
      <c r="L858" s="11">
        <f>14.4875 * CHOOSE(CONTROL!$C$32, $C$9, 100%, $E$9)</f>
        <v>14.487500000000001</v>
      </c>
      <c r="M858" s="11">
        <f>14.4917 * CHOOSE(CONTROL!$C$32, $C$9, 100%, $E$9)</f>
        <v>14.4917</v>
      </c>
      <c r="N858" s="11">
        <f>14.4875 * CHOOSE(CONTROL!$C$32, $C$9, 100%, $E$9)</f>
        <v>14.487500000000001</v>
      </c>
      <c r="O858" s="11">
        <f>14.4917 * CHOOSE(CONTROL!$C$32, $C$9, 100%, $E$9)</f>
        <v>14.4917</v>
      </c>
    </row>
    <row r="859" spans="1:15" ht="15" x14ac:dyDescent="0.2">
      <c r="A859" s="13">
        <v>66993</v>
      </c>
      <c r="B859" s="9">
        <f>12.5727 * CHOOSE(CONTROL!$C$32, $C$9, 100%, $E$9)</f>
        <v>12.572699999999999</v>
      </c>
      <c r="C859" s="9">
        <f>12.5727 * CHOOSE(CONTROL!$C$32, $C$9, 100%, $E$9)</f>
        <v>12.572699999999999</v>
      </c>
      <c r="D859" s="9">
        <f>12.5739 * CHOOSE(CONTROL!$C$32, $C$9, 100%, $E$9)</f>
        <v>12.5739</v>
      </c>
      <c r="E859" s="11">
        <f>14.3708 * CHOOSE(CONTROL!$C$32, $C$9, 100%, $E$9)</f>
        <v>14.370799999999999</v>
      </c>
      <c r="F859" s="11">
        <f>14.3708 * CHOOSE(CONTROL!$C$32, $C$9, 100%, $E$9)</f>
        <v>14.370799999999999</v>
      </c>
      <c r="G859" s="11">
        <f>14.375 * CHOOSE(CONTROL!$C$32, $C$9, 100%, $E$9)</f>
        <v>14.375</v>
      </c>
      <c r="H859" s="11">
        <f>29.8171 * CHOOSE(CONTROL!$C$32, $C$9, 100%, $E$9)</f>
        <v>29.8171</v>
      </c>
      <c r="I859" s="11">
        <f>29.8213 * CHOOSE(CONTROL!$C$32, $C$9, 100%, $E$9)</f>
        <v>29.821300000000001</v>
      </c>
      <c r="J859" s="11">
        <f>29.8171 * CHOOSE(CONTROL!$C$32, $C$9, 100%, $E$9)</f>
        <v>29.8171</v>
      </c>
      <c r="K859" s="11">
        <f>29.8213 * CHOOSE(CONTROL!$C$32, $C$9, 100%, $E$9)</f>
        <v>29.821300000000001</v>
      </c>
      <c r="L859" s="11">
        <f>14.3708 * CHOOSE(CONTROL!$C$32, $C$9, 100%, $E$9)</f>
        <v>14.370799999999999</v>
      </c>
      <c r="M859" s="11">
        <f>14.375 * CHOOSE(CONTROL!$C$32, $C$9, 100%, $E$9)</f>
        <v>14.375</v>
      </c>
      <c r="N859" s="11">
        <f>14.3708 * CHOOSE(CONTROL!$C$32, $C$9, 100%, $E$9)</f>
        <v>14.370799999999999</v>
      </c>
      <c r="O859" s="11">
        <f>14.375 * CHOOSE(CONTROL!$C$32, $C$9, 100%, $E$9)</f>
        <v>14.375</v>
      </c>
    </row>
    <row r="860" spans="1:15" ht="15" x14ac:dyDescent="0.2">
      <c r="A860" s="13">
        <v>67023</v>
      </c>
      <c r="B860" s="9">
        <f>12.7253 * CHOOSE(CONTROL!$C$32, $C$9, 100%, $E$9)</f>
        <v>12.725300000000001</v>
      </c>
      <c r="C860" s="9">
        <f>12.7253 * CHOOSE(CONTROL!$C$32, $C$9, 100%, $E$9)</f>
        <v>12.725300000000001</v>
      </c>
      <c r="D860" s="9">
        <f>12.7265 * CHOOSE(CONTROL!$C$32, $C$9, 100%, $E$9)</f>
        <v>12.7265</v>
      </c>
      <c r="E860" s="11">
        <f>14.574 * CHOOSE(CONTROL!$C$32, $C$9, 100%, $E$9)</f>
        <v>14.574</v>
      </c>
      <c r="F860" s="11">
        <f>14.574 * CHOOSE(CONTROL!$C$32, $C$9, 100%, $E$9)</f>
        <v>14.574</v>
      </c>
      <c r="G860" s="11">
        <f>14.5782 * CHOOSE(CONTROL!$C$32, $C$9, 100%, $E$9)</f>
        <v>14.578200000000001</v>
      </c>
      <c r="H860" s="11">
        <f>29.8792 * CHOOSE(CONTROL!$C$32, $C$9, 100%, $E$9)</f>
        <v>29.879200000000001</v>
      </c>
      <c r="I860" s="11">
        <f>29.8834 * CHOOSE(CONTROL!$C$32, $C$9, 100%, $E$9)</f>
        <v>29.883400000000002</v>
      </c>
      <c r="J860" s="11">
        <f>29.8792 * CHOOSE(CONTROL!$C$32, $C$9, 100%, $E$9)</f>
        <v>29.879200000000001</v>
      </c>
      <c r="K860" s="11">
        <f>29.8834 * CHOOSE(CONTROL!$C$32, $C$9, 100%, $E$9)</f>
        <v>29.883400000000002</v>
      </c>
      <c r="L860" s="11">
        <f>14.574 * CHOOSE(CONTROL!$C$32, $C$9, 100%, $E$9)</f>
        <v>14.574</v>
      </c>
      <c r="M860" s="11">
        <f>14.5782 * CHOOSE(CONTROL!$C$32, $C$9, 100%, $E$9)</f>
        <v>14.578200000000001</v>
      </c>
      <c r="N860" s="11">
        <f>14.574 * CHOOSE(CONTROL!$C$32, $C$9, 100%, $E$9)</f>
        <v>14.574</v>
      </c>
      <c r="O860" s="11">
        <f>14.5782 * CHOOSE(CONTROL!$C$32, $C$9, 100%, $E$9)</f>
        <v>14.578200000000001</v>
      </c>
    </row>
    <row r="861" spans="1:15" ht="15" x14ac:dyDescent="0.2">
      <c r="A861" s="13">
        <v>67054</v>
      </c>
      <c r="B861" s="9">
        <f>12.732 * CHOOSE(CONTROL!$C$32, $C$9, 100%, $E$9)</f>
        <v>12.731999999999999</v>
      </c>
      <c r="C861" s="9">
        <f>12.732 * CHOOSE(CONTROL!$C$32, $C$9, 100%, $E$9)</f>
        <v>12.731999999999999</v>
      </c>
      <c r="D861" s="9">
        <f>12.7332 * CHOOSE(CONTROL!$C$32, $C$9, 100%, $E$9)</f>
        <v>12.7332</v>
      </c>
      <c r="E861" s="11">
        <f>14.2158 * CHOOSE(CONTROL!$C$32, $C$9, 100%, $E$9)</f>
        <v>14.2158</v>
      </c>
      <c r="F861" s="11">
        <f>14.2158 * CHOOSE(CONTROL!$C$32, $C$9, 100%, $E$9)</f>
        <v>14.2158</v>
      </c>
      <c r="G861" s="11">
        <f>14.22 * CHOOSE(CONTROL!$C$32, $C$9, 100%, $E$9)</f>
        <v>14.22</v>
      </c>
      <c r="H861" s="11">
        <f>29.9415 * CHOOSE(CONTROL!$C$32, $C$9, 100%, $E$9)</f>
        <v>29.941500000000001</v>
      </c>
      <c r="I861" s="11">
        <f>29.9457 * CHOOSE(CONTROL!$C$32, $C$9, 100%, $E$9)</f>
        <v>29.945699999999999</v>
      </c>
      <c r="J861" s="11">
        <f>29.9415 * CHOOSE(CONTROL!$C$32, $C$9, 100%, $E$9)</f>
        <v>29.941500000000001</v>
      </c>
      <c r="K861" s="11">
        <f>29.9457 * CHOOSE(CONTROL!$C$32, $C$9, 100%, $E$9)</f>
        <v>29.945699999999999</v>
      </c>
      <c r="L861" s="11">
        <f>14.2158 * CHOOSE(CONTROL!$C$32, $C$9, 100%, $E$9)</f>
        <v>14.2158</v>
      </c>
      <c r="M861" s="11">
        <f>14.22 * CHOOSE(CONTROL!$C$32, $C$9, 100%, $E$9)</f>
        <v>14.22</v>
      </c>
      <c r="N861" s="11">
        <f>14.2158 * CHOOSE(CONTROL!$C$32, $C$9, 100%, $E$9)</f>
        <v>14.2158</v>
      </c>
      <c r="O861" s="11">
        <f>14.22 * CHOOSE(CONTROL!$C$32, $C$9, 100%, $E$9)</f>
        <v>14.22</v>
      </c>
    </row>
    <row r="862" spans="1:15" ht="15" x14ac:dyDescent="0.2">
      <c r="A862" s="13">
        <v>67085</v>
      </c>
      <c r="B862" s="9">
        <f>12.7289 * CHOOSE(CONTROL!$C$32, $C$9, 100%, $E$9)</f>
        <v>12.728899999999999</v>
      </c>
      <c r="C862" s="9">
        <f>12.7289 * CHOOSE(CONTROL!$C$32, $C$9, 100%, $E$9)</f>
        <v>12.728899999999999</v>
      </c>
      <c r="D862" s="9">
        <f>12.7302 * CHOOSE(CONTROL!$C$32, $C$9, 100%, $E$9)</f>
        <v>12.7302</v>
      </c>
      <c r="E862" s="11">
        <f>14.1733 * CHOOSE(CONTROL!$C$32, $C$9, 100%, $E$9)</f>
        <v>14.173299999999999</v>
      </c>
      <c r="F862" s="11">
        <f>14.1733 * CHOOSE(CONTROL!$C$32, $C$9, 100%, $E$9)</f>
        <v>14.173299999999999</v>
      </c>
      <c r="G862" s="11">
        <f>14.1775 * CHOOSE(CONTROL!$C$32, $C$9, 100%, $E$9)</f>
        <v>14.1775</v>
      </c>
      <c r="H862" s="11">
        <f>30.0038 * CHOOSE(CONTROL!$C$32, $C$9, 100%, $E$9)</f>
        <v>30.003799999999998</v>
      </c>
      <c r="I862" s="11">
        <f>30.008 * CHOOSE(CONTROL!$C$32, $C$9, 100%, $E$9)</f>
        <v>30.007999999999999</v>
      </c>
      <c r="J862" s="11">
        <f>30.0038 * CHOOSE(CONTROL!$C$32, $C$9, 100%, $E$9)</f>
        <v>30.003799999999998</v>
      </c>
      <c r="K862" s="11">
        <f>30.008 * CHOOSE(CONTROL!$C$32, $C$9, 100%, $E$9)</f>
        <v>30.007999999999999</v>
      </c>
      <c r="L862" s="11">
        <f>14.1733 * CHOOSE(CONTROL!$C$32, $C$9, 100%, $E$9)</f>
        <v>14.173299999999999</v>
      </c>
      <c r="M862" s="11">
        <f>14.1775 * CHOOSE(CONTROL!$C$32, $C$9, 100%, $E$9)</f>
        <v>14.1775</v>
      </c>
      <c r="N862" s="11">
        <f>14.1733 * CHOOSE(CONTROL!$C$32, $C$9, 100%, $E$9)</f>
        <v>14.173299999999999</v>
      </c>
      <c r="O862" s="11">
        <f>14.1775 * CHOOSE(CONTROL!$C$32, $C$9, 100%, $E$9)</f>
        <v>14.1775</v>
      </c>
    </row>
    <row r="863" spans="1:15" ht="15" x14ac:dyDescent="0.2">
      <c r="A863" s="13">
        <v>67115</v>
      </c>
      <c r="B863" s="9">
        <f>12.7566 * CHOOSE(CONTROL!$C$32, $C$9, 100%, $E$9)</f>
        <v>12.756600000000001</v>
      </c>
      <c r="C863" s="9">
        <f>12.7566 * CHOOSE(CONTROL!$C$32, $C$9, 100%, $E$9)</f>
        <v>12.756600000000001</v>
      </c>
      <c r="D863" s="9">
        <f>12.7576 * CHOOSE(CONTROL!$C$32, $C$9, 100%, $E$9)</f>
        <v>12.7576</v>
      </c>
      <c r="E863" s="11">
        <f>14.3212 * CHOOSE(CONTROL!$C$32, $C$9, 100%, $E$9)</f>
        <v>14.321199999999999</v>
      </c>
      <c r="F863" s="11">
        <f>14.3212 * CHOOSE(CONTROL!$C$32, $C$9, 100%, $E$9)</f>
        <v>14.321199999999999</v>
      </c>
      <c r="G863" s="11">
        <f>14.3244 * CHOOSE(CONTROL!$C$32, $C$9, 100%, $E$9)</f>
        <v>14.324400000000001</v>
      </c>
      <c r="H863" s="11">
        <f>30.0664 * CHOOSE(CONTROL!$C$32, $C$9, 100%, $E$9)</f>
        <v>30.066400000000002</v>
      </c>
      <c r="I863" s="11">
        <f>30.0696 * CHOOSE(CONTROL!$C$32, $C$9, 100%, $E$9)</f>
        <v>30.069600000000001</v>
      </c>
      <c r="J863" s="11">
        <f>30.0664 * CHOOSE(CONTROL!$C$32, $C$9, 100%, $E$9)</f>
        <v>30.066400000000002</v>
      </c>
      <c r="K863" s="11">
        <f>30.0696 * CHOOSE(CONTROL!$C$32, $C$9, 100%, $E$9)</f>
        <v>30.069600000000001</v>
      </c>
      <c r="L863" s="11">
        <f>14.3212 * CHOOSE(CONTROL!$C$32, $C$9, 100%, $E$9)</f>
        <v>14.321199999999999</v>
      </c>
      <c r="M863" s="11">
        <f>14.3244 * CHOOSE(CONTROL!$C$32, $C$9, 100%, $E$9)</f>
        <v>14.324400000000001</v>
      </c>
      <c r="N863" s="11">
        <f>14.3212 * CHOOSE(CONTROL!$C$32, $C$9, 100%, $E$9)</f>
        <v>14.321199999999999</v>
      </c>
      <c r="O863" s="11">
        <f>14.3244 * CHOOSE(CONTROL!$C$32, $C$9, 100%, $E$9)</f>
        <v>14.324400000000001</v>
      </c>
    </row>
    <row r="864" spans="1:15" ht="15" x14ac:dyDescent="0.2">
      <c r="A864" s="13">
        <v>67146</v>
      </c>
      <c r="B864" s="9">
        <f>12.7597 * CHOOSE(CONTROL!$C$32, $C$9, 100%, $E$9)</f>
        <v>12.7597</v>
      </c>
      <c r="C864" s="9">
        <f>12.7597 * CHOOSE(CONTROL!$C$32, $C$9, 100%, $E$9)</f>
        <v>12.7597</v>
      </c>
      <c r="D864" s="9">
        <f>12.7606 * CHOOSE(CONTROL!$C$32, $C$9, 100%, $E$9)</f>
        <v>12.7606</v>
      </c>
      <c r="E864" s="11">
        <f>14.404 * CHOOSE(CONTROL!$C$32, $C$9, 100%, $E$9)</f>
        <v>14.404</v>
      </c>
      <c r="F864" s="11">
        <f>14.404 * CHOOSE(CONTROL!$C$32, $C$9, 100%, $E$9)</f>
        <v>14.404</v>
      </c>
      <c r="G864" s="11">
        <f>14.4072 * CHOOSE(CONTROL!$C$32, $C$9, 100%, $E$9)</f>
        <v>14.4072</v>
      </c>
      <c r="H864" s="11">
        <f>30.129 * CHOOSE(CONTROL!$C$32, $C$9, 100%, $E$9)</f>
        <v>30.129000000000001</v>
      </c>
      <c r="I864" s="11">
        <f>30.1322 * CHOOSE(CONTROL!$C$32, $C$9, 100%, $E$9)</f>
        <v>30.132200000000001</v>
      </c>
      <c r="J864" s="11">
        <f>30.129 * CHOOSE(CONTROL!$C$32, $C$9, 100%, $E$9)</f>
        <v>30.129000000000001</v>
      </c>
      <c r="K864" s="11">
        <f>30.1322 * CHOOSE(CONTROL!$C$32, $C$9, 100%, $E$9)</f>
        <v>30.132200000000001</v>
      </c>
      <c r="L864" s="11">
        <f>14.404 * CHOOSE(CONTROL!$C$32, $C$9, 100%, $E$9)</f>
        <v>14.404</v>
      </c>
      <c r="M864" s="11">
        <f>14.4072 * CHOOSE(CONTROL!$C$32, $C$9, 100%, $E$9)</f>
        <v>14.4072</v>
      </c>
      <c r="N864" s="11">
        <f>14.404 * CHOOSE(CONTROL!$C$32, $C$9, 100%, $E$9)</f>
        <v>14.404</v>
      </c>
      <c r="O864" s="11">
        <f>14.4072 * CHOOSE(CONTROL!$C$32, $C$9, 100%, $E$9)</f>
        <v>14.4072</v>
      </c>
    </row>
    <row r="865" spans="1:15" ht="15" x14ac:dyDescent="0.2">
      <c r="A865" s="13">
        <v>67176</v>
      </c>
      <c r="B865" s="9">
        <f>12.7597 * CHOOSE(CONTROL!$C$32, $C$9, 100%, $E$9)</f>
        <v>12.7597</v>
      </c>
      <c r="C865" s="9">
        <f>12.7597 * CHOOSE(CONTROL!$C$32, $C$9, 100%, $E$9)</f>
        <v>12.7597</v>
      </c>
      <c r="D865" s="9">
        <f>12.7606 * CHOOSE(CONTROL!$C$32, $C$9, 100%, $E$9)</f>
        <v>12.7606</v>
      </c>
      <c r="E865" s="11">
        <f>14.2024 * CHOOSE(CONTROL!$C$32, $C$9, 100%, $E$9)</f>
        <v>14.202400000000001</v>
      </c>
      <c r="F865" s="11">
        <f>14.2024 * CHOOSE(CONTROL!$C$32, $C$9, 100%, $E$9)</f>
        <v>14.202400000000001</v>
      </c>
      <c r="G865" s="11">
        <f>14.2056 * CHOOSE(CONTROL!$C$32, $C$9, 100%, $E$9)</f>
        <v>14.2056</v>
      </c>
      <c r="H865" s="11">
        <f>30.1918 * CHOOSE(CONTROL!$C$32, $C$9, 100%, $E$9)</f>
        <v>30.191800000000001</v>
      </c>
      <c r="I865" s="11">
        <f>30.195 * CHOOSE(CONTROL!$C$32, $C$9, 100%, $E$9)</f>
        <v>30.195</v>
      </c>
      <c r="J865" s="11">
        <f>30.1918 * CHOOSE(CONTROL!$C$32, $C$9, 100%, $E$9)</f>
        <v>30.191800000000001</v>
      </c>
      <c r="K865" s="11">
        <f>30.195 * CHOOSE(CONTROL!$C$32, $C$9, 100%, $E$9)</f>
        <v>30.195</v>
      </c>
      <c r="L865" s="11">
        <f>14.2024 * CHOOSE(CONTROL!$C$32, $C$9, 100%, $E$9)</f>
        <v>14.202400000000001</v>
      </c>
      <c r="M865" s="11">
        <f>14.2056 * CHOOSE(CONTROL!$C$32, $C$9, 100%, $E$9)</f>
        <v>14.2056</v>
      </c>
      <c r="N865" s="11">
        <f>14.2024 * CHOOSE(CONTROL!$C$32, $C$9, 100%, $E$9)</f>
        <v>14.202400000000001</v>
      </c>
      <c r="O865" s="11">
        <f>14.2056 * CHOOSE(CONTROL!$C$32, $C$9, 100%, $E$9)</f>
        <v>14.2056</v>
      </c>
    </row>
    <row r="866" spans="1:15" ht="15" x14ac:dyDescent="0.2">
      <c r="A866" s="13">
        <v>67207</v>
      </c>
      <c r="B866" s="9">
        <f>12.7541 * CHOOSE(CONTROL!$C$32, $C$9, 100%, $E$9)</f>
        <v>12.754099999999999</v>
      </c>
      <c r="C866" s="9">
        <f>12.7541 * CHOOSE(CONTROL!$C$32, $C$9, 100%, $E$9)</f>
        <v>12.754099999999999</v>
      </c>
      <c r="D866" s="9">
        <f>12.755 * CHOOSE(CONTROL!$C$32, $C$9, 100%, $E$9)</f>
        <v>12.755000000000001</v>
      </c>
      <c r="E866" s="11">
        <f>14.3456 * CHOOSE(CONTROL!$C$32, $C$9, 100%, $E$9)</f>
        <v>14.345599999999999</v>
      </c>
      <c r="F866" s="11">
        <f>14.3456 * CHOOSE(CONTROL!$C$32, $C$9, 100%, $E$9)</f>
        <v>14.345599999999999</v>
      </c>
      <c r="G866" s="11">
        <f>14.3488 * CHOOSE(CONTROL!$C$32, $C$9, 100%, $E$9)</f>
        <v>14.348800000000001</v>
      </c>
      <c r="H866" s="11">
        <f>29.9802 * CHOOSE(CONTROL!$C$32, $C$9, 100%, $E$9)</f>
        <v>29.9802</v>
      </c>
      <c r="I866" s="11">
        <f>29.9835 * CHOOSE(CONTROL!$C$32, $C$9, 100%, $E$9)</f>
        <v>29.983499999999999</v>
      </c>
      <c r="J866" s="11">
        <f>29.9802 * CHOOSE(CONTROL!$C$32, $C$9, 100%, $E$9)</f>
        <v>29.9802</v>
      </c>
      <c r="K866" s="11">
        <f>29.9835 * CHOOSE(CONTROL!$C$32, $C$9, 100%, $E$9)</f>
        <v>29.983499999999999</v>
      </c>
      <c r="L866" s="11">
        <f>14.3456 * CHOOSE(CONTROL!$C$32, $C$9, 100%, $E$9)</f>
        <v>14.345599999999999</v>
      </c>
      <c r="M866" s="11">
        <f>14.3488 * CHOOSE(CONTROL!$C$32, $C$9, 100%, $E$9)</f>
        <v>14.348800000000001</v>
      </c>
      <c r="N866" s="11">
        <f>14.3456 * CHOOSE(CONTROL!$C$32, $C$9, 100%, $E$9)</f>
        <v>14.345599999999999</v>
      </c>
      <c r="O866" s="11">
        <f>14.3488 * CHOOSE(CONTROL!$C$32, $C$9, 100%, $E$9)</f>
        <v>14.348800000000001</v>
      </c>
    </row>
    <row r="867" spans="1:15" ht="15" x14ac:dyDescent="0.2">
      <c r="A867" s="13">
        <v>67238</v>
      </c>
      <c r="B867" s="9">
        <f>12.751 * CHOOSE(CONTROL!$C$32, $C$9, 100%, $E$9)</f>
        <v>12.750999999999999</v>
      </c>
      <c r="C867" s="9">
        <f>12.751 * CHOOSE(CONTROL!$C$32, $C$9, 100%, $E$9)</f>
        <v>12.750999999999999</v>
      </c>
      <c r="D867" s="9">
        <f>12.752 * CHOOSE(CONTROL!$C$32, $C$9, 100%, $E$9)</f>
        <v>12.752000000000001</v>
      </c>
      <c r="E867" s="11">
        <f>13.9553 * CHOOSE(CONTROL!$C$32, $C$9, 100%, $E$9)</f>
        <v>13.955299999999999</v>
      </c>
      <c r="F867" s="11">
        <f>13.9553 * CHOOSE(CONTROL!$C$32, $C$9, 100%, $E$9)</f>
        <v>13.955299999999999</v>
      </c>
      <c r="G867" s="11">
        <f>13.9586 * CHOOSE(CONTROL!$C$32, $C$9, 100%, $E$9)</f>
        <v>13.958600000000001</v>
      </c>
      <c r="H867" s="11">
        <f>30.0427 * CHOOSE(CONTROL!$C$32, $C$9, 100%, $E$9)</f>
        <v>30.0427</v>
      </c>
      <c r="I867" s="11">
        <f>30.0459 * CHOOSE(CONTROL!$C$32, $C$9, 100%, $E$9)</f>
        <v>30.0459</v>
      </c>
      <c r="J867" s="11">
        <f>30.0427 * CHOOSE(CONTROL!$C$32, $C$9, 100%, $E$9)</f>
        <v>30.0427</v>
      </c>
      <c r="K867" s="11">
        <f>30.0459 * CHOOSE(CONTROL!$C$32, $C$9, 100%, $E$9)</f>
        <v>30.0459</v>
      </c>
      <c r="L867" s="11">
        <f>13.9553 * CHOOSE(CONTROL!$C$32, $C$9, 100%, $E$9)</f>
        <v>13.955299999999999</v>
      </c>
      <c r="M867" s="11">
        <f>13.9586 * CHOOSE(CONTROL!$C$32, $C$9, 100%, $E$9)</f>
        <v>13.958600000000001</v>
      </c>
      <c r="N867" s="11">
        <f>13.9553 * CHOOSE(CONTROL!$C$32, $C$9, 100%, $E$9)</f>
        <v>13.955299999999999</v>
      </c>
      <c r="O867" s="11">
        <f>13.9586 * CHOOSE(CONTROL!$C$32, $C$9, 100%, $E$9)</f>
        <v>13.958600000000001</v>
      </c>
    </row>
    <row r="868" spans="1:15" ht="15" x14ac:dyDescent="0.2">
      <c r="A868" s="13">
        <v>67267</v>
      </c>
      <c r="B868" s="9">
        <f>12.748 * CHOOSE(CONTROL!$C$32, $C$9, 100%, $E$9)</f>
        <v>12.747999999999999</v>
      </c>
      <c r="C868" s="9">
        <f>12.748 * CHOOSE(CONTROL!$C$32, $C$9, 100%, $E$9)</f>
        <v>12.747999999999999</v>
      </c>
      <c r="D868" s="9">
        <f>12.749 * CHOOSE(CONTROL!$C$32, $C$9, 100%, $E$9)</f>
        <v>12.749000000000001</v>
      </c>
      <c r="E868" s="11">
        <f>14.2592 * CHOOSE(CONTROL!$C$32, $C$9, 100%, $E$9)</f>
        <v>14.2592</v>
      </c>
      <c r="F868" s="11">
        <f>14.2592 * CHOOSE(CONTROL!$C$32, $C$9, 100%, $E$9)</f>
        <v>14.2592</v>
      </c>
      <c r="G868" s="11">
        <f>14.2624 * CHOOSE(CONTROL!$C$32, $C$9, 100%, $E$9)</f>
        <v>14.2624</v>
      </c>
      <c r="H868" s="11">
        <f>30.1053 * CHOOSE(CONTROL!$C$32, $C$9, 100%, $E$9)</f>
        <v>30.1053</v>
      </c>
      <c r="I868" s="11">
        <f>30.1085 * CHOOSE(CONTROL!$C$32, $C$9, 100%, $E$9)</f>
        <v>30.108499999999999</v>
      </c>
      <c r="J868" s="11">
        <f>30.1053 * CHOOSE(CONTROL!$C$32, $C$9, 100%, $E$9)</f>
        <v>30.1053</v>
      </c>
      <c r="K868" s="11">
        <f>30.1085 * CHOOSE(CONTROL!$C$32, $C$9, 100%, $E$9)</f>
        <v>30.108499999999999</v>
      </c>
      <c r="L868" s="11">
        <f>14.2592 * CHOOSE(CONTROL!$C$32, $C$9, 100%, $E$9)</f>
        <v>14.2592</v>
      </c>
      <c r="M868" s="11">
        <f>14.2624 * CHOOSE(CONTROL!$C$32, $C$9, 100%, $E$9)</f>
        <v>14.2624</v>
      </c>
      <c r="N868" s="11">
        <f>14.2592 * CHOOSE(CONTROL!$C$32, $C$9, 100%, $E$9)</f>
        <v>14.2592</v>
      </c>
      <c r="O868" s="11">
        <f>14.2624 * CHOOSE(CONTROL!$C$32, $C$9, 100%, $E$9)</f>
        <v>14.2624</v>
      </c>
    </row>
    <row r="869" spans="1:15" ht="15" x14ac:dyDescent="0.2">
      <c r="A869" s="13">
        <v>67298</v>
      </c>
      <c r="B869" s="9">
        <f>12.7541 * CHOOSE(CONTROL!$C$32, $C$9, 100%, $E$9)</f>
        <v>12.754099999999999</v>
      </c>
      <c r="C869" s="9">
        <f>12.7541 * CHOOSE(CONTROL!$C$32, $C$9, 100%, $E$9)</f>
        <v>12.754099999999999</v>
      </c>
      <c r="D869" s="9">
        <f>12.7551 * CHOOSE(CONTROL!$C$32, $C$9, 100%, $E$9)</f>
        <v>12.755100000000001</v>
      </c>
      <c r="E869" s="11">
        <f>14.5835 * CHOOSE(CONTROL!$C$32, $C$9, 100%, $E$9)</f>
        <v>14.583500000000001</v>
      </c>
      <c r="F869" s="11">
        <f>14.5835 * CHOOSE(CONTROL!$C$32, $C$9, 100%, $E$9)</f>
        <v>14.583500000000001</v>
      </c>
      <c r="G869" s="11">
        <f>14.5868 * CHOOSE(CONTROL!$C$32, $C$9, 100%, $E$9)</f>
        <v>14.5868</v>
      </c>
      <c r="H869" s="11">
        <f>30.168 * CHOOSE(CONTROL!$C$32, $C$9, 100%, $E$9)</f>
        <v>30.167999999999999</v>
      </c>
      <c r="I869" s="11">
        <f>30.1712 * CHOOSE(CONTROL!$C$32, $C$9, 100%, $E$9)</f>
        <v>30.171199999999999</v>
      </c>
      <c r="J869" s="11">
        <f>30.168 * CHOOSE(CONTROL!$C$32, $C$9, 100%, $E$9)</f>
        <v>30.167999999999999</v>
      </c>
      <c r="K869" s="11">
        <f>30.1712 * CHOOSE(CONTROL!$C$32, $C$9, 100%, $E$9)</f>
        <v>30.171199999999999</v>
      </c>
      <c r="L869" s="11">
        <f>14.5835 * CHOOSE(CONTROL!$C$32, $C$9, 100%, $E$9)</f>
        <v>14.583500000000001</v>
      </c>
      <c r="M869" s="11">
        <f>14.5868 * CHOOSE(CONTROL!$C$32, $C$9, 100%, $E$9)</f>
        <v>14.5868</v>
      </c>
      <c r="N869" s="11">
        <f>14.5835 * CHOOSE(CONTROL!$C$32, $C$9, 100%, $E$9)</f>
        <v>14.583500000000001</v>
      </c>
      <c r="O869" s="11">
        <f>14.5868 * CHOOSE(CONTROL!$C$32, $C$9, 100%, $E$9)</f>
        <v>14.5868</v>
      </c>
    </row>
    <row r="870" spans="1:15" ht="15" x14ac:dyDescent="0.2">
      <c r="A870" s="13">
        <v>67328</v>
      </c>
      <c r="B870" s="9">
        <f>12.7541 * CHOOSE(CONTROL!$C$32, $C$9, 100%, $E$9)</f>
        <v>12.754099999999999</v>
      </c>
      <c r="C870" s="9">
        <f>12.7541 * CHOOSE(CONTROL!$C$32, $C$9, 100%, $E$9)</f>
        <v>12.754099999999999</v>
      </c>
      <c r="D870" s="9">
        <f>12.7554 * CHOOSE(CONTROL!$C$32, $C$9, 100%, $E$9)</f>
        <v>12.7554</v>
      </c>
      <c r="E870" s="11">
        <f>14.7068 * CHOOSE(CONTROL!$C$32, $C$9, 100%, $E$9)</f>
        <v>14.706799999999999</v>
      </c>
      <c r="F870" s="11">
        <f>14.7068 * CHOOSE(CONTROL!$C$32, $C$9, 100%, $E$9)</f>
        <v>14.706799999999999</v>
      </c>
      <c r="G870" s="11">
        <f>14.711 * CHOOSE(CONTROL!$C$32, $C$9, 100%, $E$9)</f>
        <v>14.711</v>
      </c>
      <c r="H870" s="11">
        <f>30.2309 * CHOOSE(CONTROL!$C$32, $C$9, 100%, $E$9)</f>
        <v>30.230899999999998</v>
      </c>
      <c r="I870" s="11">
        <f>30.2351 * CHOOSE(CONTROL!$C$32, $C$9, 100%, $E$9)</f>
        <v>30.235099999999999</v>
      </c>
      <c r="J870" s="11">
        <f>30.2309 * CHOOSE(CONTROL!$C$32, $C$9, 100%, $E$9)</f>
        <v>30.230899999999998</v>
      </c>
      <c r="K870" s="11">
        <f>30.2351 * CHOOSE(CONTROL!$C$32, $C$9, 100%, $E$9)</f>
        <v>30.235099999999999</v>
      </c>
      <c r="L870" s="11">
        <f>14.7068 * CHOOSE(CONTROL!$C$32, $C$9, 100%, $E$9)</f>
        <v>14.706799999999999</v>
      </c>
      <c r="M870" s="11">
        <f>14.711 * CHOOSE(CONTROL!$C$32, $C$9, 100%, $E$9)</f>
        <v>14.711</v>
      </c>
      <c r="N870" s="11">
        <f>14.7068 * CHOOSE(CONTROL!$C$32, $C$9, 100%, $E$9)</f>
        <v>14.706799999999999</v>
      </c>
      <c r="O870" s="11">
        <f>14.711 * CHOOSE(CONTROL!$C$32, $C$9, 100%, $E$9)</f>
        <v>14.711</v>
      </c>
    </row>
    <row r="871" spans="1:15" ht="15" x14ac:dyDescent="0.2">
      <c r="A871" s="13">
        <v>67359</v>
      </c>
      <c r="B871" s="9">
        <f>12.7602 * CHOOSE(CONTROL!$C$32, $C$9, 100%, $E$9)</f>
        <v>12.760199999999999</v>
      </c>
      <c r="C871" s="9">
        <f>12.7602 * CHOOSE(CONTROL!$C$32, $C$9, 100%, $E$9)</f>
        <v>12.760199999999999</v>
      </c>
      <c r="D871" s="9">
        <f>12.7615 * CHOOSE(CONTROL!$C$32, $C$9, 100%, $E$9)</f>
        <v>12.7615</v>
      </c>
      <c r="E871" s="11">
        <f>14.5878 * CHOOSE(CONTROL!$C$32, $C$9, 100%, $E$9)</f>
        <v>14.5878</v>
      </c>
      <c r="F871" s="11">
        <f>14.5878 * CHOOSE(CONTROL!$C$32, $C$9, 100%, $E$9)</f>
        <v>14.5878</v>
      </c>
      <c r="G871" s="11">
        <f>14.592 * CHOOSE(CONTROL!$C$32, $C$9, 100%, $E$9)</f>
        <v>14.592000000000001</v>
      </c>
      <c r="H871" s="11">
        <f>30.2938 * CHOOSE(CONTROL!$C$32, $C$9, 100%, $E$9)</f>
        <v>30.293800000000001</v>
      </c>
      <c r="I871" s="11">
        <f>30.298 * CHOOSE(CONTROL!$C$32, $C$9, 100%, $E$9)</f>
        <v>30.297999999999998</v>
      </c>
      <c r="J871" s="11">
        <f>30.2938 * CHOOSE(CONTROL!$C$32, $C$9, 100%, $E$9)</f>
        <v>30.293800000000001</v>
      </c>
      <c r="K871" s="11">
        <f>30.298 * CHOOSE(CONTROL!$C$32, $C$9, 100%, $E$9)</f>
        <v>30.297999999999998</v>
      </c>
      <c r="L871" s="11">
        <f>14.5878 * CHOOSE(CONTROL!$C$32, $C$9, 100%, $E$9)</f>
        <v>14.5878</v>
      </c>
      <c r="M871" s="11">
        <f>14.592 * CHOOSE(CONTROL!$C$32, $C$9, 100%, $E$9)</f>
        <v>14.592000000000001</v>
      </c>
      <c r="N871" s="11">
        <f>14.5878 * CHOOSE(CONTROL!$C$32, $C$9, 100%, $E$9)</f>
        <v>14.5878</v>
      </c>
      <c r="O871" s="11">
        <f>14.592 * CHOOSE(CONTROL!$C$32, $C$9, 100%, $E$9)</f>
        <v>14.592000000000001</v>
      </c>
    </row>
    <row r="872" spans="1:15" ht="15" x14ac:dyDescent="0.2">
      <c r="A872" s="13">
        <v>67389</v>
      </c>
      <c r="B872" s="9">
        <f>12.9149 * CHOOSE(CONTROL!$C$32, $C$9, 100%, $E$9)</f>
        <v>12.914899999999999</v>
      </c>
      <c r="C872" s="9">
        <f>12.9149 * CHOOSE(CONTROL!$C$32, $C$9, 100%, $E$9)</f>
        <v>12.914899999999999</v>
      </c>
      <c r="D872" s="9">
        <f>12.9161 * CHOOSE(CONTROL!$C$32, $C$9, 100%, $E$9)</f>
        <v>12.9161</v>
      </c>
      <c r="E872" s="11">
        <f>14.7942 * CHOOSE(CONTROL!$C$32, $C$9, 100%, $E$9)</f>
        <v>14.7942</v>
      </c>
      <c r="F872" s="11">
        <f>14.7942 * CHOOSE(CONTROL!$C$32, $C$9, 100%, $E$9)</f>
        <v>14.7942</v>
      </c>
      <c r="G872" s="11">
        <f>14.7984 * CHOOSE(CONTROL!$C$32, $C$9, 100%, $E$9)</f>
        <v>14.798400000000001</v>
      </c>
      <c r="H872" s="11">
        <f>30.357 * CHOOSE(CONTROL!$C$32, $C$9, 100%, $E$9)</f>
        <v>30.356999999999999</v>
      </c>
      <c r="I872" s="11">
        <f>30.3612 * CHOOSE(CONTROL!$C$32, $C$9, 100%, $E$9)</f>
        <v>30.3612</v>
      </c>
      <c r="J872" s="11">
        <f>30.357 * CHOOSE(CONTROL!$C$32, $C$9, 100%, $E$9)</f>
        <v>30.356999999999999</v>
      </c>
      <c r="K872" s="11">
        <f>30.3612 * CHOOSE(CONTROL!$C$32, $C$9, 100%, $E$9)</f>
        <v>30.3612</v>
      </c>
      <c r="L872" s="11">
        <f>14.7942 * CHOOSE(CONTROL!$C$32, $C$9, 100%, $E$9)</f>
        <v>14.7942</v>
      </c>
      <c r="M872" s="11">
        <f>14.7984 * CHOOSE(CONTROL!$C$32, $C$9, 100%, $E$9)</f>
        <v>14.798400000000001</v>
      </c>
      <c r="N872" s="11">
        <f>14.7942 * CHOOSE(CONTROL!$C$32, $C$9, 100%, $E$9)</f>
        <v>14.7942</v>
      </c>
      <c r="O872" s="11">
        <f>14.7984 * CHOOSE(CONTROL!$C$32, $C$9, 100%, $E$9)</f>
        <v>14.798400000000001</v>
      </c>
    </row>
    <row r="873" spans="1:15" ht="15" x14ac:dyDescent="0.2">
      <c r="A873" s="13">
        <v>67420</v>
      </c>
      <c r="B873" s="9">
        <f>12.9216 * CHOOSE(CONTROL!$C$32, $C$9, 100%, $E$9)</f>
        <v>12.9216</v>
      </c>
      <c r="C873" s="9">
        <f>12.9216 * CHOOSE(CONTROL!$C$32, $C$9, 100%, $E$9)</f>
        <v>12.9216</v>
      </c>
      <c r="D873" s="9">
        <f>12.9228 * CHOOSE(CONTROL!$C$32, $C$9, 100%, $E$9)</f>
        <v>12.922800000000001</v>
      </c>
      <c r="E873" s="11">
        <f>14.4292 * CHOOSE(CONTROL!$C$32, $C$9, 100%, $E$9)</f>
        <v>14.4292</v>
      </c>
      <c r="F873" s="11">
        <f>14.4292 * CHOOSE(CONTROL!$C$32, $C$9, 100%, $E$9)</f>
        <v>14.4292</v>
      </c>
      <c r="G873" s="11">
        <f>14.4334 * CHOOSE(CONTROL!$C$32, $C$9, 100%, $E$9)</f>
        <v>14.433400000000001</v>
      </c>
      <c r="H873" s="11">
        <f>30.4202 * CHOOSE(CONTROL!$C$32, $C$9, 100%, $E$9)</f>
        <v>30.420200000000001</v>
      </c>
      <c r="I873" s="11">
        <f>30.4244 * CHOOSE(CONTROL!$C$32, $C$9, 100%, $E$9)</f>
        <v>30.424399999999999</v>
      </c>
      <c r="J873" s="11">
        <f>30.4202 * CHOOSE(CONTROL!$C$32, $C$9, 100%, $E$9)</f>
        <v>30.420200000000001</v>
      </c>
      <c r="K873" s="11">
        <f>30.4244 * CHOOSE(CONTROL!$C$32, $C$9, 100%, $E$9)</f>
        <v>30.424399999999999</v>
      </c>
      <c r="L873" s="11">
        <f>14.4292 * CHOOSE(CONTROL!$C$32, $C$9, 100%, $E$9)</f>
        <v>14.4292</v>
      </c>
      <c r="M873" s="11">
        <f>14.4334 * CHOOSE(CONTROL!$C$32, $C$9, 100%, $E$9)</f>
        <v>14.433400000000001</v>
      </c>
      <c r="N873" s="11">
        <f>14.4292 * CHOOSE(CONTROL!$C$32, $C$9, 100%, $E$9)</f>
        <v>14.4292</v>
      </c>
      <c r="O873" s="11">
        <f>14.4334 * CHOOSE(CONTROL!$C$32, $C$9, 100%, $E$9)</f>
        <v>14.433400000000001</v>
      </c>
    </row>
    <row r="874" spans="1:15" ht="15" x14ac:dyDescent="0.2">
      <c r="A874" s="13">
        <v>67451</v>
      </c>
      <c r="B874" s="9">
        <f>12.9185 * CHOOSE(CONTROL!$C$32, $C$9, 100%, $E$9)</f>
        <v>12.9185</v>
      </c>
      <c r="C874" s="9">
        <f>12.9185 * CHOOSE(CONTROL!$C$32, $C$9, 100%, $E$9)</f>
        <v>12.9185</v>
      </c>
      <c r="D874" s="9">
        <f>12.9198 * CHOOSE(CONTROL!$C$32, $C$9, 100%, $E$9)</f>
        <v>12.9198</v>
      </c>
      <c r="E874" s="11">
        <f>14.386 * CHOOSE(CONTROL!$C$32, $C$9, 100%, $E$9)</f>
        <v>14.385999999999999</v>
      </c>
      <c r="F874" s="11">
        <f>14.386 * CHOOSE(CONTROL!$C$32, $C$9, 100%, $E$9)</f>
        <v>14.385999999999999</v>
      </c>
      <c r="G874" s="11">
        <f>14.3902 * CHOOSE(CONTROL!$C$32, $C$9, 100%, $E$9)</f>
        <v>14.3902</v>
      </c>
      <c r="H874" s="11">
        <f>30.4836 * CHOOSE(CONTROL!$C$32, $C$9, 100%, $E$9)</f>
        <v>30.483599999999999</v>
      </c>
      <c r="I874" s="11">
        <f>30.4878 * CHOOSE(CONTROL!$C$32, $C$9, 100%, $E$9)</f>
        <v>30.4878</v>
      </c>
      <c r="J874" s="11">
        <f>30.4836 * CHOOSE(CONTROL!$C$32, $C$9, 100%, $E$9)</f>
        <v>30.483599999999999</v>
      </c>
      <c r="K874" s="11">
        <f>30.4878 * CHOOSE(CONTROL!$C$32, $C$9, 100%, $E$9)</f>
        <v>30.4878</v>
      </c>
      <c r="L874" s="11">
        <f>14.386 * CHOOSE(CONTROL!$C$32, $C$9, 100%, $E$9)</f>
        <v>14.385999999999999</v>
      </c>
      <c r="M874" s="11">
        <f>14.3902 * CHOOSE(CONTROL!$C$32, $C$9, 100%, $E$9)</f>
        <v>14.3902</v>
      </c>
      <c r="N874" s="11">
        <f>14.386 * CHOOSE(CONTROL!$C$32, $C$9, 100%, $E$9)</f>
        <v>14.385999999999999</v>
      </c>
      <c r="O874" s="11">
        <f>14.3902 * CHOOSE(CONTROL!$C$32, $C$9, 100%, $E$9)</f>
        <v>14.3902</v>
      </c>
    </row>
    <row r="875" spans="1:15" ht="15" x14ac:dyDescent="0.2">
      <c r="A875" s="13">
        <v>67481</v>
      </c>
      <c r="B875" s="9">
        <f>12.9469 * CHOOSE(CONTROL!$C$32, $C$9, 100%, $E$9)</f>
        <v>12.946899999999999</v>
      </c>
      <c r="C875" s="9">
        <f>12.9469 * CHOOSE(CONTROL!$C$32, $C$9, 100%, $E$9)</f>
        <v>12.946899999999999</v>
      </c>
      <c r="D875" s="9">
        <f>12.9479 * CHOOSE(CONTROL!$C$32, $C$9, 100%, $E$9)</f>
        <v>12.947900000000001</v>
      </c>
      <c r="E875" s="11">
        <f>14.5369 * CHOOSE(CONTROL!$C$32, $C$9, 100%, $E$9)</f>
        <v>14.536899999999999</v>
      </c>
      <c r="F875" s="11">
        <f>14.5369 * CHOOSE(CONTROL!$C$32, $C$9, 100%, $E$9)</f>
        <v>14.536899999999999</v>
      </c>
      <c r="G875" s="11">
        <f>14.5401 * CHOOSE(CONTROL!$C$32, $C$9, 100%, $E$9)</f>
        <v>14.540100000000001</v>
      </c>
      <c r="H875" s="11">
        <f>30.5471 * CHOOSE(CONTROL!$C$32, $C$9, 100%, $E$9)</f>
        <v>30.5471</v>
      </c>
      <c r="I875" s="11">
        <f>30.5503 * CHOOSE(CONTROL!$C$32, $C$9, 100%, $E$9)</f>
        <v>30.5503</v>
      </c>
      <c r="J875" s="11">
        <f>30.5471 * CHOOSE(CONTROL!$C$32, $C$9, 100%, $E$9)</f>
        <v>30.5471</v>
      </c>
      <c r="K875" s="11">
        <f>30.5503 * CHOOSE(CONTROL!$C$32, $C$9, 100%, $E$9)</f>
        <v>30.5503</v>
      </c>
      <c r="L875" s="11">
        <f>14.5369 * CHOOSE(CONTROL!$C$32, $C$9, 100%, $E$9)</f>
        <v>14.536899999999999</v>
      </c>
      <c r="M875" s="11">
        <f>14.5401 * CHOOSE(CONTROL!$C$32, $C$9, 100%, $E$9)</f>
        <v>14.540100000000001</v>
      </c>
      <c r="N875" s="11">
        <f>14.5369 * CHOOSE(CONTROL!$C$32, $C$9, 100%, $E$9)</f>
        <v>14.536899999999999</v>
      </c>
      <c r="O875" s="11">
        <f>14.5401 * CHOOSE(CONTROL!$C$32, $C$9, 100%, $E$9)</f>
        <v>14.540100000000001</v>
      </c>
    </row>
    <row r="876" spans="1:15" ht="15" x14ac:dyDescent="0.2">
      <c r="A876" s="13">
        <v>67512</v>
      </c>
      <c r="B876" s="9">
        <f>12.95 * CHOOSE(CONTROL!$C$32, $C$9, 100%, $E$9)</f>
        <v>12.95</v>
      </c>
      <c r="C876" s="9">
        <f>12.95 * CHOOSE(CONTROL!$C$32, $C$9, 100%, $E$9)</f>
        <v>12.95</v>
      </c>
      <c r="D876" s="9">
        <f>12.9509 * CHOOSE(CONTROL!$C$32, $C$9, 100%, $E$9)</f>
        <v>12.950900000000001</v>
      </c>
      <c r="E876" s="11">
        <f>14.6212 * CHOOSE(CONTROL!$C$32, $C$9, 100%, $E$9)</f>
        <v>14.6212</v>
      </c>
      <c r="F876" s="11">
        <f>14.6212 * CHOOSE(CONTROL!$C$32, $C$9, 100%, $E$9)</f>
        <v>14.6212</v>
      </c>
      <c r="G876" s="11">
        <f>14.6244 * CHOOSE(CONTROL!$C$32, $C$9, 100%, $E$9)</f>
        <v>14.6244</v>
      </c>
      <c r="H876" s="11">
        <f>30.6107 * CHOOSE(CONTROL!$C$32, $C$9, 100%, $E$9)</f>
        <v>30.610700000000001</v>
      </c>
      <c r="I876" s="11">
        <f>30.6139 * CHOOSE(CONTROL!$C$32, $C$9, 100%, $E$9)</f>
        <v>30.613900000000001</v>
      </c>
      <c r="J876" s="11">
        <f>30.6107 * CHOOSE(CONTROL!$C$32, $C$9, 100%, $E$9)</f>
        <v>30.610700000000001</v>
      </c>
      <c r="K876" s="11">
        <f>30.6139 * CHOOSE(CONTROL!$C$32, $C$9, 100%, $E$9)</f>
        <v>30.613900000000001</v>
      </c>
      <c r="L876" s="11">
        <f>14.6212 * CHOOSE(CONTROL!$C$32, $C$9, 100%, $E$9)</f>
        <v>14.6212</v>
      </c>
      <c r="M876" s="11">
        <f>14.6244 * CHOOSE(CONTROL!$C$32, $C$9, 100%, $E$9)</f>
        <v>14.6244</v>
      </c>
      <c r="N876" s="11">
        <f>14.6212 * CHOOSE(CONTROL!$C$32, $C$9, 100%, $E$9)</f>
        <v>14.6212</v>
      </c>
      <c r="O876" s="11">
        <f>14.6244 * CHOOSE(CONTROL!$C$32, $C$9, 100%, $E$9)</f>
        <v>14.6244</v>
      </c>
    </row>
    <row r="877" spans="1:15" ht="15" x14ac:dyDescent="0.2">
      <c r="A877" s="13">
        <v>67542</v>
      </c>
      <c r="B877" s="9">
        <f>12.95 * CHOOSE(CONTROL!$C$32, $C$9, 100%, $E$9)</f>
        <v>12.95</v>
      </c>
      <c r="C877" s="9">
        <f>12.95 * CHOOSE(CONTROL!$C$32, $C$9, 100%, $E$9)</f>
        <v>12.95</v>
      </c>
      <c r="D877" s="9">
        <f>12.9509 * CHOOSE(CONTROL!$C$32, $C$9, 100%, $E$9)</f>
        <v>12.950900000000001</v>
      </c>
      <c r="E877" s="11">
        <f>14.4158 * CHOOSE(CONTROL!$C$32, $C$9, 100%, $E$9)</f>
        <v>14.415800000000001</v>
      </c>
      <c r="F877" s="11">
        <f>14.4158 * CHOOSE(CONTROL!$C$32, $C$9, 100%, $E$9)</f>
        <v>14.415800000000001</v>
      </c>
      <c r="G877" s="11">
        <f>14.419 * CHOOSE(CONTROL!$C$32, $C$9, 100%, $E$9)</f>
        <v>14.419</v>
      </c>
      <c r="H877" s="11">
        <f>30.6745 * CHOOSE(CONTROL!$C$32, $C$9, 100%, $E$9)</f>
        <v>30.674499999999998</v>
      </c>
      <c r="I877" s="11">
        <f>30.6777 * CHOOSE(CONTROL!$C$32, $C$9, 100%, $E$9)</f>
        <v>30.677700000000002</v>
      </c>
      <c r="J877" s="11">
        <f>30.6745 * CHOOSE(CONTROL!$C$32, $C$9, 100%, $E$9)</f>
        <v>30.674499999999998</v>
      </c>
      <c r="K877" s="11">
        <f>30.6777 * CHOOSE(CONTROL!$C$32, $C$9, 100%, $E$9)</f>
        <v>30.677700000000002</v>
      </c>
      <c r="L877" s="11">
        <f>14.4158 * CHOOSE(CONTROL!$C$32, $C$9, 100%, $E$9)</f>
        <v>14.415800000000001</v>
      </c>
      <c r="M877" s="11">
        <f>14.419 * CHOOSE(CONTROL!$C$32, $C$9, 100%, $E$9)</f>
        <v>14.419</v>
      </c>
      <c r="N877" s="11">
        <f>14.4158 * CHOOSE(CONTROL!$C$32, $C$9, 100%, $E$9)</f>
        <v>14.415800000000001</v>
      </c>
      <c r="O877" s="11">
        <f>14.419 * CHOOSE(CONTROL!$C$32, $C$9, 100%, $E$9)</f>
        <v>14.419</v>
      </c>
    </row>
    <row r="878" spans="1:15" ht="15" x14ac:dyDescent="0.2">
      <c r="A878" s="13">
        <v>67573</v>
      </c>
      <c r="B878" s="9">
        <f>12.9414 * CHOOSE(CONTROL!$C$32, $C$9, 100%, $E$9)</f>
        <v>12.9414</v>
      </c>
      <c r="C878" s="9">
        <f>12.9414 * CHOOSE(CONTROL!$C$32, $C$9, 100%, $E$9)</f>
        <v>12.9414</v>
      </c>
      <c r="D878" s="9">
        <f>12.9424 * CHOOSE(CONTROL!$C$32, $C$9, 100%, $E$9)</f>
        <v>12.942399999999999</v>
      </c>
      <c r="E878" s="11">
        <f>14.5581 * CHOOSE(CONTROL!$C$32, $C$9, 100%, $E$9)</f>
        <v>14.5581</v>
      </c>
      <c r="F878" s="11">
        <f>14.5581 * CHOOSE(CONTROL!$C$32, $C$9, 100%, $E$9)</f>
        <v>14.5581</v>
      </c>
      <c r="G878" s="11">
        <f>14.5613 * CHOOSE(CONTROL!$C$32, $C$9, 100%, $E$9)</f>
        <v>14.561299999999999</v>
      </c>
      <c r="H878" s="11">
        <f>30.452 * CHOOSE(CONTROL!$C$32, $C$9, 100%, $E$9)</f>
        <v>30.452000000000002</v>
      </c>
      <c r="I878" s="11">
        <f>30.4553 * CHOOSE(CONTROL!$C$32, $C$9, 100%, $E$9)</f>
        <v>30.455300000000001</v>
      </c>
      <c r="J878" s="11">
        <f>30.452 * CHOOSE(CONTROL!$C$32, $C$9, 100%, $E$9)</f>
        <v>30.452000000000002</v>
      </c>
      <c r="K878" s="11">
        <f>30.4553 * CHOOSE(CONTROL!$C$32, $C$9, 100%, $E$9)</f>
        <v>30.455300000000001</v>
      </c>
      <c r="L878" s="11">
        <f>14.5581 * CHOOSE(CONTROL!$C$32, $C$9, 100%, $E$9)</f>
        <v>14.5581</v>
      </c>
      <c r="M878" s="11">
        <f>14.5613 * CHOOSE(CONTROL!$C$32, $C$9, 100%, $E$9)</f>
        <v>14.561299999999999</v>
      </c>
      <c r="N878" s="11">
        <f>14.5581 * CHOOSE(CONTROL!$C$32, $C$9, 100%, $E$9)</f>
        <v>14.5581</v>
      </c>
      <c r="O878" s="11">
        <f>14.5613 * CHOOSE(CONTROL!$C$32, $C$9, 100%, $E$9)</f>
        <v>14.561299999999999</v>
      </c>
    </row>
    <row r="879" spans="1:15" ht="15" x14ac:dyDescent="0.2">
      <c r="A879" s="13">
        <v>67604</v>
      </c>
      <c r="B879" s="9">
        <f>12.9384 * CHOOSE(CONTROL!$C$32, $C$9, 100%, $E$9)</f>
        <v>12.9384</v>
      </c>
      <c r="C879" s="9">
        <f>12.9384 * CHOOSE(CONTROL!$C$32, $C$9, 100%, $E$9)</f>
        <v>12.9384</v>
      </c>
      <c r="D879" s="9">
        <f>12.9394 * CHOOSE(CONTROL!$C$32, $C$9, 100%, $E$9)</f>
        <v>12.939399999999999</v>
      </c>
      <c r="E879" s="11">
        <f>14.1608 * CHOOSE(CONTROL!$C$32, $C$9, 100%, $E$9)</f>
        <v>14.1608</v>
      </c>
      <c r="F879" s="11">
        <f>14.1608 * CHOOSE(CONTROL!$C$32, $C$9, 100%, $E$9)</f>
        <v>14.1608</v>
      </c>
      <c r="G879" s="11">
        <f>14.164 * CHOOSE(CONTROL!$C$32, $C$9, 100%, $E$9)</f>
        <v>14.164</v>
      </c>
      <c r="H879" s="11">
        <f>30.5155 * CHOOSE(CONTROL!$C$32, $C$9, 100%, $E$9)</f>
        <v>30.515499999999999</v>
      </c>
      <c r="I879" s="11">
        <f>30.5187 * CHOOSE(CONTROL!$C$32, $C$9, 100%, $E$9)</f>
        <v>30.518699999999999</v>
      </c>
      <c r="J879" s="11">
        <f>30.5155 * CHOOSE(CONTROL!$C$32, $C$9, 100%, $E$9)</f>
        <v>30.515499999999999</v>
      </c>
      <c r="K879" s="11">
        <f>30.5187 * CHOOSE(CONTROL!$C$32, $C$9, 100%, $E$9)</f>
        <v>30.518699999999999</v>
      </c>
      <c r="L879" s="11">
        <f>14.1608 * CHOOSE(CONTROL!$C$32, $C$9, 100%, $E$9)</f>
        <v>14.1608</v>
      </c>
      <c r="M879" s="11">
        <f>14.164 * CHOOSE(CONTROL!$C$32, $C$9, 100%, $E$9)</f>
        <v>14.164</v>
      </c>
      <c r="N879" s="11">
        <f>14.1608 * CHOOSE(CONTROL!$C$32, $C$9, 100%, $E$9)</f>
        <v>14.1608</v>
      </c>
      <c r="O879" s="11">
        <f>14.164 * CHOOSE(CONTROL!$C$32, $C$9, 100%, $E$9)</f>
        <v>14.164</v>
      </c>
    </row>
    <row r="880" spans="1:15" ht="15" x14ac:dyDescent="0.2">
      <c r="A880" s="13">
        <v>67632</v>
      </c>
      <c r="B880" s="9">
        <f>12.9354 * CHOOSE(CONTROL!$C$32, $C$9, 100%, $E$9)</f>
        <v>12.9354</v>
      </c>
      <c r="C880" s="9">
        <f>12.9354 * CHOOSE(CONTROL!$C$32, $C$9, 100%, $E$9)</f>
        <v>12.9354</v>
      </c>
      <c r="D880" s="9">
        <f>12.9363 * CHOOSE(CONTROL!$C$32, $C$9, 100%, $E$9)</f>
        <v>12.936299999999999</v>
      </c>
      <c r="E880" s="11">
        <f>14.4702 * CHOOSE(CONTROL!$C$32, $C$9, 100%, $E$9)</f>
        <v>14.4702</v>
      </c>
      <c r="F880" s="11">
        <f>14.4702 * CHOOSE(CONTROL!$C$32, $C$9, 100%, $E$9)</f>
        <v>14.4702</v>
      </c>
      <c r="G880" s="11">
        <f>14.4734 * CHOOSE(CONTROL!$C$32, $C$9, 100%, $E$9)</f>
        <v>14.4734</v>
      </c>
      <c r="H880" s="11">
        <f>30.5791 * CHOOSE(CONTROL!$C$32, $C$9, 100%, $E$9)</f>
        <v>30.5791</v>
      </c>
      <c r="I880" s="11">
        <f>30.5823 * CHOOSE(CONTROL!$C$32, $C$9, 100%, $E$9)</f>
        <v>30.5823</v>
      </c>
      <c r="J880" s="11">
        <f>30.5791 * CHOOSE(CONTROL!$C$32, $C$9, 100%, $E$9)</f>
        <v>30.5791</v>
      </c>
      <c r="K880" s="11">
        <f>30.5823 * CHOOSE(CONTROL!$C$32, $C$9, 100%, $E$9)</f>
        <v>30.5823</v>
      </c>
      <c r="L880" s="11">
        <f>14.4702 * CHOOSE(CONTROL!$C$32, $C$9, 100%, $E$9)</f>
        <v>14.4702</v>
      </c>
      <c r="M880" s="11">
        <f>14.4734 * CHOOSE(CONTROL!$C$32, $C$9, 100%, $E$9)</f>
        <v>14.4734</v>
      </c>
      <c r="N880" s="11">
        <f>14.4702 * CHOOSE(CONTROL!$C$32, $C$9, 100%, $E$9)</f>
        <v>14.4702</v>
      </c>
      <c r="O880" s="11">
        <f>14.4734 * CHOOSE(CONTROL!$C$32, $C$9, 100%, $E$9)</f>
        <v>14.4734</v>
      </c>
    </row>
    <row r="881" spans="1:15" ht="15" x14ac:dyDescent="0.2">
      <c r="A881" s="13">
        <v>67663</v>
      </c>
      <c r="B881" s="9">
        <f>12.9417 * CHOOSE(CONTROL!$C$32, $C$9, 100%, $E$9)</f>
        <v>12.941700000000001</v>
      </c>
      <c r="C881" s="9">
        <f>12.9417 * CHOOSE(CONTROL!$C$32, $C$9, 100%, $E$9)</f>
        <v>12.941700000000001</v>
      </c>
      <c r="D881" s="9">
        <f>12.9426 * CHOOSE(CONTROL!$C$32, $C$9, 100%, $E$9)</f>
        <v>12.942600000000001</v>
      </c>
      <c r="E881" s="11">
        <f>14.8005 * CHOOSE(CONTROL!$C$32, $C$9, 100%, $E$9)</f>
        <v>14.8005</v>
      </c>
      <c r="F881" s="11">
        <f>14.8005 * CHOOSE(CONTROL!$C$32, $C$9, 100%, $E$9)</f>
        <v>14.8005</v>
      </c>
      <c r="G881" s="11">
        <f>14.8038 * CHOOSE(CONTROL!$C$32, $C$9, 100%, $E$9)</f>
        <v>14.803800000000001</v>
      </c>
      <c r="H881" s="11">
        <f>30.6428 * CHOOSE(CONTROL!$C$32, $C$9, 100%, $E$9)</f>
        <v>30.642800000000001</v>
      </c>
      <c r="I881" s="11">
        <f>30.646 * CHOOSE(CONTROL!$C$32, $C$9, 100%, $E$9)</f>
        <v>30.646000000000001</v>
      </c>
      <c r="J881" s="11">
        <f>30.6428 * CHOOSE(CONTROL!$C$32, $C$9, 100%, $E$9)</f>
        <v>30.642800000000001</v>
      </c>
      <c r="K881" s="11">
        <f>30.646 * CHOOSE(CONTROL!$C$32, $C$9, 100%, $E$9)</f>
        <v>30.646000000000001</v>
      </c>
      <c r="L881" s="11">
        <f>14.8005 * CHOOSE(CONTROL!$C$32, $C$9, 100%, $E$9)</f>
        <v>14.8005</v>
      </c>
      <c r="M881" s="11">
        <f>14.8038 * CHOOSE(CONTROL!$C$32, $C$9, 100%, $E$9)</f>
        <v>14.803800000000001</v>
      </c>
      <c r="N881" s="11">
        <f>14.8005 * CHOOSE(CONTROL!$C$32, $C$9, 100%, $E$9)</f>
        <v>14.8005</v>
      </c>
      <c r="O881" s="11">
        <f>14.8038 * CHOOSE(CONTROL!$C$32, $C$9, 100%, $E$9)</f>
        <v>14.803800000000001</v>
      </c>
    </row>
    <row r="882" spans="1:15" ht="15" x14ac:dyDescent="0.2">
      <c r="A882" s="13">
        <v>67693</v>
      </c>
      <c r="B882" s="9">
        <f>12.9417 * CHOOSE(CONTROL!$C$32, $C$9, 100%, $E$9)</f>
        <v>12.941700000000001</v>
      </c>
      <c r="C882" s="9">
        <f>12.9417 * CHOOSE(CONTROL!$C$32, $C$9, 100%, $E$9)</f>
        <v>12.941700000000001</v>
      </c>
      <c r="D882" s="9">
        <f>12.9429 * CHOOSE(CONTROL!$C$32, $C$9, 100%, $E$9)</f>
        <v>12.9429</v>
      </c>
      <c r="E882" s="11">
        <f>14.926 * CHOOSE(CONTROL!$C$32, $C$9, 100%, $E$9)</f>
        <v>14.926</v>
      </c>
      <c r="F882" s="11">
        <f>14.926 * CHOOSE(CONTROL!$C$32, $C$9, 100%, $E$9)</f>
        <v>14.926</v>
      </c>
      <c r="G882" s="11">
        <f>14.9302 * CHOOSE(CONTROL!$C$32, $C$9, 100%, $E$9)</f>
        <v>14.930199999999999</v>
      </c>
      <c r="H882" s="11">
        <f>30.7066 * CHOOSE(CONTROL!$C$32, $C$9, 100%, $E$9)</f>
        <v>30.706600000000002</v>
      </c>
      <c r="I882" s="11">
        <f>30.7108 * CHOOSE(CONTROL!$C$32, $C$9, 100%, $E$9)</f>
        <v>30.710799999999999</v>
      </c>
      <c r="J882" s="11">
        <f>30.7066 * CHOOSE(CONTROL!$C$32, $C$9, 100%, $E$9)</f>
        <v>30.706600000000002</v>
      </c>
      <c r="K882" s="11">
        <f>30.7108 * CHOOSE(CONTROL!$C$32, $C$9, 100%, $E$9)</f>
        <v>30.710799999999999</v>
      </c>
      <c r="L882" s="11">
        <f>14.926 * CHOOSE(CONTROL!$C$32, $C$9, 100%, $E$9)</f>
        <v>14.926</v>
      </c>
      <c r="M882" s="11">
        <f>14.9302 * CHOOSE(CONTROL!$C$32, $C$9, 100%, $E$9)</f>
        <v>14.930199999999999</v>
      </c>
      <c r="N882" s="11">
        <f>14.926 * CHOOSE(CONTROL!$C$32, $C$9, 100%, $E$9)</f>
        <v>14.926</v>
      </c>
      <c r="O882" s="11">
        <f>14.9302 * CHOOSE(CONTROL!$C$32, $C$9, 100%, $E$9)</f>
        <v>14.930199999999999</v>
      </c>
    </row>
    <row r="883" spans="1:15" ht="15" x14ac:dyDescent="0.2">
      <c r="A883" s="13">
        <v>67724</v>
      </c>
      <c r="B883" s="9">
        <f>12.9478 * CHOOSE(CONTROL!$C$32, $C$9, 100%, $E$9)</f>
        <v>12.947800000000001</v>
      </c>
      <c r="C883" s="9">
        <f>12.9478 * CHOOSE(CONTROL!$C$32, $C$9, 100%, $E$9)</f>
        <v>12.947800000000001</v>
      </c>
      <c r="D883" s="9">
        <f>12.949 * CHOOSE(CONTROL!$C$32, $C$9, 100%, $E$9)</f>
        <v>12.949</v>
      </c>
      <c r="E883" s="11">
        <f>14.8048 * CHOOSE(CONTROL!$C$32, $C$9, 100%, $E$9)</f>
        <v>14.8048</v>
      </c>
      <c r="F883" s="11">
        <f>14.8048 * CHOOSE(CONTROL!$C$32, $C$9, 100%, $E$9)</f>
        <v>14.8048</v>
      </c>
      <c r="G883" s="11">
        <f>14.809 * CHOOSE(CONTROL!$C$32, $C$9, 100%, $E$9)</f>
        <v>14.808999999999999</v>
      </c>
      <c r="H883" s="11">
        <f>30.7706 * CHOOSE(CONTROL!$C$32, $C$9, 100%, $E$9)</f>
        <v>30.770600000000002</v>
      </c>
      <c r="I883" s="11">
        <f>30.7748 * CHOOSE(CONTROL!$C$32, $C$9, 100%, $E$9)</f>
        <v>30.774799999999999</v>
      </c>
      <c r="J883" s="11">
        <f>30.7706 * CHOOSE(CONTROL!$C$32, $C$9, 100%, $E$9)</f>
        <v>30.770600000000002</v>
      </c>
      <c r="K883" s="11">
        <f>30.7748 * CHOOSE(CONTROL!$C$32, $C$9, 100%, $E$9)</f>
        <v>30.774799999999999</v>
      </c>
      <c r="L883" s="11">
        <f>14.8048 * CHOOSE(CONTROL!$C$32, $C$9, 100%, $E$9)</f>
        <v>14.8048</v>
      </c>
      <c r="M883" s="11">
        <f>14.809 * CHOOSE(CONTROL!$C$32, $C$9, 100%, $E$9)</f>
        <v>14.808999999999999</v>
      </c>
      <c r="N883" s="11">
        <f>14.8048 * CHOOSE(CONTROL!$C$32, $C$9, 100%, $E$9)</f>
        <v>14.8048</v>
      </c>
      <c r="O883" s="11">
        <f>14.809 * CHOOSE(CONTROL!$C$32, $C$9, 100%, $E$9)</f>
        <v>14.808999999999999</v>
      </c>
    </row>
    <row r="884" spans="1:15" ht="15" x14ac:dyDescent="0.2">
      <c r="A884" s="13">
        <v>67754</v>
      </c>
      <c r="B884" s="9">
        <f>13.1045 * CHOOSE(CONTROL!$C$32, $C$9, 100%, $E$9)</f>
        <v>13.1045</v>
      </c>
      <c r="C884" s="9">
        <f>13.1045 * CHOOSE(CONTROL!$C$32, $C$9, 100%, $E$9)</f>
        <v>13.1045</v>
      </c>
      <c r="D884" s="9">
        <f>13.1057 * CHOOSE(CONTROL!$C$32, $C$9, 100%, $E$9)</f>
        <v>13.105700000000001</v>
      </c>
      <c r="E884" s="11">
        <f>15.0144 * CHOOSE(CONTROL!$C$32, $C$9, 100%, $E$9)</f>
        <v>15.0144</v>
      </c>
      <c r="F884" s="11">
        <f>15.0144 * CHOOSE(CONTROL!$C$32, $C$9, 100%, $E$9)</f>
        <v>15.0144</v>
      </c>
      <c r="G884" s="11">
        <f>15.0186 * CHOOSE(CONTROL!$C$32, $C$9, 100%, $E$9)</f>
        <v>15.018599999999999</v>
      </c>
      <c r="H884" s="11">
        <f>30.8347 * CHOOSE(CONTROL!$C$32, $C$9, 100%, $E$9)</f>
        <v>30.834700000000002</v>
      </c>
      <c r="I884" s="11">
        <f>30.8389 * CHOOSE(CONTROL!$C$32, $C$9, 100%, $E$9)</f>
        <v>30.838899999999999</v>
      </c>
      <c r="J884" s="11">
        <f>30.8347 * CHOOSE(CONTROL!$C$32, $C$9, 100%, $E$9)</f>
        <v>30.834700000000002</v>
      </c>
      <c r="K884" s="11">
        <f>30.8389 * CHOOSE(CONTROL!$C$32, $C$9, 100%, $E$9)</f>
        <v>30.838899999999999</v>
      </c>
      <c r="L884" s="11">
        <f>15.0144 * CHOOSE(CONTROL!$C$32, $C$9, 100%, $E$9)</f>
        <v>15.0144</v>
      </c>
      <c r="M884" s="11">
        <f>15.0186 * CHOOSE(CONTROL!$C$32, $C$9, 100%, $E$9)</f>
        <v>15.018599999999999</v>
      </c>
      <c r="N884" s="11">
        <f>15.0144 * CHOOSE(CONTROL!$C$32, $C$9, 100%, $E$9)</f>
        <v>15.0144</v>
      </c>
      <c r="O884" s="11">
        <f>15.0186 * CHOOSE(CONTROL!$C$32, $C$9, 100%, $E$9)</f>
        <v>15.018599999999999</v>
      </c>
    </row>
    <row r="885" spans="1:15" ht="15" x14ac:dyDescent="0.2">
      <c r="A885" s="13">
        <v>67785</v>
      </c>
      <c r="B885" s="9">
        <f>13.1112 * CHOOSE(CONTROL!$C$32, $C$9, 100%, $E$9)</f>
        <v>13.1112</v>
      </c>
      <c r="C885" s="9">
        <f>13.1112 * CHOOSE(CONTROL!$C$32, $C$9, 100%, $E$9)</f>
        <v>13.1112</v>
      </c>
      <c r="D885" s="9">
        <f>13.1124 * CHOOSE(CONTROL!$C$32, $C$9, 100%, $E$9)</f>
        <v>13.112399999999999</v>
      </c>
      <c r="E885" s="11">
        <f>14.6427 * CHOOSE(CONTROL!$C$32, $C$9, 100%, $E$9)</f>
        <v>14.6427</v>
      </c>
      <c r="F885" s="11">
        <f>14.6427 * CHOOSE(CONTROL!$C$32, $C$9, 100%, $E$9)</f>
        <v>14.6427</v>
      </c>
      <c r="G885" s="11">
        <f>14.6469 * CHOOSE(CONTROL!$C$32, $C$9, 100%, $E$9)</f>
        <v>14.6469</v>
      </c>
      <c r="H885" s="11">
        <f>30.8989 * CHOOSE(CONTROL!$C$32, $C$9, 100%, $E$9)</f>
        <v>30.898900000000001</v>
      </c>
      <c r="I885" s="11">
        <f>30.9031 * CHOOSE(CONTROL!$C$32, $C$9, 100%, $E$9)</f>
        <v>30.903099999999998</v>
      </c>
      <c r="J885" s="11">
        <f>30.8989 * CHOOSE(CONTROL!$C$32, $C$9, 100%, $E$9)</f>
        <v>30.898900000000001</v>
      </c>
      <c r="K885" s="11">
        <f>30.9031 * CHOOSE(CONTROL!$C$32, $C$9, 100%, $E$9)</f>
        <v>30.903099999999998</v>
      </c>
      <c r="L885" s="11">
        <f>14.6427 * CHOOSE(CONTROL!$C$32, $C$9, 100%, $E$9)</f>
        <v>14.6427</v>
      </c>
      <c r="M885" s="11">
        <f>14.6469 * CHOOSE(CONTROL!$C$32, $C$9, 100%, $E$9)</f>
        <v>14.6469</v>
      </c>
      <c r="N885" s="11">
        <f>14.6427 * CHOOSE(CONTROL!$C$32, $C$9, 100%, $E$9)</f>
        <v>14.6427</v>
      </c>
      <c r="O885" s="11">
        <f>14.6469 * CHOOSE(CONTROL!$C$32, $C$9, 100%, $E$9)</f>
        <v>14.6469</v>
      </c>
    </row>
    <row r="886" spans="1:15" ht="15" x14ac:dyDescent="0.2">
      <c r="A886" s="13">
        <v>67816</v>
      </c>
      <c r="B886" s="9">
        <f>13.1081 * CHOOSE(CONTROL!$C$32, $C$9, 100%, $E$9)</f>
        <v>13.1081</v>
      </c>
      <c r="C886" s="9">
        <f>13.1081 * CHOOSE(CONTROL!$C$32, $C$9, 100%, $E$9)</f>
        <v>13.1081</v>
      </c>
      <c r="D886" s="9">
        <f>13.1094 * CHOOSE(CONTROL!$C$32, $C$9, 100%, $E$9)</f>
        <v>13.109400000000001</v>
      </c>
      <c r="E886" s="11">
        <f>14.5987 * CHOOSE(CONTROL!$C$32, $C$9, 100%, $E$9)</f>
        <v>14.598699999999999</v>
      </c>
      <c r="F886" s="11">
        <f>14.5987 * CHOOSE(CONTROL!$C$32, $C$9, 100%, $E$9)</f>
        <v>14.598699999999999</v>
      </c>
      <c r="G886" s="11">
        <f>14.6029 * CHOOSE(CONTROL!$C$32, $C$9, 100%, $E$9)</f>
        <v>14.6029</v>
      </c>
      <c r="H886" s="11">
        <f>30.9633 * CHOOSE(CONTROL!$C$32, $C$9, 100%, $E$9)</f>
        <v>30.9633</v>
      </c>
      <c r="I886" s="11">
        <f>30.9675 * CHOOSE(CONTROL!$C$32, $C$9, 100%, $E$9)</f>
        <v>30.967500000000001</v>
      </c>
      <c r="J886" s="11">
        <f>30.9633 * CHOOSE(CONTROL!$C$32, $C$9, 100%, $E$9)</f>
        <v>30.9633</v>
      </c>
      <c r="K886" s="11">
        <f>30.9675 * CHOOSE(CONTROL!$C$32, $C$9, 100%, $E$9)</f>
        <v>30.967500000000001</v>
      </c>
      <c r="L886" s="11">
        <f>14.5987 * CHOOSE(CONTROL!$C$32, $C$9, 100%, $E$9)</f>
        <v>14.598699999999999</v>
      </c>
      <c r="M886" s="11">
        <f>14.6029 * CHOOSE(CONTROL!$C$32, $C$9, 100%, $E$9)</f>
        <v>14.6029</v>
      </c>
      <c r="N886" s="11">
        <f>14.5987 * CHOOSE(CONTROL!$C$32, $C$9, 100%, $E$9)</f>
        <v>14.598699999999999</v>
      </c>
      <c r="O886" s="11">
        <f>14.6029 * CHOOSE(CONTROL!$C$32, $C$9, 100%, $E$9)</f>
        <v>14.6029</v>
      </c>
    </row>
    <row r="887" spans="1:15" ht="15" x14ac:dyDescent="0.2">
      <c r="A887" s="13">
        <v>67846</v>
      </c>
      <c r="B887" s="9">
        <f>13.1372 * CHOOSE(CONTROL!$C$32, $C$9, 100%, $E$9)</f>
        <v>13.1372</v>
      </c>
      <c r="C887" s="9">
        <f>13.1372 * CHOOSE(CONTROL!$C$32, $C$9, 100%, $E$9)</f>
        <v>13.1372</v>
      </c>
      <c r="D887" s="9">
        <f>13.1382 * CHOOSE(CONTROL!$C$32, $C$9, 100%, $E$9)</f>
        <v>13.138199999999999</v>
      </c>
      <c r="E887" s="11">
        <f>14.7526 * CHOOSE(CONTROL!$C$32, $C$9, 100%, $E$9)</f>
        <v>14.752599999999999</v>
      </c>
      <c r="F887" s="11">
        <f>14.7526 * CHOOSE(CONTROL!$C$32, $C$9, 100%, $E$9)</f>
        <v>14.752599999999999</v>
      </c>
      <c r="G887" s="11">
        <f>14.7558 * CHOOSE(CONTROL!$C$32, $C$9, 100%, $E$9)</f>
        <v>14.755800000000001</v>
      </c>
      <c r="H887" s="11">
        <f>31.0278 * CHOOSE(CONTROL!$C$32, $C$9, 100%, $E$9)</f>
        <v>31.027799999999999</v>
      </c>
      <c r="I887" s="11">
        <f>31.031 * CHOOSE(CONTROL!$C$32, $C$9, 100%, $E$9)</f>
        <v>31.030999999999999</v>
      </c>
      <c r="J887" s="11">
        <f>31.0278 * CHOOSE(CONTROL!$C$32, $C$9, 100%, $E$9)</f>
        <v>31.027799999999999</v>
      </c>
      <c r="K887" s="11">
        <f>31.031 * CHOOSE(CONTROL!$C$32, $C$9, 100%, $E$9)</f>
        <v>31.030999999999999</v>
      </c>
      <c r="L887" s="11">
        <f>14.7526 * CHOOSE(CONTROL!$C$32, $C$9, 100%, $E$9)</f>
        <v>14.752599999999999</v>
      </c>
      <c r="M887" s="11">
        <f>14.7558 * CHOOSE(CONTROL!$C$32, $C$9, 100%, $E$9)</f>
        <v>14.755800000000001</v>
      </c>
      <c r="N887" s="11">
        <f>14.7526 * CHOOSE(CONTROL!$C$32, $C$9, 100%, $E$9)</f>
        <v>14.752599999999999</v>
      </c>
      <c r="O887" s="11">
        <f>14.7558 * CHOOSE(CONTROL!$C$32, $C$9, 100%, $E$9)</f>
        <v>14.755800000000001</v>
      </c>
    </row>
    <row r="888" spans="1:15" ht="15" x14ac:dyDescent="0.2">
      <c r="A888" s="13">
        <v>67877</v>
      </c>
      <c r="B888" s="9">
        <f>13.1403 * CHOOSE(CONTROL!$C$32, $C$9, 100%, $E$9)</f>
        <v>13.1403</v>
      </c>
      <c r="C888" s="9">
        <f>13.1403 * CHOOSE(CONTROL!$C$32, $C$9, 100%, $E$9)</f>
        <v>13.1403</v>
      </c>
      <c r="D888" s="9">
        <f>13.1412 * CHOOSE(CONTROL!$C$32, $C$9, 100%, $E$9)</f>
        <v>13.1412</v>
      </c>
      <c r="E888" s="11">
        <f>14.8383 * CHOOSE(CONTROL!$C$32, $C$9, 100%, $E$9)</f>
        <v>14.8383</v>
      </c>
      <c r="F888" s="11">
        <f>14.8383 * CHOOSE(CONTROL!$C$32, $C$9, 100%, $E$9)</f>
        <v>14.8383</v>
      </c>
      <c r="G888" s="11">
        <f>14.8416 * CHOOSE(CONTROL!$C$32, $C$9, 100%, $E$9)</f>
        <v>14.8416</v>
      </c>
      <c r="H888" s="11">
        <f>31.0924 * CHOOSE(CONTROL!$C$32, $C$9, 100%, $E$9)</f>
        <v>31.092400000000001</v>
      </c>
      <c r="I888" s="11">
        <f>31.0957 * CHOOSE(CONTROL!$C$32, $C$9, 100%, $E$9)</f>
        <v>31.095700000000001</v>
      </c>
      <c r="J888" s="11">
        <f>31.0924 * CHOOSE(CONTROL!$C$32, $C$9, 100%, $E$9)</f>
        <v>31.092400000000001</v>
      </c>
      <c r="K888" s="11">
        <f>31.0957 * CHOOSE(CONTROL!$C$32, $C$9, 100%, $E$9)</f>
        <v>31.095700000000001</v>
      </c>
      <c r="L888" s="11">
        <f>14.8383 * CHOOSE(CONTROL!$C$32, $C$9, 100%, $E$9)</f>
        <v>14.8383</v>
      </c>
      <c r="M888" s="11">
        <f>14.8416 * CHOOSE(CONTROL!$C$32, $C$9, 100%, $E$9)</f>
        <v>14.8416</v>
      </c>
      <c r="N888" s="11">
        <f>14.8383 * CHOOSE(CONTROL!$C$32, $C$9, 100%, $E$9)</f>
        <v>14.8383</v>
      </c>
      <c r="O888" s="11">
        <f>14.8416 * CHOOSE(CONTROL!$C$32, $C$9, 100%, $E$9)</f>
        <v>14.8416</v>
      </c>
    </row>
    <row r="889" spans="1:15" ht="15" x14ac:dyDescent="0.2">
      <c r="A889" s="13">
        <v>67907</v>
      </c>
      <c r="B889" s="9">
        <f>13.1403 * CHOOSE(CONTROL!$C$32, $C$9, 100%, $E$9)</f>
        <v>13.1403</v>
      </c>
      <c r="C889" s="9">
        <f>13.1403 * CHOOSE(CONTROL!$C$32, $C$9, 100%, $E$9)</f>
        <v>13.1403</v>
      </c>
      <c r="D889" s="9">
        <f>13.1412 * CHOOSE(CONTROL!$C$32, $C$9, 100%, $E$9)</f>
        <v>13.1412</v>
      </c>
      <c r="E889" s="11">
        <f>14.6292 * CHOOSE(CONTROL!$C$32, $C$9, 100%, $E$9)</f>
        <v>14.629200000000001</v>
      </c>
      <c r="F889" s="11">
        <f>14.6292 * CHOOSE(CONTROL!$C$32, $C$9, 100%, $E$9)</f>
        <v>14.629200000000001</v>
      </c>
      <c r="G889" s="11">
        <f>14.6325 * CHOOSE(CONTROL!$C$32, $C$9, 100%, $E$9)</f>
        <v>14.6325</v>
      </c>
      <c r="H889" s="11">
        <f>31.1572 * CHOOSE(CONTROL!$C$32, $C$9, 100%, $E$9)</f>
        <v>31.1572</v>
      </c>
      <c r="I889" s="11">
        <f>31.1604 * CHOOSE(CONTROL!$C$32, $C$9, 100%, $E$9)</f>
        <v>31.160399999999999</v>
      </c>
      <c r="J889" s="11">
        <f>31.1572 * CHOOSE(CONTROL!$C$32, $C$9, 100%, $E$9)</f>
        <v>31.1572</v>
      </c>
      <c r="K889" s="11">
        <f>31.1604 * CHOOSE(CONTROL!$C$32, $C$9, 100%, $E$9)</f>
        <v>31.160399999999999</v>
      </c>
      <c r="L889" s="11">
        <f>14.6292 * CHOOSE(CONTROL!$C$32, $C$9, 100%, $E$9)</f>
        <v>14.629200000000001</v>
      </c>
      <c r="M889" s="11">
        <f>14.6325 * CHOOSE(CONTROL!$C$32, $C$9, 100%, $E$9)</f>
        <v>14.6325</v>
      </c>
      <c r="N889" s="11">
        <f>14.6292 * CHOOSE(CONTROL!$C$32, $C$9, 100%, $E$9)</f>
        <v>14.629200000000001</v>
      </c>
      <c r="O889" s="11">
        <f>14.6325 * CHOOSE(CONTROL!$C$32, $C$9, 100%, $E$9)</f>
        <v>14.6325</v>
      </c>
    </row>
    <row r="890" spans="1:15" ht="15" x14ac:dyDescent="0.2">
      <c r="A890" s="13">
        <v>67938</v>
      </c>
      <c r="B890" s="9">
        <f>13.1288 * CHOOSE(CONTROL!$C$32, $C$9, 100%, $E$9)</f>
        <v>13.1288</v>
      </c>
      <c r="C890" s="9">
        <f>13.1288 * CHOOSE(CONTROL!$C$32, $C$9, 100%, $E$9)</f>
        <v>13.1288</v>
      </c>
      <c r="D890" s="9">
        <f>13.1298 * CHOOSE(CONTROL!$C$32, $C$9, 100%, $E$9)</f>
        <v>13.129799999999999</v>
      </c>
      <c r="E890" s="11">
        <f>14.7706 * CHOOSE(CONTROL!$C$32, $C$9, 100%, $E$9)</f>
        <v>14.7706</v>
      </c>
      <c r="F890" s="11">
        <f>14.7706 * CHOOSE(CONTROL!$C$32, $C$9, 100%, $E$9)</f>
        <v>14.7706</v>
      </c>
      <c r="G890" s="11">
        <f>14.7738 * CHOOSE(CONTROL!$C$32, $C$9, 100%, $E$9)</f>
        <v>14.7738</v>
      </c>
      <c r="H890" s="11">
        <f>30.9239 * CHOOSE(CONTROL!$C$32, $C$9, 100%, $E$9)</f>
        <v>30.9239</v>
      </c>
      <c r="I890" s="11">
        <f>30.9271 * CHOOSE(CONTROL!$C$32, $C$9, 100%, $E$9)</f>
        <v>30.927099999999999</v>
      </c>
      <c r="J890" s="11">
        <f>30.9239 * CHOOSE(CONTROL!$C$32, $C$9, 100%, $E$9)</f>
        <v>30.9239</v>
      </c>
      <c r="K890" s="11">
        <f>30.9271 * CHOOSE(CONTROL!$C$32, $C$9, 100%, $E$9)</f>
        <v>30.927099999999999</v>
      </c>
      <c r="L890" s="11">
        <f>14.7706 * CHOOSE(CONTROL!$C$32, $C$9, 100%, $E$9)</f>
        <v>14.7706</v>
      </c>
      <c r="M890" s="11">
        <f>14.7738 * CHOOSE(CONTROL!$C$32, $C$9, 100%, $E$9)</f>
        <v>14.7738</v>
      </c>
      <c r="N890" s="11">
        <f>14.7706 * CHOOSE(CONTROL!$C$32, $C$9, 100%, $E$9)</f>
        <v>14.7706</v>
      </c>
      <c r="O890" s="11">
        <f>14.7738 * CHOOSE(CONTROL!$C$32, $C$9, 100%, $E$9)</f>
        <v>14.7738</v>
      </c>
    </row>
    <row r="891" spans="1:15" ht="15" x14ac:dyDescent="0.2">
      <c r="A891" s="13">
        <v>67969</v>
      </c>
      <c r="B891" s="9">
        <f>13.1258 * CHOOSE(CONTROL!$C$32, $C$9, 100%, $E$9)</f>
        <v>13.1258</v>
      </c>
      <c r="C891" s="9">
        <f>13.1258 * CHOOSE(CONTROL!$C$32, $C$9, 100%, $E$9)</f>
        <v>13.1258</v>
      </c>
      <c r="D891" s="9">
        <f>13.1267 * CHOOSE(CONTROL!$C$32, $C$9, 100%, $E$9)</f>
        <v>13.1267</v>
      </c>
      <c r="E891" s="11">
        <f>14.3662 * CHOOSE(CONTROL!$C$32, $C$9, 100%, $E$9)</f>
        <v>14.366199999999999</v>
      </c>
      <c r="F891" s="11">
        <f>14.3662 * CHOOSE(CONTROL!$C$32, $C$9, 100%, $E$9)</f>
        <v>14.366199999999999</v>
      </c>
      <c r="G891" s="11">
        <f>14.3694 * CHOOSE(CONTROL!$C$32, $C$9, 100%, $E$9)</f>
        <v>14.369400000000001</v>
      </c>
      <c r="H891" s="11">
        <f>30.9883 * CHOOSE(CONTROL!$C$32, $C$9, 100%, $E$9)</f>
        <v>30.988299999999999</v>
      </c>
      <c r="I891" s="11">
        <f>30.9915 * CHOOSE(CONTROL!$C$32, $C$9, 100%, $E$9)</f>
        <v>30.991499999999998</v>
      </c>
      <c r="J891" s="11">
        <f>30.9883 * CHOOSE(CONTROL!$C$32, $C$9, 100%, $E$9)</f>
        <v>30.988299999999999</v>
      </c>
      <c r="K891" s="11">
        <f>30.9915 * CHOOSE(CONTROL!$C$32, $C$9, 100%, $E$9)</f>
        <v>30.991499999999998</v>
      </c>
      <c r="L891" s="11">
        <f>14.3662 * CHOOSE(CONTROL!$C$32, $C$9, 100%, $E$9)</f>
        <v>14.366199999999999</v>
      </c>
      <c r="M891" s="11">
        <f>14.3694 * CHOOSE(CONTROL!$C$32, $C$9, 100%, $E$9)</f>
        <v>14.369400000000001</v>
      </c>
      <c r="N891" s="11">
        <f>14.3662 * CHOOSE(CONTROL!$C$32, $C$9, 100%, $E$9)</f>
        <v>14.366199999999999</v>
      </c>
      <c r="O891" s="11">
        <f>14.3694 * CHOOSE(CONTROL!$C$32, $C$9, 100%, $E$9)</f>
        <v>14.369400000000001</v>
      </c>
    </row>
    <row r="892" spans="1:15" ht="15" x14ac:dyDescent="0.2">
      <c r="A892" s="13">
        <v>67997</v>
      </c>
      <c r="B892" s="9">
        <f>13.1227 * CHOOSE(CONTROL!$C$32, $C$9, 100%, $E$9)</f>
        <v>13.1227</v>
      </c>
      <c r="C892" s="9">
        <f>13.1227 * CHOOSE(CONTROL!$C$32, $C$9, 100%, $E$9)</f>
        <v>13.1227</v>
      </c>
      <c r="D892" s="9">
        <f>13.1237 * CHOOSE(CONTROL!$C$32, $C$9, 100%, $E$9)</f>
        <v>13.123699999999999</v>
      </c>
      <c r="E892" s="11">
        <f>14.6812 * CHOOSE(CONTROL!$C$32, $C$9, 100%, $E$9)</f>
        <v>14.6812</v>
      </c>
      <c r="F892" s="11">
        <f>14.6812 * CHOOSE(CONTROL!$C$32, $C$9, 100%, $E$9)</f>
        <v>14.6812</v>
      </c>
      <c r="G892" s="11">
        <f>14.6844 * CHOOSE(CONTROL!$C$32, $C$9, 100%, $E$9)</f>
        <v>14.6844</v>
      </c>
      <c r="H892" s="11">
        <f>31.0528 * CHOOSE(CONTROL!$C$32, $C$9, 100%, $E$9)</f>
        <v>31.052800000000001</v>
      </c>
      <c r="I892" s="11">
        <f>31.0561 * CHOOSE(CONTROL!$C$32, $C$9, 100%, $E$9)</f>
        <v>31.056100000000001</v>
      </c>
      <c r="J892" s="11">
        <f>31.0528 * CHOOSE(CONTROL!$C$32, $C$9, 100%, $E$9)</f>
        <v>31.052800000000001</v>
      </c>
      <c r="K892" s="11">
        <f>31.0561 * CHOOSE(CONTROL!$C$32, $C$9, 100%, $E$9)</f>
        <v>31.056100000000001</v>
      </c>
      <c r="L892" s="11">
        <f>14.6812 * CHOOSE(CONTROL!$C$32, $C$9, 100%, $E$9)</f>
        <v>14.6812</v>
      </c>
      <c r="M892" s="11">
        <f>14.6844 * CHOOSE(CONTROL!$C$32, $C$9, 100%, $E$9)</f>
        <v>14.6844</v>
      </c>
      <c r="N892" s="11">
        <f>14.6812 * CHOOSE(CONTROL!$C$32, $C$9, 100%, $E$9)</f>
        <v>14.6812</v>
      </c>
      <c r="O892" s="11">
        <f>14.6844 * CHOOSE(CONTROL!$C$32, $C$9, 100%, $E$9)</f>
        <v>14.6844</v>
      </c>
    </row>
    <row r="893" spans="1:15" ht="15" x14ac:dyDescent="0.2">
      <c r="A893" s="13">
        <v>68028</v>
      </c>
      <c r="B893" s="9">
        <f>13.1292 * CHOOSE(CONTROL!$C$32, $C$9, 100%, $E$9)</f>
        <v>13.129200000000001</v>
      </c>
      <c r="C893" s="9">
        <f>13.1292 * CHOOSE(CONTROL!$C$32, $C$9, 100%, $E$9)</f>
        <v>13.129200000000001</v>
      </c>
      <c r="D893" s="9">
        <f>13.1302 * CHOOSE(CONTROL!$C$32, $C$9, 100%, $E$9)</f>
        <v>13.1302</v>
      </c>
      <c r="E893" s="11">
        <f>15.0175 * CHOOSE(CONTROL!$C$32, $C$9, 100%, $E$9)</f>
        <v>15.0175</v>
      </c>
      <c r="F893" s="11">
        <f>15.0175 * CHOOSE(CONTROL!$C$32, $C$9, 100%, $E$9)</f>
        <v>15.0175</v>
      </c>
      <c r="G893" s="11">
        <f>15.0208 * CHOOSE(CONTROL!$C$32, $C$9, 100%, $E$9)</f>
        <v>15.020799999999999</v>
      </c>
      <c r="H893" s="11">
        <f>31.1175 * CHOOSE(CONTROL!$C$32, $C$9, 100%, $E$9)</f>
        <v>31.1175</v>
      </c>
      <c r="I893" s="11">
        <f>31.1208 * CHOOSE(CONTROL!$C$32, $C$9, 100%, $E$9)</f>
        <v>31.120799999999999</v>
      </c>
      <c r="J893" s="11">
        <f>31.1175 * CHOOSE(CONTROL!$C$32, $C$9, 100%, $E$9)</f>
        <v>31.1175</v>
      </c>
      <c r="K893" s="11">
        <f>31.1208 * CHOOSE(CONTROL!$C$32, $C$9, 100%, $E$9)</f>
        <v>31.120799999999999</v>
      </c>
      <c r="L893" s="11">
        <f>15.0175 * CHOOSE(CONTROL!$C$32, $C$9, 100%, $E$9)</f>
        <v>15.0175</v>
      </c>
      <c r="M893" s="11">
        <f>15.0208 * CHOOSE(CONTROL!$C$32, $C$9, 100%, $E$9)</f>
        <v>15.020799999999999</v>
      </c>
      <c r="N893" s="11">
        <f>15.0175 * CHOOSE(CONTROL!$C$32, $C$9, 100%, $E$9)</f>
        <v>15.0175</v>
      </c>
      <c r="O893" s="11">
        <f>15.0208 * CHOOSE(CONTROL!$C$32, $C$9, 100%, $E$9)</f>
        <v>15.020799999999999</v>
      </c>
    </row>
    <row r="894" spans="1:15" ht="15" x14ac:dyDescent="0.2">
      <c r="A894" s="13">
        <v>68058</v>
      </c>
      <c r="B894" s="9">
        <f>13.1292 * CHOOSE(CONTROL!$C$32, $C$9, 100%, $E$9)</f>
        <v>13.129200000000001</v>
      </c>
      <c r="C894" s="9">
        <f>13.1292 * CHOOSE(CONTROL!$C$32, $C$9, 100%, $E$9)</f>
        <v>13.129200000000001</v>
      </c>
      <c r="D894" s="9">
        <f>13.1305 * CHOOSE(CONTROL!$C$32, $C$9, 100%, $E$9)</f>
        <v>13.1305</v>
      </c>
      <c r="E894" s="11">
        <f>15.1453 * CHOOSE(CONTROL!$C$32, $C$9, 100%, $E$9)</f>
        <v>15.145300000000001</v>
      </c>
      <c r="F894" s="11">
        <f>15.1453 * CHOOSE(CONTROL!$C$32, $C$9, 100%, $E$9)</f>
        <v>15.145300000000001</v>
      </c>
      <c r="G894" s="11">
        <f>15.1495 * CHOOSE(CONTROL!$C$32, $C$9, 100%, $E$9)</f>
        <v>15.1495</v>
      </c>
      <c r="H894" s="11">
        <f>31.1824 * CHOOSE(CONTROL!$C$32, $C$9, 100%, $E$9)</f>
        <v>31.182400000000001</v>
      </c>
      <c r="I894" s="11">
        <f>31.1866 * CHOOSE(CONTROL!$C$32, $C$9, 100%, $E$9)</f>
        <v>31.186599999999999</v>
      </c>
      <c r="J894" s="11">
        <f>31.1824 * CHOOSE(CONTROL!$C$32, $C$9, 100%, $E$9)</f>
        <v>31.182400000000001</v>
      </c>
      <c r="K894" s="11">
        <f>31.1866 * CHOOSE(CONTROL!$C$32, $C$9, 100%, $E$9)</f>
        <v>31.186599999999999</v>
      </c>
      <c r="L894" s="11">
        <f>15.1453 * CHOOSE(CONTROL!$C$32, $C$9, 100%, $E$9)</f>
        <v>15.145300000000001</v>
      </c>
      <c r="M894" s="11">
        <f>15.1495 * CHOOSE(CONTROL!$C$32, $C$9, 100%, $E$9)</f>
        <v>15.1495</v>
      </c>
      <c r="N894" s="11">
        <f>15.1453 * CHOOSE(CONTROL!$C$32, $C$9, 100%, $E$9)</f>
        <v>15.145300000000001</v>
      </c>
      <c r="O894" s="11">
        <f>15.1495 * CHOOSE(CONTROL!$C$32, $C$9, 100%, $E$9)</f>
        <v>15.1495</v>
      </c>
    </row>
    <row r="895" spans="1:15" ht="15" x14ac:dyDescent="0.2">
      <c r="A895" s="13">
        <v>68089</v>
      </c>
      <c r="B895" s="9">
        <f>13.1353 * CHOOSE(CONTROL!$C$32, $C$9, 100%, $E$9)</f>
        <v>13.135300000000001</v>
      </c>
      <c r="C895" s="9">
        <f>13.1353 * CHOOSE(CONTROL!$C$32, $C$9, 100%, $E$9)</f>
        <v>13.135300000000001</v>
      </c>
      <c r="D895" s="9">
        <f>13.1366 * CHOOSE(CONTROL!$C$32, $C$9, 100%, $E$9)</f>
        <v>13.1366</v>
      </c>
      <c r="E895" s="11">
        <f>15.0218 * CHOOSE(CONTROL!$C$32, $C$9, 100%, $E$9)</f>
        <v>15.021800000000001</v>
      </c>
      <c r="F895" s="11">
        <f>15.0218 * CHOOSE(CONTROL!$C$32, $C$9, 100%, $E$9)</f>
        <v>15.021800000000001</v>
      </c>
      <c r="G895" s="11">
        <f>15.026 * CHOOSE(CONTROL!$C$32, $C$9, 100%, $E$9)</f>
        <v>15.026</v>
      </c>
      <c r="H895" s="11">
        <f>31.2473 * CHOOSE(CONTROL!$C$32, $C$9, 100%, $E$9)</f>
        <v>31.247299999999999</v>
      </c>
      <c r="I895" s="11">
        <f>31.2515 * CHOOSE(CONTROL!$C$32, $C$9, 100%, $E$9)</f>
        <v>31.2515</v>
      </c>
      <c r="J895" s="11">
        <f>31.2473 * CHOOSE(CONTROL!$C$32, $C$9, 100%, $E$9)</f>
        <v>31.247299999999999</v>
      </c>
      <c r="K895" s="11">
        <f>31.2515 * CHOOSE(CONTROL!$C$32, $C$9, 100%, $E$9)</f>
        <v>31.2515</v>
      </c>
      <c r="L895" s="11">
        <f>15.0218 * CHOOSE(CONTROL!$C$32, $C$9, 100%, $E$9)</f>
        <v>15.021800000000001</v>
      </c>
      <c r="M895" s="11">
        <f>15.026 * CHOOSE(CONTROL!$C$32, $C$9, 100%, $E$9)</f>
        <v>15.026</v>
      </c>
      <c r="N895" s="11">
        <f>15.0218 * CHOOSE(CONTROL!$C$32, $C$9, 100%, $E$9)</f>
        <v>15.021800000000001</v>
      </c>
      <c r="O895" s="11">
        <f>15.026 * CHOOSE(CONTROL!$C$32, $C$9, 100%, $E$9)</f>
        <v>15.026</v>
      </c>
    </row>
    <row r="896" spans="1:15" ht="15" x14ac:dyDescent="0.2">
      <c r="A896" s="13">
        <v>68119</v>
      </c>
      <c r="B896" s="9">
        <f>13.2941 * CHOOSE(CONTROL!$C$32, $C$9, 100%, $E$9)</f>
        <v>13.2941</v>
      </c>
      <c r="C896" s="9">
        <f>13.2941 * CHOOSE(CONTROL!$C$32, $C$9, 100%, $E$9)</f>
        <v>13.2941</v>
      </c>
      <c r="D896" s="9">
        <f>13.2953 * CHOOSE(CONTROL!$C$32, $C$9, 100%, $E$9)</f>
        <v>13.295299999999999</v>
      </c>
      <c r="E896" s="11">
        <f>15.2346 * CHOOSE(CONTROL!$C$32, $C$9, 100%, $E$9)</f>
        <v>15.2346</v>
      </c>
      <c r="F896" s="11">
        <f>15.2346 * CHOOSE(CONTROL!$C$32, $C$9, 100%, $E$9)</f>
        <v>15.2346</v>
      </c>
      <c r="G896" s="11">
        <f>15.2388 * CHOOSE(CONTROL!$C$32, $C$9, 100%, $E$9)</f>
        <v>15.238799999999999</v>
      </c>
      <c r="H896" s="11">
        <f>31.3124 * CHOOSE(CONTROL!$C$32, $C$9, 100%, $E$9)</f>
        <v>31.3124</v>
      </c>
      <c r="I896" s="11">
        <f>31.3166 * CHOOSE(CONTROL!$C$32, $C$9, 100%, $E$9)</f>
        <v>31.316600000000001</v>
      </c>
      <c r="J896" s="11">
        <f>31.3124 * CHOOSE(CONTROL!$C$32, $C$9, 100%, $E$9)</f>
        <v>31.3124</v>
      </c>
      <c r="K896" s="11">
        <f>31.3166 * CHOOSE(CONTROL!$C$32, $C$9, 100%, $E$9)</f>
        <v>31.316600000000001</v>
      </c>
      <c r="L896" s="11">
        <f>15.2346 * CHOOSE(CONTROL!$C$32, $C$9, 100%, $E$9)</f>
        <v>15.2346</v>
      </c>
      <c r="M896" s="11">
        <f>15.2388 * CHOOSE(CONTROL!$C$32, $C$9, 100%, $E$9)</f>
        <v>15.238799999999999</v>
      </c>
      <c r="N896" s="11">
        <f>15.2346 * CHOOSE(CONTROL!$C$32, $C$9, 100%, $E$9)</f>
        <v>15.2346</v>
      </c>
      <c r="O896" s="11">
        <f>15.2388 * CHOOSE(CONTROL!$C$32, $C$9, 100%, $E$9)</f>
        <v>15.238799999999999</v>
      </c>
    </row>
    <row r="897" spans="1:15" ht="15" x14ac:dyDescent="0.2">
      <c r="A897" s="13">
        <v>68150</v>
      </c>
      <c r="B897" s="9">
        <f>13.3008 * CHOOSE(CONTROL!$C$32, $C$9, 100%, $E$9)</f>
        <v>13.300800000000001</v>
      </c>
      <c r="C897" s="9">
        <f>13.3008 * CHOOSE(CONTROL!$C$32, $C$9, 100%, $E$9)</f>
        <v>13.300800000000001</v>
      </c>
      <c r="D897" s="9">
        <f>13.302 * CHOOSE(CONTROL!$C$32, $C$9, 100%, $E$9)</f>
        <v>13.302</v>
      </c>
      <c r="E897" s="11">
        <f>14.8561 * CHOOSE(CONTROL!$C$32, $C$9, 100%, $E$9)</f>
        <v>14.8561</v>
      </c>
      <c r="F897" s="11">
        <f>14.8561 * CHOOSE(CONTROL!$C$32, $C$9, 100%, $E$9)</f>
        <v>14.8561</v>
      </c>
      <c r="G897" s="11">
        <f>14.8603 * CHOOSE(CONTROL!$C$32, $C$9, 100%, $E$9)</f>
        <v>14.860300000000001</v>
      </c>
      <c r="H897" s="11">
        <f>31.3777 * CHOOSE(CONTROL!$C$32, $C$9, 100%, $E$9)</f>
        <v>31.377700000000001</v>
      </c>
      <c r="I897" s="11">
        <f>31.3819 * CHOOSE(CONTROL!$C$32, $C$9, 100%, $E$9)</f>
        <v>31.381900000000002</v>
      </c>
      <c r="J897" s="11">
        <f>31.3777 * CHOOSE(CONTROL!$C$32, $C$9, 100%, $E$9)</f>
        <v>31.377700000000001</v>
      </c>
      <c r="K897" s="11">
        <f>31.3819 * CHOOSE(CONTROL!$C$32, $C$9, 100%, $E$9)</f>
        <v>31.381900000000002</v>
      </c>
      <c r="L897" s="11">
        <f>14.8561 * CHOOSE(CONTROL!$C$32, $C$9, 100%, $E$9)</f>
        <v>14.8561</v>
      </c>
      <c r="M897" s="11">
        <f>14.8603 * CHOOSE(CONTROL!$C$32, $C$9, 100%, $E$9)</f>
        <v>14.860300000000001</v>
      </c>
      <c r="N897" s="11">
        <f>14.8561 * CHOOSE(CONTROL!$C$32, $C$9, 100%, $E$9)</f>
        <v>14.8561</v>
      </c>
      <c r="O897" s="11">
        <f>14.8603 * CHOOSE(CONTROL!$C$32, $C$9, 100%, $E$9)</f>
        <v>14.860300000000001</v>
      </c>
    </row>
    <row r="898" spans="1:15" ht="15" x14ac:dyDescent="0.2">
      <c r="A898" s="13">
        <v>68181</v>
      </c>
      <c r="B898" s="9">
        <f>13.2977 * CHOOSE(CONTROL!$C$32, $C$9, 100%, $E$9)</f>
        <v>13.297700000000001</v>
      </c>
      <c r="C898" s="9">
        <f>13.2977 * CHOOSE(CONTROL!$C$32, $C$9, 100%, $E$9)</f>
        <v>13.297700000000001</v>
      </c>
      <c r="D898" s="9">
        <f>13.299 * CHOOSE(CONTROL!$C$32, $C$9, 100%, $E$9)</f>
        <v>13.298999999999999</v>
      </c>
      <c r="E898" s="11">
        <f>14.8114 * CHOOSE(CONTROL!$C$32, $C$9, 100%, $E$9)</f>
        <v>14.811400000000001</v>
      </c>
      <c r="F898" s="11">
        <f>14.8114 * CHOOSE(CONTROL!$C$32, $C$9, 100%, $E$9)</f>
        <v>14.811400000000001</v>
      </c>
      <c r="G898" s="11">
        <f>14.8156 * CHOOSE(CONTROL!$C$32, $C$9, 100%, $E$9)</f>
        <v>14.8156</v>
      </c>
      <c r="H898" s="11">
        <f>31.443 * CHOOSE(CONTROL!$C$32, $C$9, 100%, $E$9)</f>
        <v>31.443000000000001</v>
      </c>
      <c r="I898" s="11">
        <f>31.4472 * CHOOSE(CONTROL!$C$32, $C$9, 100%, $E$9)</f>
        <v>31.447199999999999</v>
      </c>
      <c r="J898" s="11">
        <f>31.443 * CHOOSE(CONTROL!$C$32, $C$9, 100%, $E$9)</f>
        <v>31.443000000000001</v>
      </c>
      <c r="K898" s="11">
        <f>31.4472 * CHOOSE(CONTROL!$C$32, $C$9, 100%, $E$9)</f>
        <v>31.447199999999999</v>
      </c>
      <c r="L898" s="11">
        <f>14.8114 * CHOOSE(CONTROL!$C$32, $C$9, 100%, $E$9)</f>
        <v>14.811400000000001</v>
      </c>
      <c r="M898" s="11">
        <f>14.8156 * CHOOSE(CONTROL!$C$32, $C$9, 100%, $E$9)</f>
        <v>14.8156</v>
      </c>
      <c r="N898" s="11">
        <f>14.8114 * CHOOSE(CONTROL!$C$32, $C$9, 100%, $E$9)</f>
        <v>14.811400000000001</v>
      </c>
      <c r="O898" s="11">
        <f>14.8156 * CHOOSE(CONTROL!$C$32, $C$9, 100%, $E$9)</f>
        <v>14.8156</v>
      </c>
    </row>
    <row r="899" spans="1:15" ht="15" x14ac:dyDescent="0.2">
      <c r="A899" s="13">
        <v>68211</v>
      </c>
      <c r="B899" s="9">
        <f>13.3275 * CHOOSE(CONTROL!$C$32, $C$9, 100%, $E$9)</f>
        <v>13.327500000000001</v>
      </c>
      <c r="C899" s="9">
        <f>13.3275 * CHOOSE(CONTROL!$C$32, $C$9, 100%, $E$9)</f>
        <v>13.327500000000001</v>
      </c>
      <c r="D899" s="9">
        <f>13.3285 * CHOOSE(CONTROL!$C$32, $C$9, 100%, $E$9)</f>
        <v>13.3285</v>
      </c>
      <c r="E899" s="11">
        <f>14.9683 * CHOOSE(CONTROL!$C$32, $C$9, 100%, $E$9)</f>
        <v>14.968299999999999</v>
      </c>
      <c r="F899" s="11">
        <f>14.9683 * CHOOSE(CONTROL!$C$32, $C$9, 100%, $E$9)</f>
        <v>14.968299999999999</v>
      </c>
      <c r="G899" s="11">
        <f>14.9715 * CHOOSE(CONTROL!$C$32, $C$9, 100%, $E$9)</f>
        <v>14.971500000000001</v>
      </c>
      <c r="H899" s="11">
        <f>31.5085 * CHOOSE(CONTROL!$C$32, $C$9, 100%, $E$9)</f>
        <v>31.508500000000002</v>
      </c>
      <c r="I899" s="11">
        <f>31.5118 * CHOOSE(CONTROL!$C$32, $C$9, 100%, $E$9)</f>
        <v>31.511800000000001</v>
      </c>
      <c r="J899" s="11">
        <f>31.5085 * CHOOSE(CONTROL!$C$32, $C$9, 100%, $E$9)</f>
        <v>31.508500000000002</v>
      </c>
      <c r="K899" s="11">
        <f>31.5118 * CHOOSE(CONTROL!$C$32, $C$9, 100%, $E$9)</f>
        <v>31.511800000000001</v>
      </c>
      <c r="L899" s="11">
        <f>14.9683 * CHOOSE(CONTROL!$C$32, $C$9, 100%, $E$9)</f>
        <v>14.968299999999999</v>
      </c>
      <c r="M899" s="11">
        <f>14.9715 * CHOOSE(CONTROL!$C$32, $C$9, 100%, $E$9)</f>
        <v>14.971500000000001</v>
      </c>
      <c r="N899" s="11">
        <f>14.9683 * CHOOSE(CONTROL!$C$32, $C$9, 100%, $E$9)</f>
        <v>14.968299999999999</v>
      </c>
      <c r="O899" s="11">
        <f>14.9715 * CHOOSE(CONTROL!$C$32, $C$9, 100%, $E$9)</f>
        <v>14.971500000000001</v>
      </c>
    </row>
    <row r="900" spans="1:15" ht="15" x14ac:dyDescent="0.2">
      <c r="A900" s="13">
        <v>68242</v>
      </c>
      <c r="B900" s="9">
        <f>13.3306 * CHOOSE(CONTROL!$C$32, $C$9, 100%, $E$9)</f>
        <v>13.3306</v>
      </c>
      <c r="C900" s="9">
        <f>13.3306 * CHOOSE(CONTROL!$C$32, $C$9, 100%, $E$9)</f>
        <v>13.3306</v>
      </c>
      <c r="D900" s="9">
        <f>13.3315 * CHOOSE(CONTROL!$C$32, $C$9, 100%, $E$9)</f>
        <v>13.3315</v>
      </c>
      <c r="E900" s="11">
        <f>15.0555 * CHOOSE(CONTROL!$C$32, $C$9, 100%, $E$9)</f>
        <v>15.0555</v>
      </c>
      <c r="F900" s="11">
        <f>15.0555 * CHOOSE(CONTROL!$C$32, $C$9, 100%, $E$9)</f>
        <v>15.0555</v>
      </c>
      <c r="G900" s="11">
        <f>15.0588 * CHOOSE(CONTROL!$C$32, $C$9, 100%, $E$9)</f>
        <v>15.0588</v>
      </c>
      <c r="H900" s="11">
        <f>31.5742 * CHOOSE(CONTROL!$C$32, $C$9, 100%, $E$9)</f>
        <v>31.574200000000001</v>
      </c>
      <c r="I900" s="11">
        <f>31.5774 * CHOOSE(CONTROL!$C$32, $C$9, 100%, $E$9)</f>
        <v>31.577400000000001</v>
      </c>
      <c r="J900" s="11">
        <f>31.5742 * CHOOSE(CONTROL!$C$32, $C$9, 100%, $E$9)</f>
        <v>31.574200000000001</v>
      </c>
      <c r="K900" s="11">
        <f>31.5774 * CHOOSE(CONTROL!$C$32, $C$9, 100%, $E$9)</f>
        <v>31.577400000000001</v>
      </c>
      <c r="L900" s="11">
        <f>15.0555 * CHOOSE(CONTROL!$C$32, $C$9, 100%, $E$9)</f>
        <v>15.0555</v>
      </c>
      <c r="M900" s="11">
        <f>15.0588 * CHOOSE(CONTROL!$C$32, $C$9, 100%, $E$9)</f>
        <v>15.0588</v>
      </c>
      <c r="N900" s="11">
        <f>15.0555 * CHOOSE(CONTROL!$C$32, $C$9, 100%, $E$9)</f>
        <v>15.0555</v>
      </c>
      <c r="O900" s="11">
        <f>15.0588 * CHOOSE(CONTROL!$C$32, $C$9, 100%, $E$9)</f>
        <v>15.0588</v>
      </c>
    </row>
    <row r="901" spans="1:15" ht="15" x14ac:dyDescent="0.2">
      <c r="A901" s="13">
        <v>68272</v>
      </c>
      <c r="B901" s="9">
        <f>13.3306 * CHOOSE(CONTROL!$C$32, $C$9, 100%, $E$9)</f>
        <v>13.3306</v>
      </c>
      <c r="C901" s="9">
        <f>13.3306 * CHOOSE(CONTROL!$C$32, $C$9, 100%, $E$9)</f>
        <v>13.3306</v>
      </c>
      <c r="D901" s="9">
        <f>13.3315 * CHOOSE(CONTROL!$C$32, $C$9, 100%, $E$9)</f>
        <v>13.3315</v>
      </c>
      <c r="E901" s="11">
        <f>14.8427 * CHOOSE(CONTROL!$C$32, $C$9, 100%, $E$9)</f>
        <v>14.842700000000001</v>
      </c>
      <c r="F901" s="11">
        <f>14.8427 * CHOOSE(CONTROL!$C$32, $C$9, 100%, $E$9)</f>
        <v>14.842700000000001</v>
      </c>
      <c r="G901" s="11">
        <f>14.8459 * CHOOSE(CONTROL!$C$32, $C$9, 100%, $E$9)</f>
        <v>14.8459</v>
      </c>
      <c r="H901" s="11">
        <f>31.64 * CHOOSE(CONTROL!$C$32, $C$9, 100%, $E$9)</f>
        <v>31.64</v>
      </c>
      <c r="I901" s="11">
        <f>31.6432 * CHOOSE(CONTROL!$C$32, $C$9, 100%, $E$9)</f>
        <v>31.6432</v>
      </c>
      <c r="J901" s="11">
        <f>31.64 * CHOOSE(CONTROL!$C$32, $C$9, 100%, $E$9)</f>
        <v>31.64</v>
      </c>
      <c r="K901" s="11">
        <f>31.6432 * CHOOSE(CONTROL!$C$32, $C$9, 100%, $E$9)</f>
        <v>31.6432</v>
      </c>
      <c r="L901" s="11">
        <f>14.8427 * CHOOSE(CONTROL!$C$32, $C$9, 100%, $E$9)</f>
        <v>14.842700000000001</v>
      </c>
      <c r="M901" s="11">
        <f>14.8459 * CHOOSE(CONTROL!$C$32, $C$9, 100%, $E$9)</f>
        <v>14.8459</v>
      </c>
      <c r="N901" s="11">
        <f>14.8427 * CHOOSE(CONTROL!$C$32, $C$9, 100%, $E$9)</f>
        <v>14.842700000000001</v>
      </c>
      <c r="O901" s="11">
        <f>14.8459 * CHOOSE(CONTROL!$C$32, $C$9, 100%, $E$9)</f>
        <v>14.8459</v>
      </c>
    </row>
    <row r="902" spans="1:15" ht="15" x14ac:dyDescent="0.2">
      <c r="A902" s="13">
        <v>68303</v>
      </c>
      <c r="B902" s="9">
        <f>13.3162 * CHOOSE(CONTROL!$C$32, $C$9, 100%, $E$9)</f>
        <v>13.3162</v>
      </c>
      <c r="C902" s="9">
        <f>13.3162 * CHOOSE(CONTROL!$C$32, $C$9, 100%, $E$9)</f>
        <v>13.3162</v>
      </c>
      <c r="D902" s="9">
        <f>13.3171 * CHOOSE(CONTROL!$C$32, $C$9, 100%, $E$9)</f>
        <v>13.3171</v>
      </c>
      <c r="E902" s="11">
        <f>14.9831 * CHOOSE(CONTROL!$C$32, $C$9, 100%, $E$9)</f>
        <v>14.9831</v>
      </c>
      <c r="F902" s="11">
        <f>14.9831 * CHOOSE(CONTROL!$C$32, $C$9, 100%, $E$9)</f>
        <v>14.9831</v>
      </c>
      <c r="G902" s="11">
        <f>14.9863 * CHOOSE(CONTROL!$C$32, $C$9, 100%, $E$9)</f>
        <v>14.9863</v>
      </c>
      <c r="H902" s="11">
        <f>31.3957 * CHOOSE(CONTROL!$C$32, $C$9, 100%, $E$9)</f>
        <v>31.395700000000001</v>
      </c>
      <c r="I902" s="11">
        <f>31.3989 * CHOOSE(CONTROL!$C$32, $C$9, 100%, $E$9)</f>
        <v>31.398900000000001</v>
      </c>
      <c r="J902" s="11">
        <f>31.3957 * CHOOSE(CONTROL!$C$32, $C$9, 100%, $E$9)</f>
        <v>31.395700000000001</v>
      </c>
      <c r="K902" s="11">
        <f>31.3989 * CHOOSE(CONTROL!$C$32, $C$9, 100%, $E$9)</f>
        <v>31.398900000000001</v>
      </c>
      <c r="L902" s="11">
        <f>14.9831 * CHOOSE(CONTROL!$C$32, $C$9, 100%, $E$9)</f>
        <v>14.9831</v>
      </c>
      <c r="M902" s="11">
        <f>14.9863 * CHOOSE(CONTROL!$C$32, $C$9, 100%, $E$9)</f>
        <v>14.9863</v>
      </c>
      <c r="N902" s="11">
        <f>14.9831 * CHOOSE(CONTROL!$C$32, $C$9, 100%, $E$9)</f>
        <v>14.9831</v>
      </c>
      <c r="O902" s="11">
        <f>14.9863 * CHOOSE(CONTROL!$C$32, $C$9, 100%, $E$9)</f>
        <v>14.9863</v>
      </c>
    </row>
    <row r="903" spans="1:15" ht="15" x14ac:dyDescent="0.2">
      <c r="A903" s="13">
        <v>68334</v>
      </c>
      <c r="B903" s="9">
        <f>13.3131 * CHOOSE(CONTROL!$C$32, $C$9, 100%, $E$9)</f>
        <v>13.3131</v>
      </c>
      <c r="C903" s="9">
        <f>13.3131 * CHOOSE(CONTROL!$C$32, $C$9, 100%, $E$9)</f>
        <v>13.3131</v>
      </c>
      <c r="D903" s="9">
        <f>13.3141 * CHOOSE(CONTROL!$C$32, $C$9, 100%, $E$9)</f>
        <v>13.3141</v>
      </c>
      <c r="E903" s="11">
        <f>14.5716 * CHOOSE(CONTROL!$C$32, $C$9, 100%, $E$9)</f>
        <v>14.5716</v>
      </c>
      <c r="F903" s="11">
        <f>14.5716 * CHOOSE(CONTROL!$C$32, $C$9, 100%, $E$9)</f>
        <v>14.5716</v>
      </c>
      <c r="G903" s="11">
        <f>14.5748 * CHOOSE(CONTROL!$C$32, $C$9, 100%, $E$9)</f>
        <v>14.5748</v>
      </c>
      <c r="H903" s="11">
        <f>31.4611 * CHOOSE(CONTROL!$C$32, $C$9, 100%, $E$9)</f>
        <v>31.461099999999998</v>
      </c>
      <c r="I903" s="11">
        <f>31.4643 * CHOOSE(CONTROL!$C$32, $C$9, 100%, $E$9)</f>
        <v>31.464300000000001</v>
      </c>
      <c r="J903" s="11">
        <f>31.4611 * CHOOSE(CONTROL!$C$32, $C$9, 100%, $E$9)</f>
        <v>31.461099999999998</v>
      </c>
      <c r="K903" s="11">
        <f>31.4643 * CHOOSE(CONTROL!$C$32, $C$9, 100%, $E$9)</f>
        <v>31.464300000000001</v>
      </c>
      <c r="L903" s="11">
        <f>14.5716 * CHOOSE(CONTROL!$C$32, $C$9, 100%, $E$9)</f>
        <v>14.5716</v>
      </c>
      <c r="M903" s="11">
        <f>14.5748 * CHOOSE(CONTROL!$C$32, $C$9, 100%, $E$9)</f>
        <v>14.5748</v>
      </c>
      <c r="N903" s="11">
        <f>14.5716 * CHOOSE(CONTROL!$C$32, $C$9, 100%, $E$9)</f>
        <v>14.5716</v>
      </c>
      <c r="O903" s="11">
        <f>14.5748 * CHOOSE(CONTROL!$C$32, $C$9, 100%, $E$9)</f>
        <v>14.5748</v>
      </c>
    </row>
    <row r="904" spans="1:15" ht="15" x14ac:dyDescent="0.2">
      <c r="A904" s="13">
        <v>68362</v>
      </c>
      <c r="B904" s="9">
        <f>13.3101 * CHOOSE(CONTROL!$C$32, $C$9, 100%, $E$9)</f>
        <v>13.3101</v>
      </c>
      <c r="C904" s="9">
        <f>13.3101 * CHOOSE(CONTROL!$C$32, $C$9, 100%, $E$9)</f>
        <v>13.3101</v>
      </c>
      <c r="D904" s="9">
        <f>13.311 * CHOOSE(CONTROL!$C$32, $C$9, 100%, $E$9)</f>
        <v>13.311</v>
      </c>
      <c r="E904" s="11">
        <f>14.8922 * CHOOSE(CONTROL!$C$32, $C$9, 100%, $E$9)</f>
        <v>14.892200000000001</v>
      </c>
      <c r="F904" s="11">
        <f>14.8922 * CHOOSE(CONTROL!$C$32, $C$9, 100%, $E$9)</f>
        <v>14.892200000000001</v>
      </c>
      <c r="G904" s="11">
        <f>14.8954 * CHOOSE(CONTROL!$C$32, $C$9, 100%, $E$9)</f>
        <v>14.8954</v>
      </c>
      <c r="H904" s="11">
        <f>31.5266 * CHOOSE(CONTROL!$C$32, $C$9, 100%, $E$9)</f>
        <v>31.526599999999998</v>
      </c>
      <c r="I904" s="11">
        <f>31.5298 * CHOOSE(CONTROL!$C$32, $C$9, 100%, $E$9)</f>
        <v>31.529800000000002</v>
      </c>
      <c r="J904" s="11">
        <f>31.5266 * CHOOSE(CONTROL!$C$32, $C$9, 100%, $E$9)</f>
        <v>31.526599999999998</v>
      </c>
      <c r="K904" s="11">
        <f>31.5298 * CHOOSE(CONTROL!$C$32, $C$9, 100%, $E$9)</f>
        <v>31.529800000000002</v>
      </c>
      <c r="L904" s="11">
        <f>14.8922 * CHOOSE(CONTROL!$C$32, $C$9, 100%, $E$9)</f>
        <v>14.892200000000001</v>
      </c>
      <c r="M904" s="11">
        <f>14.8954 * CHOOSE(CONTROL!$C$32, $C$9, 100%, $E$9)</f>
        <v>14.8954</v>
      </c>
      <c r="N904" s="11">
        <f>14.8922 * CHOOSE(CONTROL!$C$32, $C$9, 100%, $E$9)</f>
        <v>14.892200000000001</v>
      </c>
      <c r="O904" s="11">
        <f>14.8954 * CHOOSE(CONTROL!$C$32, $C$9, 100%, $E$9)</f>
        <v>14.8954</v>
      </c>
    </row>
    <row r="905" spans="1:15" ht="15" x14ac:dyDescent="0.2">
      <c r="A905" s="13">
        <v>68393</v>
      </c>
      <c r="B905" s="9">
        <f>13.3168 * CHOOSE(CONTROL!$C$32, $C$9, 100%, $E$9)</f>
        <v>13.316800000000001</v>
      </c>
      <c r="C905" s="9">
        <f>13.3168 * CHOOSE(CONTROL!$C$32, $C$9, 100%, $E$9)</f>
        <v>13.316800000000001</v>
      </c>
      <c r="D905" s="9">
        <f>13.3177 * CHOOSE(CONTROL!$C$32, $C$9, 100%, $E$9)</f>
        <v>13.3177</v>
      </c>
      <c r="E905" s="11">
        <f>15.2346 * CHOOSE(CONTROL!$C$32, $C$9, 100%, $E$9)</f>
        <v>15.2346</v>
      </c>
      <c r="F905" s="11">
        <f>15.2346 * CHOOSE(CONTROL!$C$32, $C$9, 100%, $E$9)</f>
        <v>15.2346</v>
      </c>
      <c r="G905" s="11">
        <f>15.2378 * CHOOSE(CONTROL!$C$32, $C$9, 100%, $E$9)</f>
        <v>15.2378</v>
      </c>
      <c r="H905" s="11">
        <f>31.5923 * CHOOSE(CONTROL!$C$32, $C$9, 100%, $E$9)</f>
        <v>31.592300000000002</v>
      </c>
      <c r="I905" s="11">
        <f>31.5955 * CHOOSE(CONTROL!$C$32, $C$9, 100%, $E$9)</f>
        <v>31.595500000000001</v>
      </c>
      <c r="J905" s="11">
        <f>31.5923 * CHOOSE(CONTROL!$C$32, $C$9, 100%, $E$9)</f>
        <v>31.592300000000002</v>
      </c>
      <c r="K905" s="11">
        <f>31.5955 * CHOOSE(CONTROL!$C$32, $C$9, 100%, $E$9)</f>
        <v>31.595500000000001</v>
      </c>
      <c r="L905" s="11">
        <f>15.2346 * CHOOSE(CONTROL!$C$32, $C$9, 100%, $E$9)</f>
        <v>15.2346</v>
      </c>
      <c r="M905" s="11">
        <f>15.2378 * CHOOSE(CONTROL!$C$32, $C$9, 100%, $E$9)</f>
        <v>15.2378</v>
      </c>
      <c r="N905" s="11">
        <f>15.2346 * CHOOSE(CONTROL!$C$32, $C$9, 100%, $E$9)</f>
        <v>15.2346</v>
      </c>
      <c r="O905" s="11">
        <f>15.2378 * CHOOSE(CONTROL!$C$32, $C$9, 100%, $E$9)</f>
        <v>15.2378</v>
      </c>
    </row>
    <row r="906" spans="1:15" ht="15" x14ac:dyDescent="0.2">
      <c r="A906" s="13">
        <v>68423</v>
      </c>
      <c r="B906" s="9">
        <f>13.3168 * CHOOSE(CONTROL!$C$32, $C$9, 100%, $E$9)</f>
        <v>13.316800000000001</v>
      </c>
      <c r="C906" s="9">
        <f>13.3168 * CHOOSE(CONTROL!$C$32, $C$9, 100%, $E$9)</f>
        <v>13.316800000000001</v>
      </c>
      <c r="D906" s="9">
        <f>13.318 * CHOOSE(CONTROL!$C$32, $C$9, 100%, $E$9)</f>
        <v>13.318</v>
      </c>
      <c r="E906" s="11">
        <f>15.3645 * CHOOSE(CONTROL!$C$32, $C$9, 100%, $E$9)</f>
        <v>15.3645</v>
      </c>
      <c r="F906" s="11">
        <f>15.3645 * CHOOSE(CONTROL!$C$32, $C$9, 100%, $E$9)</f>
        <v>15.3645</v>
      </c>
      <c r="G906" s="11">
        <f>15.3687 * CHOOSE(CONTROL!$C$32, $C$9, 100%, $E$9)</f>
        <v>15.3687</v>
      </c>
      <c r="H906" s="11">
        <f>31.6581 * CHOOSE(CONTROL!$C$32, $C$9, 100%, $E$9)</f>
        <v>31.658100000000001</v>
      </c>
      <c r="I906" s="11">
        <f>31.6623 * CHOOSE(CONTROL!$C$32, $C$9, 100%, $E$9)</f>
        <v>31.662299999999998</v>
      </c>
      <c r="J906" s="11">
        <f>31.6581 * CHOOSE(CONTROL!$C$32, $C$9, 100%, $E$9)</f>
        <v>31.658100000000001</v>
      </c>
      <c r="K906" s="11">
        <f>31.6623 * CHOOSE(CONTROL!$C$32, $C$9, 100%, $E$9)</f>
        <v>31.662299999999998</v>
      </c>
      <c r="L906" s="11">
        <f>15.3645 * CHOOSE(CONTROL!$C$32, $C$9, 100%, $E$9)</f>
        <v>15.3645</v>
      </c>
      <c r="M906" s="11">
        <f>15.3687 * CHOOSE(CONTROL!$C$32, $C$9, 100%, $E$9)</f>
        <v>15.3687</v>
      </c>
      <c r="N906" s="11">
        <f>15.3645 * CHOOSE(CONTROL!$C$32, $C$9, 100%, $E$9)</f>
        <v>15.3645</v>
      </c>
      <c r="O906" s="11">
        <f>15.3687 * CHOOSE(CONTROL!$C$32, $C$9, 100%, $E$9)</f>
        <v>15.3687</v>
      </c>
    </row>
    <row r="907" spans="1:15" ht="15" x14ac:dyDescent="0.2">
      <c r="A907" s="13">
        <v>68454</v>
      </c>
      <c r="B907" s="9">
        <f>13.3229 * CHOOSE(CONTROL!$C$32, $C$9, 100%, $E$9)</f>
        <v>13.322900000000001</v>
      </c>
      <c r="C907" s="9">
        <f>13.3229 * CHOOSE(CONTROL!$C$32, $C$9, 100%, $E$9)</f>
        <v>13.322900000000001</v>
      </c>
      <c r="D907" s="9">
        <f>13.3241 * CHOOSE(CONTROL!$C$32, $C$9, 100%, $E$9)</f>
        <v>13.3241</v>
      </c>
      <c r="E907" s="11">
        <f>15.2388 * CHOOSE(CONTROL!$C$32, $C$9, 100%, $E$9)</f>
        <v>15.238799999999999</v>
      </c>
      <c r="F907" s="11">
        <f>15.2388 * CHOOSE(CONTROL!$C$32, $C$9, 100%, $E$9)</f>
        <v>15.238799999999999</v>
      </c>
      <c r="G907" s="11">
        <f>15.243 * CHOOSE(CONTROL!$C$32, $C$9, 100%, $E$9)</f>
        <v>15.243</v>
      </c>
      <c r="H907" s="11">
        <f>31.7241 * CHOOSE(CONTROL!$C$32, $C$9, 100%, $E$9)</f>
        <v>31.7241</v>
      </c>
      <c r="I907" s="11">
        <f>31.7283 * CHOOSE(CONTROL!$C$32, $C$9, 100%, $E$9)</f>
        <v>31.728300000000001</v>
      </c>
      <c r="J907" s="11">
        <f>31.7241 * CHOOSE(CONTROL!$C$32, $C$9, 100%, $E$9)</f>
        <v>31.7241</v>
      </c>
      <c r="K907" s="11">
        <f>31.7283 * CHOOSE(CONTROL!$C$32, $C$9, 100%, $E$9)</f>
        <v>31.728300000000001</v>
      </c>
      <c r="L907" s="11">
        <f>15.2388 * CHOOSE(CONTROL!$C$32, $C$9, 100%, $E$9)</f>
        <v>15.238799999999999</v>
      </c>
      <c r="M907" s="11">
        <f>15.243 * CHOOSE(CONTROL!$C$32, $C$9, 100%, $E$9)</f>
        <v>15.243</v>
      </c>
      <c r="N907" s="11">
        <f>15.2388 * CHOOSE(CONTROL!$C$32, $C$9, 100%, $E$9)</f>
        <v>15.238799999999999</v>
      </c>
      <c r="O907" s="11">
        <f>15.243 * CHOOSE(CONTROL!$C$32, $C$9, 100%, $E$9)</f>
        <v>15.243</v>
      </c>
    </row>
    <row r="908" spans="1:15" ht="15" x14ac:dyDescent="0.2">
      <c r="A908" s="13">
        <v>68484</v>
      </c>
      <c r="B908" s="9">
        <f>13.4837 * CHOOSE(CONTROL!$C$32, $C$9, 100%, $E$9)</f>
        <v>13.483700000000001</v>
      </c>
      <c r="C908" s="9">
        <f>13.4837 * CHOOSE(CONTROL!$C$32, $C$9, 100%, $E$9)</f>
        <v>13.483700000000001</v>
      </c>
      <c r="D908" s="9">
        <f>13.4849 * CHOOSE(CONTROL!$C$32, $C$9, 100%, $E$9)</f>
        <v>13.4849</v>
      </c>
      <c r="E908" s="11">
        <f>15.4548 * CHOOSE(CONTROL!$C$32, $C$9, 100%, $E$9)</f>
        <v>15.454800000000001</v>
      </c>
      <c r="F908" s="11">
        <f>15.4548 * CHOOSE(CONTROL!$C$32, $C$9, 100%, $E$9)</f>
        <v>15.454800000000001</v>
      </c>
      <c r="G908" s="11">
        <f>15.459 * CHOOSE(CONTROL!$C$32, $C$9, 100%, $E$9)</f>
        <v>15.459</v>
      </c>
      <c r="H908" s="11">
        <f>31.7902 * CHOOSE(CONTROL!$C$32, $C$9, 100%, $E$9)</f>
        <v>31.790199999999999</v>
      </c>
      <c r="I908" s="11">
        <f>31.7944 * CHOOSE(CONTROL!$C$32, $C$9, 100%, $E$9)</f>
        <v>31.7944</v>
      </c>
      <c r="J908" s="11">
        <f>31.7902 * CHOOSE(CONTROL!$C$32, $C$9, 100%, $E$9)</f>
        <v>31.790199999999999</v>
      </c>
      <c r="K908" s="11">
        <f>31.7944 * CHOOSE(CONTROL!$C$32, $C$9, 100%, $E$9)</f>
        <v>31.7944</v>
      </c>
      <c r="L908" s="11">
        <f>15.4548 * CHOOSE(CONTROL!$C$32, $C$9, 100%, $E$9)</f>
        <v>15.454800000000001</v>
      </c>
      <c r="M908" s="11">
        <f>15.459 * CHOOSE(CONTROL!$C$32, $C$9, 100%, $E$9)</f>
        <v>15.459</v>
      </c>
      <c r="N908" s="11">
        <f>15.4548 * CHOOSE(CONTROL!$C$32, $C$9, 100%, $E$9)</f>
        <v>15.454800000000001</v>
      </c>
      <c r="O908" s="11">
        <f>15.459 * CHOOSE(CONTROL!$C$32, $C$9, 100%, $E$9)</f>
        <v>15.459</v>
      </c>
    </row>
    <row r="909" spans="1:15" ht="15" x14ac:dyDescent="0.2">
      <c r="A909" s="13">
        <v>68515</v>
      </c>
      <c r="B909" s="9">
        <f>13.4904 * CHOOSE(CONTROL!$C$32, $C$9, 100%, $E$9)</f>
        <v>13.490399999999999</v>
      </c>
      <c r="C909" s="9">
        <f>13.4904 * CHOOSE(CONTROL!$C$32, $C$9, 100%, $E$9)</f>
        <v>13.490399999999999</v>
      </c>
      <c r="D909" s="9">
        <f>13.4916 * CHOOSE(CONTROL!$C$32, $C$9, 100%, $E$9)</f>
        <v>13.4916</v>
      </c>
      <c r="E909" s="11">
        <f>15.0695 * CHOOSE(CONTROL!$C$32, $C$9, 100%, $E$9)</f>
        <v>15.0695</v>
      </c>
      <c r="F909" s="11">
        <f>15.0695 * CHOOSE(CONTROL!$C$32, $C$9, 100%, $E$9)</f>
        <v>15.0695</v>
      </c>
      <c r="G909" s="11">
        <f>15.0737 * CHOOSE(CONTROL!$C$32, $C$9, 100%, $E$9)</f>
        <v>15.073700000000001</v>
      </c>
      <c r="H909" s="11">
        <f>31.8564 * CHOOSE(CONTROL!$C$32, $C$9, 100%, $E$9)</f>
        <v>31.856400000000001</v>
      </c>
      <c r="I909" s="11">
        <f>31.8606 * CHOOSE(CONTROL!$C$32, $C$9, 100%, $E$9)</f>
        <v>31.860600000000002</v>
      </c>
      <c r="J909" s="11">
        <f>31.8564 * CHOOSE(CONTROL!$C$32, $C$9, 100%, $E$9)</f>
        <v>31.856400000000001</v>
      </c>
      <c r="K909" s="11">
        <f>31.8606 * CHOOSE(CONTROL!$C$32, $C$9, 100%, $E$9)</f>
        <v>31.860600000000002</v>
      </c>
      <c r="L909" s="11">
        <f>15.0695 * CHOOSE(CONTROL!$C$32, $C$9, 100%, $E$9)</f>
        <v>15.0695</v>
      </c>
      <c r="M909" s="11">
        <f>15.0737 * CHOOSE(CONTROL!$C$32, $C$9, 100%, $E$9)</f>
        <v>15.073700000000001</v>
      </c>
      <c r="N909" s="11">
        <f>15.0695 * CHOOSE(CONTROL!$C$32, $C$9, 100%, $E$9)</f>
        <v>15.0695</v>
      </c>
      <c r="O909" s="11">
        <f>15.0737 * CHOOSE(CONTROL!$C$32, $C$9, 100%, $E$9)</f>
        <v>15.073700000000001</v>
      </c>
    </row>
    <row r="910" spans="1:15" ht="15" x14ac:dyDescent="0.2">
      <c r="A910" s="13">
        <v>68546</v>
      </c>
      <c r="B910" s="9">
        <f>13.4873 * CHOOSE(CONTROL!$C$32, $C$9, 100%, $E$9)</f>
        <v>13.487299999999999</v>
      </c>
      <c r="C910" s="9">
        <f>13.4873 * CHOOSE(CONTROL!$C$32, $C$9, 100%, $E$9)</f>
        <v>13.487299999999999</v>
      </c>
      <c r="D910" s="9">
        <f>13.4886 * CHOOSE(CONTROL!$C$32, $C$9, 100%, $E$9)</f>
        <v>13.4886</v>
      </c>
      <c r="E910" s="11">
        <f>15.0241 * CHOOSE(CONTROL!$C$32, $C$9, 100%, $E$9)</f>
        <v>15.024100000000001</v>
      </c>
      <c r="F910" s="11">
        <f>15.0241 * CHOOSE(CONTROL!$C$32, $C$9, 100%, $E$9)</f>
        <v>15.024100000000001</v>
      </c>
      <c r="G910" s="11">
        <f>15.0283 * CHOOSE(CONTROL!$C$32, $C$9, 100%, $E$9)</f>
        <v>15.0283</v>
      </c>
      <c r="H910" s="11">
        <f>31.9227 * CHOOSE(CONTROL!$C$32, $C$9, 100%, $E$9)</f>
        <v>31.922699999999999</v>
      </c>
      <c r="I910" s="11">
        <f>31.9269 * CHOOSE(CONTROL!$C$32, $C$9, 100%, $E$9)</f>
        <v>31.9269</v>
      </c>
      <c r="J910" s="11">
        <f>31.9227 * CHOOSE(CONTROL!$C$32, $C$9, 100%, $E$9)</f>
        <v>31.922699999999999</v>
      </c>
      <c r="K910" s="11">
        <f>31.9269 * CHOOSE(CONTROL!$C$32, $C$9, 100%, $E$9)</f>
        <v>31.9269</v>
      </c>
      <c r="L910" s="11">
        <f>15.0241 * CHOOSE(CONTROL!$C$32, $C$9, 100%, $E$9)</f>
        <v>15.024100000000001</v>
      </c>
      <c r="M910" s="11">
        <f>15.0283 * CHOOSE(CONTROL!$C$32, $C$9, 100%, $E$9)</f>
        <v>15.0283</v>
      </c>
      <c r="N910" s="11">
        <f>15.0241 * CHOOSE(CONTROL!$C$32, $C$9, 100%, $E$9)</f>
        <v>15.024100000000001</v>
      </c>
      <c r="O910" s="11">
        <f>15.0283 * CHOOSE(CONTROL!$C$32, $C$9, 100%, $E$9)</f>
        <v>15.0283</v>
      </c>
    </row>
    <row r="911" spans="1:15" ht="15" x14ac:dyDescent="0.2">
      <c r="A911" s="13">
        <v>68576</v>
      </c>
      <c r="B911" s="9">
        <f>13.5179 * CHOOSE(CONTROL!$C$32, $C$9, 100%, $E$9)</f>
        <v>13.517899999999999</v>
      </c>
      <c r="C911" s="9">
        <f>13.5179 * CHOOSE(CONTROL!$C$32, $C$9, 100%, $E$9)</f>
        <v>13.517899999999999</v>
      </c>
      <c r="D911" s="9">
        <f>13.5188 * CHOOSE(CONTROL!$C$32, $C$9, 100%, $E$9)</f>
        <v>13.518800000000001</v>
      </c>
      <c r="E911" s="11">
        <f>15.1839 * CHOOSE(CONTROL!$C$32, $C$9, 100%, $E$9)</f>
        <v>15.1839</v>
      </c>
      <c r="F911" s="11">
        <f>15.1839 * CHOOSE(CONTROL!$C$32, $C$9, 100%, $E$9)</f>
        <v>15.1839</v>
      </c>
      <c r="G911" s="11">
        <f>15.1872 * CHOOSE(CONTROL!$C$32, $C$9, 100%, $E$9)</f>
        <v>15.187200000000001</v>
      </c>
      <c r="H911" s="11">
        <f>31.9893 * CHOOSE(CONTROL!$C$32, $C$9, 100%, $E$9)</f>
        <v>31.9893</v>
      </c>
      <c r="I911" s="11">
        <f>31.9925 * CHOOSE(CONTROL!$C$32, $C$9, 100%, $E$9)</f>
        <v>31.9925</v>
      </c>
      <c r="J911" s="11">
        <f>31.9893 * CHOOSE(CONTROL!$C$32, $C$9, 100%, $E$9)</f>
        <v>31.9893</v>
      </c>
      <c r="K911" s="11">
        <f>31.9925 * CHOOSE(CONTROL!$C$32, $C$9, 100%, $E$9)</f>
        <v>31.9925</v>
      </c>
      <c r="L911" s="11">
        <f>15.1839 * CHOOSE(CONTROL!$C$32, $C$9, 100%, $E$9)</f>
        <v>15.1839</v>
      </c>
      <c r="M911" s="11">
        <f>15.1872 * CHOOSE(CONTROL!$C$32, $C$9, 100%, $E$9)</f>
        <v>15.187200000000001</v>
      </c>
      <c r="N911" s="11">
        <f>15.1839 * CHOOSE(CONTROL!$C$32, $C$9, 100%, $E$9)</f>
        <v>15.1839</v>
      </c>
      <c r="O911" s="11">
        <f>15.1872 * CHOOSE(CONTROL!$C$32, $C$9, 100%, $E$9)</f>
        <v>15.187200000000001</v>
      </c>
    </row>
    <row r="912" spans="1:15" ht="15" x14ac:dyDescent="0.2">
      <c r="A912" s="13">
        <v>68607</v>
      </c>
      <c r="B912" s="9">
        <f>13.5209 * CHOOSE(CONTROL!$C$32, $C$9, 100%, $E$9)</f>
        <v>13.520899999999999</v>
      </c>
      <c r="C912" s="9">
        <f>13.5209 * CHOOSE(CONTROL!$C$32, $C$9, 100%, $E$9)</f>
        <v>13.520899999999999</v>
      </c>
      <c r="D912" s="9">
        <f>13.5218 * CHOOSE(CONTROL!$C$32, $C$9, 100%, $E$9)</f>
        <v>13.521800000000001</v>
      </c>
      <c r="E912" s="11">
        <f>15.2727 * CHOOSE(CONTROL!$C$32, $C$9, 100%, $E$9)</f>
        <v>15.2727</v>
      </c>
      <c r="F912" s="11">
        <f>15.2727 * CHOOSE(CONTROL!$C$32, $C$9, 100%, $E$9)</f>
        <v>15.2727</v>
      </c>
      <c r="G912" s="11">
        <f>15.2759 * CHOOSE(CONTROL!$C$32, $C$9, 100%, $E$9)</f>
        <v>15.2759</v>
      </c>
      <c r="H912" s="11">
        <f>32.0559 * CHOOSE(CONTROL!$C$32, $C$9, 100%, $E$9)</f>
        <v>32.055900000000001</v>
      </c>
      <c r="I912" s="11">
        <f>32.0591 * CHOOSE(CONTROL!$C$32, $C$9, 100%, $E$9)</f>
        <v>32.059100000000001</v>
      </c>
      <c r="J912" s="11">
        <f>32.0559 * CHOOSE(CONTROL!$C$32, $C$9, 100%, $E$9)</f>
        <v>32.055900000000001</v>
      </c>
      <c r="K912" s="11">
        <f>32.0591 * CHOOSE(CONTROL!$C$32, $C$9, 100%, $E$9)</f>
        <v>32.059100000000001</v>
      </c>
      <c r="L912" s="11">
        <f>15.2727 * CHOOSE(CONTROL!$C$32, $C$9, 100%, $E$9)</f>
        <v>15.2727</v>
      </c>
      <c r="M912" s="11">
        <f>15.2759 * CHOOSE(CONTROL!$C$32, $C$9, 100%, $E$9)</f>
        <v>15.2759</v>
      </c>
      <c r="N912" s="11">
        <f>15.2727 * CHOOSE(CONTROL!$C$32, $C$9, 100%, $E$9)</f>
        <v>15.2727</v>
      </c>
      <c r="O912" s="11">
        <f>15.2759 * CHOOSE(CONTROL!$C$32, $C$9, 100%, $E$9)</f>
        <v>15.2759</v>
      </c>
    </row>
    <row r="913" spans="1:15" ht="15" x14ac:dyDescent="0.2">
      <c r="A913" s="13">
        <v>68637</v>
      </c>
      <c r="B913" s="9">
        <f>13.5209 * CHOOSE(CONTROL!$C$32, $C$9, 100%, $E$9)</f>
        <v>13.520899999999999</v>
      </c>
      <c r="C913" s="9">
        <f>13.5209 * CHOOSE(CONTROL!$C$32, $C$9, 100%, $E$9)</f>
        <v>13.520899999999999</v>
      </c>
      <c r="D913" s="9">
        <f>13.5218 * CHOOSE(CONTROL!$C$32, $C$9, 100%, $E$9)</f>
        <v>13.521800000000001</v>
      </c>
      <c r="E913" s="11">
        <f>15.0561 * CHOOSE(CONTROL!$C$32, $C$9, 100%, $E$9)</f>
        <v>15.056100000000001</v>
      </c>
      <c r="F913" s="11">
        <f>15.0561 * CHOOSE(CONTROL!$C$32, $C$9, 100%, $E$9)</f>
        <v>15.056100000000001</v>
      </c>
      <c r="G913" s="11">
        <f>15.0593 * CHOOSE(CONTROL!$C$32, $C$9, 100%, $E$9)</f>
        <v>15.0593</v>
      </c>
      <c r="H913" s="11">
        <f>32.1227 * CHOOSE(CONTROL!$C$32, $C$9, 100%, $E$9)</f>
        <v>32.122700000000002</v>
      </c>
      <c r="I913" s="11">
        <f>32.1259 * CHOOSE(CONTROL!$C$32, $C$9, 100%, $E$9)</f>
        <v>32.125900000000001</v>
      </c>
      <c r="J913" s="11">
        <f>32.1227 * CHOOSE(CONTROL!$C$32, $C$9, 100%, $E$9)</f>
        <v>32.122700000000002</v>
      </c>
      <c r="K913" s="11">
        <f>32.1259 * CHOOSE(CONTROL!$C$32, $C$9, 100%, $E$9)</f>
        <v>32.125900000000001</v>
      </c>
      <c r="L913" s="11">
        <f>15.0561 * CHOOSE(CONTROL!$C$32, $C$9, 100%, $E$9)</f>
        <v>15.056100000000001</v>
      </c>
      <c r="M913" s="11">
        <f>15.0593 * CHOOSE(CONTROL!$C$32, $C$9, 100%, $E$9)</f>
        <v>15.0593</v>
      </c>
      <c r="N913" s="11">
        <f>15.0561 * CHOOSE(CONTROL!$C$32, $C$9, 100%, $E$9)</f>
        <v>15.056100000000001</v>
      </c>
      <c r="O913" s="11">
        <f>15.0593 * CHOOSE(CONTROL!$C$32, $C$9, 100%, $E$9)</f>
        <v>15.0593</v>
      </c>
    </row>
    <row r="914" spans="1:15" ht="15" x14ac:dyDescent="0.2">
      <c r="A914" s="13">
        <v>68668</v>
      </c>
      <c r="B914" s="9">
        <f>13.5035 * CHOOSE(CONTROL!$C$32, $C$9, 100%, $E$9)</f>
        <v>13.503500000000001</v>
      </c>
      <c r="C914" s="9">
        <f>13.5035 * CHOOSE(CONTROL!$C$32, $C$9, 100%, $E$9)</f>
        <v>13.503500000000001</v>
      </c>
      <c r="D914" s="9">
        <f>13.5045 * CHOOSE(CONTROL!$C$32, $C$9, 100%, $E$9)</f>
        <v>13.5045</v>
      </c>
      <c r="E914" s="11">
        <f>15.1956 * CHOOSE(CONTROL!$C$32, $C$9, 100%, $E$9)</f>
        <v>15.195600000000001</v>
      </c>
      <c r="F914" s="11">
        <f>15.1956 * CHOOSE(CONTROL!$C$32, $C$9, 100%, $E$9)</f>
        <v>15.195600000000001</v>
      </c>
      <c r="G914" s="11">
        <f>15.1988 * CHOOSE(CONTROL!$C$32, $C$9, 100%, $E$9)</f>
        <v>15.1988</v>
      </c>
      <c r="H914" s="11">
        <f>31.8675 * CHOOSE(CONTROL!$C$32, $C$9, 100%, $E$9)</f>
        <v>31.8675</v>
      </c>
      <c r="I914" s="11">
        <f>31.8707 * CHOOSE(CONTROL!$C$32, $C$9, 100%, $E$9)</f>
        <v>31.870699999999999</v>
      </c>
      <c r="J914" s="11">
        <f>31.8675 * CHOOSE(CONTROL!$C$32, $C$9, 100%, $E$9)</f>
        <v>31.8675</v>
      </c>
      <c r="K914" s="11">
        <f>31.8707 * CHOOSE(CONTROL!$C$32, $C$9, 100%, $E$9)</f>
        <v>31.870699999999999</v>
      </c>
      <c r="L914" s="11">
        <f>15.1956 * CHOOSE(CONTROL!$C$32, $C$9, 100%, $E$9)</f>
        <v>15.195600000000001</v>
      </c>
      <c r="M914" s="11">
        <f>15.1988 * CHOOSE(CONTROL!$C$32, $C$9, 100%, $E$9)</f>
        <v>15.1988</v>
      </c>
      <c r="N914" s="11">
        <f>15.1956 * CHOOSE(CONTROL!$C$32, $C$9, 100%, $E$9)</f>
        <v>15.195600000000001</v>
      </c>
      <c r="O914" s="11">
        <f>15.1988 * CHOOSE(CONTROL!$C$32, $C$9, 100%, $E$9)</f>
        <v>15.1988</v>
      </c>
    </row>
    <row r="915" spans="1:15" ht="15" x14ac:dyDescent="0.2">
      <c r="A915" s="13">
        <v>68699</v>
      </c>
      <c r="B915" s="9">
        <f>13.5005 * CHOOSE(CONTROL!$C$32, $C$9, 100%, $E$9)</f>
        <v>13.500500000000001</v>
      </c>
      <c r="C915" s="9">
        <f>13.5005 * CHOOSE(CONTROL!$C$32, $C$9, 100%, $E$9)</f>
        <v>13.500500000000001</v>
      </c>
      <c r="D915" s="9">
        <f>13.5014 * CHOOSE(CONTROL!$C$32, $C$9, 100%, $E$9)</f>
        <v>13.5014</v>
      </c>
      <c r="E915" s="11">
        <f>14.777 * CHOOSE(CONTROL!$C$32, $C$9, 100%, $E$9)</f>
        <v>14.776999999999999</v>
      </c>
      <c r="F915" s="11">
        <f>14.777 * CHOOSE(CONTROL!$C$32, $C$9, 100%, $E$9)</f>
        <v>14.776999999999999</v>
      </c>
      <c r="G915" s="11">
        <f>14.7802 * CHOOSE(CONTROL!$C$32, $C$9, 100%, $E$9)</f>
        <v>14.780200000000001</v>
      </c>
      <c r="H915" s="11">
        <f>31.9339 * CHOOSE(CONTROL!$C$32, $C$9, 100%, $E$9)</f>
        <v>31.933900000000001</v>
      </c>
      <c r="I915" s="11">
        <f>31.9371 * CHOOSE(CONTROL!$C$32, $C$9, 100%, $E$9)</f>
        <v>31.937100000000001</v>
      </c>
      <c r="J915" s="11">
        <f>31.9339 * CHOOSE(CONTROL!$C$32, $C$9, 100%, $E$9)</f>
        <v>31.933900000000001</v>
      </c>
      <c r="K915" s="11">
        <f>31.9371 * CHOOSE(CONTROL!$C$32, $C$9, 100%, $E$9)</f>
        <v>31.937100000000001</v>
      </c>
      <c r="L915" s="11">
        <f>14.777 * CHOOSE(CONTROL!$C$32, $C$9, 100%, $E$9)</f>
        <v>14.776999999999999</v>
      </c>
      <c r="M915" s="11">
        <f>14.7802 * CHOOSE(CONTROL!$C$32, $C$9, 100%, $E$9)</f>
        <v>14.780200000000001</v>
      </c>
      <c r="N915" s="11">
        <f>14.777 * CHOOSE(CONTROL!$C$32, $C$9, 100%, $E$9)</f>
        <v>14.776999999999999</v>
      </c>
      <c r="O915" s="11">
        <f>14.7802 * CHOOSE(CONTROL!$C$32, $C$9, 100%, $E$9)</f>
        <v>14.780200000000001</v>
      </c>
    </row>
    <row r="916" spans="1:15" ht="15" x14ac:dyDescent="0.2">
      <c r="A916" s="13">
        <v>68728</v>
      </c>
      <c r="B916" s="9">
        <f>13.4974 * CHOOSE(CONTROL!$C$32, $C$9, 100%, $E$9)</f>
        <v>13.497400000000001</v>
      </c>
      <c r="C916" s="9">
        <f>13.4974 * CHOOSE(CONTROL!$C$32, $C$9, 100%, $E$9)</f>
        <v>13.497400000000001</v>
      </c>
      <c r="D916" s="9">
        <f>13.4984 * CHOOSE(CONTROL!$C$32, $C$9, 100%, $E$9)</f>
        <v>13.4984</v>
      </c>
      <c r="E916" s="11">
        <f>15.1032 * CHOOSE(CONTROL!$C$32, $C$9, 100%, $E$9)</f>
        <v>15.103199999999999</v>
      </c>
      <c r="F916" s="11">
        <f>15.1032 * CHOOSE(CONTROL!$C$32, $C$9, 100%, $E$9)</f>
        <v>15.103199999999999</v>
      </c>
      <c r="G916" s="11">
        <f>15.1064 * CHOOSE(CONTROL!$C$32, $C$9, 100%, $E$9)</f>
        <v>15.106400000000001</v>
      </c>
      <c r="H916" s="11">
        <f>32.0004 * CHOOSE(CONTROL!$C$32, $C$9, 100%, $E$9)</f>
        <v>32.000399999999999</v>
      </c>
      <c r="I916" s="11">
        <f>32.0036 * CHOOSE(CONTROL!$C$32, $C$9, 100%, $E$9)</f>
        <v>32.003599999999999</v>
      </c>
      <c r="J916" s="11">
        <f>32.0004 * CHOOSE(CONTROL!$C$32, $C$9, 100%, $E$9)</f>
        <v>32.000399999999999</v>
      </c>
      <c r="K916" s="11">
        <f>32.0036 * CHOOSE(CONTROL!$C$32, $C$9, 100%, $E$9)</f>
        <v>32.003599999999999</v>
      </c>
      <c r="L916" s="11">
        <f>15.1032 * CHOOSE(CONTROL!$C$32, $C$9, 100%, $E$9)</f>
        <v>15.103199999999999</v>
      </c>
      <c r="M916" s="11">
        <f>15.1064 * CHOOSE(CONTROL!$C$32, $C$9, 100%, $E$9)</f>
        <v>15.106400000000001</v>
      </c>
      <c r="N916" s="11">
        <f>15.1032 * CHOOSE(CONTROL!$C$32, $C$9, 100%, $E$9)</f>
        <v>15.103199999999999</v>
      </c>
      <c r="O916" s="11">
        <f>15.1064 * CHOOSE(CONTROL!$C$32, $C$9, 100%, $E$9)</f>
        <v>15.106400000000001</v>
      </c>
    </row>
    <row r="917" spans="1:15" ht="15" x14ac:dyDescent="0.2">
      <c r="A917" s="13">
        <v>68759</v>
      </c>
      <c r="B917" s="9">
        <f>13.5043 * CHOOSE(CONTROL!$C$32, $C$9, 100%, $E$9)</f>
        <v>13.504300000000001</v>
      </c>
      <c r="C917" s="9">
        <f>13.5043 * CHOOSE(CONTROL!$C$32, $C$9, 100%, $E$9)</f>
        <v>13.504300000000001</v>
      </c>
      <c r="D917" s="9">
        <f>13.5053 * CHOOSE(CONTROL!$C$32, $C$9, 100%, $E$9)</f>
        <v>13.5053</v>
      </c>
      <c r="E917" s="11">
        <f>15.4516 * CHOOSE(CONTROL!$C$32, $C$9, 100%, $E$9)</f>
        <v>15.451599999999999</v>
      </c>
      <c r="F917" s="11">
        <f>15.4516 * CHOOSE(CONTROL!$C$32, $C$9, 100%, $E$9)</f>
        <v>15.451599999999999</v>
      </c>
      <c r="G917" s="11">
        <f>15.4548 * CHOOSE(CONTROL!$C$32, $C$9, 100%, $E$9)</f>
        <v>15.454800000000001</v>
      </c>
      <c r="H917" s="11">
        <f>32.067 * CHOOSE(CONTROL!$C$32, $C$9, 100%, $E$9)</f>
        <v>32.067</v>
      </c>
      <c r="I917" s="11">
        <f>32.0703 * CHOOSE(CONTROL!$C$32, $C$9, 100%, $E$9)</f>
        <v>32.070300000000003</v>
      </c>
      <c r="J917" s="11">
        <f>32.067 * CHOOSE(CONTROL!$C$32, $C$9, 100%, $E$9)</f>
        <v>32.067</v>
      </c>
      <c r="K917" s="11">
        <f>32.0703 * CHOOSE(CONTROL!$C$32, $C$9, 100%, $E$9)</f>
        <v>32.070300000000003</v>
      </c>
      <c r="L917" s="11">
        <f>15.4516 * CHOOSE(CONTROL!$C$32, $C$9, 100%, $E$9)</f>
        <v>15.451599999999999</v>
      </c>
      <c r="M917" s="11">
        <f>15.4548 * CHOOSE(CONTROL!$C$32, $C$9, 100%, $E$9)</f>
        <v>15.454800000000001</v>
      </c>
      <c r="N917" s="11">
        <f>15.4516 * CHOOSE(CONTROL!$C$32, $C$9, 100%, $E$9)</f>
        <v>15.451599999999999</v>
      </c>
      <c r="O917" s="11">
        <f>15.4548 * CHOOSE(CONTROL!$C$32, $C$9, 100%, $E$9)</f>
        <v>15.454800000000001</v>
      </c>
    </row>
    <row r="918" spans="1:15" ht="15" x14ac:dyDescent="0.2">
      <c r="A918" s="13">
        <v>68789</v>
      </c>
      <c r="B918" s="9">
        <f>13.5043 * CHOOSE(CONTROL!$C$32, $C$9, 100%, $E$9)</f>
        <v>13.504300000000001</v>
      </c>
      <c r="C918" s="9">
        <f>13.5043 * CHOOSE(CONTROL!$C$32, $C$9, 100%, $E$9)</f>
        <v>13.504300000000001</v>
      </c>
      <c r="D918" s="9">
        <f>13.5056 * CHOOSE(CONTROL!$C$32, $C$9, 100%, $E$9)</f>
        <v>13.505599999999999</v>
      </c>
      <c r="E918" s="11">
        <f>15.5838 * CHOOSE(CONTROL!$C$32, $C$9, 100%, $E$9)</f>
        <v>15.5838</v>
      </c>
      <c r="F918" s="11">
        <f>15.5838 * CHOOSE(CONTROL!$C$32, $C$9, 100%, $E$9)</f>
        <v>15.5838</v>
      </c>
      <c r="G918" s="11">
        <f>15.588 * CHOOSE(CONTROL!$C$32, $C$9, 100%, $E$9)</f>
        <v>15.587999999999999</v>
      </c>
      <c r="H918" s="11">
        <f>32.1339 * CHOOSE(CONTROL!$C$32, $C$9, 100%, $E$9)</f>
        <v>32.133899999999997</v>
      </c>
      <c r="I918" s="11">
        <f>32.1381 * CHOOSE(CONTROL!$C$32, $C$9, 100%, $E$9)</f>
        <v>32.138100000000001</v>
      </c>
      <c r="J918" s="11">
        <f>32.1339 * CHOOSE(CONTROL!$C$32, $C$9, 100%, $E$9)</f>
        <v>32.133899999999997</v>
      </c>
      <c r="K918" s="11">
        <f>32.1381 * CHOOSE(CONTROL!$C$32, $C$9, 100%, $E$9)</f>
        <v>32.138100000000001</v>
      </c>
      <c r="L918" s="11">
        <f>15.5838 * CHOOSE(CONTROL!$C$32, $C$9, 100%, $E$9)</f>
        <v>15.5838</v>
      </c>
      <c r="M918" s="11">
        <f>15.588 * CHOOSE(CONTROL!$C$32, $C$9, 100%, $E$9)</f>
        <v>15.587999999999999</v>
      </c>
      <c r="N918" s="11">
        <f>15.5838 * CHOOSE(CONTROL!$C$32, $C$9, 100%, $E$9)</f>
        <v>15.5838</v>
      </c>
      <c r="O918" s="11">
        <f>15.588 * CHOOSE(CONTROL!$C$32, $C$9, 100%, $E$9)</f>
        <v>15.587999999999999</v>
      </c>
    </row>
    <row r="919" spans="1:15" ht="15" x14ac:dyDescent="0.2">
      <c r="A919" s="13">
        <v>68820</v>
      </c>
      <c r="B919" s="9">
        <f>13.5104 * CHOOSE(CONTROL!$C$32, $C$9, 100%, $E$9)</f>
        <v>13.510400000000001</v>
      </c>
      <c r="C919" s="9">
        <f>13.5104 * CHOOSE(CONTROL!$C$32, $C$9, 100%, $E$9)</f>
        <v>13.510400000000001</v>
      </c>
      <c r="D919" s="9">
        <f>13.5116 * CHOOSE(CONTROL!$C$32, $C$9, 100%, $E$9)</f>
        <v>13.5116</v>
      </c>
      <c r="E919" s="11">
        <f>15.4558 * CHOOSE(CONTROL!$C$32, $C$9, 100%, $E$9)</f>
        <v>15.4558</v>
      </c>
      <c r="F919" s="11">
        <f>15.4558 * CHOOSE(CONTROL!$C$32, $C$9, 100%, $E$9)</f>
        <v>15.4558</v>
      </c>
      <c r="G919" s="11">
        <f>15.46 * CHOOSE(CONTROL!$C$32, $C$9, 100%, $E$9)</f>
        <v>15.46</v>
      </c>
      <c r="H919" s="11">
        <f>32.2008 * CHOOSE(CONTROL!$C$32, $C$9, 100%, $E$9)</f>
        <v>32.200800000000001</v>
      </c>
      <c r="I919" s="11">
        <f>32.205 * CHOOSE(CONTROL!$C$32, $C$9, 100%, $E$9)</f>
        <v>32.204999999999998</v>
      </c>
      <c r="J919" s="11">
        <f>32.2008 * CHOOSE(CONTROL!$C$32, $C$9, 100%, $E$9)</f>
        <v>32.200800000000001</v>
      </c>
      <c r="K919" s="11">
        <f>32.205 * CHOOSE(CONTROL!$C$32, $C$9, 100%, $E$9)</f>
        <v>32.204999999999998</v>
      </c>
      <c r="L919" s="11">
        <f>15.4558 * CHOOSE(CONTROL!$C$32, $C$9, 100%, $E$9)</f>
        <v>15.4558</v>
      </c>
      <c r="M919" s="11">
        <f>15.46 * CHOOSE(CONTROL!$C$32, $C$9, 100%, $E$9)</f>
        <v>15.46</v>
      </c>
      <c r="N919" s="11">
        <f>15.4558 * CHOOSE(CONTROL!$C$32, $C$9, 100%, $E$9)</f>
        <v>15.4558</v>
      </c>
      <c r="O919" s="11">
        <f>15.46 * CHOOSE(CONTROL!$C$32, $C$9, 100%, $E$9)</f>
        <v>15.46</v>
      </c>
    </row>
    <row r="920" spans="1:15" ht="15" x14ac:dyDescent="0.2">
      <c r="A920" s="13">
        <v>68850</v>
      </c>
      <c r="B920" s="9">
        <f>13.6733 * CHOOSE(CONTROL!$C$32, $C$9, 100%, $E$9)</f>
        <v>13.673299999999999</v>
      </c>
      <c r="C920" s="9">
        <f>13.6733 * CHOOSE(CONTROL!$C$32, $C$9, 100%, $E$9)</f>
        <v>13.673299999999999</v>
      </c>
      <c r="D920" s="9">
        <f>13.6745 * CHOOSE(CONTROL!$C$32, $C$9, 100%, $E$9)</f>
        <v>13.6745</v>
      </c>
      <c r="E920" s="11">
        <f>15.6749 * CHOOSE(CONTROL!$C$32, $C$9, 100%, $E$9)</f>
        <v>15.674899999999999</v>
      </c>
      <c r="F920" s="11">
        <f>15.6749 * CHOOSE(CONTROL!$C$32, $C$9, 100%, $E$9)</f>
        <v>15.674899999999999</v>
      </c>
      <c r="G920" s="11">
        <f>15.6791 * CHOOSE(CONTROL!$C$32, $C$9, 100%, $E$9)</f>
        <v>15.6791</v>
      </c>
      <c r="H920" s="11">
        <f>32.2679 * CHOOSE(CONTROL!$C$32, $C$9, 100%, $E$9)</f>
        <v>32.267899999999997</v>
      </c>
      <c r="I920" s="11">
        <f>32.2721 * CHOOSE(CONTROL!$C$32, $C$9, 100%, $E$9)</f>
        <v>32.272100000000002</v>
      </c>
      <c r="J920" s="11">
        <f>32.2679 * CHOOSE(CONTROL!$C$32, $C$9, 100%, $E$9)</f>
        <v>32.267899999999997</v>
      </c>
      <c r="K920" s="11">
        <f>32.2721 * CHOOSE(CONTROL!$C$32, $C$9, 100%, $E$9)</f>
        <v>32.272100000000002</v>
      </c>
      <c r="L920" s="11">
        <f>15.6749 * CHOOSE(CONTROL!$C$32, $C$9, 100%, $E$9)</f>
        <v>15.674899999999999</v>
      </c>
      <c r="M920" s="11">
        <f>15.6791 * CHOOSE(CONTROL!$C$32, $C$9, 100%, $E$9)</f>
        <v>15.6791</v>
      </c>
      <c r="N920" s="11">
        <f>15.6749 * CHOOSE(CONTROL!$C$32, $C$9, 100%, $E$9)</f>
        <v>15.674899999999999</v>
      </c>
      <c r="O920" s="11">
        <f>15.6791 * CHOOSE(CONTROL!$C$32, $C$9, 100%, $E$9)</f>
        <v>15.6791</v>
      </c>
    </row>
    <row r="921" spans="1:15" ht="15" x14ac:dyDescent="0.2">
      <c r="A921" s="13">
        <v>68881</v>
      </c>
      <c r="B921" s="9">
        <f>13.68 * CHOOSE(CONTROL!$C$32, $C$9, 100%, $E$9)</f>
        <v>13.68</v>
      </c>
      <c r="C921" s="9">
        <f>13.68 * CHOOSE(CONTROL!$C$32, $C$9, 100%, $E$9)</f>
        <v>13.68</v>
      </c>
      <c r="D921" s="9">
        <f>13.6812 * CHOOSE(CONTROL!$C$32, $C$9, 100%, $E$9)</f>
        <v>13.6812</v>
      </c>
      <c r="E921" s="11">
        <f>15.2829 * CHOOSE(CONTROL!$C$32, $C$9, 100%, $E$9)</f>
        <v>15.2829</v>
      </c>
      <c r="F921" s="11">
        <f>15.2829 * CHOOSE(CONTROL!$C$32, $C$9, 100%, $E$9)</f>
        <v>15.2829</v>
      </c>
      <c r="G921" s="11">
        <f>15.2872 * CHOOSE(CONTROL!$C$32, $C$9, 100%, $E$9)</f>
        <v>15.2872</v>
      </c>
      <c r="H921" s="11">
        <f>32.3351 * CHOOSE(CONTROL!$C$32, $C$9, 100%, $E$9)</f>
        <v>32.335099999999997</v>
      </c>
      <c r="I921" s="11">
        <f>32.3393 * CHOOSE(CONTROL!$C$32, $C$9, 100%, $E$9)</f>
        <v>32.339300000000001</v>
      </c>
      <c r="J921" s="11">
        <f>32.3351 * CHOOSE(CONTROL!$C$32, $C$9, 100%, $E$9)</f>
        <v>32.335099999999997</v>
      </c>
      <c r="K921" s="11">
        <f>32.3393 * CHOOSE(CONTROL!$C$32, $C$9, 100%, $E$9)</f>
        <v>32.339300000000001</v>
      </c>
      <c r="L921" s="11">
        <f>15.2829 * CHOOSE(CONTROL!$C$32, $C$9, 100%, $E$9)</f>
        <v>15.2829</v>
      </c>
      <c r="M921" s="11">
        <f>15.2872 * CHOOSE(CONTROL!$C$32, $C$9, 100%, $E$9)</f>
        <v>15.2872</v>
      </c>
      <c r="N921" s="11">
        <f>15.2829 * CHOOSE(CONTROL!$C$32, $C$9, 100%, $E$9)</f>
        <v>15.2829</v>
      </c>
      <c r="O921" s="11">
        <f>15.2872 * CHOOSE(CONTROL!$C$32, $C$9, 100%, $E$9)</f>
        <v>15.2872</v>
      </c>
    </row>
    <row r="922" spans="1:15" ht="15" x14ac:dyDescent="0.2">
      <c r="A922" s="13">
        <v>68912</v>
      </c>
      <c r="B922" s="9">
        <f>13.6769 * CHOOSE(CONTROL!$C$32, $C$9, 100%, $E$9)</f>
        <v>13.6769</v>
      </c>
      <c r="C922" s="9">
        <f>13.6769 * CHOOSE(CONTROL!$C$32, $C$9, 100%, $E$9)</f>
        <v>13.6769</v>
      </c>
      <c r="D922" s="9">
        <f>13.6782 * CHOOSE(CONTROL!$C$32, $C$9, 100%, $E$9)</f>
        <v>13.6782</v>
      </c>
      <c r="E922" s="11">
        <f>15.2368 * CHOOSE(CONTROL!$C$32, $C$9, 100%, $E$9)</f>
        <v>15.236800000000001</v>
      </c>
      <c r="F922" s="11">
        <f>15.2368 * CHOOSE(CONTROL!$C$32, $C$9, 100%, $E$9)</f>
        <v>15.236800000000001</v>
      </c>
      <c r="G922" s="11">
        <f>15.241 * CHOOSE(CONTROL!$C$32, $C$9, 100%, $E$9)</f>
        <v>15.241</v>
      </c>
      <c r="H922" s="11">
        <f>32.4025 * CHOOSE(CONTROL!$C$32, $C$9, 100%, $E$9)</f>
        <v>32.402500000000003</v>
      </c>
      <c r="I922" s="11">
        <f>32.4067 * CHOOSE(CONTROL!$C$32, $C$9, 100%, $E$9)</f>
        <v>32.406700000000001</v>
      </c>
      <c r="J922" s="11">
        <f>32.4025 * CHOOSE(CONTROL!$C$32, $C$9, 100%, $E$9)</f>
        <v>32.402500000000003</v>
      </c>
      <c r="K922" s="11">
        <f>32.4067 * CHOOSE(CONTROL!$C$32, $C$9, 100%, $E$9)</f>
        <v>32.406700000000001</v>
      </c>
      <c r="L922" s="11">
        <f>15.2368 * CHOOSE(CONTROL!$C$32, $C$9, 100%, $E$9)</f>
        <v>15.236800000000001</v>
      </c>
      <c r="M922" s="11">
        <f>15.241 * CHOOSE(CONTROL!$C$32, $C$9, 100%, $E$9)</f>
        <v>15.241</v>
      </c>
      <c r="N922" s="11">
        <f>15.2368 * CHOOSE(CONTROL!$C$32, $C$9, 100%, $E$9)</f>
        <v>15.236800000000001</v>
      </c>
      <c r="O922" s="11">
        <f>15.241 * CHOOSE(CONTROL!$C$32, $C$9, 100%, $E$9)</f>
        <v>15.241</v>
      </c>
    </row>
    <row r="923" spans="1:15" ht="15" x14ac:dyDescent="0.2">
      <c r="A923" s="13">
        <v>68942</v>
      </c>
      <c r="B923" s="9">
        <f>13.7082 * CHOOSE(CONTROL!$C$32, $C$9, 100%, $E$9)</f>
        <v>13.7082</v>
      </c>
      <c r="C923" s="9">
        <f>13.7082 * CHOOSE(CONTROL!$C$32, $C$9, 100%, $E$9)</f>
        <v>13.7082</v>
      </c>
      <c r="D923" s="9">
        <f>13.7091 * CHOOSE(CONTROL!$C$32, $C$9, 100%, $E$9)</f>
        <v>13.709099999999999</v>
      </c>
      <c r="E923" s="11">
        <f>15.3996 * CHOOSE(CONTROL!$C$32, $C$9, 100%, $E$9)</f>
        <v>15.3996</v>
      </c>
      <c r="F923" s="11">
        <f>15.3996 * CHOOSE(CONTROL!$C$32, $C$9, 100%, $E$9)</f>
        <v>15.3996</v>
      </c>
      <c r="G923" s="11">
        <f>15.4029 * CHOOSE(CONTROL!$C$32, $C$9, 100%, $E$9)</f>
        <v>15.402900000000001</v>
      </c>
      <c r="H923" s="11">
        <f>32.47 * CHOOSE(CONTROL!$C$32, $C$9, 100%, $E$9)</f>
        <v>32.47</v>
      </c>
      <c r="I923" s="11">
        <f>32.4732 * CHOOSE(CONTROL!$C$32, $C$9, 100%, $E$9)</f>
        <v>32.473199999999999</v>
      </c>
      <c r="J923" s="11">
        <f>32.47 * CHOOSE(CONTROL!$C$32, $C$9, 100%, $E$9)</f>
        <v>32.47</v>
      </c>
      <c r="K923" s="11">
        <f>32.4732 * CHOOSE(CONTROL!$C$32, $C$9, 100%, $E$9)</f>
        <v>32.473199999999999</v>
      </c>
      <c r="L923" s="11">
        <f>15.3996 * CHOOSE(CONTROL!$C$32, $C$9, 100%, $E$9)</f>
        <v>15.3996</v>
      </c>
      <c r="M923" s="11">
        <f>15.4029 * CHOOSE(CONTROL!$C$32, $C$9, 100%, $E$9)</f>
        <v>15.402900000000001</v>
      </c>
      <c r="N923" s="11">
        <f>15.3996 * CHOOSE(CONTROL!$C$32, $C$9, 100%, $E$9)</f>
        <v>15.3996</v>
      </c>
      <c r="O923" s="11">
        <f>15.4029 * CHOOSE(CONTROL!$C$32, $C$9, 100%, $E$9)</f>
        <v>15.402900000000001</v>
      </c>
    </row>
    <row r="924" spans="1:15" ht="15" x14ac:dyDescent="0.2">
      <c r="A924" s="13">
        <v>68973</v>
      </c>
      <c r="B924" s="9">
        <f>13.7112 * CHOOSE(CONTROL!$C$32, $C$9, 100%, $E$9)</f>
        <v>13.7112</v>
      </c>
      <c r="C924" s="9">
        <f>13.7112 * CHOOSE(CONTROL!$C$32, $C$9, 100%, $E$9)</f>
        <v>13.7112</v>
      </c>
      <c r="D924" s="9">
        <f>13.7122 * CHOOSE(CONTROL!$C$32, $C$9, 100%, $E$9)</f>
        <v>13.712199999999999</v>
      </c>
      <c r="E924" s="11">
        <f>15.4899 * CHOOSE(CONTROL!$C$32, $C$9, 100%, $E$9)</f>
        <v>15.4899</v>
      </c>
      <c r="F924" s="11">
        <f>15.4899 * CHOOSE(CONTROL!$C$32, $C$9, 100%, $E$9)</f>
        <v>15.4899</v>
      </c>
      <c r="G924" s="11">
        <f>15.4931 * CHOOSE(CONTROL!$C$32, $C$9, 100%, $E$9)</f>
        <v>15.4931</v>
      </c>
      <c r="H924" s="11">
        <f>32.5376 * CHOOSE(CONTROL!$C$32, $C$9, 100%, $E$9)</f>
        <v>32.537599999999998</v>
      </c>
      <c r="I924" s="11">
        <f>32.5409 * CHOOSE(CONTROL!$C$32, $C$9, 100%, $E$9)</f>
        <v>32.540900000000001</v>
      </c>
      <c r="J924" s="11">
        <f>32.5376 * CHOOSE(CONTROL!$C$32, $C$9, 100%, $E$9)</f>
        <v>32.537599999999998</v>
      </c>
      <c r="K924" s="11">
        <f>32.5409 * CHOOSE(CONTROL!$C$32, $C$9, 100%, $E$9)</f>
        <v>32.540900000000001</v>
      </c>
      <c r="L924" s="11">
        <f>15.4899 * CHOOSE(CONTROL!$C$32, $C$9, 100%, $E$9)</f>
        <v>15.4899</v>
      </c>
      <c r="M924" s="11">
        <f>15.4931 * CHOOSE(CONTROL!$C$32, $C$9, 100%, $E$9)</f>
        <v>15.4931</v>
      </c>
      <c r="N924" s="11">
        <f>15.4899 * CHOOSE(CONTROL!$C$32, $C$9, 100%, $E$9)</f>
        <v>15.4899</v>
      </c>
      <c r="O924" s="11">
        <f>15.4931 * CHOOSE(CONTROL!$C$32, $C$9, 100%, $E$9)</f>
        <v>15.4931</v>
      </c>
    </row>
    <row r="925" spans="1:15" ht="15" x14ac:dyDescent="0.2">
      <c r="A925" s="13">
        <v>69003</v>
      </c>
      <c r="B925" s="9">
        <f>13.7112 * CHOOSE(CONTROL!$C$32, $C$9, 100%, $E$9)</f>
        <v>13.7112</v>
      </c>
      <c r="C925" s="9">
        <f>13.7112 * CHOOSE(CONTROL!$C$32, $C$9, 100%, $E$9)</f>
        <v>13.7112</v>
      </c>
      <c r="D925" s="9">
        <f>13.7122 * CHOOSE(CONTROL!$C$32, $C$9, 100%, $E$9)</f>
        <v>13.712199999999999</v>
      </c>
      <c r="E925" s="11">
        <f>15.2695 * CHOOSE(CONTROL!$C$32, $C$9, 100%, $E$9)</f>
        <v>15.269500000000001</v>
      </c>
      <c r="F925" s="11">
        <f>15.2695 * CHOOSE(CONTROL!$C$32, $C$9, 100%, $E$9)</f>
        <v>15.269500000000001</v>
      </c>
      <c r="G925" s="11">
        <f>15.2728 * CHOOSE(CONTROL!$C$32, $C$9, 100%, $E$9)</f>
        <v>15.2728</v>
      </c>
      <c r="H925" s="11">
        <f>32.6054 * CHOOSE(CONTROL!$C$32, $C$9, 100%, $E$9)</f>
        <v>32.605400000000003</v>
      </c>
      <c r="I925" s="11">
        <f>32.6086 * CHOOSE(CONTROL!$C$32, $C$9, 100%, $E$9)</f>
        <v>32.608600000000003</v>
      </c>
      <c r="J925" s="11">
        <f>32.6054 * CHOOSE(CONTROL!$C$32, $C$9, 100%, $E$9)</f>
        <v>32.605400000000003</v>
      </c>
      <c r="K925" s="11">
        <f>32.6086 * CHOOSE(CONTROL!$C$32, $C$9, 100%, $E$9)</f>
        <v>32.608600000000003</v>
      </c>
      <c r="L925" s="11">
        <f>15.2695 * CHOOSE(CONTROL!$C$32, $C$9, 100%, $E$9)</f>
        <v>15.269500000000001</v>
      </c>
      <c r="M925" s="11">
        <f>15.2728 * CHOOSE(CONTROL!$C$32, $C$9, 100%, $E$9)</f>
        <v>15.2728</v>
      </c>
      <c r="N925" s="11">
        <f>15.2695 * CHOOSE(CONTROL!$C$32, $C$9, 100%, $E$9)</f>
        <v>15.269500000000001</v>
      </c>
      <c r="O925" s="11">
        <f>15.2728 * CHOOSE(CONTROL!$C$32, $C$9, 100%, $E$9)</f>
        <v>15.2728</v>
      </c>
    </row>
    <row r="926" spans="1:15" ht="15" x14ac:dyDescent="0.2">
      <c r="A926" s="13">
        <v>69034</v>
      </c>
      <c r="B926" s="9">
        <f>13.6909 * CHOOSE(CONTROL!$C$32, $C$9, 100%, $E$9)</f>
        <v>13.690899999999999</v>
      </c>
      <c r="C926" s="9">
        <f>13.6909 * CHOOSE(CONTROL!$C$32, $C$9, 100%, $E$9)</f>
        <v>13.690899999999999</v>
      </c>
      <c r="D926" s="9">
        <f>13.6918 * CHOOSE(CONTROL!$C$32, $C$9, 100%, $E$9)</f>
        <v>13.691800000000001</v>
      </c>
      <c r="E926" s="11">
        <f>15.4081 * CHOOSE(CONTROL!$C$32, $C$9, 100%, $E$9)</f>
        <v>15.408099999999999</v>
      </c>
      <c r="F926" s="11">
        <f>15.4081 * CHOOSE(CONTROL!$C$32, $C$9, 100%, $E$9)</f>
        <v>15.408099999999999</v>
      </c>
      <c r="G926" s="11">
        <f>15.4113 * CHOOSE(CONTROL!$C$32, $C$9, 100%, $E$9)</f>
        <v>15.411300000000001</v>
      </c>
      <c r="H926" s="11">
        <f>32.3393 * CHOOSE(CONTROL!$C$32, $C$9, 100%, $E$9)</f>
        <v>32.339300000000001</v>
      </c>
      <c r="I926" s="11">
        <f>32.3425 * CHOOSE(CONTROL!$C$32, $C$9, 100%, $E$9)</f>
        <v>32.342500000000001</v>
      </c>
      <c r="J926" s="11">
        <f>32.3393 * CHOOSE(CONTROL!$C$32, $C$9, 100%, $E$9)</f>
        <v>32.339300000000001</v>
      </c>
      <c r="K926" s="11">
        <f>32.3425 * CHOOSE(CONTROL!$C$32, $C$9, 100%, $E$9)</f>
        <v>32.342500000000001</v>
      </c>
      <c r="L926" s="11">
        <f>15.4081 * CHOOSE(CONTROL!$C$32, $C$9, 100%, $E$9)</f>
        <v>15.408099999999999</v>
      </c>
      <c r="M926" s="11">
        <f>15.4113 * CHOOSE(CONTROL!$C$32, $C$9, 100%, $E$9)</f>
        <v>15.411300000000001</v>
      </c>
      <c r="N926" s="11">
        <f>15.4081 * CHOOSE(CONTROL!$C$32, $C$9, 100%, $E$9)</f>
        <v>15.408099999999999</v>
      </c>
      <c r="O926" s="11">
        <f>15.4113 * CHOOSE(CONTROL!$C$32, $C$9, 100%, $E$9)</f>
        <v>15.411300000000001</v>
      </c>
    </row>
    <row r="927" spans="1:15" ht="15" x14ac:dyDescent="0.2">
      <c r="A927" s="13">
        <v>69065</v>
      </c>
      <c r="B927" s="9">
        <f>13.6878 * CHOOSE(CONTROL!$C$32, $C$9, 100%, $E$9)</f>
        <v>13.687799999999999</v>
      </c>
      <c r="C927" s="9">
        <f>13.6878 * CHOOSE(CONTROL!$C$32, $C$9, 100%, $E$9)</f>
        <v>13.687799999999999</v>
      </c>
      <c r="D927" s="9">
        <f>13.6888 * CHOOSE(CONTROL!$C$32, $C$9, 100%, $E$9)</f>
        <v>13.688800000000001</v>
      </c>
      <c r="E927" s="11">
        <f>14.9824 * CHOOSE(CONTROL!$C$32, $C$9, 100%, $E$9)</f>
        <v>14.9824</v>
      </c>
      <c r="F927" s="11">
        <f>14.9824 * CHOOSE(CONTROL!$C$32, $C$9, 100%, $E$9)</f>
        <v>14.9824</v>
      </c>
      <c r="G927" s="11">
        <f>14.9857 * CHOOSE(CONTROL!$C$32, $C$9, 100%, $E$9)</f>
        <v>14.9857</v>
      </c>
      <c r="H927" s="11">
        <f>32.4066 * CHOOSE(CONTROL!$C$32, $C$9, 100%, $E$9)</f>
        <v>32.406599999999997</v>
      </c>
      <c r="I927" s="11">
        <f>32.4099 * CHOOSE(CONTROL!$C$32, $C$9, 100%, $E$9)</f>
        <v>32.4099</v>
      </c>
      <c r="J927" s="11">
        <f>32.4066 * CHOOSE(CONTROL!$C$32, $C$9, 100%, $E$9)</f>
        <v>32.406599999999997</v>
      </c>
      <c r="K927" s="11">
        <f>32.4099 * CHOOSE(CONTROL!$C$32, $C$9, 100%, $E$9)</f>
        <v>32.4099</v>
      </c>
      <c r="L927" s="11">
        <f>14.9824 * CHOOSE(CONTROL!$C$32, $C$9, 100%, $E$9)</f>
        <v>14.9824</v>
      </c>
      <c r="M927" s="11">
        <f>14.9857 * CHOOSE(CONTROL!$C$32, $C$9, 100%, $E$9)</f>
        <v>14.9857</v>
      </c>
      <c r="N927" s="11">
        <f>14.9824 * CHOOSE(CONTROL!$C$32, $C$9, 100%, $E$9)</f>
        <v>14.9824</v>
      </c>
      <c r="O927" s="11">
        <f>14.9857 * CHOOSE(CONTROL!$C$32, $C$9, 100%, $E$9)</f>
        <v>14.9857</v>
      </c>
    </row>
    <row r="928" spans="1:15" ht="15" x14ac:dyDescent="0.2">
      <c r="A928" s="13">
        <v>69093</v>
      </c>
      <c r="B928" s="9">
        <f>13.6848 * CHOOSE(CONTROL!$C$32, $C$9, 100%, $E$9)</f>
        <v>13.684799999999999</v>
      </c>
      <c r="C928" s="9">
        <f>13.6848 * CHOOSE(CONTROL!$C$32, $C$9, 100%, $E$9)</f>
        <v>13.684799999999999</v>
      </c>
      <c r="D928" s="9">
        <f>13.6858 * CHOOSE(CONTROL!$C$32, $C$9, 100%, $E$9)</f>
        <v>13.6858</v>
      </c>
      <c r="E928" s="11">
        <f>15.3142 * CHOOSE(CONTROL!$C$32, $C$9, 100%, $E$9)</f>
        <v>15.3142</v>
      </c>
      <c r="F928" s="11">
        <f>15.3142 * CHOOSE(CONTROL!$C$32, $C$9, 100%, $E$9)</f>
        <v>15.3142</v>
      </c>
      <c r="G928" s="11">
        <f>15.3174 * CHOOSE(CONTROL!$C$32, $C$9, 100%, $E$9)</f>
        <v>15.317399999999999</v>
      </c>
      <c r="H928" s="11">
        <f>32.4742 * CHOOSE(CONTROL!$C$32, $C$9, 100%, $E$9)</f>
        <v>32.474200000000003</v>
      </c>
      <c r="I928" s="11">
        <f>32.4774 * CHOOSE(CONTROL!$C$32, $C$9, 100%, $E$9)</f>
        <v>32.477400000000003</v>
      </c>
      <c r="J928" s="11">
        <f>32.4742 * CHOOSE(CONTROL!$C$32, $C$9, 100%, $E$9)</f>
        <v>32.474200000000003</v>
      </c>
      <c r="K928" s="11">
        <f>32.4774 * CHOOSE(CONTROL!$C$32, $C$9, 100%, $E$9)</f>
        <v>32.477400000000003</v>
      </c>
      <c r="L928" s="11">
        <f>15.3142 * CHOOSE(CONTROL!$C$32, $C$9, 100%, $E$9)</f>
        <v>15.3142</v>
      </c>
      <c r="M928" s="11">
        <f>15.3174 * CHOOSE(CONTROL!$C$32, $C$9, 100%, $E$9)</f>
        <v>15.317399999999999</v>
      </c>
      <c r="N928" s="11">
        <f>15.3142 * CHOOSE(CONTROL!$C$32, $C$9, 100%, $E$9)</f>
        <v>15.3142</v>
      </c>
      <c r="O928" s="11">
        <f>15.3174 * CHOOSE(CONTROL!$C$32, $C$9, 100%, $E$9)</f>
        <v>15.317399999999999</v>
      </c>
    </row>
    <row r="929" spans="1:15" ht="15" x14ac:dyDescent="0.2">
      <c r="A929" s="13">
        <v>69124</v>
      </c>
      <c r="B929" s="9">
        <f>13.6919 * CHOOSE(CONTROL!$C$32, $C$9, 100%, $E$9)</f>
        <v>13.6919</v>
      </c>
      <c r="C929" s="9">
        <f>13.6919 * CHOOSE(CONTROL!$C$32, $C$9, 100%, $E$9)</f>
        <v>13.6919</v>
      </c>
      <c r="D929" s="9">
        <f>13.6928 * CHOOSE(CONTROL!$C$32, $C$9, 100%, $E$9)</f>
        <v>13.6928</v>
      </c>
      <c r="E929" s="11">
        <f>15.6686 * CHOOSE(CONTROL!$C$32, $C$9, 100%, $E$9)</f>
        <v>15.6686</v>
      </c>
      <c r="F929" s="11">
        <f>15.6686 * CHOOSE(CONTROL!$C$32, $C$9, 100%, $E$9)</f>
        <v>15.6686</v>
      </c>
      <c r="G929" s="11">
        <f>15.6718 * CHOOSE(CONTROL!$C$32, $C$9, 100%, $E$9)</f>
        <v>15.671799999999999</v>
      </c>
      <c r="H929" s="11">
        <f>32.5418 * CHOOSE(CONTROL!$C$32, $C$9, 100%, $E$9)</f>
        <v>32.541800000000002</v>
      </c>
      <c r="I929" s="11">
        <f>32.545 * CHOOSE(CONTROL!$C$32, $C$9, 100%, $E$9)</f>
        <v>32.545000000000002</v>
      </c>
      <c r="J929" s="11">
        <f>32.5418 * CHOOSE(CONTROL!$C$32, $C$9, 100%, $E$9)</f>
        <v>32.541800000000002</v>
      </c>
      <c r="K929" s="11">
        <f>32.545 * CHOOSE(CONTROL!$C$32, $C$9, 100%, $E$9)</f>
        <v>32.545000000000002</v>
      </c>
      <c r="L929" s="11">
        <f>15.6686 * CHOOSE(CONTROL!$C$32, $C$9, 100%, $E$9)</f>
        <v>15.6686</v>
      </c>
      <c r="M929" s="11">
        <f>15.6718 * CHOOSE(CONTROL!$C$32, $C$9, 100%, $E$9)</f>
        <v>15.671799999999999</v>
      </c>
      <c r="N929" s="11">
        <f>15.6686 * CHOOSE(CONTROL!$C$32, $C$9, 100%, $E$9)</f>
        <v>15.6686</v>
      </c>
      <c r="O929" s="11">
        <f>15.6718 * CHOOSE(CONTROL!$C$32, $C$9, 100%, $E$9)</f>
        <v>15.671799999999999</v>
      </c>
    </row>
    <row r="930" spans="1:15" ht="15" x14ac:dyDescent="0.2">
      <c r="A930" s="13">
        <v>69154</v>
      </c>
      <c r="B930" s="9">
        <f>13.6919 * CHOOSE(CONTROL!$C$32, $C$9, 100%, $E$9)</f>
        <v>13.6919</v>
      </c>
      <c r="C930" s="9">
        <f>13.6919 * CHOOSE(CONTROL!$C$32, $C$9, 100%, $E$9)</f>
        <v>13.6919</v>
      </c>
      <c r="D930" s="9">
        <f>13.6931 * CHOOSE(CONTROL!$C$32, $C$9, 100%, $E$9)</f>
        <v>13.693099999999999</v>
      </c>
      <c r="E930" s="11">
        <f>15.803 * CHOOSE(CONTROL!$C$32, $C$9, 100%, $E$9)</f>
        <v>15.803000000000001</v>
      </c>
      <c r="F930" s="11">
        <f>15.803 * CHOOSE(CONTROL!$C$32, $C$9, 100%, $E$9)</f>
        <v>15.803000000000001</v>
      </c>
      <c r="G930" s="11">
        <f>15.8072 * CHOOSE(CONTROL!$C$32, $C$9, 100%, $E$9)</f>
        <v>15.8072</v>
      </c>
      <c r="H930" s="11">
        <f>32.6096 * CHOOSE(CONTROL!$C$32, $C$9, 100%, $E$9)</f>
        <v>32.6096</v>
      </c>
      <c r="I930" s="11">
        <f>32.6138 * CHOOSE(CONTROL!$C$32, $C$9, 100%, $E$9)</f>
        <v>32.613799999999998</v>
      </c>
      <c r="J930" s="11">
        <f>32.6096 * CHOOSE(CONTROL!$C$32, $C$9, 100%, $E$9)</f>
        <v>32.6096</v>
      </c>
      <c r="K930" s="11">
        <f>32.6138 * CHOOSE(CONTROL!$C$32, $C$9, 100%, $E$9)</f>
        <v>32.613799999999998</v>
      </c>
      <c r="L930" s="11">
        <f>15.803 * CHOOSE(CONTROL!$C$32, $C$9, 100%, $E$9)</f>
        <v>15.803000000000001</v>
      </c>
      <c r="M930" s="11">
        <f>15.8072 * CHOOSE(CONTROL!$C$32, $C$9, 100%, $E$9)</f>
        <v>15.8072</v>
      </c>
      <c r="N930" s="11">
        <f>15.803 * CHOOSE(CONTROL!$C$32, $C$9, 100%, $E$9)</f>
        <v>15.803000000000001</v>
      </c>
      <c r="O930" s="11">
        <f>15.8072 * CHOOSE(CONTROL!$C$32, $C$9, 100%, $E$9)</f>
        <v>15.8072</v>
      </c>
    </row>
    <row r="931" spans="1:15" ht="15" x14ac:dyDescent="0.2">
      <c r="A931" s="13">
        <v>69185</v>
      </c>
      <c r="B931" s="9">
        <f>13.6979 * CHOOSE(CONTROL!$C$32, $C$9, 100%, $E$9)</f>
        <v>13.697900000000001</v>
      </c>
      <c r="C931" s="9">
        <f>13.6979 * CHOOSE(CONTROL!$C$32, $C$9, 100%, $E$9)</f>
        <v>13.697900000000001</v>
      </c>
      <c r="D931" s="9">
        <f>13.6992 * CHOOSE(CONTROL!$C$32, $C$9, 100%, $E$9)</f>
        <v>13.699199999999999</v>
      </c>
      <c r="E931" s="11">
        <f>15.6728 * CHOOSE(CONTROL!$C$32, $C$9, 100%, $E$9)</f>
        <v>15.672800000000001</v>
      </c>
      <c r="F931" s="11">
        <f>15.6728 * CHOOSE(CONTROL!$C$32, $C$9, 100%, $E$9)</f>
        <v>15.672800000000001</v>
      </c>
      <c r="G931" s="11">
        <f>15.677 * CHOOSE(CONTROL!$C$32, $C$9, 100%, $E$9)</f>
        <v>15.677</v>
      </c>
      <c r="H931" s="11">
        <f>32.6775 * CHOOSE(CONTROL!$C$32, $C$9, 100%, $E$9)</f>
        <v>32.677500000000002</v>
      </c>
      <c r="I931" s="11">
        <f>32.6817 * CHOOSE(CONTROL!$C$32, $C$9, 100%, $E$9)</f>
        <v>32.681699999999999</v>
      </c>
      <c r="J931" s="11">
        <f>32.6775 * CHOOSE(CONTROL!$C$32, $C$9, 100%, $E$9)</f>
        <v>32.677500000000002</v>
      </c>
      <c r="K931" s="11">
        <f>32.6817 * CHOOSE(CONTROL!$C$32, $C$9, 100%, $E$9)</f>
        <v>32.681699999999999</v>
      </c>
      <c r="L931" s="11">
        <f>15.6728 * CHOOSE(CONTROL!$C$32, $C$9, 100%, $E$9)</f>
        <v>15.672800000000001</v>
      </c>
      <c r="M931" s="11">
        <f>15.677 * CHOOSE(CONTROL!$C$32, $C$9, 100%, $E$9)</f>
        <v>15.677</v>
      </c>
      <c r="N931" s="11">
        <f>15.6728 * CHOOSE(CONTROL!$C$32, $C$9, 100%, $E$9)</f>
        <v>15.672800000000001</v>
      </c>
      <c r="O931" s="11">
        <f>15.677 * CHOOSE(CONTROL!$C$32, $C$9, 100%, $E$9)</f>
        <v>15.677</v>
      </c>
    </row>
    <row r="932" spans="1:15" ht="15" x14ac:dyDescent="0.2">
      <c r="A932" s="13">
        <v>69215</v>
      </c>
      <c r="B932" s="9">
        <f>13.8629 * CHOOSE(CONTROL!$C$32, $C$9, 100%, $E$9)</f>
        <v>13.8629</v>
      </c>
      <c r="C932" s="9">
        <f>13.8629 * CHOOSE(CONTROL!$C$32, $C$9, 100%, $E$9)</f>
        <v>13.8629</v>
      </c>
      <c r="D932" s="9">
        <f>13.8641 * CHOOSE(CONTROL!$C$32, $C$9, 100%, $E$9)</f>
        <v>13.864100000000001</v>
      </c>
      <c r="E932" s="11">
        <f>15.8951 * CHOOSE(CONTROL!$C$32, $C$9, 100%, $E$9)</f>
        <v>15.895099999999999</v>
      </c>
      <c r="F932" s="11">
        <f>15.8951 * CHOOSE(CONTROL!$C$32, $C$9, 100%, $E$9)</f>
        <v>15.895099999999999</v>
      </c>
      <c r="G932" s="11">
        <f>15.8993 * CHOOSE(CONTROL!$C$32, $C$9, 100%, $E$9)</f>
        <v>15.8993</v>
      </c>
      <c r="H932" s="11">
        <f>32.7456 * CHOOSE(CONTROL!$C$32, $C$9, 100%, $E$9)</f>
        <v>32.745600000000003</v>
      </c>
      <c r="I932" s="11">
        <f>32.7498 * CHOOSE(CONTROL!$C$32, $C$9, 100%, $E$9)</f>
        <v>32.7498</v>
      </c>
      <c r="J932" s="11">
        <f>32.7456 * CHOOSE(CONTROL!$C$32, $C$9, 100%, $E$9)</f>
        <v>32.745600000000003</v>
      </c>
      <c r="K932" s="11">
        <f>32.7498 * CHOOSE(CONTROL!$C$32, $C$9, 100%, $E$9)</f>
        <v>32.7498</v>
      </c>
      <c r="L932" s="11">
        <f>15.8951 * CHOOSE(CONTROL!$C$32, $C$9, 100%, $E$9)</f>
        <v>15.895099999999999</v>
      </c>
      <c r="M932" s="11">
        <f>15.8993 * CHOOSE(CONTROL!$C$32, $C$9, 100%, $E$9)</f>
        <v>15.8993</v>
      </c>
      <c r="N932" s="11">
        <f>15.8951 * CHOOSE(CONTROL!$C$32, $C$9, 100%, $E$9)</f>
        <v>15.895099999999999</v>
      </c>
      <c r="O932" s="11">
        <f>15.8993 * CHOOSE(CONTROL!$C$32, $C$9, 100%, $E$9)</f>
        <v>15.8993</v>
      </c>
    </row>
    <row r="933" spans="1:15" ht="15" x14ac:dyDescent="0.2">
      <c r="A933" s="13">
        <v>69246</v>
      </c>
      <c r="B933" s="9">
        <f>13.8696 * CHOOSE(CONTROL!$C$32, $C$9, 100%, $E$9)</f>
        <v>13.8696</v>
      </c>
      <c r="C933" s="9">
        <f>13.8696 * CHOOSE(CONTROL!$C$32, $C$9, 100%, $E$9)</f>
        <v>13.8696</v>
      </c>
      <c r="D933" s="9">
        <f>13.8708 * CHOOSE(CONTROL!$C$32, $C$9, 100%, $E$9)</f>
        <v>13.870799999999999</v>
      </c>
      <c r="E933" s="11">
        <f>15.4964 * CHOOSE(CONTROL!$C$32, $C$9, 100%, $E$9)</f>
        <v>15.4964</v>
      </c>
      <c r="F933" s="11">
        <f>15.4964 * CHOOSE(CONTROL!$C$32, $C$9, 100%, $E$9)</f>
        <v>15.4964</v>
      </c>
      <c r="G933" s="11">
        <f>15.5006 * CHOOSE(CONTROL!$C$32, $C$9, 100%, $E$9)</f>
        <v>15.5006</v>
      </c>
      <c r="H933" s="11">
        <f>32.8138 * CHOOSE(CONTROL!$C$32, $C$9, 100%, $E$9)</f>
        <v>32.813800000000001</v>
      </c>
      <c r="I933" s="11">
        <f>32.818 * CHOOSE(CONTROL!$C$32, $C$9, 100%, $E$9)</f>
        <v>32.817999999999998</v>
      </c>
      <c r="J933" s="11">
        <f>32.8138 * CHOOSE(CONTROL!$C$32, $C$9, 100%, $E$9)</f>
        <v>32.813800000000001</v>
      </c>
      <c r="K933" s="11">
        <f>32.818 * CHOOSE(CONTROL!$C$32, $C$9, 100%, $E$9)</f>
        <v>32.817999999999998</v>
      </c>
      <c r="L933" s="11">
        <f>15.4964 * CHOOSE(CONTROL!$C$32, $C$9, 100%, $E$9)</f>
        <v>15.4964</v>
      </c>
      <c r="M933" s="11">
        <f>15.5006 * CHOOSE(CONTROL!$C$32, $C$9, 100%, $E$9)</f>
        <v>15.5006</v>
      </c>
      <c r="N933" s="11">
        <f>15.4964 * CHOOSE(CONTROL!$C$32, $C$9, 100%, $E$9)</f>
        <v>15.4964</v>
      </c>
      <c r="O933" s="11">
        <f>15.5006 * CHOOSE(CONTROL!$C$32, $C$9, 100%, $E$9)</f>
        <v>15.5006</v>
      </c>
    </row>
    <row r="934" spans="1:15" ht="15" x14ac:dyDescent="0.2">
      <c r="A934" s="13">
        <v>69277</v>
      </c>
      <c r="B934" s="9">
        <f>13.8665 * CHOOSE(CONTROL!$C$32, $C$9, 100%, $E$9)</f>
        <v>13.8665</v>
      </c>
      <c r="C934" s="9">
        <f>13.8665 * CHOOSE(CONTROL!$C$32, $C$9, 100%, $E$9)</f>
        <v>13.8665</v>
      </c>
      <c r="D934" s="9">
        <f>13.8678 * CHOOSE(CONTROL!$C$32, $C$9, 100%, $E$9)</f>
        <v>13.867800000000001</v>
      </c>
      <c r="E934" s="11">
        <f>15.4494 * CHOOSE(CONTROL!$C$32, $C$9, 100%, $E$9)</f>
        <v>15.449400000000001</v>
      </c>
      <c r="F934" s="11">
        <f>15.4494 * CHOOSE(CONTROL!$C$32, $C$9, 100%, $E$9)</f>
        <v>15.449400000000001</v>
      </c>
      <c r="G934" s="11">
        <f>15.4536 * CHOOSE(CONTROL!$C$32, $C$9, 100%, $E$9)</f>
        <v>15.4536</v>
      </c>
      <c r="H934" s="11">
        <f>32.8822 * CHOOSE(CONTROL!$C$32, $C$9, 100%, $E$9)</f>
        <v>32.882199999999997</v>
      </c>
      <c r="I934" s="11">
        <f>32.8864 * CHOOSE(CONTROL!$C$32, $C$9, 100%, $E$9)</f>
        <v>32.886400000000002</v>
      </c>
      <c r="J934" s="11">
        <f>32.8822 * CHOOSE(CONTROL!$C$32, $C$9, 100%, $E$9)</f>
        <v>32.882199999999997</v>
      </c>
      <c r="K934" s="11">
        <f>32.8864 * CHOOSE(CONTROL!$C$32, $C$9, 100%, $E$9)</f>
        <v>32.886400000000002</v>
      </c>
      <c r="L934" s="11">
        <f>15.4494 * CHOOSE(CONTROL!$C$32, $C$9, 100%, $E$9)</f>
        <v>15.449400000000001</v>
      </c>
      <c r="M934" s="11">
        <f>15.4536 * CHOOSE(CONTROL!$C$32, $C$9, 100%, $E$9)</f>
        <v>15.4536</v>
      </c>
      <c r="N934" s="11">
        <f>15.4494 * CHOOSE(CONTROL!$C$32, $C$9, 100%, $E$9)</f>
        <v>15.449400000000001</v>
      </c>
      <c r="O934" s="11">
        <f>15.4536 * CHOOSE(CONTROL!$C$32, $C$9, 100%, $E$9)</f>
        <v>15.4536</v>
      </c>
    </row>
    <row r="935" spans="1:15" ht="15" x14ac:dyDescent="0.2">
      <c r="A935" s="13">
        <v>69307</v>
      </c>
      <c r="B935" s="9">
        <f>13.8985 * CHOOSE(CONTROL!$C$32, $C$9, 100%, $E$9)</f>
        <v>13.8985</v>
      </c>
      <c r="C935" s="9">
        <f>13.8985 * CHOOSE(CONTROL!$C$32, $C$9, 100%, $E$9)</f>
        <v>13.8985</v>
      </c>
      <c r="D935" s="9">
        <f>13.8994 * CHOOSE(CONTROL!$C$32, $C$9, 100%, $E$9)</f>
        <v>13.8994</v>
      </c>
      <c r="E935" s="11">
        <f>15.6153 * CHOOSE(CONTROL!$C$32, $C$9, 100%, $E$9)</f>
        <v>15.6153</v>
      </c>
      <c r="F935" s="11">
        <f>15.6153 * CHOOSE(CONTROL!$C$32, $C$9, 100%, $E$9)</f>
        <v>15.6153</v>
      </c>
      <c r="G935" s="11">
        <f>15.6185 * CHOOSE(CONTROL!$C$32, $C$9, 100%, $E$9)</f>
        <v>15.618499999999999</v>
      </c>
      <c r="H935" s="11">
        <f>32.9507 * CHOOSE(CONTROL!$C$32, $C$9, 100%, $E$9)</f>
        <v>32.950699999999998</v>
      </c>
      <c r="I935" s="11">
        <f>32.9539 * CHOOSE(CONTROL!$C$32, $C$9, 100%, $E$9)</f>
        <v>32.953899999999997</v>
      </c>
      <c r="J935" s="11">
        <f>32.9507 * CHOOSE(CONTROL!$C$32, $C$9, 100%, $E$9)</f>
        <v>32.950699999999998</v>
      </c>
      <c r="K935" s="11">
        <f>32.9539 * CHOOSE(CONTROL!$C$32, $C$9, 100%, $E$9)</f>
        <v>32.953899999999997</v>
      </c>
      <c r="L935" s="11">
        <f>15.6153 * CHOOSE(CONTROL!$C$32, $C$9, 100%, $E$9)</f>
        <v>15.6153</v>
      </c>
      <c r="M935" s="11">
        <f>15.6185 * CHOOSE(CONTROL!$C$32, $C$9, 100%, $E$9)</f>
        <v>15.618499999999999</v>
      </c>
      <c r="N935" s="11">
        <f>15.6153 * CHOOSE(CONTROL!$C$32, $C$9, 100%, $E$9)</f>
        <v>15.6153</v>
      </c>
      <c r="O935" s="11">
        <f>15.6185 * CHOOSE(CONTROL!$C$32, $C$9, 100%, $E$9)</f>
        <v>15.618499999999999</v>
      </c>
    </row>
    <row r="936" spans="1:15" ht="15" x14ac:dyDescent="0.2">
      <c r="A936" s="13">
        <v>69338</v>
      </c>
      <c r="B936" s="9">
        <f>13.9015 * CHOOSE(CONTROL!$C$32, $C$9, 100%, $E$9)</f>
        <v>13.9015</v>
      </c>
      <c r="C936" s="9">
        <f>13.9015 * CHOOSE(CONTROL!$C$32, $C$9, 100%, $E$9)</f>
        <v>13.9015</v>
      </c>
      <c r="D936" s="9">
        <f>13.9025 * CHOOSE(CONTROL!$C$32, $C$9, 100%, $E$9)</f>
        <v>13.9025</v>
      </c>
      <c r="E936" s="11">
        <f>15.7071 * CHOOSE(CONTROL!$C$32, $C$9, 100%, $E$9)</f>
        <v>15.707100000000001</v>
      </c>
      <c r="F936" s="11">
        <f>15.7071 * CHOOSE(CONTROL!$C$32, $C$9, 100%, $E$9)</f>
        <v>15.707100000000001</v>
      </c>
      <c r="G936" s="11">
        <f>15.7103 * CHOOSE(CONTROL!$C$32, $C$9, 100%, $E$9)</f>
        <v>15.7103</v>
      </c>
      <c r="H936" s="11">
        <f>33.0194 * CHOOSE(CONTROL!$C$32, $C$9, 100%, $E$9)</f>
        <v>33.019399999999997</v>
      </c>
      <c r="I936" s="11">
        <f>33.0226 * CHOOSE(CONTROL!$C$32, $C$9, 100%, $E$9)</f>
        <v>33.022599999999997</v>
      </c>
      <c r="J936" s="11">
        <f>33.0194 * CHOOSE(CONTROL!$C$32, $C$9, 100%, $E$9)</f>
        <v>33.019399999999997</v>
      </c>
      <c r="K936" s="11">
        <f>33.0226 * CHOOSE(CONTROL!$C$32, $C$9, 100%, $E$9)</f>
        <v>33.022599999999997</v>
      </c>
      <c r="L936" s="11">
        <f>15.7071 * CHOOSE(CONTROL!$C$32, $C$9, 100%, $E$9)</f>
        <v>15.707100000000001</v>
      </c>
      <c r="M936" s="11">
        <f>15.7103 * CHOOSE(CONTROL!$C$32, $C$9, 100%, $E$9)</f>
        <v>15.7103</v>
      </c>
      <c r="N936" s="11">
        <f>15.7071 * CHOOSE(CONTROL!$C$32, $C$9, 100%, $E$9)</f>
        <v>15.707100000000001</v>
      </c>
      <c r="O936" s="11">
        <f>15.7103 * CHOOSE(CONTROL!$C$32, $C$9, 100%, $E$9)</f>
        <v>15.7103</v>
      </c>
    </row>
    <row r="937" spans="1:15" ht="15" x14ac:dyDescent="0.2">
      <c r="A937" s="13">
        <v>69368</v>
      </c>
      <c r="B937" s="9">
        <f>13.9015 * CHOOSE(CONTROL!$C$32, $C$9, 100%, $E$9)</f>
        <v>13.9015</v>
      </c>
      <c r="C937" s="9">
        <f>13.9015 * CHOOSE(CONTROL!$C$32, $C$9, 100%, $E$9)</f>
        <v>13.9015</v>
      </c>
      <c r="D937" s="9">
        <f>13.9025 * CHOOSE(CONTROL!$C$32, $C$9, 100%, $E$9)</f>
        <v>13.9025</v>
      </c>
      <c r="E937" s="11">
        <f>15.483 * CHOOSE(CONTROL!$C$32, $C$9, 100%, $E$9)</f>
        <v>15.483000000000001</v>
      </c>
      <c r="F937" s="11">
        <f>15.483 * CHOOSE(CONTROL!$C$32, $C$9, 100%, $E$9)</f>
        <v>15.483000000000001</v>
      </c>
      <c r="G937" s="11">
        <f>15.4862 * CHOOSE(CONTROL!$C$32, $C$9, 100%, $E$9)</f>
        <v>15.4862</v>
      </c>
      <c r="H937" s="11">
        <f>33.0881 * CHOOSE(CONTROL!$C$32, $C$9, 100%, $E$9)</f>
        <v>33.088099999999997</v>
      </c>
      <c r="I937" s="11">
        <f>33.0914 * CHOOSE(CONTROL!$C$32, $C$9, 100%, $E$9)</f>
        <v>33.0914</v>
      </c>
      <c r="J937" s="11">
        <f>33.0881 * CHOOSE(CONTROL!$C$32, $C$9, 100%, $E$9)</f>
        <v>33.088099999999997</v>
      </c>
      <c r="K937" s="11">
        <f>33.0914 * CHOOSE(CONTROL!$C$32, $C$9, 100%, $E$9)</f>
        <v>33.0914</v>
      </c>
      <c r="L937" s="11">
        <f>15.483 * CHOOSE(CONTROL!$C$32, $C$9, 100%, $E$9)</f>
        <v>15.483000000000001</v>
      </c>
      <c r="M937" s="11">
        <f>15.4862 * CHOOSE(CONTROL!$C$32, $C$9, 100%, $E$9)</f>
        <v>15.4862</v>
      </c>
      <c r="N937" s="11">
        <f>15.483 * CHOOSE(CONTROL!$C$32, $C$9, 100%, $E$9)</f>
        <v>15.483000000000001</v>
      </c>
      <c r="O937" s="11">
        <f>15.4862 * CHOOSE(CONTROL!$C$32, $C$9, 100%, $E$9)</f>
        <v>15.4862</v>
      </c>
    </row>
    <row r="938" spans="1:15" ht="15" x14ac:dyDescent="0.2">
      <c r="A938" s="13">
        <v>69399</v>
      </c>
      <c r="B938" s="9">
        <f>13.8782 * CHOOSE(CONTROL!$C$32, $C$9, 100%, $E$9)</f>
        <v>13.8782</v>
      </c>
      <c r="C938" s="9">
        <f>13.8782 * CHOOSE(CONTROL!$C$32, $C$9, 100%, $E$9)</f>
        <v>13.8782</v>
      </c>
      <c r="D938" s="9">
        <f>13.8792 * CHOOSE(CONTROL!$C$32, $C$9, 100%, $E$9)</f>
        <v>13.879200000000001</v>
      </c>
      <c r="E938" s="11">
        <f>15.6206 * CHOOSE(CONTROL!$C$32, $C$9, 100%, $E$9)</f>
        <v>15.6206</v>
      </c>
      <c r="F938" s="11">
        <f>15.6206 * CHOOSE(CONTROL!$C$32, $C$9, 100%, $E$9)</f>
        <v>15.6206</v>
      </c>
      <c r="G938" s="11">
        <f>15.6238 * CHOOSE(CONTROL!$C$32, $C$9, 100%, $E$9)</f>
        <v>15.623799999999999</v>
      </c>
      <c r="H938" s="11">
        <f>32.8111 * CHOOSE(CONTROL!$C$32, $C$9, 100%, $E$9)</f>
        <v>32.811100000000003</v>
      </c>
      <c r="I938" s="11">
        <f>32.8143 * CHOOSE(CONTROL!$C$32, $C$9, 100%, $E$9)</f>
        <v>32.814300000000003</v>
      </c>
      <c r="J938" s="11">
        <f>32.8111 * CHOOSE(CONTROL!$C$32, $C$9, 100%, $E$9)</f>
        <v>32.811100000000003</v>
      </c>
      <c r="K938" s="11">
        <f>32.8143 * CHOOSE(CONTROL!$C$32, $C$9, 100%, $E$9)</f>
        <v>32.814300000000003</v>
      </c>
      <c r="L938" s="11">
        <f>15.6206 * CHOOSE(CONTROL!$C$32, $C$9, 100%, $E$9)</f>
        <v>15.6206</v>
      </c>
      <c r="M938" s="11">
        <f>15.6238 * CHOOSE(CONTROL!$C$32, $C$9, 100%, $E$9)</f>
        <v>15.623799999999999</v>
      </c>
      <c r="N938" s="11">
        <f>15.6206 * CHOOSE(CONTROL!$C$32, $C$9, 100%, $E$9)</f>
        <v>15.6206</v>
      </c>
      <c r="O938" s="11">
        <f>15.6238 * CHOOSE(CONTROL!$C$32, $C$9, 100%, $E$9)</f>
        <v>15.623799999999999</v>
      </c>
    </row>
    <row r="939" spans="1:15" ht="15" x14ac:dyDescent="0.2">
      <c r="A939" s="13">
        <v>69430</v>
      </c>
      <c r="B939" s="9">
        <f>13.8752 * CHOOSE(CONTROL!$C$32, $C$9, 100%, $E$9)</f>
        <v>13.8752</v>
      </c>
      <c r="C939" s="9">
        <f>13.8752 * CHOOSE(CONTROL!$C$32, $C$9, 100%, $E$9)</f>
        <v>13.8752</v>
      </c>
      <c r="D939" s="9">
        <f>13.8761 * CHOOSE(CONTROL!$C$32, $C$9, 100%, $E$9)</f>
        <v>13.876099999999999</v>
      </c>
      <c r="E939" s="11">
        <f>15.1879 * CHOOSE(CONTROL!$C$32, $C$9, 100%, $E$9)</f>
        <v>15.187900000000001</v>
      </c>
      <c r="F939" s="11">
        <f>15.1879 * CHOOSE(CONTROL!$C$32, $C$9, 100%, $E$9)</f>
        <v>15.187900000000001</v>
      </c>
      <c r="G939" s="11">
        <f>15.1911 * CHOOSE(CONTROL!$C$32, $C$9, 100%, $E$9)</f>
        <v>15.1911</v>
      </c>
      <c r="H939" s="11">
        <f>32.8794 * CHOOSE(CONTROL!$C$32, $C$9, 100%, $E$9)</f>
        <v>32.879399999999997</v>
      </c>
      <c r="I939" s="11">
        <f>32.8827 * CHOOSE(CONTROL!$C$32, $C$9, 100%, $E$9)</f>
        <v>32.8827</v>
      </c>
      <c r="J939" s="11">
        <f>32.8794 * CHOOSE(CONTROL!$C$32, $C$9, 100%, $E$9)</f>
        <v>32.879399999999997</v>
      </c>
      <c r="K939" s="11">
        <f>32.8827 * CHOOSE(CONTROL!$C$32, $C$9, 100%, $E$9)</f>
        <v>32.8827</v>
      </c>
      <c r="L939" s="11">
        <f>15.1879 * CHOOSE(CONTROL!$C$32, $C$9, 100%, $E$9)</f>
        <v>15.187900000000001</v>
      </c>
      <c r="M939" s="11">
        <f>15.1911 * CHOOSE(CONTROL!$C$32, $C$9, 100%, $E$9)</f>
        <v>15.1911</v>
      </c>
      <c r="N939" s="11">
        <f>15.1879 * CHOOSE(CONTROL!$C$32, $C$9, 100%, $E$9)</f>
        <v>15.187900000000001</v>
      </c>
      <c r="O939" s="11">
        <f>15.1911 * CHOOSE(CONTROL!$C$32, $C$9, 100%, $E$9)</f>
        <v>15.1911</v>
      </c>
    </row>
    <row r="940" spans="1:15" ht="15" x14ac:dyDescent="0.2">
      <c r="A940" s="13">
        <v>69458</v>
      </c>
      <c r="B940" s="9">
        <f>13.8722 * CHOOSE(CONTROL!$C$32, $C$9, 100%, $E$9)</f>
        <v>13.872199999999999</v>
      </c>
      <c r="C940" s="9">
        <f>13.8722 * CHOOSE(CONTROL!$C$32, $C$9, 100%, $E$9)</f>
        <v>13.872199999999999</v>
      </c>
      <c r="D940" s="9">
        <f>13.8731 * CHOOSE(CONTROL!$C$32, $C$9, 100%, $E$9)</f>
        <v>13.873100000000001</v>
      </c>
      <c r="E940" s="11">
        <f>15.5252 * CHOOSE(CONTROL!$C$32, $C$9, 100%, $E$9)</f>
        <v>15.5252</v>
      </c>
      <c r="F940" s="11">
        <f>15.5252 * CHOOSE(CONTROL!$C$32, $C$9, 100%, $E$9)</f>
        <v>15.5252</v>
      </c>
      <c r="G940" s="11">
        <f>15.5284 * CHOOSE(CONTROL!$C$32, $C$9, 100%, $E$9)</f>
        <v>15.5284</v>
      </c>
      <c r="H940" s="11">
        <f>32.9479 * CHOOSE(CONTROL!$C$32, $C$9, 100%, $E$9)</f>
        <v>32.947899999999997</v>
      </c>
      <c r="I940" s="11">
        <f>32.9512 * CHOOSE(CONTROL!$C$32, $C$9, 100%, $E$9)</f>
        <v>32.9512</v>
      </c>
      <c r="J940" s="11">
        <f>32.9479 * CHOOSE(CONTROL!$C$32, $C$9, 100%, $E$9)</f>
        <v>32.947899999999997</v>
      </c>
      <c r="K940" s="11">
        <f>32.9512 * CHOOSE(CONTROL!$C$32, $C$9, 100%, $E$9)</f>
        <v>32.9512</v>
      </c>
      <c r="L940" s="11">
        <f>15.5252 * CHOOSE(CONTROL!$C$32, $C$9, 100%, $E$9)</f>
        <v>15.5252</v>
      </c>
      <c r="M940" s="11">
        <f>15.5284 * CHOOSE(CONTROL!$C$32, $C$9, 100%, $E$9)</f>
        <v>15.5284</v>
      </c>
      <c r="N940" s="11">
        <f>15.5252 * CHOOSE(CONTROL!$C$32, $C$9, 100%, $E$9)</f>
        <v>15.5252</v>
      </c>
      <c r="O940" s="11">
        <f>15.5284 * CHOOSE(CONTROL!$C$32, $C$9, 100%, $E$9)</f>
        <v>15.5284</v>
      </c>
    </row>
    <row r="941" spans="1:15" ht="15" x14ac:dyDescent="0.2">
      <c r="A941" s="13">
        <v>69489</v>
      </c>
      <c r="B941" s="9">
        <f>13.8794 * CHOOSE(CONTROL!$C$32, $C$9, 100%, $E$9)</f>
        <v>13.8794</v>
      </c>
      <c r="C941" s="9">
        <f>13.8794 * CHOOSE(CONTROL!$C$32, $C$9, 100%, $E$9)</f>
        <v>13.8794</v>
      </c>
      <c r="D941" s="9">
        <f>13.8803 * CHOOSE(CONTROL!$C$32, $C$9, 100%, $E$9)</f>
        <v>13.8803</v>
      </c>
      <c r="E941" s="11">
        <f>15.8856 * CHOOSE(CONTROL!$C$32, $C$9, 100%, $E$9)</f>
        <v>15.8856</v>
      </c>
      <c r="F941" s="11">
        <f>15.8856 * CHOOSE(CONTROL!$C$32, $C$9, 100%, $E$9)</f>
        <v>15.8856</v>
      </c>
      <c r="G941" s="11">
        <f>15.8888 * CHOOSE(CONTROL!$C$32, $C$9, 100%, $E$9)</f>
        <v>15.8888</v>
      </c>
      <c r="H941" s="11">
        <f>33.0166 * CHOOSE(CONTROL!$C$32, $C$9, 100%, $E$9)</f>
        <v>33.016599999999997</v>
      </c>
      <c r="I941" s="11">
        <f>33.0198 * CHOOSE(CONTROL!$C$32, $C$9, 100%, $E$9)</f>
        <v>33.019799999999996</v>
      </c>
      <c r="J941" s="11">
        <f>33.0166 * CHOOSE(CONTROL!$C$32, $C$9, 100%, $E$9)</f>
        <v>33.016599999999997</v>
      </c>
      <c r="K941" s="11">
        <f>33.0198 * CHOOSE(CONTROL!$C$32, $C$9, 100%, $E$9)</f>
        <v>33.019799999999996</v>
      </c>
      <c r="L941" s="11">
        <f>15.8856 * CHOOSE(CONTROL!$C$32, $C$9, 100%, $E$9)</f>
        <v>15.8856</v>
      </c>
      <c r="M941" s="11">
        <f>15.8888 * CHOOSE(CONTROL!$C$32, $C$9, 100%, $E$9)</f>
        <v>15.8888</v>
      </c>
      <c r="N941" s="11">
        <f>15.8856 * CHOOSE(CONTROL!$C$32, $C$9, 100%, $E$9)</f>
        <v>15.8856</v>
      </c>
      <c r="O941" s="11">
        <f>15.8888 * CHOOSE(CONTROL!$C$32, $C$9, 100%, $E$9)</f>
        <v>15.8888</v>
      </c>
    </row>
    <row r="942" spans="1:15" ht="15" x14ac:dyDescent="0.2">
      <c r="A942" s="13">
        <v>69519</v>
      </c>
      <c r="B942" s="9">
        <f>13.8794 * CHOOSE(CONTROL!$C$32, $C$9, 100%, $E$9)</f>
        <v>13.8794</v>
      </c>
      <c r="C942" s="9">
        <f>13.8794 * CHOOSE(CONTROL!$C$32, $C$9, 100%, $E$9)</f>
        <v>13.8794</v>
      </c>
      <c r="D942" s="9">
        <f>13.8806 * CHOOSE(CONTROL!$C$32, $C$9, 100%, $E$9)</f>
        <v>13.880599999999999</v>
      </c>
      <c r="E942" s="11">
        <f>16.0223 * CHOOSE(CONTROL!$C$32, $C$9, 100%, $E$9)</f>
        <v>16.022300000000001</v>
      </c>
      <c r="F942" s="11">
        <f>16.0223 * CHOOSE(CONTROL!$C$32, $C$9, 100%, $E$9)</f>
        <v>16.022300000000001</v>
      </c>
      <c r="G942" s="11">
        <f>16.0265 * CHOOSE(CONTROL!$C$32, $C$9, 100%, $E$9)</f>
        <v>16.026499999999999</v>
      </c>
      <c r="H942" s="11">
        <f>33.0854 * CHOOSE(CONTROL!$C$32, $C$9, 100%, $E$9)</f>
        <v>33.0854</v>
      </c>
      <c r="I942" s="11">
        <f>33.0896 * CHOOSE(CONTROL!$C$32, $C$9, 100%, $E$9)</f>
        <v>33.089599999999997</v>
      </c>
      <c r="J942" s="11">
        <f>33.0854 * CHOOSE(CONTROL!$C$32, $C$9, 100%, $E$9)</f>
        <v>33.0854</v>
      </c>
      <c r="K942" s="11">
        <f>33.0896 * CHOOSE(CONTROL!$C$32, $C$9, 100%, $E$9)</f>
        <v>33.089599999999997</v>
      </c>
      <c r="L942" s="11">
        <f>16.0223 * CHOOSE(CONTROL!$C$32, $C$9, 100%, $E$9)</f>
        <v>16.022300000000001</v>
      </c>
      <c r="M942" s="11">
        <f>16.0265 * CHOOSE(CONTROL!$C$32, $C$9, 100%, $E$9)</f>
        <v>16.026499999999999</v>
      </c>
      <c r="N942" s="11">
        <f>16.0223 * CHOOSE(CONTROL!$C$32, $C$9, 100%, $E$9)</f>
        <v>16.022300000000001</v>
      </c>
      <c r="O942" s="11">
        <f>16.0265 * CHOOSE(CONTROL!$C$32, $C$9, 100%, $E$9)</f>
        <v>16.026499999999999</v>
      </c>
    </row>
    <row r="943" spans="1:15" ht="15" x14ac:dyDescent="0.2">
      <c r="A943" s="13">
        <v>69550</v>
      </c>
      <c r="B943" s="9">
        <f>13.8855 * CHOOSE(CONTROL!$C$32, $C$9, 100%, $E$9)</f>
        <v>13.8855</v>
      </c>
      <c r="C943" s="9">
        <f>13.8855 * CHOOSE(CONTROL!$C$32, $C$9, 100%, $E$9)</f>
        <v>13.8855</v>
      </c>
      <c r="D943" s="9">
        <f>13.8867 * CHOOSE(CONTROL!$C$32, $C$9, 100%, $E$9)</f>
        <v>13.886699999999999</v>
      </c>
      <c r="E943" s="11">
        <f>15.8898 * CHOOSE(CONTROL!$C$32, $C$9, 100%, $E$9)</f>
        <v>15.889799999999999</v>
      </c>
      <c r="F943" s="11">
        <f>15.8898 * CHOOSE(CONTROL!$C$32, $C$9, 100%, $E$9)</f>
        <v>15.889799999999999</v>
      </c>
      <c r="G943" s="11">
        <f>15.894 * CHOOSE(CONTROL!$C$32, $C$9, 100%, $E$9)</f>
        <v>15.894</v>
      </c>
      <c r="H943" s="11">
        <f>33.1543 * CHOOSE(CONTROL!$C$32, $C$9, 100%, $E$9)</f>
        <v>33.154299999999999</v>
      </c>
      <c r="I943" s="11">
        <f>33.1585 * CHOOSE(CONTROL!$C$32, $C$9, 100%, $E$9)</f>
        <v>33.158499999999997</v>
      </c>
      <c r="J943" s="11">
        <f>33.1543 * CHOOSE(CONTROL!$C$32, $C$9, 100%, $E$9)</f>
        <v>33.154299999999999</v>
      </c>
      <c r="K943" s="11">
        <f>33.1585 * CHOOSE(CONTROL!$C$32, $C$9, 100%, $E$9)</f>
        <v>33.158499999999997</v>
      </c>
      <c r="L943" s="11">
        <f>15.8898 * CHOOSE(CONTROL!$C$32, $C$9, 100%, $E$9)</f>
        <v>15.889799999999999</v>
      </c>
      <c r="M943" s="11">
        <f>15.894 * CHOOSE(CONTROL!$C$32, $C$9, 100%, $E$9)</f>
        <v>15.894</v>
      </c>
      <c r="N943" s="11">
        <f>15.8898 * CHOOSE(CONTROL!$C$32, $C$9, 100%, $E$9)</f>
        <v>15.889799999999999</v>
      </c>
      <c r="O943" s="11">
        <f>15.894 * CHOOSE(CONTROL!$C$32, $C$9, 100%, $E$9)</f>
        <v>15.894</v>
      </c>
    </row>
    <row r="944" spans="1:15" ht="15" x14ac:dyDescent="0.2">
      <c r="A944" s="13">
        <v>69580</v>
      </c>
      <c r="B944" s="9">
        <f>14.0525 * CHOOSE(CONTROL!$C$32, $C$9, 100%, $E$9)</f>
        <v>14.0525</v>
      </c>
      <c r="C944" s="9">
        <f>14.0525 * CHOOSE(CONTROL!$C$32, $C$9, 100%, $E$9)</f>
        <v>14.0525</v>
      </c>
      <c r="D944" s="9">
        <f>14.0537 * CHOOSE(CONTROL!$C$32, $C$9, 100%, $E$9)</f>
        <v>14.053699999999999</v>
      </c>
      <c r="E944" s="11">
        <f>16.1153 * CHOOSE(CONTROL!$C$32, $C$9, 100%, $E$9)</f>
        <v>16.115300000000001</v>
      </c>
      <c r="F944" s="11">
        <f>16.1153 * CHOOSE(CONTROL!$C$32, $C$9, 100%, $E$9)</f>
        <v>16.115300000000001</v>
      </c>
      <c r="G944" s="11">
        <f>16.1195 * CHOOSE(CONTROL!$C$32, $C$9, 100%, $E$9)</f>
        <v>16.119499999999999</v>
      </c>
      <c r="H944" s="11">
        <f>33.2234 * CHOOSE(CONTROL!$C$32, $C$9, 100%, $E$9)</f>
        <v>33.223399999999998</v>
      </c>
      <c r="I944" s="11">
        <f>33.2276 * CHOOSE(CONTROL!$C$32, $C$9, 100%, $E$9)</f>
        <v>33.227600000000002</v>
      </c>
      <c r="J944" s="11">
        <f>33.2234 * CHOOSE(CONTROL!$C$32, $C$9, 100%, $E$9)</f>
        <v>33.223399999999998</v>
      </c>
      <c r="K944" s="11">
        <f>33.2276 * CHOOSE(CONTROL!$C$32, $C$9, 100%, $E$9)</f>
        <v>33.227600000000002</v>
      </c>
      <c r="L944" s="11">
        <f>16.1153 * CHOOSE(CONTROL!$C$32, $C$9, 100%, $E$9)</f>
        <v>16.115300000000001</v>
      </c>
      <c r="M944" s="11">
        <f>16.1195 * CHOOSE(CONTROL!$C$32, $C$9, 100%, $E$9)</f>
        <v>16.119499999999999</v>
      </c>
      <c r="N944" s="11">
        <f>16.1153 * CHOOSE(CONTROL!$C$32, $C$9, 100%, $E$9)</f>
        <v>16.115300000000001</v>
      </c>
      <c r="O944" s="11">
        <f>16.1195 * CHOOSE(CONTROL!$C$32, $C$9, 100%, $E$9)</f>
        <v>16.119499999999999</v>
      </c>
    </row>
    <row r="945" spans="1:15" ht="15" x14ac:dyDescent="0.2">
      <c r="A945" s="13">
        <v>69611</v>
      </c>
      <c r="B945" s="9">
        <f>14.0592 * CHOOSE(CONTROL!$C$32, $C$9, 100%, $E$9)</f>
        <v>14.059200000000001</v>
      </c>
      <c r="C945" s="9">
        <f>14.0592 * CHOOSE(CONTROL!$C$32, $C$9, 100%, $E$9)</f>
        <v>14.059200000000001</v>
      </c>
      <c r="D945" s="9">
        <f>14.0604 * CHOOSE(CONTROL!$C$32, $C$9, 100%, $E$9)</f>
        <v>14.0604</v>
      </c>
      <c r="E945" s="11">
        <f>15.7098 * CHOOSE(CONTROL!$C$32, $C$9, 100%, $E$9)</f>
        <v>15.7098</v>
      </c>
      <c r="F945" s="11">
        <f>15.7098 * CHOOSE(CONTROL!$C$32, $C$9, 100%, $E$9)</f>
        <v>15.7098</v>
      </c>
      <c r="G945" s="11">
        <f>15.714 * CHOOSE(CONTROL!$C$32, $C$9, 100%, $E$9)</f>
        <v>15.714</v>
      </c>
      <c r="H945" s="11">
        <f>33.2926 * CHOOSE(CONTROL!$C$32, $C$9, 100%, $E$9)</f>
        <v>33.2926</v>
      </c>
      <c r="I945" s="11">
        <f>33.2968 * CHOOSE(CONTROL!$C$32, $C$9, 100%, $E$9)</f>
        <v>33.296799999999998</v>
      </c>
      <c r="J945" s="11">
        <f>33.2926 * CHOOSE(CONTROL!$C$32, $C$9, 100%, $E$9)</f>
        <v>33.2926</v>
      </c>
      <c r="K945" s="11">
        <f>33.2968 * CHOOSE(CONTROL!$C$32, $C$9, 100%, $E$9)</f>
        <v>33.296799999999998</v>
      </c>
      <c r="L945" s="11">
        <f>15.7098 * CHOOSE(CONTROL!$C$32, $C$9, 100%, $E$9)</f>
        <v>15.7098</v>
      </c>
      <c r="M945" s="11">
        <f>15.714 * CHOOSE(CONTROL!$C$32, $C$9, 100%, $E$9)</f>
        <v>15.714</v>
      </c>
      <c r="N945" s="11">
        <f>15.7098 * CHOOSE(CONTROL!$C$32, $C$9, 100%, $E$9)</f>
        <v>15.7098</v>
      </c>
      <c r="O945" s="11">
        <f>15.714 * CHOOSE(CONTROL!$C$32, $C$9, 100%, $E$9)</f>
        <v>15.714</v>
      </c>
    </row>
    <row r="946" spans="1:15" ht="15" x14ac:dyDescent="0.2">
      <c r="A946" s="13">
        <v>69642</v>
      </c>
      <c r="B946" s="9">
        <f>14.0561 * CHOOSE(CONTROL!$C$32, $C$9, 100%, $E$9)</f>
        <v>14.056100000000001</v>
      </c>
      <c r="C946" s="9">
        <f>14.0561 * CHOOSE(CONTROL!$C$32, $C$9, 100%, $E$9)</f>
        <v>14.056100000000001</v>
      </c>
      <c r="D946" s="9">
        <f>14.0574 * CHOOSE(CONTROL!$C$32, $C$9, 100%, $E$9)</f>
        <v>14.057399999999999</v>
      </c>
      <c r="E946" s="11">
        <f>15.6621 * CHOOSE(CONTROL!$C$32, $C$9, 100%, $E$9)</f>
        <v>15.662100000000001</v>
      </c>
      <c r="F946" s="11">
        <f>15.6621 * CHOOSE(CONTROL!$C$32, $C$9, 100%, $E$9)</f>
        <v>15.662100000000001</v>
      </c>
      <c r="G946" s="11">
        <f>15.6663 * CHOOSE(CONTROL!$C$32, $C$9, 100%, $E$9)</f>
        <v>15.6663</v>
      </c>
      <c r="H946" s="11">
        <f>33.3619 * CHOOSE(CONTROL!$C$32, $C$9, 100%, $E$9)</f>
        <v>33.361899999999999</v>
      </c>
      <c r="I946" s="11">
        <f>33.3661 * CHOOSE(CONTROL!$C$32, $C$9, 100%, $E$9)</f>
        <v>33.366100000000003</v>
      </c>
      <c r="J946" s="11">
        <f>33.3619 * CHOOSE(CONTROL!$C$32, $C$9, 100%, $E$9)</f>
        <v>33.361899999999999</v>
      </c>
      <c r="K946" s="11">
        <f>33.3661 * CHOOSE(CONTROL!$C$32, $C$9, 100%, $E$9)</f>
        <v>33.366100000000003</v>
      </c>
      <c r="L946" s="11">
        <f>15.6621 * CHOOSE(CONTROL!$C$32, $C$9, 100%, $E$9)</f>
        <v>15.662100000000001</v>
      </c>
      <c r="M946" s="11">
        <f>15.6663 * CHOOSE(CONTROL!$C$32, $C$9, 100%, $E$9)</f>
        <v>15.6663</v>
      </c>
      <c r="N946" s="11">
        <f>15.6621 * CHOOSE(CONTROL!$C$32, $C$9, 100%, $E$9)</f>
        <v>15.662100000000001</v>
      </c>
      <c r="O946" s="11">
        <f>15.6663 * CHOOSE(CONTROL!$C$32, $C$9, 100%, $E$9)</f>
        <v>15.6663</v>
      </c>
    </row>
    <row r="947" spans="1:15" ht="15" x14ac:dyDescent="0.2">
      <c r="A947" s="13">
        <v>69672</v>
      </c>
      <c r="B947" s="9">
        <f>14.0888 * CHOOSE(CONTROL!$C$32, $C$9, 100%, $E$9)</f>
        <v>14.088800000000001</v>
      </c>
      <c r="C947" s="9">
        <f>14.0888 * CHOOSE(CONTROL!$C$32, $C$9, 100%, $E$9)</f>
        <v>14.088800000000001</v>
      </c>
      <c r="D947" s="9">
        <f>14.0897 * CHOOSE(CONTROL!$C$32, $C$9, 100%, $E$9)</f>
        <v>14.089700000000001</v>
      </c>
      <c r="E947" s="11">
        <f>15.831 * CHOOSE(CONTROL!$C$32, $C$9, 100%, $E$9)</f>
        <v>15.831</v>
      </c>
      <c r="F947" s="11">
        <f>15.831 * CHOOSE(CONTROL!$C$32, $C$9, 100%, $E$9)</f>
        <v>15.831</v>
      </c>
      <c r="G947" s="11">
        <f>15.8342 * CHOOSE(CONTROL!$C$32, $C$9, 100%, $E$9)</f>
        <v>15.834199999999999</v>
      </c>
      <c r="H947" s="11">
        <f>33.4314 * CHOOSE(CONTROL!$C$32, $C$9, 100%, $E$9)</f>
        <v>33.431399999999996</v>
      </c>
      <c r="I947" s="11">
        <f>33.4347 * CHOOSE(CONTROL!$C$32, $C$9, 100%, $E$9)</f>
        <v>33.434699999999999</v>
      </c>
      <c r="J947" s="11">
        <f>33.4314 * CHOOSE(CONTROL!$C$32, $C$9, 100%, $E$9)</f>
        <v>33.431399999999996</v>
      </c>
      <c r="K947" s="11">
        <f>33.4347 * CHOOSE(CONTROL!$C$32, $C$9, 100%, $E$9)</f>
        <v>33.434699999999999</v>
      </c>
      <c r="L947" s="11">
        <f>15.831 * CHOOSE(CONTROL!$C$32, $C$9, 100%, $E$9)</f>
        <v>15.831</v>
      </c>
      <c r="M947" s="11">
        <f>15.8342 * CHOOSE(CONTROL!$C$32, $C$9, 100%, $E$9)</f>
        <v>15.834199999999999</v>
      </c>
      <c r="N947" s="11">
        <f>15.831 * CHOOSE(CONTROL!$C$32, $C$9, 100%, $E$9)</f>
        <v>15.831</v>
      </c>
      <c r="O947" s="11">
        <f>15.8342 * CHOOSE(CONTROL!$C$32, $C$9, 100%, $E$9)</f>
        <v>15.834199999999999</v>
      </c>
    </row>
    <row r="948" spans="1:15" ht="15" x14ac:dyDescent="0.2">
      <c r="A948" s="13">
        <v>69703</v>
      </c>
      <c r="B948" s="9">
        <f>14.0918 * CHOOSE(CONTROL!$C$32, $C$9, 100%, $E$9)</f>
        <v>14.091799999999999</v>
      </c>
      <c r="C948" s="9">
        <f>14.0918 * CHOOSE(CONTROL!$C$32, $C$9, 100%, $E$9)</f>
        <v>14.091799999999999</v>
      </c>
      <c r="D948" s="9">
        <f>14.0928 * CHOOSE(CONTROL!$C$32, $C$9, 100%, $E$9)</f>
        <v>14.0928</v>
      </c>
      <c r="E948" s="11">
        <f>15.9243 * CHOOSE(CONTROL!$C$32, $C$9, 100%, $E$9)</f>
        <v>15.924300000000001</v>
      </c>
      <c r="F948" s="11">
        <f>15.9243 * CHOOSE(CONTROL!$C$32, $C$9, 100%, $E$9)</f>
        <v>15.924300000000001</v>
      </c>
      <c r="G948" s="11">
        <f>15.9275 * CHOOSE(CONTROL!$C$32, $C$9, 100%, $E$9)</f>
        <v>15.9275</v>
      </c>
      <c r="H948" s="11">
        <f>33.5011 * CHOOSE(CONTROL!$C$32, $C$9, 100%, $E$9)</f>
        <v>33.501100000000001</v>
      </c>
      <c r="I948" s="11">
        <f>33.5043 * CHOOSE(CONTROL!$C$32, $C$9, 100%, $E$9)</f>
        <v>33.504300000000001</v>
      </c>
      <c r="J948" s="11">
        <f>33.5011 * CHOOSE(CONTROL!$C$32, $C$9, 100%, $E$9)</f>
        <v>33.501100000000001</v>
      </c>
      <c r="K948" s="11">
        <f>33.5043 * CHOOSE(CONTROL!$C$32, $C$9, 100%, $E$9)</f>
        <v>33.504300000000001</v>
      </c>
      <c r="L948" s="11">
        <f>15.9243 * CHOOSE(CONTROL!$C$32, $C$9, 100%, $E$9)</f>
        <v>15.924300000000001</v>
      </c>
      <c r="M948" s="11">
        <f>15.9275 * CHOOSE(CONTROL!$C$32, $C$9, 100%, $E$9)</f>
        <v>15.9275</v>
      </c>
      <c r="N948" s="11">
        <f>15.9243 * CHOOSE(CONTROL!$C$32, $C$9, 100%, $E$9)</f>
        <v>15.924300000000001</v>
      </c>
      <c r="O948" s="11">
        <f>15.9275 * CHOOSE(CONTROL!$C$32, $C$9, 100%, $E$9)</f>
        <v>15.9275</v>
      </c>
    </row>
    <row r="949" spans="1:15" ht="15" x14ac:dyDescent="0.2">
      <c r="A949" s="13">
        <v>69733</v>
      </c>
      <c r="B949" s="9">
        <f>14.0918 * CHOOSE(CONTROL!$C$32, $C$9, 100%, $E$9)</f>
        <v>14.091799999999999</v>
      </c>
      <c r="C949" s="9">
        <f>14.0918 * CHOOSE(CONTROL!$C$32, $C$9, 100%, $E$9)</f>
        <v>14.091799999999999</v>
      </c>
      <c r="D949" s="9">
        <f>14.0928 * CHOOSE(CONTROL!$C$32, $C$9, 100%, $E$9)</f>
        <v>14.0928</v>
      </c>
      <c r="E949" s="11">
        <f>15.6964 * CHOOSE(CONTROL!$C$32, $C$9, 100%, $E$9)</f>
        <v>15.696400000000001</v>
      </c>
      <c r="F949" s="11">
        <f>15.6964 * CHOOSE(CONTROL!$C$32, $C$9, 100%, $E$9)</f>
        <v>15.696400000000001</v>
      </c>
      <c r="G949" s="11">
        <f>15.6996 * CHOOSE(CONTROL!$C$32, $C$9, 100%, $E$9)</f>
        <v>15.6996</v>
      </c>
      <c r="H949" s="11">
        <f>33.5709 * CHOOSE(CONTROL!$C$32, $C$9, 100%, $E$9)</f>
        <v>33.570900000000002</v>
      </c>
      <c r="I949" s="11">
        <f>33.5741 * CHOOSE(CONTROL!$C$32, $C$9, 100%, $E$9)</f>
        <v>33.574100000000001</v>
      </c>
      <c r="J949" s="11">
        <f>33.5709 * CHOOSE(CONTROL!$C$32, $C$9, 100%, $E$9)</f>
        <v>33.570900000000002</v>
      </c>
      <c r="K949" s="11">
        <f>33.5741 * CHOOSE(CONTROL!$C$32, $C$9, 100%, $E$9)</f>
        <v>33.574100000000001</v>
      </c>
      <c r="L949" s="11">
        <f>15.6964 * CHOOSE(CONTROL!$C$32, $C$9, 100%, $E$9)</f>
        <v>15.696400000000001</v>
      </c>
      <c r="M949" s="11">
        <f>15.6996 * CHOOSE(CONTROL!$C$32, $C$9, 100%, $E$9)</f>
        <v>15.6996</v>
      </c>
      <c r="N949" s="11">
        <f>15.6964 * CHOOSE(CONTROL!$C$32, $C$9, 100%, $E$9)</f>
        <v>15.696400000000001</v>
      </c>
      <c r="O949" s="11">
        <f>15.6996 * CHOOSE(CONTROL!$C$32, $C$9, 100%, $E$9)</f>
        <v>15.6996</v>
      </c>
    </row>
    <row r="950" spans="1:15" ht="15" x14ac:dyDescent="0.2">
      <c r="A950" s="13">
        <v>69764</v>
      </c>
      <c r="B950" s="9">
        <f>14.0656 * CHOOSE(CONTROL!$C$32, $C$9, 100%, $E$9)</f>
        <v>14.0656</v>
      </c>
      <c r="C950" s="9">
        <f>14.0656 * CHOOSE(CONTROL!$C$32, $C$9, 100%, $E$9)</f>
        <v>14.0656</v>
      </c>
      <c r="D950" s="9">
        <f>14.0665 * CHOOSE(CONTROL!$C$32, $C$9, 100%, $E$9)</f>
        <v>14.0665</v>
      </c>
      <c r="E950" s="11">
        <f>15.8331 * CHOOSE(CONTROL!$C$32, $C$9, 100%, $E$9)</f>
        <v>15.8331</v>
      </c>
      <c r="F950" s="11">
        <f>15.8331 * CHOOSE(CONTROL!$C$32, $C$9, 100%, $E$9)</f>
        <v>15.8331</v>
      </c>
      <c r="G950" s="11">
        <f>15.8363 * CHOOSE(CONTROL!$C$32, $C$9, 100%, $E$9)</f>
        <v>15.8363</v>
      </c>
      <c r="H950" s="11">
        <f>33.2829 * CHOOSE(CONTROL!$C$32, $C$9, 100%, $E$9)</f>
        <v>33.282899999999998</v>
      </c>
      <c r="I950" s="11">
        <f>33.2861 * CHOOSE(CONTROL!$C$32, $C$9, 100%, $E$9)</f>
        <v>33.286099999999998</v>
      </c>
      <c r="J950" s="11">
        <f>33.2829 * CHOOSE(CONTROL!$C$32, $C$9, 100%, $E$9)</f>
        <v>33.282899999999998</v>
      </c>
      <c r="K950" s="11">
        <f>33.2861 * CHOOSE(CONTROL!$C$32, $C$9, 100%, $E$9)</f>
        <v>33.286099999999998</v>
      </c>
      <c r="L950" s="11">
        <f>15.8331 * CHOOSE(CONTROL!$C$32, $C$9, 100%, $E$9)</f>
        <v>15.8331</v>
      </c>
      <c r="M950" s="11">
        <f>15.8363 * CHOOSE(CONTROL!$C$32, $C$9, 100%, $E$9)</f>
        <v>15.8363</v>
      </c>
      <c r="N950" s="11">
        <f>15.8331 * CHOOSE(CONTROL!$C$32, $C$9, 100%, $E$9)</f>
        <v>15.8331</v>
      </c>
      <c r="O950" s="11">
        <f>15.8363 * CHOOSE(CONTROL!$C$32, $C$9, 100%, $E$9)</f>
        <v>15.8363</v>
      </c>
    </row>
    <row r="951" spans="1:15" ht="15" x14ac:dyDescent="0.2">
      <c r="A951" s="13">
        <v>69795</v>
      </c>
      <c r="B951" s="9">
        <f>14.0626 * CHOOSE(CONTROL!$C$32, $C$9, 100%, $E$9)</f>
        <v>14.0626</v>
      </c>
      <c r="C951" s="9">
        <f>14.0626 * CHOOSE(CONTROL!$C$32, $C$9, 100%, $E$9)</f>
        <v>14.0626</v>
      </c>
      <c r="D951" s="9">
        <f>14.0635 * CHOOSE(CONTROL!$C$32, $C$9, 100%, $E$9)</f>
        <v>14.063499999999999</v>
      </c>
      <c r="E951" s="11">
        <f>15.3933 * CHOOSE(CONTROL!$C$32, $C$9, 100%, $E$9)</f>
        <v>15.3933</v>
      </c>
      <c r="F951" s="11">
        <f>15.3933 * CHOOSE(CONTROL!$C$32, $C$9, 100%, $E$9)</f>
        <v>15.3933</v>
      </c>
      <c r="G951" s="11">
        <f>15.3965 * CHOOSE(CONTROL!$C$32, $C$9, 100%, $E$9)</f>
        <v>15.3965</v>
      </c>
      <c r="H951" s="11">
        <f>33.3522 * CHOOSE(CONTROL!$C$32, $C$9, 100%, $E$9)</f>
        <v>33.352200000000003</v>
      </c>
      <c r="I951" s="11">
        <f>33.3554 * CHOOSE(CONTROL!$C$32, $C$9, 100%, $E$9)</f>
        <v>33.355400000000003</v>
      </c>
      <c r="J951" s="11">
        <f>33.3522 * CHOOSE(CONTROL!$C$32, $C$9, 100%, $E$9)</f>
        <v>33.352200000000003</v>
      </c>
      <c r="K951" s="11">
        <f>33.3554 * CHOOSE(CONTROL!$C$32, $C$9, 100%, $E$9)</f>
        <v>33.355400000000003</v>
      </c>
      <c r="L951" s="11">
        <f>15.3933 * CHOOSE(CONTROL!$C$32, $C$9, 100%, $E$9)</f>
        <v>15.3933</v>
      </c>
      <c r="M951" s="11">
        <f>15.3965 * CHOOSE(CONTROL!$C$32, $C$9, 100%, $E$9)</f>
        <v>15.3965</v>
      </c>
      <c r="N951" s="11">
        <f>15.3933 * CHOOSE(CONTROL!$C$32, $C$9, 100%, $E$9)</f>
        <v>15.3933</v>
      </c>
      <c r="O951" s="11">
        <f>15.3965 * CHOOSE(CONTROL!$C$32, $C$9, 100%, $E$9)</f>
        <v>15.3965</v>
      </c>
    </row>
    <row r="952" spans="1:15" ht="15" x14ac:dyDescent="0.2">
      <c r="A952" s="13">
        <v>69823</v>
      </c>
      <c r="B952" s="9">
        <f>14.0595 * CHOOSE(CONTROL!$C$32, $C$9, 100%, $E$9)</f>
        <v>14.0595</v>
      </c>
      <c r="C952" s="9">
        <f>14.0595 * CHOOSE(CONTROL!$C$32, $C$9, 100%, $E$9)</f>
        <v>14.0595</v>
      </c>
      <c r="D952" s="9">
        <f>14.0605 * CHOOSE(CONTROL!$C$32, $C$9, 100%, $E$9)</f>
        <v>14.060499999999999</v>
      </c>
      <c r="E952" s="11">
        <f>15.7362 * CHOOSE(CONTROL!$C$32, $C$9, 100%, $E$9)</f>
        <v>15.7362</v>
      </c>
      <c r="F952" s="11">
        <f>15.7362 * CHOOSE(CONTROL!$C$32, $C$9, 100%, $E$9)</f>
        <v>15.7362</v>
      </c>
      <c r="G952" s="11">
        <f>15.7394 * CHOOSE(CONTROL!$C$32, $C$9, 100%, $E$9)</f>
        <v>15.7394</v>
      </c>
      <c r="H952" s="11">
        <f>33.4217 * CHOOSE(CONTROL!$C$32, $C$9, 100%, $E$9)</f>
        <v>33.421700000000001</v>
      </c>
      <c r="I952" s="11">
        <f>33.4249 * CHOOSE(CONTROL!$C$32, $C$9, 100%, $E$9)</f>
        <v>33.424900000000001</v>
      </c>
      <c r="J952" s="11">
        <f>33.4217 * CHOOSE(CONTROL!$C$32, $C$9, 100%, $E$9)</f>
        <v>33.421700000000001</v>
      </c>
      <c r="K952" s="11">
        <f>33.4249 * CHOOSE(CONTROL!$C$32, $C$9, 100%, $E$9)</f>
        <v>33.424900000000001</v>
      </c>
      <c r="L952" s="11">
        <f>15.7362 * CHOOSE(CONTROL!$C$32, $C$9, 100%, $E$9)</f>
        <v>15.7362</v>
      </c>
      <c r="M952" s="11">
        <f>15.7394 * CHOOSE(CONTROL!$C$32, $C$9, 100%, $E$9)</f>
        <v>15.7394</v>
      </c>
      <c r="N952" s="11">
        <f>15.7362 * CHOOSE(CONTROL!$C$32, $C$9, 100%, $E$9)</f>
        <v>15.7362</v>
      </c>
      <c r="O952" s="11">
        <f>15.7394 * CHOOSE(CONTROL!$C$32, $C$9, 100%, $E$9)</f>
        <v>15.7394</v>
      </c>
    </row>
    <row r="953" spans="1:15" ht="15" x14ac:dyDescent="0.2">
      <c r="A953" s="13">
        <v>69854</v>
      </c>
      <c r="B953" s="9">
        <f>14.0669 * CHOOSE(CONTROL!$C$32, $C$9, 100%, $E$9)</f>
        <v>14.0669</v>
      </c>
      <c r="C953" s="9">
        <f>14.0669 * CHOOSE(CONTROL!$C$32, $C$9, 100%, $E$9)</f>
        <v>14.0669</v>
      </c>
      <c r="D953" s="9">
        <f>14.0679 * CHOOSE(CONTROL!$C$32, $C$9, 100%, $E$9)</f>
        <v>14.0679</v>
      </c>
      <c r="E953" s="11">
        <f>16.1026 * CHOOSE(CONTROL!$C$32, $C$9, 100%, $E$9)</f>
        <v>16.102599999999999</v>
      </c>
      <c r="F953" s="11">
        <f>16.1026 * CHOOSE(CONTROL!$C$32, $C$9, 100%, $E$9)</f>
        <v>16.102599999999999</v>
      </c>
      <c r="G953" s="11">
        <f>16.1058 * CHOOSE(CONTROL!$C$32, $C$9, 100%, $E$9)</f>
        <v>16.105799999999999</v>
      </c>
      <c r="H953" s="11">
        <f>33.4913 * CHOOSE(CONTROL!$C$32, $C$9, 100%, $E$9)</f>
        <v>33.491300000000003</v>
      </c>
      <c r="I953" s="11">
        <f>33.4946 * CHOOSE(CONTROL!$C$32, $C$9, 100%, $E$9)</f>
        <v>33.494599999999998</v>
      </c>
      <c r="J953" s="11">
        <f>33.4913 * CHOOSE(CONTROL!$C$32, $C$9, 100%, $E$9)</f>
        <v>33.491300000000003</v>
      </c>
      <c r="K953" s="11">
        <f>33.4946 * CHOOSE(CONTROL!$C$32, $C$9, 100%, $E$9)</f>
        <v>33.494599999999998</v>
      </c>
      <c r="L953" s="11">
        <f>16.1026 * CHOOSE(CONTROL!$C$32, $C$9, 100%, $E$9)</f>
        <v>16.102599999999999</v>
      </c>
      <c r="M953" s="11">
        <f>16.1058 * CHOOSE(CONTROL!$C$32, $C$9, 100%, $E$9)</f>
        <v>16.105799999999999</v>
      </c>
      <c r="N953" s="11">
        <f>16.1026 * CHOOSE(CONTROL!$C$32, $C$9, 100%, $E$9)</f>
        <v>16.102599999999999</v>
      </c>
      <c r="O953" s="11">
        <f>16.1058 * CHOOSE(CONTROL!$C$32, $C$9, 100%, $E$9)</f>
        <v>16.105799999999999</v>
      </c>
    </row>
    <row r="954" spans="1:15" ht="15" x14ac:dyDescent="0.2">
      <c r="A954" s="13">
        <v>69884</v>
      </c>
      <c r="B954" s="9">
        <f>14.0669 * CHOOSE(CONTROL!$C$32, $C$9, 100%, $E$9)</f>
        <v>14.0669</v>
      </c>
      <c r="C954" s="9">
        <f>14.0669 * CHOOSE(CONTROL!$C$32, $C$9, 100%, $E$9)</f>
        <v>14.0669</v>
      </c>
      <c r="D954" s="9">
        <f>14.0682 * CHOOSE(CONTROL!$C$32, $C$9, 100%, $E$9)</f>
        <v>14.068199999999999</v>
      </c>
      <c r="E954" s="11">
        <f>16.2415 * CHOOSE(CONTROL!$C$32, $C$9, 100%, $E$9)</f>
        <v>16.241499999999998</v>
      </c>
      <c r="F954" s="11">
        <f>16.2415 * CHOOSE(CONTROL!$C$32, $C$9, 100%, $E$9)</f>
        <v>16.241499999999998</v>
      </c>
      <c r="G954" s="11">
        <f>16.2457 * CHOOSE(CONTROL!$C$32, $C$9, 100%, $E$9)</f>
        <v>16.245699999999999</v>
      </c>
      <c r="H954" s="11">
        <f>33.5611 * CHOOSE(CONTROL!$C$32, $C$9, 100%, $E$9)</f>
        <v>33.561100000000003</v>
      </c>
      <c r="I954" s="11">
        <f>33.5653 * CHOOSE(CONTROL!$C$32, $C$9, 100%, $E$9)</f>
        <v>33.565300000000001</v>
      </c>
      <c r="J954" s="11">
        <f>33.5611 * CHOOSE(CONTROL!$C$32, $C$9, 100%, $E$9)</f>
        <v>33.561100000000003</v>
      </c>
      <c r="K954" s="11">
        <f>33.5653 * CHOOSE(CONTROL!$C$32, $C$9, 100%, $E$9)</f>
        <v>33.565300000000001</v>
      </c>
      <c r="L954" s="11">
        <f>16.2415 * CHOOSE(CONTROL!$C$32, $C$9, 100%, $E$9)</f>
        <v>16.241499999999998</v>
      </c>
      <c r="M954" s="11">
        <f>16.2457 * CHOOSE(CONTROL!$C$32, $C$9, 100%, $E$9)</f>
        <v>16.245699999999999</v>
      </c>
      <c r="N954" s="11">
        <f>16.2415 * CHOOSE(CONTROL!$C$32, $C$9, 100%, $E$9)</f>
        <v>16.241499999999998</v>
      </c>
      <c r="O954" s="11">
        <f>16.2457 * CHOOSE(CONTROL!$C$32, $C$9, 100%, $E$9)</f>
        <v>16.245699999999999</v>
      </c>
    </row>
    <row r="955" spans="1:15" ht="15" x14ac:dyDescent="0.2">
      <c r="A955" s="13">
        <v>69915</v>
      </c>
      <c r="B955" s="9">
        <f>14.073 * CHOOSE(CONTROL!$C$32, $C$9, 100%, $E$9)</f>
        <v>14.073</v>
      </c>
      <c r="C955" s="9">
        <f>14.073 * CHOOSE(CONTROL!$C$32, $C$9, 100%, $E$9)</f>
        <v>14.073</v>
      </c>
      <c r="D955" s="9">
        <f>14.0743 * CHOOSE(CONTROL!$C$32, $C$9, 100%, $E$9)</f>
        <v>14.074299999999999</v>
      </c>
      <c r="E955" s="11">
        <f>16.1068 * CHOOSE(CONTROL!$C$32, $C$9, 100%, $E$9)</f>
        <v>16.1068</v>
      </c>
      <c r="F955" s="11">
        <f>16.1068 * CHOOSE(CONTROL!$C$32, $C$9, 100%, $E$9)</f>
        <v>16.1068</v>
      </c>
      <c r="G955" s="11">
        <f>16.111 * CHOOSE(CONTROL!$C$32, $C$9, 100%, $E$9)</f>
        <v>16.111000000000001</v>
      </c>
      <c r="H955" s="11">
        <f>33.631 * CHOOSE(CONTROL!$C$32, $C$9, 100%, $E$9)</f>
        <v>33.631</v>
      </c>
      <c r="I955" s="11">
        <f>33.6352 * CHOOSE(CONTROL!$C$32, $C$9, 100%, $E$9)</f>
        <v>33.635199999999998</v>
      </c>
      <c r="J955" s="11">
        <f>33.631 * CHOOSE(CONTROL!$C$32, $C$9, 100%, $E$9)</f>
        <v>33.631</v>
      </c>
      <c r="K955" s="11">
        <f>33.6352 * CHOOSE(CONTROL!$C$32, $C$9, 100%, $E$9)</f>
        <v>33.635199999999998</v>
      </c>
      <c r="L955" s="11">
        <f>16.1068 * CHOOSE(CONTROL!$C$32, $C$9, 100%, $E$9)</f>
        <v>16.1068</v>
      </c>
      <c r="M955" s="11">
        <f>16.111 * CHOOSE(CONTROL!$C$32, $C$9, 100%, $E$9)</f>
        <v>16.111000000000001</v>
      </c>
      <c r="N955" s="11">
        <f>16.1068 * CHOOSE(CONTROL!$C$32, $C$9, 100%, $E$9)</f>
        <v>16.1068</v>
      </c>
      <c r="O955" s="11">
        <f>16.111 * CHOOSE(CONTROL!$C$32, $C$9, 100%, $E$9)</f>
        <v>16.111000000000001</v>
      </c>
    </row>
    <row r="956" spans="1:15" ht="15" x14ac:dyDescent="0.2">
      <c r="A956" s="13">
        <v>69945</v>
      </c>
      <c r="B956" s="9">
        <f>14.2421 * CHOOSE(CONTROL!$C$32, $C$9, 100%, $E$9)</f>
        <v>14.242100000000001</v>
      </c>
      <c r="C956" s="9">
        <f>14.2421 * CHOOSE(CONTROL!$C$32, $C$9, 100%, $E$9)</f>
        <v>14.242100000000001</v>
      </c>
      <c r="D956" s="9">
        <f>14.2433 * CHOOSE(CONTROL!$C$32, $C$9, 100%, $E$9)</f>
        <v>14.2433</v>
      </c>
      <c r="E956" s="11">
        <f>16.3355 * CHOOSE(CONTROL!$C$32, $C$9, 100%, $E$9)</f>
        <v>16.3355</v>
      </c>
      <c r="F956" s="11">
        <f>16.3355 * CHOOSE(CONTROL!$C$32, $C$9, 100%, $E$9)</f>
        <v>16.3355</v>
      </c>
      <c r="G956" s="11">
        <f>16.3397 * CHOOSE(CONTROL!$C$32, $C$9, 100%, $E$9)</f>
        <v>16.339700000000001</v>
      </c>
      <c r="H956" s="11">
        <f>33.7011 * CHOOSE(CONTROL!$C$32, $C$9, 100%, $E$9)</f>
        <v>33.701099999999997</v>
      </c>
      <c r="I956" s="11">
        <f>33.7053 * CHOOSE(CONTROL!$C$32, $C$9, 100%, $E$9)</f>
        <v>33.705300000000001</v>
      </c>
      <c r="J956" s="11">
        <f>33.7011 * CHOOSE(CONTROL!$C$32, $C$9, 100%, $E$9)</f>
        <v>33.701099999999997</v>
      </c>
      <c r="K956" s="11">
        <f>33.7053 * CHOOSE(CONTROL!$C$32, $C$9, 100%, $E$9)</f>
        <v>33.705300000000001</v>
      </c>
      <c r="L956" s="11">
        <f>16.3355 * CHOOSE(CONTROL!$C$32, $C$9, 100%, $E$9)</f>
        <v>16.3355</v>
      </c>
      <c r="M956" s="11">
        <f>16.3397 * CHOOSE(CONTROL!$C$32, $C$9, 100%, $E$9)</f>
        <v>16.339700000000001</v>
      </c>
      <c r="N956" s="11">
        <f>16.3355 * CHOOSE(CONTROL!$C$32, $C$9, 100%, $E$9)</f>
        <v>16.3355</v>
      </c>
      <c r="O956" s="11">
        <f>16.3397 * CHOOSE(CONTROL!$C$32, $C$9, 100%, $E$9)</f>
        <v>16.339700000000001</v>
      </c>
    </row>
    <row r="957" spans="1:15" ht="15" x14ac:dyDescent="0.2">
      <c r="A957" s="13">
        <v>69976</v>
      </c>
      <c r="B957" s="9">
        <f>14.2488 * CHOOSE(CONTROL!$C$32, $C$9, 100%, $E$9)</f>
        <v>14.248799999999999</v>
      </c>
      <c r="C957" s="9">
        <f>14.2488 * CHOOSE(CONTROL!$C$32, $C$9, 100%, $E$9)</f>
        <v>14.248799999999999</v>
      </c>
      <c r="D957" s="9">
        <f>14.25 * CHOOSE(CONTROL!$C$32, $C$9, 100%, $E$9)</f>
        <v>14.25</v>
      </c>
      <c r="E957" s="11">
        <f>15.9232 * CHOOSE(CONTROL!$C$32, $C$9, 100%, $E$9)</f>
        <v>15.9232</v>
      </c>
      <c r="F957" s="11">
        <f>15.9232 * CHOOSE(CONTROL!$C$32, $C$9, 100%, $E$9)</f>
        <v>15.9232</v>
      </c>
      <c r="G957" s="11">
        <f>15.9274 * CHOOSE(CONTROL!$C$32, $C$9, 100%, $E$9)</f>
        <v>15.9274</v>
      </c>
      <c r="H957" s="11">
        <f>33.7713 * CHOOSE(CONTROL!$C$32, $C$9, 100%, $E$9)</f>
        <v>33.771299999999997</v>
      </c>
      <c r="I957" s="11">
        <f>33.7755 * CHOOSE(CONTROL!$C$32, $C$9, 100%, $E$9)</f>
        <v>33.775500000000001</v>
      </c>
      <c r="J957" s="11">
        <f>33.7713 * CHOOSE(CONTROL!$C$32, $C$9, 100%, $E$9)</f>
        <v>33.771299999999997</v>
      </c>
      <c r="K957" s="11">
        <f>33.7755 * CHOOSE(CONTROL!$C$32, $C$9, 100%, $E$9)</f>
        <v>33.775500000000001</v>
      </c>
      <c r="L957" s="11">
        <f>15.9232 * CHOOSE(CONTROL!$C$32, $C$9, 100%, $E$9)</f>
        <v>15.9232</v>
      </c>
      <c r="M957" s="11">
        <f>15.9274 * CHOOSE(CONTROL!$C$32, $C$9, 100%, $E$9)</f>
        <v>15.9274</v>
      </c>
      <c r="N957" s="11">
        <f>15.9232 * CHOOSE(CONTROL!$C$32, $C$9, 100%, $E$9)</f>
        <v>15.9232</v>
      </c>
      <c r="O957" s="11">
        <f>15.9274 * CHOOSE(CONTROL!$C$32, $C$9, 100%, $E$9)</f>
        <v>15.9274</v>
      </c>
    </row>
    <row r="958" spans="1:15" ht="15" x14ac:dyDescent="0.2">
      <c r="A958" s="13">
        <v>70007</v>
      </c>
      <c r="B958" s="9">
        <f>14.2457 * CHOOSE(CONTROL!$C$32, $C$9, 100%, $E$9)</f>
        <v>14.245699999999999</v>
      </c>
      <c r="C958" s="9">
        <f>14.2457 * CHOOSE(CONTROL!$C$32, $C$9, 100%, $E$9)</f>
        <v>14.245699999999999</v>
      </c>
      <c r="D958" s="9">
        <f>14.247 * CHOOSE(CONTROL!$C$32, $C$9, 100%, $E$9)</f>
        <v>14.247</v>
      </c>
      <c r="E958" s="11">
        <f>15.8748 * CHOOSE(CONTROL!$C$32, $C$9, 100%, $E$9)</f>
        <v>15.8748</v>
      </c>
      <c r="F958" s="11">
        <f>15.8748 * CHOOSE(CONTROL!$C$32, $C$9, 100%, $E$9)</f>
        <v>15.8748</v>
      </c>
      <c r="G958" s="11">
        <f>15.879 * CHOOSE(CONTROL!$C$32, $C$9, 100%, $E$9)</f>
        <v>15.879</v>
      </c>
      <c r="H958" s="11">
        <f>33.8417 * CHOOSE(CONTROL!$C$32, $C$9, 100%, $E$9)</f>
        <v>33.841700000000003</v>
      </c>
      <c r="I958" s="11">
        <f>33.8459 * CHOOSE(CONTROL!$C$32, $C$9, 100%, $E$9)</f>
        <v>33.8459</v>
      </c>
      <c r="J958" s="11">
        <f>33.8417 * CHOOSE(CONTROL!$C$32, $C$9, 100%, $E$9)</f>
        <v>33.841700000000003</v>
      </c>
      <c r="K958" s="11">
        <f>33.8459 * CHOOSE(CONTROL!$C$32, $C$9, 100%, $E$9)</f>
        <v>33.8459</v>
      </c>
      <c r="L958" s="11">
        <f>15.8748 * CHOOSE(CONTROL!$C$32, $C$9, 100%, $E$9)</f>
        <v>15.8748</v>
      </c>
      <c r="M958" s="11">
        <f>15.879 * CHOOSE(CONTROL!$C$32, $C$9, 100%, $E$9)</f>
        <v>15.879</v>
      </c>
      <c r="N958" s="11">
        <f>15.8748 * CHOOSE(CONTROL!$C$32, $C$9, 100%, $E$9)</f>
        <v>15.8748</v>
      </c>
      <c r="O958" s="11">
        <f>15.879 * CHOOSE(CONTROL!$C$32, $C$9, 100%, $E$9)</f>
        <v>15.879</v>
      </c>
    </row>
    <row r="959" spans="1:15" ht="15" x14ac:dyDescent="0.2">
      <c r="A959" s="13">
        <v>70037</v>
      </c>
      <c r="B959" s="9">
        <f>14.2791 * CHOOSE(CONTROL!$C$32, $C$9, 100%, $E$9)</f>
        <v>14.2791</v>
      </c>
      <c r="C959" s="9">
        <f>14.2791 * CHOOSE(CONTROL!$C$32, $C$9, 100%, $E$9)</f>
        <v>14.2791</v>
      </c>
      <c r="D959" s="9">
        <f>14.28 * CHOOSE(CONTROL!$C$32, $C$9, 100%, $E$9)</f>
        <v>14.28</v>
      </c>
      <c r="E959" s="11">
        <f>16.0467 * CHOOSE(CONTROL!$C$32, $C$9, 100%, $E$9)</f>
        <v>16.046700000000001</v>
      </c>
      <c r="F959" s="11">
        <f>16.0467 * CHOOSE(CONTROL!$C$32, $C$9, 100%, $E$9)</f>
        <v>16.046700000000001</v>
      </c>
      <c r="G959" s="11">
        <f>16.0499 * CHOOSE(CONTROL!$C$32, $C$9, 100%, $E$9)</f>
        <v>16.049900000000001</v>
      </c>
      <c r="H959" s="11">
        <f>33.9122 * CHOOSE(CONTROL!$C$32, $C$9, 100%, $E$9)</f>
        <v>33.912199999999999</v>
      </c>
      <c r="I959" s="11">
        <f>33.9154 * CHOOSE(CONTROL!$C$32, $C$9, 100%, $E$9)</f>
        <v>33.915399999999998</v>
      </c>
      <c r="J959" s="11">
        <f>33.9122 * CHOOSE(CONTROL!$C$32, $C$9, 100%, $E$9)</f>
        <v>33.912199999999999</v>
      </c>
      <c r="K959" s="11">
        <f>33.9154 * CHOOSE(CONTROL!$C$32, $C$9, 100%, $E$9)</f>
        <v>33.915399999999998</v>
      </c>
      <c r="L959" s="11">
        <f>16.0467 * CHOOSE(CONTROL!$C$32, $C$9, 100%, $E$9)</f>
        <v>16.046700000000001</v>
      </c>
      <c r="M959" s="11">
        <f>16.0499 * CHOOSE(CONTROL!$C$32, $C$9, 100%, $E$9)</f>
        <v>16.049900000000001</v>
      </c>
      <c r="N959" s="11">
        <f>16.0467 * CHOOSE(CONTROL!$C$32, $C$9, 100%, $E$9)</f>
        <v>16.046700000000001</v>
      </c>
      <c r="O959" s="11">
        <f>16.0499 * CHOOSE(CONTROL!$C$32, $C$9, 100%, $E$9)</f>
        <v>16.049900000000001</v>
      </c>
    </row>
    <row r="960" spans="1:15" ht="15" x14ac:dyDescent="0.2">
      <c r="A960" s="13">
        <v>70068</v>
      </c>
      <c r="B960" s="9">
        <f>14.2821 * CHOOSE(CONTROL!$C$32, $C$9, 100%, $E$9)</f>
        <v>14.2821</v>
      </c>
      <c r="C960" s="9">
        <f>14.2821 * CHOOSE(CONTROL!$C$32, $C$9, 100%, $E$9)</f>
        <v>14.2821</v>
      </c>
      <c r="D960" s="9">
        <f>14.2831 * CHOOSE(CONTROL!$C$32, $C$9, 100%, $E$9)</f>
        <v>14.283099999999999</v>
      </c>
      <c r="E960" s="11">
        <f>16.1414 * CHOOSE(CONTROL!$C$32, $C$9, 100%, $E$9)</f>
        <v>16.141400000000001</v>
      </c>
      <c r="F960" s="11">
        <f>16.1414 * CHOOSE(CONTROL!$C$32, $C$9, 100%, $E$9)</f>
        <v>16.141400000000001</v>
      </c>
      <c r="G960" s="11">
        <f>16.1447 * CHOOSE(CONTROL!$C$32, $C$9, 100%, $E$9)</f>
        <v>16.1447</v>
      </c>
      <c r="H960" s="11">
        <f>33.9828 * CHOOSE(CONTROL!$C$32, $C$9, 100%, $E$9)</f>
        <v>33.982799999999997</v>
      </c>
      <c r="I960" s="11">
        <f>33.986 * CHOOSE(CONTROL!$C$32, $C$9, 100%, $E$9)</f>
        <v>33.985999999999997</v>
      </c>
      <c r="J960" s="11">
        <f>33.9828 * CHOOSE(CONTROL!$C$32, $C$9, 100%, $E$9)</f>
        <v>33.982799999999997</v>
      </c>
      <c r="K960" s="11">
        <f>33.986 * CHOOSE(CONTROL!$C$32, $C$9, 100%, $E$9)</f>
        <v>33.985999999999997</v>
      </c>
      <c r="L960" s="11">
        <f>16.1414 * CHOOSE(CONTROL!$C$32, $C$9, 100%, $E$9)</f>
        <v>16.141400000000001</v>
      </c>
      <c r="M960" s="11">
        <f>16.1447 * CHOOSE(CONTROL!$C$32, $C$9, 100%, $E$9)</f>
        <v>16.1447</v>
      </c>
      <c r="N960" s="11">
        <f>16.1414 * CHOOSE(CONTROL!$C$32, $C$9, 100%, $E$9)</f>
        <v>16.141400000000001</v>
      </c>
      <c r="O960" s="11">
        <f>16.1447 * CHOOSE(CONTROL!$C$32, $C$9, 100%, $E$9)</f>
        <v>16.1447</v>
      </c>
    </row>
    <row r="961" spans="1:15" ht="15" x14ac:dyDescent="0.2">
      <c r="A961" s="13">
        <v>70098</v>
      </c>
      <c r="B961" s="9">
        <f>14.2821 * CHOOSE(CONTROL!$C$32, $C$9, 100%, $E$9)</f>
        <v>14.2821</v>
      </c>
      <c r="C961" s="9">
        <f>14.2821 * CHOOSE(CONTROL!$C$32, $C$9, 100%, $E$9)</f>
        <v>14.2821</v>
      </c>
      <c r="D961" s="9">
        <f>14.2831 * CHOOSE(CONTROL!$C$32, $C$9, 100%, $E$9)</f>
        <v>14.283099999999999</v>
      </c>
      <c r="E961" s="11">
        <f>15.9098 * CHOOSE(CONTROL!$C$32, $C$9, 100%, $E$9)</f>
        <v>15.909800000000001</v>
      </c>
      <c r="F961" s="11">
        <f>15.9098 * CHOOSE(CONTROL!$C$32, $C$9, 100%, $E$9)</f>
        <v>15.909800000000001</v>
      </c>
      <c r="G961" s="11">
        <f>15.9131 * CHOOSE(CONTROL!$C$32, $C$9, 100%, $E$9)</f>
        <v>15.9131</v>
      </c>
      <c r="H961" s="11">
        <f>34.0536 * CHOOSE(CONTROL!$C$32, $C$9, 100%, $E$9)</f>
        <v>34.053600000000003</v>
      </c>
      <c r="I961" s="11">
        <f>34.0568 * CHOOSE(CONTROL!$C$32, $C$9, 100%, $E$9)</f>
        <v>34.056800000000003</v>
      </c>
      <c r="J961" s="11">
        <f>34.0536 * CHOOSE(CONTROL!$C$32, $C$9, 100%, $E$9)</f>
        <v>34.053600000000003</v>
      </c>
      <c r="K961" s="11">
        <f>34.0568 * CHOOSE(CONTROL!$C$32, $C$9, 100%, $E$9)</f>
        <v>34.056800000000003</v>
      </c>
      <c r="L961" s="11">
        <f>15.9098 * CHOOSE(CONTROL!$C$32, $C$9, 100%, $E$9)</f>
        <v>15.909800000000001</v>
      </c>
      <c r="M961" s="11">
        <f>15.9131 * CHOOSE(CONTROL!$C$32, $C$9, 100%, $E$9)</f>
        <v>15.9131</v>
      </c>
      <c r="N961" s="11">
        <f>15.9098 * CHOOSE(CONTROL!$C$32, $C$9, 100%, $E$9)</f>
        <v>15.909800000000001</v>
      </c>
      <c r="O961" s="11">
        <f>15.9131 * CHOOSE(CONTROL!$C$32, $C$9, 100%, $E$9)</f>
        <v>15.9131</v>
      </c>
    </row>
    <row r="962" spans="1:15" ht="15" x14ac:dyDescent="0.2">
      <c r="A962" s="13">
        <v>70129</v>
      </c>
      <c r="B962" s="9">
        <f>14.253 * CHOOSE(CONTROL!$C$32, $C$9, 100%, $E$9)</f>
        <v>14.253</v>
      </c>
      <c r="C962" s="9">
        <f>14.253 * CHOOSE(CONTROL!$C$32, $C$9, 100%, $E$9)</f>
        <v>14.253</v>
      </c>
      <c r="D962" s="9">
        <f>14.2539 * CHOOSE(CONTROL!$C$32, $C$9, 100%, $E$9)</f>
        <v>14.2539</v>
      </c>
      <c r="E962" s="11">
        <f>16.0456 * CHOOSE(CONTROL!$C$32, $C$9, 100%, $E$9)</f>
        <v>16.0456</v>
      </c>
      <c r="F962" s="11">
        <f>16.0456 * CHOOSE(CONTROL!$C$32, $C$9, 100%, $E$9)</f>
        <v>16.0456</v>
      </c>
      <c r="G962" s="11">
        <f>16.0488 * CHOOSE(CONTROL!$C$32, $C$9, 100%, $E$9)</f>
        <v>16.0488</v>
      </c>
      <c r="H962" s="11">
        <f>33.7547 * CHOOSE(CONTROL!$C$32, $C$9, 100%, $E$9)</f>
        <v>33.7547</v>
      </c>
      <c r="I962" s="11">
        <f>33.7579 * CHOOSE(CONTROL!$C$32, $C$9, 100%, $E$9)</f>
        <v>33.757899999999999</v>
      </c>
      <c r="J962" s="11">
        <f>33.7547 * CHOOSE(CONTROL!$C$32, $C$9, 100%, $E$9)</f>
        <v>33.7547</v>
      </c>
      <c r="K962" s="11">
        <f>33.7579 * CHOOSE(CONTROL!$C$32, $C$9, 100%, $E$9)</f>
        <v>33.757899999999999</v>
      </c>
      <c r="L962" s="11">
        <f>16.0456 * CHOOSE(CONTROL!$C$32, $C$9, 100%, $E$9)</f>
        <v>16.0456</v>
      </c>
      <c r="M962" s="11">
        <f>16.0488 * CHOOSE(CONTROL!$C$32, $C$9, 100%, $E$9)</f>
        <v>16.0488</v>
      </c>
      <c r="N962" s="11">
        <f>16.0456 * CHOOSE(CONTROL!$C$32, $C$9, 100%, $E$9)</f>
        <v>16.0456</v>
      </c>
      <c r="O962" s="11">
        <f>16.0488 * CHOOSE(CONTROL!$C$32, $C$9, 100%, $E$9)</f>
        <v>16.0488</v>
      </c>
    </row>
    <row r="963" spans="1:15" ht="15" x14ac:dyDescent="0.2">
      <c r="A963" s="13">
        <v>70160</v>
      </c>
      <c r="B963" s="9">
        <f>14.2499 * CHOOSE(CONTROL!$C$32, $C$9, 100%, $E$9)</f>
        <v>14.2499</v>
      </c>
      <c r="C963" s="9">
        <f>14.2499 * CHOOSE(CONTROL!$C$32, $C$9, 100%, $E$9)</f>
        <v>14.2499</v>
      </c>
      <c r="D963" s="9">
        <f>14.2509 * CHOOSE(CONTROL!$C$32, $C$9, 100%, $E$9)</f>
        <v>14.2509</v>
      </c>
      <c r="E963" s="11">
        <f>15.5987 * CHOOSE(CONTROL!$C$32, $C$9, 100%, $E$9)</f>
        <v>15.598699999999999</v>
      </c>
      <c r="F963" s="11">
        <f>15.5987 * CHOOSE(CONTROL!$C$32, $C$9, 100%, $E$9)</f>
        <v>15.598699999999999</v>
      </c>
      <c r="G963" s="11">
        <f>15.6019 * CHOOSE(CONTROL!$C$32, $C$9, 100%, $E$9)</f>
        <v>15.601900000000001</v>
      </c>
      <c r="H963" s="11">
        <f>33.825 * CHOOSE(CONTROL!$C$32, $C$9, 100%, $E$9)</f>
        <v>33.825000000000003</v>
      </c>
      <c r="I963" s="11">
        <f>33.8282 * CHOOSE(CONTROL!$C$32, $C$9, 100%, $E$9)</f>
        <v>33.828200000000002</v>
      </c>
      <c r="J963" s="11">
        <f>33.825 * CHOOSE(CONTROL!$C$32, $C$9, 100%, $E$9)</f>
        <v>33.825000000000003</v>
      </c>
      <c r="K963" s="11">
        <f>33.8282 * CHOOSE(CONTROL!$C$32, $C$9, 100%, $E$9)</f>
        <v>33.828200000000002</v>
      </c>
      <c r="L963" s="11">
        <f>15.5987 * CHOOSE(CONTROL!$C$32, $C$9, 100%, $E$9)</f>
        <v>15.598699999999999</v>
      </c>
      <c r="M963" s="11">
        <f>15.6019 * CHOOSE(CONTROL!$C$32, $C$9, 100%, $E$9)</f>
        <v>15.601900000000001</v>
      </c>
      <c r="N963" s="11">
        <f>15.5987 * CHOOSE(CONTROL!$C$32, $C$9, 100%, $E$9)</f>
        <v>15.598699999999999</v>
      </c>
      <c r="O963" s="11">
        <f>15.6019 * CHOOSE(CONTROL!$C$32, $C$9, 100%, $E$9)</f>
        <v>15.601900000000001</v>
      </c>
    </row>
    <row r="964" spans="1:15" ht="15" x14ac:dyDescent="0.2">
      <c r="A964" s="13">
        <v>70189</v>
      </c>
      <c r="B964" s="9">
        <f>14.2469 * CHOOSE(CONTROL!$C$32, $C$9, 100%, $E$9)</f>
        <v>14.2469</v>
      </c>
      <c r="C964" s="9">
        <f>14.2469 * CHOOSE(CONTROL!$C$32, $C$9, 100%, $E$9)</f>
        <v>14.2469</v>
      </c>
      <c r="D964" s="9">
        <f>14.2478 * CHOOSE(CONTROL!$C$32, $C$9, 100%, $E$9)</f>
        <v>14.2478</v>
      </c>
      <c r="E964" s="11">
        <f>15.9472 * CHOOSE(CONTROL!$C$32, $C$9, 100%, $E$9)</f>
        <v>15.9472</v>
      </c>
      <c r="F964" s="11">
        <f>15.9472 * CHOOSE(CONTROL!$C$32, $C$9, 100%, $E$9)</f>
        <v>15.9472</v>
      </c>
      <c r="G964" s="11">
        <f>15.9505 * CHOOSE(CONTROL!$C$32, $C$9, 100%, $E$9)</f>
        <v>15.9505</v>
      </c>
      <c r="H964" s="11">
        <f>33.8955 * CHOOSE(CONTROL!$C$32, $C$9, 100%, $E$9)</f>
        <v>33.895499999999998</v>
      </c>
      <c r="I964" s="11">
        <f>33.8987 * CHOOSE(CONTROL!$C$32, $C$9, 100%, $E$9)</f>
        <v>33.898699999999998</v>
      </c>
      <c r="J964" s="11">
        <f>33.8955 * CHOOSE(CONTROL!$C$32, $C$9, 100%, $E$9)</f>
        <v>33.895499999999998</v>
      </c>
      <c r="K964" s="11">
        <f>33.8987 * CHOOSE(CONTROL!$C$32, $C$9, 100%, $E$9)</f>
        <v>33.898699999999998</v>
      </c>
      <c r="L964" s="11">
        <f>15.9472 * CHOOSE(CONTROL!$C$32, $C$9, 100%, $E$9)</f>
        <v>15.9472</v>
      </c>
      <c r="M964" s="11">
        <f>15.9505 * CHOOSE(CONTROL!$C$32, $C$9, 100%, $E$9)</f>
        <v>15.9505</v>
      </c>
      <c r="N964" s="11">
        <f>15.9472 * CHOOSE(CONTROL!$C$32, $C$9, 100%, $E$9)</f>
        <v>15.9472</v>
      </c>
      <c r="O964" s="11">
        <f>15.9505 * CHOOSE(CONTROL!$C$32, $C$9, 100%, $E$9)</f>
        <v>15.9505</v>
      </c>
    </row>
    <row r="965" spans="1:15" ht="15" x14ac:dyDescent="0.2">
      <c r="A965" s="13">
        <v>70220</v>
      </c>
      <c r="B965" s="9">
        <f>14.2545 * CHOOSE(CONTROL!$C$32, $C$9, 100%, $E$9)</f>
        <v>14.2545</v>
      </c>
      <c r="C965" s="9">
        <f>14.2545 * CHOOSE(CONTROL!$C$32, $C$9, 100%, $E$9)</f>
        <v>14.2545</v>
      </c>
      <c r="D965" s="9">
        <f>14.2554 * CHOOSE(CONTROL!$C$32, $C$9, 100%, $E$9)</f>
        <v>14.2554</v>
      </c>
      <c r="E965" s="11">
        <f>16.3196 * CHOOSE(CONTROL!$C$32, $C$9, 100%, $E$9)</f>
        <v>16.319600000000001</v>
      </c>
      <c r="F965" s="11">
        <f>16.3196 * CHOOSE(CONTROL!$C$32, $C$9, 100%, $E$9)</f>
        <v>16.319600000000001</v>
      </c>
      <c r="G965" s="11">
        <f>16.3228 * CHOOSE(CONTROL!$C$32, $C$9, 100%, $E$9)</f>
        <v>16.322800000000001</v>
      </c>
      <c r="H965" s="11">
        <f>33.9661 * CHOOSE(CONTROL!$C$32, $C$9, 100%, $E$9)</f>
        <v>33.966099999999997</v>
      </c>
      <c r="I965" s="11">
        <f>33.9693 * CHOOSE(CONTROL!$C$32, $C$9, 100%, $E$9)</f>
        <v>33.969299999999997</v>
      </c>
      <c r="J965" s="11">
        <f>33.9661 * CHOOSE(CONTROL!$C$32, $C$9, 100%, $E$9)</f>
        <v>33.966099999999997</v>
      </c>
      <c r="K965" s="11">
        <f>33.9693 * CHOOSE(CONTROL!$C$32, $C$9, 100%, $E$9)</f>
        <v>33.969299999999997</v>
      </c>
      <c r="L965" s="11">
        <f>16.3196 * CHOOSE(CONTROL!$C$32, $C$9, 100%, $E$9)</f>
        <v>16.319600000000001</v>
      </c>
      <c r="M965" s="11">
        <f>16.3228 * CHOOSE(CONTROL!$C$32, $C$9, 100%, $E$9)</f>
        <v>16.322800000000001</v>
      </c>
      <c r="N965" s="11">
        <f>16.3196 * CHOOSE(CONTROL!$C$32, $C$9, 100%, $E$9)</f>
        <v>16.319600000000001</v>
      </c>
      <c r="O965" s="11">
        <f>16.3228 * CHOOSE(CONTROL!$C$32, $C$9, 100%, $E$9)</f>
        <v>16.322800000000001</v>
      </c>
    </row>
    <row r="966" spans="1:15" ht="15" x14ac:dyDescent="0.2">
      <c r="A966" s="13">
        <v>70250</v>
      </c>
      <c r="B966" s="9">
        <f>14.2545 * CHOOSE(CONTROL!$C$32, $C$9, 100%, $E$9)</f>
        <v>14.2545</v>
      </c>
      <c r="C966" s="9">
        <f>14.2545 * CHOOSE(CONTROL!$C$32, $C$9, 100%, $E$9)</f>
        <v>14.2545</v>
      </c>
      <c r="D966" s="9">
        <f>14.2557 * CHOOSE(CONTROL!$C$32, $C$9, 100%, $E$9)</f>
        <v>14.255699999999999</v>
      </c>
      <c r="E966" s="11">
        <f>16.4608 * CHOOSE(CONTROL!$C$32, $C$9, 100%, $E$9)</f>
        <v>16.460799999999999</v>
      </c>
      <c r="F966" s="11">
        <f>16.4608 * CHOOSE(CONTROL!$C$32, $C$9, 100%, $E$9)</f>
        <v>16.460799999999999</v>
      </c>
      <c r="G966" s="11">
        <f>16.465 * CHOOSE(CONTROL!$C$32, $C$9, 100%, $E$9)</f>
        <v>16.465</v>
      </c>
      <c r="H966" s="11">
        <f>34.0368 * CHOOSE(CONTROL!$C$32, $C$9, 100%, $E$9)</f>
        <v>34.036799999999999</v>
      </c>
      <c r="I966" s="11">
        <f>34.0411 * CHOOSE(CONTROL!$C$32, $C$9, 100%, $E$9)</f>
        <v>34.0411</v>
      </c>
      <c r="J966" s="11">
        <f>34.0368 * CHOOSE(CONTROL!$C$32, $C$9, 100%, $E$9)</f>
        <v>34.036799999999999</v>
      </c>
      <c r="K966" s="11">
        <f>34.0411 * CHOOSE(CONTROL!$C$32, $C$9, 100%, $E$9)</f>
        <v>34.0411</v>
      </c>
      <c r="L966" s="11">
        <f>16.4608 * CHOOSE(CONTROL!$C$32, $C$9, 100%, $E$9)</f>
        <v>16.460799999999999</v>
      </c>
      <c r="M966" s="11">
        <f>16.465 * CHOOSE(CONTROL!$C$32, $C$9, 100%, $E$9)</f>
        <v>16.465</v>
      </c>
      <c r="N966" s="11">
        <f>16.4608 * CHOOSE(CONTROL!$C$32, $C$9, 100%, $E$9)</f>
        <v>16.460799999999999</v>
      </c>
      <c r="O966" s="11">
        <f>16.465 * CHOOSE(CONTROL!$C$32, $C$9, 100%, $E$9)</f>
        <v>16.465</v>
      </c>
    </row>
    <row r="967" spans="1:15" ht="15" x14ac:dyDescent="0.2">
      <c r="A967" s="13">
        <v>70281</v>
      </c>
      <c r="B967" s="9">
        <f>14.2606 * CHOOSE(CONTROL!$C$32, $C$9, 100%, $E$9)</f>
        <v>14.2606</v>
      </c>
      <c r="C967" s="9">
        <f>14.2606 * CHOOSE(CONTROL!$C$32, $C$9, 100%, $E$9)</f>
        <v>14.2606</v>
      </c>
      <c r="D967" s="9">
        <f>14.2618 * CHOOSE(CONTROL!$C$32, $C$9, 100%, $E$9)</f>
        <v>14.261799999999999</v>
      </c>
      <c r="E967" s="11">
        <f>16.3238 * CHOOSE(CONTROL!$C$32, $C$9, 100%, $E$9)</f>
        <v>16.323799999999999</v>
      </c>
      <c r="F967" s="11">
        <f>16.3238 * CHOOSE(CONTROL!$C$32, $C$9, 100%, $E$9)</f>
        <v>16.323799999999999</v>
      </c>
      <c r="G967" s="11">
        <f>16.328 * CHOOSE(CONTROL!$C$32, $C$9, 100%, $E$9)</f>
        <v>16.327999999999999</v>
      </c>
      <c r="H967" s="11">
        <f>34.1078 * CHOOSE(CONTROL!$C$32, $C$9, 100%, $E$9)</f>
        <v>34.107799999999997</v>
      </c>
      <c r="I967" s="11">
        <f>34.112 * CHOOSE(CONTROL!$C$32, $C$9, 100%, $E$9)</f>
        <v>34.112000000000002</v>
      </c>
      <c r="J967" s="11">
        <f>34.1078 * CHOOSE(CONTROL!$C$32, $C$9, 100%, $E$9)</f>
        <v>34.107799999999997</v>
      </c>
      <c r="K967" s="11">
        <f>34.112 * CHOOSE(CONTROL!$C$32, $C$9, 100%, $E$9)</f>
        <v>34.112000000000002</v>
      </c>
      <c r="L967" s="11">
        <f>16.3238 * CHOOSE(CONTROL!$C$32, $C$9, 100%, $E$9)</f>
        <v>16.323799999999999</v>
      </c>
      <c r="M967" s="11">
        <f>16.328 * CHOOSE(CONTROL!$C$32, $C$9, 100%, $E$9)</f>
        <v>16.327999999999999</v>
      </c>
      <c r="N967" s="11">
        <f>16.3238 * CHOOSE(CONTROL!$C$32, $C$9, 100%, $E$9)</f>
        <v>16.323799999999999</v>
      </c>
      <c r="O967" s="11">
        <f>16.328 * CHOOSE(CONTROL!$C$32, $C$9, 100%, $E$9)</f>
        <v>16.327999999999999</v>
      </c>
    </row>
    <row r="968" spans="1:15" ht="15" x14ac:dyDescent="0.2">
      <c r="A968" s="13">
        <v>70311</v>
      </c>
      <c r="B968" s="9">
        <f>14.4317 * CHOOSE(CONTROL!$C$32, $C$9, 100%, $E$9)</f>
        <v>14.431699999999999</v>
      </c>
      <c r="C968" s="9">
        <f>14.4317 * CHOOSE(CONTROL!$C$32, $C$9, 100%, $E$9)</f>
        <v>14.431699999999999</v>
      </c>
      <c r="D968" s="9">
        <f>14.4329 * CHOOSE(CONTROL!$C$32, $C$9, 100%, $E$9)</f>
        <v>14.4329</v>
      </c>
      <c r="E968" s="11">
        <f>16.5557 * CHOOSE(CONTROL!$C$32, $C$9, 100%, $E$9)</f>
        <v>16.555700000000002</v>
      </c>
      <c r="F968" s="11">
        <f>16.5557 * CHOOSE(CONTROL!$C$32, $C$9, 100%, $E$9)</f>
        <v>16.555700000000002</v>
      </c>
      <c r="G968" s="11">
        <f>16.5599 * CHOOSE(CONTROL!$C$32, $C$9, 100%, $E$9)</f>
        <v>16.559899999999999</v>
      </c>
      <c r="H968" s="11">
        <f>34.1788 * CHOOSE(CONTROL!$C$32, $C$9, 100%, $E$9)</f>
        <v>34.178800000000003</v>
      </c>
      <c r="I968" s="11">
        <f>34.183 * CHOOSE(CONTROL!$C$32, $C$9, 100%, $E$9)</f>
        <v>34.183</v>
      </c>
      <c r="J968" s="11">
        <f>34.1788 * CHOOSE(CONTROL!$C$32, $C$9, 100%, $E$9)</f>
        <v>34.178800000000003</v>
      </c>
      <c r="K968" s="11">
        <f>34.183 * CHOOSE(CONTROL!$C$32, $C$9, 100%, $E$9)</f>
        <v>34.183</v>
      </c>
      <c r="L968" s="11">
        <f>16.5557 * CHOOSE(CONTROL!$C$32, $C$9, 100%, $E$9)</f>
        <v>16.555700000000002</v>
      </c>
      <c r="M968" s="11">
        <f>16.5599 * CHOOSE(CONTROL!$C$32, $C$9, 100%, $E$9)</f>
        <v>16.559899999999999</v>
      </c>
      <c r="N968" s="11">
        <f>16.5557 * CHOOSE(CONTROL!$C$32, $C$9, 100%, $E$9)</f>
        <v>16.555700000000002</v>
      </c>
      <c r="O968" s="11">
        <f>16.5599 * CHOOSE(CONTROL!$C$32, $C$9, 100%, $E$9)</f>
        <v>16.559899999999999</v>
      </c>
    </row>
    <row r="969" spans="1:15" ht="15" x14ac:dyDescent="0.2">
      <c r="A969" s="13">
        <v>70342</v>
      </c>
      <c r="B969" s="9">
        <f>14.4384 * CHOOSE(CONTROL!$C$32, $C$9, 100%, $E$9)</f>
        <v>14.4384</v>
      </c>
      <c r="C969" s="9">
        <f>14.4384 * CHOOSE(CONTROL!$C$32, $C$9, 100%, $E$9)</f>
        <v>14.4384</v>
      </c>
      <c r="D969" s="9">
        <f>14.4396 * CHOOSE(CONTROL!$C$32, $C$9, 100%, $E$9)</f>
        <v>14.4396</v>
      </c>
      <c r="E969" s="11">
        <f>16.1367 * CHOOSE(CONTROL!$C$32, $C$9, 100%, $E$9)</f>
        <v>16.136700000000001</v>
      </c>
      <c r="F969" s="11">
        <f>16.1367 * CHOOSE(CONTROL!$C$32, $C$9, 100%, $E$9)</f>
        <v>16.136700000000001</v>
      </c>
      <c r="G969" s="11">
        <f>16.1409 * CHOOSE(CONTROL!$C$32, $C$9, 100%, $E$9)</f>
        <v>16.140899999999998</v>
      </c>
      <c r="H969" s="11">
        <f>34.25 * CHOOSE(CONTROL!$C$32, $C$9, 100%, $E$9)</f>
        <v>34.25</v>
      </c>
      <c r="I969" s="11">
        <f>34.2542 * CHOOSE(CONTROL!$C$32, $C$9, 100%, $E$9)</f>
        <v>34.254199999999997</v>
      </c>
      <c r="J969" s="11">
        <f>34.25 * CHOOSE(CONTROL!$C$32, $C$9, 100%, $E$9)</f>
        <v>34.25</v>
      </c>
      <c r="K969" s="11">
        <f>34.2542 * CHOOSE(CONTROL!$C$32, $C$9, 100%, $E$9)</f>
        <v>34.254199999999997</v>
      </c>
      <c r="L969" s="11">
        <f>16.1367 * CHOOSE(CONTROL!$C$32, $C$9, 100%, $E$9)</f>
        <v>16.136700000000001</v>
      </c>
      <c r="M969" s="11">
        <f>16.1409 * CHOOSE(CONTROL!$C$32, $C$9, 100%, $E$9)</f>
        <v>16.140899999999998</v>
      </c>
      <c r="N969" s="11">
        <f>16.1367 * CHOOSE(CONTROL!$C$32, $C$9, 100%, $E$9)</f>
        <v>16.136700000000001</v>
      </c>
      <c r="O969" s="11">
        <f>16.1409 * CHOOSE(CONTROL!$C$32, $C$9, 100%, $E$9)</f>
        <v>16.140899999999998</v>
      </c>
    </row>
    <row r="970" spans="1:15" ht="15" x14ac:dyDescent="0.2">
      <c r="A970" s="13">
        <v>70373</v>
      </c>
      <c r="B970" s="9">
        <f>14.4353 * CHOOSE(CONTROL!$C$32, $C$9, 100%, $E$9)</f>
        <v>14.4353</v>
      </c>
      <c r="C970" s="9">
        <f>14.4353 * CHOOSE(CONTROL!$C$32, $C$9, 100%, $E$9)</f>
        <v>14.4353</v>
      </c>
      <c r="D970" s="9">
        <f>14.4366 * CHOOSE(CONTROL!$C$32, $C$9, 100%, $E$9)</f>
        <v>14.4366</v>
      </c>
      <c r="E970" s="11">
        <f>16.0875 * CHOOSE(CONTROL!$C$32, $C$9, 100%, $E$9)</f>
        <v>16.087499999999999</v>
      </c>
      <c r="F970" s="11">
        <f>16.0875 * CHOOSE(CONTROL!$C$32, $C$9, 100%, $E$9)</f>
        <v>16.087499999999999</v>
      </c>
      <c r="G970" s="11">
        <f>16.0917 * CHOOSE(CONTROL!$C$32, $C$9, 100%, $E$9)</f>
        <v>16.091699999999999</v>
      </c>
      <c r="H970" s="11">
        <f>34.3214 * CHOOSE(CONTROL!$C$32, $C$9, 100%, $E$9)</f>
        <v>34.321399999999997</v>
      </c>
      <c r="I970" s="11">
        <f>34.3256 * CHOOSE(CONTROL!$C$32, $C$9, 100%, $E$9)</f>
        <v>34.325600000000001</v>
      </c>
      <c r="J970" s="11">
        <f>34.3214 * CHOOSE(CONTROL!$C$32, $C$9, 100%, $E$9)</f>
        <v>34.321399999999997</v>
      </c>
      <c r="K970" s="11">
        <f>34.3256 * CHOOSE(CONTROL!$C$32, $C$9, 100%, $E$9)</f>
        <v>34.325600000000001</v>
      </c>
      <c r="L970" s="11">
        <f>16.0875 * CHOOSE(CONTROL!$C$32, $C$9, 100%, $E$9)</f>
        <v>16.087499999999999</v>
      </c>
      <c r="M970" s="11">
        <f>16.0917 * CHOOSE(CONTROL!$C$32, $C$9, 100%, $E$9)</f>
        <v>16.091699999999999</v>
      </c>
      <c r="N970" s="11">
        <f>16.0875 * CHOOSE(CONTROL!$C$32, $C$9, 100%, $E$9)</f>
        <v>16.087499999999999</v>
      </c>
      <c r="O970" s="11">
        <f>16.0917 * CHOOSE(CONTROL!$C$32, $C$9, 100%, $E$9)</f>
        <v>16.091699999999999</v>
      </c>
    </row>
    <row r="971" spans="1:15" ht="15" x14ac:dyDescent="0.2">
      <c r="A971" s="13">
        <v>70403</v>
      </c>
      <c r="B971" s="9">
        <f>14.4694 * CHOOSE(CONTROL!$C$32, $C$9, 100%, $E$9)</f>
        <v>14.4694</v>
      </c>
      <c r="C971" s="9">
        <f>14.4694 * CHOOSE(CONTROL!$C$32, $C$9, 100%, $E$9)</f>
        <v>14.4694</v>
      </c>
      <c r="D971" s="9">
        <f>14.4704 * CHOOSE(CONTROL!$C$32, $C$9, 100%, $E$9)</f>
        <v>14.4704</v>
      </c>
      <c r="E971" s="11">
        <f>16.2624 * CHOOSE(CONTROL!$C$32, $C$9, 100%, $E$9)</f>
        <v>16.2624</v>
      </c>
      <c r="F971" s="11">
        <f>16.2624 * CHOOSE(CONTROL!$C$32, $C$9, 100%, $E$9)</f>
        <v>16.2624</v>
      </c>
      <c r="G971" s="11">
        <f>16.2656 * CHOOSE(CONTROL!$C$32, $C$9, 100%, $E$9)</f>
        <v>16.265599999999999</v>
      </c>
      <c r="H971" s="11">
        <f>34.3929 * CHOOSE(CONTROL!$C$32, $C$9, 100%, $E$9)</f>
        <v>34.392899999999997</v>
      </c>
      <c r="I971" s="11">
        <f>34.3961 * CHOOSE(CONTROL!$C$32, $C$9, 100%, $E$9)</f>
        <v>34.396099999999997</v>
      </c>
      <c r="J971" s="11">
        <f>34.3929 * CHOOSE(CONTROL!$C$32, $C$9, 100%, $E$9)</f>
        <v>34.392899999999997</v>
      </c>
      <c r="K971" s="11">
        <f>34.3961 * CHOOSE(CONTROL!$C$32, $C$9, 100%, $E$9)</f>
        <v>34.396099999999997</v>
      </c>
      <c r="L971" s="11">
        <f>16.2624 * CHOOSE(CONTROL!$C$32, $C$9, 100%, $E$9)</f>
        <v>16.2624</v>
      </c>
      <c r="M971" s="11">
        <f>16.2656 * CHOOSE(CONTROL!$C$32, $C$9, 100%, $E$9)</f>
        <v>16.265599999999999</v>
      </c>
      <c r="N971" s="11">
        <f>16.2624 * CHOOSE(CONTROL!$C$32, $C$9, 100%, $E$9)</f>
        <v>16.2624</v>
      </c>
      <c r="O971" s="11">
        <f>16.2656 * CHOOSE(CONTROL!$C$32, $C$9, 100%, $E$9)</f>
        <v>16.265599999999999</v>
      </c>
    </row>
    <row r="972" spans="1:15" ht="15" x14ac:dyDescent="0.2">
      <c r="A972" s="13">
        <v>70434</v>
      </c>
      <c r="B972" s="9">
        <f>14.4724 * CHOOSE(CONTROL!$C$32, $C$9, 100%, $E$9)</f>
        <v>14.4724</v>
      </c>
      <c r="C972" s="9">
        <f>14.4724 * CHOOSE(CONTROL!$C$32, $C$9, 100%, $E$9)</f>
        <v>14.4724</v>
      </c>
      <c r="D972" s="9">
        <f>14.4734 * CHOOSE(CONTROL!$C$32, $C$9, 100%, $E$9)</f>
        <v>14.4734</v>
      </c>
      <c r="E972" s="11">
        <f>16.3586 * CHOOSE(CONTROL!$C$32, $C$9, 100%, $E$9)</f>
        <v>16.358599999999999</v>
      </c>
      <c r="F972" s="11">
        <f>16.3586 * CHOOSE(CONTROL!$C$32, $C$9, 100%, $E$9)</f>
        <v>16.358599999999999</v>
      </c>
      <c r="G972" s="11">
        <f>16.3619 * CHOOSE(CONTROL!$C$32, $C$9, 100%, $E$9)</f>
        <v>16.361899999999999</v>
      </c>
      <c r="H972" s="11">
        <f>34.4645 * CHOOSE(CONTROL!$C$32, $C$9, 100%, $E$9)</f>
        <v>34.464500000000001</v>
      </c>
      <c r="I972" s="11">
        <f>34.4678 * CHOOSE(CONTROL!$C$32, $C$9, 100%, $E$9)</f>
        <v>34.467799999999997</v>
      </c>
      <c r="J972" s="11">
        <f>34.4645 * CHOOSE(CONTROL!$C$32, $C$9, 100%, $E$9)</f>
        <v>34.464500000000001</v>
      </c>
      <c r="K972" s="11">
        <f>34.4678 * CHOOSE(CONTROL!$C$32, $C$9, 100%, $E$9)</f>
        <v>34.467799999999997</v>
      </c>
      <c r="L972" s="11">
        <f>16.3586 * CHOOSE(CONTROL!$C$32, $C$9, 100%, $E$9)</f>
        <v>16.358599999999999</v>
      </c>
      <c r="M972" s="11">
        <f>16.3619 * CHOOSE(CONTROL!$C$32, $C$9, 100%, $E$9)</f>
        <v>16.361899999999999</v>
      </c>
      <c r="N972" s="11">
        <f>16.3586 * CHOOSE(CONTROL!$C$32, $C$9, 100%, $E$9)</f>
        <v>16.358599999999999</v>
      </c>
      <c r="O972" s="11">
        <f>16.3619 * CHOOSE(CONTROL!$C$32, $C$9, 100%, $E$9)</f>
        <v>16.361899999999999</v>
      </c>
    </row>
    <row r="973" spans="1:15" ht="15" x14ac:dyDescent="0.2">
      <c r="A973" s="13">
        <v>70464</v>
      </c>
      <c r="B973" s="9">
        <f>14.4724 * CHOOSE(CONTROL!$C$32, $C$9, 100%, $E$9)</f>
        <v>14.4724</v>
      </c>
      <c r="C973" s="9">
        <f>14.4724 * CHOOSE(CONTROL!$C$32, $C$9, 100%, $E$9)</f>
        <v>14.4724</v>
      </c>
      <c r="D973" s="9">
        <f>14.4734 * CHOOSE(CONTROL!$C$32, $C$9, 100%, $E$9)</f>
        <v>14.4734</v>
      </c>
      <c r="E973" s="11">
        <f>16.1233 * CHOOSE(CONTROL!$C$32, $C$9, 100%, $E$9)</f>
        <v>16.1233</v>
      </c>
      <c r="F973" s="11">
        <f>16.1233 * CHOOSE(CONTROL!$C$32, $C$9, 100%, $E$9)</f>
        <v>16.1233</v>
      </c>
      <c r="G973" s="11">
        <f>16.1265 * CHOOSE(CONTROL!$C$32, $C$9, 100%, $E$9)</f>
        <v>16.1265</v>
      </c>
      <c r="H973" s="11">
        <f>34.5363 * CHOOSE(CONTROL!$C$32, $C$9, 100%, $E$9)</f>
        <v>34.536299999999997</v>
      </c>
      <c r="I973" s="11">
        <f>34.5396 * CHOOSE(CONTROL!$C$32, $C$9, 100%, $E$9)</f>
        <v>34.5396</v>
      </c>
      <c r="J973" s="11">
        <f>34.5363 * CHOOSE(CONTROL!$C$32, $C$9, 100%, $E$9)</f>
        <v>34.536299999999997</v>
      </c>
      <c r="K973" s="11">
        <f>34.5396 * CHOOSE(CONTROL!$C$32, $C$9, 100%, $E$9)</f>
        <v>34.5396</v>
      </c>
      <c r="L973" s="11">
        <f>16.1233 * CHOOSE(CONTROL!$C$32, $C$9, 100%, $E$9)</f>
        <v>16.1233</v>
      </c>
      <c r="M973" s="11">
        <f>16.1265 * CHOOSE(CONTROL!$C$32, $C$9, 100%, $E$9)</f>
        <v>16.1265</v>
      </c>
      <c r="N973" s="11">
        <f>16.1233 * CHOOSE(CONTROL!$C$32, $C$9, 100%, $E$9)</f>
        <v>16.1233</v>
      </c>
      <c r="O973" s="11">
        <f>16.1265 * CHOOSE(CONTROL!$C$32, $C$9, 100%, $E$9)</f>
        <v>16.1265</v>
      </c>
    </row>
    <row r="974" spans="1:15" ht="15" x14ac:dyDescent="0.2">
      <c r="A974" s="13">
        <v>70495</v>
      </c>
      <c r="B974" s="9">
        <f>14.4403 * CHOOSE(CONTROL!$C$32, $C$9, 100%, $E$9)</f>
        <v>14.440300000000001</v>
      </c>
      <c r="C974" s="9">
        <f>14.4403 * CHOOSE(CONTROL!$C$32, $C$9, 100%, $E$9)</f>
        <v>14.440300000000001</v>
      </c>
      <c r="D974" s="9">
        <f>14.4413 * CHOOSE(CONTROL!$C$32, $C$9, 100%, $E$9)</f>
        <v>14.4413</v>
      </c>
      <c r="E974" s="11">
        <f>16.2581 * CHOOSE(CONTROL!$C$32, $C$9, 100%, $E$9)</f>
        <v>16.258099999999999</v>
      </c>
      <c r="F974" s="11">
        <f>16.2581 * CHOOSE(CONTROL!$C$32, $C$9, 100%, $E$9)</f>
        <v>16.258099999999999</v>
      </c>
      <c r="G974" s="11">
        <f>16.2613 * CHOOSE(CONTROL!$C$32, $C$9, 100%, $E$9)</f>
        <v>16.261299999999999</v>
      </c>
      <c r="H974" s="11">
        <f>34.2265 * CHOOSE(CONTROL!$C$32, $C$9, 100%, $E$9)</f>
        <v>34.226500000000001</v>
      </c>
      <c r="I974" s="11">
        <f>34.2297 * CHOOSE(CONTROL!$C$32, $C$9, 100%, $E$9)</f>
        <v>34.229700000000001</v>
      </c>
      <c r="J974" s="11">
        <f>34.2265 * CHOOSE(CONTROL!$C$32, $C$9, 100%, $E$9)</f>
        <v>34.226500000000001</v>
      </c>
      <c r="K974" s="11">
        <f>34.2297 * CHOOSE(CONTROL!$C$32, $C$9, 100%, $E$9)</f>
        <v>34.229700000000001</v>
      </c>
      <c r="L974" s="11">
        <f>16.2581 * CHOOSE(CONTROL!$C$32, $C$9, 100%, $E$9)</f>
        <v>16.258099999999999</v>
      </c>
      <c r="M974" s="11">
        <f>16.2613 * CHOOSE(CONTROL!$C$32, $C$9, 100%, $E$9)</f>
        <v>16.261299999999999</v>
      </c>
      <c r="N974" s="11">
        <f>16.2581 * CHOOSE(CONTROL!$C$32, $C$9, 100%, $E$9)</f>
        <v>16.258099999999999</v>
      </c>
      <c r="O974" s="11">
        <f>16.2613 * CHOOSE(CONTROL!$C$32, $C$9, 100%, $E$9)</f>
        <v>16.261299999999999</v>
      </c>
    </row>
    <row r="975" spans="1:15" ht="15" x14ac:dyDescent="0.2">
      <c r="A975" s="13">
        <v>70526</v>
      </c>
      <c r="B975" s="9">
        <f>14.4373 * CHOOSE(CONTROL!$C$32, $C$9, 100%, $E$9)</f>
        <v>14.4373</v>
      </c>
      <c r="C975" s="9">
        <f>14.4373 * CHOOSE(CONTROL!$C$32, $C$9, 100%, $E$9)</f>
        <v>14.4373</v>
      </c>
      <c r="D975" s="9">
        <f>14.4382 * CHOOSE(CONTROL!$C$32, $C$9, 100%, $E$9)</f>
        <v>14.4382</v>
      </c>
      <c r="E975" s="11">
        <f>15.8041 * CHOOSE(CONTROL!$C$32, $C$9, 100%, $E$9)</f>
        <v>15.8041</v>
      </c>
      <c r="F975" s="11">
        <f>15.8041 * CHOOSE(CONTROL!$C$32, $C$9, 100%, $E$9)</f>
        <v>15.8041</v>
      </c>
      <c r="G975" s="11">
        <f>15.8073 * CHOOSE(CONTROL!$C$32, $C$9, 100%, $E$9)</f>
        <v>15.8073</v>
      </c>
      <c r="H975" s="11">
        <f>34.2978 * CHOOSE(CONTROL!$C$32, $C$9, 100%, $E$9)</f>
        <v>34.297800000000002</v>
      </c>
      <c r="I975" s="11">
        <f>34.301 * CHOOSE(CONTROL!$C$32, $C$9, 100%, $E$9)</f>
        <v>34.301000000000002</v>
      </c>
      <c r="J975" s="11">
        <f>34.2978 * CHOOSE(CONTROL!$C$32, $C$9, 100%, $E$9)</f>
        <v>34.297800000000002</v>
      </c>
      <c r="K975" s="11">
        <f>34.301 * CHOOSE(CONTROL!$C$32, $C$9, 100%, $E$9)</f>
        <v>34.301000000000002</v>
      </c>
      <c r="L975" s="11">
        <f>15.8041 * CHOOSE(CONTROL!$C$32, $C$9, 100%, $E$9)</f>
        <v>15.8041</v>
      </c>
      <c r="M975" s="11">
        <f>15.8073 * CHOOSE(CONTROL!$C$32, $C$9, 100%, $E$9)</f>
        <v>15.8073</v>
      </c>
      <c r="N975" s="11">
        <f>15.8041 * CHOOSE(CONTROL!$C$32, $C$9, 100%, $E$9)</f>
        <v>15.8041</v>
      </c>
      <c r="O975" s="11">
        <f>15.8073 * CHOOSE(CONTROL!$C$32, $C$9, 100%, $E$9)</f>
        <v>15.8073</v>
      </c>
    </row>
    <row r="976" spans="1:15" ht="15" x14ac:dyDescent="0.2">
      <c r="A976" s="13">
        <v>70554</v>
      </c>
      <c r="B976" s="9">
        <f>14.4342 * CHOOSE(CONTROL!$C$32, $C$9, 100%, $E$9)</f>
        <v>14.434200000000001</v>
      </c>
      <c r="C976" s="9">
        <f>14.4342 * CHOOSE(CONTROL!$C$32, $C$9, 100%, $E$9)</f>
        <v>14.434200000000001</v>
      </c>
      <c r="D976" s="9">
        <f>14.4352 * CHOOSE(CONTROL!$C$32, $C$9, 100%, $E$9)</f>
        <v>14.4352</v>
      </c>
      <c r="E976" s="11">
        <f>16.1582 * CHOOSE(CONTROL!$C$32, $C$9, 100%, $E$9)</f>
        <v>16.158200000000001</v>
      </c>
      <c r="F976" s="11">
        <f>16.1582 * CHOOSE(CONTROL!$C$32, $C$9, 100%, $E$9)</f>
        <v>16.158200000000001</v>
      </c>
      <c r="G976" s="11">
        <f>16.1615 * CHOOSE(CONTROL!$C$32, $C$9, 100%, $E$9)</f>
        <v>16.1615</v>
      </c>
      <c r="H976" s="11">
        <f>34.3692 * CHOOSE(CONTROL!$C$32, $C$9, 100%, $E$9)</f>
        <v>34.369199999999999</v>
      </c>
      <c r="I976" s="11">
        <f>34.3725 * CHOOSE(CONTROL!$C$32, $C$9, 100%, $E$9)</f>
        <v>34.372500000000002</v>
      </c>
      <c r="J976" s="11">
        <f>34.3692 * CHOOSE(CONTROL!$C$32, $C$9, 100%, $E$9)</f>
        <v>34.369199999999999</v>
      </c>
      <c r="K976" s="11">
        <f>34.3725 * CHOOSE(CONTROL!$C$32, $C$9, 100%, $E$9)</f>
        <v>34.372500000000002</v>
      </c>
      <c r="L976" s="11">
        <f>16.1582 * CHOOSE(CONTROL!$C$32, $C$9, 100%, $E$9)</f>
        <v>16.158200000000001</v>
      </c>
      <c r="M976" s="11">
        <f>16.1615 * CHOOSE(CONTROL!$C$32, $C$9, 100%, $E$9)</f>
        <v>16.1615</v>
      </c>
      <c r="N976" s="11">
        <f>16.1582 * CHOOSE(CONTROL!$C$32, $C$9, 100%, $E$9)</f>
        <v>16.158200000000001</v>
      </c>
      <c r="O976" s="11">
        <f>16.1615 * CHOOSE(CONTROL!$C$32, $C$9, 100%, $E$9)</f>
        <v>16.1615</v>
      </c>
    </row>
    <row r="977" spans="1:15" ht="15" x14ac:dyDescent="0.2">
      <c r="A977" s="13">
        <v>70585</v>
      </c>
      <c r="B977" s="9">
        <f>14.442 * CHOOSE(CONTROL!$C$32, $C$9, 100%, $E$9)</f>
        <v>14.442</v>
      </c>
      <c r="C977" s="9">
        <f>14.442 * CHOOSE(CONTROL!$C$32, $C$9, 100%, $E$9)</f>
        <v>14.442</v>
      </c>
      <c r="D977" s="9">
        <f>14.443 * CHOOSE(CONTROL!$C$32, $C$9, 100%, $E$9)</f>
        <v>14.443</v>
      </c>
      <c r="E977" s="11">
        <f>16.5366 * CHOOSE(CONTROL!$C$32, $C$9, 100%, $E$9)</f>
        <v>16.5366</v>
      </c>
      <c r="F977" s="11">
        <f>16.5366 * CHOOSE(CONTROL!$C$32, $C$9, 100%, $E$9)</f>
        <v>16.5366</v>
      </c>
      <c r="G977" s="11">
        <f>16.5398 * CHOOSE(CONTROL!$C$32, $C$9, 100%, $E$9)</f>
        <v>16.5398</v>
      </c>
      <c r="H977" s="11">
        <f>34.4408 * CHOOSE(CONTROL!$C$32, $C$9, 100%, $E$9)</f>
        <v>34.440800000000003</v>
      </c>
      <c r="I977" s="11">
        <f>34.4441 * CHOOSE(CONTROL!$C$32, $C$9, 100%, $E$9)</f>
        <v>34.444099999999999</v>
      </c>
      <c r="J977" s="11">
        <f>34.4408 * CHOOSE(CONTROL!$C$32, $C$9, 100%, $E$9)</f>
        <v>34.440800000000003</v>
      </c>
      <c r="K977" s="11">
        <f>34.4441 * CHOOSE(CONTROL!$C$32, $C$9, 100%, $E$9)</f>
        <v>34.444099999999999</v>
      </c>
      <c r="L977" s="11">
        <f>16.5366 * CHOOSE(CONTROL!$C$32, $C$9, 100%, $E$9)</f>
        <v>16.5366</v>
      </c>
      <c r="M977" s="11">
        <f>16.5398 * CHOOSE(CONTROL!$C$32, $C$9, 100%, $E$9)</f>
        <v>16.5398</v>
      </c>
      <c r="N977" s="11">
        <f>16.5366 * CHOOSE(CONTROL!$C$32, $C$9, 100%, $E$9)</f>
        <v>16.5366</v>
      </c>
      <c r="O977" s="11">
        <f>16.5398 * CHOOSE(CONTROL!$C$32, $C$9, 100%, $E$9)</f>
        <v>16.5398</v>
      </c>
    </row>
    <row r="978" spans="1:15" ht="15" x14ac:dyDescent="0.2">
      <c r="A978" s="13">
        <v>70615</v>
      </c>
      <c r="B978" s="9">
        <f>14.442 * CHOOSE(CONTROL!$C$32, $C$9, 100%, $E$9)</f>
        <v>14.442</v>
      </c>
      <c r="C978" s="9">
        <f>14.442 * CHOOSE(CONTROL!$C$32, $C$9, 100%, $E$9)</f>
        <v>14.442</v>
      </c>
      <c r="D978" s="9">
        <f>14.4433 * CHOOSE(CONTROL!$C$32, $C$9, 100%, $E$9)</f>
        <v>14.443300000000001</v>
      </c>
      <c r="E978" s="11">
        <f>16.68 * CHOOSE(CONTROL!$C$32, $C$9, 100%, $E$9)</f>
        <v>16.68</v>
      </c>
      <c r="F978" s="11">
        <f>16.68 * CHOOSE(CONTROL!$C$32, $C$9, 100%, $E$9)</f>
        <v>16.68</v>
      </c>
      <c r="G978" s="11">
        <f>16.6842 * CHOOSE(CONTROL!$C$32, $C$9, 100%, $E$9)</f>
        <v>16.684200000000001</v>
      </c>
      <c r="H978" s="11">
        <f>34.5126 * CHOOSE(CONTROL!$C$32, $C$9, 100%, $E$9)</f>
        <v>34.512599999999999</v>
      </c>
      <c r="I978" s="11">
        <f>34.5168 * CHOOSE(CONTROL!$C$32, $C$9, 100%, $E$9)</f>
        <v>34.516800000000003</v>
      </c>
      <c r="J978" s="11">
        <f>34.5126 * CHOOSE(CONTROL!$C$32, $C$9, 100%, $E$9)</f>
        <v>34.512599999999999</v>
      </c>
      <c r="K978" s="11">
        <f>34.5168 * CHOOSE(CONTROL!$C$32, $C$9, 100%, $E$9)</f>
        <v>34.516800000000003</v>
      </c>
      <c r="L978" s="11">
        <f>16.68 * CHOOSE(CONTROL!$C$32, $C$9, 100%, $E$9)</f>
        <v>16.68</v>
      </c>
      <c r="M978" s="11">
        <f>16.6842 * CHOOSE(CONTROL!$C$32, $C$9, 100%, $E$9)</f>
        <v>16.684200000000001</v>
      </c>
      <c r="N978" s="11">
        <f>16.68 * CHOOSE(CONTROL!$C$32, $C$9, 100%, $E$9)</f>
        <v>16.68</v>
      </c>
      <c r="O978" s="11">
        <f>16.6842 * CHOOSE(CONTROL!$C$32, $C$9, 100%, $E$9)</f>
        <v>16.684200000000001</v>
      </c>
    </row>
    <row r="979" spans="1:15" ht="15" x14ac:dyDescent="0.2">
      <c r="A979" s="13">
        <v>70646</v>
      </c>
      <c r="B979" s="9">
        <f>14.4481 * CHOOSE(CONTROL!$C$32, $C$9, 100%, $E$9)</f>
        <v>14.4481</v>
      </c>
      <c r="C979" s="9">
        <f>14.4481 * CHOOSE(CONTROL!$C$32, $C$9, 100%, $E$9)</f>
        <v>14.4481</v>
      </c>
      <c r="D979" s="9">
        <f>14.4493 * CHOOSE(CONTROL!$C$32, $C$9, 100%, $E$9)</f>
        <v>14.449299999999999</v>
      </c>
      <c r="E979" s="11">
        <f>16.5408 * CHOOSE(CONTROL!$C$32, $C$9, 100%, $E$9)</f>
        <v>16.540800000000001</v>
      </c>
      <c r="F979" s="11">
        <f>16.5408 * CHOOSE(CONTROL!$C$32, $C$9, 100%, $E$9)</f>
        <v>16.540800000000001</v>
      </c>
      <c r="G979" s="11">
        <f>16.545 * CHOOSE(CONTROL!$C$32, $C$9, 100%, $E$9)</f>
        <v>16.545000000000002</v>
      </c>
      <c r="H979" s="11">
        <f>34.5845 * CHOOSE(CONTROL!$C$32, $C$9, 100%, $E$9)</f>
        <v>34.584499999999998</v>
      </c>
      <c r="I979" s="11">
        <f>34.5887 * CHOOSE(CONTROL!$C$32, $C$9, 100%, $E$9)</f>
        <v>34.588700000000003</v>
      </c>
      <c r="J979" s="11">
        <f>34.5845 * CHOOSE(CONTROL!$C$32, $C$9, 100%, $E$9)</f>
        <v>34.584499999999998</v>
      </c>
      <c r="K979" s="11">
        <f>34.5887 * CHOOSE(CONTROL!$C$32, $C$9, 100%, $E$9)</f>
        <v>34.588700000000003</v>
      </c>
      <c r="L979" s="11">
        <f>16.5408 * CHOOSE(CONTROL!$C$32, $C$9, 100%, $E$9)</f>
        <v>16.540800000000001</v>
      </c>
      <c r="M979" s="11">
        <f>16.545 * CHOOSE(CONTROL!$C$32, $C$9, 100%, $E$9)</f>
        <v>16.545000000000002</v>
      </c>
      <c r="N979" s="11">
        <f>16.5408 * CHOOSE(CONTROL!$C$32, $C$9, 100%, $E$9)</f>
        <v>16.540800000000001</v>
      </c>
      <c r="O979" s="11">
        <f>16.545 * CHOOSE(CONTROL!$C$32, $C$9, 100%, $E$9)</f>
        <v>16.545000000000002</v>
      </c>
    </row>
    <row r="980" spans="1:15" ht="15" x14ac:dyDescent="0.2">
      <c r="A980" s="13">
        <v>70676</v>
      </c>
      <c r="B980" s="9">
        <f>14.6213 * CHOOSE(CONTROL!$C$32, $C$9, 100%, $E$9)</f>
        <v>14.6213</v>
      </c>
      <c r="C980" s="9">
        <f>14.6213 * CHOOSE(CONTROL!$C$32, $C$9, 100%, $E$9)</f>
        <v>14.6213</v>
      </c>
      <c r="D980" s="9">
        <f>14.6225 * CHOOSE(CONTROL!$C$32, $C$9, 100%, $E$9)</f>
        <v>14.6225</v>
      </c>
      <c r="E980" s="11">
        <f>16.7759 * CHOOSE(CONTROL!$C$32, $C$9, 100%, $E$9)</f>
        <v>16.7759</v>
      </c>
      <c r="F980" s="11">
        <f>16.7759 * CHOOSE(CONTROL!$C$32, $C$9, 100%, $E$9)</f>
        <v>16.7759</v>
      </c>
      <c r="G980" s="11">
        <f>16.7801 * CHOOSE(CONTROL!$C$32, $C$9, 100%, $E$9)</f>
        <v>16.780100000000001</v>
      </c>
      <c r="H980" s="11">
        <f>34.6565 * CHOOSE(CONTROL!$C$32, $C$9, 100%, $E$9)</f>
        <v>34.656500000000001</v>
      </c>
      <c r="I980" s="11">
        <f>34.6608 * CHOOSE(CONTROL!$C$32, $C$9, 100%, $E$9)</f>
        <v>34.660800000000002</v>
      </c>
      <c r="J980" s="11">
        <f>34.6565 * CHOOSE(CONTROL!$C$32, $C$9, 100%, $E$9)</f>
        <v>34.656500000000001</v>
      </c>
      <c r="K980" s="11">
        <f>34.6608 * CHOOSE(CONTROL!$C$32, $C$9, 100%, $E$9)</f>
        <v>34.660800000000002</v>
      </c>
      <c r="L980" s="11">
        <f>16.7759 * CHOOSE(CONTROL!$C$32, $C$9, 100%, $E$9)</f>
        <v>16.7759</v>
      </c>
      <c r="M980" s="11">
        <f>16.7801 * CHOOSE(CONTROL!$C$32, $C$9, 100%, $E$9)</f>
        <v>16.780100000000001</v>
      </c>
      <c r="N980" s="11">
        <f>16.7759 * CHOOSE(CONTROL!$C$32, $C$9, 100%, $E$9)</f>
        <v>16.7759</v>
      </c>
      <c r="O980" s="11">
        <f>16.7801 * CHOOSE(CONTROL!$C$32, $C$9, 100%, $E$9)</f>
        <v>16.780100000000001</v>
      </c>
    </row>
    <row r="981" spans="1:15" ht="15" x14ac:dyDescent="0.2">
      <c r="A981" s="13">
        <v>70707</v>
      </c>
      <c r="B981" s="9">
        <f>14.6279 * CHOOSE(CONTROL!$C$32, $C$9, 100%, $E$9)</f>
        <v>14.6279</v>
      </c>
      <c r="C981" s="9">
        <f>14.6279 * CHOOSE(CONTROL!$C$32, $C$9, 100%, $E$9)</f>
        <v>14.6279</v>
      </c>
      <c r="D981" s="9">
        <f>14.6292 * CHOOSE(CONTROL!$C$32, $C$9, 100%, $E$9)</f>
        <v>14.629200000000001</v>
      </c>
      <c r="E981" s="11">
        <f>16.3501 * CHOOSE(CONTROL!$C$32, $C$9, 100%, $E$9)</f>
        <v>16.350100000000001</v>
      </c>
      <c r="F981" s="11">
        <f>16.3501 * CHOOSE(CONTROL!$C$32, $C$9, 100%, $E$9)</f>
        <v>16.350100000000001</v>
      </c>
      <c r="G981" s="11">
        <f>16.3543 * CHOOSE(CONTROL!$C$32, $C$9, 100%, $E$9)</f>
        <v>16.354299999999999</v>
      </c>
      <c r="H981" s="11">
        <f>34.7288 * CHOOSE(CONTROL!$C$32, $C$9, 100%, $E$9)</f>
        <v>34.7288</v>
      </c>
      <c r="I981" s="11">
        <f>34.733 * CHOOSE(CONTROL!$C$32, $C$9, 100%, $E$9)</f>
        <v>34.732999999999997</v>
      </c>
      <c r="J981" s="11">
        <f>34.7288 * CHOOSE(CONTROL!$C$32, $C$9, 100%, $E$9)</f>
        <v>34.7288</v>
      </c>
      <c r="K981" s="11">
        <f>34.733 * CHOOSE(CONTROL!$C$32, $C$9, 100%, $E$9)</f>
        <v>34.732999999999997</v>
      </c>
      <c r="L981" s="11">
        <f>16.3501 * CHOOSE(CONTROL!$C$32, $C$9, 100%, $E$9)</f>
        <v>16.350100000000001</v>
      </c>
      <c r="M981" s="11">
        <f>16.3543 * CHOOSE(CONTROL!$C$32, $C$9, 100%, $E$9)</f>
        <v>16.354299999999999</v>
      </c>
      <c r="N981" s="11">
        <f>16.3501 * CHOOSE(CONTROL!$C$32, $C$9, 100%, $E$9)</f>
        <v>16.350100000000001</v>
      </c>
      <c r="O981" s="11">
        <f>16.3543 * CHOOSE(CONTROL!$C$32, $C$9, 100%, $E$9)</f>
        <v>16.354299999999999</v>
      </c>
    </row>
    <row r="982" spans="1:15" ht="15" x14ac:dyDescent="0.2">
      <c r="A982" s="13">
        <v>70738</v>
      </c>
      <c r="B982" s="9">
        <f>14.6249 * CHOOSE(CONTROL!$C$32, $C$9, 100%, $E$9)</f>
        <v>14.6249</v>
      </c>
      <c r="C982" s="9">
        <f>14.6249 * CHOOSE(CONTROL!$C$32, $C$9, 100%, $E$9)</f>
        <v>14.6249</v>
      </c>
      <c r="D982" s="9">
        <f>14.6262 * CHOOSE(CONTROL!$C$32, $C$9, 100%, $E$9)</f>
        <v>14.626200000000001</v>
      </c>
      <c r="E982" s="11">
        <f>16.3002 * CHOOSE(CONTROL!$C$32, $C$9, 100%, $E$9)</f>
        <v>16.3002</v>
      </c>
      <c r="F982" s="11">
        <f>16.3002 * CHOOSE(CONTROL!$C$32, $C$9, 100%, $E$9)</f>
        <v>16.3002</v>
      </c>
      <c r="G982" s="11">
        <f>16.3044 * CHOOSE(CONTROL!$C$32, $C$9, 100%, $E$9)</f>
        <v>16.304400000000001</v>
      </c>
      <c r="H982" s="11">
        <f>34.8011 * CHOOSE(CONTROL!$C$32, $C$9, 100%, $E$9)</f>
        <v>34.801099999999998</v>
      </c>
      <c r="I982" s="11">
        <f>34.8053 * CHOOSE(CONTROL!$C$32, $C$9, 100%, $E$9)</f>
        <v>34.805300000000003</v>
      </c>
      <c r="J982" s="11">
        <f>34.8011 * CHOOSE(CONTROL!$C$32, $C$9, 100%, $E$9)</f>
        <v>34.801099999999998</v>
      </c>
      <c r="K982" s="11">
        <f>34.8053 * CHOOSE(CONTROL!$C$32, $C$9, 100%, $E$9)</f>
        <v>34.805300000000003</v>
      </c>
      <c r="L982" s="11">
        <f>16.3002 * CHOOSE(CONTROL!$C$32, $C$9, 100%, $E$9)</f>
        <v>16.3002</v>
      </c>
      <c r="M982" s="11">
        <f>16.3044 * CHOOSE(CONTROL!$C$32, $C$9, 100%, $E$9)</f>
        <v>16.304400000000001</v>
      </c>
      <c r="N982" s="11">
        <f>16.3002 * CHOOSE(CONTROL!$C$32, $C$9, 100%, $E$9)</f>
        <v>16.3002</v>
      </c>
      <c r="O982" s="11">
        <f>16.3044 * CHOOSE(CONTROL!$C$32, $C$9, 100%, $E$9)</f>
        <v>16.304400000000001</v>
      </c>
    </row>
    <row r="983" spans="1:15" ht="15" x14ac:dyDescent="0.2">
      <c r="A983" s="13">
        <v>70768</v>
      </c>
      <c r="B983" s="9">
        <f>14.6597 * CHOOSE(CONTROL!$C$32, $C$9, 100%, $E$9)</f>
        <v>14.659700000000001</v>
      </c>
      <c r="C983" s="9">
        <f>14.6597 * CHOOSE(CONTROL!$C$32, $C$9, 100%, $E$9)</f>
        <v>14.659700000000001</v>
      </c>
      <c r="D983" s="9">
        <f>14.6607 * CHOOSE(CONTROL!$C$32, $C$9, 100%, $E$9)</f>
        <v>14.6607</v>
      </c>
      <c r="E983" s="11">
        <f>16.478 * CHOOSE(CONTROL!$C$32, $C$9, 100%, $E$9)</f>
        <v>16.478000000000002</v>
      </c>
      <c r="F983" s="11">
        <f>16.478 * CHOOSE(CONTROL!$C$32, $C$9, 100%, $E$9)</f>
        <v>16.478000000000002</v>
      </c>
      <c r="G983" s="11">
        <f>16.4813 * CHOOSE(CONTROL!$C$32, $C$9, 100%, $E$9)</f>
        <v>16.481300000000001</v>
      </c>
      <c r="H983" s="11">
        <f>34.8736 * CHOOSE(CONTROL!$C$32, $C$9, 100%, $E$9)</f>
        <v>34.873600000000003</v>
      </c>
      <c r="I983" s="11">
        <f>34.8768 * CHOOSE(CONTROL!$C$32, $C$9, 100%, $E$9)</f>
        <v>34.876800000000003</v>
      </c>
      <c r="J983" s="11">
        <f>34.8736 * CHOOSE(CONTROL!$C$32, $C$9, 100%, $E$9)</f>
        <v>34.873600000000003</v>
      </c>
      <c r="K983" s="11">
        <f>34.8768 * CHOOSE(CONTROL!$C$32, $C$9, 100%, $E$9)</f>
        <v>34.876800000000003</v>
      </c>
      <c r="L983" s="11">
        <f>16.478 * CHOOSE(CONTROL!$C$32, $C$9, 100%, $E$9)</f>
        <v>16.478000000000002</v>
      </c>
      <c r="M983" s="11">
        <f>16.4813 * CHOOSE(CONTROL!$C$32, $C$9, 100%, $E$9)</f>
        <v>16.481300000000001</v>
      </c>
      <c r="N983" s="11">
        <f>16.478 * CHOOSE(CONTROL!$C$32, $C$9, 100%, $E$9)</f>
        <v>16.478000000000002</v>
      </c>
      <c r="O983" s="11">
        <f>16.4813 * CHOOSE(CONTROL!$C$32, $C$9, 100%, $E$9)</f>
        <v>16.481300000000001</v>
      </c>
    </row>
    <row r="984" spans="1:15" ht="15" x14ac:dyDescent="0.2">
      <c r="A984" s="13">
        <v>70799</v>
      </c>
      <c r="B984" s="9">
        <f>14.6627 * CHOOSE(CONTROL!$C$32, $C$9, 100%, $E$9)</f>
        <v>14.662699999999999</v>
      </c>
      <c r="C984" s="9">
        <f>14.6627 * CHOOSE(CONTROL!$C$32, $C$9, 100%, $E$9)</f>
        <v>14.662699999999999</v>
      </c>
      <c r="D984" s="9">
        <f>14.6637 * CHOOSE(CONTROL!$C$32, $C$9, 100%, $E$9)</f>
        <v>14.6637</v>
      </c>
      <c r="E984" s="11">
        <f>16.5758 * CHOOSE(CONTROL!$C$32, $C$9, 100%, $E$9)</f>
        <v>16.575800000000001</v>
      </c>
      <c r="F984" s="11">
        <f>16.5758 * CHOOSE(CONTROL!$C$32, $C$9, 100%, $E$9)</f>
        <v>16.575800000000001</v>
      </c>
      <c r="G984" s="11">
        <f>16.579 * CHOOSE(CONTROL!$C$32, $C$9, 100%, $E$9)</f>
        <v>16.579000000000001</v>
      </c>
      <c r="H984" s="11">
        <f>34.9463 * CHOOSE(CONTROL!$C$32, $C$9, 100%, $E$9)</f>
        <v>34.946300000000001</v>
      </c>
      <c r="I984" s="11">
        <f>34.9495 * CHOOSE(CONTROL!$C$32, $C$9, 100%, $E$9)</f>
        <v>34.9495</v>
      </c>
      <c r="J984" s="11">
        <f>34.9463 * CHOOSE(CONTROL!$C$32, $C$9, 100%, $E$9)</f>
        <v>34.946300000000001</v>
      </c>
      <c r="K984" s="11">
        <f>34.9495 * CHOOSE(CONTROL!$C$32, $C$9, 100%, $E$9)</f>
        <v>34.9495</v>
      </c>
      <c r="L984" s="11">
        <f>16.5758 * CHOOSE(CONTROL!$C$32, $C$9, 100%, $E$9)</f>
        <v>16.575800000000001</v>
      </c>
      <c r="M984" s="11">
        <f>16.579 * CHOOSE(CONTROL!$C$32, $C$9, 100%, $E$9)</f>
        <v>16.579000000000001</v>
      </c>
      <c r="N984" s="11">
        <f>16.5758 * CHOOSE(CONTROL!$C$32, $C$9, 100%, $E$9)</f>
        <v>16.575800000000001</v>
      </c>
      <c r="O984" s="11">
        <f>16.579 * CHOOSE(CONTROL!$C$32, $C$9, 100%, $E$9)</f>
        <v>16.579000000000001</v>
      </c>
    </row>
    <row r="985" spans="1:15" ht="15" x14ac:dyDescent="0.2">
      <c r="A985" s="13">
        <v>70829</v>
      </c>
      <c r="B985" s="9">
        <f>14.6627 * CHOOSE(CONTROL!$C$32, $C$9, 100%, $E$9)</f>
        <v>14.662699999999999</v>
      </c>
      <c r="C985" s="9">
        <f>14.6627 * CHOOSE(CONTROL!$C$32, $C$9, 100%, $E$9)</f>
        <v>14.662699999999999</v>
      </c>
      <c r="D985" s="9">
        <f>14.6637 * CHOOSE(CONTROL!$C$32, $C$9, 100%, $E$9)</f>
        <v>14.6637</v>
      </c>
      <c r="E985" s="11">
        <f>16.3367 * CHOOSE(CONTROL!$C$32, $C$9, 100%, $E$9)</f>
        <v>16.3367</v>
      </c>
      <c r="F985" s="11">
        <f>16.3367 * CHOOSE(CONTROL!$C$32, $C$9, 100%, $E$9)</f>
        <v>16.3367</v>
      </c>
      <c r="G985" s="11">
        <f>16.3399 * CHOOSE(CONTROL!$C$32, $C$9, 100%, $E$9)</f>
        <v>16.3399</v>
      </c>
      <c r="H985" s="11">
        <f>35.0191 * CHOOSE(CONTROL!$C$32, $C$9, 100%, $E$9)</f>
        <v>35.019100000000002</v>
      </c>
      <c r="I985" s="11">
        <f>35.0223 * CHOOSE(CONTROL!$C$32, $C$9, 100%, $E$9)</f>
        <v>35.022300000000001</v>
      </c>
      <c r="J985" s="11">
        <f>35.0191 * CHOOSE(CONTROL!$C$32, $C$9, 100%, $E$9)</f>
        <v>35.019100000000002</v>
      </c>
      <c r="K985" s="11">
        <f>35.0223 * CHOOSE(CONTROL!$C$32, $C$9, 100%, $E$9)</f>
        <v>35.022300000000001</v>
      </c>
      <c r="L985" s="11">
        <f>16.3367 * CHOOSE(CONTROL!$C$32, $C$9, 100%, $E$9)</f>
        <v>16.3367</v>
      </c>
      <c r="M985" s="11">
        <f>16.3399 * CHOOSE(CONTROL!$C$32, $C$9, 100%, $E$9)</f>
        <v>16.3399</v>
      </c>
      <c r="N985" s="11">
        <f>16.3367 * CHOOSE(CONTROL!$C$32, $C$9, 100%, $E$9)</f>
        <v>16.3367</v>
      </c>
      <c r="O985" s="11">
        <f>16.3399 * CHOOSE(CONTROL!$C$32, $C$9, 100%, $E$9)</f>
        <v>16.3399</v>
      </c>
    </row>
    <row r="986" spans="1:15" ht="15" x14ac:dyDescent="0.2">
      <c r="A986" s="13">
        <v>70860</v>
      </c>
      <c r="B986" s="9">
        <f>14.6277 * CHOOSE(CONTROL!$C$32, $C$9, 100%, $E$9)</f>
        <v>14.627700000000001</v>
      </c>
      <c r="C986" s="9">
        <f>14.6277 * CHOOSE(CONTROL!$C$32, $C$9, 100%, $E$9)</f>
        <v>14.627700000000001</v>
      </c>
      <c r="D986" s="9">
        <f>14.6286 * CHOOSE(CONTROL!$C$32, $C$9, 100%, $E$9)</f>
        <v>14.6286</v>
      </c>
      <c r="E986" s="11">
        <f>16.4706 * CHOOSE(CONTROL!$C$32, $C$9, 100%, $E$9)</f>
        <v>16.470600000000001</v>
      </c>
      <c r="F986" s="11">
        <f>16.4706 * CHOOSE(CONTROL!$C$32, $C$9, 100%, $E$9)</f>
        <v>16.470600000000001</v>
      </c>
      <c r="G986" s="11">
        <f>16.4738 * CHOOSE(CONTROL!$C$32, $C$9, 100%, $E$9)</f>
        <v>16.473800000000001</v>
      </c>
      <c r="H986" s="11">
        <f>34.6983 * CHOOSE(CONTROL!$C$32, $C$9, 100%, $E$9)</f>
        <v>34.698300000000003</v>
      </c>
      <c r="I986" s="11">
        <f>34.7015 * CHOOSE(CONTROL!$C$32, $C$9, 100%, $E$9)</f>
        <v>34.701500000000003</v>
      </c>
      <c r="J986" s="11">
        <f>34.6983 * CHOOSE(CONTROL!$C$32, $C$9, 100%, $E$9)</f>
        <v>34.698300000000003</v>
      </c>
      <c r="K986" s="11">
        <f>34.7015 * CHOOSE(CONTROL!$C$32, $C$9, 100%, $E$9)</f>
        <v>34.701500000000003</v>
      </c>
      <c r="L986" s="11">
        <f>16.4706 * CHOOSE(CONTROL!$C$32, $C$9, 100%, $E$9)</f>
        <v>16.470600000000001</v>
      </c>
      <c r="M986" s="11">
        <f>16.4738 * CHOOSE(CONTROL!$C$32, $C$9, 100%, $E$9)</f>
        <v>16.473800000000001</v>
      </c>
      <c r="N986" s="11">
        <f>16.4706 * CHOOSE(CONTROL!$C$32, $C$9, 100%, $E$9)</f>
        <v>16.470600000000001</v>
      </c>
      <c r="O986" s="11">
        <f>16.4738 * CHOOSE(CONTROL!$C$32, $C$9, 100%, $E$9)</f>
        <v>16.473800000000001</v>
      </c>
    </row>
    <row r="987" spans="1:15" ht="15" x14ac:dyDescent="0.2">
      <c r="A987" s="13">
        <v>70891</v>
      </c>
      <c r="B987" s="9">
        <f>14.6246 * CHOOSE(CONTROL!$C$32, $C$9, 100%, $E$9)</f>
        <v>14.624599999999999</v>
      </c>
      <c r="C987" s="9">
        <f>14.6246 * CHOOSE(CONTROL!$C$32, $C$9, 100%, $E$9)</f>
        <v>14.624599999999999</v>
      </c>
      <c r="D987" s="9">
        <f>14.6256 * CHOOSE(CONTROL!$C$32, $C$9, 100%, $E$9)</f>
        <v>14.6256</v>
      </c>
      <c r="E987" s="11">
        <f>16.0095 * CHOOSE(CONTROL!$C$32, $C$9, 100%, $E$9)</f>
        <v>16.009499999999999</v>
      </c>
      <c r="F987" s="11">
        <f>16.0095 * CHOOSE(CONTROL!$C$32, $C$9, 100%, $E$9)</f>
        <v>16.009499999999999</v>
      </c>
      <c r="G987" s="11">
        <f>16.0128 * CHOOSE(CONTROL!$C$32, $C$9, 100%, $E$9)</f>
        <v>16.012799999999999</v>
      </c>
      <c r="H987" s="11">
        <f>34.7706 * CHOOSE(CONTROL!$C$32, $C$9, 100%, $E$9)</f>
        <v>34.770600000000002</v>
      </c>
      <c r="I987" s="11">
        <f>34.7738 * CHOOSE(CONTROL!$C$32, $C$9, 100%, $E$9)</f>
        <v>34.773800000000001</v>
      </c>
      <c r="J987" s="11">
        <f>34.7706 * CHOOSE(CONTROL!$C$32, $C$9, 100%, $E$9)</f>
        <v>34.770600000000002</v>
      </c>
      <c r="K987" s="11">
        <f>34.7738 * CHOOSE(CONTROL!$C$32, $C$9, 100%, $E$9)</f>
        <v>34.773800000000001</v>
      </c>
      <c r="L987" s="11">
        <f>16.0095 * CHOOSE(CONTROL!$C$32, $C$9, 100%, $E$9)</f>
        <v>16.009499999999999</v>
      </c>
      <c r="M987" s="11">
        <f>16.0128 * CHOOSE(CONTROL!$C$32, $C$9, 100%, $E$9)</f>
        <v>16.012799999999999</v>
      </c>
      <c r="N987" s="11">
        <f>16.0095 * CHOOSE(CONTROL!$C$32, $C$9, 100%, $E$9)</f>
        <v>16.009499999999999</v>
      </c>
      <c r="O987" s="11">
        <f>16.0128 * CHOOSE(CONTROL!$C$32, $C$9, 100%, $E$9)</f>
        <v>16.012799999999999</v>
      </c>
    </row>
    <row r="988" spans="1:15" ht="15" x14ac:dyDescent="0.2">
      <c r="A988" s="13">
        <v>70919</v>
      </c>
      <c r="B988" s="9">
        <f>14.6216 * CHOOSE(CONTROL!$C$32, $C$9, 100%, $E$9)</f>
        <v>14.621600000000001</v>
      </c>
      <c r="C988" s="9">
        <f>14.6216 * CHOOSE(CONTROL!$C$32, $C$9, 100%, $E$9)</f>
        <v>14.621600000000001</v>
      </c>
      <c r="D988" s="9">
        <f>14.6225 * CHOOSE(CONTROL!$C$32, $C$9, 100%, $E$9)</f>
        <v>14.6225</v>
      </c>
      <c r="E988" s="11">
        <f>16.3692 * CHOOSE(CONTROL!$C$32, $C$9, 100%, $E$9)</f>
        <v>16.369199999999999</v>
      </c>
      <c r="F988" s="11">
        <f>16.3692 * CHOOSE(CONTROL!$C$32, $C$9, 100%, $E$9)</f>
        <v>16.369199999999999</v>
      </c>
      <c r="G988" s="11">
        <f>16.3725 * CHOOSE(CONTROL!$C$32, $C$9, 100%, $E$9)</f>
        <v>16.372499999999999</v>
      </c>
      <c r="H988" s="11">
        <f>34.843 * CHOOSE(CONTROL!$C$32, $C$9, 100%, $E$9)</f>
        <v>34.843000000000004</v>
      </c>
      <c r="I988" s="11">
        <f>34.8462 * CHOOSE(CONTROL!$C$32, $C$9, 100%, $E$9)</f>
        <v>34.846200000000003</v>
      </c>
      <c r="J988" s="11">
        <f>34.843 * CHOOSE(CONTROL!$C$32, $C$9, 100%, $E$9)</f>
        <v>34.843000000000004</v>
      </c>
      <c r="K988" s="11">
        <f>34.8462 * CHOOSE(CONTROL!$C$32, $C$9, 100%, $E$9)</f>
        <v>34.846200000000003</v>
      </c>
      <c r="L988" s="11">
        <f>16.3692 * CHOOSE(CONTROL!$C$32, $C$9, 100%, $E$9)</f>
        <v>16.369199999999999</v>
      </c>
      <c r="M988" s="11">
        <f>16.3725 * CHOOSE(CONTROL!$C$32, $C$9, 100%, $E$9)</f>
        <v>16.372499999999999</v>
      </c>
      <c r="N988" s="11">
        <f>16.3692 * CHOOSE(CONTROL!$C$32, $C$9, 100%, $E$9)</f>
        <v>16.369199999999999</v>
      </c>
      <c r="O988" s="11">
        <f>16.3725 * CHOOSE(CONTROL!$C$32, $C$9, 100%, $E$9)</f>
        <v>16.372499999999999</v>
      </c>
    </row>
    <row r="989" spans="1:15" ht="15" x14ac:dyDescent="0.2">
      <c r="A989" s="13">
        <v>70950</v>
      </c>
      <c r="B989" s="9">
        <f>14.6296 * CHOOSE(CONTROL!$C$32, $C$9, 100%, $E$9)</f>
        <v>14.6296</v>
      </c>
      <c r="C989" s="9">
        <f>14.6296 * CHOOSE(CONTROL!$C$32, $C$9, 100%, $E$9)</f>
        <v>14.6296</v>
      </c>
      <c r="D989" s="9">
        <f>14.6305 * CHOOSE(CONTROL!$C$32, $C$9, 100%, $E$9)</f>
        <v>14.6305</v>
      </c>
      <c r="E989" s="11">
        <f>16.7536 * CHOOSE(CONTROL!$C$32, $C$9, 100%, $E$9)</f>
        <v>16.753599999999999</v>
      </c>
      <c r="F989" s="11">
        <f>16.7536 * CHOOSE(CONTROL!$C$32, $C$9, 100%, $E$9)</f>
        <v>16.753599999999999</v>
      </c>
      <c r="G989" s="11">
        <f>16.7568 * CHOOSE(CONTROL!$C$32, $C$9, 100%, $E$9)</f>
        <v>16.756799999999998</v>
      </c>
      <c r="H989" s="11">
        <f>34.9156 * CHOOSE(CONTROL!$C$32, $C$9, 100%, $E$9)</f>
        <v>34.915599999999998</v>
      </c>
      <c r="I989" s="11">
        <f>34.9188 * CHOOSE(CONTROL!$C$32, $C$9, 100%, $E$9)</f>
        <v>34.918799999999997</v>
      </c>
      <c r="J989" s="11">
        <f>34.9156 * CHOOSE(CONTROL!$C$32, $C$9, 100%, $E$9)</f>
        <v>34.915599999999998</v>
      </c>
      <c r="K989" s="11">
        <f>34.9188 * CHOOSE(CONTROL!$C$32, $C$9, 100%, $E$9)</f>
        <v>34.918799999999997</v>
      </c>
      <c r="L989" s="11">
        <f>16.7536 * CHOOSE(CONTROL!$C$32, $C$9, 100%, $E$9)</f>
        <v>16.753599999999999</v>
      </c>
      <c r="M989" s="11">
        <f>16.7568 * CHOOSE(CONTROL!$C$32, $C$9, 100%, $E$9)</f>
        <v>16.756799999999998</v>
      </c>
      <c r="N989" s="11">
        <f>16.7536 * CHOOSE(CONTROL!$C$32, $C$9, 100%, $E$9)</f>
        <v>16.753599999999999</v>
      </c>
      <c r="O989" s="11">
        <f>16.7568 * CHOOSE(CONTROL!$C$32, $C$9, 100%, $E$9)</f>
        <v>16.756799999999998</v>
      </c>
    </row>
    <row r="990" spans="1:15" ht="15" x14ac:dyDescent="0.2">
      <c r="A990" s="13">
        <v>70980</v>
      </c>
      <c r="B990" s="9">
        <f>14.6296 * CHOOSE(CONTROL!$C$32, $C$9, 100%, $E$9)</f>
        <v>14.6296</v>
      </c>
      <c r="C990" s="9">
        <f>14.6296 * CHOOSE(CONTROL!$C$32, $C$9, 100%, $E$9)</f>
        <v>14.6296</v>
      </c>
      <c r="D990" s="9">
        <f>14.6308 * CHOOSE(CONTROL!$C$32, $C$9, 100%, $E$9)</f>
        <v>14.630800000000001</v>
      </c>
      <c r="E990" s="11">
        <f>16.8993 * CHOOSE(CONTROL!$C$32, $C$9, 100%, $E$9)</f>
        <v>16.8993</v>
      </c>
      <c r="F990" s="11">
        <f>16.8993 * CHOOSE(CONTROL!$C$32, $C$9, 100%, $E$9)</f>
        <v>16.8993</v>
      </c>
      <c r="G990" s="11">
        <f>16.9035 * CHOOSE(CONTROL!$C$32, $C$9, 100%, $E$9)</f>
        <v>16.903500000000001</v>
      </c>
      <c r="H990" s="11">
        <f>34.9883 * CHOOSE(CONTROL!$C$32, $C$9, 100%, $E$9)</f>
        <v>34.988300000000002</v>
      </c>
      <c r="I990" s="11">
        <f>34.9925 * CHOOSE(CONTROL!$C$32, $C$9, 100%, $E$9)</f>
        <v>34.9925</v>
      </c>
      <c r="J990" s="11">
        <f>34.9883 * CHOOSE(CONTROL!$C$32, $C$9, 100%, $E$9)</f>
        <v>34.988300000000002</v>
      </c>
      <c r="K990" s="11">
        <f>34.9925 * CHOOSE(CONTROL!$C$32, $C$9, 100%, $E$9)</f>
        <v>34.9925</v>
      </c>
      <c r="L990" s="11">
        <f>16.8993 * CHOOSE(CONTROL!$C$32, $C$9, 100%, $E$9)</f>
        <v>16.8993</v>
      </c>
      <c r="M990" s="11">
        <f>16.9035 * CHOOSE(CONTROL!$C$32, $C$9, 100%, $E$9)</f>
        <v>16.903500000000001</v>
      </c>
      <c r="N990" s="11">
        <f>16.8993 * CHOOSE(CONTROL!$C$32, $C$9, 100%, $E$9)</f>
        <v>16.8993</v>
      </c>
      <c r="O990" s="11">
        <f>16.9035 * CHOOSE(CONTROL!$C$32, $C$9, 100%, $E$9)</f>
        <v>16.903500000000001</v>
      </c>
    </row>
    <row r="991" spans="1:15" ht="15" x14ac:dyDescent="0.2">
      <c r="A991" s="13">
        <v>71011</v>
      </c>
      <c r="B991" s="9">
        <f>14.6356 * CHOOSE(CONTROL!$C$32, $C$9, 100%, $E$9)</f>
        <v>14.6356</v>
      </c>
      <c r="C991" s="9">
        <f>14.6356 * CHOOSE(CONTROL!$C$32, $C$9, 100%, $E$9)</f>
        <v>14.6356</v>
      </c>
      <c r="D991" s="9">
        <f>14.6369 * CHOOSE(CONTROL!$C$32, $C$9, 100%, $E$9)</f>
        <v>14.636900000000001</v>
      </c>
      <c r="E991" s="11">
        <f>16.7578 * CHOOSE(CONTROL!$C$32, $C$9, 100%, $E$9)</f>
        <v>16.7578</v>
      </c>
      <c r="F991" s="11">
        <f>16.7578 * CHOOSE(CONTROL!$C$32, $C$9, 100%, $E$9)</f>
        <v>16.7578</v>
      </c>
      <c r="G991" s="11">
        <f>16.762 * CHOOSE(CONTROL!$C$32, $C$9, 100%, $E$9)</f>
        <v>16.762</v>
      </c>
      <c r="H991" s="11">
        <f>35.0612 * CHOOSE(CONTROL!$C$32, $C$9, 100%, $E$9)</f>
        <v>35.061199999999999</v>
      </c>
      <c r="I991" s="11">
        <f>35.0654 * CHOOSE(CONTROL!$C$32, $C$9, 100%, $E$9)</f>
        <v>35.065399999999997</v>
      </c>
      <c r="J991" s="11">
        <f>35.0612 * CHOOSE(CONTROL!$C$32, $C$9, 100%, $E$9)</f>
        <v>35.061199999999999</v>
      </c>
      <c r="K991" s="11">
        <f>35.0654 * CHOOSE(CONTROL!$C$32, $C$9, 100%, $E$9)</f>
        <v>35.065399999999997</v>
      </c>
      <c r="L991" s="11">
        <f>16.7578 * CHOOSE(CONTROL!$C$32, $C$9, 100%, $E$9)</f>
        <v>16.7578</v>
      </c>
      <c r="M991" s="11">
        <f>16.762 * CHOOSE(CONTROL!$C$32, $C$9, 100%, $E$9)</f>
        <v>16.762</v>
      </c>
      <c r="N991" s="11">
        <f>16.7578 * CHOOSE(CONTROL!$C$32, $C$9, 100%, $E$9)</f>
        <v>16.7578</v>
      </c>
      <c r="O991" s="11">
        <f>16.762 * CHOOSE(CONTROL!$C$32, $C$9, 100%, $E$9)</f>
        <v>16.762</v>
      </c>
    </row>
    <row r="992" spans="1:15" ht="15" x14ac:dyDescent="0.2">
      <c r="A992" s="13">
        <v>71041</v>
      </c>
      <c r="B992" s="9">
        <f>14.8109 * CHOOSE(CONTROL!$C$32, $C$9, 100%, $E$9)</f>
        <v>14.8109</v>
      </c>
      <c r="C992" s="9">
        <f>14.8109 * CHOOSE(CONTROL!$C$32, $C$9, 100%, $E$9)</f>
        <v>14.8109</v>
      </c>
      <c r="D992" s="9">
        <f>14.8121 * CHOOSE(CONTROL!$C$32, $C$9, 100%, $E$9)</f>
        <v>14.812099999999999</v>
      </c>
      <c r="E992" s="11">
        <f>16.996 * CHOOSE(CONTROL!$C$32, $C$9, 100%, $E$9)</f>
        <v>16.995999999999999</v>
      </c>
      <c r="F992" s="11">
        <f>16.996 * CHOOSE(CONTROL!$C$32, $C$9, 100%, $E$9)</f>
        <v>16.995999999999999</v>
      </c>
      <c r="G992" s="11">
        <f>17.0002 * CHOOSE(CONTROL!$C$32, $C$9, 100%, $E$9)</f>
        <v>17.0002</v>
      </c>
      <c r="H992" s="11">
        <f>35.1343 * CHOOSE(CONTROL!$C$32, $C$9, 100%, $E$9)</f>
        <v>35.134300000000003</v>
      </c>
      <c r="I992" s="11">
        <f>35.1385 * CHOOSE(CONTROL!$C$32, $C$9, 100%, $E$9)</f>
        <v>35.138500000000001</v>
      </c>
      <c r="J992" s="11">
        <f>35.1343 * CHOOSE(CONTROL!$C$32, $C$9, 100%, $E$9)</f>
        <v>35.134300000000003</v>
      </c>
      <c r="K992" s="11">
        <f>35.1385 * CHOOSE(CONTROL!$C$32, $C$9, 100%, $E$9)</f>
        <v>35.138500000000001</v>
      </c>
      <c r="L992" s="11">
        <f>16.996 * CHOOSE(CONTROL!$C$32, $C$9, 100%, $E$9)</f>
        <v>16.995999999999999</v>
      </c>
      <c r="M992" s="11">
        <f>17.0002 * CHOOSE(CONTROL!$C$32, $C$9, 100%, $E$9)</f>
        <v>17.0002</v>
      </c>
      <c r="N992" s="11">
        <f>16.996 * CHOOSE(CONTROL!$C$32, $C$9, 100%, $E$9)</f>
        <v>16.995999999999999</v>
      </c>
      <c r="O992" s="11">
        <f>17.0002 * CHOOSE(CONTROL!$C$32, $C$9, 100%, $E$9)</f>
        <v>17.0002</v>
      </c>
    </row>
    <row r="993" spans="1:15" ht="15" x14ac:dyDescent="0.2">
      <c r="A993" s="13">
        <v>71072</v>
      </c>
      <c r="B993" s="9">
        <f>14.8175 * CHOOSE(CONTROL!$C$32, $C$9, 100%, $E$9)</f>
        <v>14.817500000000001</v>
      </c>
      <c r="C993" s="9">
        <f>14.8175 * CHOOSE(CONTROL!$C$32, $C$9, 100%, $E$9)</f>
        <v>14.817500000000001</v>
      </c>
      <c r="D993" s="9">
        <f>14.8188 * CHOOSE(CONTROL!$C$32, $C$9, 100%, $E$9)</f>
        <v>14.8188</v>
      </c>
      <c r="E993" s="11">
        <f>16.5635 * CHOOSE(CONTROL!$C$32, $C$9, 100%, $E$9)</f>
        <v>16.563500000000001</v>
      </c>
      <c r="F993" s="11">
        <f>16.5635 * CHOOSE(CONTROL!$C$32, $C$9, 100%, $E$9)</f>
        <v>16.563500000000001</v>
      </c>
      <c r="G993" s="11">
        <f>16.5677 * CHOOSE(CONTROL!$C$32, $C$9, 100%, $E$9)</f>
        <v>16.567699999999999</v>
      </c>
      <c r="H993" s="11">
        <f>35.2075 * CHOOSE(CONTROL!$C$32, $C$9, 100%, $E$9)</f>
        <v>35.207500000000003</v>
      </c>
      <c r="I993" s="11">
        <f>35.2117 * CHOOSE(CONTROL!$C$32, $C$9, 100%, $E$9)</f>
        <v>35.2117</v>
      </c>
      <c r="J993" s="11">
        <f>35.2075 * CHOOSE(CONTROL!$C$32, $C$9, 100%, $E$9)</f>
        <v>35.207500000000003</v>
      </c>
      <c r="K993" s="11">
        <f>35.2117 * CHOOSE(CONTROL!$C$32, $C$9, 100%, $E$9)</f>
        <v>35.2117</v>
      </c>
      <c r="L993" s="11">
        <f>16.5635 * CHOOSE(CONTROL!$C$32, $C$9, 100%, $E$9)</f>
        <v>16.563500000000001</v>
      </c>
      <c r="M993" s="11">
        <f>16.5677 * CHOOSE(CONTROL!$C$32, $C$9, 100%, $E$9)</f>
        <v>16.567699999999999</v>
      </c>
      <c r="N993" s="11">
        <f>16.5635 * CHOOSE(CONTROL!$C$32, $C$9, 100%, $E$9)</f>
        <v>16.563500000000001</v>
      </c>
      <c r="O993" s="11">
        <f>16.5677 * CHOOSE(CONTROL!$C$32, $C$9, 100%, $E$9)</f>
        <v>16.567699999999999</v>
      </c>
    </row>
    <row r="994" spans="1:15" ht="15" x14ac:dyDescent="0.2">
      <c r="A994" s="13">
        <v>71103</v>
      </c>
      <c r="B994" s="9">
        <f>14.8145 * CHOOSE(CONTROL!$C$32, $C$9, 100%, $E$9)</f>
        <v>14.814500000000001</v>
      </c>
      <c r="C994" s="9">
        <f>14.8145 * CHOOSE(CONTROL!$C$32, $C$9, 100%, $E$9)</f>
        <v>14.814500000000001</v>
      </c>
      <c r="D994" s="9">
        <f>14.8158 * CHOOSE(CONTROL!$C$32, $C$9, 100%, $E$9)</f>
        <v>14.815799999999999</v>
      </c>
      <c r="E994" s="11">
        <f>16.5129 * CHOOSE(CONTROL!$C$32, $C$9, 100%, $E$9)</f>
        <v>16.512899999999998</v>
      </c>
      <c r="F994" s="11">
        <f>16.5129 * CHOOSE(CONTROL!$C$32, $C$9, 100%, $E$9)</f>
        <v>16.512899999999998</v>
      </c>
      <c r="G994" s="11">
        <f>16.5171 * CHOOSE(CONTROL!$C$32, $C$9, 100%, $E$9)</f>
        <v>16.517099999999999</v>
      </c>
      <c r="H994" s="11">
        <f>35.2808 * CHOOSE(CONTROL!$C$32, $C$9, 100%, $E$9)</f>
        <v>35.280799999999999</v>
      </c>
      <c r="I994" s="11">
        <f>35.285 * CHOOSE(CONTROL!$C$32, $C$9, 100%, $E$9)</f>
        <v>35.284999999999997</v>
      </c>
      <c r="J994" s="11">
        <f>35.2808 * CHOOSE(CONTROL!$C$32, $C$9, 100%, $E$9)</f>
        <v>35.280799999999999</v>
      </c>
      <c r="K994" s="11">
        <f>35.285 * CHOOSE(CONTROL!$C$32, $C$9, 100%, $E$9)</f>
        <v>35.284999999999997</v>
      </c>
      <c r="L994" s="11">
        <f>16.5129 * CHOOSE(CONTROL!$C$32, $C$9, 100%, $E$9)</f>
        <v>16.512899999999998</v>
      </c>
      <c r="M994" s="11">
        <f>16.5171 * CHOOSE(CONTROL!$C$32, $C$9, 100%, $E$9)</f>
        <v>16.517099999999999</v>
      </c>
      <c r="N994" s="11">
        <f>16.5129 * CHOOSE(CONTROL!$C$32, $C$9, 100%, $E$9)</f>
        <v>16.512899999999998</v>
      </c>
      <c r="O994" s="11">
        <f>16.5171 * CHOOSE(CONTROL!$C$32, $C$9, 100%, $E$9)</f>
        <v>16.517099999999999</v>
      </c>
    </row>
    <row r="995" spans="1:15" ht="15" x14ac:dyDescent="0.2">
      <c r="A995" s="13">
        <v>71133</v>
      </c>
      <c r="B995" s="9">
        <f>14.85 * CHOOSE(CONTROL!$C$32, $C$9, 100%, $E$9)</f>
        <v>14.85</v>
      </c>
      <c r="C995" s="9">
        <f>14.85 * CHOOSE(CONTROL!$C$32, $C$9, 100%, $E$9)</f>
        <v>14.85</v>
      </c>
      <c r="D995" s="9">
        <f>14.851 * CHOOSE(CONTROL!$C$32, $C$9, 100%, $E$9)</f>
        <v>14.851000000000001</v>
      </c>
      <c r="E995" s="11">
        <f>16.6937 * CHOOSE(CONTROL!$C$32, $C$9, 100%, $E$9)</f>
        <v>16.6937</v>
      </c>
      <c r="F995" s="11">
        <f>16.6937 * CHOOSE(CONTROL!$C$32, $C$9, 100%, $E$9)</f>
        <v>16.6937</v>
      </c>
      <c r="G995" s="11">
        <f>16.697 * CHOOSE(CONTROL!$C$32, $C$9, 100%, $E$9)</f>
        <v>16.696999999999999</v>
      </c>
      <c r="H995" s="11">
        <f>35.3543 * CHOOSE(CONTROL!$C$32, $C$9, 100%, $E$9)</f>
        <v>35.354300000000002</v>
      </c>
      <c r="I995" s="11">
        <f>35.3576 * CHOOSE(CONTROL!$C$32, $C$9, 100%, $E$9)</f>
        <v>35.357599999999998</v>
      </c>
      <c r="J995" s="11">
        <f>35.3543 * CHOOSE(CONTROL!$C$32, $C$9, 100%, $E$9)</f>
        <v>35.354300000000002</v>
      </c>
      <c r="K995" s="11">
        <f>35.3576 * CHOOSE(CONTROL!$C$32, $C$9, 100%, $E$9)</f>
        <v>35.357599999999998</v>
      </c>
      <c r="L995" s="11">
        <f>16.6937 * CHOOSE(CONTROL!$C$32, $C$9, 100%, $E$9)</f>
        <v>16.6937</v>
      </c>
      <c r="M995" s="11">
        <f>16.697 * CHOOSE(CONTROL!$C$32, $C$9, 100%, $E$9)</f>
        <v>16.696999999999999</v>
      </c>
      <c r="N995" s="11">
        <f>16.6937 * CHOOSE(CONTROL!$C$32, $C$9, 100%, $E$9)</f>
        <v>16.6937</v>
      </c>
      <c r="O995" s="11">
        <f>16.697 * CHOOSE(CONTROL!$C$32, $C$9, 100%, $E$9)</f>
        <v>16.696999999999999</v>
      </c>
    </row>
    <row r="996" spans="1:15" ht="15" x14ac:dyDescent="0.2">
      <c r="A996" s="13">
        <v>71164</v>
      </c>
      <c r="B996" s="9">
        <f>14.8531 * CHOOSE(CONTROL!$C$32, $C$9, 100%, $E$9)</f>
        <v>14.8531</v>
      </c>
      <c r="C996" s="9">
        <f>14.8531 * CHOOSE(CONTROL!$C$32, $C$9, 100%, $E$9)</f>
        <v>14.8531</v>
      </c>
      <c r="D996" s="9">
        <f>14.854 * CHOOSE(CONTROL!$C$32, $C$9, 100%, $E$9)</f>
        <v>14.853999999999999</v>
      </c>
      <c r="E996" s="11">
        <f>16.793 * CHOOSE(CONTROL!$C$32, $C$9, 100%, $E$9)</f>
        <v>16.792999999999999</v>
      </c>
      <c r="F996" s="11">
        <f>16.793 * CHOOSE(CONTROL!$C$32, $C$9, 100%, $E$9)</f>
        <v>16.792999999999999</v>
      </c>
      <c r="G996" s="11">
        <f>16.7962 * CHOOSE(CONTROL!$C$32, $C$9, 100%, $E$9)</f>
        <v>16.796199999999999</v>
      </c>
      <c r="H996" s="11">
        <f>35.428 * CHOOSE(CONTROL!$C$32, $C$9, 100%, $E$9)</f>
        <v>35.427999999999997</v>
      </c>
      <c r="I996" s="11">
        <f>35.4312 * CHOOSE(CONTROL!$C$32, $C$9, 100%, $E$9)</f>
        <v>35.431199999999997</v>
      </c>
      <c r="J996" s="11">
        <f>35.428 * CHOOSE(CONTROL!$C$32, $C$9, 100%, $E$9)</f>
        <v>35.427999999999997</v>
      </c>
      <c r="K996" s="11">
        <f>35.4312 * CHOOSE(CONTROL!$C$32, $C$9, 100%, $E$9)</f>
        <v>35.431199999999997</v>
      </c>
      <c r="L996" s="11">
        <f>16.793 * CHOOSE(CONTROL!$C$32, $C$9, 100%, $E$9)</f>
        <v>16.792999999999999</v>
      </c>
      <c r="M996" s="11">
        <f>16.7962 * CHOOSE(CONTROL!$C$32, $C$9, 100%, $E$9)</f>
        <v>16.796199999999999</v>
      </c>
      <c r="N996" s="11">
        <f>16.793 * CHOOSE(CONTROL!$C$32, $C$9, 100%, $E$9)</f>
        <v>16.792999999999999</v>
      </c>
      <c r="O996" s="11">
        <f>16.7962 * CHOOSE(CONTROL!$C$32, $C$9, 100%, $E$9)</f>
        <v>16.796199999999999</v>
      </c>
    </row>
    <row r="997" spans="1:15" ht="15" x14ac:dyDescent="0.2">
      <c r="A997" s="13">
        <v>71194</v>
      </c>
      <c r="B997" s="9">
        <f>14.8531 * CHOOSE(CONTROL!$C$32, $C$9, 100%, $E$9)</f>
        <v>14.8531</v>
      </c>
      <c r="C997" s="9">
        <f>14.8531 * CHOOSE(CONTROL!$C$32, $C$9, 100%, $E$9)</f>
        <v>14.8531</v>
      </c>
      <c r="D997" s="9">
        <f>14.854 * CHOOSE(CONTROL!$C$32, $C$9, 100%, $E$9)</f>
        <v>14.853999999999999</v>
      </c>
      <c r="E997" s="11">
        <f>16.5501 * CHOOSE(CONTROL!$C$32, $C$9, 100%, $E$9)</f>
        <v>16.5501</v>
      </c>
      <c r="F997" s="11">
        <f>16.5501 * CHOOSE(CONTROL!$C$32, $C$9, 100%, $E$9)</f>
        <v>16.5501</v>
      </c>
      <c r="G997" s="11">
        <f>16.5534 * CHOOSE(CONTROL!$C$32, $C$9, 100%, $E$9)</f>
        <v>16.5534</v>
      </c>
      <c r="H997" s="11">
        <f>35.5018 * CHOOSE(CONTROL!$C$32, $C$9, 100%, $E$9)</f>
        <v>35.501800000000003</v>
      </c>
      <c r="I997" s="11">
        <f>35.505 * CHOOSE(CONTROL!$C$32, $C$9, 100%, $E$9)</f>
        <v>35.505000000000003</v>
      </c>
      <c r="J997" s="11">
        <f>35.5018 * CHOOSE(CONTROL!$C$32, $C$9, 100%, $E$9)</f>
        <v>35.501800000000003</v>
      </c>
      <c r="K997" s="11">
        <f>35.505 * CHOOSE(CONTROL!$C$32, $C$9, 100%, $E$9)</f>
        <v>35.505000000000003</v>
      </c>
      <c r="L997" s="11">
        <f>16.5501 * CHOOSE(CONTROL!$C$32, $C$9, 100%, $E$9)</f>
        <v>16.5501</v>
      </c>
      <c r="M997" s="11">
        <f>16.5534 * CHOOSE(CONTROL!$C$32, $C$9, 100%, $E$9)</f>
        <v>16.5534</v>
      </c>
      <c r="N997" s="11">
        <f>16.5501 * CHOOSE(CONTROL!$C$32, $C$9, 100%, $E$9)</f>
        <v>16.5501</v>
      </c>
      <c r="O997" s="11">
        <f>16.5534 * CHOOSE(CONTROL!$C$32, $C$9, 100%, $E$9)</f>
        <v>16.5534</v>
      </c>
    </row>
    <row r="998" spans="1:15" ht="15" x14ac:dyDescent="0.2">
      <c r="A998" s="13">
        <v>71225</v>
      </c>
      <c r="B998" s="9">
        <f>14.815 * CHOOSE(CONTROL!$C$32, $C$9, 100%, $E$9)</f>
        <v>14.815</v>
      </c>
      <c r="C998" s="9">
        <f>14.815 * CHOOSE(CONTROL!$C$32, $C$9, 100%, $E$9)</f>
        <v>14.815</v>
      </c>
      <c r="D998" s="9">
        <f>14.816 * CHOOSE(CONTROL!$C$32, $C$9, 100%, $E$9)</f>
        <v>14.816000000000001</v>
      </c>
      <c r="E998" s="11">
        <f>16.6831 * CHOOSE(CONTROL!$C$32, $C$9, 100%, $E$9)</f>
        <v>16.6831</v>
      </c>
      <c r="F998" s="11">
        <f>16.6831 * CHOOSE(CONTROL!$C$32, $C$9, 100%, $E$9)</f>
        <v>16.6831</v>
      </c>
      <c r="G998" s="11">
        <f>16.6863 * CHOOSE(CONTROL!$C$32, $C$9, 100%, $E$9)</f>
        <v>16.686299999999999</v>
      </c>
      <c r="H998" s="11">
        <f>35.1701 * CHOOSE(CONTROL!$C$32, $C$9, 100%, $E$9)</f>
        <v>35.170099999999998</v>
      </c>
      <c r="I998" s="11">
        <f>35.1733 * CHOOSE(CONTROL!$C$32, $C$9, 100%, $E$9)</f>
        <v>35.173299999999998</v>
      </c>
      <c r="J998" s="11">
        <f>35.1701 * CHOOSE(CONTROL!$C$32, $C$9, 100%, $E$9)</f>
        <v>35.170099999999998</v>
      </c>
      <c r="K998" s="11">
        <f>35.1733 * CHOOSE(CONTROL!$C$32, $C$9, 100%, $E$9)</f>
        <v>35.173299999999998</v>
      </c>
      <c r="L998" s="11">
        <f>16.6831 * CHOOSE(CONTROL!$C$32, $C$9, 100%, $E$9)</f>
        <v>16.6831</v>
      </c>
      <c r="M998" s="11">
        <f>16.6863 * CHOOSE(CONTROL!$C$32, $C$9, 100%, $E$9)</f>
        <v>16.686299999999999</v>
      </c>
      <c r="N998" s="11">
        <f>16.6831 * CHOOSE(CONTROL!$C$32, $C$9, 100%, $E$9)</f>
        <v>16.6831</v>
      </c>
      <c r="O998" s="11">
        <f>16.6863 * CHOOSE(CONTROL!$C$32, $C$9, 100%, $E$9)</f>
        <v>16.686299999999999</v>
      </c>
    </row>
    <row r="999" spans="1:15" ht="15" x14ac:dyDescent="0.2">
      <c r="A999" s="13">
        <v>71256</v>
      </c>
      <c r="B999" s="9">
        <f>14.812 * CHOOSE(CONTROL!$C$32, $C$9, 100%, $E$9)</f>
        <v>14.811999999999999</v>
      </c>
      <c r="C999" s="9">
        <f>14.812 * CHOOSE(CONTROL!$C$32, $C$9, 100%, $E$9)</f>
        <v>14.811999999999999</v>
      </c>
      <c r="D999" s="9">
        <f>14.8129 * CHOOSE(CONTROL!$C$32, $C$9, 100%, $E$9)</f>
        <v>14.812900000000001</v>
      </c>
      <c r="E999" s="11">
        <f>16.215 * CHOOSE(CONTROL!$C$32, $C$9, 100%, $E$9)</f>
        <v>16.215</v>
      </c>
      <c r="F999" s="11">
        <f>16.215 * CHOOSE(CONTROL!$C$32, $C$9, 100%, $E$9)</f>
        <v>16.215</v>
      </c>
      <c r="G999" s="11">
        <f>16.2182 * CHOOSE(CONTROL!$C$32, $C$9, 100%, $E$9)</f>
        <v>16.2182</v>
      </c>
      <c r="H999" s="11">
        <f>35.2434 * CHOOSE(CONTROL!$C$32, $C$9, 100%, $E$9)</f>
        <v>35.243400000000001</v>
      </c>
      <c r="I999" s="11">
        <f>35.2466 * CHOOSE(CONTROL!$C$32, $C$9, 100%, $E$9)</f>
        <v>35.246600000000001</v>
      </c>
      <c r="J999" s="11">
        <f>35.2434 * CHOOSE(CONTROL!$C$32, $C$9, 100%, $E$9)</f>
        <v>35.243400000000001</v>
      </c>
      <c r="K999" s="11">
        <f>35.2466 * CHOOSE(CONTROL!$C$32, $C$9, 100%, $E$9)</f>
        <v>35.246600000000001</v>
      </c>
      <c r="L999" s="11">
        <f>16.215 * CHOOSE(CONTROL!$C$32, $C$9, 100%, $E$9)</f>
        <v>16.215</v>
      </c>
      <c r="M999" s="11">
        <f>16.2182 * CHOOSE(CONTROL!$C$32, $C$9, 100%, $E$9)</f>
        <v>16.2182</v>
      </c>
      <c r="N999" s="11">
        <f>16.215 * CHOOSE(CONTROL!$C$32, $C$9, 100%, $E$9)</f>
        <v>16.215</v>
      </c>
      <c r="O999" s="11">
        <f>16.2182 * CHOOSE(CONTROL!$C$32, $C$9, 100%, $E$9)</f>
        <v>16.2182</v>
      </c>
    </row>
    <row r="1000" spans="1:15" ht="15" x14ac:dyDescent="0.2">
      <c r="A1000" s="13">
        <v>71284</v>
      </c>
      <c r="B1000" s="9">
        <f>14.8089 * CHOOSE(CONTROL!$C$32, $C$9, 100%, $E$9)</f>
        <v>14.8089</v>
      </c>
      <c r="C1000" s="9">
        <f>14.8089 * CHOOSE(CONTROL!$C$32, $C$9, 100%, $E$9)</f>
        <v>14.8089</v>
      </c>
      <c r="D1000" s="9">
        <f>14.8099 * CHOOSE(CONTROL!$C$32, $C$9, 100%, $E$9)</f>
        <v>14.809900000000001</v>
      </c>
      <c r="E1000" s="11">
        <f>16.5802 * CHOOSE(CONTROL!$C$32, $C$9, 100%, $E$9)</f>
        <v>16.580200000000001</v>
      </c>
      <c r="F1000" s="11">
        <f>16.5802 * CHOOSE(CONTROL!$C$32, $C$9, 100%, $E$9)</f>
        <v>16.580200000000001</v>
      </c>
      <c r="G1000" s="11">
        <f>16.5835 * CHOOSE(CONTROL!$C$32, $C$9, 100%, $E$9)</f>
        <v>16.583500000000001</v>
      </c>
      <c r="H1000" s="11">
        <f>35.3168 * CHOOSE(CONTROL!$C$32, $C$9, 100%, $E$9)</f>
        <v>35.316800000000001</v>
      </c>
      <c r="I1000" s="11">
        <f>35.32 * CHOOSE(CONTROL!$C$32, $C$9, 100%, $E$9)</f>
        <v>35.32</v>
      </c>
      <c r="J1000" s="11">
        <f>35.3168 * CHOOSE(CONTROL!$C$32, $C$9, 100%, $E$9)</f>
        <v>35.316800000000001</v>
      </c>
      <c r="K1000" s="11">
        <f>35.32 * CHOOSE(CONTROL!$C$32, $C$9, 100%, $E$9)</f>
        <v>35.32</v>
      </c>
      <c r="L1000" s="11">
        <f>16.5802 * CHOOSE(CONTROL!$C$32, $C$9, 100%, $E$9)</f>
        <v>16.580200000000001</v>
      </c>
      <c r="M1000" s="11">
        <f>16.5835 * CHOOSE(CONTROL!$C$32, $C$9, 100%, $E$9)</f>
        <v>16.583500000000001</v>
      </c>
      <c r="N1000" s="11">
        <f>16.5802 * CHOOSE(CONTROL!$C$32, $C$9, 100%, $E$9)</f>
        <v>16.580200000000001</v>
      </c>
      <c r="O1000" s="11">
        <f>16.5835 * CHOOSE(CONTROL!$C$32, $C$9, 100%, $E$9)</f>
        <v>16.583500000000001</v>
      </c>
    </row>
    <row r="1001" spans="1:15" ht="15" x14ac:dyDescent="0.2">
      <c r="A1001" s="13">
        <v>71315</v>
      </c>
      <c r="B1001" s="9">
        <f>14.8171 * CHOOSE(CONTROL!$C$32, $C$9, 100%, $E$9)</f>
        <v>14.8171</v>
      </c>
      <c r="C1001" s="9">
        <f>14.8171 * CHOOSE(CONTROL!$C$32, $C$9, 100%, $E$9)</f>
        <v>14.8171</v>
      </c>
      <c r="D1001" s="9">
        <f>14.8181 * CHOOSE(CONTROL!$C$32, $C$9, 100%, $E$9)</f>
        <v>14.818099999999999</v>
      </c>
      <c r="E1001" s="11">
        <f>16.9706 * CHOOSE(CONTROL!$C$32, $C$9, 100%, $E$9)</f>
        <v>16.970600000000001</v>
      </c>
      <c r="F1001" s="11">
        <f>16.9706 * CHOOSE(CONTROL!$C$32, $C$9, 100%, $E$9)</f>
        <v>16.970600000000001</v>
      </c>
      <c r="G1001" s="11">
        <f>16.9738 * CHOOSE(CONTROL!$C$32, $C$9, 100%, $E$9)</f>
        <v>16.973800000000001</v>
      </c>
      <c r="H1001" s="11">
        <f>35.3904 * CHOOSE(CONTROL!$C$32, $C$9, 100%, $E$9)</f>
        <v>35.3904</v>
      </c>
      <c r="I1001" s="11">
        <f>35.3936 * CHOOSE(CONTROL!$C$32, $C$9, 100%, $E$9)</f>
        <v>35.393599999999999</v>
      </c>
      <c r="J1001" s="11">
        <f>35.3904 * CHOOSE(CONTROL!$C$32, $C$9, 100%, $E$9)</f>
        <v>35.3904</v>
      </c>
      <c r="K1001" s="11">
        <f>35.3936 * CHOOSE(CONTROL!$C$32, $C$9, 100%, $E$9)</f>
        <v>35.393599999999999</v>
      </c>
      <c r="L1001" s="11">
        <f>16.9706 * CHOOSE(CONTROL!$C$32, $C$9, 100%, $E$9)</f>
        <v>16.970600000000001</v>
      </c>
      <c r="M1001" s="11">
        <f>16.9738 * CHOOSE(CONTROL!$C$32, $C$9, 100%, $E$9)</f>
        <v>16.973800000000001</v>
      </c>
      <c r="N1001" s="11">
        <f>16.9706 * CHOOSE(CONTROL!$C$32, $C$9, 100%, $E$9)</f>
        <v>16.970600000000001</v>
      </c>
      <c r="O1001" s="11">
        <f>16.9738 * CHOOSE(CONTROL!$C$32, $C$9, 100%, $E$9)</f>
        <v>16.973800000000001</v>
      </c>
    </row>
    <row r="1002" spans="1:15" ht="15" x14ac:dyDescent="0.2">
      <c r="A1002" s="13">
        <v>71345</v>
      </c>
      <c r="B1002" s="9">
        <f>14.8171 * CHOOSE(CONTROL!$C$32, $C$9, 100%, $E$9)</f>
        <v>14.8171</v>
      </c>
      <c r="C1002" s="9">
        <f>14.8171 * CHOOSE(CONTROL!$C$32, $C$9, 100%, $E$9)</f>
        <v>14.8171</v>
      </c>
      <c r="D1002" s="9">
        <f>14.8183 * CHOOSE(CONTROL!$C$32, $C$9, 100%, $E$9)</f>
        <v>14.818300000000001</v>
      </c>
      <c r="E1002" s="11">
        <f>17.1185 * CHOOSE(CONTROL!$C$32, $C$9, 100%, $E$9)</f>
        <v>17.118500000000001</v>
      </c>
      <c r="F1002" s="11">
        <f>17.1185 * CHOOSE(CONTROL!$C$32, $C$9, 100%, $E$9)</f>
        <v>17.118500000000001</v>
      </c>
      <c r="G1002" s="11">
        <f>17.1228 * CHOOSE(CONTROL!$C$32, $C$9, 100%, $E$9)</f>
        <v>17.122800000000002</v>
      </c>
      <c r="H1002" s="11">
        <f>35.4641 * CHOOSE(CONTROL!$C$32, $C$9, 100%, $E$9)</f>
        <v>35.464100000000002</v>
      </c>
      <c r="I1002" s="11">
        <f>35.4683 * CHOOSE(CONTROL!$C$32, $C$9, 100%, $E$9)</f>
        <v>35.468299999999999</v>
      </c>
      <c r="J1002" s="11">
        <f>35.4641 * CHOOSE(CONTROL!$C$32, $C$9, 100%, $E$9)</f>
        <v>35.464100000000002</v>
      </c>
      <c r="K1002" s="11">
        <f>35.4683 * CHOOSE(CONTROL!$C$32, $C$9, 100%, $E$9)</f>
        <v>35.468299999999999</v>
      </c>
      <c r="L1002" s="11">
        <f>17.1185 * CHOOSE(CONTROL!$C$32, $C$9, 100%, $E$9)</f>
        <v>17.118500000000001</v>
      </c>
      <c r="M1002" s="11">
        <f>17.1228 * CHOOSE(CONTROL!$C$32, $C$9, 100%, $E$9)</f>
        <v>17.122800000000002</v>
      </c>
      <c r="N1002" s="11">
        <f>17.1185 * CHOOSE(CONTROL!$C$32, $C$9, 100%, $E$9)</f>
        <v>17.118500000000001</v>
      </c>
      <c r="O1002" s="11">
        <f>17.1228 * CHOOSE(CONTROL!$C$32, $C$9, 100%, $E$9)</f>
        <v>17.122800000000002</v>
      </c>
    </row>
    <row r="1003" spans="1:15" ht="15" x14ac:dyDescent="0.2">
      <c r="A1003" s="13">
        <v>71376</v>
      </c>
      <c r="B1003" s="9">
        <f>14.8232 * CHOOSE(CONTROL!$C$32, $C$9, 100%, $E$9)</f>
        <v>14.8232</v>
      </c>
      <c r="C1003" s="9">
        <f>14.8232 * CHOOSE(CONTROL!$C$32, $C$9, 100%, $E$9)</f>
        <v>14.8232</v>
      </c>
      <c r="D1003" s="9">
        <f>14.8244 * CHOOSE(CONTROL!$C$32, $C$9, 100%, $E$9)</f>
        <v>14.824400000000001</v>
      </c>
      <c r="E1003" s="11">
        <f>16.9748 * CHOOSE(CONTROL!$C$32, $C$9, 100%, $E$9)</f>
        <v>16.974799999999998</v>
      </c>
      <c r="F1003" s="11">
        <f>16.9748 * CHOOSE(CONTROL!$C$32, $C$9, 100%, $E$9)</f>
        <v>16.974799999999998</v>
      </c>
      <c r="G1003" s="11">
        <f>16.979 * CHOOSE(CONTROL!$C$32, $C$9, 100%, $E$9)</f>
        <v>16.978999999999999</v>
      </c>
      <c r="H1003" s="11">
        <f>35.538 * CHOOSE(CONTROL!$C$32, $C$9, 100%, $E$9)</f>
        <v>35.537999999999997</v>
      </c>
      <c r="I1003" s="11">
        <f>35.5422 * CHOOSE(CONTROL!$C$32, $C$9, 100%, $E$9)</f>
        <v>35.542200000000001</v>
      </c>
      <c r="J1003" s="11">
        <f>35.538 * CHOOSE(CONTROL!$C$32, $C$9, 100%, $E$9)</f>
        <v>35.537999999999997</v>
      </c>
      <c r="K1003" s="11">
        <f>35.5422 * CHOOSE(CONTROL!$C$32, $C$9, 100%, $E$9)</f>
        <v>35.542200000000001</v>
      </c>
      <c r="L1003" s="11">
        <f>16.9748 * CHOOSE(CONTROL!$C$32, $C$9, 100%, $E$9)</f>
        <v>16.974799999999998</v>
      </c>
      <c r="M1003" s="11">
        <f>16.979 * CHOOSE(CONTROL!$C$32, $C$9, 100%, $E$9)</f>
        <v>16.978999999999999</v>
      </c>
      <c r="N1003" s="11">
        <f>16.9748 * CHOOSE(CONTROL!$C$32, $C$9, 100%, $E$9)</f>
        <v>16.974799999999998</v>
      </c>
      <c r="O1003" s="11">
        <f>16.979 * CHOOSE(CONTROL!$C$32, $C$9, 100%, $E$9)</f>
        <v>16.978999999999999</v>
      </c>
    </row>
    <row r="1004" spans="1:15" ht="15" x14ac:dyDescent="0.2">
      <c r="A1004" s="13">
        <v>71406</v>
      </c>
      <c r="B1004" s="9">
        <f>15.0005 * CHOOSE(CONTROL!$C$32, $C$9, 100%, $E$9)</f>
        <v>15.000500000000001</v>
      </c>
      <c r="C1004" s="9">
        <f>15.0005 * CHOOSE(CONTROL!$C$32, $C$9, 100%, $E$9)</f>
        <v>15.000500000000001</v>
      </c>
      <c r="D1004" s="9">
        <f>15.0017 * CHOOSE(CONTROL!$C$32, $C$9, 100%, $E$9)</f>
        <v>15.0017</v>
      </c>
      <c r="E1004" s="11">
        <f>17.2162 * CHOOSE(CONTROL!$C$32, $C$9, 100%, $E$9)</f>
        <v>17.216200000000001</v>
      </c>
      <c r="F1004" s="11">
        <f>17.2162 * CHOOSE(CONTROL!$C$32, $C$9, 100%, $E$9)</f>
        <v>17.216200000000001</v>
      </c>
      <c r="G1004" s="11">
        <f>17.2204 * CHOOSE(CONTROL!$C$32, $C$9, 100%, $E$9)</f>
        <v>17.220400000000001</v>
      </c>
      <c r="H1004" s="11">
        <f>35.612 * CHOOSE(CONTROL!$C$32, $C$9, 100%, $E$9)</f>
        <v>35.612000000000002</v>
      </c>
      <c r="I1004" s="11">
        <f>35.6162 * CHOOSE(CONTROL!$C$32, $C$9, 100%, $E$9)</f>
        <v>35.616199999999999</v>
      </c>
      <c r="J1004" s="11">
        <f>35.612 * CHOOSE(CONTROL!$C$32, $C$9, 100%, $E$9)</f>
        <v>35.612000000000002</v>
      </c>
      <c r="K1004" s="11">
        <f>35.6162 * CHOOSE(CONTROL!$C$32, $C$9, 100%, $E$9)</f>
        <v>35.616199999999999</v>
      </c>
      <c r="L1004" s="11">
        <f>17.2162 * CHOOSE(CONTROL!$C$32, $C$9, 100%, $E$9)</f>
        <v>17.216200000000001</v>
      </c>
      <c r="M1004" s="11">
        <f>17.2204 * CHOOSE(CONTROL!$C$32, $C$9, 100%, $E$9)</f>
        <v>17.220400000000001</v>
      </c>
      <c r="N1004" s="11">
        <f>17.2162 * CHOOSE(CONTROL!$C$32, $C$9, 100%, $E$9)</f>
        <v>17.216200000000001</v>
      </c>
      <c r="O1004" s="11">
        <f>17.2204 * CHOOSE(CONTROL!$C$32, $C$9, 100%, $E$9)</f>
        <v>17.220400000000001</v>
      </c>
    </row>
    <row r="1005" spans="1:15" ht="15" x14ac:dyDescent="0.2">
      <c r="A1005" s="13">
        <v>71437</v>
      </c>
      <c r="B1005" s="9">
        <f>15.0071 * CHOOSE(CONTROL!$C$32, $C$9, 100%, $E$9)</f>
        <v>15.007099999999999</v>
      </c>
      <c r="C1005" s="9">
        <f>15.0071 * CHOOSE(CONTROL!$C$32, $C$9, 100%, $E$9)</f>
        <v>15.007099999999999</v>
      </c>
      <c r="D1005" s="9">
        <f>15.0084 * CHOOSE(CONTROL!$C$32, $C$9, 100%, $E$9)</f>
        <v>15.0084</v>
      </c>
      <c r="E1005" s="11">
        <f>16.777 * CHOOSE(CONTROL!$C$32, $C$9, 100%, $E$9)</f>
        <v>16.777000000000001</v>
      </c>
      <c r="F1005" s="11">
        <f>16.777 * CHOOSE(CONTROL!$C$32, $C$9, 100%, $E$9)</f>
        <v>16.777000000000001</v>
      </c>
      <c r="G1005" s="11">
        <f>16.7812 * CHOOSE(CONTROL!$C$32, $C$9, 100%, $E$9)</f>
        <v>16.781199999999998</v>
      </c>
      <c r="H1005" s="11">
        <f>35.6862 * CHOOSE(CONTROL!$C$32, $C$9, 100%, $E$9)</f>
        <v>35.686199999999999</v>
      </c>
      <c r="I1005" s="11">
        <f>35.6904 * CHOOSE(CONTROL!$C$32, $C$9, 100%, $E$9)</f>
        <v>35.690399999999997</v>
      </c>
      <c r="J1005" s="11">
        <f>35.6862 * CHOOSE(CONTROL!$C$32, $C$9, 100%, $E$9)</f>
        <v>35.686199999999999</v>
      </c>
      <c r="K1005" s="11">
        <f>35.6904 * CHOOSE(CONTROL!$C$32, $C$9, 100%, $E$9)</f>
        <v>35.690399999999997</v>
      </c>
      <c r="L1005" s="11">
        <f>16.777 * CHOOSE(CONTROL!$C$32, $C$9, 100%, $E$9)</f>
        <v>16.777000000000001</v>
      </c>
      <c r="M1005" s="11">
        <f>16.7812 * CHOOSE(CONTROL!$C$32, $C$9, 100%, $E$9)</f>
        <v>16.781199999999998</v>
      </c>
      <c r="N1005" s="11">
        <f>16.777 * CHOOSE(CONTROL!$C$32, $C$9, 100%, $E$9)</f>
        <v>16.777000000000001</v>
      </c>
      <c r="O1005" s="11">
        <f>16.7812 * CHOOSE(CONTROL!$C$32, $C$9, 100%, $E$9)</f>
        <v>16.781199999999998</v>
      </c>
    </row>
    <row r="1006" spans="1:15" ht="15" x14ac:dyDescent="0.2">
      <c r="A1006" s="13">
        <v>71468</v>
      </c>
      <c r="B1006" s="9">
        <f>15.0041 * CHOOSE(CONTROL!$C$32, $C$9, 100%, $E$9)</f>
        <v>15.004099999999999</v>
      </c>
      <c r="C1006" s="9">
        <f>15.0041 * CHOOSE(CONTROL!$C$32, $C$9, 100%, $E$9)</f>
        <v>15.004099999999999</v>
      </c>
      <c r="D1006" s="9">
        <f>15.0054 * CHOOSE(CONTROL!$C$32, $C$9, 100%, $E$9)</f>
        <v>15.0054</v>
      </c>
      <c r="E1006" s="11">
        <f>16.7255 * CHOOSE(CONTROL!$C$32, $C$9, 100%, $E$9)</f>
        <v>16.7255</v>
      </c>
      <c r="F1006" s="11">
        <f>16.7255 * CHOOSE(CONTROL!$C$32, $C$9, 100%, $E$9)</f>
        <v>16.7255</v>
      </c>
      <c r="G1006" s="11">
        <f>16.7297 * CHOOSE(CONTROL!$C$32, $C$9, 100%, $E$9)</f>
        <v>16.729700000000001</v>
      </c>
      <c r="H1006" s="11">
        <f>35.7606 * CHOOSE(CONTROL!$C$32, $C$9, 100%, $E$9)</f>
        <v>35.760599999999997</v>
      </c>
      <c r="I1006" s="11">
        <f>35.7648 * CHOOSE(CONTROL!$C$32, $C$9, 100%, $E$9)</f>
        <v>35.764800000000001</v>
      </c>
      <c r="J1006" s="11">
        <f>35.7606 * CHOOSE(CONTROL!$C$32, $C$9, 100%, $E$9)</f>
        <v>35.760599999999997</v>
      </c>
      <c r="K1006" s="11">
        <f>35.7648 * CHOOSE(CONTROL!$C$32, $C$9, 100%, $E$9)</f>
        <v>35.764800000000001</v>
      </c>
      <c r="L1006" s="11">
        <f>16.7255 * CHOOSE(CONTROL!$C$32, $C$9, 100%, $E$9)</f>
        <v>16.7255</v>
      </c>
      <c r="M1006" s="11">
        <f>16.7297 * CHOOSE(CONTROL!$C$32, $C$9, 100%, $E$9)</f>
        <v>16.729700000000001</v>
      </c>
      <c r="N1006" s="11">
        <f>16.7255 * CHOOSE(CONTROL!$C$32, $C$9, 100%, $E$9)</f>
        <v>16.7255</v>
      </c>
      <c r="O1006" s="11">
        <f>16.7297 * CHOOSE(CONTROL!$C$32, $C$9, 100%, $E$9)</f>
        <v>16.729700000000001</v>
      </c>
    </row>
    <row r="1007" spans="1:15" ht="15" x14ac:dyDescent="0.2">
      <c r="A1007" s="13">
        <v>71498</v>
      </c>
      <c r="B1007" s="9">
        <f>15.0403 * CHOOSE(CONTROL!$C$32, $C$9, 100%, $E$9)</f>
        <v>15.0403</v>
      </c>
      <c r="C1007" s="9">
        <f>15.0403 * CHOOSE(CONTROL!$C$32, $C$9, 100%, $E$9)</f>
        <v>15.0403</v>
      </c>
      <c r="D1007" s="9">
        <f>15.0413 * CHOOSE(CONTROL!$C$32, $C$9, 100%, $E$9)</f>
        <v>15.0413</v>
      </c>
      <c r="E1007" s="11">
        <f>16.9094 * CHOOSE(CONTROL!$C$32, $C$9, 100%, $E$9)</f>
        <v>16.909400000000002</v>
      </c>
      <c r="F1007" s="11">
        <f>16.9094 * CHOOSE(CONTROL!$C$32, $C$9, 100%, $E$9)</f>
        <v>16.909400000000002</v>
      </c>
      <c r="G1007" s="11">
        <f>16.9126 * CHOOSE(CONTROL!$C$32, $C$9, 100%, $E$9)</f>
        <v>16.912600000000001</v>
      </c>
      <c r="H1007" s="11">
        <f>35.8351 * CHOOSE(CONTROL!$C$32, $C$9, 100%, $E$9)</f>
        <v>35.835099999999997</v>
      </c>
      <c r="I1007" s="11">
        <f>35.8383 * CHOOSE(CONTROL!$C$32, $C$9, 100%, $E$9)</f>
        <v>35.838299999999997</v>
      </c>
      <c r="J1007" s="11">
        <f>35.8351 * CHOOSE(CONTROL!$C$32, $C$9, 100%, $E$9)</f>
        <v>35.835099999999997</v>
      </c>
      <c r="K1007" s="11">
        <f>35.8383 * CHOOSE(CONTROL!$C$32, $C$9, 100%, $E$9)</f>
        <v>35.838299999999997</v>
      </c>
      <c r="L1007" s="11">
        <f>16.9094 * CHOOSE(CONTROL!$C$32, $C$9, 100%, $E$9)</f>
        <v>16.909400000000002</v>
      </c>
      <c r="M1007" s="11">
        <f>16.9126 * CHOOSE(CONTROL!$C$32, $C$9, 100%, $E$9)</f>
        <v>16.912600000000001</v>
      </c>
      <c r="N1007" s="11">
        <f>16.9094 * CHOOSE(CONTROL!$C$32, $C$9, 100%, $E$9)</f>
        <v>16.909400000000002</v>
      </c>
      <c r="O1007" s="11">
        <f>16.9126 * CHOOSE(CONTROL!$C$32, $C$9, 100%, $E$9)</f>
        <v>16.912600000000001</v>
      </c>
    </row>
    <row r="1008" spans="1:15" ht="15" x14ac:dyDescent="0.2">
      <c r="A1008" s="13">
        <v>71529</v>
      </c>
      <c r="B1008" s="9">
        <f>15.0434 * CHOOSE(CONTROL!$C$32, $C$9, 100%, $E$9)</f>
        <v>15.0434</v>
      </c>
      <c r="C1008" s="9">
        <f>15.0434 * CHOOSE(CONTROL!$C$32, $C$9, 100%, $E$9)</f>
        <v>15.0434</v>
      </c>
      <c r="D1008" s="9">
        <f>15.0443 * CHOOSE(CONTROL!$C$32, $C$9, 100%, $E$9)</f>
        <v>15.0443</v>
      </c>
      <c r="E1008" s="11">
        <f>17.0102 * CHOOSE(CONTROL!$C$32, $C$9, 100%, $E$9)</f>
        <v>17.010200000000001</v>
      </c>
      <c r="F1008" s="11">
        <f>17.0102 * CHOOSE(CONTROL!$C$32, $C$9, 100%, $E$9)</f>
        <v>17.010200000000001</v>
      </c>
      <c r="G1008" s="11">
        <f>17.0134 * CHOOSE(CONTROL!$C$32, $C$9, 100%, $E$9)</f>
        <v>17.013400000000001</v>
      </c>
      <c r="H1008" s="11">
        <f>35.9097 * CHOOSE(CONTROL!$C$32, $C$9, 100%, $E$9)</f>
        <v>35.909700000000001</v>
      </c>
      <c r="I1008" s="11">
        <f>35.9129 * CHOOSE(CONTROL!$C$32, $C$9, 100%, $E$9)</f>
        <v>35.9129</v>
      </c>
      <c r="J1008" s="11">
        <f>35.9097 * CHOOSE(CONTROL!$C$32, $C$9, 100%, $E$9)</f>
        <v>35.909700000000001</v>
      </c>
      <c r="K1008" s="11">
        <f>35.9129 * CHOOSE(CONTROL!$C$32, $C$9, 100%, $E$9)</f>
        <v>35.9129</v>
      </c>
      <c r="L1008" s="11">
        <f>17.0102 * CHOOSE(CONTROL!$C$32, $C$9, 100%, $E$9)</f>
        <v>17.010200000000001</v>
      </c>
      <c r="M1008" s="11">
        <f>17.0134 * CHOOSE(CONTROL!$C$32, $C$9, 100%, $E$9)</f>
        <v>17.013400000000001</v>
      </c>
      <c r="N1008" s="11">
        <f>17.0102 * CHOOSE(CONTROL!$C$32, $C$9, 100%, $E$9)</f>
        <v>17.010200000000001</v>
      </c>
      <c r="O1008" s="11">
        <f>17.0134 * CHOOSE(CONTROL!$C$32, $C$9, 100%, $E$9)</f>
        <v>17.013400000000001</v>
      </c>
    </row>
    <row r="1009" spans="1:15" ht="15" x14ac:dyDescent="0.2">
      <c r="A1009" s="13">
        <v>71559</v>
      </c>
      <c r="B1009" s="9">
        <f>15.0434 * CHOOSE(CONTROL!$C$32, $C$9, 100%, $E$9)</f>
        <v>15.0434</v>
      </c>
      <c r="C1009" s="9">
        <f>15.0434 * CHOOSE(CONTROL!$C$32, $C$9, 100%, $E$9)</f>
        <v>15.0434</v>
      </c>
      <c r="D1009" s="9">
        <f>15.0443 * CHOOSE(CONTROL!$C$32, $C$9, 100%, $E$9)</f>
        <v>15.0443</v>
      </c>
      <c r="E1009" s="11">
        <f>16.7636 * CHOOSE(CONTROL!$C$32, $C$9, 100%, $E$9)</f>
        <v>16.7636</v>
      </c>
      <c r="F1009" s="11">
        <f>16.7636 * CHOOSE(CONTROL!$C$32, $C$9, 100%, $E$9)</f>
        <v>16.7636</v>
      </c>
      <c r="G1009" s="11">
        <f>16.7668 * CHOOSE(CONTROL!$C$32, $C$9, 100%, $E$9)</f>
        <v>16.7668</v>
      </c>
      <c r="H1009" s="11">
        <f>35.9845 * CHOOSE(CONTROL!$C$32, $C$9, 100%, $E$9)</f>
        <v>35.984499999999997</v>
      </c>
      <c r="I1009" s="11">
        <f>35.9878 * CHOOSE(CONTROL!$C$32, $C$9, 100%, $E$9)</f>
        <v>35.9878</v>
      </c>
      <c r="J1009" s="11">
        <f>35.9845 * CHOOSE(CONTROL!$C$32, $C$9, 100%, $E$9)</f>
        <v>35.984499999999997</v>
      </c>
      <c r="K1009" s="11">
        <f>35.9878 * CHOOSE(CONTROL!$C$32, $C$9, 100%, $E$9)</f>
        <v>35.9878</v>
      </c>
      <c r="L1009" s="11">
        <f>16.7636 * CHOOSE(CONTROL!$C$32, $C$9, 100%, $E$9)</f>
        <v>16.7636</v>
      </c>
      <c r="M1009" s="11">
        <f>16.7668 * CHOOSE(CONTROL!$C$32, $C$9, 100%, $E$9)</f>
        <v>16.7668</v>
      </c>
      <c r="N1009" s="11">
        <f>16.7636 * CHOOSE(CONTROL!$C$32, $C$9, 100%, $E$9)</f>
        <v>16.7636</v>
      </c>
      <c r="O1009" s="11">
        <f>16.7668 * CHOOSE(CONTROL!$C$32, $C$9, 100%, $E$9)</f>
        <v>16.7668</v>
      </c>
    </row>
    <row r="1010" spans="1:15" ht="15" x14ac:dyDescent="0.2">
      <c r="A1010" s="13">
        <v>71590</v>
      </c>
      <c r="B1010" s="9">
        <f>15.0024 * CHOOSE(CONTROL!$C$32, $C$9, 100%, $E$9)</f>
        <v>15.0024</v>
      </c>
      <c r="C1010" s="9">
        <f>15.0024 * CHOOSE(CONTROL!$C$32, $C$9, 100%, $E$9)</f>
        <v>15.0024</v>
      </c>
      <c r="D1010" s="9">
        <f>15.0033 * CHOOSE(CONTROL!$C$32, $C$9, 100%, $E$9)</f>
        <v>15.003299999999999</v>
      </c>
      <c r="E1010" s="11">
        <f>16.8956 * CHOOSE(CONTROL!$C$32, $C$9, 100%, $E$9)</f>
        <v>16.895600000000002</v>
      </c>
      <c r="F1010" s="11">
        <f>16.8956 * CHOOSE(CONTROL!$C$32, $C$9, 100%, $E$9)</f>
        <v>16.895600000000002</v>
      </c>
      <c r="G1010" s="11">
        <f>16.8989 * CHOOSE(CONTROL!$C$32, $C$9, 100%, $E$9)</f>
        <v>16.898900000000001</v>
      </c>
      <c r="H1010" s="11">
        <f>35.6419 * CHOOSE(CONTROL!$C$32, $C$9, 100%, $E$9)</f>
        <v>35.6419</v>
      </c>
      <c r="I1010" s="11">
        <f>35.6451 * CHOOSE(CONTROL!$C$32, $C$9, 100%, $E$9)</f>
        <v>35.645099999999999</v>
      </c>
      <c r="J1010" s="11">
        <f>35.6419 * CHOOSE(CONTROL!$C$32, $C$9, 100%, $E$9)</f>
        <v>35.6419</v>
      </c>
      <c r="K1010" s="11">
        <f>35.6451 * CHOOSE(CONTROL!$C$32, $C$9, 100%, $E$9)</f>
        <v>35.645099999999999</v>
      </c>
      <c r="L1010" s="11">
        <f>16.8956 * CHOOSE(CONTROL!$C$32, $C$9, 100%, $E$9)</f>
        <v>16.895600000000002</v>
      </c>
      <c r="M1010" s="11">
        <f>16.8989 * CHOOSE(CONTROL!$C$32, $C$9, 100%, $E$9)</f>
        <v>16.898900000000001</v>
      </c>
      <c r="N1010" s="11">
        <f>16.8956 * CHOOSE(CONTROL!$C$32, $C$9, 100%, $E$9)</f>
        <v>16.895600000000002</v>
      </c>
      <c r="O1010" s="11">
        <f>16.8989 * CHOOSE(CONTROL!$C$32, $C$9, 100%, $E$9)</f>
        <v>16.898900000000001</v>
      </c>
    </row>
    <row r="1011" spans="1:15" ht="15" x14ac:dyDescent="0.2">
      <c r="A1011" s="13">
        <v>71621</v>
      </c>
      <c r="B1011" s="9">
        <f>14.9993 * CHOOSE(CONTROL!$C$32, $C$9, 100%, $E$9)</f>
        <v>14.9993</v>
      </c>
      <c r="C1011" s="9">
        <f>14.9993 * CHOOSE(CONTROL!$C$32, $C$9, 100%, $E$9)</f>
        <v>14.9993</v>
      </c>
      <c r="D1011" s="9">
        <f>15.0003 * CHOOSE(CONTROL!$C$32, $C$9, 100%, $E$9)</f>
        <v>15.000299999999999</v>
      </c>
      <c r="E1011" s="11">
        <f>16.4204 * CHOOSE(CONTROL!$C$32, $C$9, 100%, $E$9)</f>
        <v>16.420400000000001</v>
      </c>
      <c r="F1011" s="11">
        <f>16.4204 * CHOOSE(CONTROL!$C$32, $C$9, 100%, $E$9)</f>
        <v>16.420400000000001</v>
      </c>
      <c r="G1011" s="11">
        <f>16.4236 * CHOOSE(CONTROL!$C$32, $C$9, 100%, $E$9)</f>
        <v>16.4236</v>
      </c>
      <c r="H1011" s="11">
        <f>35.7162 * CHOOSE(CONTROL!$C$32, $C$9, 100%, $E$9)</f>
        <v>35.716200000000001</v>
      </c>
      <c r="I1011" s="11">
        <f>35.7194 * CHOOSE(CONTROL!$C$32, $C$9, 100%, $E$9)</f>
        <v>35.7194</v>
      </c>
      <c r="J1011" s="11">
        <f>35.7162 * CHOOSE(CONTROL!$C$32, $C$9, 100%, $E$9)</f>
        <v>35.716200000000001</v>
      </c>
      <c r="K1011" s="11">
        <f>35.7194 * CHOOSE(CONTROL!$C$32, $C$9, 100%, $E$9)</f>
        <v>35.7194</v>
      </c>
      <c r="L1011" s="11">
        <f>16.4204 * CHOOSE(CONTROL!$C$32, $C$9, 100%, $E$9)</f>
        <v>16.420400000000001</v>
      </c>
      <c r="M1011" s="11">
        <f>16.4236 * CHOOSE(CONTROL!$C$32, $C$9, 100%, $E$9)</f>
        <v>16.4236</v>
      </c>
      <c r="N1011" s="11">
        <f>16.4204 * CHOOSE(CONTROL!$C$32, $C$9, 100%, $E$9)</f>
        <v>16.420400000000001</v>
      </c>
      <c r="O1011" s="11">
        <f>16.4236 * CHOOSE(CONTROL!$C$32, $C$9, 100%, $E$9)</f>
        <v>16.4236</v>
      </c>
    </row>
    <row r="1012" spans="1:15" ht="15" x14ac:dyDescent="0.2">
      <c r="A1012" s="13">
        <v>71650</v>
      </c>
      <c r="B1012" s="9">
        <f>14.9963 * CHOOSE(CONTROL!$C$32, $C$9, 100%, $E$9)</f>
        <v>14.9963</v>
      </c>
      <c r="C1012" s="9">
        <f>14.9963 * CHOOSE(CONTROL!$C$32, $C$9, 100%, $E$9)</f>
        <v>14.9963</v>
      </c>
      <c r="D1012" s="9">
        <f>14.9973 * CHOOSE(CONTROL!$C$32, $C$9, 100%, $E$9)</f>
        <v>14.997299999999999</v>
      </c>
      <c r="E1012" s="11">
        <f>16.7912 * CHOOSE(CONTROL!$C$32, $C$9, 100%, $E$9)</f>
        <v>16.7912</v>
      </c>
      <c r="F1012" s="11">
        <f>16.7912 * CHOOSE(CONTROL!$C$32, $C$9, 100%, $E$9)</f>
        <v>16.7912</v>
      </c>
      <c r="G1012" s="11">
        <f>16.7945 * CHOOSE(CONTROL!$C$32, $C$9, 100%, $E$9)</f>
        <v>16.794499999999999</v>
      </c>
      <c r="H1012" s="11">
        <f>35.7906 * CHOOSE(CONTROL!$C$32, $C$9, 100%, $E$9)</f>
        <v>35.790599999999998</v>
      </c>
      <c r="I1012" s="11">
        <f>35.7938 * CHOOSE(CONTROL!$C$32, $C$9, 100%, $E$9)</f>
        <v>35.793799999999997</v>
      </c>
      <c r="J1012" s="11">
        <f>35.7906 * CHOOSE(CONTROL!$C$32, $C$9, 100%, $E$9)</f>
        <v>35.790599999999998</v>
      </c>
      <c r="K1012" s="11">
        <f>35.7938 * CHOOSE(CONTROL!$C$32, $C$9, 100%, $E$9)</f>
        <v>35.793799999999997</v>
      </c>
      <c r="L1012" s="11">
        <f>16.7912 * CHOOSE(CONTROL!$C$32, $C$9, 100%, $E$9)</f>
        <v>16.7912</v>
      </c>
      <c r="M1012" s="11">
        <f>16.7945 * CHOOSE(CONTROL!$C$32, $C$9, 100%, $E$9)</f>
        <v>16.794499999999999</v>
      </c>
      <c r="N1012" s="11">
        <f>16.7912 * CHOOSE(CONTROL!$C$32, $C$9, 100%, $E$9)</f>
        <v>16.7912</v>
      </c>
      <c r="O1012" s="11">
        <f>16.7945 * CHOOSE(CONTROL!$C$32, $C$9, 100%, $E$9)</f>
        <v>16.794499999999999</v>
      </c>
    </row>
    <row r="1013" spans="1:15" ht="15" x14ac:dyDescent="0.2">
      <c r="A1013" s="13">
        <v>71681</v>
      </c>
      <c r="B1013" s="9">
        <f>15.0046 * CHOOSE(CONTROL!$C$32, $C$9, 100%, $E$9)</f>
        <v>15.0046</v>
      </c>
      <c r="C1013" s="9">
        <f>15.0046 * CHOOSE(CONTROL!$C$32, $C$9, 100%, $E$9)</f>
        <v>15.0046</v>
      </c>
      <c r="D1013" s="9">
        <f>15.0056 * CHOOSE(CONTROL!$C$32, $C$9, 100%, $E$9)</f>
        <v>15.005599999999999</v>
      </c>
      <c r="E1013" s="11">
        <f>17.1876 * CHOOSE(CONTROL!$C$32, $C$9, 100%, $E$9)</f>
        <v>17.1876</v>
      </c>
      <c r="F1013" s="11">
        <f>17.1876 * CHOOSE(CONTROL!$C$32, $C$9, 100%, $E$9)</f>
        <v>17.1876</v>
      </c>
      <c r="G1013" s="11">
        <f>17.1908 * CHOOSE(CONTROL!$C$32, $C$9, 100%, $E$9)</f>
        <v>17.190799999999999</v>
      </c>
      <c r="H1013" s="11">
        <f>35.8651 * CHOOSE(CONTROL!$C$32, $C$9, 100%, $E$9)</f>
        <v>35.865099999999998</v>
      </c>
      <c r="I1013" s="11">
        <f>35.8684 * CHOOSE(CONTROL!$C$32, $C$9, 100%, $E$9)</f>
        <v>35.868400000000001</v>
      </c>
      <c r="J1013" s="11">
        <f>35.8651 * CHOOSE(CONTROL!$C$32, $C$9, 100%, $E$9)</f>
        <v>35.865099999999998</v>
      </c>
      <c r="K1013" s="11">
        <f>35.8684 * CHOOSE(CONTROL!$C$32, $C$9, 100%, $E$9)</f>
        <v>35.868400000000001</v>
      </c>
      <c r="L1013" s="11">
        <f>17.1876 * CHOOSE(CONTROL!$C$32, $C$9, 100%, $E$9)</f>
        <v>17.1876</v>
      </c>
      <c r="M1013" s="11">
        <f>17.1908 * CHOOSE(CONTROL!$C$32, $C$9, 100%, $E$9)</f>
        <v>17.190799999999999</v>
      </c>
      <c r="N1013" s="11">
        <f>17.1876 * CHOOSE(CONTROL!$C$32, $C$9, 100%, $E$9)</f>
        <v>17.1876</v>
      </c>
      <c r="O1013" s="11">
        <f>17.1908 * CHOOSE(CONTROL!$C$32, $C$9, 100%, $E$9)</f>
        <v>17.190799999999999</v>
      </c>
    </row>
    <row r="1014" spans="1:15" ht="15" x14ac:dyDescent="0.2">
      <c r="A1014" s="13">
        <v>71711</v>
      </c>
      <c r="B1014" s="9">
        <f>15.0046 * CHOOSE(CONTROL!$C$32, $C$9, 100%, $E$9)</f>
        <v>15.0046</v>
      </c>
      <c r="C1014" s="9">
        <f>15.0046 * CHOOSE(CONTROL!$C$32, $C$9, 100%, $E$9)</f>
        <v>15.0046</v>
      </c>
      <c r="D1014" s="9">
        <f>15.0059 * CHOOSE(CONTROL!$C$32, $C$9, 100%, $E$9)</f>
        <v>15.0059</v>
      </c>
      <c r="E1014" s="11">
        <f>17.3378 * CHOOSE(CONTROL!$C$32, $C$9, 100%, $E$9)</f>
        <v>17.337800000000001</v>
      </c>
      <c r="F1014" s="11">
        <f>17.3378 * CHOOSE(CONTROL!$C$32, $C$9, 100%, $E$9)</f>
        <v>17.337800000000001</v>
      </c>
      <c r="G1014" s="11">
        <f>17.342 * CHOOSE(CONTROL!$C$32, $C$9, 100%, $E$9)</f>
        <v>17.341999999999999</v>
      </c>
      <c r="H1014" s="11">
        <f>35.9398 * CHOOSE(CONTROL!$C$32, $C$9, 100%, $E$9)</f>
        <v>35.939799999999998</v>
      </c>
      <c r="I1014" s="11">
        <f>35.944 * CHOOSE(CONTROL!$C$32, $C$9, 100%, $E$9)</f>
        <v>35.944000000000003</v>
      </c>
      <c r="J1014" s="11">
        <f>35.9398 * CHOOSE(CONTROL!$C$32, $C$9, 100%, $E$9)</f>
        <v>35.939799999999998</v>
      </c>
      <c r="K1014" s="11">
        <f>35.944 * CHOOSE(CONTROL!$C$32, $C$9, 100%, $E$9)</f>
        <v>35.944000000000003</v>
      </c>
      <c r="L1014" s="11">
        <f>17.3378 * CHOOSE(CONTROL!$C$32, $C$9, 100%, $E$9)</f>
        <v>17.337800000000001</v>
      </c>
      <c r="M1014" s="11">
        <f>17.342 * CHOOSE(CONTROL!$C$32, $C$9, 100%, $E$9)</f>
        <v>17.341999999999999</v>
      </c>
      <c r="N1014" s="11">
        <f>17.3378 * CHOOSE(CONTROL!$C$32, $C$9, 100%, $E$9)</f>
        <v>17.337800000000001</v>
      </c>
      <c r="O1014" s="11">
        <f>17.342 * CHOOSE(CONTROL!$C$32, $C$9, 100%, $E$9)</f>
        <v>17.341999999999999</v>
      </c>
    </row>
    <row r="1015" spans="1:15" ht="15" x14ac:dyDescent="0.2">
      <c r="A1015" s="13">
        <v>71742</v>
      </c>
      <c r="B1015" s="9">
        <f>15.0107 * CHOOSE(CONTROL!$C$32, $C$9, 100%, $E$9)</f>
        <v>15.0107</v>
      </c>
      <c r="C1015" s="9">
        <f>15.0107 * CHOOSE(CONTROL!$C$32, $C$9, 100%, $E$9)</f>
        <v>15.0107</v>
      </c>
      <c r="D1015" s="9">
        <f>15.012 * CHOOSE(CONTROL!$C$32, $C$9, 100%, $E$9)</f>
        <v>15.012</v>
      </c>
      <c r="E1015" s="11">
        <f>17.1918 * CHOOSE(CONTROL!$C$32, $C$9, 100%, $E$9)</f>
        <v>17.191800000000001</v>
      </c>
      <c r="F1015" s="11">
        <f>17.1918 * CHOOSE(CONTROL!$C$32, $C$9, 100%, $E$9)</f>
        <v>17.191800000000001</v>
      </c>
      <c r="G1015" s="11">
        <f>17.196 * CHOOSE(CONTROL!$C$32, $C$9, 100%, $E$9)</f>
        <v>17.196000000000002</v>
      </c>
      <c r="H1015" s="11">
        <f>36.0147 * CHOOSE(CONTROL!$C$32, $C$9, 100%, $E$9)</f>
        <v>36.014699999999998</v>
      </c>
      <c r="I1015" s="11">
        <f>36.0189 * CHOOSE(CONTROL!$C$32, $C$9, 100%, $E$9)</f>
        <v>36.018900000000002</v>
      </c>
      <c r="J1015" s="11">
        <f>36.0147 * CHOOSE(CONTROL!$C$32, $C$9, 100%, $E$9)</f>
        <v>36.014699999999998</v>
      </c>
      <c r="K1015" s="11">
        <f>36.0189 * CHOOSE(CONTROL!$C$32, $C$9, 100%, $E$9)</f>
        <v>36.018900000000002</v>
      </c>
      <c r="L1015" s="11">
        <f>17.1918 * CHOOSE(CONTROL!$C$32, $C$9, 100%, $E$9)</f>
        <v>17.191800000000001</v>
      </c>
      <c r="M1015" s="11">
        <f>17.196 * CHOOSE(CONTROL!$C$32, $C$9, 100%, $E$9)</f>
        <v>17.196000000000002</v>
      </c>
      <c r="N1015" s="11">
        <f>17.1918 * CHOOSE(CONTROL!$C$32, $C$9, 100%, $E$9)</f>
        <v>17.191800000000001</v>
      </c>
      <c r="O1015" s="11">
        <f>17.196 * CHOOSE(CONTROL!$C$32, $C$9, 100%, $E$9)</f>
        <v>17.196000000000002</v>
      </c>
    </row>
    <row r="1016" spans="1:15" ht="15" x14ac:dyDescent="0.2">
      <c r="A1016" s="13">
        <v>71772</v>
      </c>
      <c r="B1016" s="9">
        <f>15.1901 * CHOOSE(CONTROL!$C$32, $C$9, 100%, $E$9)</f>
        <v>15.190099999999999</v>
      </c>
      <c r="C1016" s="9">
        <f>15.1901 * CHOOSE(CONTROL!$C$32, $C$9, 100%, $E$9)</f>
        <v>15.190099999999999</v>
      </c>
      <c r="D1016" s="9">
        <f>15.1913 * CHOOSE(CONTROL!$C$32, $C$9, 100%, $E$9)</f>
        <v>15.1913</v>
      </c>
      <c r="E1016" s="11">
        <f>17.4364 * CHOOSE(CONTROL!$C$32, $C$9, 100%, $E$9)</f>
        <v>17.436399999999999</v>
      </c>
      <c r="F1016" s="11">
        <f>17.4364 * CHOOSE(CONTROL!$C$32, $C$9, 100%, $E$9)</f>
        <v>17.436399999999999</v>
      </c>
      <c r="G1016" s="11">
        <f>17.4406 * CHOOSE(CONTROL!$C$32, $C$9, 100%, $E$9)</f>
        <v>17.4406</v>
      </c>
      <c r="H1016" s="11">
        <f>36.0897 * CHOOSE(CONTROL!$C$32, $C$9, 100%, $E$9)</f>
        <v>36.089700000000001</v>
      </c>
      <c r="I1016" s="11">
        <f>36.094 * CHOOSE(CONTROL!$C$32, $C$9, 100%, $E$9)</f>
        <v>36.094000000000001</v>
      </c>
      <c r="J1016" s="11">
        <f>36.0897 * CHOOSE(CONTROL!$C$32, $C$9, 100%, $E$9)</f>
        <v>36.089700000000001</v>
      </c>
      <c r="K1016" s="11">
        <f>36.094 * CHOOSE(CONTROL!$C$32, $C$9, 100%, $E$9)</f>
        <v>36.094000000000001</v>
      </c>
      <c r="L1016" s="11">
        <f>17.4364 * CHOOSE(CONTROL!$C$32, $C$9, 100%, $E$9)</f>
        <v>17.436399999999999</v>
      </c>
      <c r="M1016" s="11">
        <f>17.4406 * CHOOSE(CONTROL!$C$32, $C$9, 100%, $E$9)</f>
        <v>17.4406</v>
      </c>
      <c r="N1016" s="11">
        <f>17.4364 * CHOOSE(CONTROL!$C$32, $C$9, 100%, $E$9)</f>
        <v>17.436399999999999</v>
      </c>
      <c r="O1016" s="11">
        <f>17.4406 * CHOOSE(CONTROL!$C$32, $C$9, 100%, $E$9)</f>
        <v>17.4406</v>
      </c>
    </row>
    <row r="1017" spans="1:15" ht="15" x14ac:dyDescent="0.2">
      <c r="A1017" s="13">
        <v>71803</v>
      </c>
      <c r="B1017" s="9">
        <f>15.1967 * CHOOSE(CONTROL!$C$32, $C$9, 100%, $E$9)</f>
        <v>15.1967</v>
      </c>
      <c r="C1017" s="9">
        <f>15.1967 * CHOOSE(CONTROL!$C$32, $C$9, 100%, $E$9)</f>
        <v>15.1967</v>
      </c>
      <c r="D1017" s="9">
        <f>15.198 * CHOOSE(CONTROL!$C$32, $C$9, 100%, $E$9)</f>
        <v>15.198</v>
      </c>
      <c r="E1017" s="11">
        <f>16.9904 * CHOOSE(CONTROL!$C$32, $C$9, 100%, $E$9)</f>
        <v>16.990400000000001</v>
      </c>
      <c r="F1017" s="11">
        <f>16.9904 * CHOOSE(CONTROL!$C$32, $C$9, 100%, $E$9)</f>
        <v>16.990400000000001</v>
      </c>
      <c r="G1017" s="11">
        <f>16.9946 * CHOOSE(CONTROL!$C$32, $C$9, 100%, $E$9)</f>
        <v>16.994599999999998</v>
      </c>
      <c r="H1017" s="11">
        <f>36.1649 * CHOOSE(CONTROL!$C$32, $C$9, 100%, $E$9)</f>
        <v>36.164900000000003</v>
      </c>
      <c r="I1017" s="11">
        <f>36.1691 * CHOOSE(CONTROL!$C$32, $C$9, 100%, $E$9)</f>
        <v>36.1691</v>
      </c>
      <c r="J1017" s="11">
        <f>36.1649 * CHOOSE(CONTROL!$C$32, $C$9, 100%, $E$9)</f>
        <v>36.164900000000003</v>
      </c>
      <c r="K1017" s="11">
        <f>36.1691 * CHOOSE(CONTROL!$C$32, $C$9, 100%, $E$9)</f>
        <v>36.1691</v>
      </c>
      <c r="L1017" s="11">
        <f>16.9904 * CHOOSE(CONTROL!$C$32, $C$9, 100%, $E$9)</f>
        <v>16.990400000000001</v>
      </c>
      <c r="M1017" s="11">
        <f>16.9946 * CHOOSE(CONTROL!$C$32, $C$9, 100%, $E$9)</f>
        <v>16.994599999999998</v>
      </c>
      <c r="N1017" s="11">
        <f>16.9904 * CHOOSE(CONTROL!$C$32, $C$9, 100%, $E$9)</f>
        <v>16.990400000000001</v>
      </c>
      <c r="O1017" s="11">
        <f>16.9946 * CHOOSE(CONTROL!$C$32, $C$9, 100%, $E$9)</f>
        <v>16.994599999999998</v>
      </c>
    </row>
    <row r="1018" spans="1:15" ht="15" x14ac:dyDescent="0.2">
      <c r="A1018" s="13">
        <v>71834</v>
      </c>
      <c r="B1018" s="9">
        <f>15.1937 * CHOOSE(CONTROL!$C$32, $C$9, 100%, $E$9)</f>
        <v>15.1937</v>
      </c>
      <c r="C1018" s="9">
        <f>15.1937 * CHOOSE(CONTROL!$C$32, $C$9, 100%, $E$9)</f>
        <v>15.1937</v>
      </c>
      <c r="D1018" s="9">
        <f>15.1949 * CHOOSE(CONTROL!$C$32, $C$9, 100%, $E$9)</f>
        <v>15.194900000000001</v>
      </c>
      <c r="E1018" s="11">
        <f>16.9382 * CHOOSE(CONTROL!$C$32, $C$9, 100%, $E$9)</f>
        <v>16.938199999999998</v>
      </c>
      <c r="F1018" s="11">
        <f>16.9382 * CHOOSE(CONTROL!$C$32, $C$9, 100%, $E$9)</f>
        <v>16.938199999999998</v>
      </c>
      <c r="G1018" s="11">
        <f>16.9424 * CHOOSE(CONTROL!$C$32, $C$9, 100%, $E$9)</f>
        <v>16.942399999999999</v>
      </c>
      <c r="H1018" s="11">
        <f>36.2403 * CHOOSE(CONTROL!$C$32, $C$9, 100%, $E$9)</f>
        <v>36.240299999999998</v>
      </c>
      <c r="I1018" s="11">
        <f>36.2445 * CHOOSE(CONTROL!$C$32, $C$9, 100%, $E$9)</f>
        <v>36.244500000000002</v>
      </c>
      <c r="J1018" s="11">
        <f>36.2403 * CHOOSE(CONTROL!$C$32, $C$9, 100%, $E$9)</f>
        <v>36.240299999999998</v>
      </c>
      <c r="K1018" s="11">
        <f>36.2445 * CHOOSE(CONTROL!$C$32, $C$9, 100%, $E$9)</f>
        <v>36.244500000000002</v>
      </c>
      <c r="L1018" s="11">
        <f>16.9382 * CHOOSE(CONTROL!$C$32, $C$9, 100%, $E$9)</f>
        <v>16.938199999999998</v>
      </c>
      <c r="M1018" s="11">
        <f>16.9424 * CHOOSE(CONTROL!$C$32, $C$9, 100%, $E$9)</f>
        <v>16.942399999999999</v>
      </c>
      <c r="N1018" s="11">
        <f>16.9382 * CHOOSE(CONTROL!$C$32, $C$9, 100%, $E$9)</f>
        <v>16.938199999999998</v>
      </c>
      <c r="O1018" s="11">
        <f>16.9424 * CHOOSE(CONTROL!$C$32, $C$9, 100%, $E$9)</f>
        <v>16.942399999999999</v>
      </c>
    </row>
    <row r="1019" spans="1:15" ht="15" x14ac:dyDescent="0.2">
      <c r="A1019" s="13">
        <v>71864</v>
      </c>
      <c r="B1019" s="9">
        <f>15.2306 * CHOOSE(CONTROL!$C$32, $C$9, 100%, $E$9)</f>
        <v>15.230600000000001</v>
      </c>
      <c r="C1019" s="9">
        <f>15.2306 * CHOOSE(CONTROL!$C$32, $C$9, 100%, $E$9)</f>
        <v>15.230600000000001</v>
      </c>
      <c r="D1019" s="9">
        <f>15.2316 * CHOOSE(CONTROL!$C$32, $C$9, 100%, $E$9)</f>
        <v>15.2316</v>
      </c>
      <c r="E1019" s="11">
        <f>17.1251 * CHOOSE(CONTROL!$C$32, $C$9, 100%, $E$9)</f>
        <v>17.1251</v>
      </c>
      <c r="F1019" s="11">
        <f>17.1251 * CHOOSE(CONTROL!$C$32, $C$9, 100%, $E$9)</f>
        <v>17.1251</v>
      </c>
      <c r="G1019" s="11">
        <f>17.1283 * CHOOSE(CONTROL!$C$32, $C$9, 100%, $E$9)</f>
        <v>17.128299999999999</v>
      </c>
      <c r="H1019" s="11">
        <f>36.3158 * CHOOSE(CONTROL!$C$32, $C$9, 100%, $E$9)</f>
        <v>36.315800000000003</v>
      </c>
      <c r="I1019" s="11">
        <f>36.319 * CHOOSE(CONTROL!$C$32, $C$9, 100%, $E$9)</f>
        <v>36.319000000000003</v>
      </c>
      <c r="J1019" s="11">
        <f>36.3158 * CHOOSE(CONTROL!$C$32, $C$9, 100%, $E$9)</f>
        <v>36.315800000000003</v>
      </c>
      <c r="K1019" s="11">
        <f>36.319 * CHOOSE(CONTROL!$C$32, $C$9, 100%, $E$9)</f>
        <v>36.319000000000003</v>
      </c>
      <c r="L1019" s="11">
        <f>17.1251 * CHOOSE(CONTROL!$C$32, $C$9, 100%, $E$9)</f>
        <v>17.1251</v>
      </c>
      <c r="M1019" s="11">
        <f>17.1283 * CHOOSE(CONTROL!$C$32, $C$9, 100%, $E$9)</f>
        <v>17.128299999999999</v>
      </c>
      <c r="N1019" s="11">
        <f>17.1251 * CHOOSE(CONTROL!$C$32, $C$9, 100%, $E$9)</f>
        <v>17.1251</v>
      </c>
      <c r="O1019" s="11">
        <f>17.1283 * CHOOSE(CONTROL!$C$32, $C$9, 100%, $E$9)</f>
        <v>17.128299999999999</v>
      </c>
    </row>
    <row r="1020" spans="1:15" ht="15" x14ac:dyDescent="0.2">
      <c r="A1020" s="13">
        <v>71895</v>
      </c>
      <c r="B1020" s="9">
        <f>15.2337 * CHOOSE(CONTROL!$C$32, $C$9, 100%, $E$9)</f>
        <v>15.233700000000001</v>
      </c>
      <c r="C1020" s="9">
        <f>15.2337 * CHOOSE(CONTROL!$C$32, $C$9, 100%, $E$9)</f>
        <v>15.233700000000001</v>
      </c>
      <c r="D1020" s="9">
        <f>15.2346 * CHOOSE(CONTROL!$C$32, $C$9, 100%, $E$9)</f>
        <v>15.2346</v>
      </c>
      <c r="E1020" s="11">
        <f>17.2274 * CHOOSE(CONTROL!$C$32, $C$9, 100%, $E$9)</f>
        <v>17.227399999999999</v>
      </c>
      <c r="F1020" s="11">
        <f>17.2274 * CHOOSE(CONTROL!$C$32, $C$9, 100%, $E$9)</f>
        <v>17.227399999999999</v>
      </c>
      <c r="G1020" s="11">
        <f>17.2306 * CHOOSE(CONTROL!$C$32, $C$9, 100%, $E$9)</f>
        <v>17.230599999999999</v>
      </c>
      <c r="H1020" s="11">
        <f>36.3914 * CHOOSE(CONTROL!$C$32, $C$9, 100%, $E$9)</f>
        <v>36.391399999999997</v>
      </c>
      <c r="I1020" s="11">
        <f>36.3947 * CHOOSE(CONTROL!$C$32, $C$9, 100%, $E$9)</f>
        <v>36.3947</v>
      </c>
      <c r="J1020" s="11">
        <f>36.3914 * CHOOSE(CONTROL!$C$32, $C$9, 100%, $E$9)</f>
        <v>36.391399999999997</v>
      </c>
      <c r="K1020" s="11">
        <f>36.3947 * CHOOSE(CONTROL!$C$32, $C$9, 100%, $E$9)</f>
        <v>36.3947</v>
      </c>
      <c r="L1020" s="11">
        <f>17.2274 * CHOOSE(CONTROL!$C$32, $C$9, 100%, $E$9)</f>
        <v>17.227399999999999</v>
      </c>
      <c r="M1020" s="11">
        <f>17.2306 * CHOOSE(CONTROL!$C$32, $C$9, 100%, $E$9)</f>
        <v>17.230599999999999</v>
      </c>
      <c r="N1020" s="11">
        <f>17.2274 * CHOOSE(CONTROL!$C$32, $C$9, 100%, $E$9)</f>
        <v>17.227399999999999</v>
      </c>
      <c r="O1020" s="11">
        <f>17.2306 * CHOOSE(CONTROL!$C$32, $C$9, 100%, $E$9)</f>
        <v>17.230599999999999</v>
      </c>
    </row>
    <row r="1021" spans="1:15" ht="15" x14ac:dyDescent="0.2">
      <c r="A1021" s="13">
        <v>71925</v>
      </c>
      <c r="B1021" s="9">
        <f>15.2337 * CHOOSE(CONTROL!$C$32, $C$9, 100%, $E$9)</f>
        <v>15.233700000000001</v>
      </c>
      <c r="C1021" s="9">
        <f>15.2337 * CHOOSE(CONTROL!$C$32, $C$9, 100%, $E$9)</f>
        <v>15.233700000000001</v>
      </c>
      <c r="D1021" s="9">
        <f>15.2346 * CHOOSE(CONTROL!$C$32, $C$9, 100%, $E$9)</f>
        <v>15.2346</v>
      </c>
      <c r="E1021" s="11">
        <f>16.977 * CHOOSE(CONTROL!$C$32, $C$9, 100%, $E$9)</f>
        <v>16.977</v>
      </c>
      <c r="F1021" s="11">
        <f>16.977 * CHOOSE(CONTROL!$C$32, $C$9, 100%, $E$9)</f>
        <v>16.977</v>
      </c>
      <c r="G1021" s="11">
        <f>16.9802 * CHOOSE(CONTROL!$C$32, $C$9, 100%, $E$9)</f>
        <v>16.9802</v>
      </c>
      <c r="H1021" s="11">
        <f>36.4673 * CHOOSE(CONTROL!$C$32, $C$9, 100%, $E$9)</f>
        <v>36.467300000000002</v>
      </c>
      <c r="I1021" s="11">
        <f>36.4705 * CHOOSE(CONTROL!$C$32, $C$9, 100%, $E$9)</f>
        <v>36.470500000000001</v>
      </c>
      <c r="J1021" s="11">
        <f>36.4673 * CHOOSE(CONTROL!$C$32, $C$9, 100%, $E$9)</f>
        <v>36.467300000000002</v>
      </c>
      <c r="K1021" s="11">
        <f>36.4705 * CHOOSE(CONTROL!$C$32, $C$9, 100%, $E$9)</f>
        <v>36.470500000000001</v>
      </c>
      <c r="L1021" s="11">
        <f>16.977 * CHOOSE(CONTROL!$C$32, $C$9, 100%, $E$9)</f>
        <v>16.977</v>
      </c>
      <c r="M1021" s="11">
        <f>16.9802 * CHOOSE(CONTROL!$C$32, $C$9, 100%, $E$9)</f>
        <v>16.9802</v>
      </c>
      <c r="N1021" s="11">
        <f>16.977 * CHOOSE(CONTROL!$C$32, $C$9, 100%, $E$9)</f>
        <v>16.977</v>
      </c>
      <c r="O1021" s="11">
        <f>16.9802 * CHOOSE(CONTROL!$C$32, $C$9, 100%, $E$9)</f>
        <v>16.9802</v>
      </c>
    </row>
    <row r="1022" spans="1:15" ht="15" x14ac:dyDescent="0.2">
      <c r="A1022" s="13">
        <v>71956</v>
      </c>
      <c r="B1022" s="9">
        <f>15.1897 * CHOOSE(CONTROL!$C$32, $C$9, 100%, $E$9)</f>
        <v>15.1897</v>
      </c>
      <c r="C1022" s="9">
        <f>15.1897 * CHOOSE(CONTROL!$C$32, $C$9, 100%, $E$9)</f>
        <v>15.1897</v>
      </c>
      <c r="D1022" s="9">
        <f>15.1907 * CHOOSE(CONTROL!$C$32, $C$9, 100%, $E$9)</f>
        <v>15.1907</v>
      </c>
      <c r="E1022" s="11">
        <f>17.1081 * CHOOSE(CONTROL!$C$32, $C$9, 100%, $E$9)</f>
        <v>17.1081</v>
      </c>
      <c r="F1022" s="11">
        <f>17.1081 * CHOOSE(CONTROL!$C$32, $C$9, 100%, $E$9)</f>
        <v>17.1081</v>
      </c>
      <c r="G1022" s="11">
        <f>17.1114 * CHOOSE(CONTROL!$C$32, $C$9, 100%, $E$9)</f>
        <v>17.1114</v>
      </c>
      <c r="H1022" s="11">
        <f>36.1137 * CHOOSE(CONTROL!$C$32, $C$9, 100%, $E$9)</f>
        <v>36.113700000000001</v>
      </c>
      <c r="I1022" s="11">
        <f>36.1169 * CHOOSE(CONTROL!$C$32, $C$9, 100%, $E$9)</f>
        <v>36.116900000000001</v>
      </c>
      <c r="J1022" s="11">
        <f>36.1137 * CHOOSE(CONTROL!$C$32, $C$9, 100%, $E$9)</f>
        <v>36.113700000000001</v>
      </c>
      <c r="K1022" s="11">
        <f>36.1169 * CHOOSE(CONTROL!$C$32, $C$9, 100%, $E$9)</f>
        <v>36.116900000000001</v>
      </c>
      <c r="L1022" s="11">
        <f>17.1081 * CHOOSE(CONTROL!$C$32, $C$9, 100%, $E$9)</f>
        <v>17.1081</v>
      </c>
      <c r="M1022" s="11">
        <f>17.1114 * CHOOSE(CONTROL!$C$32, $C$9, 100%, $E$9)</f>
        <v>17.1114</v>
      </c>
      <c r="N1022" s="11">
        <f>17.1081 * CHOOSE(CONTROL!$C$32, $C$9, 100%, $E$9)</f>
        <v>17.1081</v>
      </c>
      <c r="O1022" s="11">
        <f>17.1114 * CHOOSE(CONTROL!$C$32, $C$9, 100%, $E$9)</f>
        <v>17.1114</v>
      </c>
    </row>
    <row r="1023" spans="1:15" ht="15" x14ac:dyDescent="0.2">
      <c r="A1023" s="13">
        <v>71987</v>
      </c>
      <c r="B1023" s="9">
        <f>15.1867 * CHOOSE(CONTROL!$C$32, $C$9, 100%, $E$9)</f>
        <v>15.1867</v>
      </c>
      <c r="C1023" s="9">
        <f>15.1867 * CHOOSE(CONTROL!$C$32, $C$9, 100%, $E$9)</f>
        <v>15.1867</v>
      </c>
      <c r="D1023" s="9">
        <f>15.1877 * CHOOSE(CONTROL!$C$32, $C$9, 100%, $E$9)</f>
        <v>15.1877</v>
      </c>
      <c r="E1023" s="11">
        <f>16.6258 * CHOOSE(CONTROL!$C$32, $C$9, 100%, $E$9)</f>
        <v>16.625800000000002</v>
      </c>
      <c r="F1023" s="11">
        <f>16.6258 * CHOOSE(CONTROL!$C$32, $C$9, 100%, $E$9)</f>
        <v>16.625800000000002</v>
      </c>
      <c r="G1023" s="11">
        <f>16.629 * CHOOSE(CONTROL!$C$32, $C$9, 100%, $E$9)</f>
        <v>16.629000000000001</v>
      </c>
      <c r="H1023" s="11">
        <f>36.1889 * CHOOSE(CONTROL!$C$32, $C$9, 100%, $E$9)</f>
        <v>36.188899999999997</v>
      </c>
      <c r="I1023" s="11">
        <f>36.1922 * CHOOSE(CONTROL!$C$32, $C$9, 100%, $E$9)</f>
        <v>36.1922</v>
      </c>
      <c r="J1023" s="11">
        <f>36.1889 * CHOOSE(CONTROL!$C$32, $C$9, 100%, $E$9)</f>
        <v>36.188899999999997</v>
      </c>
      <c r="K1023" s="11">
        <f>36.1922 * CHOOSE(CONTROL!$C$32, $C$9, 100%, $E$9)</f>
        <v>36.1922</v>
      </c>
      <c r="L1023" s="11">
        <f>16.6258 * CHOOSE(CONTROL!$C$32, $C$9, 100%, $E$9)</f>
        <v>16.625800000000002</v>
      </c>
      <c r="M1023" s="11">
        <f>16.629 * CHOOSE(CONTROL!$C$32, $C$9, 100%, $E$9)</f>
        <v>16.629000000000001</v>
      </c>
      <c r="N1023" s="11">
        <f>16.6258 * CHOOSE(CONTROL!$C$32, $C$9, 100%, $E$9)</f>
        <v>16.625800000000002</v>
      </c>
      <c r="O1023" s="11">
        <f>16.629 * CHOOSE(CONTROL!$C$32, $C$9, 100%, $E$9)</f>
        <v>16.629000000000001</v>
      </c>
    </row>
    <row r="1024" spans="1:15" ht="15" x14ac:dyDescent="0.2">
      <c r="A1024" s="13">
        <v>72015</v>
      </c>
      <c r="B1024" s="9">
        <f>15.1837 * CHOOSE(CONTROL!$C$32, $C$9, 100%, $E$9)</f>
        <v>15.1837</v>
      </c>
      <c r="C1024" s="9">
        <f>15.1837 * CHOOSE(CONTROL!$C$32, $C$9, 100%, $E$9)</f>
        <v>15.1837</v>
      </c>
      <c r="D1024" s="9">
        <f>15.1846 * CHOOSE(CONTROL!$C$32, $C$9, 100%, $E$9)</f>
        <v>15.1846</v>
      </c>
      <c r="E1024" s="11">
        <f>17.0022 * CHOOSE(CONTROL!$C$32, $C$9, 100%, $E$9)</f>
        <v>17.002199999999998</v>
      </c>
      <c r="F1024" s="11">
        <f>17.0022 * CHOOSE(CONTROL!$C$32, $C$9, 100%, $E$9)</f>
        <v>17.002199999999998</v>
      </c>
      <c r="G1024" s="11">
        <f>17.0055 * CHOOSE(CONTROL!$C$32, $C$9, 100%, $E$9)</f>
        <v>17.005500000000001</v>
      </c>
      <c r="H1024" s="11">
        <f>36.2643 * CHOOSE(CONTROL!$C$32, $C$9, 100%, $E$9)</f>
        <v>36.264299999999999</v>
      </c>
      <c r="I1024" s="11">
        <f>36.2676 * CHOOSE(CONTROL!$C$32, $C$9, 100%, $E$9)</f>
        <v>36.267600000000002</v>
      </c>
      <c r="J1024" s="11">
        <f>36.2643 * CHOOSE(CONTROL!$C$32, $C$9, 100%, $E$9)</f>
        <v>36.264299999999999</v>
      </c>
      <c r="K1024" s="11">
        <f>36.2676 * CHOOSE(CONTROL!$C$32, $C$9, 100%, $E$9)</f>
        <v>36.267600000000002</v>
      </c>
      <c r="L1024" s="11">
        <f>17.0022 * CHOOSE(CONTROL!$C$32, $C$9, 100%, $E$9)</f>
        <v>17.002199999999998</v>
      </c>
      <c r="M1024" s="11">
        <f>17.0055 * CHOOSE(CONTROL!$C$32, $C$9, 100%, $E$9)</f>
        <v>17.005500000000001</v>
      </c>
      <c r="N1024" s="11">
        <f>17.0022 * CHOOSE(CONTROL!$C$32, $C$9, 100%, $E$9)</f>
        <v>17.002199999999998</v>
      </c>
      <c r="O1024" s="11">
        <f>17.0055 * CHOOSE(CONTROL!$C$32, $C$9, 100%, $E$9)</f>
        <v>17.005500000000001</v>
      </c>
    </row>
    <row r="1025" spans="1:15" ht="15" x14ac:dyDescent="0.2">
      <c r="A1025" s="13">
        <v>72046</v>
      </c>
      <c r="B1025" s="9">
        <f>15.1922 * CHOOSE(CONTROL!$C$32, $C$9, 100%, $E$9)</f>
        <v>15.1922</v>
      </c>
      <c r="C1025" s="9">
        <f>15.1922 * CHOOSE(CONTROL!$C$32, $C$9, 100%, $E$9)</f>
        <v>15.1922</v>
      </c>
      <c r="D1025" s="9">
        <f>15.1931 * CHOOSE(CONTROL!$C$32, $C$9, 100%, $E$9)</f>
        <v>15.193099999999999</v>
      </c>
      <c r="E1025" s="11">
        <f>17.4046 * CHOOSE(CONTROL!$C$32, $C$9, 100%, $E$9)</f>
        <v>17.404599999999999</v>
      </c>
      <c r="F1025" s="11">
        <f>17.4046 * CHOOSE(CONTROL!$C$32, $C$9, 100%, $E$9)</f>
        <v>17.404599999999999</v>
      </c>
      <c r="G1025" s="11">
        <f>17.4078 * CHOOSE(CONTROL!$C$32, $C$9, 100%, $E$9)</f>
        <v>17.407800000000002</v>
      </c>
      <c r="H1025" s="11">
        <f>36.3399 * CHOOSE(CONTROL!$C$32, $C$9, 100%, $E$9)</f>
        <v>36.3399</v>
      </c>
      <c r="I1025" s="11">
        <f>36.3431 * CHOOSE(CONTROL!$C$32, $C$9, 100%, $E$9)</f>
        <v>36.3431</v>
      </c>
      <c r="J1025" s="11">
        <f>36.3399 * CHOOSE(CONTROL!$C$32, $C$9, 100%, $E$9)</f>
        <v>36.3399</v>
      </c>
      <c r="K1025" s="11">
        <f>36.3431 * CHOOSE(CONTROL!$C$32, $C$9, 100%, $E$9)</f>
        <v>36.3431</v>
      </c>
      <c r="L1025" s="11">
        <f>17.4046 * CHOOSE(CONTROL!$C$32, $C$9, 100%, $E$9)</f>
        <v>17.404599999999999</v>
      </c>
      <c r="M1025" s="11">
        <f>17.4078 * CHOOSE(CONTROL!$C$32, $C$9, 100%, $E$9)</f>
        <v>17.407800000000002</v>
      </c>
      <c r="N1025" s="11">
        <f>17.4046 * CHOOSE(CONTROL!$C$32, $C$9, 100%, $E$9)</f>
        <v>17.404599999999999</v>
      </c>
      <c r="O1025" s="11">
        <f>17.4078 * CHOOSE(CONTROL!$C$32, $C$9, 100%, $E$9)</f>
        <v>17.407800000000002</v>
      </c>
    </row>
    <row r="1026" spans="1:15" ht="15" x14ac:dyDescent="0.2">
      <c r="A1026" s="13">
        <v>72076</v>
      </c>
      <c r="B1026" s="9">
        <f>15.1922 * CHOOSE(CONTROL!$C$32, $C$9, 100%, $E$9)</f>
        <v>15.1922</v>
      </c>
      <c r="C1026" s="9">
        <f>15.1922 * CHOOSE(CONTROL!$C$32, $C$9, 100%, $E$9)</f>
        <v>15.1922</v>
      </c>
      <c r="D1026" s="9">
        <f>15.1934 * CHOOSE(CONTROL!$C$32, $C$9, 100%, $E$9)</f>
        <v>15.1934</v>
      </c>
      <c r="E1026" s="11">
        <f>17.5571 * CHOOSE(CONTROL!$C$32, $C$9, 100%, $E$9)</f>
        <v>17.557099999999998</v>
      </c>
      <c r="F1026" s="11">
        <f>17.5571 * CHOOSE(CONTROL!$C$32, $C$9, 100%, $E$9)</f>
        <v>17.557099999999998</v>
      </c>
      <c r="G1026" s="11">
        <f>17.5613 * CHOOSE(CONTROL!$C$32, $C$9, 100%, $E$9)</f>
        <v>17.561299999999999</v>
      </c>
      <c r="H1026" s="11">
        <f>36.4156 * CHOOSE(CONTROL!$C$32, $C$9, 100%, $E$9)</f>
        <v>36.415599999999998</v>
      </c>
      <c r="I1026" s="11">
        <f>36.4198 * CHOOSE(CONTROL!$C$32, $C$9, 100%, $E$9)</f>
        <v>36.419800000000002</v>
      </c>
      <c r="J1026" s="11">
        <f>36.4156 * CHOOSE(CONTROL!$C$32, $C$9, 100%, $E$9)</f>
        <v>36.415599999999998</v>
      </c>
      <c r="K1026" s="11">
        <f>36.4198 * CHOOSE(CONTROL!$C$32, $C$9, 100%, $E$9)</f>
        <v>36.419800000000002</v>
      </c>
      <c r="L1026" s="11">
        <f>17.5571 * CHOOSE(CONTROL!$C$32, $C$9, 100%, $E$9)</f>
        <v>17.557099999999998</v>
      </c>
      <c r="M1026" s="11">
        <f>17.5613 * CHOOSE(CONTROL!$C$32, $C$9, 100%, $E$9)</f>
        <v>17.561299999999999</v>
      </c>
      <c r="N1026" s="11">
        <f>17.5571 * CHOOSE(CONTROL!$C$32, $C$9, 100%, $E$9)</f>
        <v>17.557099999999998</v>
      </c>
      <c r="O1026" s="11">
        <f>17.5613 * CHOOSE(CONTROL!$C$32, $C$9, 100%, $E$9)</f>
        <v>17.561299999999999</v>
      </c>
    </row>
    <row r="1027" spans="1:15" ht="15" x14ac:dyDescent="0.2">
      <c r="A1027" s="13">
        <v>72107</v>
      </c>
      <c r="B1027" s="9">
        <f>15.1983 * CHOOSE(CONTROL!$C$32, $C$9, 100%, $E$9)</f>
        <v>15.1983</v>
      </c>
      <c r="C1027" s="9">
        <f>15.1983 * CHOOSE(CONTROL!$C$32, $C$9, 100%, $E$9)</f>
        <v>15.1983</v>
      </c>
      <c r="D1027" s="9">
        <f>15.1995 * CHOOSE(CONTROL!$C$32, $C$9, 100%, $E$9)</f>
        <v>15.1995</v>
      </c>
      <c r="E1027" s="11">
        <f>17.4088 * CHOOSE(CONTROL!$C$32, $C$9, 100%, $E$9)</f>
        <v>17.408799999999999</v>
      </c>
      <c r="F1027" s="11">
        <f>17.4088 * CHOOSE(CONTROL!$C$32, $C$9, 100%, $E$9)</f>
        <v>17.408799999999999</v>
      </c>
      <c r="G1027" s="11">
        <f>17.413 * CHOOSE(CONTROL!$C$32, $C$9, 100%, $E$9)</f>
        <v>17.413</v>
      </c>
      <c r="H1027" s="11">
        <f>36.4915 * CHOOSE(CONTROL!$C$32, $C$9, 100%, $E$9)</f>
        <v>36.491500000000002</v>
      </c>
      <c r="I1027" s="11">
        <f>36.4957 * CHOOSE(CONTROL!$C$32, $C$9, 100%, $E$9)</f>
        <v>36.495699999999999</v>
      </c>
      <c r="J1027" s="11">
        <f>36.4915 * CHOOSE(CONTROL!$C$32, $C$9, 100%, $E$9)</f>
        <v>36.491500000000002</v>
      </c>
      <c r="K1027" s="11">
        <f>36.4957 * CHOOSE(CONTROL!$C$32, $C$9, 100%, $E$9)</f>
        <v>36.495699999999999</v>
      </c>
      <c r="L1027" s="11">
        <f>17.4088 * CHOOSE(CONTROL!$C$32, $C$9, 100%, $E$9)</f>
        <v>17.408799999999999</v>
      </c>
      <c r="M1027" s="11">
        <f>17.413 * CHOOSE(CONTROL!$C$32, $C$9, 100%, $E$9)</f>
        <v>17.413</v>
      </c>
      <c r="N1027" s="11">
        <f>17.4088 * CHOOSE(CONTROL!$C$32, $C$9, 100%, $E$9)</f>
        <v>17.408799999999999</v>
      </c>
      <c r="O1027" s="11">
        <f>17.413 * CHOOSE(CONTROL!$C$32, $C$9, 100%, $E$9)</f>
        <v>17.413</v>
      </c>
    </row>
    <row r="1028" spans="1:15" ht="15" x14ac:dyDescent="0.2">
      <c r="A1028" s="13">
        <v>72137</v>
      </c>
      <c r="B1028" s="9">
        <f>15.3797 * CHOOSE(CONTROL!$C$32, $C$9, 100%, $E$9)</f>
        <v>15.3797</v>
      </c>
      <c r="C1028" s="9">
        <f>15.3797 * CHOOSE(CONTROL!$C$32, $C$9, 100%, $E$9)</f>
        <v>15.3797</v>
      </c>
      <c r="D1028" s="9">
        <f>15.3809 * CHOOSE(CONTROL!$C$32, $C$9, 100%, $E$9)</f>
        <v>15.3809</v>
      </c>
      <c r="E1028" s="11">
        <f>17.6566 * CHOOSE(CONTROL!$C$32, $C$9, 100%, $E$9)</f>
        <v>17.656600000000001</v>
      </c>
      <c r="F1028" s="11">
        <f>17.6566 * CHOOSE(CONTROL!$C$32, $C$9, 100%, $E$9)</f>
        <v>17.656600000000001</v>
      </c>
      <c r="G1028" s="11">
        <f>17.6608 * CHOOSE(CONTROL!$C$32, $C$9, 100%, $E$9)</f>
        <v>17.660799999999998</v>
      </c>
      <c r="H1028" s="11">
        <f>36.5675 * CHOOSE(CONTROL!$C$32, $C$9, 100%, $E$9)</f>
        <v>36.567500000000003</v>
      </c>
      <c r="I1028" s="11">
        <f>36.5717 * CHOOSE(CONTROL!$C$32, $C$9, 100%, $E$9)</f>
        <v>36.5717</v>
      </c>
      <c r="J1028" s="11">
        <f>36.5675 * CHOOSE(CONTROL!$C$32, $C$9, 100%, $E$9)</f>
        <v>36.567500000000003</v>
      </c>
      <c r="K1028" s="11">
        <f>36.5717 * CHOOSE(CONTROL!$C$32, $C$9, 100%, $E$9)</f>
        <v>36.5717</v>
      </c>
      <c r="L1028" s="11">
        <f>17.6566 * CHOOSE(CONTROL!$C$32, $C$9, 100%, $E$9)</f>
        <v>17.656600000000001</v>
      </c>
      <c r="M1028" s="11">
        <f>17.6608 * CHOOSE(CONTROL!$C$32, $C$9, 100%, $E$9)</f>
        <v>17.660799999999998</v>
      </c>
      <c r="N1028" s="11">
        <f>17.6566 * CHOOSE(CONTROL!$C$32, $C$9, 100%, $E$9)</f>
        <v>17.656600000000001</v>
      </c>
      <c r="O1028" s="11">
        <f>17.6608 * CHOOSE(CONTROL!$C$32, $C$9, 100%, $E$9)</f>
        <v>17.660799999999998</v>
      </c>
    </row>
    <row r="1029" spans="1:15" ht="15" x14ac:dyDescent="0.2">
      <c r="A1029" s="13">
        <v>72168</v>
      </c>
      <c r="B1029" s="9">
        <f>15.3863 * CHOOSE(CONTROL!$C$32, $C$9, 100%, $E$9)</f>
        <v>15.3863</v>
      </c>
      <c r="C1029" s="9">
        <f>15.3863 * CHOOSE(CONTROL!$C$32, $C$9, 100%, $E$9)</f>
        <v>15.3863</v>
      </c>
      <c r="D1029" s="9">
        <f>15.3876 * CHOOSE(CONTROL!$C$32, $C$9, 100%, $E$9)</f>
        <v>15.387600000000001</v>
      </c>
      <c r="E1029" s="11">
        <f>17.2038 * CHOOSE(CONTROL!$C$32, $C$9, 100%, $E$9)</f>
        <v>17.203800000000001</v>
      </c>
      <c r="F1029" s="11">
        <f>17.2038 * CHOOSE(CONTROL!$C$32, $C$9, 100%, $E$9)</f>
        <v>17.203800000000001</v>
      </c>
      <c r="G1029" s="11">
        <f>17.208 * CHOOSE(CONTROL!$C$32, $C$9, 100%, $E$9)</f>
        <v>17.207999999999998</v>
      </c>
      <c r="H1029" s="11">
        <f>36.6437 * CHOOSE(CONTROL!$C$32, $C$9, 100%, $E$9)</f>
        <v>36.643700000000003</v>
      </c>
      <c r="I1029" s="11">
        <f>36.6479 * CHOOSE(CONTROL!$C$32, $C$9, 100%, $E$9)</f>
        <v>36.6479</v>
      </c>
      <c r="J1029" s="11">
        <f>36.6437 * CHOOSE(CONTROL!$C$32, $C$9, 100%, $E$9)</f>
        <v>36.643700000000003</v>
      </c>
      <c r="K1029" s="11">
        <f>36.6479 * CHOOSE(CONTROL!$C$32, $C$9, 100%, $E$9)</f>
        <v>36.6479</v>
      </c>
      <c r="L1029" s="11">
        <f>17.2038 * CHOOSE(CONTROL!$C$32, $C$9, 100%, $E$9)</f>
        <v>17.203800000000001</v>
      </c>
      <c r="M1029" s="11">
        <f>17.208 * CHOOSE(CONTROL!$C$32, $C$9, 100%, $E$9)</f>
        <v>17.207999999999998</v>
      </c>
      <c r="N1029" s="11">
        <f>17.2038 * CHOOSE(CONTROL!$C$32, $C$9, 100%, $E$9)</f>
        <v>17.203800000000001</v>
      </c>
      <c r="O1029" s="11">
        <f>17.208 * CHOOSE(CONTROL!$C$32, $C$9, 100%, $E$9)</f>
        <v>17.207999999999998</v>
      </c>
    </row>
    <row r="1030" spans="1:15" ht="15" x14ac:dyDescent="0.2">
      <c r="A1030" s="13">
        <v>72199</v>
      </c>
      <c r="B1030" s="9">
        <f>15.3833 * CHOOSE(CONTROL!$C$32, $C$9, 100%, $E$9)</f>
        <v>15.3833</v>
      </c>
      <c r="C1030" s="9">
        <f>15.3833 * CHOOSE(CONTROL!$C$32, $C$9, 100%, $E$9)</f>
        <v>15.3833</v>
      </c>
      <c r="D1030" s="9">
        <f>15.3845 * CHOOSE(CONTROL!$C$32, $C$9, 100%, $E$9)</f>
        <v>15.384499999999999</v>
      </c>
      <c r="E1030" s="11">
        <f>17.1509 * CHOOSE(CONTROL!$C$32, $C$9, 100%, $E$9)</f>
        <v>17.1509</v>
      </c>
      <c r="F1030" s="11">
        <f>17.1509 * CHOOSE(CONTROL!$C$32, $C$9, 100%, $E$9)</f>
        <v>17.1509</v>
      </c>
      <c r="G1030" s="11">
        <f>17.1551 * CHOOSE(CONTROL!$C$32, $C$9, 100%, $E$9)</f>
        <v>17.155100000000001</v>
      </c>
      <c r="H1030" s="11">
        <f>36.72 * CHOOSE(CONTROL!$C$32, $C$9, 100%, $E$9)</f>
        <v>36.72</v>
      </c>
      <c r="I1030" s="11">
        <f>36.7242 * CHOOSE(CONTROL!$C$32, $C$9, 100%, $E$9)</f>
        <v>36.724200000000003</v>
      </c>
      <c r="J1030" s="11">
        <f>36.72 * CHOOSE(CONTROL!$C$32, $C$9, 100%, $E$9)</f>
        <v>36.72</v>
      </c>
      <c r="K1030" s="11">
        <f>36.7242 * CHOOSE(CONTROL!$C$32, $C$9, 100%, $E$9)</f>
        <v>36.724200000000003</v>
      </c>
      <c r="L1030" s="11">
        <f>17.1509 * CHOOSE(CONTROL!$C$32, $C$9, 100%, $E$9)</f>
        <v>17.1509</v>
      </c>
      <c r="M1030" s="11">
        <f>17.1551 * CHOOSE(CONTROL!$C$32, $C$9, 100%, $E$9)</f>
        <v>17.155100000000001</v>
      </c>
      <c r="N1030" s="11">
        <f>17.1509 * CHOOSE(CONTROL!$C$32, $C$9, 100%, $E$9)</f>
        <v>17.1509</v>
      </c>
      <c r="O1030" s="11">
        <f>17.1551 * CHOOSE(CONTROL!$C$32, $C$9, 100%, $E$9)</f>
        <v>17.155100000000001</v>
      </c>
    </row>
    <row r="1031" spans="1:15" ht="15" x14ac:dyDescent="0.2">
      <c r="A1031" s="13">
        <v>72229</v>
      </c>
      <c r="B1031" s="9">
        <f>15.4209 * CHOOSE(CONTROL!$C$32, $C$9, 100%, $E$9)</f>
        <v>15.4209</v>
      </c>
      <c r="C1031" s="9">
        <f>15.4209 * CHOOSE(CONTROL!$C$32, $C$9, 100%, $E$9)</f>
        <v>15.4209</v>
      </c>
      <c r="D1031" s="9">
        <f>15.4219 * CHOOSE(CONTROL!$C$32, $C$9, 100%, $E$9)</f>
        <v>15.421900000000001</v>
      </c>
      <c r="E1031" s="11">
        <f>17.3408 * CHOOSE(CONTROL!$C$32, $C$9, 100%, $E$9)</f>
        <v>17.340800000000002</v>
      </c>
      <c r="F1031" s="11">
        <f>17.3408 * CHOOSE(CONTROL!$C$32, $C$9, 100%, $E$9)</f>
        <v>17.340800000000002</v>
      </c>
      <c r="G1031" s="11">
        <f>17.344 * CHOOSE(CONTROL!$C$32, $C$9, 100%, $E$9)</f>
        <v>17.344000000000001</v>
      </c>
      <c r="H1031" s="11">
        <f>36.7965 * CHOOSE(CONTROL!$C$32, $C$9, 100%, $E$9)</f>
        <v>36.796500000000002</v>
      </c>
      <c r="I1031" s="11">
        <f>36.7997 * CHOOSE(CONTROL!$C$32, $C$9, 100%, $E$9)</f>
        <v>36.799700000000001</v>
      </c>
      <c r="J1031" s="11">
        <f>36.7965 * CHOOSE(CONTROL!$C$32, $C$9, 100%, $E$9)</f>
        <v>36.796500000000002</v>
      </c>
      <c r="K1031" s="11">
        <f>36.7997 * CHOOSE(CONTROL!$C$32, $C$9, 100%, $E$9)</f>
        <v>36.799700000000001</v>
      </c>
      <c r="L1031" s="11">
        <f>17.3408 * CHOOSE(CONTROL!$C$32, $C$9, 100%, $E$9)</f>
        <v>17.340800000000002</v>
      </c>
      <c r="M1031" s="11">
        <f>17.344 * CHOOSE(CONTROL!$C$32, $C$9, 100%, $E$9)</f>
        <v>17.344000000000001</v>
      </c>
      <c r="N1031" s="11">
        <f>17.3408 * CHOOSE(CONTROL!$C$32, $C$9, 100%, $E$9)</f>
        <v>17.340800000000002</v>
      </c>
      <c r="O1031" s="11">
        <f>17.344 * CHOOSE(CONTROL!$C$32, $C$9, 100%, $E$9)</f>
        <v>17.344000000000001</v>
      </c>
    </row>
    <row r="1032" spans="1:15" ht="15" x14ac:dyDescent="0.2">
      <c r="A1032" s="13">
        <v>72260</v>
      </c>
      <c r="B1032" s="9">
        <f>15.424 * CHOOSE(CONTROL!$C$32, $C$9, 100%, $E$9)</f>
        <v>15.423999999999999</v>
      </c>
      <c r="C1032" s="9">
        <f>15.424 * CHOOSE(CONTROL!$C$32, $C$9, 100%, $E$9)</f>
        <v>15.423999999999999</v>
      </c>
      <c r="D1032" s="9">
        <f>15.4249 * CHOOSE(CONTROL!$C$32, $C$9, 100%, $E$9)</f>
        <v>15.424899999999999</v>
      </c>
      <c r="E1032" s="11">
        <f>17.4445 * CHOOSE(CONTROL!$C$32, $C$9, 100%, $E$9)</f>
        <v>17.444500000000001</v>
      </c>
      <c r="F1032" s="11">
        <f>17.4445 * CHOOSE(CONTROL!$C$32, $C$9, 100%, $E$9)</f>
        <v>17.444500000000001</v>
      </c>
      <c r="G1032" s="11">
        <f>17.4478 * CHOOSE(CONTROL!$C$32, $C$9, 100%, $E$9)</f>
        <v>17.447800000000001</v>
      </c>
      <c r="H1032" s="11">
        <f>36.8732 * CHOOSE(CONTROL!$C$32, $C$9, 100%, $E$9)</f>
        <v>36.873199999999997</v>
      </c>
      <c r="I1032" s="11">
        <f>36.8764 * CHOOSE(CONTROL!$C$32, $C$9, 100%, $E$9)</f>
        <v>36.876399999999997</v>
      </c>
      <c r="J1032" s="11">
        <f>36.8732 * CHOOSE(CONTROL!$C$32, $C$9, 100%, $E$9)</f>
        <v>36.873199999999997</v>
      </c>
      <c r="K1032" s="11">
        <f>36.8764 * CHOOSE(CONTROL!$C$32, $C$9, 100%, $E$9)</f>
        <v>36.876399999999997</v>
      </c>
      <c r="L1032" s="11">
        <f>17.4445 * CHOOSE(CONTROL!$C$32, $C$9, 100%, $E$9)</f>
        <v>17.444500000000001</v>
      </c>
      <c r="M1032" s="11">
        <f>17.4478 * CHOOSE(CONTROL!$C$32, $C$9, 100%, $E$9)</f>
        <v>17.447800000000001</v>
      </c>
      <c r="N1032" s="11">
        <f>17.4445 * CHOOSE(CONTROL!$C$32, $C$9, 100%, $E$9)</f>
        <v>17.444500000000001</v>
      </c>
      <c r="O1032" s="11">
        <f>17.4478 * CHOOSE(CONTROL!$C$32, $C$9, 100%, $E$9)</f>
        <v>17.447800000000001</v>
      </c>
    </row>
    <row r="1033" spans="1:15" ht="15" x14ac:dyDescent="0.2">
      <c r="A1033" s="13">
        <v>72290</v>
      </c>
      <c r="B1033" s="9">
        <f>15.424 * CHOOSE(CONTROL!$C$32, $C$9, 100%, $E$9)</f>
        <v>15.423999999999999</v>
      </c>
      <c r="C1033" s="9">
        <f>15.424 * CHOOSE(CONTROL!$C$32, $C$9, 100%, $E$9)</f>
        <v>15.423999999999999</v>
      </c>
      <c r="D1033" s="9">
        <f>15.4249 * CHOOSE(CONTROL!$C$32, $C$9, 100%, $E$9)</f>
        <v>15.424899999999999</v>
      </c>
      <c r="E1033" s="11">
        <f>17.1904 * CHOOSE(CONTROL!$C$32, $C$9, 100%, $E$9)</f>
        <v>17.1904</v>
      </c>
      <c r="F1033" s="11">
        <f>17.1904 * CHOOSE(CONTROL!$C$32, $C$9, 100%, $E$9)</f>
        <v>17.1904</v>
      </c>
      <c r="G1033" s="11">
        <f>17.1937 * CHOOSE(CONTROL!$C$32, $C$9, 100%, $E$9)</f>
        <v>17.1937</v>
      </c>
      <c r="H1033" s="11">
        <f>36.95 * CHOOSE(CONTROL!$C$32, $C$9, 100%, $E$9)</f>
        <v>36.950000000000003</v>
      </c>
      <c r="I1033" s="11">
        <f>36.9532 * CHOOSE(CONTROL!$C$32, $C$9, 100%, $E$9)</f>
        <v>36.953200000000002</v>
      </c>
      <c r="J1033" s="11">
        <f>36.95 * CHOOSE(CONTROL!$C$32, $C$9, 100%, $E$9)</f>
        <v>36.950000000000003</v>
      </c>
      <c r="K1033" s="11">
        <f>36.9532 * CHOOSE(CONTROL!$C$32, $C$9, 100%, $E$9)</f>
        <v>36.953200000000002</v>
      </c>
      <c r="L1033" s="11">
        <f>17.1904 * CHOOSE(CONTROL!$C$32, $C$9, 100%, $E$9)</f>
        <v>17.1904</v>
      </c>
      <c r="M1033" s="11">
        <f>17.1937 * CHOOSE(CONTROL!$C$32, $C$9, 100%, $E$9)</f>
        <v>17.1937</v>
      </c>
      <c r="N1033" s="11">
        <f>17.1904 * CHOOSE(CONTROL!$C$32, $C$9, 100%, $E$9)</f>
        <v>17.1904</v>
      </c>
      <c r="O1033" s="11">
        <f>17.1937 * CHOOSE(CONTROL!$C$32, $C$9, 100%, $E$9)</f>
        <v>17.1937</v>
      </c>
    </row>
    <row r="1034" spans="1:15" ht="15" x14ac:dyDescent="0.2">
      <c r="A1034" s="13">
        <v>72321</v>
      </c>
      <c r="B1034" s="9">
        <f>15.3771 * CHOOSE(CONTROL!$C$32, $C$9, 100%, $E$9)</f>
        <v>15.3771</v>
      </c>
      <c r="C1034" s="9">
        <f>15.3771 * CHOOSE(CONTROL!$C$32, $C$9, 100%, $E$9)</f>
        <v>15.3771</v>
      </c>
      <c r="D1034" s="9">
        <f>15.3781 * CHOOSE(CONTROL!$C$32, $C$9, 100%, $E$9)</f>
        <v>15.3781</v>
      </c>
      <c r="E1034" s="11">
        <f>17.3206 * CHOOSE(CONTROL!$C$32, $C$9, 100%, $E$9)</f>
        <v>17.320599999999999</v>
      </c>
      <c r="F1034" s="11">
        <f>17.3206 * CHOOSE(CONTROL!$C$32, $C$9, 100%, $E$9)</f>
        <v>17.320599999999999</v>
      </c>
      <c r="G1034" s="11">
        <f>17.3239 * CHOOSE(CONTROL!$C$32, $C$9, 100%, $E$9)</f>
        <v>17.323899999999998</v>
      </c>
      <c r="H1034" s="11">
        <f>36.5855 * CHOOSE(CONTROL!$C$32, $C$9, 100%, $E$9)</f>
        <v>36.585500000000003</v>
      </c>
      <c r="I1034" s="11">
        <f>36.5887 * CHOOSE(CONTROL!$C$32, $C$9, 100%, $E$9)</f>
        <v>36.588700000000003</v>
      </c>
      <c r="J1034" s="11">
        <f>36.5855 * CHOOSE(CONTROL!$C$32, $C$9, 100%, $E$9)</f>
        <v>36.585500000000003</v>
      </c>
      <c r="K1034" s="11">
        <f>36.5887 * CHOOSE(CONTROL!$C$32, $C$9, 100%, $E$9)</f>
        <v>36.588700000000003</v>
      </c>
      <c r="L1034" s="11">
        <f>17.3206 * CHOOSE(CONTROL!$C$32, $C$9, 100%, $E$9)</f>
        <v>17.320599999999999</v>
      </c>
      <c r="M1034" s="11">
        <f>17.3239 * CHOOSE(CONTROL!$C$32, $C$9, 100%, $E$9)</f>
        <v>17.323899999999998</v>
      </c>
      <c r="N1034" s="11">
        <f>17.3206 * CHOOSE(CONTROL!$C$32, $C$9, 100%, $E$9)</f>
        <v>17.320599999999999</v>
      </c>
      <c r="O1034" s="11">
        <f>17.3239 * CHOOSE(CONTROL!$C$32, $C$9, 100%, $E$9)</f>
        <v>17.323899999999998</v>
      </c>
    </row>
    <row r="1035" spans="1:15" ht="15" x14ac:dyDescent="0.2">
      <c r="A1035" s="13">
        <v>72352</v>
      </c>
      <c r="B1035" s="9">
        <f>15.3741 * CHOOSE(CONTROL!$C$32, $C$9, 100%, $E$9)</f>
        <v>15.3741</v>
      </c>
      <c r="C1035" s="9">
        <f>15.3741 * CHOOSE(CONTROL!$C$32, $C$9, 100%, $E$9)</f>
        <v>15.3741</v>
      </c>
      <c r="D1035" s="9">
        <f>15.375 * CHOOSE(CONTROL!$C$32, $C$9, 100%, $E$9)</f>
        <v>15.375</v>
      </c>
      <c r="E1035" s="11">
        <f>16.8312 * CHOOSE(CONTROL!$C$32, $C$9, 100%, $E$9)</f>
        <v>16.831199999999999</v>
      </c>
      <c r="F1035" s="11">
        <f>16.8312 * CHOOSE(CONTROL!$C$32, $C$9, 100%, $E$9)</f>
        <v>16.831199999999999</v>
      </c>
      <c r="G1035" s="11">
        <f>16.8344 * CHOOSE(CONTROL!$C$32, $C$9, 100%, $E$9)</f>
        <v>16.834399999999999</v>
      </c>
      <c r="H1035" s="11">
        <f>36.6617 * CHOOSE(CONTROL!$C$32, $C$9, 100%, $E$9)</f>
        <v>36.661700000000003</v>
      </c>
      <c r="I1035" s="11">
        <f>36.665 * CHOOSE(CONTROL!$C$32, $C$9, 100%, $E$9)</f>
        <v>36.664999999999999</v>
      </c>
      <c r="J1035" s="11">
        <f>36.6617 * CHOOSE(CONTROL!$C$32, $C$9, 100%, $E$9)</f>
        <v>36.661700000000003</v>
      </c>
      <c r="K1035" s="11">
        <f>36.665 * CHOOSE(CONTROL!$C$32, $C$9, 100%, $E$9)</f>
        <v>36.664999999999999</v>
      </c>
      <c r="L1035" s="11">
        <f>16.8312 * CHOOSE(CONTROL!$C$32, $C$9, 100%, $E$9)</f>
        <v>16.831199999999999</v>
      </c>
      <c r="M1035" s="11">
        <f>16.8344 * CHOOSE(CONTROL!$C$32, $C$9, 100%, $E$9)</f>
        <v>16.834399999999999</v>
      </c>
      <c r="N1035" s="11">
        <f>16.8312 * CHOOSE(CONTROL!$C$32, $C$9, 100%, $E$9)</f>
        <v>16.831199999999999</v>
      </c>
      <c r="O1035" s="11">
        <f>16.8344 * CHOOSE(CONTROL!$C$32, $C$9, 100%, $E$9)</f>
        <v>16.834399999999999</v>
      </c>
    </row>
    <row r="1036" spans="1:15" ht="15" x14ac:dyDescent="0.2">
      <c r="A1036" s="13">
        <v>72380</v>
      </c>
      <c r="B1036" s="9">
        <f>15.371 * CHOOSE(CONTROL!$C$32, $C$9, 100%, $E$9)</f>
        <v>15.371</v>
      </c>
      <c r="C1036" s="9">
        <f>15.371 * CHOOSE(CONTROL!$C$32, $C$9, 100%, $E$9)</f>
        <v>15.371</v>
      </c>
      <c r="D1036" s="9">
        <f>15.372 * CHOOSE(CONTROL!$C$32, $C$9, 100%, $E$9)</f>
        <v>15.372</v>
      </c>
      <c r="E1036" s="11">
        <f>17.2133 * CHOOSE(CONTROL!$C$32, $C$9, 100%, $E$9)</f>
        <v>17.2133</v>
      </c>
      <c r="F1036" s="11">
        <f>17.2133 * CHOOSE(CONTROL!$C$32, $C$9, 100%, $E$9)</f>
        <v>17.2133</v>
      </c>
      <c r="G1036" s="11">
        <f>17.2165 * CHOOSE(CONTROL!$C$32, $C$9, 100%, $E$9)</f>
        <v>17.2165</v>
      </c>
      <c r="H1036" s="11">
        <f>36.7381 * CHOOSE(CONTROL!$C$32, $C$9, 100%, $E$9)</f>
        <v>36.738100000000003</v>
      </c>
      <c r="I1036" s="11">
        <f>36.7413 * CHOOSE(CONTROL!$C$32, $C$9, 100%, $E$9)</f>
        <v>36.741300000000003</v>
      </c>
      <c r="J1036" s="11">
        <f>36.7381 * CHOOSE(CONTROL!$C$32, $C$9, 100%, $E$9)</f>
        <v>36.738100000000003</v>
      </c>
      <c r="K1036" s="11">
        <f>36.7413 * CHOOSE(CONTROL!$C$32, $C$9, 100%, $E$9)</f>
        <v>36.741300000000003</v>
      </c>
      <c r="L1036" s="11">
        <f>17.2133 * CHOOSE(CONTROL!$C$32, $C$9, 100%, $E$9)</f>
        <v>17.2133</v>
      </c>
      <c r="M1036" s="11">
        <f>17.2165 * CHOOSE(CONTROL!$C$32, $C$9, 100%, $E$9)</f>
        <v>17.2165</v>
      </c>
      <c r="N1036" s="11">
        <f>17.2133 * CHOOSE(CONTROL!$C$32, $C$9, 100%, $E$9)</f>
        <v>17.2133</v>
      </c>
      <c r="O1036" s="11">
        <f>17.2165 * CHOOSE(CONTROL!$C$32, $C$9, 100%, $E$9)</f>
        <v>17.2165</v>
      </c>
    </row>
    <row r="1037" spans="1:15" ht="15" x14ac:dyDescent="0.2">
      <c r="A1037" s="13">
        <v>72411</v>
      </c>
      <c r="B1037" s="9">
        <f>15.3797 * CHOOSE(CONTROL!$C$32, $C$9, 100%, $E$9)</f>
        <v>15.3797</v>
      </c>
      <c r="C1037" s="9">
        <f>15.3797 * CHOOSE(CONTROL!$C$32, $C$9, 100%, $E$9)</f>
        <v>15.3797</v>
      </c>
      <c r="D1037" s="9">
        <f>15.3807 * CHOOSE(CONTROL!$C$32, $C$9, 100%, $E$9)</f>
        <v>15.380699999999999</v>
      </c>
      <c r="E1037" s="11">
        <f>17.6216 * CHOOSE(CONTROL!$C$32, $C$9, 100%, $E$9)</f>
        <v>17.621600000000001</v>
      </c>
      <c r="F1037" s="11">
        <f>17.6216 * CHOOSE(CONTROL!$C$32, $C$9, 100%, $E$9)</f>
        <v>17.621600000000001</v>
      </c>
      <c r="G1037" s="11">
        <f>17.6248 * CHOOSE(CONTROL!$C$32, $C$9, 100%, $E$9)</f>
        <v>17.6248</v>
      </c>
      <c r="H1037" s="11">
        <f>36.8146 * CHOOSE(CONTROL!$C$32, $C$9, 100%, $E$9)</f>
        <v>36.814599999999999</v>
      </c>
      <c r="I1037" s="11">
        <f>36.8179 * CHOOSE(CONTROL!$C$32, $C$9, 100%, $E$9)</f>
        <v>36.817900000000002</v>
      </c>
      <c r="J1037" s="11">
        <f>36.8146 * CHOOSE(CONTROL!$C$32, $C$9, 100%, $E$9)</f>
        <v>36.814599999999999</v>
      </c>
      <c r="K1037" s="11">
        <f>36.8179 * CHOOSE(CONTROL!$C$32, $C$9, 100%, $E$9)</f>
        <v>36.817900000000002</v>
      </c>
      <c r="L1037" s="11">
        <f>17.6216 * CHOOSE(CONTROL!$C$32, $C$9, 100%, $E$9)</f>
        <v>17.621600000000001</v>
      </c>
      <c r="M1037" s="11">
        <f>17.6248 * CHOOSE(CONTROL!$C$32, $C$9, 100%, $E$9)</f>
        <v>17.6248</v>
      </c>
      <c r="N1037" s="11">
        <f>17.6216 * CHOOSE(CONTROL!$C$32, $C$9, 100%, $E$9)</f>
        <v>17.621600000000001</v>
      </c>
      <c r="O1037" s="11">
        <f>17.6248 * CHOOSE(CONTROL!$C$32, $C$9, 100%, $E$9)</f>
        <v>17.6248</v>
      </c>
    </row>
    <row r="1038" spans="1:15" ht="15" x14ac:dyDescent="0.2">
      <c r="A1038" s="13">
        <v>72441</v>
      </c>
      <c r="B1038" s="9">
        <f>15.3797 * CHOOSE(CONTROL!$C$32, $C$9, 100%, $E$9)</f>
        <v>15.3797</v>
      </c>
      <c r="C1038" s="9">
        <f>15.3797 * CHOOSE(CONTROL!$C$32, $C$9, 100%, $E$9)</f>
        <v>15.3797</v>
      </c>
      <c r="D1038" s="9">
        <f>15.381 * CHOOSE(CONTROL!$C$32, $C$9, 100%, $E$9)</f>
        <v>15.381</v>
      </c>
      <c r="E1038" s="11">
        <f>17.7763 * CHOOSE(CONTROL!$C$32, $C$9, 100%, $E$9)</f>
        <v>17.776299999999999</v>
      </c>
      <c r="F1038" s="11">
        <f>17.7763 * CHOOSE(CONTROL!$C$32, $C$9, 100%, $E$9)</f>
        <v>17.776299999999999</v>
      </c>
      <c r="G1038" s="11">
        <f>17.7805 * CHOOSE(CONTROL!$C$32, $C$9, 100%, $E$9)</f>
        <v>17.7805</v>
      </c>
      <c r="H1038" s="11">
        <f>36.8913 * CHOOSE(CONTROL!$C$32, $C$9, 100%, $E$9)</f>
        <v>36.891300000000001</v>
      </c>
      <c r="I1038" s="11">
        <f>36.8955 * CHOOSE(CONTROL!$C$32, $C$9, 100%, $E$9)</f>
        <v>36.895499999999998</v>
      </c>
      <c r="J1038" s="11">
        <f>36.8913 * CHOOSE(CONTROL!$C$32, $C$9, 100%, $E$9)</f>
        <v>36.891300000000001</v>
      </c>
      <c r="K1038" s="11">
        <f>36.8955 * CHOOSE(CONTROL!$C$32, $C$9, 100%, $E$9)</f>
        <v>36.895499999999998</v>
      </c>
      <c r="L1038" s="11">
        <f>17.7763 * CHOOSE(CONTROL!$C$32, $C$9, 100%, $E$9)</f>
        <v>17.776299999999999</v>
      </c>
      <c r="M1038" s="11">
        <f>17.7805 * CHOOSE(CONTROL!$C$32, $C$9, 100%, $E$9)</f>
        <v>17.7805</v>
      </c>
      <c r="N1038" s="11">
        <f>17.7763 * CHOOSE(CONTROL!$C$32, $C$9, 100%, $E$9)</f>
        <v>17.776299999999999</v>
      </c>
      <c r="O1038" s="11">
        <f>17.7805 * CHOOSE(CONTROL!$C$32, $C$9, 100%, $E$9)</f>
        <v>17.7805</v>
      </c>
    </row>
    <row r="1039" spans="1:15" ht="15" x14ac:dyDescent="0.2">
      <c r="A1039" s="13">
        <v>72472</v>
      </c>
      <c r="B1039" s="9">
        <f>15.3858 * CHOOSE(CONTROL!$C$32, $C$9, 100%, $E$9)</f>
        <v>15.3858</v>
      </c>
      <c r="C1039" s="9">
        <f>15.3858 * CHOOSE(CONTROL!$C$32, $C$9, 100%, $E$9)</f>
        <v>15.3858</v>
      </c>
      <c r="D1039" s="9">
        <f>15.387 * CHOOSE(CONTROL!$C$32, $C$9, 100%, $E$9)</f>
        <v>15.387</v>
      </c>
      <c r="E1039" s="11">
        <f>17.6258 * CHOOSE(CONTROL!$C$32, $C$9, 100%, $E$9)</f>
        <v>17.625800000000002</v>
      </c>
      <c r="F1039" s="11">
        <f>17.6258 * CHOOSE(CONTROL!$C$32, $C$9, 100%, $E$9)</f>
        <v>17.625800000000002</v>
      </c>
      <c r="G1039" s="11">
        <f>17.63 * CHOOSE(CONTROL!$C$32, $C$9, 100%, $E$9)</f>
        <v>17.63</v>
      </c>
      <c r="H1039" s="11">
        <f>36.9682 * CHOOSE(CONTROL!$C$32, $C$9, 100%, $E$9)</f>
        <v>36.968200000000003</v>
      </c>
      <c r="I1039" s="11">
        <f>36.9724 * CHOOSE(CONTROL!$C$32, $C$9, 100%, $E$9)</f>
        <v>36.9724</v>
      </c>
      <c r="J1039" s="11">
        <f>36.9682 * CHOOSE(CONTROL!$C$32, $C$9, 100%, $E$9)</f>
        <v>36.968200000000003</v>
      </c>
      <c r="K1039" s="11">
        <f>36.9724 * CHOOSE(CONTROL!$C$32, $C$9, 100%, $E$9)</f>
        <v>36.9724</v>
      </c>
      <c r="L1039" s="11">
        <f>17.6258 * CHOOSE(CONTROL!$C$32, $C$9, 100%, $E$9)</f>
        <v>17.625800000000002</v>
      </c>
      <c r="M1039" s="11">
        <f>17.63 * CHOOSE(CONTROL!$C$32, $C$9, 100%, $E$9)</f>
        <v>17.63</v>
      </c>
      <c r="N1039" s="11">
        <f>17.6258 * CHOOSE(CONTROL!$C$32, $C$9, 100%, $E$9)</f>
        <v>17.625800000000002</v>
      </c>
      <c r="O1039" s="11">
        <f>17.63 * CHOOSE(CONTROL!$C$32, $C$9, 100%, $E$9)</f>
        <v>17.63</v>
      </c>
    </row>
    <row r="1040" spans="1:15" ht="15" x14ac:dyDescent="0.2">
      <c r="A1040" s="13">
        <v>72502</v>
      </c>
      <c r="B1040" s="9">
        <f>15.5692 * CHOOSE(CONTROL!$C$32, $C$9, 100%, $E$9)</f>
        <v>15.5692</v>
      </c>
      <c r="C1040" s="9">
        <f>15.5692 * CHOOSE(CONTROL!$C$32, $C$9, 100%, $E$9)</f>
        <v>15.5692</v>
      </c>
      <c r="D1040" s="9">
        <f>15.5705 * CHOOSE(CONTROL!$C$32, $C$9, 100%, $E$9)</f>
        <v>15.570499999999999</v>
      </c>
      <c r="E1040" s="11">
        <f>17.8768 * CHOOSE(CONTROL!$C$32, $C$9, 100%, $E$9)</f>
        <v>17.876799999999999</v>
      </c>
      <c r="F1040" s="11">
        <f>17.8768 * CHOOSE(CONTROL!$C$32, $C$9, 100%, $E$9)</f>
        <v>17.876799999999999</v>
      </c>
      <c r="G1040" s="11">
        <f>17.881 * CHOOSE(CONTROL!$C$32, $C$9, 100%, $E$9)</f>
        <v>17.881</v>
      </c>
      <c r="H1040" s="11">
        <f>37.0452 * CHOOSE(CONTROL!$C$32, $C$9, 100%, $E$9)</f>
        <v>37.045200000000001</v>
      </c>
      <c r="I1040" s="11">
        <f>37.0494 * CHOOSE(CONTROL!$C$32, $C$9, 100%, $E$9)</f>
        <v>37.049399999999999</v>
      </c>
      <c r="J1040" s="11">
        <f>37.0452 * CHOOSE(CONTROL!$C$32, $C$9, 100%, $E$9)</f>
        <v>37.045200000000001</v>
      </c>
      <c r="K1040" s="11">
        <f>37.0494 * CHOOSE(CONTROL!$C$32, $C$9, 100%, $E$9)</f>
        <v>37.049399999999999</v>
      </c>
      <c r="L1040" s="11">
        <f>17.8768 * CHOOSE(CONTROL!$C$32, $C$9, 100%, $E$9)</f>
        <v>17.876799999999999</v>
      </c>
      <c r="M1040" s="11">
        <f>17.881 * CHOOSE(CONTROL!$C$32, $C$9, 100%, $E$9)</f>
        <v>17.881</v>
      </c>
      <c r="N1040" s="11">
        <f>17.8768 * CHOOSE(CONTROL!$C$32, $C$9, 100%, $E$9)</f>
        <v>17.876799999999999</v>
      </c>
      <c r="O1040" s="11">
        <f>17.881 * CHOOSE(CONTROL!$C$32, $C$9, 100%, $E$9)</f>
        <v>17.881</v>
      </c>
    </row>
    <row r="1041" spans="1:15" ht="15" x14ac:dyDescent="0.2">
      <c r="A1041" s="13">
        <v>72533</v>
      </c>
      <c r="B1041" s="9">
        <f>15.5759 * CHOOSE(CONTROL!$C$32, $C$9, 100%, $E$9)</f>
        <v>15.575900000000001</v>
      </c>
      <c r="C1041" s="9">
        <f>15.5759 * CHOOSE(CONTROL!$C$32, $C$9, 100%, $E$9)</f>
        <v>15.575900000000001</v>
      </c>
      <c r="D1041" s="9">
        <f>15.5772 * CHOOSE(CONTROL!$C$32, $C$9, 100%, $E$9)</f>
        <v>15.577199999999999</v>
      </c>
      <c r="E1041" s="11">
        <f>17.4173 * CHOOSE(CONTROL!$C$32, $C$9, 100%, $E$9)</f>
        <v>17.417300000000001</v>
      </c>
      <c r="F1041" s="11">
        <f>17.4173 * CHOOSE(CONTROL!$C$32, $C$9, 100%, $E$9)</f>
        <v>17.417300000000001</v>
      </c>
      <c r="G1041" s="11">
        <f>17.4215 * CHOOSE(CONTROL!$C$32, $C$9, 100%, $E$9)</f>
        <v>17.421500000000002</v>
      </c>
      <c r="H1041" s="11">
        <f>37.1224 * CHOOSE(CONTROL!$C$32, $C$9, 100%, $E$9)</f>
        <v>37.122399999999999</v>
      </c>
      <c r="I1041" s="11">
        <f>37.1266 * CHOOSE(CONTROL!$C$32, $C$9, 100%, $E$9)</f>
        <v>37.126600000000003</v>
      </c>
      <c r="J1041" s="11">
        <f>37.1224 * CHOOSE(CONTROL!$C$32, $C$9, 100%, $E$9)</f>
        <v>37.122399999999999</v>
      </c>
      <c r="K1041" s="11">
        <f>37.1266 * CHOOSE(CONTROL!$C$32, $C$9, 100%, $E$9)</f>
        <v>37.126600000000003</v>
      </c>
      <c r="L1041" s="11">
        <f>17.4173 * CHOOSE(CONTROL!$C$32, $C$9, 100%, $E$9)</f>
        <v>17.417300000000001</v>
      </c>
      <c r="M1041" s="11">
        <f>17.4215 * CHOOSE(CONTROL!$C$32, $C$9, 100%, $E$9)</f>
        <v>17.421500000000002</v>
      </c>
      <c r="N1041" s="11">
        <f>17.4173 * CHOOSE(CONTROL!$C$32, $C$9, 100%, $E$9)</f>
        <v>17.417300000000001</v>
      </c>
      <c r="O1041" s="11">
        <f>17.4215 * CHOOSE(CONTROL!$C$32, $C$9, 100%, $E$9)</f>
        <v>17.421500000000002</v>
      </c>
    </row>
    <row r="1042" spans="1:15" ht="15" x14ac:dyDescent="0.2">
      <c r="A1042" s="13">
        <v>72564</v>
      </c>
      <c r="B1042" s="9">
        <f>15.5729 * CHOOSE(CONTROL!$C$32, $C$9, 100%, $E$9)</f>
        <v>15.572900000000001</v>
      </c>
      <c r="C1042" s="9">
        <f>15.5729 * CHOOSE(CONTROL!$C$32, $C$9, 100%, $E$9)</f>
        <v>15.572900000000001</v>
      </c>
      <c r="D1042" s="9">
        <f>15.5741 * CHOOSE(CONTROL!$C$32, $C$9, 100%, $E$9)</f>
        <v>15.5741</v>
      </c>
      <c r="E1042" s="11">
        <f>17.3636 * CHOOSE(CONTROL!$C$32, $C$9, 100%, $E$9)</f>
        <v>17.363600000000002</v>
      </c>
      <c r="F1042" s="11">
        <f>17.3636 * CHOOSE(CONTROL!$C$32, $C$9, 100%, $E$9)</f>
        <v>17.363600000000002</v>
      </c>
      <c r="G1042" s="11">
        <f>17.3678 * CHOOSE(CONTROL!$C$32, $C$9, 100%, $E$9)</f>
        <v>17.367799999999999</v>
      </c>
      <c r="H1042" s="11">
        <f>37.1997 * CHOOSE(CONTROL!$C$32, $C$9, 100%, $E$9)</f>
        <v>37.1997</v>
      </c>
      <c r="I1042" s="11">
        <f>37.2039 * CHOOSE(CONTROL!$C$32, $C$9, 100%, $E$9)</f>
        <v>37.203899999999997</v>
      </c>
      <c r="J1042" s="11">
        <f>37.1997 * CHOOSE(CONTROL!$C$32, $C$9, 100%, $E$9)</f>
        <v>37.1997</v>
      </c>
      <c r="K1042" s="11">
        <f>37.2039 * CHOOSE(CONTROL!$C$32, $C$9, 100%, $E$9)</f>
        <v>37.203899999999997</v>
      </c>
      <c r="L1042" s="11">
        <f>17.3636 * CHOOSE(CONTROL!$C$32, $C$9, 100%, $E$9)</f>
        <v>17.363600000000002</v>
      </c>
      <c r="M1042" s="11">
        <f>17.3678 * CHOOSE(CONTROL!$C$32, $C$9, 100%, $E$9)</f>
        <v>17.367799999999999</v>
      </c>
      <c r="N1042" s="11">
        <f>17.3636 * CHOOSE(CONTROL!$C$32, $C$9, 100%, $E$9)</f>
        <v>17.363600000000002</v>
      </c>
      <c r="O1042" s="11">
        <f>17.3678 * CHOOSE(CONTROL!$C$32, $C$9, 100%, $E$9)</f>
        <v>17.367799999999999</v>
      </c>
    </row>
    <row r="1043" spans="1:15" ht="15" x14ac:dyDescent="0.2">
      <c r="A1043" s="13">
        <v>72594</v>
      </c>
      <c r="B1043" s="9">
        <f>15.6112 * CHOOSE(CONTROL!$C$32, $C$9, 100%, $E$9)</f>
        <v>15.6112</v>
      </c>
      <c r="C1043" s="9">
        <f>15.6112 * CHOOSE(CONTROL!$C$32, $C$9, 100%, $E$9)</f>
        <v>15.6112</v>
      </c>
      <c r="D1043" s="9">
        <f>15.6122 * CHOOSE(CONTROL!$C$32, $C$9, 100%, $E$9)</f>
        <v>15.6122</v>
      </c>
      <c r="E1043" s="11">
        <f>17.5565 * CHOOSE(CONTROL!$C$32, $C$9, 100%, $E$9)</f>
        <v>17.5565</v>
      </c>
      <c r="F1043" s="11">
        <f>17.5565 * CHOOSE(CONTROL!$C$32, $C$9, 100%, $E$9)</f>
        <v>17.5565</v>
      </c>
      <c r="G1043" s="11">
        <f>17.5597 * CHOOSE(CONTROL!$C$32, $C$9, 100%, $E$9)</f>
        <v>17.559699999999999</v>
      </c>
      <c r="H1043" s="11">
        <f>37.2772 * CHOOSE(CONTROL!$C$32, $C$9, 100%, $E$9)</f>
        <v>37.277200000000001</v>
      </c>
      <c r="I1043" s="11">
        <f>37.2805 * CHOOSE(CONTROL!$C$32, $C$9, 100%, $E$9)</f>
        <v>37.280500000000004</v>
      </c>
      <c r="J1043" s="11">
        <f>37.2772 * CHOOSE(CONTROL!$C$32, $C$9, 100%, $E$9)</f>
        <v>37.277200000000001</v>
      </c>
      <c r="K1043" s="11">
        <f>37.2805 * CHOOSE(CONTROL!$C$32, $C$9, 100%, $E$9)</f>
        <v>37.280500000000004</v>
      </c>
      <c r="L1043" s="11">
        <f>17.5565 * CHOOSE(CONTROL!$C$32, $C$9, 100%, $E$9)</f>
        <v>17.5565</v>
      </c>
      <c r="M1043" s="11">
        <f>17.5597 * CHOOSE(CONTROL!$C$32, $C$9, 100%, $E$9)</f>
        <v>17.559699999999999</v>
      </c>
      <c r="N1043" s="11">
        <f>17.5565 * CHOOSE(CONTROL!$C$32, $C$9, 100%, $E$9)</f>
        <v>17.5565</v>
      </c>
      <c r="O1043" s="11">
        <f>17.5597 * CHOOSE(CONTROL!$C$32, $C$9, 100%, $E$9)</f>
        <v>17.559699999999999</v>
      </c>
    </row>
    <row r="1044" spans="1:15" ht="15" x14ac:dyDescent="0.2">
      <c r="A1044" s="13">
        <v>72625</v>
      </c>
      <c r="B1044" s="9">
        <f>15.6143 * CHOOSE(CONTROL!$C$32, $C$9, 100%, $E$9)</f>
        <v>15.6143</v>
      </c>
      <c r="C1044" s="9">
        <f>15.6143 * CHOOSE(CONTROL!$C$32, $C$9, 100%, $E$9)</f>
        <v>15.6143</v>
      </c>
      <c r="D1044" s="9">
        <f>15.6152 * CHOOSE(CONTROL!$C$32, $C$9, 100%, $E$9)</f>
        <v>15.6152</v>
      </c>
      <c r="E1044" s="11">
        <f>17.6617 * CHOOSE(CONTROL!$C$32, $C$9, 100%, $E$9)</f>
        <v>17.6617</v>
      </c>
      <c r="F1044" s="11">
        <f>17.6617 * CHOOSE(CONTROL!$C$32, $C$9, 100%, $E$9)</f>
        <v>17.6617</v>
      </c>
      <c r="G1044" s="11">
        <f>17.6649 * CHOOSE(CONTROL!$C$32, $C$9, 100%, $E$9)</f>
        <v>17.664899999999999</v>
      </c>
      <c r="H1044" s="11">
        <f>37.3549 * CHOOSE(CONTROL!$C$32, $C$9, 100%, $E$9)</f>
        <v>37.354900000000001</v>
      </c>
      <c r="I1044" s="11">
        <f>37.3581 * CHOOSE(CONTROL!$C$32, $C$9, 100%, $E$9)</f>
        <v>37.3581</v>
      </c>
      <c r="J1044" s="11">
        <f>37.3549 * CHOOSE(CONTROL!$C$32, $C$9, 100%, $E$9)</f>
        <v>37.354900000000001</v>
      </c>
      <c r="K1044" s="11">
        <f>37.3581 * CHOOSE(CONTROL!$C$32, $C$9, 100%, $E$9)</f>
        <v>37.3581</v>
      </c>
      <c r="L1044" s="11">
        <f>17.6617 * CHOOSE(CONTROL!$C$32, $C$9, 100%, $E$9)</f>
        <v>17.6617</v>
      </c>
      <c r="M1044" s="11">
        <f>17.6649 * CHOOSE(CONTROL!$C$32, $C$9, 100%, $E$9)</f>
        <v>17.664899999999999</v>
      </c>
      <c r="N1044" s="11">
        <f>17.6617 * CHOOSE(CONTROL!$C$32, $C$9, 100%, $E$9)</f>
        <v>17.6617</v>
      </c>
      <c r="O1044" s="11">
        <f>17.6649 * CHOOSE(CONTROL!$C$32, $C$9, 100%, $E$9)</f>
        <v>17.664899999999999</v>
      </c>
    </row>
    <row r="1045" spans="1:15" ht="15" x14ac:dyDescent="0.2">
      <c r="A1045" s="13">
        <v>72655</v>
      </c>
      <c r="B1045" s="9">
        <f>15.6143 * CHOOSE(CONTROL!$C$32, $C$9, 100%, $E$9)</f>
        <v>15.6143</v>
      </c>
      <c r="C1045" s="9">
        <f>15.6143 * CHOOSE(CONTROL!$C$32, $C$9, 100%, $E$9)</f>
        <v>15.6143</v>
      </c>
      <c r="D1045" s="9">
        <f>15.6152 * CHOOSE(CONTROL!$C$32, $C$9, 100%, $E$9)</f>
        <v>15.6152</v>
      </c>
      <c r="E1045" s="11">
        <f>17.4039 * CHOOSE(CONTROL!$C$32, $C$9, 100%, $E$9)</f>
        <v>17.4039</v>
      </c>
      <c r="F1045" s="11">
        <f>17.4039 * CHOOSE(CONTROL!$C$32, $C$9, 100%, $E$9)</f>
        <v>17.4039</v>
      </c>
      <c r="G1045" s="11">
        <f>17.4071 * CHOOSE(CONTROL!$C$32, $C$9, 100%, $E$9)</f>
        <v>17.4071</v>
      </c>
      <c r="H1045" s="11">
        <f>37.4327 * CHOOSE(CONTROL!$C$32, $C$9, 100%, $E$9)</f>
        <v>37.432699999999997</v>
      </c>
      <c r="I1045" s="11">
        <f>37.4359 * CHOOSE(CONTROL!$C$32, $C$9, 100%, $E$9)</f>
        <v>37.435899999999997</v>
      </c>
      <c r="J1045" s="11">
        <f>37.4327 * CHOOSE(CONTROL!$C$32, $C$9, 100%, $E$9)</f>
        <v>37.432699999999997</v>
      </c>
      <c r="K1045" s="11">
        <f>37.4359 * CHOOSE(CONTROL!$C$32, $C$9, 100%, $E$9)</f>
        <v>37.435899999999997</v>
      </c>
      <c r="L1045" s="11">
        <f>17.4039 * CHOOSE(CONTROL!$C$32, $C$9, 100%, $E$9)</f>
        <v>17.4039</v>
      </c>
      <c r="M1045" s="11">
        <f>17.4071 * CHOOSE(CONTROL!$C$32, $C$9, 100%, $E$9)</f>
        <v>17.4071</v>
      </c>
      <c r="N1045" s="11">
        <f>17.4039 * CHOOSE(CONTROL!$C$32, $C$9, 100%, $E$9)</f>
        <v>17.4039</v>
      </c>
      <c r="O1045" s="11">
        <f>17.4071 * CHOOSE(CONTROL!$C$32, $C$9, 100%, $E$9)</f>
        <v>17.4071</v>
      </c>
    </row>
    <row r="1046" spans="1:15" ht="15" x14ac:dyDescent="0.2">
      <c r="A1046" s="13">
        <v>72686</v>
      </c>
      <c r="B1046" s="9">
        <f>15.5645 * CHOOSE(CONTROL!$C$32, $C$9, 100%, $E$9)</f>
        <v>15.564500000000001</v>
      </c>
      <c r="C1046" s="9">
        <f>15.5645 * CHOOSE(CONTROL!$C$32, $C$9, 100%, $E$9)</f>
        <v>15.564500000000001</v>
      </c>
      <c r="D1046" s="9">
        <f>15.5654 * CHOOSE(CONTROL!$C$32, $C$9, 100%, $E$9)</f>
        <v>15.5654</v>
      </c>
      <c r="E1046" s="11">
        <f>17.5331 * CHOOSE(CONTROL!$C$32, $C$9, 100%, $E$9)</f>
        <v>17.533100000000001</v>
      </c>
      <c r="F1046" s="11">
        <f>17.5331 * CHOOSE(CONTROL!$C$32, $C$9, 100%, $E$9)</f>
        <v>17.533100000000001</v>
      </c>
      <c r="G1046" s="11">
        <f>17.5364 * CHOOSE(CONTROL!$C$32, $C$9, 100%, $E$9)</f>
        <v>17.5364</v>
      </c>
      <c r="H1046" s="11">
        <f>37.0573 * CHOOSE(CONTROL!$C$32, $C$9, 100%, $E$9)</f>
        <v>37.057299999999998</v>
      </c>
      <c r="I1046" s="11">
        <f>37.0605 * CHOOSE(CONTROL!$C$32, $C$9, 100%, $E$9)</f>
        <v>37.060499999999998</v>
      </c>
      <c r="J1046" s="11">
        <f>37.0573 * CHOOSE(CONTROL!$C$32, $C$9, 100%, $E$9)</f>
        <v>37.057299999999998</v>
      </c>
      <c r="K1046" s="11">
        <f>37.0605 * CHOOSE(CONTROL!$C$32, $C$9, 100%, $E$9)</f>
        <v>37.060499999999998</v>
      </c>
      <c r="L1046" s="11">
        <f>17.5331 * CHOOSE(CONTROL!$C$32, $C$9, 100%, $E$9)</f>
        <v>17.533100000000001</v>
      </c>
      <c r="M1046" s="11">
        <f>17.5364 * CHOOSE(CONTROL!$C$32, $C$9, 100%, $E$9)</f>
        <v>17.5364</v>
      </c>
      <c r="N1046" s="11">
        <f>17.5331 * CHOOSE(CONTROL!$C$32, $C$9, 100%, $E$9)</f>
        <v>17.533100000000001</v>
      </c>
      <c r="O1046" s="11">
        <f>17.5364 * CHOOSE(CONTROL!$C$32, $C$9, 100%, $E$9)</f>
        <v>17.5364</v>
      </c>
    </row>
    <row r="1047" spans="1:15" ht="15" x14ac:dyDescent="0.2">
      <c r="A1047" s="13">
        <v>72717</v>
      </c>
      <c r="B1047" s="9">
        <f>15.5614 * CHOOSE(CONTROL!$C$32, $C$9, 100%, $E$9)</f>
        <v>15.561400000000001</v>
      </c>
      <c r="C1047" s="9">
        <f>15.5614 * CHOOSE(CONTROL!$C$32, $C$9, 100%, $E$9)</f>
        <v>15.561400000000001</v>
      </c>
      <c r="D1047" s="9">
        <f>15.5624 * CHOOSE(CONTROL!$C$32, $C$9, 100%, $E$9)</f>
        <v>15.5624</v>
      </c>
      <c r="E1047" s="11">
        <f>17.0366 * CHOOSE(CONTROL!$C$32, $C$9, 100%, $E$9)</f>
        <v>17.0366</v>
      </c>
      <c r="F1047" s="11">
        <f>17.0366 * CHOOSE(CONTROL!$C$32, $C$9, 100%, $E$9)</f>
        <v>17.0366</v>
      </c>
      <c r="G1047" s="11">
        <f>17.0399 * CHOOSE(CONTROL!$C$32, $C$9, 100%, $E$9)</f>
        <v>17.039899999999999</v>
      </c>
      <c r="H1047" s="11">
        <f>37.1345 * CHOOSE(CONTROL!$C$32, $C$9, 100%, $E$9)</f>
        <v>37.134500000000003</v>
      </c>
      <c r="I1047" s="11">
        <f>37.1377 * CHOOSE(CONTROL!$C$32, $C$9, 100%, $E$9)</f>
        <v>37.137700000000002</v>
      </c>
      <c r="J1047" s="11">
        <f>37.1345 * CHOOSE(CONTROL!$C$32, $C$9, 100%, $E$9)</f>
        <v>37.134500000000003</v>
      </c>
      <c r="K1047" s="11">
        <f>37.1377 * CHOOSE(CONTROL!$C$32, $C$9, 100%, $E$9)</f>
        <v>37.137700000000002</v>
      </c>
      <c r="L1047" s="11">
        <f>17.0366 * CHOOSE(CONTROL!$C$32, $C$9, 100%, $E$9)</f>
        <v>17.0366</v>
      </c>
      <c r="M1047" s="11">
        <f>17.0399 * CHOOSE(CONTROL!$C$32, $C$9, 100%, $E$9)</f>
        <v>17.039899999999999</v>
      </c>
      <c r="N1047" s="11">
        <f>17.0366 * CHOOSE(CONTROL!$C$32, $C$9, 100%, $E$9)</f>
        <v>17.0366</v>
      </c>
      <c r="O1047" s="11">
        <f>17.0399 * CHOOSE(CONTROL!$C$32, $C$9, 100%, $E$9)</f>
        <v>17.039899999999999</v>
      </c>
    </row>
    <row r="1048" spans="1:15" ht="15" x14ac:dyDescent="0.2">
      <c r="A1048" s="13">
        <v>72745</v>
      </c>
      <c r="B1048" s="9">
        <f>15.5584 * CHOOSE(CONTROL!$C$32, $C$9, 100%, $E$9)</f>
        <v>15.558400000000001</v>
      </c>
      <c r="C1048" s="9">
        <f>15.5584 * CHOOSE(CONTROL!$C$32, $C$9, 100%, $E$9)</f>
        <v>15.558400000000001</v>
      </c>
      <c r="D1048" s="9">
        <f>15.5593 * CHOOSE(CONTROL!$C$32, $C$9, 100%, $E$9)</f>
        <v>15.5593</v>
      </c>
      <c r="E1048" s="11">
        <f>17.4243 * CHOOSE(CONTROL!$C$32, $C$9, 100%, $E$9)</f>
        <v>17.424299999999999</v>
      </c>
      <c r="F1048" s="11">
        <f>17.4243 * CHOOSE(CONTROL!$C$32, $C$9, 100%, $E$9)</f>
        <v>17.424299999999999</v>
      </c>
      <c r="G1048" s="11">
        <f>17.4275 * CHOOSE(CONTROL!$C$32, $C$9, 100%, $E$9)</f>
        <v>17.427499999999998</v>
      </c>
      <c r="H1048" s="11">
        <f>37.2119 * CHOOSE(CONTROL!$C$32, $C$9, 100%, $E$9)</f>
        <v>37.2119</v>
      </c>
      <c r="I1048" s="11">
        <f>37.2151 * CHOOSE(CONTROL!$C$32, $C$9, 100%, $E$9)</f>
        <v>37.2151</v>
      </c>
      <c r="J1048" s="11">
        <f>37.2119 * CHOOSE(CONTROL!$C$32, $C$9, 100%, $E$9)</f>
        <v>37.2119</v>
      </c>
      <c r="K1048" s="11">
        <f>37.2151 * CHOOSE(CONTROL!$C$32, $C$9, 100%, $E$9)</f>
        <v>37.2151</v>
      </c>
      <c r="L1048" s="11">
        <f>17.4243 * CHOOSE(CONTROL!$C$32, $C$9, 100%, $E$9)</f>
        <v>17.424299999999999</v>
      </c>
      <c r="M1048" s="11">
        <f>17.4275 * CHOOSE(CONTROL!$C$32, $C$9, 100%, $E$9)</f>
        <v>17.427499999999998</v>
      </c>
      <c r="N1048" s="11">
        <f>17.4243 * CHOOSE(CONTROL!$C$32, $C$9, 100%, $E$9)</f>
        <v>17.424299999999999</v>
      </c>
      <c r="O1048" s="11">
        <f>17.4275 * CHOOSE(CONTROL!$C$32, $C$9, 100%, $E$9)</f>
        <v>17.427499999999998</v>
      </c>
    </row>
    <row r="1049" spans="1:15" ht="15" x14ac:dyDescent="0.2">
      <c r="A1049" s="13">
        <v>72776</v>
      </c>
      <c r="B1049" s="9">
        <f>15.5673 * CHOOSE(CONTROL!$C$32, $C$9, 100%, $E$9)</f>
        <v>15.567299999999999</v>
      </c>
      <c r="C1049" s="9">
        <f>15.5673 * CHOOSE(CONTROL!$C$32, $C$9, 100%, $E$9)</f>
        <v>15.567299999999999</v>
      </c>
      <c r="D1049" s="9">
        <f>15.5682 * CHOOSE(CONTROL!$C$32, $C$9, 100%, $E$9)</f>
        <v>15.568199999999999</v>
      </c>
      <c r="E1049" s="11">
        <f>17.8386 * CHOOSE(CONTROL!$C$32, $C$9, 100%, $E$9)</f>
        <v>17.8386</v>
      </c>
      <c r="F1049" s="11">
        <f>17.8386 * CHOOSE(CONTROL!$C$32, $C$9, 100%, $E$9)</f>
        <v>17.8386</v>
      </c>
      <c r="G1049" s="11">
        <f>17.8418 * CHOOSE(CONTROL!$C$32, $C$9, 100%, $E$9)</f>
        <v>17.841799999999999</v>
      </c>
      <c r="H1049" s="11">
        <f>37.2894 * CHOOSE(CONTROL!$C$32, $C$9, 100%, $E$9)</f>
        <v>37.289400000000001</v>
      </c>
      <c r="I1049" s="11">
        <f>37.2926 * CHOOSE(CONTROL!$C$32, $C$9, 100%, $E$9)</f>
        <v>37.2926</v>
      </c>
      <c r="J1049" s="11">
        <f>37.2894 * CHOOSE(CONTROL!$C$32, $C$9, 100%, $E$9)</f>
        <v>37.289400000000001</v>
      </c>
      <c r="K1049" s="11">
        <f>37.2926 * CHOOSE(CONTROL!$C$32, $C$9, 100%, $E$9)</f>
        <v>37.2926</v>
      </c>
      <c r="L1049" s="11">
        <f>17.8386 * CHOOSE(CONTROL!$C$32, $C$9, 100%, $E$9)</f>
        <v>17.8386</v>
      </c>
      <c r="M1049" s="11">
        <f>17.8418 * CHOOSE(CONTROL!$C$32, $C$9, 100%, $E$9)</f>
        <v>17.841799999999999</v>
      </c>
      <c r="N1049" s="11">
        <f>17.8386 * CHOOSE(CONTROL!$C$32, $C$9, 100%, $E$9)</f>
        <v>17.8386</v>
      </c>
      <c r="O1049" s="11">
        <f>17.8418 * CHOOSE(CONTROL!$C$32, $C$9, 100%, $E$9)</f>
        <v>17.841799999999999</v>
      </c>
    </row>
    <row r="1050" spans="1:15" ht="15" x14ac:dyDescent="0.2">
      <c r="A1050" s="13">
        <v>72806</v>
      </c>
      <c r="B1050" s="9">
        <f>15.5673 * CHOOSE(CONTROL!$C$32, $C$9, 100%, $E$9)</f>
        <v>15.567299999999999</v>
      </c>
      <c r="C1050" s="9">
        <f>15.5673 * CHOOSE(CONTROL!$C$32, $C$9, 100%, $E$9)</f>
        <v>15.567299999999999</v>
      </c>
      <c r="D1050" s="9">
        <f>15.5685 * CHOOSE(CONTROL!$C$32, $C$9, 100%, $E$9)</f>
        <v>15.5685</v>
      </c>
      <c r="E1050" s="11">
        <f>17.9956 * CHOOSE(CONTROL!$C$32, $C$9, 100%, $E$9)</f>
        <v>17.9956</v>
      </c>
      <c r="F1050" s="11">
        <f>17.9956 * CHOOSE(CONTROL!$C$32, $C$9, 100%, $E$9)</f>
        <v>17.9956</v>
      </c>
      <c r="G1050" s="11">
        <f>17.9998 * CHOOSE(CONTROL!$C$32, $C$9, 100%, $E$9)</f>
        <v>17.9998</v>
      </c>
      <c r="H1050" s="11">
        <f>37.3671 * CHOOSE(CONTROL!$C$32, $C$9, 100%, $E$9)</f>
        <v>37.367100000000001</v>
      </c>
      <c r="I1050" s="11">
        <f>37.3713 * CHOOSE(CONTROL!$C$32, $C$9, 100%, $E$9)</f>
        <v>37.371299999999998</v>
      </c>
      <c r="J1050" s="11">
        <f>37.3671 * CHOOSE(CONTROL!$C$32, $C$9, 100%, $E$9)</f>
        <v>37.367100000000001</v>
      </c>
      <c r="K1050" s="11">
        <f>37.3713 * CHOOSE(CONTROL!$C$32, $C$9, 100%, $E$9)</f>
        <v>37.371299999999998</v>
      </c>
      <c r="L1050" s="11">
        <f>17.9956 * CHOOSE(CONTROL!$C$32, $C$9, 100%, $E$9)</f>
        <v>17.9956</v>
      </c>
      <c r="M1050" s="11">
        <f>17.9998 * CHOOSE(CONTROL!$C$32, $C$9, 100%, $E$9)</f>
        <v>17.9998</v>
      </c>
      <c r="N1050" s="11">
        <f>17.9956 * CHOOSE(CONTROL!$C$32, $C$9, 100%, $E$9)</f>
        <v>17.9956</v>
      </c>
      <c r="O1050" s="11">
        <f>17.9998 * CHOOSE(CONTROL!$C$32, $C$9, 100%, $E$9)</f>
        <v>17.9998</v>
      </c>
    </row>
    <row r="1051" spans="1:15" ht="15" x14ac:dyDescent="0.2">
      <c r="A1051" s="13">
        <v>72837</v>
      </c>
      <c r="B1051" s="9">
        <f>15.5733 * CHOOSE(CONTROL!$C$32, $C$9, 100%, $E$9)</f>
        <v>15.5733</v>
      </c>
      <c r="C1051" s="9">
        <f>15.5733 * CHOOSE(CONTROL!$C$32, $C$9, 100%, $E$9)</f>
        <v>15.5733</v>
      </c>
      <c r="D1051" s="9">
        <f>15.5746 * CHOOSE(CONTROL!$C$32, $C$9, 100%, $E$9)</f>
        <v>15.5746</v>
      </c>
      <c r="E1051" s="11">
        <f>17.8428 * CHOOSE(CONTROL!$C$32, $C$9, 100%, $E$9)</f>
        <v>17.8428</v>
      </c>
      <c r="F1051" s="11">
        <f>17.8428 * CHOOSE(CONTROL!$C$32, $C$9, 100%, $E$9)</f>
        <v>17.8428</v>
      </c>
      <c r="G1051" s="11">
        <f>17.847 * CHOOSE(CONTROL!$C$32, $C$9, 100%, $E$9)</f>
        <v>17.847000000000001</v>
      </c>
      <c r="H1051" s="11">
        <f>37.4449 * CHOOSE(CONTROL!$C$32, $C$9, 100%, $E$9)</f>
        <v>37.444899999999997</v>
      </c>
      <c r="I1051" s="11">
        <f>37.4491 * CHOOSE(CONTROL!$C$32, $C$9, 100%, $E$9)</f>
        <v>37.449100000000001</v>
      </c>
      <c r="J1051" s="11">
        <f>37.4449 * CHOOSE(CONTROL!$C$32, $C$9, 100%, $E$9)</f>
        <v>37.444899999999997</v>
      </c>
      <c r="K1051" s="11">
        <f>37.4491 * CHOOSE(CONTROL!$C$32, $C$9, 100%, $E$9)</f>
        <v>37.449100000000001</v>
      </c>
      <c r="L1051" s="11">
        <f>17.8428 * CHOOSE(CONTROL!$C$32, $C$9, 100%, $E$9)</f>
        <v>17.8428</v>
      </c>
      <c r="M1051" s="11">
        <f>17.847 * CHOOSE(CONTROL!$C$32, $C$9, 100%, $E$9)</f>
        <v>17.847000000000001</v>
      </c>
      <c r="N1051" s="11">
        <f>17.8428 * CHOOSE(CONTROL!$C$32, $C$9, 100%, $E$9)</f>
        <v>17.8428</v>
      </c>
      <c r="O1051" s="11">
        <f>17.847 * CHOOSE(CONTROL!$C$32, $C$9, 100%, $E$9)</f>
        <v>17.847000000000001</v>
      </c>
    </row>
    <row r="1052" spans="1:15" ht="15" x14ac:dyDescent="0.2">
      <c r="A1052" s="13">
        <v>72867</v>
      </c>
      <c r="B1052" s="9">
        <f>15.7588 * CHOOSE(CONTROL!$C$32, $C$9, 100%, $E$9)</f>
        <v>15.758800000000001</v>
      </c>
      <c r="C1052" s="9">
        <f>15.7588 * CHOOSE(CONTROL!$C$32, $C$9, 100%, $E$9)</f>
        <v>15.758800000000001</v>
      </c>
      <c r="D1052" s="9">
        <f>15.7601 * CHOOSE(CONTROL!$C$32, $C$9, 100%, $E$9)</f>
        <v>15.7601</v>
      </c>
      <c r="E1052" s="11">
        <f>18.0969 * CHOOSE(CONTROL!$C$32, $C$9, 100%, $E$9)</f>
        <v>18.096900000000002</v>
      </c>
      <c r="F1052" s="11">
        <f>18.0969 * CHOOSE(CONTROL!$C$32, $C$9, 100%, $E$9)</f>
        <v>18.096900000000002</v>
      </c>
      <c r="G1052" s="11">
        <f>18.1011 * CHOOSE(CONTROL!$C$32, $C$9, 100%, $E$9)</f>
        <v>18.101099999999999</v>
      </c>
      <c r="H1052" s="11">
        <f>37.5229 * CHOOSE(CONTROL!$C$32, $C$9, 100%, $E$9)</f>
        <v>37.5229</v>
      </c>
      <c r="I1052" s="11">
        <f>37.5272 * CHOOSE(CONTROL!$C$32, $C$9, 100%, $E$9)</f>
        <v>37.527200000000001</v>
      </c>
      <c r="J1052" s="11">
        <f>37.5229 * CHOOSE(CONTROL!$C$32, $C$9, 100%, $E$9)</f>
        <v>37.5229</v>
      </c>
      <c r="K1052" s="11">
        <f>37.5272 * CHOOSE(CONTROL!$C$32, $C$9, 100%, $E$9)</f>
        <v>37.527200000000001</v>
      </c>
      <c r="L1052" s="11">
        <f>18.0969 * CHOOSE(CONTROL!$C$32, $C$9, 100%, $E$9)</f>
        <v>18.096900000000002</v>
      </c>
      <c r="M1052" s="11">
        <f>18.1011 * CHOOSE(CONTROL!$C$32, $C$9, 100%, $E$9)</f>
        <v>18.101099999999999</v>
      </c>
      <c r="N1052" s="11">
        <f>18.0969 * CHOOSE(CONTROL!$C$32, $C$9, 100%, $E$9)</f>
        <v>18.096900000000002</v>
      </c>
      <c r="O1052" s="11">
        <f>18.1011 * CHOOSE(CONTROL!$C$32, $C$9, 100%, $E$9)</f>
        <v>18.101099999999999</v>
      </c>
    </row>
    <row r="1053" spans="1:15" ht="15" x14ac:dyDescent="0.2">
      <c r="A1053" s="13">
        <v>72898</v>
      </c>
      <c r="B1053" s="9">
        <f>15.7655 * CHOOSE(CONTROL!$C$32, $C$9, 100%, $E$9)</f>
        <v>15.765499999999999</v>
      </c>
      <c r="C1053" s="9">
        <f>15.7655 * CHOOSE(CONTROL!$C$32, $C$9, 100%, $E$9)</f>
        <v>15.765499999999999</v>
      </c>
      <c r="D1053" s="9">
        <f>15.7668 * CHOOSE(CONTROL!$C$32, $C$9, 100%, $E$9)</f>
        <v>15.7668</v>
      </c>
      <c r="E1053" s="11">
        <f>17.6307 * CHOOSE(CONTROL!$C$32, $C$9, 100%, $E$9)</f>
        <v>17.630700000000001</v>
      </c>
      <c r="F1053" s="11">
        <f>17.6307 * CHOOSE(CONTROL!$C$32, $C$9, 100%, $E$9)</f>
        <v>17.630700000000001</v>
      </c>
      <c r="G1053" s="11">
        <f>17.6349 * CHOOSE(CONTROL!$C$32, $C$9, 100%, $E$9)</f>
        <v>17.634899999999998</v>
      </c>
      <c r="H1053" s="11">
        <f>37.6011 * CHOOSE(CONTROL!$C$32, $C$9, 100%, $E$9)</f>
        <v>37.601100000000002</v>
      </c>
      <c r="I1053" s="11">
        <f>37.6053 * CHOOSE(CONTROL!$C$32, $C$9, 100%, $E$9)</f>
        <v>37.6053</v>
      </c>
      <c r="J1053" s="11">
        <f>37.6011 * CHOOSE(CONTROL!$C$32, $C$9, 100%, $E$9)</f>
        <v>37.601100000000002</v>
      </c>
      <c r="K1053" s="11">
        <f>37.6053 * CHOOSE(CONTROL!$C$32, $C$9, 100%, $E$9)</f>
        <v>37.6053</v>
      </c>
      <c r="L1053" s="11">
        <f>17.6307 * CHOOSE(CONTROL!$C$32, $C$9, 100%, $E$9)</f>
        <v>17.630700000000001</v>
      </c>
      <c r="M1053" s="11">
        <f>17.6349 * CHOOSE(CONTROL!$C$32, $C$9, 100%, $E$9)</f>
        <v>17.634899999999998</v>
      </c>
      <c r="N1053" s="11">
        <f>17.6307 * CHOOSE(CONTROL!$C$32, $C$9, 100%, $E$9)</f>
        <v>17.630700000000001</v>
      </c>
      <c r="O1053" s="11">
        <f>17.6349 * CHOOSE(CONTROL!$C$32, $C$9, 100%, $E$9)</f>
        <v>17.634899999999998</v>
      </c>
    </row>
    <row r="1054" spans="1:15" ht="15" x14ac:dyDescent="0.2">
      <c r="A1054" s="13">
        <v>72929</v>
      </c>
      <c r="B1054" s="9">
        <f>15.7625 * CHOOSE(CONTROL!$C$32, $C$9, 100%, $E$9)</f>
        <v>15.762499999999999</v>
      </c>
      <c r="C1054" s="9">
        <f>15.7625 * CHOOSE(CONTROL!$C$32, $C$9, 100%, $E$9)</f>
        <v>15.762499999999999</v>
      </c>
      <c r="D1054" s="9">
        <f>15.7637 * CHOOSE(CONTROL!$C$32, $C$9, 100%, $E$9)</f>
        <v>15.7637</v>
      </c>
      <c r="E1054" s="11">
        <f>17.5763 * CHOOSE(CONTROL!$C$32, $C$9, 100%, $E$9)</f>
        <v>17.5763</v>
      </c>
      <c r="F1054" s="11">
        <f>17.5763 * CHOOSE(CONTROL!$C$32, $C$9, 100%, $E$9)</f>
        <v>17.5763</v>
      </c>
      <c r="G1054" s="11">
        <f>17.5805 * CHOOSE(CONTROL!$C$32, $C$9, 100%, $E$9)</f>
        <v>17.580500000000001</v>
      </c>
      <c r="H1054" s="11">
        <f>37.6795 * CHOOSE(CONTROL!$C$32, $C$9, 100%, $E$9)</f>
        <v>37.679499999999997</v>
      </c>
      <c r="I1054" s="11">
        <f>37.6837 * CHOOSE(CONTROL!$C$32, $C$9, 100%, $E$9)</f>
        <v>37.683700000000002</v>
      </c>
      <c r="J1054" s="11">
        <f>37.6795 * CHOOSE(CONTROL!$C$32, $C$9, 100%, $E$9)</f>
        <v>37.679499999999997</v>
      </c>
      <c r="K1054" s="11">
        <f>37.6837 * CHOOSE(CONTROL!$C$32, $C$9, 100%, $E$9)</f>
        <v>37.683700000000002</v>
      </c>
      <c r="L1054" s="11">
        <f>17.5763 * CHOOSE(CONTROL!$C$32, $C$9, 100%, $E$9)</f>
        <v>17.5763</v>
      </c>
      <c r="M1054" s="11">
        <f>17.5805 * CHOOSE(CONTROL!$C$32, $C$9, 100%, $E$9)</f>
        <v>17.580500000000001</v>
      </c>
      <c r="N1054" s="11">
        <f>17.5763 * CHOOSE(CONTROL!$C$32, $C$9, 100%, $E$9)</f>
        <v>17.5763</v>
      </c>
      <c r="O1054" s="11">
        <f>17.5805 * CHOOSE(CONTROL!$C$32, $C$9, 100%, $E$9)</f>
        <v>17.580500000000001</v>
      </c>
    </row>
    <row r="1055" spans="1:15" ht="15" x14ac:dyDescent="0.2">
      <c r="A1055" s="13">
        <v>72959</v>
      </c>
      <c r="B1055" s="9">
        <f>15.8016 * CHOOSE(CONTROL!$C$32, $C$9, 100%, $E$9)</f>
        <v>15.801600000000001</v>
      </c>
      <c r="C1055" s="9">
        <f>15.8016 * CHOOSE(CONTROL!$C$32, $C$9, 100%, $E$9)</f>
        <v>15.801600000000001</v>
      </c>
      <c r="D1055" s="9">
        <f>15.8025 * CHOOSE(CONTROL!$C$32, $C$9, 100%, $E$9)</f>
        <v>15.8025</v>
      </c>
      <c r="E1055" s="11">
        <f>17.7721 * CHOOSE(CONTROL!$C$32, $C$9, 100%, $E$9)</f>
        <v>17.772099999999998</v>
      </c>
      <c r="F1055" s="11">
        <f>17.7721 * CHOOSE(CONTROL!$C$32, $C$9, 100%, $E$9)</f>
        <v>17.772099999999998</v>
      </c>
      <c r="G1055" s="11">
        <f>17.7754 * CHOOSE(CONTROL!$C$32, $C$9, 100%, $E$9)</f>
        <v>17.775400000000001</v>
      </c>
      <c r="H1055" s="11">
        <f>37.758 * CHOOSE(CONTROL!$C$32, $C$9, 100%, $E$9)</f>
        <v>37.758000000000003</v>
      </c>
      <c r="I1055" s="11">
        <f>37.7612 * CHOOSE(CONTROL!$C$32, $C$9, 100%, $E$9)</f>
        <v>37.761200000000002</v>
      </c>
      <c r="J1055" s="11">
        <f>37.758 * CHOOSE(CONTROL!$C$32, $C$9, 100%, $E$9)</f>
        <v>37.758000000000003</v>
      </c>
      <c r="K1055" s="11">
        <f>37.7612 * CHOOSE(CONTROL!$C$32, $C$9, 100%, $E$9)</f>
        <v>37.761200000000002</v>
      </c>
      <c r="L1055" s="11">
        <f>17.7721 * CHOOSE(CONTROL!$C$32, $C$9, 100%, $E$9)</f>
        <v>17.772099999999998</v>
      </c>
      <c r="M1055" s="11">
        <f>17.7754 * CHOOSE(CONTROL!$C$32, $C$9, 100%, $E$9)</f>
        <v>17.775400000000001</v>
      </c>
      <c r="N1055" s="11">
        <f>17.7721 * CHOOSE(CONTROL!$C$32, $C$9, 100%, $E$9)</f>
        <v>17.772099999999998</v>
      </c>
      <c r="O1055" s="11">
        <f>17.7754 * CHOOSE(CONTROL!$C$32, $C$9, 100%, $E$9)</f>
        <v>17.775400000000001</v>
      </c>
    </row>
    <row r="1056" spans="1:15" ht="15" x14ac:dyDescent="0.2">
      <c r="A1056" s="13">
        <v>72990</v>
      </c>
      <c r="B1056" s="9">
        <f>15.8046 * CHOOSE(CONTROL!$C$32, $C$9, 100%, $E$9)</f>
        <v>15.804600000000001</v>
      </c>
      <c r="C1056" s="9">
        <f>15.8046 * CHOOSE(CONTROL!$C$32, $C$9, 100%, $E$9)</f>
        <v>15.804600000000001</v>
      </c>
      <c r="D1056" s="9">
        <f>15.8055 * CHOOSE(CONTROL!$C$32, $C$9, 100%, $E$9)</f>
        <v>15.8055</v>
      </c>
      <c r="E1056" s="11">
        <f>17.8789 * CHOOSE(CONTROL!$C$32, $C$9, 100%, $E$9)</f>
        <v>17.878900000000002</v>
      </c>
      <c r="F1056" s="11">
        <f>17.8789 * CHOOSE(CONTROL!$C$32, $C$9, 100%, $E$9)</f>
        <v>17.878900000000002</v>
      </c>
      <c r="G1056" s="11">
        <f>17.8821 * CHOOSE(CONTROL!$C$32, $C$9, 100%, $E$9)</f>
        <v>17.882100000000001</v>
      </c>
      <c r="H1056" s="11">
        <f>37.8366 * CHOOSE(CONTROL!$C$32, $C$9, 100%, $E$9)</f>
        <v>37.836599999999997</v>
      </c>
      <c r="I1056" s="11">
        <f>37.8398 * CHOOSE(CONTROL!$C$32, $C$9, 100%, $E$9)</f>
        <v>37.839799999999997</v>
      </c>
      <c r="J1056" s="11">
        <f>37.8366 * CHOOSE(CONTROL!$C$32, $C$9, 100%, $E$9)</f>
        <v>37.836599999999997</v>
      </c>
      <c r="K1056" s="11">
        <f>37.8398 * CHOOSE(CONTROL!$C$32, $C$9, 100%, $E$9)</f>
        <v>37.839799999999997</v>
      </c>
      <c r="L1056" s="11">
        <f>17.8789 * CHOOSE(CONTROL!$C$32, $C$9, 100%, $E$9)</f>
        <v>17.878900000000002</v>
      </c>
      <c r="M1056" s="11">
        <f>17.8821 * CHOOSE(CONTROL!$C$32, $C$9, 100%, $E$9)</f>
        <v>17.882100000000001</v>
      </c>
      <c r="N1056" s="11">
        <f>17.8789 * CHOOSE(CONTROL!$C$32, $C$9, 100%, $E$9)</f>
        <v>17.878900000000002</v>
      </c>
      <c r="O1056" s="11">
        <f>17.8821 * CHOOSE(CONTROL!$C$32, $C$9, 100%, $E$9)</f>
        <v>17.882100000000001</v>
      </c>
    </row>
    <row r="1057" spans="1:15" ht="15" x14ac:dyDescent="0.2">
      <c r="A1057" s="13">
        <v>73020</v>
      </c>
      <c r="B1057" s="9">
        <f>15.8046 * CHOOSE(CONTROL!$C$32, $C$9, 100%, $E$9)</f>
        <v>15.804600000000001</v>
      </c>
      <c r="C1057" s="9">
        <f>15.8046 * CHOOSE(CONTROL!$C$32, $C$9, 100%, $E$9)</f>
        <v>15.804600000000001</v>
      </c>
      <c r="D1057" s="9">
        <f>15.8055 * CHOOSE(CONTROL!$C$32, $C$9, 100%, $E$9)</f>
        <v>15.8055</v>
      </c>
      <c r="E1057" s="11">
        <f>17.6173 * CHOOSE(CONTROL!$C$32, $C$9, 100%, $E$9)</f>
        <v>17.6173</v>
      </c>
      <c r="F1057" s="11">
        <f>17.6173 * CHOOSE(CONTROL!$C$32, $C$9, 100%, $E$9)</f>
        <v>17.6173</v>
      </c>
      <c r="G1057" s="11">
        <f>17.6205 * CHOOSE(CONTROL!$C$32, $C$9, 100%, $E$9)</f>
        <v>17.6205</v>
      </c>
      <c r="H1057" s="11">
        <f>37.9154 * CHOOSE(CONTROL!$C$32, $C$9, 100%, $E$9)</f>
        <v>37.915399999999998</v>
      </c>
      <c r="I1057" s="11">
        <f>37.9187 * CHOOSE(CONTROL!$C$32, $C$9, 100%, $E$9)</f>
        <v>37.918700000000001</v>
      </c>
      <c r="J1057" s="11">
        <f>37.9154 * CHOOSE(CONTROL!$C$32, $C$9, 100%, $E$9)</f>
        <v>37.915399999999998</v>
      </c>
      <c r="K1057" s="11">
        <f>37.9187 * CHOOSE(CONTROL!$C$32, $C$9, 100%, $E$9)</f>
        <v>37.918700000000001</v>
      </c>
      <c r="L1057" s="11">
        <f>17.6173 * CHOOSE(CONTROL!$C$32, $C$9, 100%, $E$9)</f>
        <v>17.6173</v>
      </c>
      <c r="M1057" s="11">
        <f>17.6205 * CHOOSE(CONTROL!$C$32, $C$9, 100%, $E$9)</f>
        <v>17.6205</v>
      </c>
      <c r="N1057" s="11">
        <f>17.6173 * CHOOSE(CONTROL!$C$32, $C$9, 100%, $E$9)</f>
        <v>17.6173</v>
      </c>
      <c r="O1057" s="11">
        <f>17.6205 * CHOOSE(CONTROL!$C$32, $C$9, 100%, $E$9)</f>
        <v>17.6205</v>
      </c>
    </row>
    <row r="1058" spans="1:15" ht="15" x14ac:dyDescent="0.2">
      <c r="A1058" s="13">
        <v>73051</v>
      </c>
      <c r="B1058" s="9">
        <f>15.7518 * CHOOSE(CONTROL!$C$32, $C$9, 100%, $E$9)</f>
        <v>15.751799999999999</v>
      </c>
      <c r="C1058" s="9">
        <f>15.7518 * CHOOSE(CONTROL!$C$32, $C$9, 100%, $E$9)</f>
        <v>15.751799999999999</v>
      </c>
      <c r="D1058" s="9">
        <f>15.7528 * CHOOSE(CONTROL!$C$32, $C$9, 100%, $E$9)</f>
        <v>15.752800000000001</v>
      </c>
      <c r="E1058" s="11">
        <f>17.7456 * CHOOSE(CONTROL!$C$32, $C$9, 100%, $E$9)</f>
        <v>17.7456</v>
      </c>
      <c r="F1058" s="11">
        <f>17.7456 * CHOOSE(CONTROL!$C$32, $C$9, 100%, $E$9)</f>
        <v>17.7456</v>
      </c>
      <c r="G1058" s="11">
        <f>17.7489 * CHOOSE(CONTROL!$C$32, $C$9, 100%, $E$9)</f>
        <v>17.748899999999999</v>
      </c>
      <c r="H1058" s="11">
        <f>37.5291 * CHOOSE(CONTROL!$C$32, $C$9, 100%, $E$9)</f>
        <v>37.5291</v>
      </c>
      <c r="I1058" s="11">
        <f>37.5323 * CHOOSE(CONTROL!$C$32, $C$9, 100%, $E$9)</f>
        <v>37.532299999999999</v>
      </c>
      <c r="J1058" s="11">
        <f>37.5291 * CHOOSE(CONTROL!$C$32, $C$9, 100%, $E$9)</f>
        <v>37.5291</v>
      </c>
      <c r="K1058" s="11">
        <f>37.5323 * CHOOSE(CONTROL!$C$32, $C$9, 100%, $E$9)</f>
        <v>37.532299999999999</v>
      </c>
      <c r="L1058" s="11">
        <f>17.7456 * CHOOSE(CONTROL!$C$32, $C$9, 100%, $E$9)</f>
        <v>17.7456</v>
      </c>
      <c r="M1058" s="11">
        <f>17.7489 * CHOOSE(CONTROL!$C$32, $C$9, 100%, $E$9)</f>
        <v>17.748899999999999</v>
      </c>
      <c r="N1058" s="11">
        <f>17.7456 * CHOOSE(CONTROL!$C$32, $C$9, 100%, $E$9)</f>
        <v>17.7456</v>
      </c>
      <c r="O1058" s="11">
        <f>17.7489 * CHOOSE(CONTROL!$C$32, $C$9, 100%, $E$9)</f>
        <v>17.748899999999999</v>
      </c>
    </row>
    <row r="1059" spans="1:15" ht="15" x14ac:dyDescent="0.2">
      <c r="A1059" s="13">
        <v>73082</v>
      </c>
      <c r="B1059" s="9">
        <f>15.7488 * CHOOSE(CONTROL!$C$32, $C$9, 100%, $E$9)</f>
        <v>15.748799999999999</v>
      </c>
      <c r="C1059" s="9">
        <f>15.7488 * CHOOSE(CONTROL!$C$32, $C$9, 100%, $E$9)</f>
        <v>15.748799999999999</v>
      </c>
      <c r="D1059" s="9">
        <f>15.7497 * CHOOSE(CONTROL!$C$32, $C$9, 100%, $E$9)</f>
        <v>15.749700000000001</v>
      </c>
      <c r="E1059" s="11">
        <f>17.242 * CHOOSE(CONTROL!$C$32, $C$9, 100%, $E$9)</f>
        <v>17.242000000000001</v>
      </c>
      <c r="F1059" s="11">
        <f>17.242 * CHOOSE(CONTROL!$C$32, $C$9, 100%, $E$9)</f>
        <v>17.242000000000001</v>
      </c>
      <c r="G1059" s="11">
        <f>17.2453 * CHOOSE(CONTROL!$C$32, $C$9, 100%, $E$9)</f>
        <v>17.2453</v>
      </c>
      <c r="H1059" s="11">
        <f>37.6073 * CHOOSE(CONTROL!$C$32, $C$9, 100%, $E$9)</f>
        <v>37.607300000000002</v>
      </c>
      <c r="I1059" s="11">
        <f>37.6105 * CHOOSE(CONTROL!$C$32, $C$9, 100%, $E$9)</f>
        <v>37.610500000000002</v>
      </c>
      <c r="J1059" s="11">
        <f>37.6073 * CHOOSE(CONTROL!$C$32, $C$9, 100%, $E$9)</f>
        <v>37.607300000000002</v>
      </c>
      <c r="K1059" s="11">
        <f>37.6105 * CHOOSE(CONTROL!$C$32, $C$9, 100%, $E$9)</f>
        <v>37.610500000000002</v>
      </c>
      <c r="L1059" s="11">
        <f>17.242 * CHOOSE(CONTROL!$C$32, $C$9, 100%, $E$9)</f>
        <v>17.242000000000001</v>
      </c>
      <c r="M1059" s="11">
        <f>17.2453 * CHOOSE(CONTROL!$C$32, $C$9, 100%, $E$9)</f>
        <v>17.2453</v>
      </c>
      <c r="N1059" s="11">
        <f>17.242 * CHOOSE(CONTROL!$C$32, $C$9, 100%, $E$9)</f>
        <v>17.242000000000001</v>
      </c>
      <c r="O1059" s="11">
        <f>17.2453 * CHOOSE(CONTROL!$C$32, $C$9, 100%, $E$9)</f>
        <v>17.2453</v>
      </c>
    </row>
    <row r="1060" spans="1:15" ht="15" x14ac:dyDescent="0.2">
      <c r="A1060" s="13">
        <v>73110</v>
      </c>
      <c r="B1060" s="9">
        <f>15.7457 * CHOOSE(CONTROL!$C$32, $C$9, 100%, $E$9)</f>
        <v>15.745699999999999</v>
      </c>
      <c r="C1060" s="9">
        <f>15.7457 * CHOOSE(CONTROL!$C$32, $C$9, 100%, $E$9)</f>
        <v>15.745699999999999</v>
      </c>
      <c r="D1060" s="9">
        <f>15.7467 * CHOOSE(CONTROL!$C$32, $C$9, 100%, $E$9)</f>
        <v>15.746700000000001</v>
      </c>
      <c r="E1060" s="11">
        <f>17.6353 * CHOOSE(CONTROL!$C$32, $C$9, 100%, $E$9)</f>
        <v>17.635300000000001</v>
      </c>
      <c r="F1060" s="11">
        <f>17.6353 * CHOOSE(CONTROL!$C$32, $C$9, 100%, $E$9)</f>
        <v>17.635300000000001</v>
      </c>
      <c r="G1060" s="11">
        <f>17.6385 * CHOOSE(CONTROL!$C$32, $C$9, 100%, $E$9)</f>
        <v>17.638500000000001</v>
      </c>
      <c r="H1060" s="11">
        <f>37.6857 * CHOOSE(CONTROL!$C$32, $C$9, 100%, $E$9)</f>
        <v>37.685699999999997</v>
      </c>
      <c r="I1060" s="11">
        <f>37.6889 * CHOOSE(CONTROL!$C$32, $C$9, 100%, $E$9)</f>
        <v>37.688899999999997</v>
      </c>
      <c r="J1060" s="11">
        <f>37.6857 * CHOOSE(CONTROL!$C$32, $C$9, 100%, $E$9)</f>
        <v>37.685699999999997</v>
      </c>
      <c r="K1060" s="11">
        <f>37.6889 * CHOOSE(CONTROL!$C$32, $C$9, 100%, $E$9)</f>
        <v>37.688899999999997</v>
      </c>
      <c r="L1060" s="11">
        <f>17.6353 * CHOOSE(CONTROL!$C$32, $C$9, 100%, $E$9)</f>
        <v>17.635300000000001</v>
      </c>
      <c r="M1060" s="11">
        <f>17.6385 * CHOOSE(CONTROL!$C$32, $C$9, 100%, $E$9)</f>
        <v>17.638500000000001</v>
      </c>
      <c r="N1060" s="11">
        <f>17.6353 * CHOOSE(CONTROL!$C$32, $C$9, 100%, $E$9)</f>
        <v>17.635300000000001</v>
      </c>
      <c r="O1060" s="11">
        <f>17.6385 * CHOOSE(CONTROL!$C$32, $C$9, 100%, $E$9)</f>
        <v>17.638500000000001</v>
      </c>
    </row>
    <row r="1061" spans="1:15" ht="15" x14ac:dyDescent="0.2">
      <c r="A1061" s="13">
        <v>73141</v>
      </c>
      <c r="B1061" s="9">
        <f>15.7548 * CHOOSE(CONTROL!$C$32, $C$9, 100%, $E$9)</f>
        <v>15.754799999999999</v>
      </c>
      <c r="C1061" s="9">
        <f>15.7548 * CHOOSE(CONTROL!$C$32, $C$9, 100%, $E$9)</f>
        <v>15.754799999999999</v>
      </c>
      <c r="D1061" s="9">
        <f>15.7558 * CHOOSE(CONTROL!$C$32, $C$9, 100%, $E$9)</f>
        <v>15.755800000000001</v>
      </c>
      <c r="E1061" s="11">
        <f>18.0556 * CHOOSE(CONTROL!$C$32, $C$9, 100%, $E$9)</f>
        <v>18.055599999999998</v>
      </c>
      <c r="F1061" s="11">
        <f>18.0556 * CHOOSE(CONTROL!$C$32, $C$9, 100%, $E$9)</f>
        <v>18.055599999999998</v>
      </c>
      <c r="G1061" s="11">
        <f>18.0588 * CHOOSE(CONTROL!$C$32, $C$9, 100%, $E$9)</f>
        <v>18.058800000000002</v>
      </c>
      <c r="H1061" s="11">
        <f>37.7642 * CHOOSE(CONTROL!$C$32, $C$9, 100%, $E$9)</f>
        <v>37.764200000000002</v>
      </c>
      <c r="I1061" s="11">
        <f>37.7674 * CHOOSE(CONTROL!$C$32, $C$9, 100%, $E$9)</f>
        <v>37.767400000000002</v>
      </c>
      <c r="J1061" s="11">
        <f>37.7642 * CHOOSE(CONTROL!$C$32, $C$9, 100%, $E$9)</f>
        <v>37.764200000000002</v>
      </c>
      <c r="K1061" s="11">
        <f>37.7674 * CHOOSE(CONTROL!$C$32, $C$9, 100%, $E$9)</f>
        <v>37.767400000000002</v>
      </c>
      <c r="L1061" s="11">
        <f>18.0556 * CHOOSE(CONTROL!$C$32, $C$9, 100%, $E$9)</f>
        <v>18.055599999999998</v>
      </c>
      <c r="M1061" s="11">
        <f>18.0588 * CHOOSE(CONTROL!$C$32, $C$9, 100%, $E$9)</f>
        <v>18.058800000000002</v>
      </c>
      <c r="N1061" s="11">
        <f>18.0556 * CHOOSE(CONTROL!$C$32, $C$9, 100%, $E$9)</f>
        <v>18.055599999999998</v>
      </c>
      <c r="O1061" s="11">
        <f>18.0588 * CHOOSE(CONTROL!$C$32, $C$9, 100%, $E$9)</f>
        <v>18.058800000000002</v>
      </c>
    </row>
    <row r="1062" spans="1:15" ht="15" x14ac:dyDescent="0.2">
      <c r="A1062" s="13">
        <v>73171</v>
      </c>
      <c r="B1062" s="9">
        <f>15.7548 * CHOOSE(CONTROL!$C$32, $C$9, 100%, $E$9)</f>
        <v>15.754799999999999</v>
      </c>
      <c r="C1062" s="9">
        <f>15.7548 * CHOOSE(CONTROL!$C$32, $C$9, 100%, $E$9)</f>
        <v>15.754799999999999</v>
      </c>
      <c r="D1062" s="9">
        <f>15.756 * CHOOSE(CONTROL!$C$32, $C$9, 100%, $E$9)</f>
        <v>15.756</v>
      </c>
      <c r="E1062" s="11">
        <f>18.2148 * CHOOSE(CONTROL!$C$32, $C$9, 100%, $E$9)</f>
        <v>18.2148</v>
      </c>
      <c r="F1062" s="11">
        <f>18.2148 * CHOOSE(CONTROL!$C$32, $C$9, 100%, $E$9)</f>
        <v>18.2148</v>
      </c>
      <c r="G1062" s="11">
        <f>18.219 * CHOOSE(CONTROL!$C$32, $C$9, 100%, $E$9)</f>
        <v>18.219000000000001</v>
      </c>
      <c r="H1062" s="11">
        <f>37.8428 * CHOOSE(CONTROL!$C$32, $C$9, 100%, $E$9)</f>
        <v>37.842799999999997</v>
      </c>
      <c r="I1062" s="11">
        <f>37.847 * CHOOSE(CONTROL!$C$32, $C$9, 100%, $E$9)</f>
        <v>37.847000000000001</v>
      </c>
      <c r="J1062" s="11">
        <f>37.8428 * CHOOSE(CONTROL!$C$32, $C$9, 100%, $E$9)</f>
        <v>37.842799999999997</v>
      </c>
      <c r="K1062" s="11">
        <f>37.847 * CHOOSE(CONTROL!$C$32, $C$9, 100%, $E$9)</f>
        <v>37.847000000000001</v>
      </c>
      <c r="L1062" s="11">
        <f>18.2148 * CHOOSE(CONTROL!$C$32, $C$9, 100%, $E$9)</f>
        <v>18.2148</v>
      </c>
      <c r="M1062" s="11">
        <f>18.219 * CHOOSE(CONTROL!$C$32, $C$9, 100%, $E$9)</f>
        <v>18.219000000000001</v>
      </c>
      <c r="N1062" s="11">
        <f>18.2148 * CHOOSE(CONTROL!$C$32, $C$9, 100%, $E$9)</f>
        <v>18.2148</v>
      </c>
      <c r="O1062" s="11">
        <f>18.219 * CHOOSE(CONTROL!$C$32, $C$9, 100%, $E$9)</f>
        <v>18.219000000000001</v>
      </c>
    </row>
    <row r="1063" spans="1:15" ht="15" x14ac:dyDescent="0.2">
      <c r="A1063" s="13">
        <v>73202</v>
      </c>
      <c r="B1063" s="9">
        <f>15.7609 * CHOOSE(CONTROL!$C$32, $C$9, 100%, $E$9)</f>
        <v>15.760899999999999</v>
      </c>
      <c r="C1063" s="9">
        <f>15.7609 * CHOOSE(CONTROL!$C$32, $C$9, 100%, $E$9)</f>
        <v>15.760899999999999</v>
      </c>
      <c r="D1063" s="9">
        <f>15.7621 * CHOOSE(CONTROL!$C$32, $C$9, 100%, $E$9)</f>
        <v>15.7621</v>
      </c>
      <c r="E1063" s="11">
        <f>18.0598 * CHOOSE(CONTROL!$C$32, $C$9, 100%, $E$9)</f>
        <v>18.059799999999999</v>
      </c>
      <c r="F1063" s="11">
        <f>18.0598 * CHOOSE(CONTROL!$C$32, $C$9, 100%, $E$9)</f>
        <v>18.059799999999999</v>
      </c>
      <c r="G1063" s="11">
        <f>18.064 * CHOOSE(CONTROL!$C$32, $C$9, 100%, $E$9)</f>
        <v>18.064</v>
      </c>
      <c r="H1063" s="11">
        <f>37.9217 * CHOOSE(CONTROL!$C$32, $C$9, 100%, $E$9)</f>
        <v>37.921700000000001</v>
      </c>
      <c r="I1063" s="11">
        <f>37.9259 * CHOOSE(CONTROL!$C$32, $C$9, 100%, $E$9)</f>
        <v>37.925899999999999</v>
      </c>
      <c r="J1063" s="11">
        <f>37.9217 * CHOOSE(CONTROL!$C$32, $C$9, 100%, $E$9)</f>
        <v>37.921700000000001</v>
      </c>
      <c r="K1063" s="11">
        <f>37.9259 * CHOOSE(CONTROL!$C$32, $C$9, 100%, $E$9)</f>
        <v>37.925899999999999</v>
      </c>
      <c r="L1063" s="11">
        <f>18.0598 * CHOOSE(CONTROL!$C$32, $C$9, 100%, $E$9)</f>
        <v>18.059799999999999</v>
      </c>
      <c r="M1063" s="11">
        <f>18.064 * CHOOSE(CONTROL!$C$32, $C$9, 100%, $E$9)</f>
        <v>18.064</v>
      </c>
      <c r="N1063" s="11">
        <f>18.0598 * CHOOSE(CONTROL!$C$32, $C$9, 100%, $E$9)</f>
        <v>18.059799999999999</v>
      </c>
      <c r="O1063" s="11">
        <f>18.064 * CHOOSE(CONTROL!$C$32, $C$9, 100%, $E$9)</f>
        <v>18.064</v>
      </c>
    </row>
    <row r="1064" spans="1:15" ht="15" x14ac:dyDescent="0.2">
      <c r="A1064" s="13">
        <v>73232</v>
      </c>
      <c r="B1064" s="9">
        <f>15.9484 * CHOOSE(CONTROL!$C$32, $C$9, 100%, $E$9)</f>
        <v>15.948399999999999</v>
      </c>
      <c r="C1064" s="9">
        <f>15.9484 * CHOOSE(CONTROL!$C$32, $C$9, 100%, $E$9)</f>
        <v>15.948399999999999</v>
      </c>
      <c r="D1064" s="9">
        <f>15.9497 * CHOOSE(CONTROL!$C$32, $C$9, 100%, $E$9)</f>
        <v>15.9497</v>
      </c>
      <c r="E1064" s="11">
        <f>18.3171 * CHOOSE(CONTROL!$C$32, $C$9, 100%, $E$9)</f>
        <v>18.3171</v>
      </c>
      <c r="F1064" s="11">
        <f>18.3171 * CHOOSE(CONTROL!$C$32, $C$9, 100%, $E$9)</f>
        <v>18.3171</v>
      </c>
      <c r="G1064" s="11">
        <f>18.3213 * CHOOSE(CONTROL!$C$32, $C$9, 100%, $E$9)</f>
        <v>18.321300000000001</v>
      </c>
      <c r="H1064" s="11">
        <f>38.0007 * CHOOSE(CONTROL!$C$32, $C$9, 100%, $E$9)</f>
        <v>38.000700000000002</v>
      </c>
      <c r="I1064" s="11">
        <f>38.0049 * CHOOSE(CONTROL!$C$32, $C$9, 100%, $E$9)</f>
        <v>38.004899999999999</v>
      </c>
      <c r="J1064" s="11">
        <f>38.0007 * CHOOSE(CONTROL!$C$32, $C$9, 100%, $E$9)</f>
        <v>38.000700000000002</v>
      </c>
      <c r="K1064" s="11">
        <f>38.0049 * CHOOSE(CONTROL!$C$32, $C$9, 100%, $E$9)</f>
        <v>38.004899999999999</v>
      </c>
      <c r="L1064" s="11">
        <f>18.3171 * CHOOSE(CONTROL!$C$32, $C$9, 100%, $E$9)</f>
        <v>18.3171</v>
      </c>
      <c r="M1064" s="11">
        <f>18.3213 * CHOOSE(CONTROL!$C$32, $C$9, 100%, $E$9)</f>
        <v>18.321300000000001</v>
      </c>
      <c r="N1064" s="11">
        <f>18.3171 * CHOOSE(CONTROL!$C$32, $C$9, 100%, $E$9)</f>
        <v>18.3171</v>
      </c>
      <c r="O1064" s="11">
        <f>18.3213 * CHOOSE(CONTROL!$C$32, $C$9, 100%, $E$9)</f>
        <v>18.321300000000001</v>
      </c>
    </row>
    <row r="1065" spans="1:15" ht="15" x14ac:dyDescent="0.2">
      <c r="A1065" s="13">
        <v>73263</v>
      </c>
      <c r="B1065" s="9">
        <f>15.9551 * CHOOSE(CONTROL!$C$32, $C$9, 100%, $E$9)</f>
        <v>15.9551</v>
      </c>
      <c r="C1065" s="9">
        <f>15.9551 * CHOOSE(CONTROL!$C$32, $C$9, 100%, $E$9)</f>
        <v>15.9551</v>
      </c>
      <c r="D1065" s="9">
        <f>15.9564 * CHOOSE(CONTROL!$C$32, $C$9, 100%, $E$9)</f>
        <v>15.9564</v>
      </c>
      <c r="E1065" s="11">
        <f>17.8441 * CHOOSE(CONTROL!$C$32, $C$9, 100%, $E$9)</f>
        <v>17.844100000000001</v>
      </c>
      <c r="F1065" s="11">
        <f>17.8441 * CHOOSE(CONTROL!$C$32, $C$9, 100%, $E$9)</f>
        <v>17.844100000000001</v>
      </c>
      <c r="G1065" s="11">
        <f>17.8483 * CHOOSE(CONTROL!$C$32, $C$9, 100%, $E$9)</f>
        <v>17.848299999999998</v>
      </c>
      <c r="H1065" s="11">
        <f>38.0799 * CHOOSE(CONTROL!$C$32, $C$9, 100%, $E$9)</f>
        <v>38.079900000000002</v>
      </c>
      <c r="I1065" s="11">
        <f>38.0841 * CHOOSE(CONTROL!$C$32, $C$9, 100%, $E$9)</f>
        <v>38.084099999999999</v>
      </c>
      <c r="J1065" s="11">
        <f>38.0799 * CHOOSE(CONTROL!$C$32, $C$9, 100%, $E$9)</f>
        <v>38.079900000000002</v>
      </c>
      <c r="K1065" s="11">
        <f>38.0841 * CHOOSE(CONTROL!$C$32, $C$9, 100%, $E$9)</f>
        <v>38.084099999999999</v>
      </c>
      <c r="L1065" s="11">
        <f>17.8441 * CHOOSE(CONTROL!$C$32, $C$9, 100%, $E$9)</f>
        <v>17.844100000000001</v>
      </c>
      <c r="M1065" s="11">
        <f>17.8483 * CHOOSE(CONTROL!$C$32, $C$9, 100%, $E$9)</f>
        <v>17.848299999999998</v>
      </c>
      <c r="N1065" s="11">
        <f>17.8441 * CHOOSE(CONTROL!$C$32, $C$9, 100%, $E$9)</f>
        <v>17.844100000000001</v>
      </c>
      <c r="O1065" s="11">
        <f>17.8483 * CHOOSE(CONTROL!$C$32, $C$9, 100%, $E$9)</f>
        <v>17.848299999999998</v>
      </c>
    </row>
    <row r="1066" spans="1:15" ht="15" x14ac:dyDescent="0.2">
      <c r="A1066" s="13">
        <v>73294</v>
      </c>
      <c r="B1066" s="9">
        <f>15.9521 * CHOOSE(CONTROL!$C$32, $C$9, 100%, $E$9)</f>
        <v>15.9521</v>
      </c>
      <c r="C1066" s="9">
        <f>15.9521 * CHOOSE(CONTROL!$C$32, $C$9, 100%, $E$9)</f>
        <v>15.9521</v>
      </c>
      <c r="D1066" s="9">
        <f>15.9533 * CHOOSE(CONTROL!$C$32, $C$9, 100%, $E$9)</f>
        <v>15.9533</v>
      </c>
      <c r="E1066" s="11">
        <f>17.789 * CHOOSE(CONTROL!$C$32, $C$9, 100%, $E$9)</f>
        <v>17.789000000000001</v>
      </c>
      <c r="F1066" s="11">
        <f>17.789 * CHOOSE(CONTROL!$C$32, $C$9, 100%, $E$9)</f>
        <v>17.789000000000001</v>
      </c>
      <c r="G1066" s="11">
        <f>17.7932 * CHOOSE(CONTROL!$C$32, $C$9, 100%, $E$9)</f>
        <v>17.793199999999999</v>
      </c>
      <c r="H1066" s="11">
        <f>38.1592 * CHOOSE(CONTROL!$C$32, $C$9, 100%, $E$9)</f>
        <v>38.159199999999998</v>
      </c>
      <c r="I1066" s="11">
        <f>38.1634 * CHOOSE(CONTROL!$C$32, $C$9, 100%, $E$9)</f>
        <v>38.163400000000003</v>
      </c>
      <c r="J1066" s="11">
        <f>38.1592 * CHOOSE(CONTROL!$C$32, $C$9, 100%, $E$9)</f>
        <v>38.159199999999998</v>
      </c>
      <c r="K1066" s="11">
        <f>38.1634 * CHOOSE(CONTROL!$C$32, $C$9, 100%, $E$9)</f>
        <v>38.163400000000003</v>
      </c>
      <c r="L1066" s="11">
        <f>17.789 * CHOOSE(CONTROL!$C$32, $C$9, 100%, $E$9)</f>
        <v>17.789000000000001</v>
      </c>
      <c r="M1066" s="11">
        <f>17.7932 * CHOOSE(CONTROL!$C$32, $C$9, 100%, $E$9)</f>
        <v>17.793199999999999</v>
      </c>
      <c r="N1066" s="11">
        <f>17.789 * CHOOSE(CONTROL!$C$32, $C$9, 100%, $E$9)</f>
        <v>17.789000000000001</v>
      </c>
      <c r="O1066" s="11">
        <f>17.7932 * CHOOSE(CONTROL!$C$32, $C$9, 100%, $E$9)</f>
        <v>17.793199999999999</v>
      </c>
    </row>
    <row r="1067" spans="1:15" ht="15" x14ac:dyDescent="0.2">
      <c r="A1067" s="13">
        <v>73324</v>
      </c>
      <c r="B1067" s="9">
        <f>15.9919 * CHOOSE(CONTROL!$C$32, $C$9, 100%, $E$9)</f>
        <v>15.991899999999999</v>
      </c>
      <c r="C1067" s="9">
        <f>15.9919 * CHOOSE(CONTROL!$C$32, $C$9, 100%, $E$9)</f>
        <v>15.991899999999999</v>
      </c>
      <c r="D1067" s="9">
        <f>15.9928 * CHOOSE(CONTROL!$C$32, $C$9, 100%, $E$9)</f>
        <v>15.992800000000001</v>
      </c>
      <c r="E1067" s="11">
        <f>17.9878 * CHOOSE(CONTROL!$C$32, $C$9, 100%, $E$9)</f>
        <v>17.9878</v>
      </c>
      <c r="F1067" s="11">
        <f>17.9878 * CHOOSE(CONTROL!$C$32, $C$9, 100%, $E$9)</f>
        <v>17.9878</v>
      </c>
      <c r="G1067" s="11">
        <f>17.991 * CHOOSE(CONTROL!$C$32, $C$9, 100%, $E$9)</f>
        <v>17.991</v>
      </c>
      <c r="H1067" s="11">
        <f>38.2387 * CHOOSE(CONTROL!$C$32, $C$9, 100%, $E$9)</f>
        <v>38.238700000000001</v>
      </c>
      <c r="I1067" s="11">
        <f>38.2419 * CHOOSE(CONTROL!$C$32, $C$9, 100%, $E$9)</f>
        <v>38.241900000000001</v>
      </c>
      <c r="J1067" s="11">
        <f>38.2387 * CHOOSE(CONTROL!$C$32, $C$9, 100%, $E$9)</f>
        <v>38.238700000000001</v>
      </c>
      <c r="K1067" s="11">
        <f>38.2419 * CHOOSE(CONTROL!$C$32, $C$9, 100%, $E$9)</f>
        <v>38.241900000000001</v>
      </c>
      <c r="L1067" s="11">
        <f>17.9878 * CHOOSE(CONTROL!$C$32, $C$9, 100%, $E$9)</f>
        <v>17.9878</v>
      </c>
      <c r="M1067" s="11">
        <f>17.991 * CHOOSE(CONTROL!$C$32, $C$9, 100%, $E$9)</f>
        <v>17.991</v>
      </c>
      <c r="N1067" s="11">
        <f>17.9878 * CHOOSE(CONTROL!$C$32, $C$9, 100%, $E$9)</f>
        <v>17.9878</v>
      </c>
      <c r="O1067" s="11">
        <f>17.991 * CHOOSE(CONTROL!$C$32, $C$9, 100%, $E$9)</f>
        <v>17.991</v>
      </c>
    </row>
    <row r="1068" spans="1:15" ht="15" x14ac:dyDescent="0.2">
      <c r="A1068" s="13">
        <v>73355</v>
      </c>
      <c r="B1068" s="9">
        <f>15.9949 * CHOOSE(CONTROL!$C$32, $C$9, 100%, $E$9)</f>
        <v>15.994899999999999</v>
      </c>
      <c r="C1068" s="9">
        <f>15.9949 * CHOOSE(CONTROL!$C$32, $C$9, 100%, $E$9)</f>
        <v>15.994899999999999</v>
      </c>
      <c r="D1068" s="9">
        <f>15.9959 * CHOOSE(CONTROL!$C$32, $C$9, 100%, $E$9)</f>
        <v>15.995900000000001</v>
      </c>
      <c r="E1068" s="11">
        <f>18.0961 * CHOOSE(CONTROL!$C$32, $C$9, 100%, $E$9)</f>
        <v>18.0961</v>
      </c>
      <c r="F1068" s="11">
        <f>18.0961 * CHOOSE(CONTROL!$C$32, $C$9, 100%, $E$9)</f>
        <v>18.0961</v>
      </c>
      <c r="G1068" s="11">
        <f>18.0993 * CHOOSE(CONTROL!$C$32, $C$9, 100%, $E$9)</f>
        <v>18.099299999999999</v>
      </c>
      <c r="H1068" s="11">
        <f>38.3183 * CHOOSE(CONTROL!$C$32, $C$9, 100%, $E$9)</f>
        <v>38.318300000000001</v>
      </c>
      <c r="I1068" s="11">
        <f>38.3216 * CHOOSE(CONTROL!$C$32, $C$9, 100%, $E$9)</f>
        <v>38.321599999999997</v>
      </c>
      <c r="J1068" s="11">
        <f>38.3183 * CHOOSE(CONTROL!$C$32, $C$9, 100%, $E$9)</f>
        <v>38.318300000000001</v>
      </c>
      <c r="K1068" s="11">
        <f>38.3216 * CHOOSE(CONTROL!$C$32, $C$9, 100%, $E$9)</f>
        <v>38.321599999999997</v>
      </c>
      <c r="L1068" s="11">
        <f>18.0961 * CHOOSE(CONTROL!$C$32, $C$9, 100%, $E$9)</f>
        <v>18.0961</v>
      </c>
      <c r="M1068" s="11">
        <f>18.0993 * CHOOSE(CONTROL!$C$32, $C$9, 100%, $E$9)</f>
        <v>18.099299999999999</v>
      </c>
      <c r="N1068" s="11">
        <f>18.0961 * CHOOSE(CONTROL!$C$32, $C$9, 100%, $E$9)</f>
        <v>18.0961</v>
      </c>
      <c r="O1068" s="11">
        <f>18.0993 * CHOOSE(CONTROL!$C$32, $C$9, 100%, $E$9)</f>
        <v>18.099299999999999</v>
      </c>
    </row>
    <row r="1069" spans="1:15" ht="15" x14ac:dyDescent="0.2">
      <c r="A1069" s="13">
        <v>73385</v>
      </c>
      <c r="B1069" s="9">
        <f>15.9949 * CHOOSE(CONTROL!$C$32, $C$9, 100%, $E$9)</f>
        <v>15.994899999999999</v>
      </c>
      <c r="C1069" s="9">
        <f>15.9949 * CHOOSE(CONTROL!$C$32, $C$9, 100%, $E$9)</f>
        <v>15.994899999999999</v>
      </c>
      <c r="D1069" s="9">
        <f>15.9959 * CHOOSE(CONTROL!$C$32, $C$9, 100%, $E$9)</f>
        <v>15.995900000000001</v>
      </c>
      <c r="E1069" s="11">
        <f>17.8307 * CHOOSE(CONTROL!$C$32, $C$9, 100%, $E$9)</f>
        <v>17.8307</v>
      </c>
      <c r="F1069" s="11">
        <f>17.8307 * CHOOSE(CONTROL!$C$32, $C$9, 100%, $E$9)</f>
        <v>17.8307</v>
      </c>
      <c r="G1069" s="11">
        <f>17.834 * CHOOSE(CONTROL!$C$32, $C$9, 100%, $E$9)</f>
        <v>17.834</v>
      </c>
      <c r="H1069" s="11">
        <f>38.3982 * CHOOSE(CONTROL!$C$32, $C$9, 100%, $E$9)</f>
        <v>38.398200000000003</v>
      </c>
      <c r="I1069" s="11">
        <f>38.4014 * CHOOSE(CONTROL!$C$32, $C$9, 100%, $E$9)</f>
        <v>38.401400000000002</v>
      </c>
      <c r="J1069" s="11">
        <f>38.3982 * CHOOSE(CONTROL!$C$32, $C$9, 100%, $E$9)</f>
        <v>38.398200000000003</v>
      </c>
      <c r="K1069" s="11">
        <f>38.4014 * CHOOSE(CONTROL!$C$32, $C$9, 100%, $E$9)</f>
        <v>38.401400000000002</v>
      </c>
      <c r="L1069" s="11">
        <f>17.8307 * CHOOSE(CONTROL!$C$32, $C$9, 100%, $E$9)</f>
        <v>17.8307</v>
      </c>
      <c r="M1069" s="11">
        <f>17.834 * CHOOSE(CONTROL!$C$32, $C$9, 100%, $E$9)</f>
        <v>17.834</v>
      </c>
      <c r="N1069" s="11">
        <f>17.8307 * CHOOSE(CONTROL!$C$32, $C$9, 100%, $E$9)</f>
        <v>17.8307</v>
      </c>
      <c r="O1069" s="11">
        <f>17.834 * CHOOSE(CONTROL!$C$32, $C$9, 100%, $E$9)</f>
        <v>17.834</v>
      </c>
    </row>
    <row r="1070" spans="1:15" ht="15" x14ac:dyDescent="0.2">
      <c r="A1070" s="12"/>
      <c r="B1070" s="9"/>
      <c r="C1070" s="9"/>
      <c r="D1070" s="9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1:15" ht="15" x14ac:dyDescent="0.2">
      <c r="A1071" s="10">
        <v>2013</v>
      </c>
      <c r="B1071" s="9">
        <f t="shared" ref="B1071:O1071" si="0">AVERAGE(B14:B25)</f>
        <v>2.2966500000000001</v>
      </c>
      <c r="C1071" s="9">
        <f t="shared" si="0"/>
        <v>2.2232833333333333</v>
      </c>
      <c r="D1071" s="9">
        <f t="shared" si="0"/>
        <v>2.262375</v>
      </c>
      <c r="E1071" s="9">
        <f t="shared" si="0"/>
        <v>3.4876333333333331</v>
      </c>
      <c r="F1071" s="9">
        <f t="shared" si="0"/>
        <v>3.1494</v>
      </c>
      <c r="G1071" s="9">
        <f t="shared" si="0"/>
        <v>3.1624083333333335</v>
      </c>
      <c r="H1071" s="9">
        <f t="shared" si="0"/>
        <v>5.8405666666666649</v>
      </c>
      <c r="I1071" s="9">
        <f t="shared" si="0"/>
        <v>5.8535833333333329</v>
      </c>
      <c r="J1071" s="9">
        <f t="shared" si="0"/>
        <v>5.8405666666666649</v>
      </c>
      <c r="K1071" s="9">
        <f t="shared" si="0"/>
        <v>5.8535833333333329</v>
      </c>
      <c r="L1071" s="9">
        <f t="shared" si="0"/>
        <v>3.4876333333333331</v>
      </c>
      <c r="M1071" s="9">
        <f t="shared" si="0"/>
        <v>3.5006166666666663</v>
      </c>
      <c r="N1071" s="9">
        <f t="shared" si="0"/>
        <v>3.4876333333333331</v>
      </c>
      <c r="O1071" s="9">
        <f t="shared" si="0"/>
        <v>3.5006166666666663</v>
      </c>
    </row>
    <row r="1072" spans="1:15" ht="15" x14ac:dyDescent="0.2">
      <c r="A1072" s="10">
        <v>2014</v>
      </c>
      <c r="B1072" s="9">
        <f t="shared" ref="B1072:O1072" si="1">AVERAGE(B26:B37)</f>
        <v>2.3654999999999995</v>
      </c>
      <c r="C1072" s="9">
        <f t="shared" si="1"/>
        <v>2.3576916666666663</v>
      </c>
      <c r="D1072" s="9">
        <f t="shared" si="1"/>
        <v>2.3967833333333335</v>
      </c>
      <c r="E1072" s="9">
        <f t="shared" si="1"/>
        <v>3.460575</v>
      </c>
      <c r="F1072" s="9">
        <f t="shared" si="1"/>
        <v>3.3780666666666668</v>
      </c>
      <c r="G1072" s="9">
        <f t="shared" si="1"/>
        <v>3.3910749999999994</v>
      </c>
      <c r="H1072" s="9">
        <f t="shared" si="1"/>
        <v>5.9827833333333338</v>
      </c>
      <c r="I1072" s="9">
        <f t="shared" si="1"/>
        <v>5.9957833333333328</v>
      </c>
      <c r="J1072" s="9">
        <f t="shared" si="1"/>
        <v>5.9827833333333338</v>
      </c>
      <c r="K1072" s="9">
        <f t="shared" si="1"/>
        <v>5.9957833333333328</v>
      </c>
      <c r="L1072" s="9">
        <f t="shared" si="1"/>
        <v>3.460575</v>
      </c>
      <c r="M1072" s="9">
        <f t="shared" si="1"/>
        <v>3.4735666666666667</v>
      </c>
      <c r="N1072" s="9">
        <f t="shared" si="1"/>
        <v>3.460575</v>
      </c>
      <c r="O1072" s="9">
        <f t="shared" si="1"/>
        <v>3.4735666666666667</v>
      </c>
    </row>
    <row r="1073" spans="1:15" ht="15" x14ac:dyDescent="0.2">
      <c r="A1073" s="10">
        <v>2015</v>
      </c>
      <c r="B1073" s="9">
        <f t="shared" ref="B1073:O1073" si="2">AVERAGE(B38:B49)</f>
        <v>2.483975</v>
      </c>
      <c r="C1073" s="9">
        <f t="shared" si="2"/>
        <v>2.483975</v>
      </c>
      <c r="D1073" s="9">
        <f t="shared" si="2"/>
        <v>2.4850416666666661</v>
      </c>
      <c r="E1073" s="9">
        <f t="shared" si="2"/>
        <v>3.8020250000000004</v>
      </c>
      <c r="F1073" s="9">
        <f t="shared" si="2"/>
        <v>3.5835999999999992</v>
      </c>
      <c r="G1073" s="9">
        <f t="shared" si="2"/>
        <v>3.5872166666666665</v>
      </c>
      <c r="H1073" s="9">
        <f t="shared" si="2"/>
        <v>6.1340666666666666</v>
      </c>
      <c r="I1073" s="9">
        <f t="shared" si="2"/>
        <v>6.1377083333333333</v>
      </c>
      <c r="J1073" s="9">
        <f t="shared" si="2"/>
        <v>6.1340666666666666</v>
      </c>
      <c r="K1073" s="9">
        <f t="shared" si="2"/>
        <v>6.1377083333333333</v>
      </c>
      <c r="L1073" s="9">
        <f t="shared" si="2"/>
        <v>3.8020250000000004</v>
      </c>
      <c r="M1073" s="9">
        <f t="shared" si="2"/>
        <v>3.8056416666666664</v>
      </c>
      <c r="N1073" s="9">
        <f t="shared" si="2"/>
        <v>3.8020250000000004</v>
      </c>
      <c r="O1073" s="9">
        <f t="shared" si="2"/>
        <v>3.8056416666666664</v>
      </c>
    </row>
    <row r="1074" spans="1:15" ht="15" x14ac:dyDescent="0.2">
      <c r="A1074" s="10">
        <v>2016</v>
      </c>
      <c r="B1074" s="9">
        <f t="shared" ref="B1074:O1074" si="3">AVERAGE(B50:B61)</f>
        <v>3.2759166666666668</v>
      </c>
      <c r="C1074" s="9">
        <f t="shared" si="3"/>
        <v>3.2759166666666668</v>
      </c>
      <c r="D1074" s="9">
        <f t="shared" si="3"/>
        <v>3.2769999999999992</v>
      </c>
      <c r="E1074" s="9">
        <f t="shared" si="3"/>
        <v>3.9337</v>
      </c>
      <c r="F1074" s="9">
        <f t="shared" si="3"/>
        <v>3.6856000000000004</v>
      </c>
      <c r="G1074" s="9">
        <f t="shared" si="3"/>
        <v>3.6892166666666664</v>
      </c>
      <c r="H1074" s="9">
        <f t="shared" si="3"/>
        <v>6.2891916666666674</v>
      </c>
      <c r="I1074" s="9">
        <f t="shared" si="3"/>
        <v>6.2928166666666661</v>
      </c>
      <c r="J1074" s="9">
        <f t="shared" si="3"/>
        <v>6.2891916666666674</v>
      </c>
      <c r="K1074" s="9">
        <f t="shared" si="3"/>
        <v>6.2928166666666661</v>
      </c>
      <c r="L1074" s="9">
        <f t="shared" si="3"/>
        <v>3.9337</v>
      </c>
      <c r="M1074" s="9">
        <f t="shared" si="3"/>
        <v>3.9373166666666672</v>
      </c>
      <c r="N1074" s="9">
        <f t="shared" si="3"/>
        <v>3.9337</v>
      </c>
      <c r="O1074" s="9">
        <f t="shared" si="3"/>
        <v>3.9373166666666672</v>
      </c>
    </row>
    <row r="1075" spans="1:15" ht="15" x14ac:dyDescent="0.2">
      <c r="A1075" s="10">
        <v>2017</v>
      </c>
      <c r="B1075" s="9">
        <f t="shared" ref="B1075:O1075" si="4">AVERAGE(B62:B73)</f>
        <v>3.3130666666666659</v>
      </c>
      <c r="C1075" s="9">
        <f t="shared" si="4"/>
        <v>3.3130666666666659</v>
      </c>
      <c r="D1075" s="9">
        <f t="shared" si="4"/>
        <v>3.3141416666666661</v>
      </c>
      <c r="E1075" s="9">
        <f t="shared" si="4"/>
        <v>3.8792333333333331</v>
      </c>
      <c r="F1075" s="9">
        <f t="shared" si="4"/>
        <v>3.8792333333333331</v>
      </c>
      <c r="G1075" s="9">
        <f t="shared" si="4"/>
        <v>3.8828749999999999</v>
      </c>
      <c r="H1075" s="9">
        <f t="shared" si="4"/>
        <v>6.4482416666666671</v>
      </c>
      <c r="I1075" s="9">
        <f t="shared" si="4"/>
        <v>6.4518666666666666</v>
      </c>
      <c r="J1075" s="9">
        <f t="shared" si="4"/>
        <v>6.4482416666666671</v>
      </c>
      <c r="K1075" s="9">
        <f t="shared" si="4"/>
        <v>6.4518666666666666</v>
      </c>
      <c r="L1075" s="9">
        <f t="shared" si="4"/>
        <v>3.8792333333333331</v>
      </c>
      <c r="M1075" s="9">
        <f t="shared" si="4"/>
        <v>3.8828749999999999</v>
      </c>
      <c r="N1075" s="9">
        <f t="shared" si="4"/>
        <v>3.8792333333333331</v>
      </c>
      <c r="O1075" s="9">
        <f t="shared" si="4"/>
        <v>3.8828749999999999</v>
      </c>
    </row>
    <row r="1076" spans="1:15" ht="15" x14ac:dyDescent="0.2">
      <c r="A1076" s="10">
        <v>2018</v>
      </c>
      <c r="B1076" s="9">
        <f t="shared" ref="B1076:O1076" si="5">AVERAGE(B74:B85)</f>
        <v>3.4019250000000003</v>
      </c>
      <c r="C1076" s="9">
        <f t="shared" si="5"/>
        <v>3.4019250000000003</v>
      </c>
      <c r="D1076" s="9">
        <f t="shared" si="5"/>
        <v>3.4029916666666669</v>
      </c>
      <c r="E1076" s="9">
        <f t="shared" si="5"/>
        <v>3.9989833333333333</v>
      </c>
      <c r="F1076" s="9">
        <f t="shared" si="5"/>
        <v>3.9989833333333333</v>
      </c>
      <c r="G1076" s="9">
        <f t="shared" si="5"/>
        <v>4.0026250000000001</v>
      </c>
      <c r="H1076" s="9">
        <f t="shared" si="5"/>
        <v>6.6113</v>
      </c>
      <c r="I1076" s="9">
        <f t="shared" si="5"/>
        <v>6.6149416666666658</v>
      </c>
      <c r="J1076" s="9">
        <f t="shared" si="5"/>
        <v>6.6113</v>
      </c>
      <c r="K1076" s="9">
        <f t="shared" si="5"/>
        <v>6.6149416666666658</v>
      </c>
      <c r="L1076" s="9">
        <f t="shared" si="5"/>
        <v>3.9989833333333333</v>
      </c>
      <c r="M1076" s="9">
        <f t="shared" si="5"/>
        <v>4.0026250000000001</v>
      </c>
      <c r="N1076" s="9">
        <f t="shared" si="5"/>
        <v>3.9989833333333333</v>
      </c>
      <c r="O1076" s="9">
        <f t="shared" si="5"/>
        <v>4.0026250000000001</v>
      </c>
    </row>
    <row r="1077" spans="1:15" ht="15" x14ac:dyDescent="0.2">
      <c r="A1077" s="10">
        <v>2019</v>
      </c>
      <c r="B1077" s="9">
        <f t="shared" ref="B1077:O1077" si="6">AVERAGE(B86:B97)</f>
        <v>3.2222999999999993</v>
      </c>
      <c r="C1077" s="9">
        <f t="shared" si="6"/>
        <v>3.2222999999999993</v>
      </c>
      <c r="D1077" s="9">
        <f t="shared" si="6"/>
        <v>3.2233750000000008</v>
      </c>
      <c r="E1077" s="9">
        <f t="shared" si="6"/>
        <v>4.0889833333333341</v>
      </c>
      <c r="F1077" s="9">
        <f t="shared" si="6"/>
        <v>4.0889833333333341</v>
      </c>
      <c r="G1077" s="9">
        <f t="shared" si="6"/>
        <v>4.092625</v>
      </c>
      <c r="H1077" s="9">
        <f t="shared" si="6"/>
        <v>6.7785000000000002</v>
      </c>
      <c r="I1077" s="9">
        <f t="shared" si="6"/>
        <v>6.782141666666667</v>
      </c>
      <c r="J1077" s="9">
        <f t="shared" si="6"/>
        <v>6.7785000000000002</v>
      </c>
      <c r="K1077" s="9">
        <f t="shared" si="6"/>
        <v>6.782141666666667</v>
      </c>
      <c r="L1077" s="9">
        <f t="shared" si="6"/>
        <v>4.0889833333333341</v>
      </c>
      <c r="M1077" s="9">
        <f t="shared" si="6"/>
        <v>4.092625</v>
      </c>
      <c r="N1077" s="9">
        <f t="shared" si="6"/>
        <v>4.0889833333333341</v>
      </c>
      <c r="O1077" s="9">
        <f t="shared" si="6"/>
        <v>4.092625</v>
      </c>
    </row>
    <row r="1078" spans="1:15" ht="15" x14ac:dyDescent="0.2">
      <c r="A1078" s="10">
        <v>2020</v>
      </c>
      <c r="B1078" s="9">
        <f t="shared" ref="B1078:O1078" si="7">AVERAGE(B98:B109)</f>
        <v>3.286566666666666</v>
      </c>
      <c r="C1078" s="9">
        <f t="shared" si="7"/>
        <v>3.286566666666666</v>
      </c>
      <c r="D1078" s="9">
        <f t="shared" si="7"/>
        <v>3.2876416666666661</v>
      </c>
      <c r="E1078" s="9">
        <f t="shared" si="7"/>
        <v>4.1808833333333331</v>
      </c>
      <c r="F1078" s="9">
        <f t="shared" si="7"/>
        <v>4.1808833333333331</v>
      </c>
      <c r="G1078" s="9">
        <f t="shared" si="7"/>
        <v>4.1845083333333326</v>
      </c>
      <c r="H1078" s="9">
        <f t="shared" si="7"/>
        <v>6.9499166666666667</v>
      </c>
      <c r="I1078" s="9">
        <f t="shared" si="7"/>
        <v>6.9535666666666662</v>
      </c>
      <c r="J1078" s="9">
        <f t="shared" si="7"/>
        <v>6.9499166666666667</v>
      </c>
      <c r="K1078" s="9">
        <f t="shared" si="7"/>
        <v>6.9535666666666662</v>
      </c>
      <c r="L1078" s="9">
        <f t="shared" si="7"/>
        <v>4.1808833333333331</v>
      </c>
      <c r="M1078" s="9">
        <f t="shared" si="7"/>
        <v>4.1845083333333326</v>
      </c>
      <c r="N1078" s="9">
        <f t="shared" si="7"/>
        <v>4.1808833333333331</v>
      </c>
      <c r="O1078" s="9">
        <f t="shared" si="7"/>
        <v>4.1845083333333326</v>
      </c>
    </row>
    <row r="1079" spans="1:15" ht="15" x14ac:dyDescent="0.2">
      <c r="A1079" s="10">
        <v>2021</v>
      </c>
      <c r="B1079" s="9">
        <f t="shared" ref="B1079:O1079" si="8">AVERAGE(B110:B121)</f>
        <v>3.3671249999999993</v>
      </c>
      <c r="C1079" s="9">
        <f t="shared" si="8"/>
        <v>3.3671249999999993</v>
      </c>
      <c r="D1079" s="9">
        <f t="shared" si="8"/>
        <v>3.3682083333333339</v>
      </c>
      <c r="E1079" s="9">
        <f t="shared" si="8"/>
        <v>4.2754583333333338</v>
      </c>
      <c r="F1079" s="9">
        <f t="shared" si="8"/>
        <v>4.2754583333333338</v>
      </c>
      <c r="G1079" s="9">
        <f t="shared" si="8"/>
        <v>4.2790999999999997</v>
      </c>
      <c r="H1079" s="9">
        <f t="shared" si="8"/>
        <v>7.125683333333332</v>
      </c>
      <c r="I1079" s="9">
        <f t="shared" si="8"/>
        <v>7.1293083333333342</v>
      </c>
      <c r="J1079" s="9">
        <f t="shared" si="8"/>
        <v>7.125683333333332</v>
      </c>
      <c r="K1079" s="9">
        <f t="shared" si="8"/>
        <v>7.1293083333333342</v>
      </c>
      <c r="L1079" s="9">
        <f t="shared" si="8"/>
        <v>4.2754583333333338</v>
      </c>
      <c r="M1079" s="9">
        <f t="shared" si="8"/>
        <v>4.2790999999999997</v>
      </c>
      <c r="N1079" s="9">
        <f t="shared" si="8"/>
        <v>4.2754583333333338</v>
      </c>
      <c r="O1079" s="9">
        <f t="shared" si="8"/>
        <v>4.2790999999999997</v>
      </c>
    </row>
    <row r="1080" spans="1:15" ht="15" x14ac:dyDescent="0.2">
      <c r="A1080" s="10">
        <v>2022</v>
      </c>
      <c r="B1080" s="9">
        <f t="shared" ref="B1080:O1080" si="9">AVERAGE(B122:B133)</f>
        <v>3.4470750000000003</v>
      </c>
      <c r="C1080" s="9">
        <f t="shared" si="9"/>
        <v>3.4470750000000003</v>
      </c>
      <c r="D1080" s="9">
        <f t="shared" si="9"/>
        <v>3.4481499999999996</v>
      </c>
      <c r="E1080" s="9">
        <f t="shared" si="9"/>
        <v>4.3818083333333337</v>
      </c>
      <c r="F1080" s="9">
        <f t="shared" si="9"/>
        <v>4.3818083333333337</v>
      </c>
      <c r="G1080" s="9">
        <f t="shared" si="9"/>
        <v>4.3854499999999996</v>
      </c>
      <c r="H1080" s="9">
        <f t="shared" si="9"/>
        <v>7.3058749999999977</v>
      </c>
      <c r="I1080" s="9">
        <f t="shared" si="9"/>
        <v>7.3095000000000008</v>
      </c>
      <c r="J1080" s="9">
        <f t="shared" si="9"/>
        <v>7.3058749999999977</v>
      </c>
      <c r="K1080" s="9">
        <f t="shared" si="9"/>
        <v>7.3095000000000008</v>
      </c>
      <c r="L1080" s="9">
        <f t="shared" si="9"/>
        <v>4.3818083333333337</v>
      </c>
      <c r="M1080" s="9">
        <f t="shared" si="9"/>
        <v>4.3854499999999996</v>
      </c>
      <c r="N1080" s="9">
        <f t="shared" si="9"/>
        <v>4.3818083333333337</v>
      </c>
      <c r="O1080" s="9">
        <f t="shared" si="9"/>
        <v>4.3854499999999996</v>
      </c>
    </row>
    <row r="1081" spans="1:15" ht="15" x14ac:dyDescent="0.2">
      <c r="A1081" s="10">
        <v>2023</v>
      </c>
      <c r="B1081" s="9">
        <f t="shared" ref="B1081:O1081" si="10">AVERAGE(B134:B145)</f>
        <v>3.5408249999999994</v>
      </c>
      <c r="C1081" s="9">
        <f t="shared" si="10"/>
        <v>3.5408249999999994</v>
      </c>
      <c r="D1081" s="9">
        <f t="shared" si="10"/>
        <v>3.5419166666666659</v>
      </c>
      <c r="E1081" s="9">
        <f t="shared" si="10"/>
        <v>4.490308333333334</v>
      </c>
      <c r="F1081" s="9">
        <f t="shared" si="10"/>
        <v>4.490308333333334</v>
      </c>
      <c r="G1081" s="9">
        <f t="shared" si="10"/>
        <v>4.4939249999999999</v>
      </c>
      <c r="H1081" s="9">
        <f t="shared" si="10"/>
        <v>7.4906249999999988</v>
      </c>
      <c r="I1081" s="9">
        <f t="shared" si="10"/>
        <v>7.4942500000000001</v>
      </c>
      <c r="J1081" s="9">
        <f t="shared" si="10"/>
        <v>7.4906249999999988</v>
      </c>
      <c r="K1081" s="9">
        <f t="shared" si="10"/>
        <v>7.4942500000000001</v>
      </c>
      <c r="L1081" s="9">
        <f t="shared" si="10"/>
        <v>4.490308333333334</v>
      </c>
      <c r="M1081" s="9">
        <f t="shared" si="10"/>
        <v>4.4939249999999999</v>
      </c>
      <c r="N1081" s="9">
        <f t="shared" si="10"/>
        <v>4.490308333333334</v>
      </c>
      <c r="O1081" s="9">
        <f t="shared" si="10"/>
        <v>4.4939249999999999</v>
      </c>
    </row>
    <row r="1082" spans="1:15" ht="15" x14ac:dyDescent="0.2">
      <c r="A1082" s="10">
        <v>2024</v>
      </c>
      <c r="B1082" s="9">
        <f t="shared" ref="B1082:O1082" si="11">AVERAGE(B146:B157)</f>
        <v>3.6291499999999997</v>
      </c>
      <c r="C1082" s="9">
        <f t="shared" si="11"/>
        <v>3.6291499999999997</v>
      </c>
      <c r="D1082" s="9">
        <f t="shared" si="11"/>
        <v>3.6302333333333343</v>
      </c>
      <c r="E1082" s="9">
        <f t="shared" si="11"/>
        <v>4.6075583333333325</v>
      </c>
      <c r="F1082" s="9">
        <f t="shared" si="11"/>
        <v>4.6075583333333325</v>
      </c>
      <c r="G1082" s="9">
        <f t="shared" si="11"/>
        <v>4.6111749999999994</v>
      </c>
      <c r="H1082" s="9">
        <f t="shared" si="11"/>
        <v>7.6800500000000005</v>
      </c>
      <c r="I1082" s="9">
        <f t="shared" si="11"/>
        <v>7.683675</v>
      </c>
      <c r="J1082" s="9">
        <f t="shared" si="11"/>
        <v>7.6800500000000005</v>
      </c>
      <c r="K1082" s="9">
        <f t="shared" si="11"/>
        <v>7.683675</v>
      </c>
      <c r="L1082" s="9">
        <f t="shared" si="11"/>
        <v>4.6075583333333325</v>
      </c>
      <c r="M1082" s="9">
        <f t="shared" si="11"/>
        <v>4.6111749999999994</v>
      </c>
      <c r="N1082" s="9">
        <f t="shared" si="11"/>
        <v>4.6075583333333325</v>
      </c>
      <c r="O1082" s="9">
        <f t="shared" si="11"/>
        <v>4.6111749999999994</v>
      </c>
    </row>
    <row r="1083" spans="1:15" ht="15" x14ac:dyDescent="0.2">
      <c r="A1083" s="10">
        <v>2025</v>
      </c>
      <c r="B1083" s="9">
        <f t="shared" ref="B1083:O1083" si="12">AVERAGE(B158:B169)</f>
        <v>3.7209500000000002</v>
      </c>
      <c r="C1083" s="9">
        <f t="shared" si="12"/>
        <v>3.7209500000000002</v>
      </c>
      <c r="D1083" s="9">
        <f t="shared" si="12"/>
        <v>3.7220333333333322</v>
      </c>
      <c r="E1083" s="9">
        <f t="shared" si="12"/>
        <v>4.7325583333333325</v>
      </c>
      <c r="F1083" s="9">
        <f t="shared" si="12"/>
        <v>4.7325583333333325</v>
      </c>
      <c r="G1083" s="9">
        <f t="shared" si="12"/>
        <v>4.7362083333333329</v>
      </c>
      <c r="H1083" s="9">
        <f t="shared" si="12"/>
        <v>7.8742666666666663</v>
      </c>
      <c r="I1083" s="9">
        <f t="shared" si="12"/>
        <v>7.8779000000000003</v>
      </c>
      <c r="J1083" s="9">
        <f t="shared" si="12"/>
        <v>7.8742666666666663</v>
      </c>
      <c r="K1083" s="9">
        <f t="shared" si="12"/>
        <v>7.8779000000000003</v>
      </c>
      <c r="L1083" s="9">
        <f t="shared" si="12"/>
        <v>4.7325583333333325</v>
      </c>
      <c r="M1083" s="9">
        <f t="shared" si="12"/>
        <v>4.7362083333333329</v>
      </c>
      <c r="N1083" s="9">
        <f t="shared" si="12"/>
        <v>4.7325583333333325</v>
      </c>
      <c r="O1083" s="9">
        <f t="shared" si="12"/>
        <v>4.7362083333333329</v>
      </c>
    </row>
    <row r="1084" spans="1:15" ht="15" x14ac:dyDescent="0.2">
      <c r="A1084" s="10">
        <v>2026</v>
      </c>
      <c r="B1084" s="9">
        <f t="shared" ref="B1084:O1084" si="13">AVERAGE(B170:B181)</f>
        <v>3.8184083333333336</v>
      </c>
      <c r="C1084" s="9">
        <f t="shared" si="13"/>
        <v>3.8184083333333336</v>
      </c>
      <c r="D1084" s="9">
        <f t="shared" si="13"/>
        <v>3.8194999999999997</v>
      </c>
      <c r="E1084" s="9">
        <f t="shared" si="13"/>
        <v>4.8625583333333324</v>
      </c>
      <c r="F1084" s="9">
        <f t="shared" si="13"/>
        <v>4.8625583333333324</v>
      </c>
      <c r="G1084" s="9">
        <f t="shared" si="13"/>
        <v>4.8661833333333337</v>
      </c>
      <c r="H1084" s="9">
        <f t="shared" si="13"/>
        <v>8.073383333333334</v>
      </c>
      <c r="I1084" s="9">
        <f t="shared" si="13"/>
        <v>8.0770250000000008</v>
      </c>
      <c r="J1084" s="9">
        <f t="shared" si="13"/>
        <v>8.073383333333334</v>
      </c>
      <c r="K1084" s="9">
        <f t="shared" si="13"/>
        <v>8.0770250000000008</v>
      </c>
      <c r="L1084" s="9">
        <f t="shared" si="13"/>
        <v>4.8625583333333324</v>
      </c>
      <c r="M1084" s="9">
        <f t="shared" si="13"/>
        <v>4.8661833333333337</v>
      </c>
      <c r="N1084" s="9">
        <f t="shared" si="13"/>
        <v>4.8625583333333324</v>
      </c>
      <c r="O1084" s="9">
        <f t="shared" si="13"/>
        <v>4.8661833333333337</v>
      </c>
    </row>
    <row r="1085" spans="1:15" ht="15" x14ac:dyDescent="0.2">
      <c r="A1085" s="10">
        <v>2027</v>
      </c>
      <c r="B1085" s="9">
        <f t="shared" ref="B1085:O1085" si="14">AVERAGE(B182:B193)</f>
        <v>3.9176666666666669</v>
      </c>
      <c r="C1085" s="9">
        <f t="shared" si="14"/>
        <v>3.9176666666666669</v>
      </c>
      <c r="D1085" s="9">
        <f t="shared" si="14"/>
        <v>3.9187249999999998</v>
      </c>
      <c r="E1085" s="9">
        <f t="shared" si="14"/>
        <v>4.9883083333333325</v>
      </c>
      <c r="F1085" s="9">
        <f t="shared" si="14"/>
        <v>4.9883083333333325</v>
      </c>
      <c r="G1085" s="9">
        <f t="shared" si="14"/>
        <v>4.9919500000000001</v>
      </c>
      <c r="H1085" s="9">
        <f t="shared" si="14"/>
        <v>8.2775499999999997</v>
      </c>
      <c r="I1085" s="9">
        <f t="shared" si="14"/>
        <v>8.2811916666666665</v>
      </c>
      <c r="J1085" s="9">
        <f t="shared" si="14"/>
        <v>8.2775499999999997</v>
      </c>
      <c r="K1085" s="9">
        <f t="shared" si="14"/>
        <v>8.2811916666666665</v>
      </c>
      <c r="L1085" s="9">
        <f t="shared" si="14"/>
        <v>4.9883083333333325</v>
      </c>
      <c r="M1085" s="9">
        <f t="shared" si="14"/>
        <v>4.9919500000000001</v>
      </c>
      <c r="N1085" s="9">
        <f t="shared" si="14"/>
        <v>4.9883083333333325</v>
      </c>
      <c r="O1085" s="9">
        <f t="shared" si="14"/>
        <v>4.9919500000000001</v>
      </c>
    </row>
    <row r="1086" spans="1:15" ht="15" x14ac:dyDescent="0.2">
      <c r="A1086" s="10">
        <v>2028</v>
      </c>
      <c r="B1086" s="9">
        <f t="shared" ref="B1086:O1086" si="15">AVERAGE(B194:B205)</f>
        <v>4.0231749999999984</v>
      </c>
      <c r="C1086" s="9">
        <f t="shared" si="15"/>
        <v>4.0231749999999984</v>
      </c>
      <c r="D1086" s="9">
        <f t="shared" si="15"/>
        <v>4.024258333333333</v>
      </c>
      <c r="E1086" s="9">
        <f t="shared" si="15"/>
        <v>5.121858333333333</v>
      </c>
      <c r="F1086" s="9">
        <f t="shared" si="15"/>
        <v>5.121858333333333</v>
      </c>
      <c r="G1086" s="9">
        <f t="shared" si="15"/>
        <v>5.1254749999999998</v>
      </c>
      <c r="H1086" s="9">
        <f t="shared" si="15"/>
        <v>8.4868833333333331</v>
      </c>
      <c r="I1086" s="9">
        <f t="shared" si="15"/>
        <v>8.490499999999999</v>
      </c>
      <c r="J1086" s="9">
        <f t="shared" si="15"/>
        <v>8.4868833333333331</v>
      </c>
      <c r="K1086" s="9">
        <f t="shared" si="15"/>
        <v>8.490499999999999</v>
      </c>
      <c r="L1086" s="9">
        <f t="shared" si="15"/>
        <v>5.121858333333333</v>
      </c>
      <c r="M1086" s="9">
        <f t="shared" si="15"/>
        <v>5.1254749999999998</v>
      </c>
      <c r="N1086" s="9">
        <f t="shared" si="15"/>
        <v>5.121858333333333</v>
      </c>
      <c r="O1086" s="9">
        <f t="shared" si="15"/>
        <v>5.1254749999999998</v>
      </c>
    </row>
    <row r="1087" spans="1:15" ht="15" x14ac:dyDescent="0.2">
      <c r="A1087" s="10">
        <v>2029</v>
      </c>
      <c r="B1087" s="9">
        <f t="shared" ref="B1087:O1087" si="16">AVERAGE(B206:B217)</f>
        <v>4.1202916666666676</v>
      </c>
      <c r="C1087" s="9">
        <f t="shared" si="16"/>
        <v>4.1202916666666676</v>
      </c>
      <c r="D1087" s="9">
        <f t="shared" si="16"/>
        <v>4.1213500000000005</v>
      </c>
      <c r="E1087" s="9">
        <f t="shared" si="16"/>
        <v>5.2511833333333335</v>
      </c>
      <c r="F1087" s="9">
        <f t="shared" si="16"/>
        <v>5.2511833333333335</v>
      </c>
      <c r="G1087" s="9">
        <f t="shared" si="16"/>
        <v>5.2547999999999995</v>
      </c>
      <c r="H1087" s="9">
        <f t="shared" si="16"/>
        <v>8.7015000000000011</v>
      </c>
      <c r="I1087" s="9">
        <f t="shared" si="16"/>
        <v>8.7051499999999997</v>
      </c>
      <c r="J1087" s="9">
        <f t="shared" si="16"/>
        <v>8.7015000000000011</v>
      </c>
      <c r="K1087" s="9">
        <f t="shared" si="16"/>
        <v>8.7051499999999997</v>
      </c>
      <c r="L1087" s="9">
        <f t="shared" si="16"/>
        <v>5.2511833333333335</v>
      </c>
      <c r="M1087" s="9">
        <f t="shared" si="16"/>
        <v>5.2547999999999995</v>
      </c>
      <c r="N1087" s="9">
        <f t="shared" si="16"/>
        <v>5.2511833333333335</v>
      </c>
      <c r="O1087" s="9">
        <f t="shared" si="16"/>
        <v>5.2547999999999995</v>
      </c>
    </row>
    <row r="1088" spans="1:15" ht="15" x14ac:dyDescent="0.2">
      <c r="A1088" s="10">
        <v>2030</v>
      </c>
      <c r="B1088" s="9">
        <f t="shared" ref="B1088:O1088" si="17">AVERAGE(B218:B229)</f>
        <v>4.2197500000000003</v>
      </c>
      <c r="C1088" s="9">
        <f t="shared" si="17"/>
        <v>4.2197500000000003</v>
      </c>
      <c r="D1088" s="9">
        <f t="shared" si="17"/>
        <v>4.2208250000000005</v>
      </c>
      <c r="E1088" s="9">
        <f t="shared" si="17"/>
        <v>5.3853833333333334</v>
      </c>
      <c r="F1088" s="9">
        <f t="shared" si="17"/>
        <v>5.3853833333333334</v>
      </c>
      <c r="G1088" s="9">
        <f t="shared" si="17"/>
        <v>5.3890250000000002</v>
      </c>
      <c r="H1088" s="9">
        <f t="shared" si="17"/>
        <v>8.9215500000000016</v>
      </c>
      <c r="I1088" s="9">
        <f t="shared" si="17"/>
        <v>8.9251916666666666</v>
      </c>
      <c r="J1088" s="9">
        <f t="shared" si="17"/>
        <v>8.9215500000000016</v>
      </c>
      <c r="K1088" s="9">
        <f t="shared" si="17"/>
        <v>8.9251916666666666</v>
      </c>
      <c r="L1088" s="9">
        <f t="shared" si="17"/>
        <v>5.3853833333333334</v>
      </c>
      <c r="M1088" s="9">
        <f t="shared" si="17"/>
        <v>5.3890250000000002</v>
      </c>
      <c r="N1088" s="9">
        <f t="shared" si="17"/>
        <v>5.3853833333333334</v>
      </c>
      <c r="O1088" s="9">
        <f t="shared" si="17"/>
        <v>5.3890250000000002</v>
      </c>
    </row>
    <row r="1089" spans="1:15" ht="15" x14ac:dyDescent="0.2">
      <c r="A1089" s="10">
        <v>2031</v>
      </c>
      <c r="B1089" s="9">
        <f t="shared" ref="B1089:O1089" si="18">AVERAGE(B230:B241)</f>
        <v>4.319983333333334</v>
      </c>
      <c r="C1089" s="9">
        <f t="shared" si="18"/>
        <v>4.319983333333334</v>
      </c>
      <c r="D1089" s="9">
        <f t="shared" si="18"/>
        <v>4.3210833333333332</v>
      </c>
      <c r="E1089" s="9">
        <f t="shared" si="18"/>
        <v>5.5212583333333329</v>
      </c>
      <c r="F1089" s="9">
        <f t="shared" si="18"/>
        <v>5.5212583333333329</v>
      </c>
      <c r="G1089" s="9">
        <f t="shared" si="18"/>
        <v>5.5249000000000015</v>
      </c>
      <c r="H1089" s="9">
        <f t="shared" si="18"/>
        <v>9.1471499999999999</v>
      </c>
      <c r="I1089" s="9">
        <f t="shared" si="18"/>
        <v>9.1508000000000003</v>
      </c>
      <c r="J1089" s="9">
        <f t="shared" si="18"/>
        <v>9.1471499999999999</v>
      </c>
      <c r="K1089" s="9">
        <f t="shared" si="18"/>
        <v>9.1508000000000003</v>
      </c>
      <c r="L1089" s="9">
        <f t="shared" si="18"/>
        <v>5.5212583333333329</v>
      </c>
      <c r="M1089" s="9">
        <f t="shared" si="18"/>
        <v>5.5249000000000015</v>
      </c>
      <c r="N1089" s="9">
        <f t="shared" si="18"/>
        <v>5.5212583333333329</v>
      </c>
      <c r="O1089" s="9">
        <f t="shared" si="18"/>
        <v>5.5249000000000015</v>
      </c>
    </row>
    <row r="1090" spans="1:15" ht="15" x14ac:dyDescent="0.2">
      <c r="A1090" s="10">
        <v>2032</v>
      </c>
      <c r="B1090" s="9">
        <f t="shared" ref="B1090:O1090" si="19">AVERAGE(B242:B253)</f>
        <v>4.4233666666666664</v>
      </c>
      <c r="C1090" s="9">
        <f t="shared" si="19"/>
        <v>4.4233666666666664</v>
      </c>
      <c r="D1090" s="9">
        <f t="shared" si="19"/>
        <v>4.4244416666666666</v>
      </c>
      <c r="E1090" s="9">
        <f t="shared" si="19"/>
        <v>5.6636583333333341</v>
      </c>
      <c r="F1090" s="9">
        <f t="shared" si="19"/>
        <v>5.6636583333333341</v>
      </c>
      <c r="G1090" s="9">
        <f t="shared" si="19"/>
        <v>5.6673</v>
      </c>
      <c r="H1090" s="9">
        <f t="shared" si="19"/>
        <v>9.3784916666666671</v>
      </c>
      <c r="I1090" s="9">
        <f t="shared" si="19"/>
        <v>9.3821083333333331</v>
      </c>
      <c r="J1090" s="9">
        <f t="shared" si="19"/>
        <v>9.3784916666666671</v>
      </c>
      <c r="K1090" s="9">
        <f t="shared" si="19"/>
        <v>9.3821083333333331</v>
      </c>
      <c r="L1090" s="9">
        <f t="shared" si="19"/>
        <v>5.6636583333333341</v>
      </c>
      <c r="M1090" s="9">
        <f t="shared" si="19"/>
        <v>5.6673</v>
      </c>
      <c r="N1090" s="9">
        <f t="shared" si="19"/>
        <v>5.6636583333333341</v>
      </c>
      <c r="O1090" s="9">
        <f t="shared" si="19"/>
        <v>5.6673</v>
      </c>
    </row>
    <row r="1091" spans="1:15" ht="15" x14ac:dyDescent="0.2">
      <c r="A1091" s="10">
        <v>2033</v>
      </c>
      <c r="B1091" s="9">
        <f t="shared" ref="B1091:O1091" si="20">AVERAGE(B254:B265)</f>
        <v>4.5277250000000011</v>
      </c>
      <c r="C1091" s="9">
        <f t="shared" si="20"/>
        <v>4.5277250000000011</v>
      </c>
      <c r="D1091" s="9">
        <f t="shared" si="20"/>
        <v>4.5288083333333331</v>
      </c>
      <c r="E1091" s="9">
        <f t="shared" si="20"/>
        <v>5.8086833333333336</v>
      </c>
      <c r="F1091" s="9">
        <f t="shared" si="20"/>
        <v>5.8086833333333336</v>
      </c>
      <c r="G1091" s="9">
        <f t="shared" si="20"/>
        <v>5.8123000000000005</v>
      </c>
      <c r="H1091" s="9">
        <f t="shared" si="20"/>
        <v>9.6156583333333323</v>
      </c>
      <c r="I1091" s="9">
        <f t="shared" si="20"/>
        <v>9.619275</v>
      </c>
      <c r="J1091" s="9">
        <f t="shared" si="20"/>
        <v>9.6156583333333323</v>
      </c>
      <c r="K1091" s="9">
        <f t="shared" si="20"/>
        <v>9.619275</v>
      </c>
      <c r="L1091" s="9">
        <f t="shared" si="20"/>
        <v>5.8086833333333336</v>
      </c>
      <c r="M1091" s="9">
        <f t="shared" si="20"/>
        <v>5.8123000000000005</v>
      </c>
      <c r="N1091" s="9">
        <f t="shared" si="20"/>
        <v>5.8086833333333336</v>
      </c>
      <c r="O1091" s="9">
        <f t="shared" si="20"/>
        <v>5.8123000000000005</v>
      </c>
    </row>
    <row r="1092" spans="1:15" ht="15" x14ac:dyDescent="0.2">
      <c r="A1092" s="10">
        <v>2034</v>
      </c>
      <c r="B1092" s="9">
        <f t="shared" ref="B1092:O1092" si="21">AVERAGE(B266:B277)</f>
        <v>4.6365749999999997</v>
      </c>
      <c r="C1092" s="9">
        <f t="shared" si="21"/>
        <v>4.6365749999999997</v>
      </c>
      <c r="D1092" s="9">
        <f t="shared" si="21"/>
        <v>4.6376499999999998</v>
      </c>
      <c r="E1092" s="9">
        <f t="shared" si="21"/>
        <v>5.9626083333333346</v>
      </c>
      <c r="F1092" s="9">
        <f t="shared" si="21"/>
        <v>5.9626083333333346</v>
      </c>
      <c r="G1092" s="9">
        <f t="shared" si="21"/>
        <v>5.9662499999999996</v>
      </c>
      <c r="H1092" s="9">
        <f t="shared" si="21"/>
        <v>9.8588166666666659</v>
      </c>
      <c r="I1092" s="9">
        <f t="shared" si="21"/>
        <v>9.8624416666666672</v>
      </c>
      <c r="J1092" s="9">
        <f t="shared" si="21"/>
        <v>9.8588166666666659</v>
      </c>
      <c r="K1092" s="9">
        <f t="shared" si="21"/>
        <v>9.8624416666666672</v>
      </c>
      <c r="L1092" s="9">
        <f t="shared" si="21"/>
        <v>5.9626083333333346</v>
      </c>
      <c r="M1092" s="9">
        <f t="shared" si="21"/>
        <v>5.9662499999999996</v>
      </c>
      <c r="N1092" s="9">
        <f t="shared" si="21"/>
        <v>5.9626083333333346</v>
      </c>
      <c r="O1092" s="9">
        <f t="shared" si="21"/>
        <v>5.9662499999999996</v>
      </c>
    </row>
    <row r="1093" spans="1:15" ht="15" x14ac:dyDescent="0.2">
      <c r="A1093" s="10">
        <v>2035</v>
      </c>
      <c r="B1093" s="9">
        <f t="shared" ref="B1093:O1093" si="22">AVERAGE(B278:B289)</f>
        <v>4.7452499999999995</v>
      </c>
      <c r="C1093" s="9">
        <f t="shared" si="22"/>
        <v>4.7452499999999995</v>
      </c>
      <c r="D1093" s="9">
        <f t="shared" si="22"/>
        <v>4.7463416666666669</v>
      </c>
      <c r="E1093" s="9">
        <f t="shared" si="22"/>
        <v>6.2283083333333344</v>
      </c>
      <c r="F1093" s="9">
        <f t="shared" si="22"/>
        <v>6.2283083333333344</v>
      </c>
      <c r="G1093" s="9">
        <f t="shared" si="22"/>
        <v>6.2319333333333331</v>
      </c>
      <c r="H1093" s="9">
        <f t="shared" si="22"/>
        <v>10.108133333333333</v>
      </c>
      <c r="I1093" s="9">
        <f t="shared" si="22"/>
        <v>10.111775</v>
      </c>
      <c r="J1093" s="9">
        <f t="shared" si="22"/>
        <v>10.108133333333333</v>
      </c>
      <c r="K1093" s="9">
        <f t="shared" si="22"/>
        <v>10.111775</v>
      </c>
      <c r="L1093" s="9">
        <f t="shared" si="22"/>
        <v>6.2283083333333344</v>
      </c>
      <c r="M1093" s="9">
        <f t="shared" si="22"/>
        <v>6.2319333333333331</v>
      </c>
      <c r="N1093" s="9">
        <f t="shared" si="22"/>
        <v>6.2283083333333344</v>
      </c>
      <c r="O1093" s="9">
        <f t="shared" si="22"/>
        <v>6.2319333333333331</v>
      </c>
    </row>
    <row r="1094" spans="1:15" ht="15" x14ac:dyDescent="0.2">
      <c r="A1094" s="10">
        <v>2036</v>
      </c>
      <c r="B1094" s="9">
        <f t="shared" ref="B1094:O1094" si="23">AVERAGE(B290:B301)</f>
        <v>4.8552916666666661</v>
      </c>
      <c r="C1094" s="9">
        <f t="shared" si="23"/>
        <v>4.8552916666666661</v>
      </c>
      <c r="D1094" s="9">
        <f t="shared" si="23"/>
        <v>4.8563666666666672</v>
      </c>
      <c r="E1094" s="9">
        <f t="shared" si="23"/>
        <v>6.4622250000000001</v>
      </c>
      <c r="F1094" s="9">
        <f t="shared" si="23"/>
        <v>6.4622250000000001</v>
      </c>
      <c r="G1094" s="9">
        <f t="shared" si="23"/>
        <v>6.465866666666666</v>
      </c>
      <c r="H1094" s="9">
        <f t="shared" si="23"/>
        <v>10.36375</v>
      </c>
      <c r="I1094" s="9">
        <f t="shared" si="23"/>
        <v>10.367383333333335</v>
      </c>
      <c r="J1094" s="9">
        <f t="shared" si="23"/>
        <v>10.36375</v>
      </c>
      <c r="K1094" s="9">
        <f t="shared" si="23"/>
        <v>10.367383333333335</v>
      </c>
      <c r="L1094" s="9">
        <f t="shared" si="23"/>
        <v>6.4622250000000001</v>
      </c>
      <c r="M1094" s="9">
        <f t="shared" si="23"/>
        <v>6.465866666666666</v>
      </c>
      <c r="N1094" s="9">
        <f t="shared" si="23"/>
        <v>6.4622250000000001</v>
      </c>
      <c r="O1094" s="9">
        <f t="shared" si="23"/>
        <v>6.465866666666666</v>
      </c>
    </row>
    <row r="1095" spans="1:15" ht="15" x14ac:dyDescent="0.2">
      <c r="A1095" s="10">
        <v>2037</v>
      </c>
      <c r="B1095" s="9">
        <f t="shared" ref="B1095:O1095" si="24">AVERAGE(B302:B313)</f>
        <v>4.964783333333334</v>
      </c>
      <c r="C1095" s="9">
        <f t="shared" si="24"/>
        <v>4.964783333333334</v>
      </c>
      <c r="D1095" s="9">
        <f t="shared" si="24"/>
        <v>4.9658833333333332</v>
      </c>
      <c r="E1095" s="9">
        <f t="shared" si="24"/>
        <v>6.5224749999999991</v>
      </c>
      <c r="F1095" s="9">
        <f t="shared" si="24"/>
        <v>6.5224749999999991</v>
      </c>
      <c r="G1095" s="9">
        <f t="shared" si="24"/>
        <v>6.5261083333333332</v>
      </c>
      <c r="H1095" s="9">
        <f t="shared" si="24"/>
        <v>10.625816666666665</v>
      </c>
      <c r="I1095" s="9">
        <f t="shared" si="24"/>
        <v>10.629466666666668</v>
      </c>
      <c r="J1095" s="9">
        <f t="shared" si="24"/>
        <v>10.625816666666665</v>
      </c>
      <c r="K1095" s="9">
        <f t="shared" si="24"/>
        <v>10.629466666666668</v>
      </c>
      <c r="L1095" s="9">
        <f t="shared" si="24"/>
        <v>6.5224749999999991</v>
      </c>
      <c r="M1095" s="9">
        <f t="shared" si="24"/>
        <v>6.5261083333333332</v>
      </c>
      <c r="N1095" s="9">
        <f t="shared" si="24"/>
        <v>6.5224749999999991</v>
      </c>
      <c r="O1095" s="9">
        <f t="shared" si="24"/>
        <v>6.5261083333333332</v>
      </c>
    </row>
    <row r="1096" spans="1:15" ht="15" x14ac:dyDescent="0.2">
      <c r="A1096" s="10">
        <v>2038</v>
      </c>
      <c r="B1096" s="9">
        <f t="shared" ref="B1096:O1096" si="25">AVERAGE(B314:B325)</f>
        <v>5.078008333333333</v>
      </c>
      <c r="C1096" s="9">
        <f t="shared" si="25"/>
        <v>5.078008333333333</v>
      </c>
      <c r="D1096" s="9">
        <f t="shared" si="25"/>
        <v>5.0790750000000005</v>
      </c>
      <c r="E1096" s="9">
        <f t="shared" si="25"/>
        <v>6.5534166666666671</v>
      </c>
      <c r="F1096" s="9">
        <f t="shared" si="25"/>
        <v>6.5534166666666671</v>
      </c>
      <c r="G1096" s="9">
        <f t="shared" si="25"/>
        <v>6.5570666666666666</v>
      </c>
      <c r="H1096" s="9">
        <f t="shared" si="25"/>
        <v>10.894541666666667</v>
      </c>
      <c r="I1096" s="9">
        <f t="shared" si="25"/>
        <v>10.898166666666667</v>
      </c>
      <c r="J1096" s="9">
        <f t="shared" si="25"/>
        <v>10.894541666666667</v>
      </c>
      <c r="K1096" s="9">
        <f t="shared" si="25"/>
        <v>10.898166666666667</v>
      </c>
      <c r="L1096" s="9">
        <f t="shared" si="25"/>
        <v>6.5534166666666671</v>
      </c>
      <c r="M1096" s="9">
        <f t="shared" si="25"/>
        <v>6.5570666666666666</v>
      </c>
      <c r="N1096" s="9">
        <f t="shared" si="25"/>
        <v>6.5534166666666671</v>
      </c>
      <c r="O1096" s="9">
        <f t="shared" si="25"/>
        <v>6.5570666666666666</v>
      </c>
    </row>
    <row r="1097" spans="1:15" ht="15" x14ac:dyDescent="0.2">
      <c r="A1097" s="10">
        <v>2039</v>
      </c>
      <c r="B1097" s="9">
        <f t="shared" ref="B1097:O1097" si="26">AVERAGE(B326:B337)</f>
        <v>5.1910833333333333</v>
      </c>
      <c r="C1097" s="9">
        <f t="shared" si="26"/>
        <v>5.1910833333333333</v>
      </c>
      <c r="D1097" s="9">
        <f t="shared" si="26"/>
        <v>5.1921500000000007</v>
      </c>
      <c r="E1097" s="9">
        <f t="shared" si="26"/>
        <v>6.5795250000000003</v>
      </c>
      <c r="F1097" s="9">
        <f t="shared" si="26"/>
        <v>6.5795250000000003</v>
      </c>
      <c r="G1097" s="9">
        <f t="shared" si="26"/>
        <v>6.5831666666666671</v>
      </c>
      <c r="H1097" s="9">
        <f t="shared" si="26"/>
        <v>11.170033333333334</v>
      </c>
      <c r="I1097" s="9">
        <f t="shared" si="26"/>
        <v>11.173674999999998</v>
      </c>
      <c r="J1097" s="9">
        <f t="shared" si="26"/>
        <v>11.170033333333334</v>
      </c>
      <c r="K1097" s="9">
        <f t="shared" si="26"/>
        <v>11.173674999999998</v>
      </c>
      <c r="L1097" s="9">
        <f t="shared" si="26"/>
        <v>6.5795250000000003</v>
      </c>
      <c r="M1097" s="9">
        <f t="shared" si="26"/>
        <v>6.5831666666666671</v>
      </c>
      <c r="N1097" s="9">
        <f t="shared" si="26"/>
        <v>6.5795250000000003</v>
      </c>
      <c r="O1097" s="9">
        <f t="shared" si="26"/>
        <v>6.5831666666666671</v>
      </c>
    </row>
    <row r="1098" spans="1:15" ht="15" x14ac:dyDescent="0.2">
      <c r="A1098" s="10">
        <v>2040</v>
      </c>
      <c r="B1098" s="9">
        <f t="shared" ref="B1098:O1098" si="27">AVERAGE(B338:B349)</f>
        <v>5.3088083333333334</v>
      </c>
      <c r="C1098" s="9">
        <f t="shared" si="27"/>
        <v>5.3088083333333334</v>
      </c>
      <c r="D1098" s="9">
        <f t="shared" si="27"/>
        <v>5.3098833333333326</v>
      </c>
      <c r="E1098" s="9">
        <f t="shared" si="27"/>
        <v>6.6098166666666671</v>
      </c>
      <c r="F1098" s="9">
        <f t="shared" si="27"/>
        <v>6.6098166666666671</v>
      </c>
      <c r="G1098" s="9">
        <f t="shared" si="27"/>
        <v>6.6134333333333331</v>
      </c>
      <c r="H1098" s="9">
        <f t="shared" si="27"/>
        <v>11.452516666666668</v>
      </c>
      <c r="I1098" s="9">
        <f t="shared" si="27"/>
        <v>11.456141666666666</v>
      </c>
      <c r="J1098" s="9">
        <f t="shared" si="27"/>
        <v>11.452516666666668</v>
      </c>
      <c r="K1098" s="9">
        <f t="shared" si="27"/>
        <v>11.456141666666666</v>
      </c>
      <c r="L1098" s="9">
        <f t="shared" si="27"/>
        <v>6.6098166666666671</v>
      </c>
      <c r="M1098" s="9">
        <f t="shared" si="27"/>
        <v>6.6134333333333331</v>
      </c>
      <c r="N1098" s="9">
        <f t="shared" si="27"/>
        <v>6.6098166666666671</v>
      </c>
      <c r="O1098" s="9">
        <f t="shared" si="27"/>
        <v>6.6134333333333331</v>
      </c>
    </row>
    <row r="1099" spans="1:15" ht="15" x14ac:dyDescent="0.2">
      <c r="A1099" s="10">
        <v>2041</v>
      </c>
      <c r="B1099" s="9">
        <f t="shared" ref="B1099:O1099" si="28">AVERAGE(B350:B361)</f>
        <v>5.4292249999999989</v>
      </c>
      <c r="C1099" s="9">
        <f t="shared" si="28"/>
        <v>5.4292249999999989</v>
      </c>
      <c r="D1099" s="9">
        <f t="shared" si="28"/>
        <v>5.4302916666666681</v>
      </c>
      <c r="E1099" s="9">
        <f t="shared" si="28"/>
        <v>6.6440333333333328</v>
      </c>
      <c r="F1099" s="9">
        <f t="shared" si="28"/>
        <v>6.6440333333333328</v>
      </c>
      <c r="G1099" s="9">
        <f t="shared" si="28"/>
        <v>6.6476666666666668</v>
      </c>
      <c r="H1099" s="9">
        <f t="shared" si="28"/>
        <v>11.742133333333333</v>
      </c>
      <c r="I1099" s="9">
        <f t="shared" si="28"/>
        <v>11.745750000000001</v>
      </c>
      <c r="J1099" s="9">
        <f t="shared" si="28"/>
        <v>11.742133333333333</v>
      </c>
      <c r="K1099" s="9">
        <f t="shared" si="28"/>
        <v>11.745750000000001</v>
      </c>
      <c r="L1099" s="9">
        <f t="shared" si="28"/>
        <v>6.6440333333333328</v>
      </c>
      <c r="M1099" s="9">
        <f t="shared" si="28"/>
        <v>6.6476666666666668</v>
      </c>
      <c r="N1099" s="9">
        <f t="shared" si="28"/>
        <v>6.6440333333333328</v>
      </c>
      <c r="O1099" s="9">
        <f t="shared" si="28"/>
        <v>6.6476666666666668</v>
      </c>
    </row>
    <row r="1100" spans="1:15" ht="15" x14ac:dyDescent="0.2">
      <c r="A1100" s="10">
        <v>2042</v>
      </c>
      <c r="B1100" s="9">
        <f t="shared" ref="B1100:O1100" si="29">AVERAGE(B362:B373)</f>
        <v>5.5523500000000006</v>
      </c>
      <c r="C1100" s="9">
        <f t="shared" si="29"/>
        <v>5.5523500000000006</v>
      </c>
      <c r="D1100" s="9">
        <f t="shared" si="29"/>
        <v>5.5534416666666653</v>
      </c>
      <c r="E1100" s="9">
        <f t="shared" si="29"/>
        <v>6.6822333333333335</v>
      </c>
      <c r="F1100" s="9">
        <f t="shared" si="29"/>
        <v>6.6822333333333335</v>
      </c>
      <c r="G1100" s="9">
        <f t="shared" si="29"/>
        <v>6.685858333333333</v>
      </c>
      <c r="H1100" s="9">
        <f t="shared" si="29"/>
        <v>12.039075000000002</v>
      </c>
      <c r="I1100" s="9">
        <f t="shared" si="29"/>
        <v>12.042708333333332</v>
      </c>
      <c r="J1100" s="9">
        <f t="shared" si="29"/>
        <v>12.039075000000002</v>
      </c>
      <c r="K1100" s="9">
        <f t="shared" si="29"/>
        <v>12.042708333333332</v>
      </c>
      <c r="L1100" s="9">
        <f t="shared" si="29"/>
        <v>6.6822333333333335</v>
      </c>
      <c r="M1100" s="9">
        <f t="shared" si="29"/>
        <v>6.685858333333333</v>
      </c>
      <c r="N1100" s="9">
        <f t="shared" si="29"/>
        <v>6.6822333333333335</v>
      </c>
      <c r="O1100" s="9">
        <f t="shared" si="29"/>
        <v>6.685858333333333</v>
      </c>
    </row>
    <row r="1101" spans="1:15" ht="15" x14ac:dyDescent="0.2">
      <c r="A1101" s="10">
        <v>2043</v>
      </c>
      <c r="B1101" s="9">
        <f t="shared" ref="B1101:O1101" si="30">AVERAGE(B374:B385)</f>
        <v>5.6783000000000001</v>
      </c>
      <c r="C1101" s="9">
        <f t="shared" si="30"/>
        <v>5.6783000000000001</v>
      </c>
      <c r="D1101" s="9">
        <f t="shared" si="30"/>
        <v>5.6793750000000003</v>
      </c>
      <c r="E1101" s="9">
        <f t="shared" si="30"/>
        <v>6.72445</v>
      </c>
      <c r="F1101" s="9">
        <f t="shared" si="30"/>
        <v>6.72445</v>
      </c>
      <c r="G1101" s="9">
        <f t="shared" si="30"/>
        <v>6.7280833333333332</v>
      </c>
      <c r="H1101" s="9">
        <f t="shared" si="30"/>
        <v>12.343516666666666</v>
      </c>
      <c r="I1101" s="9">
        <f t="shared" si="30"/>
        <v>12.347174999999998</v>
      </c>
      <c r="J1101" s="9">
        <f t="shared" si="30"/>
        <v>12.343516666666666</v>
      </c>
      <c r="K1101" s="9">
        <f t="shared" si="30"/>
        <v>12.347174999999998</v>
      </c>
      <c r="L1101" s="9">
        <f t="shared" si="30"/>
        <v>6.72445</v>
      </c>
      <c r="M1101" s="9">
        <f t="shared" si="30"/>
        <v>6.7280833333333332</v>
      </c>
      <c r="N1101" s="9">
        <f t="shared" si="30"/>
        <v>6.72445</v>
      </c>
      <c r="O1101" s="9">
        <f t="shared" si="30"/>
        <v>6.7280833333333332</v>
      </c>
    </row>
    <row r="1102" spans="1:15" ht="15" x14ac:dyDescent="0.2">
      <c r="A1102" s="10">
        <v>2044</v>
      </c>
      <c r="B1102" s="9">
        <f t="shared" ref="B1102:O1102" si="31">AVERAGE(B386:B397)</f>
        <v>5.807083333333332</v>
      </c>
      <c r="C1102" s="9">
        <f t="shared" si="31"/>
        <v>5.807083333333332</v>
      </c>
      <c r="D1102" s="9">
        <f t="shared" si="31"/>
        <v>5.808158333333334</v>
      </c>
      <c r="E1102" s="9">
        <f t="shared" si="31"/>
        <v>6.774516666666667</v>
      </c>
      <c r="F1102" s="9">
        <f t="shared" si="31"/>
        <v>6.774516666666667</v>
      </c>
      <c r="G1102" s="9">
        <f t="shared" si="31"/>
        <v>6.7781333333333329</v>
      </c>
      <c r="H1102" s="9">
        <f t="shared" si="31"/>
        <v>12.655675</v>
      </c>
      <c r="I1102" s="9">
        <f t="shared" si="31"/>
        <v>12.659308333333335</v>
      </c>
      <c r="J1102" s="9">
        <f t="shared" si="31"/>
        <v>12.655675</v>
      </c>
      <c r="K1102" s="9">
        <f t="shared" si="31"/>
        <v>12.659308333333335</v>
      </c>
      <c r="L1102" s="9">
        <f t="shared" si="31"/>
        <v>6.774516666666667</v>
      </c>
      <c r="M1102" s="9">
        <f t="shared" si="31"/>
        <v>6.7781333333333329</v>
      </c>
      <c r="N1102" s="9">
        <f t="shared" si="31"/>
        <v>6.774516666666667</v>
      </c>
      <c r="O1102" s="9">
        <f t="shared" si="31"/>
        <v>6.7781333333333329</v>
      </c>
    </row>
    <row r="1103" spans="1:15" ht="15" x14ac:dyDescent="0.2">
      <c r="A1103" s="10">
        <v>2045</v>
      </c>
      <c r="B1103" s="9">
        <f t="shared" ref="B1103:O1103" si="32">AVERAGE(B398:B409)</f>
        <v>5.9387999999999996</v>
      </c>
      <c r="C1103" s="9">
        <f t="shared" si="32"/>
        <v>5.9387999999999996</v>
      </c>
      <c r="D1103" s="9">
        <f t="shared" si="32"/>
        <v>5.9398916666666679</v>
      </c>
      <c r="E1103" s="9">
        <f t="shared" si="32"/>
        <v>6.8389249999999997</v>
      </c>
      <c r="F1103" s="9">
        <f t="shared" si="32"/>
        <v>6.8389249999999997</v>
      </c>
      <c r="G1103" s="9">
        <f t="shared" si="32"/>
        <v>6.8425583333333337</v>
      </c>
      <c r="H1103" s="9">
        <f t="shared" si="32"/>
        <v>12.975716666666665</v>
      </c>
      <c r="I1103" s="9">
        <f t="shared" si="32"/>
        <v>12.979358333333332</v>
      </c>
      <c r="J1103" s="9">
        <f t="shared" si="32"/>
        <v>12.975716666666665</v>
      </c>
      <c r="K1103" s="9">
        <f t="shared" si="32"/>
        <v>12.979358333333332</v>
      </c>
      <c r="L1103" s="9">
        <f t="shared" si="32"/>
        <v>6.8389249999999997</v>
      </c>
      <c r="M1103" s="9">
        <f t="shared" si="32"/>
        <v>6.8425583333333337</v>
      </c>
      <c r="N1103" s="9">
        <f t="shared" si="32"/>
        <v>6.8389249999999997</v>
      </c>
      <c r="O1103" s="9">
        <f t="shared" si="32"/>
        <v>6.8425583333333337</v>
      </c>
    </row>
    <row r="1104" spans="1:15" ht="15" x14ac:dyDescent="0.2">
      <c r="A1104" s="10">
        <v>2046</v>
      </c>
      <c r="B1104" s="9">
        <f t="shared" ref="B1104:O1104" si="33">AVERAGE(B410:B421)</f>
        <v>6.073525000000001</v>
      </c>
      <c r="C1104" s="9">
        <f t="shared" si="33"/>
        <v>6.073525000000001</v>
      </c>
      <c r="D1104" s="9">
        <f t="shared" si="33"/>
        <v>6.0745999999999993</v>
      </c>
      <c r="E1104" s="9">
        <f t="shared" si="33"/>
        <v>6.9243500000000004</v>
      </c>
      <c r="F1104" s="9">
        <f t="shared" si="33"/>
        <v>6.9243500000000004</v>
      </c>
      <c r="G1104" s="9">
        <f t="shared" si="33"/>
        <v>6.927975</v>
      </c>
      <c r="H1104" s="9">
        <f t="shared" si="33"/>
        <v>13.303866666666666</v>
      </c>
      <c r="I1104" s="9">
        <f t="shared" si="33"/>
        <v>13.307483333333336</v>
      </c>
      <c r="J1104" s="9">
        <f t="shared" si="33"/>
        <v>13.303866666666666</v>
      </c>
      <c r="K1104" s="9">
        <f t="shared" si="33"/>
        <v>13.307483333333336</v>
      </c>
      <c r="L1104" s="9">
        <f t="shared" si="33"/>
        <v>6.9243500000000004</v>
      </c>
      <c r="M1104" s="9">
        <f t="shared" si="33"/>
        <v>6.927975</v>
      </c>
      <c r="N1104" s="9">
        <f t="shared" si="33"/>
        <v>6.9243500000000004</v>
      </c>
      <c r="O1104" s="9">
        <f t="shared" si="33"/>
        <v>6.927975</v>
      </c>
    </row>
    <row r="1105" spans="1:15" ht="15" x14ac:dyDescent="0.2">
      <c r="A1105" s="10">
        <v>2047</v>
      </c>
      <c r="B1105" s="9">
        <f t="shared" ref="B1105:O1105" si="34">AVERAGE(B422:B433)</f>
        <v>6.2112833333333333</v>
      </c>
      <c r="C1105" s="9">
        <f t="shared" si="34"/>
        <v>6.2112833333333333</v>
      </c>
      <c r="D1105" s="9">
        <f t="shared" si="34"/>
        <v>6.2123833333333343</v>
      </c>
      <c r="E1105" s="9">
        <f t="shared" si="34"/>
        <v>7.0300916666666664</v>
      </c>
      <c r="F1105" s="9">
        <f t="shared" si="34"/>
        <v>7.0300916666666664</v>
      </c>
      <c r="G1105" s="9">
        <f t="shared" si="34"/>
        <v>7.0337416666666668</v>
      </c>
      <c r="H1105" s="9">
        <f t="shared" si="34"/>
        <v>13.640291666666668</v>
      </c>
      <c r="I1105" s="9">
        <f t="shared" si="34"/>
        <v>13.643925000000001</v>
      </c>
      <c r="J1105" s="9">
        <f t="shared" si="34"/>
        <v>13.640291666666668</v>
      </c>
      <c r="K1105" s="9">
        <f t="shared" si="34"/>
        <v>13.643925000000001</v>
      </c>
      <c r="L1105" s="9">
        <f t="shared" si="34"/>
        <v>7.0300916666666664</v>
      </c>
      <c r="M1105" s="9">
        <f t="shared" si="34"/>
        <v>7.0337416666666668</v>
      </c>
      <c r="N1105" s="9">
        <f t="shared" si="34"/>
        <v>7.0300916666666664</v>
      </c>
      <c r="O1105" s="9">
        <f t="shared" si="34"/>
        <v>7.0337416666666668</v>
      </c>
    </row>
    <row r="1106" spans="1:15" ht="15" x14ac:dyDescent="0.2">
      <c r="A1106" s="10">
        <v>2048</v>
      </c>
      <c r="B1106" s="9">
        <f t="shared" ref="B1106:O1106" si="35">AVERAGE(B434:B445)</f>
        <v>6.3522166666666671</v>
      </c>
      <c r="C1106" s="9">
        <f t="shared" si="35"/>
        <v>6.3522166666666671</v>
      </c>
      <c r="D1106" s="9">
        <f t="shared" si="35"/>
        <v>6.3532750000000009</v>
      </c>
      <c r="E1106" s="9">
        <f t="shared" si="35"/>
        <v>7.1572916666666666</v>
      </c>
      <c r="F1106" s="9">
        <f t="shared" si="35"/>
        <v>7.1572916666666666</v>
      </c>
      <c r="G1106" s="9">
        <f t="shared" si="35"/>
        <v>7.1609083333333343</v>
      </c>
      <c r="H1106" s="9">
        <f t="shared" si="35"/>
        <v>13.985233333333333</v>
      </c>
      <c r="I1106" s="9">
        <f t="shared" si="35"/>
        <v>13.988849999999999</v>
      </c>
      <c r="J1106" s="9">
        <f t="shared" si="35"/>
        <v>13.985233333333333</v>
      </c>
      <c r="K1106" s="9">
        <f t="shared" si="35"/>
        <v>13.988849999999999</v>
      </c>
      <c r="L1106" s="9">
        <f t="shared" si="35"/>
        <v>7.1572916666666666</v>
      </c>
      <c r="M1106" s="9">
        <f t="shared" si="35"/>
        <v>7.1609083333333343</v>
      </c>
      <c r="N1106" s="9">
        <f t="shared" si="35"/>
        <v>7.1572916666666666</v>
      </c>
      <c r="O1106" s="9">
        <f t="shared" si="35"/>
        <v>7.1609083333333343</v>
      </c>
    </row>
    <row r="1107" spans="1:15" ht="15" x14ac:dyDescent="0.2">
      <c r="A1107" s="10">
        <v>2049</v>
      </c>
      <c r="B1107" s="9">
        <f t="shared" ref="B1107:O1107" si="36">AVERAGE(B446:B457)</f>
        <v>6.4963166666666652</v>
      </c>
      <c r="C1107" s="9">
        <f t="shared" si="36"/>
        <v>6.4963166666666652</v>
      </c>
      <c r="D1107" s="9">
        <f t="shared" si="36"/>
        <v>6.4973666666666654</v>
      </c>
      <c r="E1107" s="9">
        <f t="shared" si="36"/>
        <v>7.3044833333333328</v>
      </c>
      <c r="F1107" s="9">
        <f t="shared" si="36"/>
        <v>7.3044833333333328</v>
      </c>
      <c r="G1107" s="9">
        <f t="shared" si="36"/>
        <v>7.3080999999999996</v>
      </c>
      <c r="H1107" s="9">
        <f t="shared" si="36"/>
        <v>14.338891666666667</v>
      </c>
      <c r="I1107" s="9">
        <f t="shared" si="36"/>
        <v>14.34253333333333</v>
      </c>
      <c r="J1107" s="9">
        <f t="shared" si="36"/>
        <v>14.338891666666667</v>
      </c>
      <c r="K1107" s="9">
        <f t="shared" si="36"/>
        <v>14.34253333333333</v>
      </c>
      <c r="L1107" s="9">
        <f t="shared" si="36"/>
        <v>7.3044833333333328</v>
      </c>
      <c r="M1107" s="9">
        <f t="shared" si="36"/>
        <v>7.3080999999999996</v>
      </c>
      <c r="N1107" s="9">
        <f t="shared" si="36"/>
        <v>7.3044833333333328</v>
      </c>
      <c r="O1107" s="9">
        <f t="shared" si="36"/>
        <v>7.3080999999999996</v>
      </c>
    </row>
    <row r="1108" spans="1:15" ht="15" x14ac:dyDescent="0.2">
      <c r="A1108" s="10">
        <v>2050</v>
      </c>
      <c r="B1108" s="9">
        <f t="shared" ref="B1108:O1108" si="37">AVERAGE(B458:B469)</f>
        <v>6.6436749999999982</v>
      </c>
      <c r="C1108" s="9">
        <f t="shared" si="37"/>
        <v>6.6436749999999982</v>
      </c>
      <c r="D1108" s="9">
        <f t="shared" si="37"/>
        <v>6.6447583333333329</v>
      </c>
      <c r="E1108" s="9">
        <f t="shared" si="37"/>
        <v>7.4640833333333338</v>
      </c>
      <c r="F1108" s="9">
        <f t="shared" si="37"/>
        <v>7.4640833333333338</v>
      </c>
      <c r="G1108" s="9">
        <f t="shared" si="37"/>
        <v>7.4676999999999998</v>
      </c>
      <c r="H1108" s="9">
        <f t="shared" si="37"/>
        <v>14.701491666666669</v>
      </c>
      <c r="I1108" s="9">
        <f t="shared" si="37"/>
        <v>14.705133333333336</v>
      </c>
      <c r="J1108" s="9">
        <f t="shared" si="37"/>
        <v>14.701491666666669</v>
      </c>
      <c r="K1108" s="9">
        <f t="shared" si="37"/>
        <v>14.705133333333336</v>
      </c>
      <c r="L1108" s="9">
        <f t="shared" si="37"/>
        <v>7.4640833333333338</v>
      </c>
      <c r="M1108" s="9">
        <f t="shared" si="37"/>
        <v>7.4676999999999998</v>
      </c>
      <c r="N1108" s="9">
        <f t="shared" si="37"/>
        <v>7.4640833333333338</v>
      </c>
      <c r="O1108" s="9">
        <f t="shared" si="37"/>
        <v>7.4676999999999998</v>
      </c>
    </row>
    <row r="1109" spans="1:15" ht="15" x14ac:dyDescent="0.2">
      <c r="A1109" s="10">
        <v>2051</v>
      </c>
      <c r="B1109" s="9">
        <f t="shared" ref="B1109:O1109" si="38">AVERAGE(B470:B481)</f>
        <v>6.7943916666666659</v>
      </c>
      <c r="C1109" s="9">
        <f t="shared" si="38"/>
        <v>6.7943916666666659</v>
      </c>
      <c r="D1109" s="9">
        <f t="shared" si="38"/>
        <v>6.7955000000000005</v>
      </c>
      <c r="E1109" s="9">
        <f t="shared" si="38"/>
        <v>7.627958333333333</v>
      </c>
      <c r="F1109" s="9">
        <f t="shared" si="38"/>
        <v>7.627958333333333</v>
      </c>
      <c r="G1109" s="9">
        <f t="shared" si="38"/>
        <v>7.6316166666666669</v>
      </c>
      <c r="H1109" s="9">
        <f t="shared" si="38"/>
        <v>15.073275000000001</v>
      </c>
      <c r="I1109" s="9">
        <f t="shared" si="38"/>
        <v>15.0769</v>
      </c>
      <c r="J1109" s="9">
        <f t="shared" si="38"/>
        <v>15.073275000000001</v>
      </c>
      <c r="K1109" s="9">
        <f t="shared" si="38"/>
        <v>15.0769</v>
      </c>
      <c r="L1109" s="9">
        <f t="shared" si="38"/>
        <v>7.627958333333333</v>
      </c>
      <c r="M1109" s="9">
        <f t="shared" si="38"/>
        <v>7.6316166666666669</v>
      </c>
      <c r="N1109" s="9">
        <f t="shared" si="38"/>
        <v>7.627958333333333</v>
      </c>
      <c r="O1109" s="9">
        <f t="shared" si="38"/>
        <v>7.6316166666666669</v>
      </c>
    </row>
    <row r="1110" spans="1:15" ht="15" x14ac:dyDescent="0.2">
      <c r="A1110" s="10">
        <v>2052</v>
      </c>
      <c r="B1110" s="9">
        <f t="shared" ref="B1110:O1110" si="39">AVERAGE(B482:B493)</f>
        <v>6.9485583333333336</v>
      </c>
      <c r="C1110" s="9">
        <f t="shared" si="39"/>
        <v>6.9485583333333336</v>
      </c>
      <c r="D1110" s="9">
        <f t="shared" si="39"/>
        <v>6.949650000000001</v>
      </c>
      <c r="E1110" s="9">
        <f t="shared" si="39"/>
        <v>7.7962999999999996</v>
      </c>
      <c r="F1110" s="9">
        <f t="shared" si="39"/>
        <v>7.7962999999999996</v>
      </c>
      <c r="G1110" s="9">
        <f t="shared" si="39"/>
        <v>7.7999333333333327</v>
      </c>
      <c r="H1110" s="9">
        <f t="shared" si="39"/>
        <v>15.454475000000002</v>
      </c>
      <c r="I1110" s="9">
        <f t="shared" si="39"/>
        <v>15.458100000000002</v>
      </c>
      <c r="J1110" s="9">
        <f t="shared" si="39"/>
        <v>15.454475000000002</v>
      </c>
      <c r="K1110" s="9">
        <f t="shared" si="39"/>
        <v>15.458100000000002</v>
      </c>
      <c r="L1110" s="9">
        <f t="shared" si="39"/>
        <v>7.7962999999999996</v>
      </c>
      <c r="M1110" s="9">
        <f t="shared" si="39"/>
        <v>7.7999333333333327</v>
      </c>
      <c r="N1110" s="9">
        <f t="shared" si="39"/>
        <v>7.7962999999999996</v>
      </c>
      <c r="O1110" s="9">
        <f t="shared" si="39"/>
        <v>7.7999333333333327</v>
      </c>
    </row>
    <row r="1111" spans="1:15" ht="15" x14ac:dyDescent="0.2">
      <c r="A1111" s="10">
        <v>2053</v>
      </c>
      <c r="B1111" s="9">
        <f t="shared" ref="B1111:O1111" si="40">AVERAGE(B494:B505)</f>
        <v>7.1062166666666675</v>
      </c>
      <c r="C1111" s="9">
        <f t="shared" si="40"/>
        <v>7.1062166666666675</v>
      </c>
      <c r="D1111" s="9">
        <f t="shared" si="40"/>
        <v>7.107316666666665</v>
      </c>
      <c r="E1111" s="9">
        <f t="shared" si="40"/>
        <v>7.9691916666666662</v>
      </c>
      <c r="F1111" s="9">
        <f t="shared" si="40"/>
        <v>7.9691916666666662</v>
      </c>
      <c r="G1111" s="9">
        <f t="shared" si="40"/>
        <v>7.9728249999999994</v>
      </c>
      <c r="H1111" s="9">
        <f t="shared" si="40"/>
        <v>15.845283333333334</v>
      </c>
      <c r="I1111" s="9">
        <f t="shared" si="40"/>
        <v>15.848916666666666</v>
      </c>
      <c r="J1111" s="9">
        <f t="shared" si="40"/>
        <v>15.845283333333334</v>
      </c>
      <c r="K1111" s="9">
        <f t="shared" si="40"/>
        <v>15.848916666666666</v>
      </c>
      <c r="L1111" s="9">
        <f t="shared" si="40"/>
        <v>7.9691916666666662</v>
      </c>
      <c r="M1111" s="9">
        <f t="shared" si="40"/>
        <v>7.9728249999999994</v>
      </c>
      <c r="N1111" s="9">
        <f t="shared" si="40"/>
        <v>7.9691916666666662</v>
      </c>
      <c r="O1111" s="9">
        <f t="shared" si="40"/>
        <v>7.9728249999999994</v>
      </c>
    </row>
    <row r="1112" spans="1:15" ht="15" x14ac:dyDescent="0.2">
      <c r="A1112" s="10">
        <v>2054</v>
      </c>
      <c r="B1112" s="9">
        <f t="shared" ref="B1112:O1112" si="41">AVERAGE(B506:B517)</f>
        <v>7.2674666666666674</v>
      </c>
      <c r="C1112" s="9">
        <f t="shared" si="41"/>
        <v>7.2674666666666674</v>
      </c>
      <c r="D1112" s="9">
        <f t="shared" si="41"/>
        <v>7.2685416666666667</v>
      </c>
      <c r="E1112" s="9">
        <f t="shared" si="41"/>
        <v>8.1467749999999999</v>
      </c>
      <c r="F1112" s="9">
        <f t="shared" si="41"/>
        <v>8.1467749999999999</v>
      </c>
      <c r="G1112" s="9">
        <f t="shared" si="41"/>
        <v>8.1504000000000012</v>
      </c>
      <c r="H1112" s="9">
        <f t="shared" si="41"/>
        <v>16.245991666666669</v>
      </c>
      <c r="I1112" s="9">
        <f t="shared" si="41"/>
        <v>16.249624999999998</v>
      </c>
      <c r="J1112" s="9">
        <f t="shared" si="41"/>
        <v>16.245991666666669</v>
      </c>
      <c r="K1112" s="9">
        <f t="shared" si="41"/>
        <v>16.249624999999998</v>
      </c>
      <c r="L1112" s="9">
        <f t="shared" si="41"/>
        <v>8.1467749999999999</v>
      </c>
      <c r="M1112" s="9">
        <f t="shared" si="41"/>
        <v>8.1504000000000012</v>
      </c>
      <c r="N1112" s="9">
        <f t="shared" si="41"/>
        <v>8.1467749999999999</v>
      </c>
      <c r="O1112" s="9">
        <f t="shared" si="41"/>
        <v>8.1504000000000012</v>
      </c>
    </row>
    <row r="1113" spans="1:15" ht="15" x14ac:dyDescent="0.2">
      <c r="A1113" s="10">
        <v>2055</v>
      </c>
      <c r="B1113" s="9">
        <f t="shared" ref="B1113:O1113" si="42">AVERAGE(B18:B529)</f>
        <v>4.7923289062500007</v>
      </c>
      <c r="C1113" s="9">
        <f t="shared" si="42"/>
        <v>4.7910062500000006</v>
      </c>
      <c r="D1113" s="9">
        <f t="shared" si="42"/>
        <v>4.7936054687500009</v>
      </c>
      <c r="E1113" s="9">
        <f t="shared" si="42"/>
        <v>5.8382347656249998</v>
      </c>
      <c r="F1113" s="9">
        <f t="shared" si="42"/>
        <v>5.8204392578124997</v>
      </c>
      <c r="G1113" s="9">
        <f t="shared" si="42"/>
        <v>5.8244486328125014</v>
      </c>
      <c r="H1113" s="9">
        <f t="shared" si="42"/>
        <v>10.374734374999996</v>
      </c>
      <c r="I1113" s="9">
        <f t="shared" si="42"/>
        <v>10.378745507812493</v>
      </c>
      <c r="J1113" s="9">
        <f t="shared" si="42"/>
        <v>10.374734374999996</v>
      </c>
      <c r="K1113" s="9">
        <f t="shared" si="42"/>
        <v>10.378745507812493</v>
      </c>
      <c r="L1113" s="9">
        <f t="shared" si="42"/>
        <v>5.8382347656249998</v>
      </c>
      <c r="M1113" s="9">
        <f t="shared" si="42"/>
        <v>5.8422429687500017</v>
      </c>
      <c r="N1113" s="9">
        <f t="shared" si="42"/>
        <v>5.8382347656249998</v>
      </c>
      <c r="O1113" s="9">
        <f t="shared" si="42"/>
        <v>5.8422429687500017</v>
      </c>
    </row>
    <row r="1114" spans="1:15" ht="15" x14ac:dyDescent="0.2">
      <c r="A1114" s="10">
        <v>2056</v>
      </c>
      <c r="B1114" s="9">
        <f t="shared" ref="B1114:O1114" si="43">AVERAGE(B530:B541)</f>
        <v>7.6010166666666663</v>
      </c>
      <c r="C1114" s="9">
        <f t="shared" si="43"/>
        <v>7.6010166666666663</v>
      </c>
      <c r="D1114" s="9">
        <f t="shared" si="43"/>
        <v>7.6020666666666665</v>
      </c>
      <c r="E1114" s="9">
        <f t="shared" si="43"/>
        <v>8.5165749999999996</v>
      </c>
      <c r="F1114" s="9">
        <f t="shared" si="43"/>
        <v>8.5165749999999996</v>
      </c>
      <c r="G1114" s="9">
        <f t="shared" si="43"/>
        <v>8.5202166666666646</v>
      </c>
      <c r="H1114" s="9">
        <f t="shared" si="43"/>
        <v>17.078049999999998</v>
      </c>
      <c r="I1114" s="9">
        <f t="shared" si="43"/>
        <v>17.081675000000001</v>
      </c>
      <c r="J1114" s="9">
        <f t="shared" si="43"/>
        <v>17.078049999999998</v>
      </c>
      <c r="K1114" s="9">
        <f t="shared" si="43"/>
        <v>17.081675000000001</v>
      </c>
      <c r="L1114" s="9">
        <f t="shared" si="43"/>
        <v>8.5165749999999996</v>
      </c>
      <c r="M1114" s="9">
        <f t="shared" si="43"/>
        <v>8.5202166666666646</v>
      </c>
      <c r="N1114" s="9">
        <f t="shared" si="43"/>
        <v>8.5165749999999996</v>
      </c>
      <c r="O1114" s="9">
        <f t="shared" si="43"/>
        <v>8.5202166666666646</v>
      </c>
    </row>
    <row r="1115" spans="1:15" ht="15" x14ac:dyDescent="0.2">
      <c r="A1115" s="10">
        <v>2057</v>
      </c>
      <c r="B1115" s="9">
        <f t="shared" ref="B1115:O1115" si="44">AVERAGE(B542:B553)</f>
        <v>7.7734750000000012</v>
      </c>
      <c r="C1115" s="9">
        <f t="shared" si="44"/>
        <v>7.7734750000000012</v>
      </c>
      <c r="D1115" s="9">
        <f t="shared" si="44"/>
        <v>7.7745583333333323</v>
      </c>
      <c r="E1115" s="9">
        <f t="shared" si="44"/>
        <v>8.7090916666666676</v>
      </c>
      <c r="F1115" s="9">
        <f t="shared" si="44"/>
        <v>8.7090916666666676</v>
      </c>
      <c r="G1115" s="9">
        <f t="shared" si="44"/>
        <v>8.7127333333333308</v>
      </c>
      <c r="H1115" s="9">
        <f t="shared" si="44"/>
        <v>17.509924999999996</v>
      </c>
      <c r="I1115" s="9">
        <f t="shared" si="44"/>
        <v>17.513550000000002</v>
      </c>
      <c r="J1115" s="9">
        <f t="shared" si="44"/>
        <v>17.509924999999996</v>
      </c>
      <c r="K1115" s="9">
        <f t="shared" si="44"/>
        <v>17.513550000000002</v>
      </c>
      <c r="L1115" s="9">
        <f t="shared" si="44"/>
        <v>8.7090916666666676</v>
      </c>
      <c r="M1115" s="9">
        <f t="shared" si="44"/>
        <v>8.7127333333333308</v>
      </c>
      <c r="N1115" s="9">
        <f t="shared" si="44"/>
        <v>8.7090916666666676</v>
      </c>
      <c r="O1115" s="9">
        <f t="shared" si="44"/>
        <v>8.7127333333333308</v>
      </c>
    </row>
    <row r="1116" spans="1:15" ht="15" x14ac:dyDescent="0.2">
      <c r="A1116" s="10">
        <v>2058</v>
      </c>
      <c r="B1116" s="9">
        <f t="shared" ref="B1116:O1116" si="45">AVERAGE(B554:B565)</f>
        <v>7.9498749999999996</v>
      </c>
      <c r="C1116" s="9">
        <f t="shared" si="45"/>
        <v>7.9498749999999996</v>
      </c>
      <c r="D1116" s="9">
        <f t="shared" si="45"/>
        <v>7.9509583333333333</v>
      </c>
      <c r="E1116" s="9">
        <f t="shared" si="45"/>
        <v>8.9068749999999994</v>
      </c>
      <c r="F1116" s="9">
        <f t="shared" si="45"/>
        <v>8.9068749999999994</v>
      </c>
      <c r="G1116" s="9">
        <f t="shared" si="45"/>
        <v>8.9105083333333344</v>
      </c>
      <c r="H1116" s="9">
        <f t="shared" si="45"/>
        <v>17.952716666666664</v>
      </c>
      <c r="I1116" s="9">
        <f t="shared" si="45"/>
        <v>17.95635</v>
      </c>
      <c r="J1116" s="9">
        <f t="shared" si="45"/>
        <v>17.952716666666664</v>
      </c>
      <c r="K1116" s="9">
        <f t="shared" si="45"/>
        <v>17.95635</v>
      </c>
      <c r="L1116" s="9">
        <f t="shared" si="45"/>
        <v>8.9068749999999994</v>
      </c>
      <c r="M1116" s="9">
        <f t="shared" si="45"/>
        <v>8.9105083333333344</v>
      </c>
      <c r="N1116" s="9">
        <f t="shared" si="45"/>
        <v>8.9068749999999994</v>
      </c>
      <c r="O1116" s="9">
        <f t="shared" si="45"/>
        <v>8.9105083333333344</v>
      </c>
    </row>
    <row r="1117" spans="1:15" ht="15" x14ac:dyDescent="0.2">
      <c r="A1117" s="10">
        <v>2059</v>
      </c>
      <c r="B1117" s="9">
        <f t="shared" ref="B1117:O1117" si="46">AVERAGE(B566:B577)</f>
        <v>8.1302916666666665</v>
      </c>
      <c r="C1117" s="9">
        <f t="shared" si="46"/>
        <v>8.1302916666666665</v>
      </c>
      <c r="D1117" s="9">
        <f t="shared" si="46"/>
        <v>8.1313666666666666</v>
      </c>
      <c r="E1117" s="9">
        <f t="shared" si="46"/>
        <v>9.1100750000000001</v>
      </c>
      <c r="F1117" s="9">
        <f t="shared" si="46"/>
        <v>9.1100750000000001</v>
      </c>
      <c r="G1117" s="9">
        <f t="shared" si="46"/>
        <v>9.1137166666666669</v>
      </c>
      <c r="H1117" s="9">
        <f t="shared" si="46"/>
        <v>18.406724999999998</v>
      </c>
      <c r="I1117" s="9">
        <f t="shared" si="46"/>
        <v>18.410366666666665</v>
      </c>
      <c r="J1117" s="9">
        <f t="shared" si="46"/>
        <v>18.406724999999998</v>
      </c>
      <c r="K1117" s="9">
        <f t="shared" si="46"/>
        <v>18.410366666666665</v>
      </c>
      <c r="L1117" s="9">
        <f t="shared" si="46"/>
        <v>9.1100750000000001</v>
      </c>
      <c r="M1117" s="9">
        <f t="shared" si="46"/>
        <v>9.1137166666666669</v>
      </c>
      <c r="N1117" s="9">
        <f t="shared" si="46"/>
        <v>9.1100750000000001</v>
      </c>
      <c r="O1117" s="9">
        <f t="shared" si="46"/>
        <v>9.1137166666666669</v>
      </c>
    </row>
    <row r="1118" spans="1:15" ht="15" x14ac:dyDescent="0.2">
      <c r="A1118" s="10">
        <v>2060</v>
      </c>
      <c r="B1118" s="9">
        <f t="shared" ref="B1118:O1118" si="47">AVERAGE(B578:B589)</f>
        <v>8.3147999999999982</v>
      </c>
      <c r="C1118" s="9">
        <f t="shared" si="47"/>
        <v>8.3147999999999982</v>
      </c>
      <c r="D1118" s="9">
        <f t="shared" si="47"/>
        <v>8.3158666666666665</v>
      </c>
      <c r="E1118" s="9">
        <f t="shared" si="47"/>
        <v>9.3188999999999993</v>
      </c>
      <c r="F1118" s="9">
        <f t="shared" si="47"/>
        <v>9.3188999999999993</v>
      </c>
      <c r="G1118" s="9">
        <f t="shared" si="47"/>
        <v>9.322516666666667</v>
      </c>
      <c r="H1118" s="9">
        <f t="shared" si="47"/>
        <v>18.872208333333333</v>
      </c>
      <c r="I1118" s="9">
        <f t="shared" si="47"/>
        <v>18.875841666666666</v>
      </c>
      <c r="J1118" s="9">
        <f t="shared" si="47"/>
        <v>18.872208333333333</v>
      </c>
      <c r="K1118" s="9">
        <f t="shared" si="47"/>
        <v>18.875841666666666</v>
      </c>
      <c r="L1118" s="9">
        <f t="shared" si="47"/>
        <v>9.3188999999999993</v>
      </c>
      <c r="M1118" s="9">
        <f t="shared" si="47"/>
        <v>9.322516666666667</v>
      </c>
      <c r="N1118" s="9">
        <f t="shared" si="47"/>
        <v>9.3188999999999993</v>
      </c>
      <c r="O1118" s="9">
        <f t="shared" si="47"/>
        <v>9.322516666666667</v>
      </c>
    </row>
    <row r="1119" spans="1:15" ht="15" x14ac:dyDescent="0.2">
      <c r="A1119" s="10">
        <v>2061</v>
      </c>
      <c r="B1119" s="9">
        <f t="shared" ref="B1119:O1119" si="48">AVERAGE(B590:B601)</f>
        <v>8.5034916666666671</v>
      </c>
      <c r="C1119" s="9">
        <f t="shared" si="48"/>
        <v>8.5034916666666671</v>
      </c>
      <c r="D1119" s="9">
        <f t="shared" si="48"/>
        <v>8.5045750000000009</v>
      </c>
      <c r="E1119" s="9">
        <f t="shared" si="48"/>
        <v>9.5334583333333338</v>
      </c>
      <c r="F1119" s="9">
        <f t="shared" si="48"/>
        <v>9.5334583333333338</v>
      </c>
      <c r="G1119" s="9">
        <f t="shared" si="48"/>
        <v>9.537091666666667</v>
      </c>
      <c r="H1119" s="9">
        <f t="shared" si="48"/>
        <v>19.349433333333334</v>
      </c>
      <c r="I1119" s="9">
        <f t="shared" si="48"/>
        <v>19.353066666666667</v>
      </c>
      <c r="J1119" s="9">
        <f t="shared" si="48"/>
        <v>19.349433333333334</v>
      </c>
      <c r="K1119" s="9">
        <f t="shared" si="48"/>
        <v>19.353066666666667</v>
      </c>
      <c r="L1119" s="9">
        <f t="shared" si="48"/>
        <v>9.5334583333333338</v>
      </c>
      <c r="M1119" s="9">
        <f t="shared" si="48"/>
        <v>9.537091666666667</v>
      </c>
      <c r="N1119" s="9">
        <f t="shared" si="48"/>
        <v>9.5334583333333338</v>
      </c>
      <c r="O1119" s="9">
        <f t="shared" si="48"/>
        <v>9.537091666666667</v>
      </c>
    </row>
    <row r="1120" spans="1:15" ht="15" x14ac:dyDescent="0.2">
      <c r="A1120" s="10">
        <v>2062</v>
      </c>
      <c r="B1120" s="9">
        <f t="shared" ref="B1120:O1129" ca="1" si="49">AVERAGE(OFFSET(B$602,($A1120-$A$1120)*12,0,12,1))</f>
        <v>8.6921999999999979</v>
      </c>
      <c r="C1120" s="9">
        <f t="shared" ca="1" si="49"/>
        <v>8.6921999999999979</v>
      </c>
      <c r="D1120" s="9">
        <f t="shared" ca="1" si="49"/>
        <v>8.6932749999999981</v>
      </c>
      <c r="E1120" s="9">
        <f t="shared" ca="1" si="49"/>
        <v>9.7480333333333338</v>
      </c>
      <c r="F1120" s="9">
        <f t="shared" ca="1" si="49"/>
        <v>9.7480333333333338</v>
      </c>
      <c r="G1120" s="9">
        <f t="shared" ca="1" si="49"/>
        <v>9.7516583333333333</v>
      </c>
      <c r="H1120" s="9">
        <f t="shared" ca="1" si="49"/>
        <v>19.826691666666665</v>
      </c>
      <c r="I1120" s="9">
        <f t="shared" ca="1" si="49"/>
        <v>19.830324999999998</v>
      </c>
      <c r="J1120" s="9">
        <f t="shared" ca="1" si="49"/>
        <v>19.826691666666665</v>
      </c>
      <c r="K1120" s="9">
        <f t="shared" ca="1" si="49"/>
        <v>19.830324999999998</v>
      </c>
      <c r="L1120" s="9">
        <f t="shared" ca="1" si="49"/>
        <v>9.7480333333333338</v>
      </c>
      <c r="M1120" s="9">
        <f t="shared" ca="1" si="49"/>
        <v>9.7516583333333333</v>
      </c>
      <c r="N1120" s="9">
        <f t="shared" ca="1" si="49"/>
        <v>9.7480333333333338</v>
      </c>
      <c r="O1120" s="9">
        <f t="shared" ca="1" si="49"/>
        <v>9.7516583333333333</v>
      </c>
    </row>
    <row r="1121" spans="1:15" ht="15" x14ac:dyDescent="0.2">
      <c r="A1121" s="10">
        <v>2063</v>
      </c>
      <c r="B1121" s="9">
        <f t="shared" ca="1" si="49"/>
        <v>8.8809083333333341</v>
      </c>
      <c r="C1121" s="9">
        <f t="shared" ca="1" si="49"/>
        <v>8.8809083333333341</v>
      </c>
      <c r="D1121" s="9">
        <f t="shared" ca="1" si="49"/>
        <v>8.8819666666666652</v>
      </c>
      <c r="E1121" s="9">
        <f t="shared" ca="1" si="49"/>
        <v>9.9625916666666665</v>
      </c>
      <c r="F1121" s="9">
        <f t="shared" ca="1" si="49"/>
        <v>9.9625916666666665</v>
      </c>
      <c r="G1121" s="9">
        <f t="shared" ca="1" si="49"/>
        <v>9.9662166666666661</v>
      </c>
      <c r="H1121" s="9">
        <f t="shared" ca="1" si="49"/>
        <v>20.303949999999997</v>
      </c>
      <c r="I1121" s="9">
        <f t="shared" ca="1" si="49"/>
        <v>20.307583333333337</v>
      </c>
      <c r="J1121" s="9">
        <f t="shared" ca="1" si="49"/>
        <v>20.303949999999997</v>
      </c>
      <c r="K1121" s="9">
        <f t="shared" ca="1" si="49"/>
        <v>20.307583333333337</v>
      </c>
      <c r="L1121" s="9">
        <f t="shared" ca="1" si="49"/>
        <v>9.9625916666666665</v>
      </c>
      <c r="M1121" s="9">
        <f t="shared" ca="1" si="49"/>
        <v>9.9662166666666661</v>
      </c>
      <c r="N1121" s="9">
        <f t="shared" ca="1" si="49"/>
        <v>9.9625916666666665</v>
      </c>
      <c r="O1121" s="9">
        <f t="shared" ca="1" si="49"/>
        <v>9.9662166666666661</v>
      </c>
    </row>
    <row r="1122" spans="1:15" ht="15" x14ac:dyDescent="0.2">
      <c r="A1122" s="10">
        <v>2064</v>
      </c>
      <c r="B1122" s="9">
        <f t="shared" ca="1" si="49"/>
        <v>9.0695916666666658</v>
      </c>
      <c r="C1122" s="9">
        <f t="shared" ca="1" si="49"/>
        <v>9.0695916666666658</v>
      </c>
      <c r="D1122" s="9">
        <f t="shared" ca="1" si="49"/>
        <v>9.0706916666666668</v>
      </c>
      <c r="E1122" s="9">
        <f t="shared" ca="1" si="49"/>
        <v>10.177166666666666</v>
      </c>
      <c r="F1122" s="9">
        <f t="shared" ca="1" si="49"/>
        <v>10.177166666666666</v>
      </c>
      <c r="G1122" s="9">
        <f t="shared" ca="1" si="49"/>
        <v>10.180791666666666</v>
      </c>
      <c r="H1122" s="9">
        <f t="shared" ca="1" si="49"/>
        <v>20.781183333333335</v>
      </c>
      <c r="I1122" s="9">
        <f t="shared" ca="1" si="49"/>
        <v>20.784824999999998</v>
      </c>
      <c r="J1122" s="9">
        <f t="shared" ca="1" si="49"/>
        <v>20.781183333333335</v>
      </c>
      <c r="K1122" s="9">
        <f t="shared" ca="1" si="49"/>
        <v>20.784824999999998</v>
      </c>
      <c r="L1122" s="9">
        <f t="shared" ca="1" si="49"/>
        <v>10.177166666666666</v>
      </c>
      <c r="M1122" s="9">
        <f t="shared" ca="1" si="49"/>
        <v>10.180791666666666</v>
      </c>
      <c r="N1122" s="9">
        <f t="shared" ca="1" si="49"/>
        <v>10.177166666666666</v>
      </c>
      <c r="O1122" s="9">
        <f t="shared" ca="1" si="49"/>
        <v>10.180791666666666</v>
      </c>
    </row>
    <row r="1123" spans="1:15" ht="15" x14ac:dyDescent="0.2">
      <c r="A1123" s="10">
        <v>2065</v>
      </c>
      <c r="B1123" s="9">
        <f t="shared" ca="1" si="49"/>
        <v>9.2583083333333338</v>
      </c>
      <c r="C1123" s="9">
        <f t="shared" ca="1" si="49"/>
        <v>9.2583083333333338</v>
      </c>
      <c r="D1123" s="9">
        <f t="shared" ca="1" si="49"/>
        <v>9.2593833333333322</v>
      </c>
      <c r="E1123" s="9">
        <f t="shared" ca="1" si="49"/>
        <v>10.391724999999999</v>
      </c>
      <c r="F1123" s="9">
        <f t="shared" ca="1" si="49"/>
        <v>10.391724999999999</v>
      </c>
      <c r="G1123" s="9">
        <f t="shared" ca="1" si="49"/>
        <v>10.395358333333332</v>
      </c>
      <c r="H1123" s="9">
        <f t="shared" ca="1" si="49"/>
        <v>21.258433333333333</v>
      </c>
      <c r="I1123" s="9">
        <f t="shared" ca="1" si="49"/>
        <v>21.262066666666662</v>
      </c>
      <c r="J1123" s="9">
        <f t="shared" ca="1" si="49"/>
        <v>21.258433333333333</v>
      </c>
      <c r="K1123" s="9">
        <f t="shared" ca="1" si="49"/>
        <v>21.262066666666662</v>
      </c>
      <c r="L1123" s="9">
        <f t="shared" ca="1" si="49"/>
        <v>10.391724999999999</v>
      </c>
      <c r="M1123" s="9">
        <f t="shared" ca="1" si="49"/>
        <v>10.395358333333332</v>
      </c>
      <c r="N1123" s="9">
        <f t="shared" ca="1" si="49"/>
        <v>10.391724999999999</v>
      </c>
      <c r="O1123" s="9">
        <f t="shared" ca="1" si="49"/>
        <v>10.395358333333332</v>
      </c>
    </row>
    <row r="1124" spans="1:15" ht="15" x14ac:dyDescent="0.2">
      <c r="A1124" s="10">
        <v>2066</v>
      </c>
      <c r="B1124" s="9">
        <f t="shared" ca="1" si="49"/>
        <v>9.447000000000001</v>
      </c>
      <c r="C1124" s="9">
        <f t="shared" ca="1" si="49"/>
        <v>9.447000000000001</v>
      </c>
      <c r="D1124" s="9">
        <f t="shared" ca="1" si="49"/>
        <v>9.4480916666666683</v>
      </c>
      <c r="E1124" s="9">
        <f t="shared" ca="1" si="49"/>
        <v>10.606275</v>
      </c>
      <c r="F1124" s="9">
        <f t="shared" ca="1" si="49"/>
        <v>10.606275</v>
      </c>
      <c r="G1124" s="9">
        <f t="shared" ca="1" si="49"/>
        <v>10.609891666666668</v>
      </c>
      <c r="H1124" s="9">
        <f t="shared" ca="1" si="49"/>
        <v>21.735683333333331</v>
      </c>
      <c r="I1124" s="9">
        <f t="shared" ca="1" si="49"/>
        <v>21.739324999999997</v>
      </c>
      <c r="J1124" s="9">
        <f t="shared" ca="1" si="49"/>
        <v>21.735683333333331</v>
      </c>
      <c r="K1124" s="9">
        <f t="shared" ca="1" si="49"/>
        <v>21.739324999999997</v>
      </c>
      <c r="L1124" s="9">
        <f t="shared" ca="1" si="49"/>
        <v>10.606275</v>
      </c>
      <c r="M1124" s="9">
        <f t="shared" ca="1" si="49"/>
        <v>10.609891666666668</v>
      </c>
      <c r="N1124" s="9">
        <f t="shared" ca="1" si="49"/>
        <v>10.606275</v>
      </c>
      <c r="O1124" s="9">
        <f t="shared" ca="1" si="49"/>
        <v>10.609891666666668</v>
      </c>
    </row>
    <row r="1125" spans="1:15" ht="15" x14ac:dyDescent="0.2">
      <c r="A1125" s="10">
        <v>2067</v>
      </c>
      <c r="B1125" s="9">
        <f t="shared" ca="1" si="49"/>
        <v>9.6357083333333335</v>
      </c>
      <c r="C1125" s="9">
        <f t="shared" ca="1" si="49"/>
        <v>9.6357083333333335</v>
      </c>
      <c r="D1125" s="9">
        <f t="shared" ca="1" si="49"/>
        <v>9.6367916666666673</v>
      </c>
      <c r="E1125" s="9">
        <f t="shared" ca="1" si="49"/>
        <v>10.82085</v>
      </c>
      <c r="F1125" s="9">
        <f t="shared" ca="1" si="49"/>
        <v>10.82085</v>
      </c>
      <c r="G1125" s="9">
        <f t="shared" ca="1" si="49"/>
        <v>10.824483333333333</v>
      </c>
      <c r="H1125" s="9">
        <f t="shared" ca="1" si="49"/>
        <v>22.212941666666666</v>
      </c>
      <c r="I1125" s="9">
        <f t="shared" ca="1" si="49"/>
        <v>22.216566666666665</v>
      </c>
      <c r="J1125" s="9">
        <f t="shared" ca="1" si="49"/>
        <v>22.212941666666666</v>
      </c>
      <c r="K1125" s="9">
        <f t="shared" ca="1" si="49"/>
        <v>22.216566666666665</v>
      </c>
      <c r="L1125" s="9">
        <f t="shared" ca="1" si="49"/>
        <v>10.82085</v>
      </c>
      <c r="M1125" s="9">
        <f t="shared" ca="1" si="49"/>
        <v>10.824483333333333</v>
      </c>
      <c r="N1125" s="9">
        <f t="shared" ca="1" si="49"/>
        <v>10.82085</v>
      </c>
      <c r="O1125" s="9">
        <f t="shared" ca="1" si="49"/>
        <v>10.824483333333333</v>
      </c>
    </row>
    <row r="1126" spans="1:15" ht="15" x14ac:dyDescent="0.2">
      <c r="A1126" s="10">
        <v>2068</v>
      </c>
      <c r="B1126" s="9">
        <f t="shared" ca="1" si="49"/>
        <v>9.8244083333333343</v>
      </c>
      <c r="C1126" s="9">
        <f t="shared" ca="1" si="49"/>
        <v>9.8244083333333343</v>
      </c>
      <c r="D1126" s="9">
        <f t="shared" ca="1" si="49"/>
        <v>9.8254833333333362</v>
      </c>
      <c r="E1126" s="9">
        <f t="shared" ca="1" si="49"/>
        <v>11.035424999999998</v>
      </c>
      <c r="F1126" s="9">
        <f t="shared" ca="1" si="49"/>
        <v>11.035424999999998</v>
      </c>
      <c r="G1126" s="9">
        <f t="shared" ca="1" si="49"/>
        <v>11.039041666666668</v>
      </c>
      <c r="H1126" s="9">
        <f t="shared" ca="1" si="49"/>
        <v>22.690191666666667</v>
      </c>
      <c r="I1126" s="9">
        <f t="shared" ca="1" si="49"/>
        <v>22.693816666666663</v>
      </c>
      <c r="J1126" s="9">
        <f t="shared" ca="1" si="49"/>
        <v>22.690191666666667</v>
      </c>
      <c r="K1126" s="9">
        <f t="shared" ca="1" si="49"/>
        <v>22.693816666666663</v>
      </c>
      <c r="L1126" s="9">
        <f t="shared" ca="1" si="49"/>
        <v>11.035424999999998</v>
      </c>
      <c r="M1126" s="9">
        <f t="shared" ca="1" si="49"/>
        <v>11.039041666666668</v>
      </c>
      <c r="N1126" s="9">
        <f t="shared" ca="1" si="49"/>
        <v>11.035424999999998</v>
      </c>
      <c r="O1126" s="9">
        <f t="shared" ca="1" si="49"/>
        <v>11.039041666666668</v>
      </c>
    </row>
    <row r="1127" spans="1:15" ht="15" x14ac:dyDescent="0.2">
      <c r="A1127" s="10">
        <v>2069</v>
      </c>
      <c r="B1127" s="9">
        <f t="shared" ca="1" si="49"/>
        <v>10.013091666666666</v>
      </c>
      <c r="C1127" s="9">
        <f t="shared" ca="1" si="49"/>
        <v>10.013091666666666</v>
      </c>
      <c r="D1127" s="9">
        <f t="shared" ca="1" si="49"/>
        <v>10.014200000000001</v>
      </c>
      <c r="E1127" s="9">
        <f t="shared" ca="1" si="49"/>
        <v>11.249983333333333</v>
      </c>
      <c r="F1127" s="9">
        <f t="shared" ca="1" si="49"/>
        <v>11.249983333333333</v>
      </c>
      <c r="G1127" s="9">
        <f t="shared" ca="1" si="49"/>
        <v>11.253616666666666</v>
      </c>
      <c r="H1127" s="9">
        <f t="shared" ca="1" si="49"/>
        <v>23.167433333333332</v>
      </c>
      <c r="I1127" s="9">
        <f t="shared" ca="1" si="49"/>
        <v>23.171058333333335</v>
      </c>
      <c r="J1127" s="9">
        <f t="shared" ca="1" si="49"/>
        <v>23.167433333333332</v>
      </c>
      <c r="K1127" s="9">
        <f t="shared" ca="1" si="49"/>
        <v>23.171058333333335</v>
      </c>
      <c r="L1127" s="9">
        <f t="shared" ca="1" si="49"/>
        <v>11.249983333333333</v>
      </c>
      <c r="M1127" s="9">
        <f t="shared" ca="1" si="49"/>
        <v>11.253616666666666</v>
      </c>
      <c r="N1127" s="9">
        <f t="shared" ca="1" si="49"/>
        <v>11.249983333333333</v>
      </c>
      <c r="O1127" s="9">
        <f t="shared" ca="1" si="49"/>
        <v>11.253616666666666</v>
      </c>
    </row>
    <row r="1128" spans="1:15" ht="15" x14ac:dyDescent="0.2">
      <c r="A1128" s="10">
        <v>2070</v>
      </c>
      <c r="B1128" s="9">
        <f t="shared" ca="1" si="49"/>
        <v>10.201825000000001</v>
      </c>
      <c r="C1128" s="9">
        <f t="shared" ca="1" si="49"/>
        <v>10.201825000000001</v>
      </c>
      <c r="D1128" s="9">
        <f t="shared" ca="1" si="49"/>
        <v>10.202883333333332</v>
      </c>
      <c r="E1128" s="9">
        <f t="shared" ca="1" si="49"/>
        <v>11.464541666666667</v>
      </c>
      <c r="F1128" s="9">
        <f t="shared" ca="1" si="49"/>
        <v>11.464541666666667</v>
      </c>
      <c r="G1128" s="9">
        <f t="shared" ca="1" si="49"/>
        <v>11.468183333333336</v>
      </c>
      <c r="H1128" s="9">
        <f t="shared" ca="1" si="49"/>
        <v>23.644691666666663</v>
      </c>
      <c r="I1128" s="9">
        <f t="shared" ca="1" si="49"/>
        <v>23.648325</v>
      </c>
      <c r="J1128" s="9">
        <f t="shared" ca="1" si="49"/>
        <v>23.644691666666663</v>
      </c>
      <c r="K1128" s="9">
        <f t="shared" ca="1" si="49"/>
        <v>23.648325</v>
      </c>
      <c r="L1128" s="9">
        <f t="shared" ca="1" si="49"/>
        <v>11.464541666666667</v>
      </c>
      <c r="M1128" s="9">
        <f t="shared" ca="1" si="49"/>
        <v>11.468183333333336</v>
      </c>
      <c r="N1128" s="9">
        <f t="shared" ca="1" si="49"/>
        <v>11.464541666666667</v>
      </c>
      <c r="O1128" s="9">
        <f t="shared" ca="1" si="49"/>
        <v>11.468183333333336</v>
      </c>
    </row>
    <row r="1129" spans="1:15" ht="15" x14ac:dyDescent="0.2">
      <c r="A1129" s="10">
        <v>2071</v>
      </c>
      <c r="B1129" s="9">
        <f t="shared" ca="1" si="49"/>
        <v>10.390508333333333</v>
      </c>
      <c r="C1129" s="9">
        <f t="shared" ca="1" si="49"/>
        <v>10.390508333333333</v>
      </c>
      <c r="D1129" s="9">
        <f t="shared" ca="1" si="49"/>
        <v>10.391599999999999</v>
      </c>
      <c r="E1129" s="9">
        <f t="shared" ca="1" si="49"/>
        <v>11.679108333333334</v>
      </c>
      <c r="F1129" s="9">
        <f t="shared" ca="1" si="49"/>
        <v>11.679108333333334</v>
      </c>
      <c r="G1129" s="9">
        <f t="shared" ca="1" si="49"/>
        <v>11.682741666666665</v>
      </c>
      <c r="H1129" s="9">
        <f t="shared" ca="1" si="49"/>
        <v>24.121916666666664</v>
      </c>
      <c r="I1129" s="9">
        <f t="shared" ca="1" si="49"/>
        <v>24.125558333333331</v>
      </c>
      <c r="J1129" s="9">
        <f t="shared" ca="1" si="49"/>
        <v>24.121916666666664</v>
      </c>
      <c r="K1129" s="9">
        <f t="shared" ca="1" si="49"/>
        <v>24.125558333333331</v>
      </c>
      <c r="L1129" s="9">
        <f t="shared" ca="1" si="49"/>
        <v>11.679108333333334</v>
      </c>
      <c r="M1129" s="9">
        <f t="shared" ca="1" si="49"/>
        <v>11.682741666666665</v>
      </c>
      <c r="N1129" s="9">
        <f t="shared" ca="1" si="49"/>
        <v>11.679108333333334</v>
      </c>
      <c r="O1129" s="9">
        <f t="shared" ca="1" si="49"/>
        <v>11.682741666666665</v>
      </c>
    </row>
    <row r="1130" spans="1:15" ht="15" x14ac:dyDescent="0.2">
      <c r="A1130" s="10">
        <v>2072</v>
      </c>
      <c r="B1130" s="9">
        <f t="shared" ref="B1130:O1139" ca="1" si="50">AVERAGE(OFFSET(B$602,($A1130-$A$1120)*12,0,12,1))</f>
        <v>10.579216666666667</v>
      </c>
      <c r="C1130" s="9">
        <f t="shared" ca="1" si="50"/>
        <v>10.579216666666667</v>
      </c>
      <c r="D1130" s="9">
        <f t="shared" ca="1" si="50"/>
        <v>10.580283333333332</v>
      </c>
      <c r="E1130" s="9">
        <f t="shared" ca="1" si="50"/>
        <v>11.893658333333335</v>
      </c>
      <c r="F1130" s="9">
        <f t="shared" ca="1" si="50"/>
        <v>11.893658333333335</v>
      </c>
      <c r="G1130" s="9">
        <f t="shared" ca="1" si="50"/>
        <v>11.8973</v>
      </c>
      <c r="H1130" s="9">
        <f t="shared" ca="1" si="50"/>
        <v>24.59919166666667</v>
      </c>
      <c r="I1130" s="9">
        <f t="shared" ca="1" si="50"/>
        <v>24.602824999999996</v>
      </c>
      <c r="J1130" s="9">
        <f t="shared" ca="1" si="50"/>
        <v>24.59919166666667</v>
      </c>
      <c r="K1130" s="9">
        <f t="shared" ca="1" si="50"/>
        <v>24.602824999999996</v>
      </c>
      <c r="L1130" s="9">
        <f t="shared" ca="1" si="50"/>
        <v>11.893658333333335</v>
      </c>
      <c r="M1130" s="9">
        <f t="shared" ca="1" si="50"/>
        <v>11.8973</v>
      </c>
      <c r="N1130" s="9">
        <f t="shared" ca="1" si="50"/>
        <v>11.893658333333335</v>
      </c>
      <c r="O1130" s="9">
        <f t="shared" ca="1" si="50"/>
        <v>11.8973</v>
      </c>
    </row>
    <row r="1131" spans="1:15" ht="15" x14ac:dyDescent="0.2">
      <c r="A1131" s="10">
        <v>2073</v>
      </c>
      <c r="B1131" s="9">
        <f t="shared" ca="1" si="50"/>
        <v>10.767916666666666</v>
      </c>
      <c r="C1131" s="9">
        <f t="shared" ca="1" si="50"/>
        <v>10.767916666666666</v>
      </c>
      <c r="D1131" s="9">
        <f t="shared" ca="1" si="50"/>
        <v>10.768991666666667</v>
      </c>
      <c r="E1131" s="9">
        <f t="shared" ca="1" si="50"/>
        <v>12.108233333333333</v>
      </c>
      <c r="F1131" s="9">
        <f t="shared" ca="1" si="50"/>
        <v>12.108233333333333</v>
      </c>
      <c r="G1131" s="9">
        <f t="shared" ca="1" si="50"/>
        <v>12.111883333333333</v>
      </c>
      <c r="H1131" s="9">
        <f t="shared" ca="1" si="50"/>
        <v>25.076433333333338</v>
      </c>
      <c r="I1131" s="9">
        <f t="shared" ca="1" si="50"/>
        <v>25.080058333333337</v>
      </c>
      <c r="J1131" s="9">
        <f t="shared" ca="1" si="50"/>
        <v>25.076433333333338</v>
      </c>
      <c r="K1131" s="9">
        <f t="shared" ca="1" si="50"/>
        <v>25.080058333333337</v>
      </c>
      <c r="L1131" s="9">
        <f t="shared" ca="1" si="50"/>
        <v>12.108233333333333</v>
      </c>
      <c r="M1131" s="9">
        <f t="shared" ca="1" si="50"/>
        <v>12.111883333333333</v>
      </c>
      <c r="N1131" s="9">
        <f t="shared" ca="1" si="50"/>
        <v>12.108233333333333</v>
      </c>
      <c r="O1131" s="9">
        <f t="shared" ca="1" si="50"/>
        <v>12.111883333333333</v>
      </c>
    </row>
    <row r="1132" spans="1:15" ht="15" x14ac:dyDescent="0.2">
      <c r="A1132" s="10">
        <v>2074</v>
      </c>
      <c r="B1132" s="9">
        <f t="shared" ca="1" si="50"/>
        <v>10.956608333333334</v>
      </c>
      <c r="C1132" s="9">
        <f t="shared" ca="1" si="50"/>
        <v>10.956608333333334</v>
      </c>
      <c r="D1132" s="9">
        <f t="shared" ca="1" si="50"/>
        <v>10.957691666666667</v>
      </c>
      <c r="E1132" s="9">
        <f t="shared" ca="1" si="50"/>
        <v>12.322799999999999</v>
      </c>
      <c r="F1132" s="9">
        <f t="shared" ca="1" si="50"/>
        <v>12.322799999999999</v>
      </c>
      <c r="G1132" s="9">
        <f t="shared" ca="1" si="50"/>
        <v>12.326441666666668</v>
      </c>
      <c r="H1132" s="9">
        <f t="shared" ca="1" si="50"/>
        <v>25.553666666666668</v>
      </c>
      <c r="I1132" s="9">
        <f t="shared" ca="1" si="50"/>
        <v>25.557299999999998</v>
      </c>
      <c r="J1132" s="9">
        <f t="shared" ca="1" si="50"/>
        <v>25.553666666666668</v>
      </c>
      <c r="K1132" s="9">
        <f t="shared" ca="1" si="50"/>
        <v>25.557299999999998</v>
      </c>
      <c r="L1132" s="9">
        <f t="shared" ca="1" si="50"/>
        <v>12.322799999999999</v>
      </c>
      <c r="M1132" s="9">
        <f t="shared" ca="1" si="50"/>
        <v>12.326441666666668</v>
      </c>
      <c r="N1132" s="9">
        <f t="shared" ca="1" si="50"/>
        <v>12.322799999999999</v>
      </c>
      <c r="O1132" s="9">
        <f t="shared" ca="1" si="50"/>
        <v>12.326441666666668</v>
      </c>
    </row>
    <row r="1133" spans="1:15" ht="15" x14ac:dyDescent="0.2">
      <c r="A1133" s="10">
        <v>2075</v>
      </c>
      <c r="B1133" s="9">
        <f t="shared" ca="1" si="50"/>
        <v>11.145333333333332</v>
      </c>
      <c r="C1133" s="9">
        <f t="shared" ca="1" si="50"/>
        <v>11.145333333333332</v>
      </c>
      <c r="D1133" s="9">
        <f t="shared" ca="1" si="50"/>
        <v>11.146375000000001</v>
      </c>
      <c r="E1133" s="9">
        <f t="shared" ca="1" si="50"/>
        <v>12.537374999999999</v>
      </c>
      <c r="F1133" s="9">
        <f t="shared" ca="1" si="50"/>
        <v>12.537374999999999</v>
      </c>
      <c r="G1133" s="9">
        <f t="shared" ca="1" si="50"/>
        <v>12.541008333333336</v>
      </c>
      <c r="H1133" s="9">
        <f t="shared" ca="1" si="50"/>
        <v>26.030925</v>
      </c>
      <c r="I1133" s="9">
        <f t="shared" ca="1" si="50"/>
        <v>26.034549999999996</v>
      </c>
      <c r="J1133" s="9">
        <f t="shared" ca="1" si="50"/>
        <v>26.030925</v>
      </c>
      <c r="K1133" s="9">
        <f t="shared" ca="1" si="50"/>
        <v>26.034549999999996</v>
      </c>
      <c r="L1133" s="9">
        <f t="shared" ca="1" si="50"/>
        <v>12.537374999999999</v>
      </c>
      <c r="M1133" s="9">
        <f t="shared" ca="1" si="50"/>
        <v>12.541008333333336</v>
      </c>
      <c r="N1133" s="9">
        <f t="shared" ca="1" si="50"/>
        <v>12.537374999999999</v>
      </c>
      <c r="O1133" s="9">
        <f t="shared" ca="1" si="50"/>
        <v>12.541008333333336</v>
      </c>
    </row>
    <row r="1134" spans="1:15" ht="15" x14ac:dyDescent="0.2">
      <c r="A1134" s="10">
        <v>2076</v>
      </c>
      <c r="B1134" s="9">
        <f t="shared" ca="1" si="50"/>
        <v>11.334016666666665</v>
      </c>
      <c r="C1134" s="9">
        <f t="shared" ca="1" si="50"/>
        <v>11.334016666666665</v>
      </c>
      <c r="D1134" s="9">
        <f t="shared" ca="1" si="50"/>
        <v>11.335108333333332</v>
      </c>
      <c r="E1134" s="9">
        <f t="shared" ca="1" si="50"/>
        <v>12.751941666666667</v>
      </c>
      <c r="F1134" s="9">
        <f t="shared" ca="1" si="50"/>
        <v>12.751941666666667</v>
      </c>
      <c r="G1134" s="9">
        <f t="shared" ca="1" si="50"/>
        <v>12.755583333333334</v>
      </c>
      <c r="H1134" s="9">
        <f t="shared" ca="1" si="50"/>
        <v>26.508174999999994</v>
      </c>
      <c r="I1134" s="9">
        <f t="shared" ca="1" si="50"/>
        <v>26.511808333333338</v>
      </c>
      <c r="J1134" s="9">
        <f t="shared" ca="1" si="50"/>
        <v>26.508174999999994</v>
      </c>
      <c r="K1134" s="9">
        <f t="shared" ca="1" si="50"/>
        <v>26.511808333333338</v>
      </c>
      <c r="L1134" s="9">
        <f t="shared" ca="1" si="50"/>
        <v>12.751941666666667</v>
      </c>
      <c r="M1134" s="9">
        <f t="shared" ca="1" si="50"/>
        <v>12.755583333333334</v>
      </c>
      <c r="N1134" s="9">
        <f t="shared" ca="1" si="50"/>
        <v>12.751941666666667</v>
      </c>
      <c r="O1134" s="9">
        <f t="shared" ca="1" si="50"/>
        <v>12.755583333333334</v>
      </c>
    </row>
    <row r="1135" spans="1:15" ht="15" x14ac:dyDescent="0.2">
      <c r="A1135" s="10">
        <v>2077</v>
      </c>
      <c r="B1135" s="9">
        <f t="shared" ca="1" si="50"/>
        <v>11.522716666666668</v>
      </c>
      <c r="C1135" s="9">
        <f t="shared" ca="1" si="50"/>
        <v>11.522716666666668</v>
      </c>
      <c r="D1135" s="9">
        <f t="shared" ca="1" si="50"/>
        <v>11.523791666666668</v>
      </c>
      <c r="E1135" s="9">
        <f t="shared" ca="1" si="50"/>
        <v>12.966499999999998</v>
      </c>
      <c r="F1135" s="9">
        <f t="shared" ca="1" si="50"/>
        <v>12.966499999999998</v>
      </c>
      <c r="G1135" s="9">
        <f t="shared" ca="1" si="50"/>
        <v>12.97013333333333</v>
      </c>
      <c r="H1135" s="9">
        <f t="shared" ca="1" si="50"/>
        <v>26.985425000000003</v>
      </c>
      <c r="I1135" s="9">
        <f t="shared" ca="1" si="50"/>
        <v>26.989050000000002</v>
      </c>
      <c r="J1135" s="9">
        <f t="shared" ca="1" si="50"/>
        <v>26.985425000000003</v>
      </c>
      <c r="K1135" s="9">
        <f t="shared" ca="1" si="50"/>
        <v>26.989050000000002</v>
      </c>
      <c r="L1135" s="9">
        <f t="shared" ca="1" si="50"/>
        <v>12.966499999999998</v>
      </c>
      <c r="M1135" s="9">
        <f t="shared" ca="1" si="50"/>
        <v>12.97013333333333</v>
      </c>
      <c r="N1135" s="9">
        <f t="shared" ca="1" si="50"/>
        <v>12.966499999999998</v>
      </c>
      <c r="O1135" s="9">
        <f t="shared" ca="1" si="50"/>
        <v>12.97013333333333</v>
      </c>
    </row>
    <row r="1136" spans="1:15" ht="15" x14ac:dyDescent="0.2">
      <c r="A1136" s="10">
        <v>2078</v>
      </c>
      <c r="B1136" s="9">
        <f t="shared" ca="1" si="50"/>
        <v>11.711416666666667</v>
      </c>
      <c r="C1136" s="9">
        <f t="shared" ca="1" si="50"/>
        <v>11.711416666666667</v>
      </c>
      <c r="D1136" s="9">
        <f t="shared" ca="1" si="50"/>
        <v>11.7125</v>
      </c>
      <c r="E1136" s="9">
        <f t="shared" ca="1" si="50"/>
        <v>13.181066666666664</v>
      </c>
      <c r="F1136" s="9">
        <f t="shared" ca="1" si="50"/>
        <v>13.181066666666664</v>
      </c>
      <c r="G1136" s="9">
        <f t="shared" ca="1" si="50"/>
        <v>13.184691666666668</v>
      </c>
      <c r="H1136" s="9">
        <f t="shared" ca="1" si="50"/>
        <v>27.462674999999994</v>
      </c>
      <c r="I1136" s="9">
        <f t="shared" ca="1" si="50"/>
        <v>27.46630833333333</v>
      </c>
      <c r="J1136" s="9">
        <f t="shared" ca="1" si="50"/>
        <v>27.462674999999994</v>
      </c>
      <c r="K1136" s="9">
        <f t="shared" ca="1" si="50"/>
        <v>27.46630833333333</v>
      </c>
      <c r="L1136" s="9">
        <f t="shared" ca="1" si="50"/>
        <v>13.181066666666664</v>
      </c>
      <c r="M1136" s="9">
        <f t="shared" ca="1" si="50"/>
        <v>13.184691666666668</v>
      </c>
      <c r="N1136" s="9">
        <f t="shared" ca="1" si="50"/>
        <v>13.181066666666664</v>
      </c>
      <c r="O1136" s="9">
        <f t="shared" ca="1" si="50"/>
        <v>13.184691666666668</v>
      </c>
    </row>
    <row r="1137" spans="1:15" ht="15" x14ac:dyDescent="0.2">
      <c r="A1137" s="10">
        <v>2079</v>
      </c>
      <c r="B1137" s="9">
        <f t="shared" ca="1" si="50"/>
        <v>11.900108333333334</v>
      </c>
      <c r="C1137" s="9">
        <f t="shared" ca="1" si="50"/>
        <v>11.900108333333334</v>
      </c>
      <c r="D1137" s="9">
        <f t="shared" ca="1" si="50"/>
        <v>11.901191666666669</v>
      </c>
      <c r="E1137" s="9">
        <f t="shared" ca="1" si="50"/>
        <v>13.395650000000002</v>
      </c>
      <c r="F1137" s="9">
        <f t="shared" ca="1" si="50"/>
        <v>13.395650000000002</v>
      </c>
      <c r="G1137" s="9">
        <f t="shared" ca="1" si="50"/>
        <v>13.399283333333335</v>
      </c>
      <c r="H1137" s="9">
        <f t="shared" ca="1" si="50"/>
        <v>27.939916666666665</v>
      </c>
      <c r="I1137" s="9">
        <f t="shared" ca="1" si="50"/>
        <v>27.943549999999998</v>
      </c>
      <c r="J1137" s="9">
        <f t="shared" ca="1" si="50"/>
        <v>27.939916666666665</v>
      </c>
      <c r="K1137" s="9">
        <f t="shared" ca="1" si="50"/>
        <v>27.943549999999998</v>
      </c>
      <c r="L1137" s="9">
        <f t="shared" ca="1" si="50"/>
        <v>13.395650000000002</v>
      </c>
      <c r="M1137" s="9">
        <f t="shared" ca="1" si="50"/>
        <v>13.399283333333335</v>
      </c>
      <c r="N1137" s="9">
        <f t="shared" ca="1" si="50"/>
        <v>13.395650000000002</v>
      </c>
      <c r="O1137" s="9">
        <f t="shared" ca="1" si="50"/>
        <v>13.399283333333335</v>
      </c>
    </row>
    <row r="1138" spans="1:15" ht="15" x14ac:dyDescent="0.2">
      <c r="A1138" s="10">
        <v>2080</v>
      </c>
      <c r="B1138" s="9">
        <f t="shared" ca="1" si="50"/>
        <v>12.088825</v>
      </c>
      <c r="C1138" s="9">
        <f t="shared" ca="1" si="50"/>
        <v>12.088825</v>
      </c>
      <c r="D1138" s="9">
        <f t="shared" ca="1" si="50"/>
        <v>12.089891666666666</v>
      </c>
      <c r="E1138" s="9">
        <f t="shared" ca="1" si="50"/>
        <v>13.610216666666666</v>
      </c>
      <c r="F1138" s="9">
        <f t="shared" ca="1" si="50"/>
        <v>13.610216666666666</v>
      </c>
      <c r="G1138" s="9">
        <f t="shared" ca="1" si="50"/>
        <v>13.613849999999999</v>
      </c>
      <c r="H1138" s="9">
        <f t="shared" ca="1" si="50"/>
        <v>28.417175</v>
      </c>
      <c r="I1138" s="9">
        <f t="shared" ca="1" si="50"/>
        <v>28.420800000000003</v>
      </c>
      <c r="J1138" s="9">
        <f t="shared" ca="1" si="50"/>
        <v>28.417175</v>
      </c>
      <c r="K1138" s="9">
        <f t="shared" ca="1" si="50"/>
        <v>28.420800000000003</v>
      </c>
      <c r="L1138" s="9">
        <f t="shared" ca="1" si="50"/>
        <v>13.610216666666666</v>
      </c>
      <c r="M1138" s="9">
        <f t="shared" ca="1" si="50"/>
        <v>13.613849999999999</v>
      </c>
      <c r="N1138" s="9">
        <f t="shared" ca="1" si="50"/>
        <v>13.610216666666666</v>
      </c>
      <c r="O1138" s="9">
        <f t="shared" ca="1" si="50"/>
        <v>13.613849999999999</v>
      </c>
    </row>
    <row r="1139" spans="1:15" ht="15" x14ac:dyDescent="0.2">
      <c r="A1139" s="10">
        <v>2081</v>
      </c>
      <c r="B1139" s="9">
        <f t="shared" ca="1" si="50"/>
        <v>12.277508333333332</v>
      </c>
      <c r="C1139" s="9">
        <f t="shared" ca="1" si="50"/>
        <v>12.277508333333332</v>
      </c>
      <c r="D1139" s="9">
        <f t="shared" ca="1" si="50"/>
        <v>12.278608333333333</v>
      </c>
      <c r="E1139" s="9">
        <f t="shared" ca="1" si="50"/>
        <v>13.824775000000001</v>
      </c>
      <c r="F1139" s="9">
        <f t="shared" ca="1" si="50"/>
        <v>13.824775000000001</v>
      </c>
      <c r="G1139" s="9">
        <f t="shared" ca="1" si="50"/>
        <v>13.828400000000002</v>
      </c>
      <c r="H1139" s="9">
        <f t="shared" ca="1" si="50"/>
        <v>28.894408333333331</v>
      </c>
      <c r="I1139" s="9">
        <f t="shared" ca="1" si="50"/>
        <v>28.898058333333335</v>
      </c>
      <c r="J1139" s="9">
        <f t="shared" ca="1" si="50"/>
        <v>28.894408333333331</v>
      </c>
      <c r="K1139" s="9">
        <f t="shared" ca="1" si="50"/>
        <v>28.898058333333335</v>
      </c>
      <c r="L1139" s="9">
        <f t="shared" ca="1" si="50"/>
        <v>13.824775000000001</v>
      </c>
      <c r="M1139" s="9">
        <f t="shared" ca="1" si="50"/>
        <v>13.828400000000002</v>
      </c>
      <c r="N1139" s="9">
        <f t="shared" ca="1" si="50"/>
        <v>13.824775000000001</v>
      </c>
      <c r="O1139" s="9">
        <f t="shared" ca="1" si="50"/>
        <v>13.828400000000002</v>
      </c>
    </row>
    <row r="1140" spans="1:15" ht="15" x14ac:dyDescent="0.2">
      <c r="A1140" s="10">
        <v>2082</v>
      </c>
      <c r="B1140" s="9">
        <f t="shared" ref="B1140:O1149" ca="1" si="51">AVERAGE(OFFSET(B$602,($A1140-$A$1120)*12,0,12,1))</f>
        <v>12.466233333333333</v>
      </c>
      <c r="C1140" s="9">
        <f t="shared" ca="1" si="51"/>
        <v>12.466233333333333</v>
      </c>
      <c r="D1140" s="9">
        <f t="shared" ca="1" si="51"/>
        <v>12.467291666666666</v>
      </c>
      <c r="E1140" s="9">
        <f t="shared" ca="1" si="51"/>
        <v>14.039341666666667</v>
      </c>
      <c r="F1140" s="9">
        <f t="shared" ca="1" si="51"/>
        <v>14.039341666666667</v>
      </c>
      <c r="G1140" s="9">
        <f t="shared" ca="1" si="51"/>
        <v>14.042983333333332</v>
      </c>
      <c r="H1140" s="9">
        <f t="shared" ca="1" si="51"/>
        <v>29.371658333333333</v>
      </c>
      <c r="I1140" s="9">
        <f t="shared" ca="1" si="51"/>
        <v>29.375316666666674</v>
      </c>
      <c r="J1140" s="9">
        <f t="shared" ca="1" si="51"/>
        <v>29.371658333333333</v>
      </c>
      <c r="K1140" s="9">
        <f t="shared" ca="1" si="51"/>
        <v>29.375316666666674</v>
      </c>
      <c r="L1140" s="9">
        <f t="shared" ca="1" si="51"/>
        <v>14.039341666666667</v>
      </c>
      <c r="M1140" s="9">
        <f t="shared" ca="1" si="51"/>
        <v>14.042983333333332</v>
      </c>
      <c r="N1140" s="9">
        <f t="shared" ca="1" si="51"/>
        <v>14.039341666666667</v>
      </c>
      <c r="O1140" s="9">
        <f t="shared" ca="1" si="51"/>
        <v>14.042983333333332</v>
      </c>
    </row>
    <row r="1141" spans="1:15" ht="15" x14ac:dyDescent="0.2">
      <c r="A1141" s="10">
        <v>2083</v>
      </c>
      <c r="B1141" s="9">
        <f t="shared" ca="1" si="51"/>
        <v>12.654925</v>
      </c>
      <c r="C1141" s="9">
        <f t="shared" ca="1" si="51"/>
        <v>12.654925</v>
      </c>
      <c r="D1141" s="9">
        <f t="shared" ca="1" si="51"/>
        <v>12.656000000000001</v>
      </c>
      <c r="E1141" s="9">
        <f t="shared" ca="1" si="51"/>
        <v>14.253891666666668</v>
      </c>
      <c r="F1141" s="9">
        <f t="shared" ca="1" si="51"/>
        <v>14.253891666666668</v>
      </c>
      <c r="G1141" s="9">
        <f t="shared" ca="1" si="51"/>
        <v>14.257524999999999</v>
      </c>
      <c r="H1141" s="9">
        <f t="shared" ca="1" si="51"/>
        <v>29.84890833333333</v>
      </c>
      <c r="I1141" s="9">
        <f t="shared" ca="1" si="51"/>
        <v>29.852541666666664</v>
      </c>
      <c r="J1141" s="9">
        <f t="shared" ca="1" si="51"/>
        <v>29.84890833333333</v>
      </c>
      <c r="K1141" s="9">
        <f t="shared" ca="1" si="51"/>
        <v>29.852541666666664</v>
      </c>
      <c r="L1141" s="9">
        <f t="shared" ca="1" si="51"/>
        <v>14.253891666666668</v>
      </c>
      <c r="M1141" s="9">
        <f t="shared" ca="1" si="51"/>
        <v>14.257524999999999</v>
      </c>
      <c r="N1141" s="9">
        <f t="shared" ca="1" si="51"/>
        <v>14.253891666666668</v>
      </c>
      <c r="O1141" s="9">
        <f t="shared" ca="1" si="51"/>
        <v>14.257524999999999</v>
      </c>
    </row>
    <row r="1142" spans="1:15" ht="15" x14ac:dyDescent="0.2">
      <c r="A1142" s="10">
        <v>2084</v>
      </c>
      <c r="B1142" s="9">
        <f t="shared" ca="1" si="51"/>
        <v>12.843616666666664</v>
      </c>
      <c r="C1142" s="9">
        <f t="shared" ca="1" si="51"/>
        <v>12.843616666666664</v>
      </c>
      <c r="D1142" s="9">
        <f t="shared" ca="1" si="51"/>
        <v>12.844699999999998</v>
      </c>
      <c r="E1142" s="9">
        <f t="shared" ca="1" si="51"/>
        <v>14.468458333333331</v>
      </c>
      <c r="F1142" s="9">
        <f t="shared" ca="1" si="51"/>
        <v>14.468458333333331</v>
      </c>
      <c r="G1142" s="9">
        <f t="shared" ca="1" si="51"/>
        <v>14.472091666666669</v>
      </c>
      <c r="H1142" s="9">
        <f t="shared" ca="1" si="51"/>
        <v>30.326166666666669</v>
      </c>
      <c r="I1142" s="9">
        <f t="shared" ca="1" si="51"/>
        <v>30.329791666666665</v>
      </c>
      <c r="J1142" s="9">
        <f t="shared" ca="1" si="51"/>
        <v>30.326166666666669</v>
      </c>
      <c r="K1142" s="9">
        <f t="shared" ca="1" si="51"/>
        <v>30.329791666666665</v>
      </c>
      <c r="L1142" s="9">
        <f t="shared" ca="1" si="51"/>
        <v>14.468458333333331</v>
      </c>
      <c r="M1142" s="9">
        <f t="shared" ca="1" si="51"/>
        <v>14.472091666666669</v>
      </c>
      <c r="N1142" s="9">
        <f t="shared" ca="1" si="51"/>
        <v>14.468458333333331</v>
      </c>
      <c r="O1142" s="9">
        <f t="shared" ca="1" si="51"/>
        <v>14.472091666666669</v>
      </c>
    </row>
    <row r="1143" spans="1:15" ht="15" x14ac:dyDescent="0.2">
      <c r="A1143" s="10">
        <v>2085</v>
      </c>
      <c r="B1143" s="9">
        <f t="shared" ca="1" si="51"/>
        <v>13.032333333333334</v>
      </c>
      <c r="C1143" s="9">
        <f t="shared" ca="1" si="51"/>
        <v>13.032333333333334</v>
      </c>
      <c r="D1143" s="9">
        <f t="shared" ca="1" si="51"/>
        <v>13.033391666666667</v>
      </c>
      <c r="E1143" s="9">
        <f t="shared" ca="1" si="51"/>
        <v>14.683025000000001</v>
      </c>
      <c r="F1143" s="9">
        <f t="shared" ca="1" si="51"/>
        <v>14.683025000000001</v>
      </c>
      <c r="G1143" s="9">
        <f t="shared" ca="1" si="51"/>
        <v>14.686666666666666</v>
      </c>
      <c r="H1143" s="9">
        <f t="shared" ca="1" si="51"/>
        <v>30.803408333333334</v>
      </c>
      <c r="I1143" s="9">
        <f t="shared" ca="1" si="51"/>
        <v>30.807041666666667</v>
      </c>
      <c r="J1143" s="9">
        <f t="shared" ca="1" si="51"/>
        <v>30.803408333333334</v>
      </c>
      <c r="K1143" s="9">
        <f t="shared" ca="1" si="51"/>
        <v>30.807041666666667</v>
      </c>
      <c r="L1143" s="9">
        <f t="shared" ca="1" si="51"/>
        <v>14.683025000000001</v>
      </c>
      <c r="M1143" s="9">
        <f t="shared" ca="1" si="51"/>
        <v>14.686666666666666</v>
      </c>
      <c r="N1143" s="9">
        <f t="shared" ca="1" si="51"/>
        <v>14.683025000000001</v>
      </c>
      <c r="O1143" s="9">
        <f t="shared" ca="1" si="51"/>
        <v>14.686666666666666</v>
      </c>
    </row>
    <row r="1144" spans="1:15" ht="15" x14ac:dyDescent="0.2">
      <c r="A1144" s="10">
        <v>2086</v>
      </c>
      <c r="B1144" s="9">
        <f t="shared" ca="1" si="51"/>
        <v>13.221025000000003</v>
      </c>
      <c r="C1144" s="9">
        <f t="shared" ca="1" si="51"/>
        <v>13.221025000000003</v>
      </c>
      <c r="D1144" s="9">
        <f t="shared" ca="1" si="51"/>
        <v>13.222108333333333</v>
      </c>
      <c r="E1144" s="9">
        <f t="shared" ca="1" si="51"/>
        <v>14.897599999999999</v>
      </c>
      <c r="F1144" s="9">
        <f t="shared" ca="1" si="51"/>
        <v>14.897599999999999</v>
      </c>
      <c r="G1144" s="9">
        <f t="shared" ca="1" si="51"/>
        <v>14.90123333333333</v>
      </c>
      <c r="H1144" s="9">
        <f t="shared" ca="1" si="51"/>
        <v>31.280666666666672</v>
      </c>
      <c r="I1144" s="9">
        <f t="shared" ca="1" si="51"/>
        <v>31.284308333333332</v>
      </c>
      <c r="J1144" s="9">
        <f t="shared" ca="1" si="51"/>
        <v>31.280666666666672</v>
      </c>
      <c r="K1144" s="9">
        <f t="shared" ca="1" si="51"/>
        <v>31.284308333333332</v>
      </c>
      <c r="L1144" s="9">
        <f t="shared" ca="1" si="51"/>
        <v>14.897599999999999</v>
      </c>
      <c r="M1144" s="9">
        <f t="shared" ca="1" si="51"/>
        <v>14.90123333333333</v>
      </c>
      <c r="N1144" s="9">
        <f t="shared" ca="1" si="51"/>
        <v>14.897599999999999</v>
      </c>
      <c r="O1144" s="9">
        <f t="shared" ca="1" si="51"/>
        <v>14.90123333333333</v>
      </c>
    </row>
    <row r="1145" spans="1:15" ht="15" x14ac:dyDescent="0.2">
      <c r="A1145" s="10">
        <v>2087</v>
      </c>
      <c r="B1145" s="9">
        <f t="shared" ca="1" si="51"/>
        <v>13.409750000000003</v>
      </c>
      <c r="C1145" s="9">
        <f t="shared" ca="1" si="51"/>
        <v>13.409750000000003</v>
      </c>
      <c r="D1145" s="9">
        <f t="shared" ca="1" si="51"/>
        <v>13.41079166666667</v>
      </c>
      <c r="E1145" s="9">
        <f t="shared" ca="1" si="51"/>
        <v>15.112158333333335</v>
      </c>
      <c r="F1145" s="9">
        <f t="shared" ca="1" si="51"/>
        <v>15.112158333333335</v>
      </c>
      <c r="G1145" s="9">
        <f t="shared" ca="1" si="51"/>
        <v>15.115783333333333</v>
      </c>
      <c r="H1145" s="9">
        <f t="shared" ca="1" si="51"/>
        <v>31.757925</v>
      </c>
      <c r="I1145" s="9">
        <f t="shared" ca="1" si="51"/>
        <v>31.76154166666667</v>
      </c>
      <c r="J1145" s="9">
        <f t="shared" ca="1" si="51"/>
        <v>31.757925</v>
      </c>
      <c r="K1145" s="9">
        <f t="shared" ca="1" si="51"/>
        <v>31.76154166666667</v>
      </c>
      <c r="L1145" s="9">
        <f t="shared" ca="1" si="51"/>
        <v>15.112158333333335</v>
      </c>
      <c r="M1145" s="9">
        <f t="shared" ca="1" si="51"/>
        <v>15.115783333333333</v>
      </c>
      <c r="N1145" s="9">
        <f t="shared" ca="1" si="51"/>
        <v>15.112158333333335</v>
      </c>
      <c r="O1145" s="9">
        <f t="shared" ca="1" si="51"/>
        <v>15.115783333333333</v>
      </c>
    </row>
    <row r="1146" spans="1:15" ht="15" x14ac:dyDescent="0.2">
      <c r="A1146" s="10">
        <v>2088</v>
      </c>
      <c r="B1146" s="9">
        <f t="shared" ca="1" si="51"/>
        <v>13.598433333333332</v>
      </c>
      <c r="C1146" s="9">
        <f t="shared" ca="1" si="51"/>
        <v>13.598433333333332</v>
      </c>
      <c r="D1146" s="9">
        <f t="shared" ca="1" si="51"/>
        <v>13.599516666666666</v>
      </c>
      <c r="E1146" s="9">
        <f t="shared" ca="1" si="51"/>
        <v>15.326716666666664</v>
      </c>
      <c r="F1146" s="9">
        <f t="shared" ca="1" si="51"/>
        <v>15.326716666666664</v>
      </c>
      <c r="G1146" s="9">
        <f t="shared" ca="1" si="51"/>
        <v>15.330358333333331</v>
      </c>
      <c r="H1146" s="9">
        <f t="shared" ca="1" si="51"/>
        <v>32.235166666666679</v>
      </c>
      <c r="I1146" s="9">
        <f t="shared" ca="1" si="51"/>
        <v>32.238800000000005</v>
      </c>
      <c r="J1146" s="9">
        <f t="shared" ca="1" si="51"/>
        <v>32.235166666666679</v>
      </c>
      <c r="K1146" s="9">
        <f t="shared" ca="1" si="51"/>
        <v>32.238800000000005</v>
      </c>
      <c r="L1146" s="9">
        <f t="shared" ca="1" si="51"/>
        <v>15.326716666666664</v>
      </c>
      <c r="M1146" s="9">
        <f t="shared" ca="1" si="51"/>
        <v>15.330358333333331</v>
      </c>
      <c r="N1146" s="9">
        <f t="shared" ca="1" si="51"/>
        <v>15.326716666666664</v>
      </c>
      <c r="O1146" s="9">
        <f t="shared" ca="1" si="51"/>
        <v>15.330358333333331</v>
      </c>
    </row>
    <row r="1147" spans="1:15" ht="15" x14ac:dyDescent="0.2">
      <c r="A1147" s="10">
        <v>2089</v>
      </c>
      <c r="B1147" s="9">
        <f t="shared" ca="1" si="51"/>
        <v>13.787141666666669</v>
      </c>
      <c r="C1147" s="9">
        <f t="shared" ca="1" si="51"/>
        <v>13.787141666666669</v>
      </c>
      <c r="D1147" s="9">
        <f t="shared" ca="1" si="51"/>
        <v>13.788216666666669</v>
      </c>
      <c r="E1147" s="9">
        <f t="shared" ca="1" si="51"/>
        <v>15.541283333333332</v>
      </c>
      <c r="F1147" s="9">
        <f t="shared" ca="1" si="51"/>
        <v>15.541283333333332</v>
      </c>
      <c r="G1147" s="9">
        <f t="shared" ca="1" si="51"/>
        <v>15.544908333333332</v>
      </c>
      <c r="H1147" s="9">
        <f t="shared" ca="1" si="51"/>
        <v>32.712400000000002</v>
      </c>
      <c r="I1147" s="9">
        <f t="shared" ca="1" si="51"/>
        <v>32.716033333333336</v>
      </c>
      <c r="J1147" s="9">
        <f t="shared" ca="1" si="51"/>
        <v>32.712400000000002</v>
      </c>
      <c r="K1147" s="9">
        <f t="shared" ca="1" si="51"/>
        <v>32.716033333333336</v>
      </c>
      <c r="L1147" s="9">
        <f t="shared" ca="1" si="51"/>
        <v>15.541283333333332</v>
      </c>
      <c r="M1147" s="9">
        <f t="shared" ca="1" si="51"/>
        <v>15.544908333333332</v>
      </c>
      <c r="N1147" s="9">
        <f t="shared" ca="1" si="51"/>
        <v>15.541283333333332</v>
      </c>
      <c r="O1147" s="9">
        <f t="shared" ca="1" si="51"/>
        <v>15.544908333333332</v>
      </c>
    </row>
    <row r="1148" spans="1:15" ht="15" x14ac:dyDescent="0.2">
      <c r="A1148" s="10">
        <v>2090</v>
      </c>
      <c r="B1148" s="9">
        <f t="shared" ca="1" si="51"/>
        <v>13.975841666666668</v>
      </c>
      <c r="C1148" s="9">
        <f t="shared" ca="1" si="51"/>
        <v>13.975841666666668</v>
      </c>
      <c r="D1148" s="9">
        <f t="shared" ca="1" si="51"/>
        <v>13.976900000000002</v>
      </c>
      <c r="E1148" s="9">
        <f t="shared" ca="1" si="51"/>
        <v>15.755858333333334</v>
      </c>
      <c r="F1148" s="9">
        <f t="shared" ca="1" si="51"/>
        <v>15.755858333333334</v>
      </c>
      <c r="G1148" s="9">
        <f t="shared" ca="1" si="51"/>
        <v>15.759475000000002</v>
      </c>
      <c r="H1148" s="9">
        <f t="shared" ca="1" si="51"/>
        <v>33.18966666666666</v>
      </c>
      <c r="I1148" s="9">
        <f t="shared" ca="1" si="51"/>
        <v>33.193308333333334</v>
      </c>
      <c r="J1148" s="9">
        <f t="shared" ca="1" si="51"/>
        <v>33.18966666666666</v>
      </c>
      <c r="K1148" s="9">
        <f t="shared" ca="1" si="51"/>
        <v>33.193308333333334</v>
      </c>
      <c r="L1148" s="9">
        <f t="shared" ca="1" si="51"/>
        <v>15.755858333333334</v>
      </c>
      <c r="M1148" s="9">
        <f t="shared" ca="1" si="51"/>
        <v>15.759475000000002</v>
      </c>
      <c r="N1148" s="9">
        <f t="shared" ca="1" si="51"/>
        <v>15.755858333333334</v>
      </c>
      <c r="O1148" s="9">
        <f t="shared" ca="1" si="51"/>
        <v>15.759475000000002</v>
      </c>
    </row>
    <row r="1149" spans="1:15" ht="15" x14ac:dyDescent="0.2">
      <c r="A1149" s="10">
        <v>2091</v>
      </c>
      <c r="B1149" s="9">
        <f t="shared" ca="1" si="51"/>
        <v>14.164533333333333</v>
      </c>
      <c r="C1149" s="9">
        <f t="shared" ca="1" si="51"/>
        <v>14.164533333333333</v>
      </c>
      <c r="D1149" s="9">
        <f t="shared" ca="1" si="51"/>
        <v>14.165616666666665</v>
      </c>
      <c r="E1149" s="9">
        <f t="shared" ca="1" si="51"/>
        <v>15.970408333333333</v>
      </c>
      <c r="F1149" s="9">
        <f t="shared" ca="1" si="51"/>
        <v>15.970408333333333</v>
      </c>
      <c r="G1149" s="9">
        <f t="shared" ca="1" si="51"/>
        <v>15.97404166666667</v>
      </c>
      <c r="H1149" s="9">
        <f t="shared" ca="1" si="51"/>
        <v>33.666908333333332</v>
      </c>
      <c r="I1149" s="9">
        <f t="shared" ca="1" si="51"/>
        <v>33.670533333333331</v>
      </c>
      <c r="J1149" s="9">
        <f t="shared" ca="1" si="51"/>
        <v>33.666908333333332</v>
      </c>
      <c r="K1149" s="9">
        <f t="shared" ca="1" si="51"/>
        <v>33.670533333333331</v>
      </c>
      <c r="L1149" s="9">
        <f t="shared" ca="1" si="51"/>
        <v>15.970408333333333</v>
      </c>
      <c r="M1149" s="9">
        <f t="shared" ca="1" si="51"/>
        <v>15.97404166666667</v>
      </c>
      <c r="N1149" s="9">
        <f t="shared" ca="1" si="51"/>
        <v>15.970408333333333</v>
      </c>
      <c r="O1149" s="9">
        <f t="shared" ca="1" si="51"/>
        <v>15.97404166666667</v>
      </c>
    </row>
    <row r="1150" spans="1:15" ht="15" x14ac:dyDescent="0.2">
      <c r="A1150" s="10">
        <v>2092</v>
      </c>
      <c r="B1150" s="9">
        <f t="shared" ref="B1150:O1158" ca="1" si="52">AVERAGE(OFFSET(B$602,($A1150-$A$1120)*12,0,12,1))</f>
        <v>14.353250000000001</v>
      </c>
      <c r="C1150" s="9">
        <f t="shared" ca="1" si="52"/>
        <v>14.353250000000001</v>
      </c>
      <c r="D1150" s="9">
        <f t="shared" ca="1" si="52"/>
        <v>14.354316666666668</v>
      </c>
      <c r="E1150" s="9">
        <f t="shared" ca="1" si="52"/>
        <v>16.184991666666665</v>
      </c>
      <c r="F1150" s="9">
        <f t="shared" ca="1" si="52"/>
        <v>16.184991666666665</v>
      </c>
      <c r="G1150" s="9">
        <f t="shared" ca="1" si="52"/>
        <v>16.188624999999998</v>
      </c>
      <c r="H1150" s="9">
        <f t="shared" ca="1" si="52"/>
        <v>34.144149999999996</v>
      </c>
      <c r="I1150" s="9">
        <f t="shared" ca="1" si="52"/>
        <v>34.14779166666667</v>
      </c>
      <c r="J1150" s="9">
        <f t="shared" ca="1" si="52"/>
        <v>34.144149999999996</v>
      </c>
      <c r="K1150" s="9">
        <f t="shared" ca="1" si="52"/>
        <v>34.14779166666667</v>
      </c>
      <c r="L1150" s="9">
        <f t="shared" ca="1" si="52"/>
        <v>16.184991666666665</v>
      </c>
      <c r="M1150" s="9">
        <f t="shared" ca="1" si="52"/>
        <v>16.188624999999998</v>
      </c>
      <c r="N1150" s="9">
        <f t="shared" ca="1" si="52"/>
        <v>16.184991666666665</v>
      </c>
      <c r="O1150" s="9">
        <f t="shared" ca="1" si="52"/>
        <v>16.188624999999998</v>
      </c>
    </row>
    <row r="1151" spans="1:15" ht="15" x14ac:dyDescent="0.2">
      <c r="A1151" s="10">
        <v>2093</v>
      </c>
      <c r="B1151" s="9">
        <f t="shared" ca="1" si="52"/>
        <v>14.541925000000001</v>
      </c>
      <c r="C1151" s="9">
        <f t="shared" ca="1" si="52"/>
        <v>14.541925000000001</v>
      </c>
      <c r="D1151" s="9">
        <f t="shared" ca="1" si="52"/>
        <v>14.543025</v>
      </c>
      <c r="E1151" s="9">
        <f t="shared" ca="1" si="52"/>
        <v>16.399541666666668</v>
      </c>
      <c r="F1151" s="9">
        <f t="shared" ca="1" si="52"/>
        <v>16.399541666666668</v>
      </c>
      <c r="G1151" s="9">
        <f t="shared" ca="1" si="52"/>
        <v>16.403175000000001</v>
      </c>
      <c r="H1151" s="9">
        <f t="shared" ca="1" si="52"/>
        <v>34.621400000000001</v>
      </c>
      <c r="I1151" s="9">
        <f t="shared" ca="1" si="52"/>
        <v>34.625041666666668</v>
      </c>
      <c r="J1151" s="9">
        <f t="shared" ca="1" si="52"/>
        <v>34.621400000000001</v>
      </c>
      <c r="K1151" s="9">
        <f t="shared" ca="1" si="52"/>
        <v>34.625041666666668</v>
      </c>
      <c r="L1151" s="9">
        <f t="shared" ca="1" si="52"/>
        <v>16.399541666666668</v>
      </c>
      <c r="M1151" s="9">
        <f t="shared" ca="1" si="52"/>
        <v>16.403175000000001</v>
      </c>
      <c r="N1151" s="9">
        <f t="shared" ca="1" si="52"/>
        <v>16.399541666666668</v>
      </c>
      <c r="O1151" s="9">
        <f t="shared" ca="1" si="52"/>
        <v>16.403175000000001</v>
      </c>
    </row>
    <row r="1152" spans="1:15" ht="15" x14ac:dyDescent="0.2">
      <c r="A1152" s="10">
        <v>2094</v>
      </c>
      <c r="B1152" s="9">
        <f t="shared" ca="1" si="52"/>
        <v>14.730650000000002</v>
      </c>
      <c r="C1152" s="9">
        <f t="shared" ca="1" si="52"/>
        <v>14.730650000000002</v>
      </c>
      <c r="D1152" s="9">
        <f t="shared" ca="1" si="52"/>
        <v>14.731716666666665</v>
      </c>
      <c r="E1152" s="9">
        <f t="shared" ca="1" si="52"/>
        <v>16.614100000000004</v>
      </c>
      <c r="F1152" s="9">
        <f t="shared" ca="1" si="52"/>
        <v>16.614100000000004</v>
      </c>
      <c r="G1152" s="9">
        <f t="shared" ca="1" si="52"/>
        <v>16.617750000000001</v>
      </c>
      <c r="H1152" s="9">
        <f t="shared" ca="1" si="52"/>
        <v>35.098641666666673</v>
      </c>
      <c r="I1152" s="9">
        <f t="shared" ca="1" si="52"/>
        <v>35.102266666666665</v>
      </c>
      <c r="J1152" s="9">
        <f t="shared" ca="1" si="52"/>
        <v>35.098641666666673</v>
      </c>
      <c r="K1152" s="9">
        <f t="shared" ca="1" si="52"/>
        <v>35.102266666666665</v>
      </c>
      <c r="L1152" s="9">
        <f t="shared" ca="1" si="52"/>
        <v>16.614100000000004</v>
      </c>
      <c r="M1152" s="9">
        <f t="shared" ca="1" si="52"/>
        <v>16.617750000000001</v>
      </c>
      <c r="N1152" s="9">
        <f t="shared" ca="1" si="52"/>
        <v>16.614100000000004</v>
      </c>
      <c r="O1152" s="9">
        <f t="shared" ca="1" si="52"/>
        <v>16.617750000000001</v>
      </c>
    </row>
    <row r="1153" spans="1:15" ht="15" x14ac:dyDescent="0.2">
      <c r="A1153" s="10">
        <v>2095</v>
      </c>
      <c r="B1153" s="9">
        <f t="shared" ca="1" si="52"/>
        <v>14.919341666666666</v>
      </c>
      <c r="C1153" s="9">
        <f t="shared" ca="1" si="52"/>
        <v>14.919341666666666</v>
      </c>
      <c r="D1153" s="9">
        <f t="shared" ca="1" si="52"/>
        <v>14.920416666666666</v>
      </c>
      <c r="E1153" s="9">
        <f t="shared" ca="1" si="52"/>
        <v>16.828675</v>
      </c>
      <c r="F1153" s="9">
        <f t="shared" ca="1" si="52"/>
        <v>16.828675</v>
      </c>
      <c r="G1153" s="9">
        <f t="shared" ca="1" si="52"/>
        <v>16.832308333333334</v>
      </c>
      <c r="H1153" s="9">
        <f t="shared" ca="1" si="52"/>
        <v>35.575908333333331</v>
      </c>
      <c r="I1153" s="9">
        <f t="shared" ca="1" si="52"/>
        <v>35.57953333333333</v>
      </c>
      <c r="J1153" s="9">
        <f t="shared" ca="1" si="52"/>
        <v>35.575908333333331</v>
      </c>
      <c r="K1153" s="9">
        <f t="shared" ca="1" si="52"/>
        <v>35.57953333333333</v>
      </c>
      <c r="L1153" s="9">
        <f t="shared" ca="1" si="52"/>
        <v>16.828675</v>
      </c>
      <c r="M1153" s="9">
        <f t="shared" ca="1" si="52"/>
        <v>16.832308333333334</v>
      </c>
      <c r="N1153" s="9">
        <f t="shared" ca="1" si="52"/>
        <v>16.828675</v>
      </c>
      <c r="O1153" s="9">
        <f t="shared" ca="1" si="52"/>
        <v>16.832308333333334</v>
      </c>
    </row>
    <row r="1154" spans="1:15" ht="15" x14ac:dyDescent="0.2">
      <c r="A1154" s="10">
        <v>2096</v>
      </c>
      <c r="B1154" s="9">
        <f t="shared" ca="1" si="52"/>
        <v>15.108033333333333</v>
      </c>
      <c r="C1154" s="9">
        <f t="shared" ca="1" si="52"/>
        <v>15.108033333333333</v>
      </c>
      <c r="D1154" s="9">
        <f t="shared" ca="1" si="52"/>
        <v>15.109116666666665</v>
      </c>
      <c r="E1154" s="9">
        <f t="shared" ca="1" si="52"/>
        <v>17.043241666666667</v>
      </c>
      <c r="F1154" s="9">
        <f t="shared" ca="1" si="52"/>
        <v>17.043241666666667</v>
      </c>
      <c r="G1154" s="9">
        <f t="shared" ca="1" si="52"/>
        <v>17.046875</v>
      </c>
      <c r="H1154" s="9">
        <f t="shared" ca="1" si="52"/>
        <v>36.053141666666669</v>
      </c>
      <c r="I1154" s="9">
        <f t="shared" ca="1" si="52"/>
        <v>36.056783333333335</v>
      </c>
      <c r="J1154" s="9">
        <f t="shared" ca="1" si="52"/>
        <v>36.053141666666669</v>
      </c>
      <c r="K1154" s="9">
        <f t="shared" ca="1" si="52"/>
        <v>36.056783333333335</v>
      </c>
      <c r="L1154" s="9">
        <f t="shared" ca="1" si="52"/>
        <v>17.043241666666667</v>
      </c>
      <c r="M1154" s="9">
        <f t="shared" ca="1" si="52"/>
        <v>17.046875</v>
      </c>
      <c r="N1154" s="9">
        <f t="shared" ca="1" si="52"/>
        <v>17.043241666666667</v>
      </c>
      <c r="O1154" s="9">
        <f t="shared" ca="1" si="52"/>
        <v>17.046875</v>
      </c>
    </row>
    <row r="1155" spans="1:15" ht="15" x14ac:dyDescent="0.2">
      <c r="A1155" s="10">
        <v>2097</v>
      </c>
      <c r="B1155" s="9">
        <f t="shared" ca="1" si="52"/>
        <v>15.296750000000001</v>
      </c>
      <c r="C1155" s="9">
        <f t="shared" ca="1" si="52"/>
        <v>15.296750000000001</v>
      </c>
      <c r="D1155" s="9">
        <f t="shared" ca="1" si="52"/>
        <v>15.297808333333334</v>
      </c>
      <c r="E1155" s="9">
        <f t="shared" ca="1" si="52"/>
        <v>17.2578</v>
      </c>
      <c r="F1155" s="9">
        <f t="shared" ca="1" si="52"/>
        <v>17.2578</v>
      </c>
      <c r="G1155" s="9">
        <f t="shared" ca="1" si="52"/>
        <v>17.26145</v>
      </c>
      <c r="H1155" s="9">
        <f t="shared" ca="1" si="52"/>
        <v>36.530399999999993</v>
      </c>
      <c r="I1155" s="9">
        <f t="shared" ca="1" si="52"/>
        <v>36.534033333333333</v>
      </c>
      <c r="J1155" s="9">
        <f t="shared" ca="1" si="52"/>
        <v>36.530399999999993</v>
      </c>
      <c r="K1155" s="9">
        <f t="shared" ca="1" si="52"/>
        <v>36.534033333333333</v>
      </c>
      <c r="L1155" s="9">
        <f t="shared" ca="1" si="52"/>
        <v>17.2578</v>
      </c>
      <c r="M1155" s="9">
        <f t="shared" ca="1" si="52"/>
        <v>17.26145</v>
      </c>
      <c r="N1155" s="9">
        <f t="shared" ca="1" si="52"/>
        <v>17.2578</v>
      </c>
      <c r="O1155" s="9">
        <f t="shared" ca="1" si="52"/>
        <v>17.26145</v>
      </c>
    </row>
    <row r="1156" spans="1:15" ht="15" x14ac:dyDescent="0.2">
      <c r="A1156" s="10">
        <v>2098</v>
      </c>
      <c r="B1156" s="9">
        <f t="shared" ca="1" si="52"/>
        <v>15.485433333333333</v>
      </c>
      <c r="C1156" s="9">
        <f t="shared" ca="1" si="52"/>
        <v>15.485433333333333</v>
      </c>
      <c r="D1156" s="9">
        <f t="shared" ca="1" si="52"/>
        <v>15.486516666666665</v>
      </c>
      <c r="E1156" s="9">
        <f t="shared" ca="1" si="52"/>
        <v>17.472383333333333</v>
      </c>
      <c r="F1156" s="9">
        <f t="shared" ca="1" si="52"/>
        <v>17.472383333333333</v>
      </c>
      <c r="G1156" s="9">
        <f t="shared" ca="1" si="52"/>
        <v>17.476008333333329</v>
      </c>
      <c r="H1156" s="9">
        <f t="shared" ca="1" si="52"/>
        <v>37.007624999999997</v>
      </c>
      <c r="I1156" s="9">
        <f t="shared" ca="1" si="52"/>
        <v>37.011266666666664</v>
      </c>
      <c r="J1156" s="9">
        <f t="shared" ca="1" si="52"/>
        <v>37.007624999999997</v>
      </c>
      <c r="K1156" s="9">
        <f t="shared" ca="1" si="52"/>
        <v>37.011266666666664</v>
      </c>
      <c r="L1156" s="9">
        <f t="shared" ca="1" si="52"/>
        <v>17.472383333333333</v>
      </c>
      <c r="M1156" s="9">
        <f t="shared" ca="1" si="52"/>
        <v>17.476008333333329</v>
      </c>
      <c r="N1156" s="9">
        <f t="shared" ca="1" si="52"/>
        <v>17.472383333333333</v>
      </c>
      <c r="O1156" s="9">
        <f t="shared" ca="1" si="52"/>
        <v>17.476008333333329</v>
      </c>
    </row>
    <row r="1157" spans="1:15" ht="15" x14ac:dyDescent="0.2">
      <c r="A1157" s="10">
        <v>2099</v>
      </c>
      <c r="B1157" s="9">
        <f t="shared" ca="1" si="52"/>
        <v>15.674149999999999</v>
      </c>
      <c r="C1157" s="9">
        <f t="shared" ca="1" si="52"/>
        <v>15.674149999999999</v>
      </c>
      <c r="D1157" s="9">
        <f t="shared" ca="1" si="52"/>
        <v>15.675208333333336</v>
      </c>
      <c r="E1157" s="9">
        <f t="shared" ca="1" si="52"/>
        <v>17.686933333333332</v>
      </c>
      <c r="F1157" s="9">
        <f t="shared" ca="1" si="52"/>
        <v>17.686933333333332</v>
      </c>
      <c r="G1157" s="9">
        <f t="shared" ca="1" si="52"/>
        <v>17.690574999999999</v>
      </c>
      <c r="H1157" s="9">
        <f t="shared" ca="1" si="52"/>
        <v>37.484883333333329</v>
      </c>
      <c r="I1157" s="9">
        <f t="shared" ca="1" si="52"/>
        <v>37.488516666666662</v>
      </c>
      <c r="J1157" s="9">
        <f t="shared" ca="1" si="52"/>
        <v>37.484883333333329</v>
      </c>
      <c r="K1157" s="9">
        <f t="shared" ca="1" si="52"/>
        <v>37.488516666666662</v>
      </c>
      <c r="L1157" s="9">
        <f t="shared" ca="1" si="52"/>
        <v>17.686933333333332</v>
      </c>
      <c r="M1157" s="9">
        <f t="shared" ca="1" si="52"/>
        <v>17.690574999999999</v>
      </c>
      <c r="N1157" s="9">
        <f t="shared" ca="1" si="52"/>
        <v>17.686933333333332</v>
      </c>
      <c r="O1157" s="9">
        <f t="shared" ca="1" si="52"/>
        <v>17.690574999999999</v>
      </c>
    </row>
    <row r="1158" spans="1:15" ht="15" x14ac:dyDescent="0.2">
      <c r="A1158" s="10">
        <v>2100</v>
      </c>
      <c r="B1158" s="9">
        <f t="shared" ca="1" si="52"/>
        <v>15.862841666666663</v>
      </c>
      <c r="C1158" s="9">
        <f t="shared" ca="1" si="52"/>
        <v>15.862841666666663</v>
      </c>
      <c r="D1158" s="9">
        <f t="shared" ca="1" si="52"/>
        <v>15.863925000000002</v>
      </c>
      <c r="E1158" s="9">
        <f t="shared" ca="1" si="52"/>
        <v>17.901491666666669</v>
      </c>
      <c r="F1158" s="9">
        <f t="shared" ca="1" si="52"/>
        <v>17.901491666666669</v>
      </c>
      <c r="G1158" s="9">
        <f t="shared" ca="1" si="52"/>
        <v>17.905133333333332</v>
      </c>
      <c r="H1158" s="9">
        <f t="shared" ca="1" si="52"/>
        <v>37.962150000000001</v>
      </c>
      <c r="I1158" s="9">
        <f t="shared" ca="1" si="52"/>
        <v>37.965775000000001</v>
      </c>
      <c r="J1158" s="9">
        <f t="shared" ca="1" si="52"/>
        <v>37.962150000000001</v>
      </c>
      <c r="K1158" s="9">
        <f t="shared" ca="1" si="52"/>
        <v>37.965775000000001</v>
      </c>
      <c r="L1158" s="9">
        <f t="shared" ca="1" si="52"/>
        <v>17.901491666666669</v>
      </c>
      <c r="M1158" s="9">
        <f t="shared" ca="1" si="52"/>
        <v>17.905133333333332</v>
      </c>
      <c r="N1158" s="9">
        <f t="shared" ca="1" si="52"/>
        <v>17.901491666666669</v>
      </c>
      <c r="O1158" s="9">
        <f t="shared" ca="1" si="52"/>
        <v>17.905133333333332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7" scale="6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76"/>
  <sheetViews>
    <sheetView zoomScale="75" workbookViewId="0">
      <pane xSplit="1" ySplit="11" topLeftCell="B12" activePane="bottomRight" state="frozen"/>
      <selection activeCell="C20" sqref="C20:C21"/>
      <selection pane="topRight" activeCell="C20" sqref="C20:C21"/>
      <selection pane="bottomLeft" activeCell="C20" sqref="C20:C21"/>
      <selection pane="bottomRight" activeCell="B12" sqref="B12"/>
    </sheetView>
  </sheetViews>
  <sheetFormatPr defaultColWidth="7.109375" defaultRowHeight="12.75" x14ac:dyDescent="0.2"/>
  <cols>
    <col min="1" max="1" width="19.77734375" style="30" customWidth="1"/>
    <col min="2" max="4" width="16.109375" style="30" customWidth="1"/>
    <col min="5" max="5" width="21" style="30" customWidth="1"/>
    <col min="6" max="9" width="16.109375" style="30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102" t="s">
        <v>91</v>
      </c>
    </row>
    <row r="2" spans="1:17" ht="15.75" x14ac:dyDescent="0.25">
      <c r="A2" s="102" t="s">
        <v>92</v>
      </c>
    </row>
    <row r="3" spans="1:17" ht="15.75" x14ac:dyDescent="0.25">
      <c r="A3" s="102" t="s">
        <v>93</v>
      </c>
    </row>
    <row r="4" spans="1:17" ht="15.75" x14ac:dyDescent="0.25">
      <c r="A4" s="102" t="s">
        <v>94</v>
      </c>
    </row>
    <row r="5" spans="1:17" ht="15.75" x14ac:dyDescent="0.25">
      <c r="A5" s="102" t="s">
        <v>96</v>
      </c>
    </row>
    <row r="6" spans="1:17" ht="15.75" x14ac:dyDescent="0.25">
      <c r="A6" s="102" t="s">
        <v>98</v>
      </c>
    </row>
    <row r="7" spans="1:17" s="22" customFormat="1" x14ac:dyDescent="0.2">
      <c r="A7" s="47"/>
      <c r="B7" s="47"/>
      <c r="C7" s="47"/>
      <c r="D7" s="47"/>
      <c r="E7" s="47"/>
      <c r="F7" s="47"/>
      <c r="G7" s="47"/>
      <c r="H7" s="47"/>
      <c r="I7" s="47"/>
    </row>
    <row r="8" spans="1:17" ht="15.75" x14ac:dyDescent="0.25">
      <c r="A8" s="42" t="s">
        <v>27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42"/>
      <c r="B9" s="41"/>
      <c r="C9" s="40" t="s">
        <v>25</v>
      </c>
      <c r="D9" s="39">
        <f>1-0.278</f>
        <v>0.72199999999999998</v>
      </c>
      <c r="E9" s="40" t="s">
        <v>24</v>
      </c>
      <c r="F9" s="39">
        <v>1.278</v>
      </c>
      <c r="G9" s="8"/>
      <c r="H9" s="8"/>
      <c r="I9" s="8"/>
    </row>
    <row r="10" spans="1:17" s="35" customFormat="1" ht="13.15" customHeight="1" x14ac:dyDescent="0.25">
      <c r="B10" s="36" t="s">
        <v>37</v>
      </c>
      <c r="C10" s="36" t="s">
        <v>36</v>
      </c>
      <c r="D10" s="36" t="s">
        <v>35</v>
      </c>
      <c r="E10" s="38" t="s">
        <v>34</v>
      </c>
      <c r="F10" s="36" t="s">
        <v>33</v>
      </c>
      <c r="G10" s="38" t="s">
        <v>32</v>
      </c>
      <c r="H10" s="38" t="s">
        <v>31</v>
      </c>
      <c r="I10" s="36" t="s">
        <v>30</v>
      </c>
      <c r="J10" s="36" t="s">
        <v>29</v>
      </c>
      <c r="K10" s="36" t="s">
        <v>28</v>
      </c>
      <c r="L10" s="36"/>
    </row>
    <row r="11" spans="1:17" s="35" customFormat="1" ht="13.15" customHeight="1" x14ac:dyDescent="0.25">
      <c r="A11" s="37" t="s">
        <v>15</v>
      </c>
      <c r="B11" s="36" t="s">
        <v>14</v>
      </c>
      <c r="C11" s="36" t="s">
        <v>14</v>
      </c>
      <c r="D11" s="36" t="s">
        <v>14</v>
      </c>
      <c r="E11" s="36" t="s">
        <v>14</v>
      </c>
      <c r="F11" s="36" t="s">
        <v>14</v>
      </c>
      <c r="G11" s="36" t="s">
        <v>14</v>
      </c>
      <c r="H11" s="36" t="s">
        <v>14</v>
      </c>
      <c r="I11" s="36" t="s">
        <v>14</v>
      </c>
      <c r="J11" s="36" t="s">
        <v>14</v>
      </c>
      <c r="K11" s="36" t="s">
        <v>14</v>
      </c>
      <c r="L11" s="36"/>
    </row>
    <row r="12" spans="1:17" ht="15" x14ac:dyDescent="0.2">
      <c r="A12" s="13">
        <v>41275</v>
      </c>
      <c r="B12" s="14">
        <v>24.537438554750199</v>
      </c>
      <c r="C12" s="14">
        <v>24.1051915564654</v>
      </c>
      <c r="D12" s="14">
        <v>24.1051915564654</v>
      </c>
      <c r="E12" s="14">
        <v>23.9685330658994</v>
      </c>
      <c r="F12" s="14">
        <v>23.9685330658994</v>
      </c>
      <c r="G12" s="14">
        <v>24.239908537597501</v>
      </c>
      <c r="H12" s="14">
        <v>24.1051915564654</v>
      </c>
      <c r="I12" s="14">
        <v>24.1051915564654</v>
      </c>
      <c r="J12" s="14">
        <v>23.744985724561499</v>
      </c>
      <c r="K12" s="14">
        <v>24.1051915564654</v>
      </c>
      <c r="L12" s="14"/>
      <c r="M12" s="34"/>
      <c r="N12" s="34"/>
      <c r="O12" s="34"/>
      <c r="P12" s="34"/>
      <c r="Q12" s="34"/>
    </row>
    <row r="13" spans="1:17" ht="15" x14ac:dyDescent="0.2">
      <c r="A13" s="13">
        <v>41306</v>
      </c>
      <c r="B13" s="14">
        <v>25.612662092624401</v>
      </c>
      <c r="C13" s="14">
        <v>25.180415094339601</v>
      </c>
      <c r="D13" s="14">
        <v>25.180415094339601</v>
      </c>
      <c r="E13" s="14">
        <v>25.043756603773598</v>
      </c>
      <c r="F13" s="14">
        <v>25.043756603773598</v>
      </c>
      <c r="G13" s="14">
        <v>25.315132075471698</v>
      </c>
      <c r="H13" s="14">
        <v>25.180415094339601</v>
      </c>
      <c r="I13" s="14">
        <v>25.180415094339601</v>
      </c>
      <c r="J13" s="14">
        <v>24.8202092624357</v>
      </c>
      <c r="K13" s="14">
        <v>25.180415094339601</v>
      </c>
      <c r="L13" s="14"/>
      <c r="M13" s="34"/>
      <c r="N13" s="34"/>
      <c r="O13" s="34"/>
      <c r="P13" s="34"/>
      <c r="Q13" s="34"/>
    </row>
    <row r="14" spans="1:17" ht="15" x14ac:dyDescent="0.2">
      <c r="A14" s="13">
        <v>41334</v>
      </c>
      <c r="B14" s="14">
        <v>23.994085486637498</v>
      </c>
      <c r="C14" s="14">
        <v>23.561838488352802</v>
      </c>
      <c r="D14" s="14">
        <v>23.561838488352802</v>
      </c>
      <c r="E14" s="14">
        <v>23.425179997786799</v>
      </c>
      <c r="F14" s="14">
        <v>23.425179997786799</v>
      </c>
      <c r="G14" s="14">
        <v>23.696555469484899</v>
      </c>
      <c r="H14" s="14">
        <v>23.561838488352802</v>
      </c>
      <c r="I14" s="14">
        <v>23.561838488352802</v>
      </c>
      <c r="J14" s="14">
        <v>23.201632656448801</v>
      </c>
      <c r="K14" s="14">
        <v>23.561838488352802</v>
      </c>
      <c r="L14" s="14"/>
      <c r="M14" s="34"/>
      <c r="N14" s="34"/>
      <c r="O14" s="34"/>
      <c r="P14" s="34"/>
      <c r="Q14" s="34"/>
    </row>
    <row r="15" spans="1:17" ht="15" x14ac:dyDescent="0.2">
      <c r="A15" s="13">
        <v>41365</v>
      </c>
      <c r="B15" s="14">
        <v>22.9189005145798</v>
      </c>
      <c r="C15" s="14">
        <v>22.486653516295</v>
      </c>
      <c r="D15" s="14">
        <v>22.486653516295</v>
      </c>
      <c r="E15" s="14">
        <v>22.349995025729001</v>
      </c>
      <c r="F15" s="14">
        <v>22.349995025729001</v>
      </c>
      <c r="G15" s="14">
        <v>22.621370497427101</v>
      </c>
      <c r="H15" s="14">
        <v>22.486653516295</v>
      </c>
      <c r="I15" s="14">
        <v>22.486653516295</v>
      </c>
      <c r="J15" s="14">
        <v>22.126447684391099</v>
      </c>
      <c r="K15" s="14">
        <v>22.486653516295</v>
      </c>
      <c r="L15" s="14"/>
      <c r="M15" s="34"/>
      <c r="N15" s="34"/>
      <c r="O15" s="34"/>
      <c r="P15" s="34"/>
      <c r="Q15" s="34"/>
    </row>
    <row r="16" spans="1:17" ht="15" x14ac:dyDescent="0.2">
      <c r="A16" s="13">
        <v>41395</v>
      </c>
      <c r="B16" s="14">
        <v>22.8476548995739</v>
      </c>
      <c r="C16" s="14">
        <v>22.4154079012892</v>
      </c>
      <c r="D16" s="14">
        <v>22.4154079012892</v>
      </c>
      <c r="E16" s="14">
        <v>22.278749410723201</v>
      </c>
      <c r="F16" s="14">
        <v>22.278749410723201</v>
      </c>
      <c r="G16" s="14">
        <v>22.550124882421301</v>
      </c>
      <c r="H16" s="14">
        <v>22.4154079012892</v>
      </c>
      <c r="I16" s="14">
        <v>22.4154079012892</v>
      </c>
      <c r="J16" s="14">
        <v>22.055202069385299</v>
      </c>
      <c r="K16" s="14">
        <v>22.4154079012892</v>
      </c>
      <c r="L16" s="14"/>
      <c r="M16" s="34"/>
      <c r="N16" s="34"/>
      <c r="O16" s="34"/>
      <c r="P16" s="34"/>
      <c r="Q16" s="34"/>
    </row>
    <row r="17" spans="1:17" ht="15" x14ac:dyDescent="0.2">
      <c r="A17" s="13">
        <v>41426</v>
      </c>
      <c r="B17" s="14">
        <v>22.392447684391101</v>
      </c>
      <c r="C17" s="14">
        <v>21.960200686106301</v>
      </c>
      <c r="D17" s="14">
        <v>21.960200686106301</v>
      </c>
      <c r="E17" s="14">
        <v>21.823542195540298</v>
      </c>
      <c r="F17" s="14">
        <v>21.823542195540298</v>
      </c>
      <c r="G17" s="14">
        <v>22.094917667238398</v>
      </c>
      <c r="H17" s="14">
        <v>21.960200686106301</v>
      </c>
      <c r="I17" s="14">
        <v>21.960200686106301</v>
      </c>
      <c r="J17" s="14">
        <v>21.5999948542024</v>
      </c>
      <c r="K17" s="14">
        <v>21.960200686106301</v>
      </c>
      <c r="L17" s="14"/>
      <c r="M17" s="34"/>
      <c r="N17" s="34"/>
      <c r="O17" s="34"/>
      <c r="P17" s="34"/>
      <c r="Q17" s="34"/>
    </row>
    <row r="18" spans="1:17" ht="15" x14ac:dyDescent="0.2">
      <c r="A18" s="13">
        <v>41456</v>
      </c>
      <c r="B18" s="14">
        <f>22.7045 * CHOOSE(CONTROL!$C$9, $D$9, 100%, $F$9) + CHOOSE(CONTROL!$C$27, 0.0021, 0)</f>
        <v>22.706599999999998</v>
      </c>
      <c r="C18" s="14">
        <f>22.2722 * CHOOSE(CONTROL!$C$9, $D$9, 100%, $F$9) + CHOOSE(CONTROL!$C$27, 0.0021, 0)</f>
        <v>22.2743</v>
      </c>
      <c r="D18" s="14">
        <f>22.2722 * CHOOSE(CONTROL!$C$9, $D$9, 100%, $F$9) + CHOOSE(CONTROL!$C$27, 0.0021, 0)</f>
        <v>22.2743</v>
      </c>
      <c r="E18" s="14">
        <f>22.1356 * CHOOSE(CONTROL!$C$9, $D$9, 100%, $F$9) + CHOOSE(CONTROL!$C$27, 0.0021, 0)</f>
        <v>22.137699999999999</v>
      </c>
      <c r="F18" s="14">
        <f>22.1356 * CHOOSE(CONTROL!$C$9, $D$9, 100%, $F$9) + CHOOSE(CONTROL!$C$27, 0.0021, 0)</f>
        <v>22.137699999999999</v>
      </c>
      <c r="G18" s="14">
        <f>22.407 * CHOOSE(CONTROL!$C$9, $D$9, 100%, $F$9) + CHOOSE(CONTROL!$C$27, 0.0021, 0)</f>
        <v>22.409099999999999</v>
      </c>
      <c r="H18" s="14">
        <f>22.2722 * CHOOSE(CONTROL!$C$9, $D$9, 100%, $F$9) + CHOOSE(CONTROL!$C$27, 0.0021, 0)</f>
        <v>22.2743</v>
      </c>
      <c r="I18" s="14">
        <f>22.2722 * CHOOSE(CONTROL!$C$9, $D$9, 100%, $F$9) + CHOOSE(CONTROL!$C$27, 0.0021, 0)</f>
        <v>22.2743</v>
      </c>
      <c r="J18" s="14">
        <f>21.912 * CHOOSE(CONTROL!$C$9, $D$9, 100%, $F$9) + CHOOSE(CONTROL!$C$27, 0.0021, 0)</f>
        <v>21.914099999999998</v>
      </c>
      <c r="K18" s="14">
        <f>22.2722 * CHOOSE(CONTROL!$C$9, $D$9, 100%, $F$9) + CHOOSE(CONTROL!$C$27, 0.0021, 0)</f>
        <v>22.2743</v>
      </c>
      <c r="L18" s="14"/>
      <c r="M18" s="34"/>
      <c r="N18" s="34"/>
      <c r="O18" s="34"/>
      <c r="P18" s="34"/>
      <c r="Q18" s="34"/>
    </row>
    <row r="19" spans="1:17" ht="15" x14ac:dyDescent="0.2">
      <c r="A19" s="13">
        <v>41487</v>
      </c>
      <c r="B19" s="14">
        <f>22.7556 * CHOOSE(CONTROL!$C$9, $D$9, 100%, $F$9) + CHOOSE(CONTROL!$C$27, 0.0021, 0)</f>
        <v>22.7577</v>
      </c>
      <c r="C19" s="14">
        <f>22.3234 * CHOOSE(CONTROL!$C$9, $D$9, 100%, $F$9) + CHOOSE(CONTROL!$C$27, 0.0021, 0)</f>
        <v>22.325499999999998</v>
      </c>
      <c r="D19" s="14">
        <f>22.3234 * CHOOSE(CONTROL!$C$9, $D$9, 100%, $F$9) + CHOOSE(CONTROL!$C$27, 0.0021, 0)</f>
        <v>22.325499999999998</v>
      </c>
      <c r="E19" s="14">
        <f>22.1867 * CHOOSE(CONTROL!$C$9, $D$9, 100%, $F$9) + CHOOSE(CONTROL!$C$27, 0.0021, 0)</f>
        <v>22.188799999999997</v>
      </c>
      <c r="F19" s="14">
        <f>22.1867 * CHOOSE(CONTROL!$C$9, $D$9, 100%, $F$9) + CHOOSE(CONTROL!$C$27, 0.0021, 0)</f>
        <v>22.188799999999997</v>
      </c>
      <c r="G19" s="14">
        <f>22.4581 * CHOOSE(CONTROL!$C$9, $D$9, 100%, $F$9) + CHOOSE(CONTROL!$C$27, 0.0021, 0)</f>
        <v>22.4602</v>
      </c>
      <c r="H19" s="14">
        <f>22.3234 * CHOOSE(CONTROL!$C$9, $D$9, 100%, $F$9) + CHOOSE(CONTROL!$C$27, 0.0021, 0)</f>
        <v>22.325499999999998</v>
      </c>
      <c r="I19" s="14">
        <f>22.3234 * CHOOSE(CONTROL!$C$9, $D$9, 100%, $F$9) + CHOOSE(CONTROL!$C$27, 0.0021, 0)</f>
        <v>22.325499999999998</v>
      </c>
      <c r="J19" s="14">
        <f>21.9632 * CHOOSE(CONTROL!$C$9, $D$9, 100%, $F$9) + CHOOSE(CONTROL!$C$27, 0.0021, 0)</f>
        <v>21.965299999999999</v>
      </c>
      <c r="K19" s="14">
        <f>22.3234 * CHOOSE(CONTROL!$C$9, $D$9, 100%, $F$9) + CHOOSE(CONTROL!$C$27, 0.0021, 0)</f>
        <v>22.325499999999998</v>
      </c>
      <c r="L19" s="14"/>
      <c r="M19" s="34"/>
      <c r="N19" s="34"/>
      <c r="O19" s="34"/>
      <c r="P19" s="34"/>
      <c r="Q19" s="34"/>
    </row>
    <row r="20" spans="1:17" ht="15" x14ac:dyDescent="0.2">
      <c r="A20" s="13">
        <v>41518</v>
      </c>
      <c r="B20" s="14">
        <f>22.814 * CHOOSE(CONTROL!$C$9, $D$9, 100%, $F$9) + CHOOSE(CONTROL!$C$27, 0.0021, 0)</f>
        <v>22.816099999999999</v>
      </c>
      <c r="C20" s="14">
        <f>22.3817 * CHOOSE(CONTROL!$C$9, $D$9, 100%, $F$9) + CHOOSE(CONTROL!$C$27, 0.0021, 0)</f>
        <v>22.383799999999997</v>
      </c>
      <c r="D20" s="14">
        <f>22.3817 * CHOOSE(CONTROL!$C$9, $D$9, 100%, $F$9) + CHOOSE(CONTROL!$C$27, 0.0021, 0)</f>
        <v>22.383799999999997</v>
      </c>
      <c r="E20" s="14">
        <f>22.2451 * CHOOSE(CONTROL!$C$9, $D$9, 100%, $F$9) + CHOOSE(CONTROL!$C$27, 0.0021, 0)</f>
        <v>22.247199999999999</v>
      </c>
      <c r="F20" s="14">
        <f>22.2451 * CHOOSE(CONTROL!$C$9, $D$9, 100%, $F$9) + CHOOSE(CONTROL!$C$27, 0.0021, 0)</f>
        <v>22.247199999999999</v>
      </c>
      <c r="G20" s="14">
        <f>22.5165 * CHOOSE(CONTROL!$C$9, $D$9, 100%, $F$9) + CHOOSE(CONTROL!$C$27, 0.0021, 0)</f>
        <v>22.518599999999999</v>
      </c>
      <c r="H20" s="14">
        <f>22.3817 * CHOOSE(CONTROL!$C$9, $D$9, 100%, $F$9) + CHOOSE(CONTROL!$C$27, 0.0021, 0)</f>
        <v>22.383799999999997</v>
      </c>
      <c r="I20" s="14">
        <f>22.3817 * CHOOSE(CONTROL!$C$9, $D$9, 100%, $F$9) + CHOOSE(CONTROL!$C$27, 0.0021, 0)</f>
        <v>22.383799999999997</v>
      </c>
      <c r="J20" s="14">
        <f>22.0215 * CHOOSE(CONTROL!$C$9, $D$9, 100%, $F$9) + CHOOSE(CONTROL!$C$27, 0.0021, 0)</f>
        <v>22.023599999999998</v>
      </c>
      <c r="K20" s="14">
        <f>22.3817 * CHOOSE(CONTROL!$C$9, $D$9, 100%, $F$9) + CHOOSE(CONTROL!$C$27, 0.0021, 0)</f>
        <v>22.383799999999997</v>
      </c>
      <c r="L20" s="14"/>
      <c r="M20" s="34"/>
      <c r="N20" s="34"/>
      <c r="O20" s="34"/>
      <c r="P20" s="34"/>
      <c r="Q20" s="34"/>
    </row>
    <row r="21" spans="1:17" ht="15" x14ac:dyDescent="0.2">
      <c r="A21" s="13">
        <v>41548</v>
      </c>
      <c r="B21" s="14">
        <f>22.8731 * CHOOSE(CONTROL!$C$9, $D$9, 100%, $F$9) + CHOOSE(CONTROL!$C$27, 0.0021, 0)</f>
        <v>22.8752</v>
      </c>
      <c r="C21" s="14">
        <f>22.4408 * CHOOSE(CONTROL!$C$9, $D$9, 100%, $F$9) + CHOOSE(CONTROL!$C$27, 0.0021, 0)</f>
        <v>22.442899999999998</v>
      </c>
      <c r="D21" s="14">
        <f>22.4408 * CHOOSE(CONTROL!$C$9, $D$9, 100%, $F$9) + CHOOSE(CONTROL!$C$27, 0.0021, 0)</f>
        <v>22.442899999999998</v>
      </c>
      <c r="E21" s="14">
        <f>22.3042 * CHOOSE(CONTROL!$C$9, $D$9, 100%, $F$9) + CHOOSE(CONTROL!$C$27, 0.0021, 0)</f>
        <v>22.3063</v>
      </c>
      <c r="F21" s="14">
        <f>22.3042 * CHOOSE(CONTROL!$C$9, $D$9, 100%, $F$9) + CHOOSE(CONTROL!$C$27, 0.0021, 0)</f>
        <v>22.3063</v>
      </c>
      <c r="G21" s="14">
        <f>22.5755 * CHOOSE(CONTROL!$C$9, $D$9, 100%, $F$9) + CHOOSE(CONTROL!$C$27, 0.0021, 0)</f>
        <v>22.5776</v>
      </c>
      <c r="H21" s="14">
        <f>22.4408 * CHOOSE(CONTROL!$C$9, $D$9, 100%, $F$9) + CHOOSE(CONTROL!$C$27, 0.0021, 0)</f>
        <v>22.442899999999998</v>
      </c>
      <c r="I21" s="14">
        <f>22.4408 * CHOOSE(CONTROL!$C$9, $D$9, 100%, $F$9) + CHOOSE(CONTROL!$C$27, 0.0021, 0)</f>
        <v>22.442899999999998</v>
      </c>
      <c r="J21" s="14">
        <f>22.0806 * CHOOSE(CONTROL!$C$9, $D$9, 100%, $F$9) + CHOOSE(CONTROL!$C$27, 0.0021, 0)</f>
        <v>22.082699999999999</v>
      </c>
      <c r="K21" s="14">
        <f>22.4408 * CHOOSE(CONTROL!$C$9, $D$9, 100%, $F$9) + CHOOSE(CONTROL!$C$27, 0.0021, 0)</f>
        <v>22.442899999999998</v>
      </c>
      <c r="L21" s="14"/>
      <c r="M21" s="34"/>
      <c r="N21" s="34"/>
      <c r="O21" s="34"/>
      <c r="P21" s="34"/>
      <c r="Q21" s="34"/>
    </row>
    <row r="22" spans="1:17" ht="15" x14ac:dyDescent="0.2">
      <c r="A22" s="13">
        <v>41579</v>
      </c>
      <c r="B22" s="14">
        <f>22.9264 * CHOOSE(CONTROL!$C$9, $D$9, 100%, $F$9) + CHOOSE(CONTROL!$C$27, 0.0021, 0)</f>
        <v>22.9285</v>
      </c>
      <c r="C22" s="14">
        <f>22.4941 * CHOOSE(CONTROL!$C$9, $D$9, 100%, $F$9) + CHOOSE(CONTROL!$C$27, 0.0021, 0)</f>
        <v>22.496199999999998</v>
      </c>
      <c r="D22" s="14">
        <f>22.4941 * CHOOSE(CONTROL!$C$9, $D$9, 100%, $F$9) + CHOOSE(CONTROL!$C$27, 0.0021, 0)</f>
        <v>22.496199999999998</v>
      </c>
      <c r="E22" s="14">
        <f>22.3575 * CHOOSE(CONTROL!$C$9, $D$9, 100%, $F$9) + CHOOSE(CONTROL!$C$27, 0.0021, 0)</f>
        <v>22.3596</v>
      </c>
      <c r="F22" s="14">
        <f>22.3575 * CHOOSE(CONTROL!$C$9, $D$9, 100%, $F$9) + CHOOSE(CONTROL!$C$27, 0.0021, 0)</f>
        <v>22.3596</v>
      </c>
      <c r="G22" s="14">
        <f>22.6289 * CHOOSE(CONTROL!$C$9, $D$9, 100%, $F$9) + CHOOSE(CONTROL!$C$27, 0.0021, 0)</f>
        <v>22.631</v>
      </c>
      <c r="H22" s="14">
        <f>22.4941 * CHOOSE(CONTROL!$C$9, $D$9, 100%, $F$9) + CHOOSE(CONTROL!$C$27, 0.0021, 0)</f>
        <v>22.496199999999998</v>
      </c>
      <c r="I22" s="14">
        <f>22.4941 * CHOOSE(CONTROL!$C$9, $D$9, 100%, $F$9) + CHOOSE(CONTROL!$C$27, 0.0021, 0)</f>
        <v>22.496199999999998</v>
      </c>
      <c r="J22" s="14">
        <f>22.1339 * CHOOSE(CONTROL!$C$9, $D$9, 100%, $F$9) + CHOOSE(CONTROL!$C$27, 0.0021, 0)</f>
        <v>22.135999999999999</v>
      </c>
      <c r="K22" s="14">
        <f>22.4941 * CHOOSE(CONTROL!$C$9, $D$9, 100%, $F$9) + CHOOSE(CONTROL!$C$27, 0.0021, 0)</f>
        <v>22.496199999999998</v>
      </c>
      <c r="L22" s="14"/>
      <c r="M22" s="34"/>
      <c r="N22" s="34"/>
      <c r="O22" s="34"/>
      <c r="P22" s="34"/>
      <c r="Q22" s="34"/>
    </row>
    <row r="23" spans="1:17" ht="15" x14ac:dyDescent="0.2">
      <c r="A23" s="13">
        <v>41609</v>
      </c>
      <c r="B23" s="14">
        <f>22.9667 * CHOOSE(CONTROL!$C$9, $D$9, 100%, $F$9) + CHOOSE(CONTROL!$C$27, 0.0021, 0)</f>
        <v>22.968799999999998</v>
      </c>
      <c r="C23" s="14">
        <f>22.5345 * CHOOSE(CONTROL!$C$9, $D$9, 100%, $F$9) + CHOOSE(CONTROL!$C$27, 0.0021, 0)</f>
        <v>22.5366</v>
      </c>
      <c r="D23" s="14">
        <f>22.5345 * CHOOSE(CONTROL!$C$9, $D$9, 100%, $F$9) + CHOOSE(CONTROL!$C$27, 0.0021, 0)</f>
        <v>22.5366</v>
      </c>
      <c r="E23" s="14">
        <f>22.3978 * CHOOSE(CONTROL!$C$9, $D$9, 100%, $F$9) + CHOOSE(CONTROL!$C$27, 0.0021, 0)</f>
        <v>22.399899999999999</v>
      </c>
      <c r="F23" s="14">
        <f>22.3978 * CHOOSE(CONTROL!$C$9, $D$9, 100%, $F$9) + CHOOSE(CONTROL!$C$27, 0.0021, 0)</f>
        <v>22.399899999999999</v>
      </c>
      <c r="G23" s="14">
        <f>22.6692 * CHOOSE(CONTROL!$C$9, $D$9, 100%, $F$9) + CHOOSE(CONTROL!$C$27, 0.0021, 0)</f>
        <v>22.671299999999999</v>
      </c>
      <c r="H23" s="14">
        <f>22.5345 * CHOOSE(CONTROL!$C$9, $D$9, 100%, $F$9) + CHOOSE(CONTROL!$C$27, 0.0021, 0)</f>
        <v>22.5366</v>
      </c>
      <c r="I23" s="14">
        <f>22.5345 * CHOOSE(CONTROL!$C$9, $D$9, 100%, $F$9) + CHOOSE(CONTROL!$C$27, 0.0021, 0)</f>
        <v>22.5366</v>
      </c>
      <c r="J23" s="14">
        <f>22.1743 * CHOOSE(CONTROL!$C$9, $D$9, 100%, $F$9) + CHOOSE(CONTROL!$C$27, 0.0021, 0)</f>
        <v>22.176399999999997</v>
      </c>
      <c r="K23" s="14">
        <f>22.5345 * CHOOSE(CONTROL!$C$9, $D$9, 100%, $F$9) + CHOOSE(CONTROL!$C$27, 0.0021, 0)</f>
        <v>22.5366</v>
      </c>
      <c r="L23" s="14"/>
      <c r="M23" s="34"/>
      <c r="N23" s="34"/>
      <c r="O23" s="34"/>
      <c r="P23" s="34"/>
      <c r="Q23" s="34"/>
    </row>
    <row r="24" spans="1:17" ht="15" x14ac:dyDescent="0.2">
      <c r="A24" s="13">
        <v>41640</v>
      </c>
      <c r="B24" s="14">
        <f>23.0222 * CHOOSE(CONTROL!$C$9, $D$9, 100%, $F$9) + CHOOSE(CONTROL!$C$27, 0.0021, 0)</f>
        <v>23.0243</v>
      </c>
      <c r="C24" s="14">
        <f>22.5899 * CHOOSE(CONTROL!$C$9, $D$9, 100%, $F$9) + CHOOSE(CONTROL!$C$27, 0.0021, 0)</f>
        <v>22.591999999999999</v>
      </c>
      <c r="D24" s="14">
        <f>22.5899 * CHOOSE(CONTROL!$C$9, $D$9, 100%, $F$9) + CHOOSE(CONTROL!$C$27, 0.0021, 0)</f>
        <v>22.591999999999999</v>
      </c>
      <c r="E24" s="14">
        <f>22.4533 * CHOOSE(CONTROL!$C$9, $D$9, 100%, $F$9) + CHOOSE(CONTROL!$C$27, 0.0021, 0)</f>
        <v>22.455399999999997</v>
      </c>
      <c r="F24" s="14">
        <f>22.4533 * CHOOSE(CONTROL!$C$9, $D$9, 100%, $F$9) + CHOOSE(CONTROL!$C$27, 0.0021, 0)</f>
        <v>22.455399999999997</v>
      </c>
      <c r="G24" s="14">
        <f>22.7247 * CHOOSE(CONTROL!$C$9, $D$9, 100%, $F$9) + CHOOSE(CONTROL!$C$27, 0.0021, 0)</f>
        <v>22.726799999999997</v>
      </c>
      <c r="H24" s="14">
        <f>22.5899 * CHOOSE(CONTROL!$C$9, $D$9, 100%, $F$9) + CHOOSE(CONTROL!$C$27, 0.0021, 0)</f>
        <v>22.591999999999999</v>
      </c>
      <c r="I24" s="14">
        <f>22.5899 * CHOOSE(CONTROL!$C$9, $D$9, 100%, $F$9) + CHOOSE(CONTROL!$C$27, 0.0021, 0)</f>
        <v>22.591999999999999</v>
      </c>
      <c r="J24" s="14">
        <f>22.2297 * CHOOSE(CONTROL!$C$9, $D$9, 100%, $F$9) + CHOOSE(CONTROL!$C$27, 0.0021, 0)</f>
        <v>22.2318</v>
      </c>
      <c r="K24" s="14">
        <f>22.5899 * CHOOSE(CONTROL!$C$9, $D$9, 100%, $F$9) + CHOOSE(CONTROL!$C$27, 0.0021, 0)</f>
        <v>22.591999999999999</v>
      </c>
      <c r="L24" s="14"/>
      <c r="M24" s="34"/>
      <c r="N24" s="34"/>
      <c r="O24" s="34"/>
      <c r="P24" s="34"/>
      <c r="Q24" s="34"/>
    </row>
    <row r="25" spans="1:17" ht="15" x14ac:dyDescent="0.2">
      <c r="A25" s="13">
        <v>41671</v>
      </c>
      <c r="B25" s="14">
        <f>23.0539 * CHOOSE(CONTROL!$C$9, $D$9, 100%, $F$9) + CHOOSE(CONTROL!$C$27, 0.0021, 0)</f>
        <v>23.055999999999997</v>
      </c>
      <c r="C25" s="14">
        <f>22.6216 * CHOOSE(CONTROL!$C$9, $D$9, 100%, $F$9) + CHOOSE(CONTROL!$C$27, 0.0021, 0)</f>
        <v>22.623699999999999</v>
      </c>
      <c r="D25" s="14">
        <f>22.6216 * CHOOSE(CONTROL!$C$9, $D$9, 100%, $F$9) + CHOOSE(CONTROL!$C$27, 0.0021, 0)</f>
        <v>22.623699999999999</v>
      </c>
      <c r="E25" s="14">
        <f>22.485 * CHOOSE(CONTROL!$C$9, $D$9, 100%, $F$9) + CHOOSE(CONTROL!$C$27, 0.0021, 0)</f>
        <v>22.487099999999998</v>
      </c>
      <c r="F25" s="14">
        <f>22.485 * CHOOSE(CONTROL!$C$9, $D$9, 100%, $F$9) + CHOOSE(CONTROL!$C$27, 0.0021, 0)</f>
        <v>22.487099999999998</v>
      </c>
      <c r="G25" s="14">
        <f>22.7564 * CHOOSE(CONTROL!$C$9, $D$9, 100%, $F$9) + CHOOSE(CONTROL!$C$27, 0.0021, 0)</f>
        <v>22.758499999999998</v>
      </c>
      <c r="H25" s="14">
        <f>22.6216 * CHOOSE(CONTROL!$C$9, $D$9, 100%, $F$9) + CHOOSE(CONTROL!$C$27, 0.0021, 0)</f>
        <v>22.623699999999999</v>
      </c>
      <c r="I25" s="14">
        <f>22.6216 * CHOOSE(CONTROL!$C$9, $D$9, 100%, $F$9) + CHOOSE(CONTROL!$C$27, 0.0021, 0)</f>
        <v>22.623699999999999</v>
      </c>
      <c r="J25" s="14">
        <f>22.2614 * CHOOSE(CONTROL!$C$9, $D$9, 100%, $F$9) + CHOOSE(CONTROL!$C$27, 0.0021, 0)</f>
        <v>22.263499999999997</v>
      </c>
      <c r="K25" s="14">
        <f>22.6216 * CHOOSE(CONTROL!$C$9, $D$9, 100%, $F$9) + CHOOSE(CONTROL!$C$27, 0.0021, 0)</f>
        <v>22.623699999999999</v>
      </c>
      <c r="L25" s="14"/>
      <c r="M25" s="34"/>
      <c r="N25" s="34"/>
      <c r="O25" s="34"/>
      <c r="P25" s="34"/>
      <c r="Q25" s="34"/>
    </row>
    <row r="26" spans="1:17" ht="15" x14ac:dyDescent="0.2">
      <c r="A26" s="13">
        <v>41699</v>
      </c>
      <c r="B26" s="14">
        <f>23.0244 * CHOOSE(CONTROL!$C$9, $D$9, 100%, $F$9) + CHOOSE(CONTROL!$C$27, 0.0021, 0)</f>
        <v>23.026499999999999</v>
      </c>
      <c r="C26" s="14">
        <f>22.5921 * CHOOSE(CONTROL!$C$9, $D$9, 100%, $F$9) + CHOOSE(CONTROL!$C$27, 0.0021, 0)</f>
        <v>22.594199999999997</v>
      </c>
      <c r="D26" s="14">
        <f>22.5921 * CHOOSE(CONTROL!$C$9, $D$9, 100%, $F$9) + CHOOSE(CONTROL!$C$27, 0.0021, 0)</f>
        <v>22.594199999999997</v>
      </c>
      <c r="E26" s="14">
        <f>22.4555 * CHOOSE(CONTROL!$C$9, $D$9, 100%, $F$9) + CHOOSE(CONTROL!$C$27, 0.0021, 0)</f>
        <v>22.457599999999999</v>
      </c>
      <c r="F26" s="14">
        <f>22.4555 * CHOOSE(CONTROL!$C$9, $D$9, 100%, $F$9) + CHOOSE(CONTROL!$C$27, 0.0021, 0)</f>
        <v>22.457599999999999</v>
      </c>
      <c r="G26" s="14">
        <f>22.7268 * CHOOSE(CONTROL!$C$9, $D$9, 100%, $F$9) + CHOOSE(CONTROL!$C$27, 0.0021, 0)</f>
        <v>22.728899999999999</v>
      </c>
      <c r="H26" s="14">
        <f>22.5921 * CHOOSE(CONTROL!$C$9, $D$9, 100%, $F$9) + CHOOSE(CONTROL!$C$27, 0.0021, 0)</f>
        <v>22.594199999999997</v>
      </c>
      <c r="I26" s="14">
        <f>22.5921 * CHOOSE(CONTROL!$C$9, $D$9, 100%, $F$9) + CHOOSE(CONTROL!$C$27, 0.0021, 0)</f>
        <v>22.594199999999997</v>
      </c>
      <c r="J26" s="14">
        <f>22.2319 * CHOOSE(CONTROL!$C$9, $D$9, 100%, $F$9) + CHOOSE(CONTROL!$C$27, 0.0021, 0)</f>
        <v>22.233999999999998</v>
      </c>
      <c r="K26" s="14">
        <f>22.5921 * CHOOSE(CONTROL!$C$9, $D$9, 100%, $F$9) + CHOOSE(CONTROL!$C$27, 0.0021, 0)</f>
        <v>22.594199999999997</v>
      </c>
      <c r="L26" s="14"/>
      <c r="M26" s="34"/>
      <c r="N26" s="34"/>
      <c r="O26" s="34"/>
      <c r="P26" s="34"/>
      <c r="Q26" s="34"/>
    </row>
    <row r="27" spans="1:17" ht="15" x14ac:dyDescent="0.2">
      <c r="A27" s="13">
        <v>41730</v>
      </c>
      <c r="B27" s="14">
        <f>22.9451 * CHOOSE(CONTROL!$C$9, $D$9, 100%, $F$9) + CHOOSE(CONTROL!$C$27, 0.0021, 0)</f>
        <v>22.947199999999999</v>
      </c>
      <c r="C27" s="14">
        <f>22.5129 * CHOOSE(CONTROL!$C$9, $D$9, 100%, $F$9) + CHOOSE(CONTROL!$C$27, 0.0021, 0)</f>
        <v>22.514999999999997</v>
      </c>
      <c r="D27" s="14">
        <f>22.5129 * CHOOSE(CONTROL!$C$9, $D$9, 100%, $F$9) + CHOOSE(CONTROL!$C$27, 0.0021, 0)</f>
        <v>22.514999999999997</v>
      </c>
      <c r="E27" s="14">
        <f>22.3762 * CHOOSE(CONTROL!$C$9, $D$9, 100%, $F$9) + CHOOSE(CONTROL!$C$27, 0.0021, 0)</f>
        <v>22.378299999999999</v>
      </c>
      <c r="F27" s="14">
        <f>22.3762 * CHOOSE(CONTROL!$C$9, $D$9, 100%, $F$9) + CHOOSE(CONTROL!$C$27, 0.0021, 0)</f>
        <v>22.378299999999999</v>
      </c>
      <c r="G27" s="14">
        <f>22.6476 * CHOOSE(CONTROL!$C$9, $D$9, 100%, $F$9) + CHOOSE(CONTROL!$C$27, 0.0021, 0)</f>
        <v>22.649699999999999</v>
      </c>
      <c r="H27" s="14">
        <f>22.5129 * CHOOSE(CONTROL!$C$9, $D$9, 100%, $F$9) + CHOOSE(CONTROL!$C$27, 0.0021, 0)</f>
        <v>22.514999999999997</v>
      </c>
      <c r="I27" s="14">
        <f>22.5129 * CHOOSE(CONTROL!$C$9, $D$9, 100%, $F$9) + CHOOSE(CONTROL!$C$27, 0.0021, 0)</f>
        <v>22.514999999999997</v>
      </c>
      <c r="J27" s="14">
        <f>22.1527 * CHOOSE(CONTROL!$C$9, $D$9, 100%, $F$9) + CHOOSE(CONTROL!$C$27, 0.0021, 0)</f>
        <v>22.154799999999998</v>
      </c>
      <c r="K27" s="14">
        <f>22.5129 * CHOOSE(CONTROL!$C$9, $D$9, 100%, $F$9) + CHOOSE(CONTROL!$C$27, 0.0021, 0)</f>
        <v>22.514999999999997</v>
      </c>
      <c r="L27" s="14"/>
      <c r="M27" s="34"/>
      <c r="N27" s="34"/>
      <c r="O27" s="34"/>
      <c r="P27" s="34"/>
      <c r="Q27" s="34"/>
    </row>
    <row r="28" spans="1:17" ht="15" x14ac:dyDescent="0.2">
      <c r="A28" s="13">
        <v>41760</v>
      </c>
      <c r="B28" s="14">
        <f>22.8738 * CHOOSE(CONTROL!$C$9, $D$9, 100%, $F$9) + CHOOSE(CONTROL!$C$27, 0.0021, 0)</f>
        <v>22.875899999999998</v>
      </c>
      <c r="C28" s="14">
        <f>22.4415 * CHOOSE(CONTROL!$C$9, $D$9, 100%, $F$9) + CHOOSE(CONTROL!$C$27, 0.0021, 0)</f>
        <v>22.4436</v>
      </c>
      <c r="D28" s="14">
        <f>22.4415 * CHOOSE(CONTROL!$C$9, $D$9, 100%, $F$9) + CHOOSE(CONTROL!$C$27, 0.0021, 0)</f>
        <v>22.4436</v>
      </c>
      <c r="E28" s="14">
        <f>22.3049 * CHOOSE(CONTROL!$C$9, $D$9, 100%, $F$9) + CHOOSE(CONTROL!$C$27, 0.0021, 0)</f>
        <v>22.306999999999999</v>
      </c>
      <c r="F28" s="14">
        <f>22.3049 * CHOOSE(CONTROL!$C$9, $D$9, 100%, $F$9) + CHOOSE(CONTROL!$C$27, 0.0021, 0)</f>
        <v>22.306999999999999</v>
      </c>
      <c r="G28" s="14">
        <f>22.5763 * CHOOSE(CONTROL!$C$9, $D$9, 100%, $F$9) + CHOOSE(CONTROL!$C$27, 0.0021, 0)</f>
        <v>22.578399999999998</v>
      </c>
      <c r="H28" s="14">
        <f>22.4415 * CHOOSE(CONTROL!$C$9, $D$9, 100%, $F$9) + CHOOSE(CONTROL!$C$27, 0.0021, 0)</f>
        <v>22.4436</v>
      </c>
      <c r="I28" s="14">
        <f>22.4415 * CHOOSE(CONTROL!$C$9, $D$9, 100%, $F$9) + CHOOSE(CONTROL!$C$27, 0.0021, 0)</f>
        <v>22.4436</v>
      </c>
      <c r="J28" s="14">
        <f>22.0813 * CHOOSE(CONTROL!$C$9, $D$9, 100%, $F$9) + CHOOSE(CONTROL!$C$27, 0.0021, 0)</f>
        <v>22.083399999999997</v>
      </c>
      <c r="K28" s="14">
        <f>22.4415 * CHOOSE(CONTROL!$C$9, $D$9, 100%, $F$9) + CHOOSE(CONTROL!$C$27, 0.0021, 0)</f>
        <v>22.4436</v>
      </c>
      <c r="L28" s="14"/>
      <c r="M28" s="34"/>
      <c r="N28" s="34"/>
      <c r="O28" s="34"/>
      <c r="P28" s="34"/>
      <c r="Q28" s="34"/>
    </row>
    <row r="29" spans="1:17" ht="15" x14ac:dyDescent="0.2">
      <c r="A29" s="13">
        <v>41791</v>
      </c>
      <c r="B29" s="14">
        <f>22.8032 * CHOOSE(CONTROL!$C$9, $D$9, 100%, $F$9) + CHOOSE(CONTROL!$C$27, 0.0021, 0)</f>
        <v>22.805299999999999</v>
      </c>
      <c r="C29" s="14">
        <f>22.3709 * CHOOSE(CONTROL!$C$9, $D$9, 100%, $F$9) + CHOOSE(CONTROL!$C$27, 0.0021, 0)</f>
        <v>22.372999999999998</v>
      </c>
      <c r="D29" s="14">
        <f>22.3709 * CHOOSE(CONTROL!$C$9, $D$9, 100%, $F$9) + CHOOSE(CONTROL!$C$27, 0.0021, 0)</f>
        <v>22.372999999999998</v>
      </c>
      <c r="E29" s="14">
        <f>22.2343 * CHOOSE(CONTROL!$C$9, $D$9, 100%, $F$9) + CHOOSE(CONTROL!$C$27, 0.0021, 0)</f>
        <v>22.2364</v>
      </c>
      <c r="F29" s="14">
        <f>22.2343 * CHOOSE(CONTROL!$C$9, $D$9, 100%, $F$9) + CHOOSE(CONTROL!$C$27, 0.0021, 0)</f>
        <v>22.2364</v>
      </c>
      <c r="G29" s="14">
        <f>22.5057 * CHOOSE(CONTROL!$C$9, $D$9, 100%, $F$9) + CHOOSE(CONTROL!$C$27, 0.0021, 0)</f>
        <v>22.5078</v>
      </c>
      <c r="H29" s="14">
        <f>22.3709 * CHOOSE(CONTROL!$C$9, $D$9, 100%, $F$9) + CHOOSE(CONTROL!$C$27, 0.0021, 0)</f>
        <v>22.372999999999998</v>
      </c>
      <c r="I29" s="14">
        <f>22.3709 * CHOOSE(CONTROL!$C$9, $D$9, 100%, $F$9) + CHOOSE(CONTROL!$C$27, 0.0021, 0)</f>
        <v>22.372999999999998</v>
      </c>
      <c r="J29" s="14">
        <f>22.0107 * CHOOSE(CONTROL!$C$9, $D$9, 100%, $F$9) + CHOOSE(CONTROL!$C$27, 0.0021, 0)</f>
        <v>22.012799999999999</v>
      </c>
      <c r="K29" s="14">
        <f>22.3709 * CHOOSE(CONTROL!$C$9, $D$9, 100%, $F$9) + CHOOSE(CONTROL!$C$27, 0.0021, 0)</f>
        <v>22.372999999999998</v>
      </c>
      <c r="L29" s="14"/>
      <c r="M29" s="34"/>
      <c r="N29" s="34"/>
      <c r="O29" s="34"/>
      <c r="P29" s="34"/>
      <c r="Q29" s="34"/>
    </row>
    <row r="30" spans="1:17" ht="15" x14ac:dyDescent="0.2">
      <c r="A30" s="13">
        <v>41821</v>
      </c>
      <c r="B30" s="14">
        <f>22.7809 * CHOOSE(CONTROL!$C$9, $D$9, 100%, $F$9) + CHOOSE(CONTROL!$C$27, 0.0021, 0)</f>
        <v>22.782999999999998</v>
      </c>
      <c r="C30" s="14">
        <f>22.3486 * CHOOSE(CONTROL!$C$9, $D$9, 100%, $F$9) + CHOOSE(CONTROL!$C$27, 0.0021, 0)</f>
        <v>22.3507</v>
      </c>
      <c r="D30" s="14">
        <f>22.3486 * CHOOSE(CONTROL!$C$9, $D$9, 100%, $F$9) + CHOOSE(CONTROL!$C$27, 0.0021, 0)</f>
        <v>22.3507</v>
      </c>
      <c r="E30" s="14">
        <f>22.212 * CHOOSE(CONTROL!$C$9, $D$9, 100%, $F$9) + CHOOSE(CONTROL!$C$27, 0.0021, 0)</f>
        <v>22.214099999999998</v>
      </c>
      <c r="F30" s="14">
        <f>22.212 * CHOOSE(CONTROL!$C$9, $D$9, 100%, $F$9) + CHOOSE(CONTROL!$C$27, 0.0021, 0)</f>
        <v>22.214099999999998</v>
      </c>
      <c r="G30" s="14">
        <f>22.4833 * CHOOSE(CONTROL!$C$9, $D$9, 100%, $F$9) + CHOOSE(CONTROL!$C$27, 0.0021, 0)</f>
        <v>22.485399999999998</v>
      </c>
      <c r="H30" s="14">
        <f>22.3486 * CHOOSE(CONTROL!$C$9, $D$9, 100%, $F$9) + CHOOSE(CONTROL!$C$27, 0.0021, 0)</f>
        <v>22.3507</v>
      </c>
      <c r="I30" s="14">
        <f>22.3486 * CHOOSE(CONTROL!$C$9, $D$9, 100%, $F$9) + CHOOSE(CONTROL!$C$27, 0.0021, 0)</f>
        <v>22.3507</v>
      </c>
      <c r="J30" s="14">
        <f>21.9884 * CHOOSE(CONTROL!$C$9, $D$9, 100%, $F$9) + CHOOSE(CONTROL!$C$27, 0.0021, 0)</f>
        <v>21.990499999999997</v>
      </c>
      <c r="K30" s="14">
        <f>22.3486 * CHOOSE(CONTROL!$C$9, $D$9, 100%, $F$9) + CHOOSE(CONTROL!$C$27, 0.0021, 0)</f>
        <v>22.3507</v>
      </c>
      <c r="L30" s="14"/>
      <c r="M30" s="34"/>
      <c r="N30" s="34"/>
      <c r="O30" s="34"/>
      <c r="P30" s="34"/>
      <c r="Q30" s="34"/>
    </row>
    <row r="31" spans="1:17" ht="15" x14ac:dyDescent="0.2">
      <c r="A31" s="13">
        <v>41852</v>
      </c>
      <c r="B31" s="14">
        <f>22.7664 * CHOOSE(CONTROL!$C$9, $D$9, 100%, $F$9) + CHOOSE(CONTROL!$C$27, 0.0021, 0)</f>
        <v>22.7685</v>
      </c>
      <c r="C31" s="14">
        <f>22.3342 * CHOOSE(CONTROL!$C$9, $D$9, 100%, $F$9) + CHOOSE(CONTROL!$C$27, 0.0021, 0)</f>
        <v>22.336299999999998</v>
      </c>
      <c r="D31" s="14">
        <f>22.3342 * CHOOSE(CONTROL!$C$9, $D$9, 100%, $F$9) + CHOOSE(CONTROL!$C$27, 0.0021, 0)</f>
        <v>22.336299999999998</v>
      </c>
      <c r="E31" s="14">
        <f>22.1975 * CHOOSE(CONTROL!$C$9, $D$9, 100%, $F$9) + CHOOSE(CONTROL!$C$27, 0.0021, 0)</f>
        <v>22.1996</v>
      </c>
      <c r="F31" s="14">
        <f>22.1975 * CHOOSE(CONTROL!$C$9, $D$9, 100%, $F$9) + CHOOSE(CONTROL!$C$27, 0.0021, 0)</f>
        <v>22.1996</v>
      </c>
      <c r="G31" s="14">
        <f>22.4689 * CHOOSE(CONTROL!$C$9, $D$9, 100%, $F$9) + CHOOSE(CONTROL!$C$27, 0.0021, 0)</f>
        <v>22.471</v>
      </c>
      <c r="H31" s="14">
        <f>22.3342 * CHOOSE(CONTROL!$C$9, $D$9, 100%, $F$9) + CHOOSE(CONTROL!$C$27, 0.0021, 0)</f>
        <v>22.336299999999998</v>
      </c>
      <c r="I31" s="14">
        <f>22.3342 * CHOOSE(CONTROL!$C$9, $D$9, 100%, $F$9) + CHOOSE(CONTROL!$C$27, 0.0021, 0)</f>
        <v>22.336299999999998</v>
      </c>
      <c r="J31" s="14">
        <f>21.974 * CHOOSE(CONTROL!$C$9, $D$9, 100%, $F$9) + CHOOSE(CONTROL!$C$27, 0.0021, 0)</f>
        <v>21.976099999999999</v>
      </c>
      <c r="K31" s="14">
        <f>22.3342 * CHOOSE(CONTROL!$C$9, $D$9, 100%, $F$9) + CHOOSE(CONTROL!$C$27, 0.0021, 0)</f>
        <v>22.336299999999998</v>
      </c>
      <c r="L31" s="14"/>
      <c r="M31" s="34"/>
      <c r="N31" s="34"/>
      <c r="O31" s="34"/>
      <c r="P31" s="34"/>
      <c r="Q31" s="34"/>
    </row>
    <row r="32" spans="1:17" ht="15" x14ac:dyDescent="0.2">
      <c r="A32" s="13">
        <v>41883</v>
      </c>
      <c r="B32" s="14">
        <f>22.7448 * CHOOSE(CONTROL!$C$9, $D$9, 100%, $F$9) + CHOOSE(CONTROL!$C$27, 0.0021, 0)</f>
        <v>22.7469</v>
      </c>
      <c r="C32" s="14">
        <f>22.3126 * CHOOSE(CONTROL!$C$9, $D$9, 100%, $F$9) + CHOOSE(CONTROL!$C$27, 0.0021, 0)</f>
        <v>22.314699999999998</v>
      </c>
      <c r="D32" s="14">
        <f>22.3126 * CHOOSE(CONTROL!$C$9, $D$9, 100%, $F$9) + CHOOSE(CONTROL!$C$27, 0.0021, 0)</f>
        <v>22.314699999999998</v>
      </c>
      <c r="E32" s="14">
        <f>22.1759 * CHOOSE(CONTROL!$C$9, $D$9, 100%, $F$9) + CHOOSE(CONTROL!$C$27, 0.0021, 0)</f>
        <v>22.177999999999997</v>
      </c>
      <c r="F32" s="14">
        <f>22.1759 * CHOOSE(CONTROL!$C$9, $D$9, 100%, $F$9) + CHOOSE(CONTROL!$C$27, 0.0021, 0)</f>
        <v>22.177999999999997</v>
      </c>
      <c r="G32" s="14">
        <f>22.4473 * CHOOSE(CONTROL!$C$9, $D$9, 100%, $F$9) + CHOOSE(CONTROL!$C$27, 0.0021, 0)</f>
        <v>22.449399999999997</v>
      </c>
      <c r="H32" s="14">
        <f>22.3126 * CHOOSE(CONTROL!$C$9, $D$9, 100%, $F$9) + CHOOSE(CONTROL!$C$27, 0.0021, 0)</f>
        <v>22.314699999999998</v>
      </c>
      <c r="I32" s="14">
        <f>22.3126 * CHOOSE(CONTROL!$C$9, $D$9, 100%, $F$9) + CHOOSE(CONTROL!$C$27, 0.0021, 0)</f>
        <v>22.314699999999998</v>
      </c>
      <c r="J32" s="14">
        <f>21.9524 * CHOOSE(CONTROL!$C$9, $D$9, 100%, $F$9) + CHOOSE(CONTROL!$C$27, 0.0021, 0)</f>
        <v>21.954499999999999</v>
      </c>
      <c r="K32" s="14">
        <f>22.3126 * CHOOSE(CONTROL!$C$9, $D$9, 100%, $F$9) + CHOOSE(CONTROL!$C$27, 0.0021, 0)</f>
        <v>22.314699999999998</v>
      </c>
      <c r="L32" s="14"/>
      <c r="M32" s="34"/>
      <c r="N32" s="34"/>
      <c r="O32" s="34"/>
      <c r="P32" s="34"/>
      <c r="Q32" s="34"/>
    </row>
    <row r="33" spans="1:17" ht="15" x14ac:dyDescent="0.2">
      <c r="A33" s="13">
        <v>41913</v>
      </c>
      <c r="B33" s="14">
        <f>22.7124 * CHOOSE(CONTROL!$C$9, $D$9, 100%, $F$9) + CHOOSE(CONTROL!$C$27, 0.0021, 0)</f>
        <v>22.714499999999997</v>
      </c>
      <c r="C33" s="14">
        <f>22.2802 * CHOOSE(CONTROL!$C$9, $D$9, 100%, $F$9) + CHOOSE(CONTROL!$C$27, 0.0021, 0)</f>
        <v>22.282299999999999</v>
      </c>
      <c r="D33" s="14">
        <f>22.2802 * CHOOSE(CONTROL!$C$9, $D$9, 100%, $F$9) + CHOOSE(CONTROL!$C$27, 0.0021, 0)</f>
        <v>22.282299999999999</v>
      </c>
      <c r="E33" s="14">
        <f>22.1435 * CHOOSE(CONTROL!$C$9, $D$9, 100%, $F$9) + CHOOSE(CONTROL!$C$27, 0.0021, 0)</f>
        <v>22.145599999999998</v>
      </c>
      <c r="F33" s="14">
        <f>22.1435 * CHOOSE(CONTROL!$C$9, $D$9, 100%, $F$9) + CHOOSE(CONTROL!$C$27, 0.0021, 0)</f>
        <v>22.145599999999998</v>
      </c>
      <c r="G33" s="14">
        <f>22.4149 * CHOOSE(CONTROL!$C$9, $D$9, 100%, $F$9) + CHOOSE(CONTROL!$C$27, 0.0021, 0)</f>
        <v>22.416999999999998</v>
      </c>
      <c r="H33" s="14">
        <f>22.2802 * CHOOSE(CONTROL!$C$9, $D$9, 100%, $F$9) + CHOOSE(CONTROL!$C$27, 0.0021, 0)</f>
        <v>22.282299999999999</v>
      </c>
      <c r="I33" s="14">
        <f>22.2802 * CHOOSE(CONTROL!$C$9, $D$9, 100%, $F$9) + CHOOSE(CONTROL!$C$27, 0.0021, 0)</f>
        <v>22.282299999999999</v>
      </c>
      <c r="J33" s="14">
        <f>21.92 * CHOOSE(CONTROL!$C$9, $D$9, 100%, $F$9) + CHOOSE(CONTROL!$C$27, 0.0021, 0)</f>
        <v>21.9221</v>
      </c>
      <c r="K33" s="14">
        <f>22.2802 * CHOOSE(CONTROL!$C$9, $D$9, 100%, $F$9) + CHOOSE(CONTROL!$C$27, 0.0021, 0)</f>
        <v>22.282299999999999</v>
      </c>
      <c r="L33" s="14"/>
      <c r="M33" s="34"/>
      <c r="N33" s="34"/>
      <c r="O33" s="34"/>
      <c r="P33" s="34"/>
      <c r="Q33" s="34"/>
    </row>
    <row r="34" spans="1:17" ht="15" x14ac:dyDescent="0.2">
      <c r="A34" s="13">
        <v>41944</v>
      </c>
      <c r="B34" s="14">
        <f>22.6728 * CHOOSE(CONTROL!$C$9, $D$9, 100%, $F$9) + CHOOSE(CONTROL!$C$27, 0.0021, 0)</f>
        <v>22.674899999999997</v>
      </c>
      <c r="C34" s="14">
        <f>22.2405 * CHOOSE(CONTROL!$C$9, $D$9, 100%, $F$9) + CHOOSE(CONTROL!$C$27, 0.0021, 0)</f>
        <v>22.242599999999999</v>
      </c>
      <c r="D34" s="14">
        <f>22.2405 * CHOOSE(CONTROL!$C$9, $D$9, 100%, $F$9) + CHOOSE(CONTROL!$C$27, 0.0021, 0)</f>
        <v>22.242599999999999</v>
      </c>
      <c r="E34" s="14">
        <f>22.1039 * CHOOSE(CONTROL!$C$9, $D$9, 100%, $F$9) + CHOOSE(CONTROL!$C$27, 0.0021, 0)</f>
        <v>22.105999999999998</v>
      </c>
      <c r="F34" s="14">
        <f>22.1039 * CHOOSE(CONTROL!$C$9, $D$9, 100%, $F$9) + CHOOSE(CONTROL!$C$27, 0.0021, 0)</f>
        <v>22.105999999999998</v>
      </c>
      <c r="G34" s="14">
        <f>22.3753 * CHOOSE(CONTROL!$C$9, $D$9, 100%, $F$9) + CHOOSE(CONTROL!$C$27, 0.0021, 0)</f>
        <v>22.377399999999998</v>
      </c>
      <c r="H34" s="14">
        <f>22.2405 * CHOOSE(CONTROL!$C$9, $D$9, 100%, $F$9) + CHOOSE(CONTROL!$C$27, 0.0021, 0)</f>
        <v>22.242599999999999</v>
      </c>
      <c r="I34" s="14">
        <f>22.2405 * CHOOSE(CONTROL!$C$9, $D$9, 100%, $F$9) + CHOOSE(CONTROL!$C$27, 0.0021, 0)</f>
        <v>22.242599999999999</v>
      </c>
      <c r="J34" s="14">
        <f>21.8803 * CHOOSE(CONTROL!$C$9, $D$9, 100%, $F$9) + CHOOSE(CONTROL!$C$27, 0.0021, 0)</f>
        <v>21.882399999999997</v>
      </c>
      <c r="K34" s="14">
        <f>22.2405 * CHOOSE(CONTROL!$C$9, $D$9, 100%, $F$9) + CHOOSE(CONTROL!$C$27, 0.0021, 0)</f>
        <v>22.242599999999999</v>
      </c>
      <c r="L34" s="14"/>
      <c r="M34" s="34"/>
      <c r="N34" s="34"/>
      <c r="O34" s="34"/>
      <c r="P34" s="34"/>
      <c r="Q34" s="34"/>
    </row>
    <row r="35" spans="1:17" ht="15" x14ac:dyDescent="0.2">
      <c r="A35" s="13">
        <v>41974</v>
      </c>
      <c r="B35" s="14">
        <f>22.626 * CHOOSE(CONTROL!$C$9, $D$9, 100%, $F$9) + CHOOSE(CONTROL!$C$27, 0.0021, 0)</f>
        <v>22.6281</v>
      </c>
      <c r="C35" s="14">
        <f>22.1937 * CHOOSE(CONTROL!$C$9, $D$9, 100%, $F$9) + CHOOSE(CONTROL!$C$27, 0.0021, 0)</f>
        <v>22.195799999999998</v>
      </c>
      <c r="D35" s="14">
        <f>22.1937 * CHOOSE(CONTROL!$C$9, $D$9, 100%, $F$9) + CHOOSE(CONTROL!$C$27, 0.0021, 0)</f>
        <v>22.195799999999998</v>
      </c>
      <c r="E35" s="14">
        <f>22.0571 * CHOOSE(CONTROL!$C$9, $D$9, 100%, $F$9) + CHOOSE(CONTROL!$C$27, 0.0021, 0)</f>
        <v>22.059199999999997</v>
      </c>
      <c r="F35" s="14">
        <f>22.0571 * CHOOSE(CONTROL!$C$9, $D$9, 100%, $F$9) + CHOOSE(CONTROL!$C$27, 0.0021, 0)</f>
        <v>22.059199999999997</v>
      </c>
      <c r="G35" s="14">
        <f>22.3284 * CHOOSE(CONTROL!$C$9, $D$9, 100%, $F$9) + CHOOSE(CONTROL!$C$27, 0.0021, 0)</f>
        <v>22.330499999999997</v>
      </c>
      <c r="H35" s="14">
        <f>22.1937 * CHOOSE(CONTROL!$C$9, $D$9, 100%, $F$9) + CHOOSE(CONTROL!$C$27, 0.0021, 0)</f>
        <v>22.195799999999998</v>
      </c>
      <c r="I35" s="14">
        <f>22.1937 * CHOOSE(CONTROL!$C$9, $D$9, 100%, $F$9) + CHOOSE(CONTROL!$C$27, 0.0021, 0)</f>
        <v>22.195799999999998</v>
      </c>
      <c r="J35" s="14">
        <f>21.8335 * CHOOSE(CONTROL!$C$9, $D$9, 100%, $F$9) + CHOOSE(CONTROL!$C$27, 0.0021, 0)</f>
        <v>21.835599999999999</v>
      </c>
      <c r="K35" s="14">
        <f>22.1937 * CHOOSE(CONTROL!$C$9, $D$9, 100%, $F$9) + CHOOSE(CONTROL!$C$27, 0.0021, 0)</f>
        <v>22.195799999999998</v>
      </c>
      <c r="L35" s="14"/>
      <c r="M35" s="34"/>
      <c r="N35" s="34"/>
      <c r="O35" s="34"/>
      <c r="P35" s="34"/>
      <c r="Q35" s="34"/>
    </row>
    <row r="36" spans="1:17" ht="15" x14ac:dyDescent="0.2">
      <c r="A36" s="13">
        <v>42005</v>
      </c>
      <c r="B36" s="14">
        <f>22.5972 * CHOOSE(CONTROL!$C$9, $D$9, 100%, $F$9) + CHOOSE(CONTROL!$C$27, 0.0021, 0)</f>
        <v>22.599299999999999</v>
      </c>
      <c r="C36" s="14">
        <f>22.1649 * CHOOSE(CONTROL!$C$9, $D$9, 100%, $F$9) + CHOOSE(CONTROL!$C$27, 0.0021, 0)</f>
        <v>22.166999999999998</v>
      </c>
      <c r="D36" s="14">
        <f>22.1649 * CHOOSE(CONTROL!$C$9, $D$9, 100%, $F$9) + CHOOSE(CONTROL!$C$27, 0.0021, 0)</f>
        <v>22.166999999999998</v>
      </c>
      <c r="E36" s="14">
        <f>22.0282 * CHOOSE(CONTROL!$C$9, $D$9, 100%, $F$9) + CHOOSE(CONTROL!$C$27, 0.0021, 0)</f>
        <v>22.030299999999997</v>
      </c>
      <c r="F36" s="14">
        <f>22.0282 * CHOOSE(CONTROL!$C$9, $D$9, 100%, $F$9) + CHOOSE(CONTROL!$C$27, 0.0021, 0)</f>
        <v>22.030299999999997</v>
      </c>
      <c r="G36" s="14">
        <f>22.2996 * CHOOSE(CONTROL!$C$9, $D$9, 100%, $F$9) + CHOOSE(CONTROL!$C$27, 0.0021, 0)</f>
        <v>22.3017</v>
      </c>
      <c r="H36" s="14">
        <f>22.1649 * CHOOSE(CONTROL!$C$9, $D$9, 100%, $F$9) + CHOOSE(CONTROL!$C$27, 0.0021, 0)</f>
        <v>22.166999999999998</v>
      </c>
      <c r="I36" s="14">
        <f>22.1649 * CHOOSE(CONTROL!$C$9, $D$9, 100%, $F$9) + CHOOSE(CONTROL!$C$27, 0.0021, 0)</f>
        <v>22.166999999999998</v>
      </c>
      <c r="J36" s="14">
        <f>22.1649 * CHOOSE(CONTROL!$C$9, $D$9, 100%, $F$9) + CHOOSE(CONTROL!$C$27, 0.0021, 0)</f>
        <v>22.166999999999998</v>
      </c>
      <c r="K36" s="14">
        <f>22.1649 * CHOOSE(CONTROL!$C$9, $D$9, 100%, $F$9) + CHOOSE(CONTROL!$C$27, 0.0021, 0)</f>
        <v>22.166999999999998</v>
      </c>
      <c r="L36" s="14"/>
      <c r="M36" s="34"/>
      <c r="N36" s="34"/>
      <c r="O36" s="34"/>
      <c r="P36" s="34"/>
      <c r="Q36" s="34"/>
    </row>
    <row r="37" spans="1:17" ht="15" x14ac:dyDescent="0.2">
      <c r="A37" s="13">
        <v>42036</v>
      </c>
      <c r="B37" s="14">
        <f>22.5683 * CHOOSE(CONTROL!$C$9, $D$9, 100%, $F$9) + CHOOSE(CONTROL!$C$27, 0.0021, 0)</f>
        <v>22.570399999999999</v>
      </c>
      <c r="C37" s="14">
        <f>22.1361 * CHOOSE(CONTROL!$C$9, $D$9, 100%, $F$9) + CHOOSE(CONTROL!$C$27, 0.0021, 0)</f>
        <v>22.138199999999998</v>
      </c>
      <c r="D37" s="14">
        <f>22.1361 * CHOOSE(CONTROL!$C$9, $D$9, 100%, $F$9) + CHOOSE(CONTROL!$C$27, 0.0021, 0)</f>
        <v>22.138199999999998</v>
      </c>
      <c r="E37" s="14">
        <f>21.9994 * CHOOSE(CONTROL!$C$9, $D$9, 100%, $F$9) + CHOOSE(CONTROL!$C$27, 0.0021, 0)</f>
        <v>22.0015</v>
      </c>
      <c r="F37" s="14">
        <f>21.9994 * CHOOSE(CONTROL!$C$9, $D$9, 100%, $F$9) + CHOOSE(CONTROL!$C$27, 0.0021, 0)</f>
        <v>22.0015</v>
      </c>
      <c r="G37" s="14">
        <f>22.2708 * CHOOSE(CONTROL!$C$9, $D$9, 100%, $F$9) + CHOOSE(CONTROL!$C$27, 0.0021, 0)</f>
        <v>22.2729</v>
      </c>
      <c r="H37" s="14">
        <f>22.1361 * CHOOSE(CONTROL!$C$9, $D$9, 100%, $F$9) + CHOOSE(CONTROL!$C$27, 0.0021, 0)</f>
        <v>22.138199999999998</v>
      </c>
      <c r="I37" s="14">
        <f>22.1361 * CHOOSE(CONTROL!$C$9, $D$9, 100%, $F$9) + CHOOSE(CONTROL!$C$27, 0.0021, 0)</f>
        <v>22.138199999999998</v>
      </c>
      <c r="J37" s="14">
        <f>22.1361 * CHOOSE(CONTROL!$C$9, $D$9, 100%, $F$9) + CHOOSE(CONTROL!$C$27, 0.0021, 0)</f>
        <v>22.138199999999998</v>
      </c>
      <c r="K37" s="14">
        <f>22.1361 * CHOOSE(CONTROL!$C$9, $D$9, 100%, $F$9) + CHOOSE(CONTROL!$C$27, 0.0021, 0)</f>
        <v>22.138199999999998</v>
      </c>
      <c r="L37" s="14"/>
      <c r="M37" s="34"/>
      <c r="N37" s="34"/>
      <c r="O37" s="34"/>
      <c r="P37" s="34"/>
      <c r="Q37" s="34"/>
    </row>
    <row r="38" spans="1:17" ht="15" x14ac:dyDescent="0.2">
      <c r="A38" s="13">
        <v>42064</v>
      </c>
      <c r="B38" s="14">
        <f>22.5251 * CHOOSE(CONTROL!$C$9, $D$9, 100%, $F$9) + CHOOSE(CONTROL!$C$27, 0.0021, 0)</f>
        <v>22.527199999999997</v>
      </c>
      <c r="C38" s="14">
        <f>22.0929 * CHOOSE(CONTROL!$C$9, $D$9, 100%, $F$9) + CHOOSE(CONTROL!$C$27, 0.0021, 0)</f>
        <v>22.094999999999999</v>
      </c>
      <c r="D38" s="14">
        <f>22.0929 * CHOOSE(CONTROL!$C$9, $D$9, 100%, $F$9) + CHOOSE(CONTROL!$C$27, 0.0021, 0)</f>
        <v>22.094999999999999</v>
      </c>
      <c r="E38" s="14">
        <f>21.9562 * CHOOSE(CONTROL!$C$9, $D$9, 100%, $F$9) + CHOOSE(CONTROL!$C$27, 0.0021, 0)</f>
        <v>21.958299999999998</v>
      </c>
      <c r="F38" s="14">
        <f>21.9562 * CHOOSE(CONTROL!$C$9, $D$9, 100%, $F$9) + CHOOSE(CONTROL!$C$27, 0.0021, 0)</f>
        <v>21.958299999999998</v>
      </c>
      <c r="G38" s="14">
        <f>22.2276 * CHOOSE(CONTROL!$C$9, $D$9, 100%, $F$9) + CHOOSE(CONTROL!$C$27, 0.0021, 0)</f>
        <v>22.229699999999998</v>
      </c>
      <c r="H38" s="14">
        <f>22.0929 * CHOOSE(CONTROL!$C$9, $D$9, 100%, $F$9) + CHOOSE(CONTROL!$C$27, 0.0021, 0)</f>
        <v>22.094999999999999</v>
      </c>
      <c r="I38" s="14">
        <f>22.0929 * CHOOSE(CONTROL!$C$9, $D$9, 100%, $F$9) + CHOOSE(CONTROL!$C$27, 0.0021, 0)</f>
        <v>22.094999999999999</v>
      </c>
      <c r="J38" s="14">
        <f>22.0929 * CHOOSE(CONTROL!$C$9, $D$9, 100%, $F$9) + CHOOSE(CONTROL!$C$27, 0.0021, 0)</f>
        <v>22.094999999999999</v>
      </c>
      <c r="K38" s="14">
        <f>22.0929 * CHOOSE(CONTROL!$C$9, $D$9, 100%, $F$9) + CHOOSE(CONTROL!$C$27, 0.0021, 0)</f>
        <v>22.094999999999999</v>
      </c>
      <c r="L38" s="14"/>
      <c r="M38" s="34"/>
      <c r="N38" s="34"/>
      <c r="O38" s="34"/>
      <c r="P38" s="34"/>
      <c r="Q38" s="34"/>
    </row>
    <row r="39" spans="1:17" ht="15" x14ac:dyDescent="0.2">
      <c r="A39" s="13">
        <v>42095</v>
      </c>
      <c r="B39" s="14">
        <f>22.417 * CHOOSE(CONTROL!$C$9, $D$9, 100%, $F$9) + CHOOSE(CONTROL!$C$27, 0.0021, 0)</f>
        <v>22.4191</v>
      </c>
      <c r="C39" s="14">
        <f>21.9848 * CHOOSE(CONTROL!$C$9, $D$9, 100%, $F$9) + CHOOSE(CONTROL!$C$27, 0.0021, 0)</f>
        <v>21.986899999999999</v>
      </c>
      <c r="D39" s="14">
        <f>21.9848 * CHOOSE(CONTROL!$C$9, $D$9, 100%, $F$9) + CHOOSE(CONTROL!$C$27, 0.0021, 0)</f>
        <v>21.986899999999999</v>
      </c>
      <c r="E39" s="14">
        <f>21.8481 * CHOOSE(CONTROL!$C$9, $D$9, 100%, $F$9) + CHOOSE(CONTROL!$C$27, 0.0021, 0)</f>
        <v>21.850199999999997</v>
      </c>
      <c r="F39" s="14">
        <f>21.8481 * CHOOSE(CONTROL!$C$9, $D$9, 100%, $F$9) + CHOOSE(CONTROL!$C$27, 0.0021, 0)</f>
        <v>21.850199999999997</v>
      </c>
      <c r="G39" s="14">
        <f>22.1195 * CHOOSE(CONTROL!$C$9, $D$9, 100%, $F$9) + CHOOSE(CONTROL!$C$27, 0.0021, 0)</f>
        <v>22.121599999999997</v>
      </c>
      <c r="H39" s="14">
        <f>21.9848 * CHOOSE(CONTROL!$C$9, $D$9, 100%, $F$9) + CHOOSE(CONTROL!$C$27, 0.0021, 0)</f>
        <v>21.986899999999999</v>
      </c>
      <c r="I39" s="14">
        <f>21.9848 * CHOOSE(CONTROL!$C$9, $D$9, 100%, $F$9) + CHOOSE(CONTROL!$C$27, 0.0021, 0)</f>
        <v>21.986899999999999</v>
      </c>
      <c r="J39" s="14">
        <f>21.9848 * CHOOSE(CONTROL!$C$9, $D$9, 100%, $F$9) + CHOOSE(CONTROL!$C$27, 0.0021, 0)</f>
        <v>21.986899999999999</v>
      </c>
      <c r="K39" s="14">
        <f>21.9848 * CHOOSE(CONTROL!$C$9, $D$9, 100%, $F$9) + CHOOSE(CONTROL!$C$27, 0.0021, 0)</f>
        <v>21.986899999999999</v>
      </c>
      <c r="L39" s="14"/>
      <c r="M39" s="34"/>
      <c r="N39" s="34"/>
      <c r="O39" s="34"/>
      <c r="P39" s="34"/>
      <c r="Q39" s="34"/>
    </row>
    <row r="40" spans="1:17" ht="15" x14ac:dyDescent="0.2">
      <c r="A40" s="13">
        <v>42125</v>
      </c>
      <c r="B40" s="14">
        <f>22.309 * CHOOSE(CONTROL!$C$9, $D$9, 100%, $F$9) + CHOOSE(CONTROL!$C$27, 0.0021, 0)</f>
        <v>22.3111</v>
      </c>
      <c r="C40" s="14">
        <f>21.8767 * CHOOSE(CONTROL!$C$9, $D$9, 100%, $F$9) + CHOOSE(CONTROL!$C$27, 0.0021, 0)</f>
        <v>21.878799999999998</v>
      </c>
      <c r="D40" s="14">
        <f>21.8767 * CHOOSE(CONTROL!$C$9, $D$9, 100%, $F$9) + CHOOSE(CONTROL!$C$27, 0.0021, 0)</f>
        <v>21.878799999999998</v>
      </c>
      <c r="E40" s="14">
        <f>21.7401 * CHOOSE(CONTROL!$C$9, $D$9, 100%, $F$9) + CHOOSE(CONTROL!$C$27, 0.0021, 0)</f>
        <v>21.7422</v>
      </c>
      <c r="F40" s="14">
        <f>21.7401 * CHOOSE(CONTROL!$C$9, $D$9, 100%, $F$9) + CHOOSE(CONTROL!$C$27, 0.0021, 0)</f>
        <v>21.7422</v>
      </c>
      <c r="G40" s="14">
        <f>22.0115 * CHOOSE(CONTROL!$C$9, $D$9, 100%, $F$9) + CHOOSE(CONTROL!$C$27, 0.0021, 0)</f>
        <v>22.0136</v>
      </c>
      <c r="H40" s="14">
        <f>21.8767 * CHOOSE(CONTROL!$C$9, $D$9, 100%, $F$9) + CHOOSE(CONTROL!$C$27, 0.0021, 0)</f>
        <v>21.878799999999998</v>
      </c>
      <c r="I40" s="14">
        <f>21.8767 * CHOOSE(CONTROL!$C$9, $D$9, 100%, $F$9) + CHOOSE(CONTROL!$C$27, 0.0021, 0)</f>
        <v>21.878799999999998</v>
      </c>
      <c r="J40" s="14">
        <f>21.8767 * CHOOSE(CONTROL!$C$9, $D$9, 100%, $F$9) + CHOOSE(CONTROL!$C$27, 0.0021, 0)</f>
        <v>21.878799999999998</v>
      </c>
      <c r="K40" s="14">
        <f>21.8767 * CHOOSE(CONTROL!$C$9, $D$9, 100%, $F$9) + CHOOSE(CONTROL!$C$27, 0.0021, 0)</f>
        <v>21.878799999999998</v>
      </c>
      <c r="L40" s="14"/>
      <c r="M40" s="34"/>
      <c r="N40" s="34"/>
      <c r="O40" s="34"/>
      <c r="P40" s="34"/>
      <c r="Q40" s="34"/>
    </row>
    <row r="41" spans="1:17" ht="15" x14ac:dyDescent="0.2">
      <c r="A41" s="13">
        <v>42156</v>
      </c>
      <c r="B41" s="14">
        <f>22.2009 * CHOOSE(CONTROL!$C$9, $D$9, 100%, $F$9) + CHOOSE(CONTROL!$C$27, 0.0021, 0)</f>
        <v>22.202999999999999</v>
      </c>
      <c r="C41" s="14">
        <f>21.7687 * CHOOSE(CONTROL!$C$9, $D$9, 100%, $F$9) + CHOOSE(CONTROL!$C$27, 0.0021, 0)</f>
        <v>21.770799999999998</v>
      </c>
      <c r="D41" s="14">
        <f>21.7687 * CHOOSE(CONTROL!$C$9, $D$9, 100%, $F$9) + CHOOSE(CONTROL!$C$27, 0.0021, 0)</f>
        <v>21.770799999999998</v>
      </c>
      <c r="E41" s="14">
        <f>21.632 * CHOOSE(CONTROL!$C$9, $D$9, 100%, $F$9) + CHOOSE(CONTROL!$C$27, 0.0021, 0)</f>
        <v>21.6341</v>
      </c>
      <c r="F41" s="14">
        <f>21.632 * CHOOSE(CONTROL!$C$9, $D$9, 100%, $F$9) + CHOOSE(CONTROL!$C$27, 0.0021, 0)</f>
        <v>21.6341</v>
      </c>
      <c r="G41" s="14">
        <f>21.9034 * CHOOSE(CONTROL!$C$9, $D$9, 100%, $F$9) + CHOOSE(CONTROL!$C$27, 0.0021, 0)</f>
        <v>21.9055</v>
      </c>
      <c r="H41" s="14">
        <f>21.7687 * CHOOSE(CONTROL!$C$9, $D$9, 100%, $F$9) + CHOOSE(CONTROL!$C$27, 0.0021, 0)</f>
        <v>21.770799999999998</v>
      </c>
      <c r="I41" s="14">
        <f>21.7687 * CHOOSE(CONTROL!$C$9, $D$9, 100%, $F$9) + CHOOSE(CONTROL!$C$27, 0.0021, 0)</f>
        <v>21.770799999999998</v>
      </c>
      <c r="J41" s="14">
        <f>21.7687 * CHOOSE(CONTROL!$C$9, $D$9, 100%, $F$9) + CHOOSE(CONTROL!$C$27, 0.0021, 0)</f>
        <v>21.770799999999998</v>
      </c>
      <c r="K41" s="14">
        <f>21.7687 * CHOOSE(CONTROL!$C$9, $D$9, 100%, $F$9) + CHOOSE(CONTROL!$C$27, 0.0021, 0)</f>
        <v>21.770799999999998</v>
      </c>
      <c r="L41" s="14"/>
      <c r="M41" s="34"/>
      <c r="N41" s="34"/>
      <c r="O41" s="34"/>
      <c r="P41" s="34"/>
      <c r="Q41" s="34"/>
    </row>
    <row r="42" spans="1:17" ht="15" x14ac:dyDescent="0.2">
      <c r="A42" s="13">
        <v>42186</v>
      </c>
      <c r="B42" s="14">
        <f>22.1649 * CHOOSE(CONTROL!$C$9, $D$9, 100%, $F$9) + CHOOSE(CONTROL!$C$27, 0.0021, 0)</f>
        <v>22.166999999999998</v>
      </c>
      <c r="C42" s="14">
        <f>21.7327 * CHOOSE(CONTROL!$C$9, $D$9, 100%, $F$9) + CHOOSE(CONTROL!$C$27, 0.0021, 0)</f>
        <v>21.7348</v>
      </c>
      <c r="D42" s="14">
        <f>21.7327 * CHOOSE(CONTROL!$C$9, $D$9, 100%, $F$9) + CHOOSE(CONTROL!$C$27, 0.0021, 0)</f>
        <v>21.7348</v>
      </c>
      <c r="E42" s="14">
        <f>21.596 * CHOOSE(CONTROL!$C$9, $D$9, 100%, $F$9) + CHOOSE(CONTROL!$C$27, 0.0021, 0)</f>
        <v>21.598099999999999</v>
      </c>
      <c r="F42" s="14">
        <f>21.596 * CHOOSE(CONTROL!$C$9, $D$9, 100%, $F$9) + CHOOSE(CONTROL!$C$27, 0.0021, 0)</f>
        <v>21.598099999999999</v>
      </c>
      <c r="G42" s="14">
        <f>21.8674 * CHOOSE(CONTROL!$C$9, $D$9, 100%, $F$9) + CHOOSE(CONTROL!$C$27, 0.0021, 0)</f>
        <v>21.869499999999999</v>
      </c>
      <c r="H42" s="14">
        <f>21.7327 * CHOOSE(CONTROL!$C$9, $D$9, 100%, $F$9) + CHOOSE(CONTROL!$C$27, 0.0021, 0)</f>
        <v>21.7348</v>
      </c>
      <c r="I42" s="14">
        <f>21.7327 * CHOOSE(CONTROL!$C$9, $D$9, 100%, $F$9) + CHOOSE(CONTROL!$C$27, 0.0021, 0)</f>
        <v>21.7348</v>
      </c>
      <c r="J42" s="14">
        <f>21.7327 * CHOOSE(CONTROL!$C$9, $D$9, 100%, $F$9) + CHOOSE(CONTROL!$C$27, 0.0021, 0)</f>
        <v>21.7348</v>
      </c>
      <c r="K42" s="14">
        <f>21.7327 * CHOOSE(CONTROL!$C$9, $D$9, 100%, $F$9) + CHOOSE(CONTROL!$C$27, 0.0021, 0)</f>
        <v>21.7348</v>
      </c>
      <c r="L42" s="14"/>
      <c r="M42" s="34"/>
      <c r="N42" s="34"/>
      <c r="O42" s="34"/>
      <c r="P42" s="34"/>
      <c r="Q42" s="34"/>
    </row>
    <row r="43" spans="1:17" ht="15" x14ac:dyDescent="0.2">
      <c r="A43" s="13">
        <v>42217</v>
      </c>
      <c r="B43" s="14">
        <f>22.1397 * CHOOSE(CONTROL!$C$9, $D$9, 100%, $F$9) + CHOOSE(CONTROL!$C$27, 0.0021, 0)</f>
        <v>22.1418</v>
      </c>
      <c r="C43" s="14">
        <f>21.7074 * CHOOSE(CONTROL!$C$9, $D$9, 100%, $F$9) + CHOOSE(CONTROL!$C$27, 0.0021, 0)</f>
        <v>21.709499999999998</v>
      </c>
      <c r="D43" s="14">
        <f>21.7074 * CHOOSE(CONTROL!$C$9, $D$9, 100%, $F$9) + CHOOSE(CONTROL!$C$27, 0.0021, 0)</f>
        <v>21.709499999999998</v>
      </c>
      <c r="E43" s="14">
        <f>21.5708 * CHOOSE(CONTROL!$C$9, $D$9, 100%, $F$9) + CHOOSE(CONTROL!$C$27, 0.0021, 0)</f>
        <v>21.572899999999997</v>
      </c>
      <c r="F43" s="14">
        <f>21.5708 * CHOOSE(CONTROL!$C$9, $D$9, 100%, $F$9) + CHOOSE(CONTROL!$C$27, 0.0021, 0)</f>
        <v>21.572899999999997</v>
      </c>
      <c r="G43" s="14">
        <f>21.8422 * CHOOSE(CONTROL!$C$9, $D$9, 100%, $F$9) + CHOOSE(CONTROL!$C$27, 0.0021, 0)</f>
        <v>21.844299999999997</v>
      </c>
      <c r="H43" s="14">
        <f>21.7074 * CHOOSE(CONTROL!$C$9, $D$9, 100%, $F$9) + CHOOSE(CONTROL!$C$27, 0.0021, 0)</f>
        <v>21.709499999999998</v>
      </c>
      <c r="I43" s="14">
        <f>21.7074 * CHOOSE(CONTROL!$C$9, $D$9, 100%, $F$9) + CHOOSE(CONTROL!$C$27, 0.0021, 0)</f>
        <v>21.709499999999998</v>
      </c>
      <c r="J43" s="14">
        <f>21.7074 * CHOOSE(CONTROL!$C$9, $D$9, 100%, $F$9) + CHOOSE(CONTROL!$C$27, 0.0021, 0)</f>
        <v>21.709499999999998</v>
      </c>
      <c r="K43" s="14">
        <f>21.7074 * CHOOSE(CONTROL!$C$9, $D$9, 100%, $F$9) + CHOOSE(CONTROL!$C$27, 0.0021, 0)</f>
        <v>21.709499999999998</v>
      </c>
      <c r="L43" s="14"/>
      <c r="M43" s="34"/>
      <c r="N43" s="34"/>
      <c r="O43" s="34"/>
      <c r="P43" s="34"/>
      <c r="Q43" s="34"/>
    </row>
    <row r="44" spans="1:17" ht="15" x14ac:dyDescent="0.2">
      <c r="A44" s="13">
        <v>42248</v>
      </c>
      <c r="B44" s="14">
        <f>22.1181 * CHOOSE(CONTROL!$C$9, $D$9, 100%, $F$9) + CHOOSE(CONTROL!$C$27, 0.0021, 0)</f>
        <v>22.120199999999997</v>
      </c>
      <c r="C44" s="14">
        <f>21.6858 * CHOOSE(CONTROL!$C$9, $D$9, 100%, $F$9) + CHOOSE(CONTROL!$C$27, 0.0021, 0)</f>
        <v>21.687899999999999</v>
      </c>
      <c r="D44" s="14">
        <f>21.6858 * CHOOSE(CONTROL!$C$9, $D$9, 100%, $F$9) + CHOOSE(CONTROL!$C$27, 0.0021, 0)</f>
        <v>21.687899999999999</v>
      </c>
      <c r="E44" s="14">
        <f>21.5492 * CHOOSE(CONTROL!$C$9, $D$9, 100%, $F$9) + CHOOSE(CONTROL!$C$27, 0.0021, 0)</f>
        <v>21.551299999999998</v>
      </c>
      <c r="F44" s="14">
        <f>21.5492 * CHOOSE(CONTROL!$C$9, $D$9, 100%, $F$9) + CHOOSE(CONTROL!$C$27, 0.0021, 0)</f>
        <v>21.551299999999998</v>
      </c>
      <c r="G44" s="14">
        <f>21.8205 * CHOOSE(CONTROL!$C$9, $D$9, 100%, $F$9) + CHOOSE(CONTROL!$C$27, 0.0021, 0)</f>
        <v>21.822599999999998</v>
      </c>
      <c r="H44" s="14">
        <f>21.6858 * CHOOSE(CONTROL!$C$9, $D$9, 100%, $F$9) + CHOOSE(CONTROL!$C$27, 0.0021, 0)</f>
        <v>21.687899999999999</v>
      </c>
      <c r="I44" s="14">
        <f>21.6858 * CHOOSE(CONTROL!$C$9, $D$9, 100%, $F$9) + CHOOSE(CONTROL!$C$27, 0.0021, 0)</f>
        <v>21.687899999999999</v>
      </c>
      <c r="J44" s="14">
        <f>21.6858 * CHOOSE(CONTROL!$C$9, $D$9, 100%, $F$9) + CHOOSE(CONTROL!$C$27, 0.0021, 0)</f>
        <v>21.687899999999999</v>
      </c>
      <c r="K44" s="14">
        <f>21.6858 * CHOOSE(CONTROL!$C$9, $D$9, 100%, $F$9) + CHOOSE(CONTROL!$C$27, 0.0021, 0)</f>
        <v>21.687899999999999</v>
      </c>
      <c r="L44" s="14"/>
      <c r="M44" s="34"/>
      <c r="N44" s="34"/>
      <c r="O44" s="34"/>
      <c r="P44" s="34"/>
      <c r="Q44" s="34"/>
    </row>
    <row r="45" spans="1:17" ht="15" x14ac:dyDescent="0.2">
      <c r="A45" s="13">
        <v>42278</v>
      </c>
      <c r="B45" s="14">
        <f>22.0965 * CHOOSE(CONTROL!$C$9, $D$9, 100%, $F$9) + CHOOSE(CONTROL!$C$27, 0.0021, 0)</f>
        <v>22.098599999999998</v>
      </c>
      <c r="C45" s="14">
        <f>21.6642 * CHOOSE(CONTROL!$C$9, $D$9, 100%, $F$9) + CHOOSE(CONTROL!$C$27, 0.0021, 0)</f>
        <v>21.6663</v>
      </c>
      <c r="D45" s="14">
        <f>21.6642 * CHOOSE(CONTROL!$C$9, $D$9, 100%, $F$9) + CHOOSE(CONTROL!$C$27, 0.0021, 0)</f>
        <v>21.6663</v>
      </c>
      <c r="E45" s="14">
        <f>21.5276 * CHOOSE(CONTROL!$C$9, $D$9, 100%, $F$9) + CHOOSE(CONTROL!$C$27, 0.0021, 0)</f>
        <v>21.529699999999998</v>
      </c>
      <c r="F45" s="14">
        <f>21.5276 * CHOOSE(CONTROL!$C$9, $D$9, 100%, $F$9) + CHOOSE(CONTROL!$C$27, 0.0021, 0)</f>
        <v>21.529699999999998</v>
      </c>
      <c r="G45" s="14">
        <f>21.7989 * CHOOSE(CONTROL!$C$9, $D$9, 100%, $F$9) + CHOOSE(CONTROL!$C$27, 0.0021, 0)</f>
        <v>21.800999999999998</v>
      </c>
      <c r="H45" s="14">
        <f>21.6642 * CHOOSE(CONTROL!$C$9, $D$9, 100%, $F$9) + CHOOSE(CONTROL!$C$27, 0.0021, 0)</f>
        <v>21.6663</v>
      </c>
      <c r="I45" s="14">
        <f>21.6642 * CHOOSE(CONTROL!$C$9, $D$9, 100%, $F$9) + CHOOSE(CONTROL!$C$27, 0.0021, 0)</f>
        <v>21.6663</v>
      </c>
      <c r="J45" s="14">
        <f>21.6642 * CHOOSE(CONTROL!$C$9, $D$9, 100%, $F$9) + CHOOSE(CONTROL!$C$27, 0.0021, 0)</f>
        <v>21.6663</v>
      </c>
      <c r="K45" s="14">
        <f>21.6642 * CHOOSE(CONTROL!$C$9, $D$9, 100%, $F$9) + CHOOSE(CONTROL!$C$27, 0.0021, 0)</f>
        <v>21.6663</v>
      </c>
      <c r="L45" s="14"/>
      <c r="M45" s="34"/>
      <c r="N45" s="34"/>
      <c r="O45" s="34"/>
      <c r="P45" s="34"/>
      <c r="Q45" s="34"/>
    </row>
    <row r="46" spans="1:17" ht="15" x14ac:dyDescent="0.2">
      <c r="A46" s="13">
        <v>42309</v>
      </c>
      <c r="B46" s="14">
        <f>22.0785 * CHOOSE(CONTROL!$C$9, $D$9, 100%, $F$9) + CHOOSE(CONTROL!$C$27, 0.0021, 0)</f>
        <v>22.080599999999997</v>
      </c>
      <c r="C46" s="14">
        <f>21.6462 * CHOOSE(CONTROL!$C$9, $D$9, 100%, $F$9) + CHOOSE(CONTROL!$C$27, 0.0021, 0)</f>
        <v>21.648299999999999</v>
      </c>
      <c r="D46" s="14">
        <f>21.6462 * CHOOSE(CONTROL!$C$9, $D$9, 100%, $F$9) + CHOOSE(CONTROL!$C$27, 0.0021, 0)</f>
        <v>21.648299999999999</v>
      </c>
      <c r="E46" s="14">
        <f>21.5096 * CHOOSE(CONTROL!$C$9, $D$9, 100%, $F$9) + CHOOSE(CONTROL!$C$27, 0.0021, 0)</f>
        <v>21.511699999999998</v>
      </c>
      <c r="F46" s="14">
        <f>21.5096 * CHOOSE(CONTROL!$C$9, $D$9, 100%, $F$9) + CHOOSE(CONTROL!$C$27, 0.0021, 0)</f>
        <v>21.511699999999998</v>
      </c>
      <c r="G46" s="14">
        <f>21.7809 * CHOOSE(CONTROL!$C$9, $D$9, 100%, $F$9) + CHOOSE(CONTROL!$C$27, 0.0021, 0)</f>
        <v>21.782999999999998</v>
      </c>
      <c r="H46" s="14">
        <f>21.6462 * CHOOSE(CONTROL!$C$9, $D$9, 100%, $F$9) + CHOOSE(CONTROL!$C$27, 0.0021, 0)</f>
        <v>21.648299999999999</v>
      </c>
      <c r="I46" s="14">
        <f>21.6462 * CHOOSE(CONTROL!$C$9, $D$9, 100%, $F$9) + CHOOSE(CONTROL!$C$27, 0.0021, 0)</f>
        <v>21.648299999999999</v>
      </c>
      <c r="J46" s="14">
        <f>21.6462 * CHOOSE(CONTROL!$C$9, $D$9, 100%, $F$9) + CHOOSE(CONTROL!$C$27, 0.0021, 0)</f>
        <v>21.648299999999999</v>
      </c>
      <c r="K46" s="14">
        <f>21.6462 * CHOOSE(CONTROL!$C$9, $D$9, 100%, $F$9) + CHOOSE(CONTROL!$C$27, 0.0021, 0)</f>
        <v>21.648299999999999</v>
      </c>
      <c r="L46" s="14"/>
      <c r="M46" s="34"/>
      <c r="N46" s="34"/>
      <c r="O46" s="34"/>
      <c r="P46" s="34"/>
      <c r="Q46" s="34"/>
    </row>
    <row r="47" spans="1:17" ht="15" x14ac:dyDescent="0.2">
      <c r="A47" s="13">
        <v>42339</v>
      </c>
      <c r="B47" s="14">
        <f>22.0604 * CHOOSE(CONTROL!$C$9, $D$9, 100%, $F$9) + CHOOSE(CONTROL!$C$27, 0.0021, 0)</f>
        <v>22.0625</v>
      </c>
      <c r="C47" s="14">
        <f>21.6282 * CHOOSE(CONTROL!$C$9, $D$9, 100%, $F$9) + CHOOSE(CONTROL!$C$27, 0.0021, 0)</f>
        <v>21.630299999999998</v>
      </c>
      <c r="D47" s="14">
        <f>21.6282 * CHOOSE(CONTROL!$C$9, $D$9, 100%, $F$9) + CHOOSE(CONTROL!$C$27, 0.0021, 0)</f>
        <v>21.630299999999998</v>
      </c>
      <c r="E47" s="14">
        <f>21.4915 * CHOOSE(CONTROL!$C$9, $D$9, 100%, $F$9) + CHOOSE(CONTROL!$C$27, 0.0021, 0)</f>
        <v>21.493599999999997</v>
      </c>
      <c r="F47" s="14">
        <f>21.4915 * CHOOSE(CONTROL!$C$9, $D$9, 100%, $F$9) + CHOOSE(CONTROL!$C$27, 0.0021, 0)</f>
        <v>21.493599999999997</v>
      </c>
      <c r="G47" s="14">
        <f>21.7629 * CHOOSE(CONTROL!$C$9, $D$9, 100%, $F$9) + CHOOSE(CONTROL!$C$27, 0.0021, 0)</f>
        <v>21.764999999999997</v>
      </c>
      <c r="H47" s="14">
        <f>21.6282 * CHOOSE(CONTROL!$C$9, $D$9, 100%, $F$9) + CHOOSE(CONTROL!$C$27, 0.0021, 0)</f>
        <v>21.630299999999998</v>
      </c>
      <c r="I47" s="14">
        <f>21.6282 * CHOOSE(CONTROL!$C$9, $D$9, 100%, $F$9) + CHOOSE(CONTROL!$C$27, 0.0021, 0)</f>
        <v>21.630299999999998</v>
      </c>
      <c r="J47" s="14">
        <f>21.6282 * CHOOSE(CONTROL!$C$9, $D$9, 100%, $F$9) + CHOOSE(CONTROL!$C$27, 0.0021, 0)</f>
        <v>21.630299999999998</v>
      </c>
      <c r="K47" s="14">
        <f>21.6282 * CHOOSE(CONTROL!$C$9, $D$9, 100%, $F$9) + CHOOSE(CONTROL!$C$27, 0.0021, 0)</f>
        <v>21.630299999999998</v>
      </c>
      <c r="L47" s="14"/>
      <c r="M47" s="34"/>
      <c r="N47" s="34"/>
      <c r="O47" s="34"/>
      <c r="P47" s="34"/>
      <c r="Q47" s="34"/>
    </row>
    <row r="48" spans="1:17" ht="15" x14ac:dyDescent="0.2">
      <c r="A48" s="13">
        <v>42370</v>
      </c>
      <c r="B48" s="14">
        <f>24.1042 * CHOOSE(CONTROL!$C$9, $D$9, 100%, $F$9) + CHOOSE(CONTROL!$C$27, 0.0021, 0)</f>
        <v>24.106299999999997</v>
      </c>
      <c r="C48" s="14">
        <f>23.6719 * CHOOSE(CONTROL!$C$9, $D$9, 100%, $F$9) + CHOOSE(CONTROL!$C$27, 0.0021, 0)</f>
        <v>23.673999999999999</v>
      </c>
      <c r="D48" s="14">
        <f>23.6719 * CHOOSE(CONTROL!$C$9, $D$9, 100%, $F$9) + CHOOSE(CONTROL!$C$27, 0.0021, 0)</f>
        <v>23.673999999999999</v>
      </c>
      <c r="E48" s="14">
        <f>23.5353 * CHOOSE(CONTROL!$C$9, $D$9, 100%, $F$9) + CHOOSE(CONTROL!$C$27, 0.0021, 0)</f>
        <v>23.537399999999998</v>
      </c>
      <c r="F48" s="14">
        <f>23.5353 * CHOOSE(CONTROL!$C$9, $D$9, 100%, $F$9) + CHOOSE(CONTROL!$C$27, 0.0021, 0)</f>
        <v>23.537399999999998</v>
      </c>
      <c r="G48" s="14">
        <f>23.8067 * CHOOSE(CONTROL!$C$9, $D$9, 100%, $F$9) + CHOOSE(CONTROL!$C$27, 0.0021, 0)</f>
        <v>23.808799999999998</v>
      </c>
      <c r="H48" s="14">
        <f>23.6719 * CHOOSE(CONTROL!$C$9, $D$9, 100%, $F$9) + CHOOSE(CONTROL!$C$27, 0.0021, 0)</f>
        <v>23.673999999999999</v>
      </c>
      <c r="I48" s="14">
        <f>23.6719 * CHOOSE(CONTROL!$C$9, $D$9, 100%, $F$9) + CHOOSE(CONTROL!$C$27, 0.0021, 0)</f>
        <v>23.673999999999999</v>
      </c>
      <c r="J48" s="14">
        <f>23.6719 * CHOOSE(CONTROL!$C$9, $D$9, 100%, $F$9) + CHOOSE(CONTROL!$C$27, 0.0021, 0)</f>
        <v>23.673999999999999</v>
      </c>
      <c r="K48" s="14">
        <f>23.6719 * CHOOSE(CONTROL!$C$9, $D$9, 100%, $F$9) + CHOOSE(CONTROL!$C$27, 0.0021, 0)</f>
        <v>23.673999999999999</v>
      </c>
      <c r="L48" s="14"/>
    </row>
    <row r="49" spans="1:12" ht="15" x14ac:dyDescent="0.2">
      <c r="A49" s="13">
        <v>42401</v>
      </c>
      <c r="B49" s="14">
        <f>23.5309 * CHOOSE(CONTROL!$C$9, $D$9, 100%, $F$9) + CHOOSE(CONTROL!$C$27, 0.0021, 0)</f>
        <v>23.532999999999998</v>
      </c>
      <c r="C49" s="14">
        <f>23.0986 * CHOOSE(CONTROL!$C$9, $D$9, 100%, $F$9) + CHOOSE(CONTROL!$C$27, 0.0021, 0)</f>
        <v>23.1007</v>
      </c>
      <c r="D49" s="14">
        <f>23.0986 * CHOOSE(CONTROL!$C$9, $D$9, 100%, $F$9) + CHOOSE(CONTROL!$C$27, 0.0021, 0)</f>
        <v>23.1007</v>
      </c>
      <c r="E49" s="14">
        <f>22.962 * CHOOSE(CONTROL!$C$9, $D$9, 100%, $F$9) + CHOOSE(CONTROL!$C$27, 0.0021, 0)</f>
        <v>22.964099999999998</v>
      </c>
      <c r="F49" s="14">
        <f>22.962 * CHOOSE(CONTROL!$C$9, $D$9, 100%, $F$9) + CHOOSE(CONTROL!$C$27, 0.0021, 0)</f>
        <v>22.964099999999998</v>
      </c>
      <c r="G49" s="14">
        <f>23.2334 * CHOOSE(CONTROL!$C$9, $D$9, 100%, $F$9) + CHOOSE(CONTROL!$C$27, 0.0021, 0)</f>
        <v>23.235499999999998</v>
      </c>
      <c r="H49" s="14">
        <f>23.0986 * CHOOSE(CONTROL!$C$9, $D$9, 100%, $F$9) + CHOOSE(CONTROL!$C$27, 0.0021, 0)</f>
        <v>23.1007</v>
      </c>
      <c r="I49" s="14">
        <f>23.0986 * CHOOSE(CONTROL!$C$9, $D$9, 100%, $F$9) + CHOOSE(CONTROL!$C$27, 0.0021, 0)</f>
        <v>23.1007</v>
      </c>
      <c r="J49" s="14">
        <f>23.0986 * CHOOSE(CONTROL!$C$9, $D$9, 100%, $F$9) + CHOOSE(CONTROL!$C$27, 0.0021, 0)</f>
        <v>23.1007</v>
      </c>
      <c r="K49" s="14">
        <f>23.0986 * CHOOSE(CONTROL!$C$9, $D$9, 100%, $F$9) + CHOOSE(CONTROL!$C$27, 0.0021, 0)</f>
        <v>23.1007</v>
      </c>
      <c r="L49" s="14"/>
    </row>
    <row r="50" spans="1:12" ht="15" x14ac:dyDescent="0.2">
      <c r="A50" s="13">
        <v>42430</v>
      </c>
      <c r="B50" s="14">
        <f>23.3189 * CHOOSE(CONTROL!$C$9, $D$9, 100%, $F$9) + CHOOSE(CONTROL!$C$27, 0.0021, 0)</f>
        <v>23.320999999999998</v>
      </c>
      <c r="C50" s="14">
        <f>22.8867 * CHOOSE(CONTROL!$C$9, $D$9, 100%, $F$9) + CHOOSE(CONTROL!$C$27, 0.0021, 0)</f>
        <v>22.8888</v>
      </c>
      <c r="D50" s="14">
        <f>22.8867 * CHOOSE(CONTROL!$C$9, $D$9, 100%, $F$9) + CHOOSE(CONTROL!$C$27, 0.0021, 0)</f>
        <v>22.8888</v>
      </c>
      <c r="E50" s="14">
        <f>22.75 * CHOOSE(CONTROL!$C$9, $D$9, 100%, $F$9) + CHOOSE(CONTROL!$C$27, 0.0021, 0)</f>
        <v>22.752099999999999</v>
      </c>
      <c r="F50" s="14">
        <f>22.75 * CHOOSE(CONTROL!$C$9, $D$9, 100%, $F$9) + CHOOSE(CONTROL!$C$27, 0.0021, 0)</f>
        <v>22.752099999999999</v>
      </c>
      <c r="G50" s="14">
        <f>23.0214 * CHOOSE(CONTROL!$C$9, $D$9, 100%, $F$9) + CHOOSE(CONTROL!$C$27, 0.0021, 0)</f>
        <v>23.023499999999999</v>
      </c>
      <c r="H50" s="14">
        <f>22.8867 * CHOOSE(CONTROL!$C$9, $D$9, 100%, $F$9) + CHOOSE(CONTROL!$C$27, 0.0021, 0)</f>
        <v>22.8888</v>
      </c>
      <c r="I50" s="14">
        <f>22.8867 * CHOOSE(CONTROL!$C$9, $D$9, 100%, $F$9) + CHOOSE(CONTROL!$C$27, 0.0021, 0)</f>
        <v>22.8888</v>
      </c>
      <c r="J50" s="14">
        <f>22.8867 * CHOOSE(CONTROL!$C$9, $D$9, 100%, $F$9) + CHOOSE(CONTROL!$C$27, 0.0021, 0)</f>
        <v>22.8888</v>
      </c>
      <c r="K50" s="14">
        <f>22.8867 * CHOOSE(CONTROL!$C$9, $D$9, 100%, $F$9) + CHOOSE(CONTROL!$C$27, 0.0021, 0)</f>
        <v>22.8888</v>
      </c>
      <c r="L50" s="14"/>
    </row>
    <row r="51" spans="1:12" ht="15" x14ac:dyDescent="0.2">
      <c r="A51" s="13">
        <v>42461</v>
      </c>
      <c r="B51" s="14">
        <f>23.0562 * CHOOSE(CONTROL!$C$9, $D$9, 100%, $F$9) + CHOOSE(CONTROL!$C$27, 0.0021, 0)</f>
        <v>23.058299999999999</v>
      </c>
      <c r="C51" s="14">
        <f>22.624 * CHOOSE(CONTROL!$C$9, $D$9, 100%, $F$9) + CHOOSE(CONTROL!$C$27, 0.0021, 0)</f>
        <v>22.626099999999997</v>
      </c>
      <c r="D51" s="14">
        <f>22.624 * CHOOSE(CONTROL!$C$9, $D$9, 100%, $F$9) + CHOOSE(CONTROL!$C$27, 0.0021, 0)</f>
        <v>22.626099999999997</v>
      </c>
      <c r="E51" s="14">
        <f>22.4873 * CHOOSE(CONTROL!$C$9, $D$9, 100%, $F$9) + CHOOSE(CONTROL!$C$27, 0.0021, 0)</f>
        <v>22.4894</v>
      </c>
      <c r="F51" s="14">
        <f>22.4873 * CHOOSE(CONTROL!$C$9, $D$9, 100%, $F$9) + CHOOSE(CONTROL!$C$27, 0.0021, 0)</f>
        <v>22.4894</v>
      </c>
      <c r="G51" s="14">
        <f>22.7587 * CHOOSE(CONTROL!$C$9, $D$9, 100%, $F$9) + CHOOSE(CONTROL!$C$27, 0.0021, 0)</f>
        <v>22.7608</v>
      </c>
      <c r="H51" s="14">
        <f>22.624 * CHOOSE(CONTROL!$C$9, $D$9, 100%, $F$9) + CHOOSE(CONTROL!$C$27, 0.0021, 0)</f>
        <v>22.626099999999997</v>
      </c>
      <c r="I51" s="14">
        <f>22.624 * CHOOSE(CONTROL!$C$9, $D$9, 100%, $F$9) + CHOOSE(CONTROL!$C$27, 0.0021, 0)</f>
        <v>22.626099999999997</v>
      </c>
      <c r="J51" s="14">
        <f>22.624 * CHOOSE(CONTROL!$C$9, $D$9, 100%, $F$9) + CHOOSE(CONTROL!$C$27, 0.0021, 0)</f>
        <v>22.626099999999997</v>
      </c>
      <c r="K51" s="14">
        <f>22.624 * CHOOSE(CONTROL!$C$9, $D$9, 100%, $F$9) + CHOOSE(CONTROL!$C$27, 0.0021, 0)</f>
        <v>22.626099999999997</v>
      </c>
      <c r="L51" s="14"/>
    </row>
    <row r="52" spans="1:12" ht="15" x14ac:dyDescent="0.2">
      <c r="A52" s="13">
        <v>42491</v>
      </c>
      <c r="B52" s="14">
        <f>23.536 * CHOOSE(CONTROL!$C$9, $D$9, 100%, $F$9) + CHOOSE(CONTROL!$C$27, 0.0021, 0)</f>
        <v>23.5381</v>
      </c>
      <c r="C52" s="14">
        <f>23.1037 * CHOOSE(CONTROL!$C$9, $D$9, 100%, $F$9) + CHOOSE(CONTROL!$C$27, 0.0021, 0)</f>
        <v>23.105799999999999</v>
      </c>
      <c r="D52" s="14">
        <f>23.1037 * CHOOSE(CONTROL!$C$9, $D$9, 100%, $F$9) + CHOOSE(CONTROL!$C$27, 0.0021, 0)</f>
        <v>23.105799999999999</v>
      </c>
      <c r="E52" s="14">
        <f>22.9671 * CHOOSE(CONTROL!$C$9, $D$9, 100%, $F$9) + CHOOSE(CONTROL!$C$27, 0.0021, 0)</f>
        <v>22.969199999999997</v>
      </c>
      <c r="F52" s="14">
        <f>22.9671 * CHOOSE(CONTROL!$C$9, $D$9, 100%, $F$9) + CHOOSE(CONTROL!$C$27, 0.0021, 0)</f>
        <v>22.969199999999997</v>
      </c>
      <c r="G52" s="14">
        <f>23.2384 * CHOOSE(CONTROL!$C$9, $D$9, 100%, $F$9) + CHOOSE(CONTROL!$C$27, 0.0021, 0)</f>
        <v>23.240499999999997</v>
      </c>
      <c r="H52" s="14">
        <f>23.1037 * CHOOSE(CONTROL!$C$9, $D$9, 100%, $F$9) + CHOOSE(CONTROL!$C$27, 0.0021, 0)</f>
        <v>23.105799999999999</v>
      </c>
      <c r="I52" s="14">
        <f>23.1037 * CHOOSE(CONTROL!$C$9, $D$9, 100%, $F$9) + CHOOSE(CONTROL!$C$27, 0.0021, 0)</f>
        <v>23.105799999999999</v>
      </c>
      <c r="J52" s="14">
        <f>23.1037 * CHOOSE(CONTROL!$C$9, $D$9, 100%, $F$9) + CHOOSE(CONTROL!$C$27, 0.0021, 0)</f>
        <v>23.105799999999999</v>
      </c>
      <c r="K52" s="14">
        <f>23.1037 * CHOOSE(CONTROL!$C$9, $D$9, 100%, $F$9) + CHOOSE(CONTROL!$C$27, 0.0021, 0)</f>
        <v>23.105799999999999</v>
      </c>
      <c r="L52" s="14"/>
    </row>
    <row r="53" spans="1:12" ht="15" x14ac:dyDescent="0.2">
      <c r="A53" s="13">
        <v>42522</v>
      </c>
      <c r="B53" s="14">
        <f>23.842 * CHOOSE(CONTROL!$C$9, $D$9, 100%, $F$9) + CHOOSE(CONTROL!$C$27, 0.0021, 0)</f>
        <v>23.844099999999997</v>
      </c>
      <c r="C53" s="14">
        <f>23.4097 * CHOOSE(CONTROL!$C$9, $D$9, 100%, $F$9) + CHOOSE(CONTROL!$C$27, 0.0021, 0)</f>
        <v>23.411799999999999</v>
      </c>
      <c r="D53" s="14">
        <f>23.4097 * CHOOSE(CONTROL!$C$9, $D$9, 100%, $F$9) + CHOOSE(CONTROL!$C$27, 0.0021, 0)</f>
        <v>23.411799999999999</v>
      </c>
      <c r="E53" s="14">
        <f>23.2731 * CHOOSE(CONTROL!$C$9, $D$9, 100%, $F$9) + CHOOSE(CONTROL!$C$27, 0.0021, 0)</f>
        <v>23.275199999999998</v>
      </c>
      <c r="F53" s="14">
        <f>23.2731 * CHOOSE(CONTROL!$C$9, $D$9, 100%, $F$9) + CHOOSE(CONTROL!$C$27, 0.0021, 0)</f>
        <v>23.275199999999998</v>
      </c>
      <c r="G53" s="14">
        <f>23.5444 * CHOOSE(CONTROL!$C$9, $D$9, 100%, $F$9) + CHOOSE(CONTROL!$C$27, 0.0021, 0)</f>
        <v>23.546499999999998</v>
      </c>
      <c r="H53" s="14">
        <f>23.4097 * CHOOSE(CONTROL!$C$9, $D$9, 100%, $F$9) + CHOOSE(CONTROL!$C$27, 0.0021, 0)</f>
        <v>23.411799999999999</v>
      </c>
      <c r="I53" s="14">
        <f>23.4097 * CHOOSE(CONTROL!$C$9, $D$9, 100%, $F$9) + CHOOSE(CONTROL!$C$27, 0.0021, 0)</f>
        <v>23.411799999999999</v>
      </c>
      <c r="J53" s="14">
        <f>23.4097 * CHOOSE(CONTROL!$C$9, $D$9, 100%, $F$9) + CHOOSE(CONTROL!$C$27, 0.0021, 0)</f>
        <v>23.411799999999999</v>
      </c>
      <c r="K53" s="14">
        <f>23.4097 * CHOOSE(CONTROL!$C$9, $D$9, 100%, $F$9) + CHOOSE(CONTROL!$C$27, 0.0021, 0)</f>
        <v>23.411799999999999</v>
      </c>
      <c r="L53" s="14"/>
    </row>
    <row r="54" spans="1:12" ht="15" x14ac:dyDescent="0.2">
      <c r="A54" s="13">
        <v>42552</v>
      </c>
      <c r="B54" s="14">
        <f>24.3199 * CHOOSE(CONTROL!$C$9, $D$9, 100%, $F$9) + CHOOSE(CONTROL!$C$27, 0.0021, 0)</f>
        <v>24.321999999999999</v>
      </c>
      <c r="C54" s="14">
        <f>23.8876 * CHOOSE(CONTROL!$C$9, $D$9, 100%, $F$9) + CHOOSE(CONTROL!$C$27, 0.0021, 0)</f>
        <v>23.889699999999998</v>
      </c>
      <c r="D54" s="14">
        <f>23.8876 * CHOOSE(CONTROL!$C$9, $D$9, 100%, $F$9) + CHOOSE(CONTROL!$C$27, 0.0021, 0)</f>
        <v>23.889699999999998</v>
      </c>
      <c r="E54" s="14">
        <f>23.751 * CHOOSE(CONTROL!$C$9, $D$9, 100%, $F$9) + CHOOSE(CONTROL!$C$27, 0.0021, 0)</f>
        <v>23.7531</v>
      </c>
      <c r="F54" s="14">
        <f>23.751 * CHOOSE(CONTROL!$C$9, $D$9, 100%, $F$9) + CHOOSE(CONTROL!$C$27, 0.0021, 0)</f>
        <v>23.7531</v>
      </c>
      <c r="G54" s="14">
        <f>24.0223 * CHOOSE(CONTROL!$C$9, $D$9, 100%, $F$9) + CHOOSE(CONTROL!$C$27, 0.0021, 0)</f>
        <v>24.0244</v>
      </c>
      <c r="H54" s="14">
        <f>23.8876 * CHOOSE(CONTROL!$C$9, $D$9, 100%, $F$9) + CHOOSE(CONTROL!$C$27, 0.0021, 0)</f>
        <v>23.889699999999998</v>
      </c>
      <c r="I54" s="14">
        <f>23.8876 * CHOOSE(CONTROL!$C$9, $D$9, 100%, $F$9) + CHOOSE(CONTROL!$C$27, 0.0021, 0)</f>
        <v>23.889699999999998</v>
      </c>
      <c r="J54" s="14">
        <f>23.8876 * CHOOSE(CONTROL!$C$9, $D$9, 100%, $F$9) + CHOOSE(CONTROL!$C$27, 0.0021, 0)</f>
        <v>23.889699999999998</v>
      </c>
      <c r="K54" s="14">
        <f>23.8876 * CHOOSE(CONTROL!$C$9, $D$9, 100%, $F$9) + CHOOSE(CONTROL!$C$27, 0.0021, 0)</f>
        <v>23.889699999999998</v>
      </c>
      <c r="L54" s="14"/>
    </row>
    <row r="55" spans="1:12" ht="15" x14ac:dyDescent="0.2">
      <c r="A55" s="13">
        <v>42583</v>
      </c>
      <c r="B55" s="14">
        <f>24.4978 * CHOOSE(CONTROL!$C$9, $D$9, 100%, $F$9) + CHOOSE(CONTROL!$C$27, 0.0021, 0)</f>
        <v>24.4999</v>
      </c>
      <c r="C55" s="14">
        <f>24.0656 * CHOOSE(CONTROL!$C$9, $D$9, 100%, $F$9) + CHOOSE(CONTROL!$C$27, 0.0021, 0)</f>
        <v>24.067699999999999</v>
      </c>
      <c r="D55" s="14">
        <f>24.0656 * CHOOSE(CONTROL!$C$9, $D$9, 100%, $F$9) + CHOOSE(CONTROL!$C$27, 0.0021, 0)</f>
        <v>24.067699999999999</v>
      </c>
      <c r="E55" s="14">
        <f>23.9289 * CHOOSE(CONTROL!$C$9, $D$9, 100%, $F$9) + CHOOSE(CONTROL!$C$27, 0.0021, 0)</f>
        <v>23.930999999999997</v>
      </c>
      <c r="F55" s="14">
        <f>23.9289 * CHOOSE(CONTROL!$C$9, $D$9, 100%, $F$9) + CHOOSE(CONTROL!$C$27, 0.0021, 0)</f>
        <v>23.930999999999997</v>
      </c>
      <c r="G55" s="14">
        <f>24.2003 * CHOOSE(CONTROL!$C$9, $D$9, 100%, $F$9) + CHOOSE(CONTROL!$C$27, 0.0021, 0)</f>
        <v>24.202399999999997</v>
      </c>
      <c r="H55" s="14">
        <f>24.0656 * CHOOSE(CONTROL!$C$9, $D$9, 100%, $F$9) + CHOOSE(CONTROL!$C$27, 0.0021, 0)</f>
        <v>24.067699999999999</v>
      </c>
      <c r="I55" s="14">
        <f>24.0656 * CHOOSE(CONTROL!$C$9, $D$9, 100%, $F$9) + CHOOSE(CONTROL!$C$27, 0.0021, 0)</f>
        <v>24.067699999999999</v>
      </c>
      <c r="J55" s="14">
        <f>24.0656 * CHOOSE(CONTROL!$C$9, $D$9, 100%, $F$9) + CHOOSE(CONTROL!$C$27, 0.0021, 0)</f>
        <v>24.067699999999999</v>
      </c>
      <c r="K55" s="14">
        <f>24.0656 * CHOOSE(CONTROL!$C$9, $D$9, 100%, $F$9) + CHOOSE(CONTROL!$C$27, 0.0021, 0)</f>
        <v>24.067699999999999</v>
      </c>
      <c r="L55" s="14"/>
    </row>
    <row r="56" spans="1:12" ht="15" x14ac:dyDescent="0.2">
      <c r="A56" s="13">
        <v>42614</v>
      </c>
      <c r="B56" s="14">
        <f>24.9961 * CHOOSE(CONTROL!$C$9, $D$9, 100%, $F$9) + CHOOSE(CONTROL!$C$27, 0.0021, 0)</f>
        <v>24.998199999999997</v>
      </c>
      <c r="C56" s="14">
        <f>24.5638 * CHOOSE(CONTROL!$C$9, $D$9, 100%, $F$9) + CHOOSE(CONTROL!$C$27, 0.0021, 0)</f>
        <v>24.565899999999999</v>
      </c>
      <c r="D56" s="14">
        <f>24.5638 * CHOOSE(CONTROL!$C$9, $D$9, 100%, $F$9) + CHOOSE(CONTROL!$C$27, 0.0021, 0)</f>
        <v>24.565899999999999</v>
      </c>
      <c r="E56" s="14">
        <f>24.4272 * CHOOSE(CONTROL!$C$9, $D$9, 100%, $F$9) + CHOOSE(CONTROL!$C$27, 0.0021, 0)</f>
        <v>24.429299999999998</v>
      </c>
      <c r="F56" s="14">
        <f>24.4272 * CHOOSE(CONTROL!$C$9, $D$9, 100%, $F$9) + CHOOSE(CONTROL!$C$27, 0.0021, 0)</f>
        <v>24.429299999999998</v>
      </c>
      <c r="G56" s="14">
        <f>24.6985 * CHOOSE(CONTROL!$C$9, $D$9, 100%, $F$9) + CHOOSE(CONTROL!$C$27, 0.0021, 0)</f>
        <v>24.700599999999998</v>
      </c>
      <c r="H56" s="14">
        <f>24.5638 * CHOOSE(CONTROL!$C$9, $D$9, 100%, $F$9) + CHOOSE(CONTROL!$C$27, 0.0021, 0)</f>
        <v>24.565899999999999</v>
      </c>
      <c r="I56" s="14">
        <f>24.5638 * CHOOSE(CONTROL!$C$9, $D$9, 100%, $F$9) + CHOOSE(CONTROL!$C$27, 0.0021, 0)</f>
        <v>24.565899999999999</v>
      </c>
      <c r="J56" s="14">
        <f>24.5638 * CHOOSE(CONTROL!$C$9, $D$9, 100%, $F$9) + CHOOSE(CONTROL!$C$27, 0.0021, 0)</f>
        <v>24.565899999999999</v>
      </c>
      <c r="K56" s="14">
        <f>24.5638 * CHOOSE(CONTROL!$C$9, $D$9, 100%, $F$9) + CHOOSE(CONTROL!$C$27, 0.0021, 0)</f>
        <v>24.565899999999999</v>
      </c>
      <c r="L56" s="14"/>
    </row>
    <row r="57" spans="1:12" ht="15" x14ac:dyDescent="0.2">
      <c r="A57" s="13">
        <v>42644</v>
      </c>
      <c r="B57" s="14">
        <f>25.6168 * CHOOSE(CONTROL!$C$9, $D$9, 100%, $F$9) + CHOOSE(CONTROL!$C$27, 0.0021, 0)</f>
        <v>25.6189</v>
      </c>
      <c r="C57" s="14">
        <f>25.1845 * CHOOSE(CONTROL!$C$9, $D$9, 100%, $F$9) + CHOOSE(CONTROL!$C$27, 0.0021, 0)</f>
        <v>25.186599999999999</v>
      </c>
      <c r="D57" s="14">
        <f>25.1845 * CHOOSE(CONTROL!$C$9, $D$9, 100%, $F$9) + CHOOSE(CONTROL!$C$27, 0.0021, 0)</f>
        <v>25.186599999999999</v>
      </c>
      <c r="E57" s="14">
        <f>25.0479 * CHOOSE(CONTROL!$C$9, $D$9, 100%, $F$9) + CHOOSE(CONTROL!$C$27, 0.0021, 0)</f>
        <v>25.049999999999997</v>
      </c>
      <c r="F57" s="14">
        <f>25.0479 * CHOOSE(CONTROL!$C$9, $D$9, 100%, $F$9) + CHOOSE(CONTROL!$C$27, 0.0021, 0)</f>
        <v>25.049999999999997</v>
      </c>
      <c r="G57" s="14">
        <f>25.3192 * CHOOSE(CONTROL!$C$9, $D$9, 100%, $F$9) + CHOOSE(CONTROL!$C$27, 0.0021, 0)</f>
        <v>25.321299999999997</v>
      </c>
      <c r="H57" s="14">
        <f>25.1845 * CHOOSE(CONTROL!$C$9, $D$9, 100%, $F$9) + CHOOSE(CONTROL!$C$27, 0.0021, 0)</f>
        <v>25.186599999999999</v>
      </c>
      <c r="I57" s="14">
        <f>25.1845 * CHOOSE(CONTROL!$C$9, $D$9, 100%, $F$9) + CHOOSE(CONTROL!$C$27, 0.0021, 0)</f>
        <v>25.186599999999999</v>
      </c>
      <c r="J57" s="14">
        <f>25.1845 * CHOOSE(CONTROL!$C$9, $D$9, 100%, $F$9) + CHOOSE(CONTROL!$C$27, 0.0021, 0)</f>
        <v>25.186599999999999</v>
      </c>
      <c r="K57" s="14">
        <f>25.1845 * CHOOSE(CONTROL!$C$9, $D$9, 100%, $F$9) + CHOOSE(CONTROL!$C$27, 0.0021, 0)</f>
        <v>25.186599999999999</v>
      </c>
      <c r="L57" s="14"/>
    </row>
    <row r="58" spans="1:12" ht="15" x14ac:dyDescent="0.2">
      <c r="A58" s="13">
        <v>42675</v>
      </c>
      <c r="B58" s="14">
        <f>25.7188 * CHOOSE(CONTROL!$C$9, $D$9, 100%, $F$9) + CHOOSE(CONTROL!$C$27, 0.0021, 0)</f>
        <v>25.7209</v>
      </c>
      <c r="C58" s="14">
        <f>25.2866 * CHOOSE(CONTROL!$C$9, $D$9, 100%, $F$9) + CHOOSE(CONTROL!$C$27, 0.0021, 0)</f>
        <v>25.288699999999999</v>
      </c>
      <c r="D58" s="14">
        <f>25.2866 * CHOOSE(CONTROL!$C$9, $D$9, 100%, $F$9) + CHOOSE(CONTROL!$C$27, 0.0021, 0)</f>
        <v>25.288699999999999</v>
      </c>
      <c r="E58" s="14">
        <f>25.1499 * CHOOSE(CONTROL!$C$9, $D$9, 100%, $F$9) + CHOOSE(CONTROL!$C$27, 0.0021, 0)</f>
        <v>25.151999999999997</v>
      </c>
      <c r="F58" s="14">
        <f>25.1499 * CHOOSE(CONTROL!$C$9, $D$9, 100%, $F$9) + CHOOSE(CONTROL!$C$27, 0.0021, 0)</f>
        <v>25.151999999999997</v>
      </c>
      <c r="G58" s="14">
        <f>25.4213 * CHOOSE(CONTROL!$C$9, $D$9, 100%, $F$9) + CHOOSE(CONTROL!$C$27, 0.0021, 0)</f>
        <v>25.423399999999997</v>
      </c>
      <c r="H58" s="14">
        <f>25.2866 * CHOOSE(CONTROL!$C$9, $D$9, 100%, $F$9) + CHOOSE(CONTROL!$C$27, 0.0021, 0)</f>
        <v>25.288699999999999</v>
      </c>
      <c r="I58" s="14">
        <f>25.2866 * CHOOSE(CONTROL!$C$9, $D$9, 100%, $F$9) + CHOOSE(CONTROL!$C$27, 0.0021, 0)</f>
        <v>25.288699999999999</v>
      </c>
      <c r="J58" s="14">
        <f>25.2866 * CHOOSE(CONTROL!$C$9, $D$9, 100%, $F$9) + CHOOSE(CONTROL!$C$27, 0.0021, 0)</f>
        <v>25.288699999999999</v>
      </c>
      <c r="K58" s="14">
        <f>25.2866 * CHOOSE(CONTROL!$C$9, $D$9, 100%, $F$9) + CHOOSE(CONTROL!$C$27, 0.0021, 0)</f>
        <v>25.288699999999999</v>
      </c>
      <c r="L58" s="14"/>
    </row>
    <row r="59" spans="1:12" ht="15" x14ac:dyDescent="0.2">
      <c r="A59" s="13">
        <v>42705</v>
      </c>
      <c r="B59" s="14">
        <f>25.3068 * CHOOSE(CONTROL!$C$9, $D$9, 100%, $F$9) + CHOOSE(CONTROL!$C$27, 0.0021, 0)</f>
        <v>25.308899999999998</v>
      </c>
      <c r="C59" s="14">
        <f>24.8745 * CHOOSE(CONTROL!$C$9, $D$9, 100%, $F$9) + CHOOSE(CONTROL!$C$27, 0.0021, 0)</f>
        <v>24.8766</v>
      </c>
      <c r="D59" s="14">
        <f>24.8745 * CHOOSE(CONTROL!$C$9, $D$9, 100%, $F$9) + CHOOSE(CONTROL!$C$27, 0.0021, 0)</f>
        <v>24.8766</v>
      </c>
      <c r="E59" s="14">
        <f>24.7379 * CHOOSE(CONTROL!$C$9, $D$9, 100%, $F$9) + CHOOSE(CONTROL!$C$27, 0.0021, 0)</f>
        <v>24.74</v>
      </c>
      <c r="F59" s="14">
        <f>24.7379 * CHOOSE(CONTROL!$C$9, $D$9, 100%, $F$9) + CHOOSE(CONTROL!$C$27, 0.0021, 0)</f>
        <v>24.74</v>
      </c>
      <c r="G59" s="14">
        <f>25.0092 * CHOOSE(CONTROL!$C$9, $D$9, 100%, $F$9) + CHOOSE(CONTROL!$C$27, 0.0021, 0)</f>
        <v>25.011299999999999</v>
      </c>
      <c r="H59" s="14">
        <f>24.8745 * CHOOSE(CONTROL!$C$9, $D$9, 100%, $F$9) + CHOOSE(CONTROL!$C$27, 0.0021, 0)</f>
        <v>24.8766</v>
      </c>
      <c r="I59" s="14">
        <f>24.8745 * CHOOSE(CONTROL!$C$9, $D$9, 100%, $F$9) + CHOOSE(CONTROL!$C$27, 0.0021, 0)</f>
        <v>24.8766</v>
      </c>
      <c r="J59" s="14">
        <f>24.8745 * CHOOSE(CONTROL!$C$9, $D$9, 100%, $F$9) + CHOOSE(CONTROL!$C$27, 0.0021, 0)</f>
        <v>24.8766</v>
      </c>
      <c r="K59" s="14">
        <f>24.8745 * CHOOSE(CONTROL!$C$9, $D$9, 100%, $F$9) + CHOOSE(CONTROL!$C$27, 0.0021, 0)</f>
        <v>24.8766</v>
      </c>
      <c r="L59" s="14"/>
    </row>
    <row r="60" spans="1:12" ht="15" x14ac:dyDescent="0.2">
      <c r="A60" s="13">
        <v>42736</v>
      </c>
      <c r="B60" s="14">
        <f>24.9025 * CHOOSE(CONTROL!$C$9, $D$9, 100%, $F$9) + CHOOSE(CONTROL!$C$27, 0.0021, 0)</f>
        <v>24.904599999999999</v>
      </c>
      <c r="C60" s="14">
        <f>24.4702 * CHOOSE(CONTROL!$C$9, $D$9, 100%, $F$9) + CHOOSE(CONTROL!$C$27, 0.0021, 0)</f>
        <v>24.472299999999997</v>
      </c>
      <c r="D60" s="14">
        <f>24.4702 * CHOOSE(CONTROL!$C$9, $D$9, 100%, $F$9) + CHOOSE(CONTROL!$C$27, 0.0021, 0)</f>
        <v>24.472299999999997</v>
      </c>
      <c r="E60" s="14">
        <f>24.3336 * CHOOSE(CONTROL!$C$9, $D$9, 100%, $F$9) + CHOOSE(CONTROL!$C$27, 0.0021, 0)</f>
        <v>24.335699999999999</v>
      </c>
      <c r="F60" s="14">
        <f>24.3336 * CHOOSE(CONTROL!$C$9, $D$9, 100%, $F$9) + CHOOSE(CONTROL!$C$27, 0.0021, 0)</f>
        <v>24.335699999999999</v>
      </c>
      <c r="G60" s="14">
        <f>24.6049 * CHOOSE(CONTROL!$C$9, $D$9, 100%, $F$9) + CHOOSE(CONTROL!$C$27, 0.0021, 0)</f>
        <v>24.606999999999999</v>
      </c>
      <c r="H60" s="14">
        <f>24.4702 * CHOOSE(CONTROL!$C$9, $D$9, 100%, $F$9) + CHOOSE(CONTROL!$C$27, 0.0021, 0)</f>
        <v>24.472299999999997</v>
      </c>
      <c r="I60" s="14">
        <f>24.4702 * CHOOSE(CONTROL!$C$9, $D$9, 100%, $F$9) + CHOOSE(CONTROL!$C$27, 0.0021, 0)</f>
        <v>24.472299999999997</v>
      </c>
      <c r="J60" s="14">
        <f>24.4702 * CHOOSE(CONTROL!$C$9, $D$9, 100%, $F$9) + CHOOSE(CONTROL!$C$27, 0.0021, 0)</f>
        <v>24.472299999999997</v>
      </c>
      <c r="K60" s="14">
        <f>24.4702 * CHOOSE(CONTROL!$C$9, $D$9, 100%, $F$9) + CHOOSE(CONTROL!$C$27, 0.0021, 0)</f>
        <v>24.472299999999997</v>
      </c>
      <c r="L60" s="14"/>
    </row>
    <row r="61" spans="1:12" ht="15" x14ac:dyDescent="0.2">
      <c r="A61" s="13">
        <v>42767</v>
      </c>
      <c r="B61" s="14">
        <f>24.3082 * CHOOSE(CONTROL!$C$9, $D$9, 100%, $F$9) + CHOOSE(CONTROL!$C$27, 0.0021, 0)</f>
        <v>24.310299999999998</v>
      </c>
      <c r="C61" s="14">
        <f>23.8759 * CHOOSE(CONTROL!$C$9, $D$9, 100%, $F$9) + CHOOSE(CONTROL!$C$27, 0.0021, 0)</f>
        <v>23.878</v>
      </c>
      <c r="D61" s="14">
        <f>23.8759 * CHOOSE(CONTROL!$C$9, $D$9, 100%, $F$9) + CHOOSE(CONTROL!$C$27, 0.0021, 0)</f>
        <v>23.878</v>
      </c>
      <c r="E61" s="14">
        <f>23.7393 * CHOOSE(CONTROL!$C$9, $D$9, 100%, $F$9) + CHOOSE(CONTROL!$C$27, 0.0021, 0)</f>
        <v>23.741399999999999</v>
      </c>
      <c r="F61" s="14">
        <f>23.7393 * CHOOSE(CONTROL!$C$9, $D$9, 100%, $F$9) + CHOOSE(CONTROL!$C$27, 0.0021, 0)</f>
        <v>23.741399999999999</v>
      </c>
      <c r="G61" s="14">
        <f>24.0107 * CHOOSE(CONTROL!$C$9, $D$9, 100%, $F$9) + CHOOSE(CONTROL!$C$27, 0.0021, 0)</f>
        <v>24.012799999999999</v>
      </c>
      <c r="H61" s="14">
        <f>23.8759 * CHOOSE(CONTROL!$C$9, $D$9, 100%, $F$9) + CHOOSE(CONTROL!$C$27, 0.0021, 0)</f>
        <v>23.878</v>
      </c>
      <c r="I61" s="14">
        <f>23.8759 * CHOOSE(CONTROL!$C$9, $D$9, 100%, $F$9) + CHOOSE(CONTROL!$C$27, 0.0021, 0)</f>
        <v>23.878</v>
      </c>
      <c r="J61" s="14">
        <f>23.8759 * CHOOSE(CONTROL!$C$9, $D$9, 100%, $F$9) + CHOOSE(CONTROL!$C$27, 0.0021, 0)</f>
        <v>23.878</v>
      </c>
      <c r="K61" s="14">
        <f>23.8759 * CHOOSE(CONTROL!$C$9, $D$9, 100%, $F$9) + CHOOSE(CONTROL!$C$27, 0.0021, 0)</f>
        <v>23.878</v>
      </c>
      <c r="L61" s="14"/>
    </row>
    <row r="62" spans="1:12" ht="15" x14ac:dyDescent="0.2">
      <c r="A62" s="13">
        <v>42795</v>
      </c>
      <c r="B62" s="14">
        <f>24.0885 * CHOOSE(CONTROL!$C$9, $D$9, 100%, $F$9) + CHOOSE(CONTROL!$C$27, 0.0021, 0)</f>
        <v>24.090599999999998</v>
      </c>
      <c r="C62" s="14">
        <f>23.6562 * CHOOSE(CONTROL!$C$9, $D$9, 100%, $F$9) + CHOOSE(CONTROL!$C$27, 0.0021, 0)</f>
        <v>23.658299999999997</v>
      </c>
      <c r="D62" s="14">
        <f>23.6562 * CHOOSE(CONTROL!$C$9, $D$9, 100%, $F$9) + CHOOSE(CONTROL!$C$27, 0.0021, 0)</f>
        <v>23.658299999999997</v>
      </c>
      <c r="E62" s="14">
        <f>23.5195 * CHOOSE(CONTROL!$C$9, $D$9, 100%, $F$9) + CHOOSE(CONTROL!$C$27, 0.0021, 0)</f>
        <v>23.521599999999999</v>
      </c>
      <c r="F62" s="14">
        <f>23.5195 * CHOOSE(CONTROL!$C$9, $D$9, 100%, $F$9) + CHOOSE(CONTROL!$C$27, 0.0021, 0)</f>
        <v>23.521599999999999</v>
      </c>
      <c r="G62" s="14">
        <f>23.7909 * CHOOSE(CONTROL!$C$9, $D$9, 100%, $F$9) + CHOOSE(CONTROL!$C$27, 0.0021, 0)</f>
        <v>23.792999999999999</v>
      </c>
      <c r="H62" s="14">
        <f>23.6562 * CHOOSE(CONTROL!$C$9, $D$9, 100%, $F$9) + CHOOSE(CONTROL!$C$27, 0.0021, 0)</f>
        <v>23.658299999999997</v>
      </c>
      <c r="I62" s="14">
        <f>23.6562 * CHOOSE(CONTROL!$C$9, $D$9, 100%, $F$9) + CHOOSE(CONTROL!$C$27, 0.0021, 0)</f>
        <v>23.658299999999997</v>
      </c>
      <c r="J62" s="14">
        <f>23.6562 * CHOOSE(CONTROL!$C$9, $D$9, 100%, $F$9) + CHOOSE(CONTROL!$C$27, 0.0021, 0)</f>
        <v>23.658299999999997</v>
      </c>
      <c r="K62" s="14">
        <f>23.6562 * CHOOSE(CONTROL!$C$9, $D$9, 100%, $F$9) + CHOOSE(CONTROL!$C$27, 0.0021, 0)</f>
        <v>23.658299999999997</v>
      </c>
      <c r="L62" s="14"/>
    </row>
    <row r="63" spans="1:12" ht="15" x14ac:dyDescent="0.2">
      <c r="A63" s="13">
        <v>42826</v>
      </c>
      <c r="B63" s="14">
        <f>23.8162 * CHOOSE(CONTROL!$C$9, $D$9, 100%, $F$9) + CHOOSE(CONTROL!$C$27, 0.0021, 0)</f>
        <v>23.818299999999997</v>
      </c>
      <c r="C63" s="14">
        <f>23.3839 * CHOOSE(CONTROL!$C$9, $D$9, 100%, $F$9) + CHOOSE(CONTROL!$C$27, 0.0021, 0)</f>
        <v>23.385999999999999</v>
      </c>
      <c r="D63" s="14">
        <f>23.3839 * CHOOSE(CONTROL!$C$9, $D$9, 100%, $F$9) + CHOOSE(CONTROL!$C$27, 0.0021, 0)</f>
        <v>23.385999999999999</v>
      </c>
      <c r="E63" s="14">
        <f>23.2473 * CHOOSE(CONTROL!$C$9, $D$9, 100%, $F$9) + CHOOSE(CONTROL!$C$27, 0.0021, 0)</f>
        <v>23.249399999999998</v>
      </c>
      <c r="F63" s="14">
        <f>23.2473 * CHOOSE(CONTROL!$C$9, $D$9, 100%, $F$9) + CHOOSE(CONTROL!$C$27, 0.0021, 0)</f>
        <v>23.249399999999998</v>
      </c>
      <c r="G63" s="14">
        <f>23.5186 * CHOOSE(CONTROL!$C$9, $D$9, 100%, $F$9) + CHOOSE(CONTROL!$C$27, 0.0021, 0)</f>
        <v>23.520699999999998</v>
      </c>
      <c r="H63" s="14">
        <f>23.3839 * CHOOSE(CONTROL!$C$9, $D$9, 100%, $F$9) + CHOOSE(CONTROL!$C$27, 0.0021, 0)</f>
        <v>23.385999999999999</v>
      </c>
      <c r="I63" s="14">
        <f>23.3839 * CHOOSE(CONTROL!$C$9, $D$9, 100%, $F$9) + CHOOSE(CONTROL!$C$27, 0.0021, 0)</f>
        <v>23.385999999999999</v>
      </c>
      <c r="J63" s="14">
        <f>23.3839 * CHOOSE(CONTROL!$C$9, $D$9, 100%, $F$9) + CHOOSE(CONTROL!$C$27, 0.0021, 0)</f>
        <v>23.385999999999999</v>
      </c>
      <c r="K63" s="14">
        <f>23.3839 * CHOOSE(CONTROL!$C$9, $D$9, 100%, $F$9) + CHOOSE(CONTROL!$C$27, 0.0021, 0)</f>
        <v>23.385999999999999</v>
      </c>
      <c r="L63" s="14"/>
    </row>
    <row r="64" spans="1:12" ht="15" x14ac:dyDescent="0.2">
      <c r="A64" s="13">
        <v>42856</v>
      </c>
      <c r="B64" s="14">
        <f>24.3134 * CHOOSE(CONTROL!$C$9, $D$9, 100%, $F$9) + CHOOSE(CONTROL!$C$27, 0.0021, 0)</f>
        <v>24.3155</v>
      </c>
      <c r="C64" s="14">
        <f>23.8812 * CHOOSE(CONTROL!$C$9, $D$9, 100%, $F$9) + CHOOSE(CONTROL!$C$27, 0.0021, 0)</f>
        <v>23.883299999999998</v>
      </c>
      <c r="D64" s="14">
        <f>23.8812 * CHOOSE(CONTROL!$C$9, $D$9, 100%, $F$9) + CHOOSE(CONTROL!$C$27, 0.0021, 0)</f>
        <v>23.883299999999998</v>
      </c>
      <c r="E64" s="14">
        <f>23.7445 * CHOOSE(CONTROL!$C$9, $D$9, 100%, $F$9) + CHOOSE(CONTROL!$C$27, 0.0021, 0)</f>
        <v>23.746599999999997</v>
      </c>
      <c r="F64" s="14">
        <f>23.7445 * CHOOSE(CONTROL!$C$9, $D$9, 100%, $F$9) + CHOOSE(CONTROL!$C$27, 0.0021, 0)</f>
        <v>23.746599999999997</v>
      </c>
      <c r="G64" s="14">
        <f>24.0159 * CHOOSE(CONTROL!$C$9, $D$9, 100%, $F$9) + CHOOSE(CONTROL!$C$27, 0.0021, 0)</f>
        <v>24.017999999999997</v>
      </c>
      <c r="H64" s="14">
        <f>23.8812 * CHOOSE(CONTROL!$C$9, $D$9, 100%, $F$9) + CHOOSE(CONTROL!$C$27, 0.0021, 0)</f>
        <v>23.883299999999998</v>
      </c>
      <c r="I64" s="14">
        <f>23.8812 * CHOOSE(CONTROL!$C$9, $D$9, 100%, $F$9) + CHOOSE(CONTROL!$C$27, 0.0021, 0)</f>
        <v>23.883299999999998</v>
      </c>
      <c r="J64" s="14">
        <f>23.8812 * CHOOSE(CONTROL!$C$9, $D$9, 100%, $F$9) + CHOOSE(CONTROL!$C$27, 0.0021, 0)</f>
        <v>23.883299999999998</v>
      </c>
      <c r="K64" s="14">
        <f>23.8812 * CHOOSE(CONTROL!$C$9, $D$9, 100%, $F$9) + CHOOSE(CONTROL!$C$27, 0.0021, 0)</f>
        <v>23.883299999999998</v>
      </c>
      <c r="L64" s="14"/>
    </row>
    <row r="65" spans="1:12" ht="15" x14ac:dyDescent="0.2">
      <c r="A65" s="13">
        <v>42887</v>
      </c>
      <c r="B65" s="14">
        <f>24.6307 * CHOOSE(CONTROL!$C$9, $D$9, 100%, $F$9) + CHOOSE(CONTROL!$C$27, 0.0021, 0)</f>
        <v>24.6328</v>
      </c>
      <c r="C65" s="14">
        <f>24.1984 * CHOOSE(CONTROL!$C$9, $D$9, 100%, $F$9) + CHOOSE(CONTROL!$C$27, 0.0021, 0)</f>
        <v>24.200499999999998</v>
      </c>
      <c r="D65" s="14">
        <f>24.1984 * CHOOSE(CONTROL!$C$9, $D$9, 100%, $F$9) + CHOOSE(CONTROL!$C$27, 0.0021, 0)</f>
        <v>24.200499999999998</v>
      </c>
      <c r="E65" s="14">
        <f>24.0618 * CHOOSE(CONTROL!$C$9, $D$9, 100%, $F$9) + CHOOSE(CONTROL!$C$27, 0.0021, 0)</f>
        <v>24.0639</v>
      </c>
      <c r="F65" s="14">
        <f>24.0618 * CHOOSE(CONTROL!$C$9, $D$9, 100%, $F$9) + CHOOSE(CONTROL!$C$27, 0.0021, 0)</f>
        <v>24.0639</v>
      </c>
      <c r="G65" s="14">
        <f>24.3331 * CHOOSE(CONTROL!$C$9, $D$9, 100%, $F$9) + CHOOSE(CONTROL!$C$27, 0.0021, 0)</f>
        <v>24.3352</v>
      </c>
      <c r="H65" s="14">
        <f>24.1984 * CHOOSE(CONTROL!$C$9, $D$9, 100%, $F$9) + CHOOSE(CONTROL!$C$27, 0.0021, 0)</f>
        <v>24.200499999999998</v>
      </c>
      <c r="I65" s="14">
        <f>24.1984 * CHOOSE(CONTROL!$C$9, $D$9, 100%, $F$9) + CHOOSE(CONTROL!$C$27, 0.0021, 0)</f>
        <v>24.200499999999998</v>
      </c>
      <c r="J65" s="14">
        <f>24.1984 * CHOOSE(CONTROL!$C$9, $D$9, 100%, $F$9) + CHOOSE(CONTROL!$C$27, 0.0021, 0)</f>
        <v>24.200499999999998</v>
      </c>
      <c r="K65" s="14">
        <f>24.1984 * CHOOSE(CONTROL!$C$9, $D$9, 100%, $F$9) + CHOOSE(CONTROL!$C$27, 0.0021, 0)</f>
        <v>24.200499999999998</v>
      </c>
      <c r="L65" s="14"/>
    </row>
    <row r="66" spans="1:12" ht="15" x14ac:dyDescent="0.2">
      <c r="A66" s="13">
        <v>42917</v>
      </c>
      <c r="B66" s="14">
        <f>25.1261 * CHOOSE(CONTROL!$C$9, $D$9, 100%, $F$9) + CHOOSE(CONTROL!$C$27, 0.0021, 0)</f>
        <v>25.1282</v>
      </c>
      <c r="C66" s="14">
        <f>24.6938 * CHOOSE(CONTROL!$C$9, $D$9, 100%, $F$9) + CHOOSE(CONTROL!$C$27, 0.0021, 0)</f>
        <v>24.695899999999998</v>
      </c>
      <c r="D66" s="14">
        <f>24.6938 * CHOOSE(CONTROL!$C$9, $D$9, 100%, $F$9) + CHOOSE(CONTROL!$C$27, 0.0021, 0)</f>
        <v>24.695899999999998</v>
      </c>
      <c r="E66" s="14">
        <f>24.5571 * CHOOSE(CONTROL!$C$9, $D$9, 100%, $F$9) + CHOOSE(CONTROL!$C$27, 0.0021, 0)</f>
        <v>24.559199999999997</v>
      </c>
      <c r="F66" s="14">
        <f>24.5571 * CHOOSE(CONTROL!$C$9, $D$9, 100%, $F$9) + CHOOSE(CONTROL!$C$27, 0.0021, 0)</f>
        <v>24.559199999999997</v>
      </c>
      <c r="G66" s="14">
        <f>24.8285 * CHOOSE(CONTROL!$C$9, $D$9, 100%, $F$9) + CHOOSE(CONTROL!$C$27, 0.0021, 0)</f>
        <v>24.830599999999997</v>
      </c>
      <c r="H66" s="14">
        <f>24.6938 * CHOOSE(CONTROL!$C$9, $D$9, 100%, $F$9) + CHOOSE(CONTROL!$C$27, 0.0021, 0)</f>
        <v>24.695899999999998</v>
      </c>
      <c r="I66" s="14">
        <f>24.6938 * CHOOSE(CONTROL!$C$9, $D$9, 100%, $F$9) + CHOOSE(CONTROL!$C$27, 0.0021, 0)</f>
        <v>24.695899999999998</v>
      </c>
      <c r="J66" s="14">
        <f>24.6938 * CHOOSE(CONTROL!$C$9, $D$9, 100%, $F$9) + CHOOSE(CONTROL!$C$27, 0.0021, 0)</f>
        <v>24.695899999999998</v>
      </c>
      <c r="K66" s="14">
        <f>24.6938 * CHOOSE(CONTROL!$C$9, $D$9, 100%, $F$9) + CHOOSE(CONTROL!$C$27, 0.0021, 0)</f>
        <v>24.695899999999998</v>
      </c>
      <c r="L66" s="14"/>
    </row>
    <row r="67" spans="1:12" ht="15" x14ac:dyDescent="0.2">
      <c r="A67" s="13">
        <v>42948</v>
      </c>
      <c r="B67" s="14">
        <f>25.3105 * CHOOSE(CONTROL!$C$9, $D$9, 100%, $F$9) + CHOOSE(CONTROL!$C$27, 0.0021, 0)</f>
        <v>25.3126</v>
      </c>
      <c r="C67" s="14">
        <f>24.8783 * CHOOSE(CONTROL!$C$9, $D$9, 100%, $F$9) + CHOOSE(CONTROL!$C$27, 0.0021, 0)</f>
        <v>24.880399999999998</v>
      </c>
      <c r="D67" s="14">
        <f>24.8783 * CHOOSE(CONTROL!$C$9, $D$9, 100%, $F$9) + CHOOSE(CONTROL!$C$27, 0.0021, 0)</f>
        <v>24.880399999999998</v>
      </c>
      <c r="E67" s="14">
        <f>24.7416 * CHOOSE(CONTROL!$C$9, $D$9, 100%, $F$9) + CHOOSE(CONTROL!$C$27, 0.0021, 0)</f>
        <v>24.743699999999997</v>
      </c>
      <c r="F67" s="14">
        <f>24.7416 * CHOOSE(CONTROL!$C$9, $D$9, 100%, $F$9) + CHOOSE(CONTROL!$C$27, 0.0021, 0)</f>
        <v>24.743699999999997</v>
      </c>
      <c r="G67" s="14">
        <f>25.013 * CHOOSE(CONTROL!$C$9, $D$9, 100%, $F$9) + CHOOSE(CONTROL!$C$27, 0.0021, 0)</f>
        <v>25.0151</v>
      </c>
      <c r="H67" s="14">
        <f>24.8783 * CHOOSE(CONTROL!$C$9, $D$9, 100%, $F$9) + CHOOSE(CONTROL!$C$27, 0.0021, 0)</f>
        <v>24.880399999999998</v>
      </c>
      <c r="I67" s="14">
        <f>24.8783 * CHOOSE(CONTROL!$C$9, $D$9, 100%, $F$9) + CHOOSE(CONTROL!$C$27, 0.0021, 0)</f>
        <v>24.880399999999998</v>
      </c>
      <c r="J67" s="14">
        <f>24.8783 * CHOOSE(CONTROL!$C$9, $D$9, 100%, $F$9) + CHOOSE(CONTROL!$C$27, 0.0021, 0)</f>
        <v>24.880399999999998</v>
      </c>
      <c r="K67" s="14">
        <f>24.8783 * CHOOSE(CONTROL!$C$9, $D$9, 100%, $F$9) + CHOOSE(CONTROL!$C$27, 0.0021, 0)</f>
        <v>24.880399999999998</v>
      </c>
      <c r="L67" s="14"/>
    </row>
    <row r="68" spans="1:12" ht="15" x14ac:dyDescent="0.2">
      <c r="A68" s="13">
        <v>42979</v>
      </c>
      <c r="B68" s="14">
        <f>25.827 * CHOOSE(CONTROL!$C$9, $D$9, 100%, $F$9) + CHOOSE(CONTROL!$C$27, 0.0021, 0)</f>
        <v>25.8291</v>
      </c>
      <c r="C68" s="14">
        <f>25.3947 * CHOOSE(CONTROL!$C$9, $D$9, 100%, $F$9) + CHOOSE(CONTROL!$C$27, 0.0021, 0)</f>
        <v>25.396799999999999</v>
      </c>
      <c r="D68" s="14">
        <f>25.3947 * CHOOSE(CONTROL!$C$9, $D$9, 100%, $F$9) + CHOOSE(CONTROL!$C$27, 0.0021, 0)</f>
        <v>25.396799999999999</v>
      </c>
      <c r="E68" s="14">
        <f>25.2581 * CHOOSE(CONTROL!$C$9, $D$9, 100%, $F$9) + CHOOSE(CONTROL!$C$27, 0.0021, 0)</f>
        <v>25.260199999999998</v>
      </c>
      <c r="F68" s="14">
        <f>25.2581 * CHOOSE(CONTROL!$C$9, $D$9, 100%, $F$9) + CHOOSE(CONTROL!$C$27, 0.0021, 0)</f>
        <v>25.260199999999998</v>
      </c>
      <c r="G68" s="14">
        <f>25.5295 * CHOOSE(CONTROL!$C$9, $D$9, 100%, $F$9) + CHOOSE(CONTROL!$C$27, 0.0021, 0)</f>
        <v>25.531599999999997</v>
      </c>
      <c r="H68" s="14">
        <f>25.3947 * CHOOSE(CONTROL!$C$9, $D$9, 100%, $F$9) + CHOOSE(CONTROL!$C$27, 0.0021, 0)</f>
        <v>25.396799999999999</v>
      </c>
      <c r="I68" s="14">
        <f>25.3947 * CHOOSE(CONTROL!$C$9, $D$9, 100%, $F$9) + CHOOSE(CONTROL!$C$27, 0.0021, 0)</f>
        <v>25.396799999999999</v>
      </c>
      <c r="J68" s="14">
        <f>25.3947 * CHOOSE(CONTROL!$C$9, $D$9, 100%, $F$9) + CHOOSE(CONTROL!$C$27, 0.0021, 0)</f>
        <v>25.396799999999999</v>
      </c>
      <c r="K68" s="14">
        <f>25.3947 * CHOOSE(CONTROL!$C$9, $D$9, 100%, $F$9) + CHOOSE(CONTROL!$C$27, 0.0021, 0)</f>
        <v>25.396799999999999</v>
      </c>
      <c r="L68" s="14"/>
    </row>
    <row r="69" spans="1:12" ht="15" x14ac:dyDescent="0.2">
      <c r="A69" s="13">
        <v>43009</v>
      </c>
      <c r="B69" s="14">
        <f>26.4704 * CHOOSE(CONTROL!$C$9, $D$9, 100%, $F$9) + CHOOSE(CONTROL!$C$27, 0.0021, 0)</f>
        <v>26.4725</v>
      </c>
      <c r="C69" s="14">
        <f>26.0382 * CHOOSE(CONTROL!$C$9, $D$9, 100%, $F$9) + CHOOSE(CONTROL!$C$27, 0.0021, 0)</f>
        <v>26.040299999999998</v>
      </c>
      <c r="D69" s="14">
        <f>26.0382 * CHOOSE(CONTROL!$C$9, $D$9, 100%, $F$9) + CHOOSE(CONTROL!$C$27, 0.0021, 0)</f>
        <v>26.040299999999998</v>
      </c>
      <c r="E69" s="14">
        <f>25.9015 * CHOOSE(CONTROL!$C$9, $D$9, 100%, $F$9) + CHOOSE(CONTROL!$C$27, 0.0021, 0)</f>
        <v>25.903599999999997</v>
      </c>
      <c r="F69" s="14">
        <f>25.9015 * CHOOSE(CONTROL!$C$9, $D$9, 100%, $F$9) + CHOOSE(CONTROL!$C$27, 0.0021, 0)</f>
        <v>25.903599999999997</v>
      </c>
      <c r="G69" s="14">
        <f>26.1729 * CHOOSE(CONTROL!$C$9, $D$9, 100%, $F$9) + CHOOSE(CONTROL!$C$27, 0.0021, 0)</f>
        <v>26.174999999999997</v>
      </c>
      <c r="H69" s="14">
        <f>26.0382 * CHOOSE(CONTROL!$C$9, $D$9, 100%, $F$9) + CHOOSE(CONTROL!$C$27, 0.0021, 0)</f>
        <v>26.040299999999998</v>
      </c>
      <c r="I69" s="14">
        <f>26.0382 * CHOOSE(CONTROL!$C$9, $D$9, 100%, $F$9) + CHOOSE(CONTROL!$C$27, 0.0021, 0)</f>
        <v>26.040299999999998</v>
      </c>
      <c r="J69" s="14">
        <f>26.0382 * CHOOSE(CONTROL!$C$9, $D$9, 100%, $F$9) + CHOOSE(CONTROL!$C$27, 0.0021, 0)</f>
        <v>26.040299999999998</v>
      </c>
      <c r="K69" s="14">
        <f>26.0382 * CHOOSE(CONTROL!$C$9, $D$9, 100%, $F$9) + CHOOSE(CONTROL!$C$27, 0.0021, 0)</f>
        <v>26.040299999999998</v>
      </c>
      <c r="L69" s="14"/>
    </row>
    <row r="70" spans="1:12" ht="15" x14ac:dyDescent="0.2">
      <c r="A70" s="13">
        <v>43040</v>
      </c>
      <c r="B70" s="14">
        <f>26.5762 * CHOOSE(CONTROL!$C$9, $D$9, 100%, $F$9) + CHOOSE(CONTROL!$C$27, 0.0021, 0)</f>
        <v>26.578299999999999</v>
      </c>
      <c r="C70" s="14">
        <f>26.1439 * CHOOSE(CONTROL!$C$9, $D$9, 100%, $F$9) + CHOOSE(CONTROL!$C$27, 0.0021, 0)</f>
        <v>26.145999999999997</v>
      </c>
      <c r="D70" s="14">
        <f>26.1439 * CHOOSE(CONTROL!$C$9, $D$9, 100%, $F$9) + CHOOSE(CONTROL!$C$27, 0.0021, 0)</f>
        <v>26.145999999999997</v>
      </c>
      <c r="E70" s="14">
        <f>26.0073 * CHOOSE(CONTROL!$C$9, $D$9, 100%, $F$9) + CHOOSE(CONTROL!$C$27, 0.0021, 0)</f>
        <v>26.009399999999999</v>
      </c>
      <c r="F70" s="14">
        <f>26.0073 * CHOOSE(CONTROL!$C$9, $D$9, 100%, $F$9) + CHOOSE(CONTROL!$C$27, 0.0021, 0)</f>
        <v>26.009399999999999</v>
      </c>
      <c r="G70" s="14">
        <f>26.2787 * CHOOSE(CONTROL!$C$9, $D$9, 100%, $F$9) + CHOOSE(CONTROL!$C$27, 0.0021, 0)</f>
        <v>26.280799999999999</v>
      </c>
      <c r="H70" s="14">
        <f>26.1439 * CHOOSE(CONTROL!$C$9, $D$9, 100%, $F$9) + CHOOSE(CONTROL!$C$27, 0.0021, 0)</f>
        <v>26.145999999999997</v>
      </c>
      <c r="I70" s="14">
        <f>26.1439 * CHOOSE(CONTROL!$C$9, $D$9, 100%, $F$9) + CHOOSE(CONTROL!$C$27, 0.0021, 0)</f>
        <v>26.145999999999997</v>
      </c>
      <c r="J70" s="14">
        <f>26.1439 * CHOOSE(CONTROL!$C$9, $D$9, 100%, $F$9) + CHOOSE(CONTROL!$C$27, 0.0021, 0)</f>
        <v>26.145999999999997</v>
      </c>
      <c r="K70" s="14">
        <f>26.1439 * CHOOSE(CONTROL!$C$9, $D$9, 100%, $F$9) + CHOOSE(CONTROL!$C$27, 0.0021, 0)</f>
        <v>26.145999999999997</v>
      </c>
      <c r="L70" s="14"/>
    </row>
    <row r="71" spans="1:12" ht="15" x14ac:dyDescent="0.2">
      <c r="A71" s="13">
        <v>43070</v>
      </c>
      <c r="B71" s="14">
        <f>26.1491 * CHOOSE(CONTROL!$C$9, $D$9, 100%, $F$9) + CHOOSE(CONTROL!$C$27, 0.0021, 0)</f>
        <v>26.151199999999999</v>
      </c>
      <c r="C71" s="14">
        <f>25.7168 * CHOOSE(CONTROL!$C$9, $D$9, 100%, $F$9) + CHOOSE(CONTROL!$C$27, 0.0021, 0)</f>
        <v>25.718899999999998</v>
      </c>
      <c r="D71" s="14">
        <f>25.7168 * CHOOSE(CONTROL!$C$9, $D$9, 100%, $F$9) + CHOOSE(CONTROL!$C$27, 0.0021, 0)</f>
        <v>25.718899999999998</v>
      </c>
      <c r="E71" s="14">
        <f>25.5802 * CHOOSE(CONTROL!$C$9, $D$9, 100%, $F$9) + CHOOSE(CONTROL!$C$27, 0.0021, 0)</f>
        <v>25.5823</v>
      </c>
      <c r="F71" s="14">
        <f>25.5802 * CHOOSE(CONTROL!$C$9, $D$9, 100%, $F$9) + CHOOSE(CONTROL!$C$27, 0.0021, 0)</f>
        <v>25.5823</v>
      </c>
      <c r="G71" s="14">
        <f>25.8515 * CHOOSE(CONTROL!$C$9, $D$9, 100%, $F$9) + CHOOSE(CONTROL!$C$27, 0.0021, 0)</f>
        <v>25.8536</v>
      </c>
      <c r="H71" s="14">
        <f>25.7168 * CHOOSE(CONTROL!$C$9, $D$9, 100%, $F$9) + CHOOSE(CONTROL!$C$27, 0.0021, 0)</f>
        <v>25.718899999999998</v>
      </c>
      <c r="I71" s="14">
        <f>25.7168 * CHOOSE(CONTROL!$C$9, $D$9, 100%, $F$9) + CHOOSE(CONTROL!$C$27, 0.0021, 0)</f>
        <v>25.718899999999998</v>
      </c>
      <c r="J71" s="14">
        <f>25.7168 * CHOOSE(CONTROL!$C$9, $D$9, 100%, $F$9) + CHOOSE(CONTROL!$C$27, 0.0021, 0)</f>
        <v>25.718899999999998</v>
      </c>
      <c r="K71" s="14">
        <f>25.7168 * CHOOSE(CONTROL!$C$9, $D$9, 100%, $F$9) + CHOOSE(CONTROL!$C$27, 0.0021, 0)</f>
        <v>25.718899999999998</v>
      </c>
      <c r="L71" s="14"/>
    </row>
    <row r="72" spans="1:12" ht="15" x14ac:dyDescent="0.2">
      <c r="A72" s="13">
        <v>43101</v>
      </c>
      <c r="B72" s="14">
        <f>28.7578 * CHOOSE(CONTROL!$C$9, $D$9, 100%, $F$9) + CHOOSE(CONTROL!$C$27, 0.0021, 0)</f>
        <v>28.759899999999998</v>
      </c>
      <c r="C72" s="14">
        <f>28.3255 * CHOOSE(CONTROL!$C$9, $D$9, 100%, $F$9) + CHOOSE(CONTROL!$C$27, 0.0021, 0)</f>
        <v>28.3276</v>
      </c>
      <c r="D72" s="14">
        <f>28.3255 * CHOOSE(CONTROL!$C$9, $D$9, 100%, $F$9) + CHOOSE(CONTROL!$C$27, 0.0021, 0)</f>
        <v>28.3276</v>
      </c>
      <c r="E72" s="14">
        <f>28.1889 * CHOOSE(CONTROL!$C$9, $D$9, 100%, $F$9) + CHOOSE(CONTROL!$C$27, 0.0021, 0)</f>
        <v>28.190999999999999</v>
      </c>
      <c r="F72" s="14">
        <f>28.1889 * CHOOSE(CONTROL!$C$9, $D$9, 100%, $F$9) + CHOOSE(CONTROL!$C$27, 0.0021, 0)</f>
        <v>28.190999999999999</v>
      </c>
      <c r="G72" s="14">
        <f>28.4602 * CHOOSE(CONTROL!$C$9, $D$9, 100%, $F$9) + CHOOSE(CONTROL!$C$27, 0.0021, 0)</f>
        <v>28.462299999999999</v>
      </c>
      <c r="H72" s="14">
        <f>28.3255 * CHOOSE(CONTROL!$C$9, $D$9, 100%, $F$9) + CHOOSE(CONTROL!$C$27, 0.0021, 0)</f>
        <v>28.3276</v>
      </c>
      <c r="I72" s="14">
        <f>28.3255 * CHOOSE(CONTROL!$C$9, $D$9, 100%, $F$9) + CHOOSE(CONTROL!$C$27, 0.0021, 0)</f>
        <v>28.3276</v>
      </c>
      <c r="J72" s="14">
        <f>28.3255 * CHOOSE(CONTROL!$C$9, $D$9, 100%, $F$9) + CHOOSE(CONTROL!$C$27, 0.0021, 0)</f>
        <v>28.3276</v>
      </c>
      <c r="K72" s="14">
        <f>28.3255 * CHOOSE(CONTROL!$C$9, $D$9, 100%, $F$9) + CHOOSE(CONTROL!$C$27, 0.0021, 0)</f>
        <v>28.3276</v>
      </c>
      <c r="L72" s="14"/>
    </row>
    <row r="73" spans="1:12" ht="15" x14ac:dyDescent="0.2">
      <c r="A73" s="13">
        <v>43132</v>
      </c>
      <c r="B73" s="14">
        <f>28.0621 * CHOOSE(CONTROL!$C$9, $D$9, 100%, $F$9) + CHOOSE(CONTROL!$C$27, 0.0021, 0)</f>
        <v>28.0642</v>
      </c>
      <c r="C73" s="14">
        <f>27.6299 * CHOOSE(CONTROL!$C$9, $D$9, 100%, $F$9) + CHOOSE(CONTROL!$C$27, 0.0021, 0)</f>
        <v>27.631999999999998</v>
      </c>
      <c r="D73" s="14">
        <f>27.6299 * CHOOSE(CONTROL!$C$9, $D$9, 100%, $F$9) + CHOOSE(CONTROL!$C$27, 0.0021, 0)</f>
        <v>27.631999999999998</v>
      </c>
      <c r="E73" s="14">
        <f>27.4932 * CHOOSE(CONTROL!$C$9, $D$9, 100%, $F$9) + CHOOSE(CONTROL!$C$27, 0.0021, 0)</f>
        <v>27.4953</v>
      </c>
      <c r="F73" s="14">
        <f>27.4932 * CHOOSE(CONTROL!$C$9, $D$9, 100%, $F$9) + CHOOSE(CONTROL!$C$27, 0.0021, 0)</f>
        <v>27.4953</v>
      </c>
      <c r="G73" s="14">
        <f>27.7646 * CHOOSE(CONTROL!$C$9, $D$9, 100%, $F$9) + CHOOSE(CONTROL!$C$27, 0.0021, 0)</f>
        <v>27.7667</v>
      </c>
      <c r="H73" s="14">
        <f>27.6299 * CHOOSE(CONTROL!$C$9, $D$9, 100%, $F$9) + CHOOSE(CONTROL!$C$27, 0.0021, 0)</f>
        <v>27.631999999999998</v>
      </c>
      <c r="I73" s="14">
        <f>27.6299 * CHOOSE(CONTROL!$C$9, $D$9, 100%, $F$9) + CHOOSE(CONTROL!$C$27, 0.0021, 0)</f>
        <v>27.631999999999998</v>
      </c>
      <c r="J73" s="14">
        <f>27.6299 * CHOOSE(CONTROL!$C$9, $D$9, 100%, $F$9) + CHOOSE(CONTROL!$C$27, 0.0021, 0)</f>
        <v>27.631999999999998</v>
      </c>
      <c r="K73" s="14">
        <f>27.6299 * CHOOSE(CONTROL!$C$9, $D$9, 100%, $F$9) + CHOOSE(CONTROL!$C$27, 0.0021, 0)</f>
        <v>27.631999999999998</v>
      </c>
      <c r="L73" s="14"/>
    </row>
    <row r="74" spans="1:12" ht="15" x14ac:dyDescent="0.2">
      <c r="A74" s="13">
        <v>43160</v>
      </c>
      <c r="B74" s="14">
        <f>27.8049 * CHOOSE(CONTROL!$C$9, $D$9, 100%, $F$9) + CHOOSE(CONTROL!$C$27, 0.0021, 0)</f>
        <v>27.806999999999999</v>
      </c>
      <c r="C74" s="14">
        <f>27.3727 * CHOOSE(CONTROL!$C$9, $D$9, 100%, $F$9) + CHOOSE(CONTROL!$C$27, 0.0021, 0)</f>
        <v>27.374799999999997</v>
      </c>
      <c r="D74" s="14">
        <f>27.3727 * CHOOSE(CONTROL!$C$9, $D$9, 100%, $F$9) + CHOOSE(CONTROL!$C$27, 0.0021, 0)</f>
        <v>27.374799999999997</v>
      </c>
      <c r="E74" s="14">
        <f>27.236 * CHOOSE(CONTROL!$C$9, $D$9, 100%, $F$9) + CHOOSE(CONTROL!$C$27, 0.0021, 0)</f>
        <v>27.238099999999999</v>
      </c>
      <c r="F74" s="14">
        <f>27.236 * CHOOSE(CONTROL!$C$9, $D$9, 100%, $F$9) + CHOOSE(CONTROL!$C$27, 0.0021, 0)</f>
        <v>27.238099999999999</v>
      </c>
      <c r="G74" s="14">
        <f>27.5074 * CHOOSE(CONTROL!$C$9, $D$9, 100%, $F$9) + CHOOSE(CONTROL!$C$27, 0.0021, 0)</f>
        <v>27.509499999999999</v>
      </c>
      <c r="H74" s="14">
        <f>27.3727 * CHOOSE(CONTROL!$C$9, $D$9, 100%, $F$9) + CHOOSE(CONTROL!$C$27, 0.0021, 0)</f>
        <v>27.374799999999997</v>
      </c>
      <c r="I74" s="14">
        <f>27.3727 * CHOOSE(CONTROL!$C$9, $D$9, 100%, $F$9) + CHOOSE(CONTROL!$C$27, 0.0021, 0)</f>
        <v>27.374799999999997</v>
      </c>
      <c r="J74" s="14">
        <f>27.3727 * CHOOSE(CONTROL!$C$9, $D$9, 100%, $F$9) + CHOOSE(CONTROL!$C$27, 0.0021, 0)</f>
        <v>27.374799999999997</v>
      </c>
      <c r="K74" s="14">
        <f>27.3727 * CHOOSE(CONTROL!$C$9, $D$9, 100%, $F$9) + CHOOSE(CONTROL!$C$27, 0.0021, 0)</f>
        <v>27.374799999999997</v>
      </c>
      <c r="L74" s="14"/>
    </row>
    <row r="75" spans="1:12" ht="15" x14ac:dyDescent="0.2">
      <c r="A75" s="13">
        <v>43191</v>
      </c>
      <c r="B75" s="14">
        <f>27.4862 * CHOOSE(CONTROL!$C$9, $D$9, 100%, $F$9) + CHOOSE(CONTROL!$C$27, 0.0021, 0)</f>
        <v>27.488299999999999</v>
      </c>
      <c r="C75" s="14">
        <f>27.054 * CHOOSE(CONTROL!$C$9, $D$9, 100%, $F$9) + CHOOSE(CONTROL!$C$27, 0.0021, 0)</f>
        <v>27.056099999999997</v>
      </c>
      <c r="D75" s="14">
        <f>27.054 * CHOOSE(CONTROL!$C$9, $D$9, 100%, $F$9) + CHOOSE(CONTROL!$C$27, 0.0021, 0)</f>
        <v>27.056099999999997</v>
      </c>
      <c r="E75" s="14">
        <f>26.9173 * CHOOSE(CONTROL!$C$9, $D$9, 100%, $F$9) + CHOOSE(CONTROL!$C$27, 0.0021, 0)</f>
        <v>26.9194</v>
      </c>
      <c r="F75" s="14">
        <f>26.9173 * CHOOSE(CONTROL!$C$9, $D$9, 100%, $F$9) + CHOOSE(CONTROL!$C$27, 0.0021, 0)</f>
        <v>26.9194</v>
      </c>
      <c r="G75" s="14">
        <f>27.1887 * CHOOSE(CONTROL!$C$9, $D$9, 100%, $F$9) + CHOOSE(CONTROL!$C$27, 0.0021, 0)</f>
        <v>27.190799999999999</v>
      </c>
      <c r="H75" s="14">
        <f>27.054 * CHOOSE(CONTROL!$C$9, $D$9, 100%, $F$9) + CHOOSE(CONTROL!$C$27, 0.0021, 0)</f>
        <v>27.056099999999997</v>
      </c>
      <c r="I75" s="14">
        <f>27.054 * CHOOSE(CONTROL!$C$9, $D$9, 100%, $F$9) + CHOOSE(CONTROL!$C$27, 0.0021, 0)</f>
        <v>27.056099999999997</v>
      </c>
      <c r="J75" s="14">
        <f>27.054 * CHOOSE(CONTROL!$C$9, $D$9, 100%, $F$9) + CHOOSE(CONTROL!$C$27, 0.0021, 0)</f>
        <v>27.056099999999997</v>
      </c>
      <c r="K75" s="14">
        <f>27.054 * CHOOSE(CONTROL!$C$9, $D$9, 100%, $F$9) + CHOOSE(CONTROL!$C$27, 0.0021, 0)</f>
        <v>27.056099999999997</v>
      </c>
      <c r="L75" s="14"/>
    </row>
    <row r="76" spans="1:12" ht="15" x14ac:dyDescent="0.2">
      <c r="A76" s="13">
        <v>43221</v>
      </c>
      <c r="B76" s="14">
        <f>28.0683 * CHOOSE(CONTROL!$C$9, $D$9, 100%, $F$9) + CHOOSE(CONTROL!$C$27, 0.0021, 0)</f>
        <v>28.070399999999999</v>
      </c>
      <c r="C76" s="14">
        <f>27.6361 * CHOOSE(CONTROL!$C$9, $D$9, 100%, $F$9) + CHOOSE(CONTROL!$C$27, 0.0021, 0)</f>
        <v>27.638199999999998</v>
      </c>
      <c r="D76" s="14">
        <f>27.6361 * CHOOSE(CONTROL!$C$9, $D$9, 100%, $F$9) + CHOOSE(CONTROL!$C$27, 0.0021, 0)</f>
        <v>27.638199999999998</v>
      </c>
      <c r="E76" s="14">
        <f>27.4994 * CHOOSE(CONTROL!$C$9, $D$9, 100%, $F$9) + CHOOSE(CONTROL!$C$27, 0.0021, 0)</f>
        <v>27.5015</v>
      </c>
      <c r="F76" s="14">
        <f>27.4994 * CHOOSE(CONTROL!$C$9, $D$9, 100%, $F$9) + CHOOSE(CONTROL!$C$27, 0.0021, 0)</f>
        <v>27.5015</v>
      </c>
      <c r="G76" s="14">
        <f>27.7708 * CHOOSE(CONTROL!$C$9, $D$9, 100%, $F$9) + CHOOSE(CONTROL!$C$27, 0.0021, 0)</f>
        <v>27.7729</v>
      </c>
      <c r="H76" s="14">
        <f>27.6361 * CHOOSE(CONTROL!$C$9, $D$9, 100%, $F$9) + CHOOSE(CONTROL!$C$27, 0.0021, 0)</f>
        <v>27.638199999999998</v>
      </c>
      <c r="I76" s="14">
        <f>27.6361 * CHOOSE(CONTROL!$C$9, $D$9, 100%, $F$9) + CHOOSE(CONTROL!$C$27, 0.0021, 0)</f>
        <v>27.638199999999998</v>
      </c>
      <c r="J76" s="14">
        <f>27.6361 * CHOOSE(CONTROL!$C$9, $D$9, 100%, $F$9) + CHOOSE(CONTROL!$C$27, 0.0021, 0)</f>
        <v>27.638199999999998</v>
      </c>
      <c r="K76" s="14">
        <f>27.6361 * CHOOSE(CONTROL!$C$9, $D$9, 100%, $F$9) + CHOOSE(CONTROL!$C$27, 0.0021, 0)</f>
        <v>27.638199999999998</v>
      </c>
      <c r="L76" s="14"/>
    </row>
    <row r="77" spans="1:12" ht="15" x14ac:dyDescent="0.2">
      <c r="A77" s="13">
        <v>43252</v>
      </c>
      <c r="B77" s="14">
        <f>28.4396 * CHOOSE(CONTROL!$C$9, $D$9, 100%, $F$9) + CHOOSE(CONTROL!$C$27, 0.0021, 0)</f>
        <v>28.441699999999997</v>
      </c>
      <c r="C77" s="14">
        <f>28.0074 * CHOOSE(CONTROL!$C$9, $D$9, 100%, $F$9) + CHOOSE(CONTROL!$C$27, 0.0021, 0)</f>
        <v>28.009499999999999</v>
      </c>
      <c r="D77" s="14">
        <f>28.0074 * CHOOSE(CONTROL!$C$9, $D$9, 100%, $F$9) + CHOOSE(CONTROL!$C$27, 0.0021, 0)</f>
        <v>28.009499999999999</v>
      </c>
      <c r="E77" s="14">
        <f>27.8707 * CHOOSE(CONTROL!$C$9, $D$9, 100%, $F$9) + CHOOSE(CONTROL!$C$27, 0.0021, 0)</f>
        <v>27.872799999999998</v>
      </c>
      <c r="F77" s="14">
        <f>27.8707 * CHOOSE(CONTROL!$C$9, $D$9, 100%, $F$9) + CHOOSE(CONTROL!$C$27, 0.0021, 0)</f>
        <v>27.872799999999998</v>
      </c>
      <c r="G77" s="14">
        <f>28.1421 * CHOOSE(CONTROL!$C$9, $D$9, 100%, $F$9) + CHOOSE(CONTROL!$C$27, 0.0021, 0)</f>
        <v>28.144199999999998</v>
      </c>
      <c r="H77" s="14">
        <f>28.0074 * CHOOSE(CONTROL!$C$9, $D$9, 100%, $F$9) + CHOOSE(CONTROL!$C$27, 0.0021, 0)</f>
        <v>28.009499999999999</v>
      </c>
      <c r="I77" s="14">
        <f>28.0074 * CHOOSE(CONTROL!$C$9, $D$9, 100%, $F$9) + CHOOSE(CONTROL!$C$27, 0.0021, 0)</f>
        <v>28.009499999999999</v>
      </c>
      <c r="J77" s="14">
        <f>28.0074 * CHOOSE(CONTROL!$C$9, $D$9, 100%, $F$9) + CHOOSE(CONTROL!$C$27, 0.0021, 0)</f>
        <v>28.009499999999999</v>
      </c>
      <c r="K77" s="14">
        <f>28.0074 * CHOOSE(CONTROL!$C$9, $D$9, 100%, $F$9) + CHOOSE(CONTROL!$C$27, 0.0021, 0)</f>
        <v>28.009499999999999</v>
      </c>
      <c r="L77" s="14"/>
    </row>
    <row r="78" spans="1:12" ht="15" x14ac:dyDescent="0.2">
      <c r="A78" s="13">
        <v>43282</v>
      </c>
      <c r="B78" s="14">
        <f>29.0195 * CHOOSE(CONTROL!$C$9, $D$9, 100%, $F$9) + CHOOSE(CONTROL!$C$27, 0.0021, 0)</f>
        <v>29.021599999999999</v>
      </c>
      <c r="C78" s="14">
        <f>28.5872 * CHOOSE(CONTROL!$C$9, $D$9, 100%, $F$9) + CHOOSE(CONTROL!$C$27, 0.0021, 0)</f>
        <v>28.589299999999998</v>
      </c>
      <c r="D78" s="14">
        <f>28.5872 * CHOOSE(CONTROL!$C$9, $D$9, 100%, $F$9) + CHOOSE(CONTROL!$C$27, 0.0021, 0)</f>
        <v>28.589299999999998</v>
      </c>
      <c r="E78" s="14">
        <f>28.4506 * CHOOSE(CONTROL!$C$9, $D$9, 100%, $F$9) + CHOOSE(CONTROL!$C$27, 0.0021, 0)</f>
        <v>28.4527</v>
      </c>
      <c r="F78" s="14">
        <f>28.4506 * CHOOSE(CONTROL!$C$9, $D$9, 100%, $F$9) + CHOOSE(CONTROL!$C$27, 0.0021, 0)</f>
        <v>28.4527</v>
      </c>
      <c r="G78" s="14">
        <f>28.7219 * CHOOSE(CONTROL!$C$9, $D$9, 100%, $F$9) + CHOOSE(CONTROL!$C$27, 0.0021, 0)</f>
        <v>28.724</v>
      </c>
      <c r="H78" s="14">
        <f>28.5872 * CHOOSE(CONTROL!$C$9, $D$9, 100%, $F$9) + CHOOSE(CONTROL!$C$27, 0.0021, 0)</f>
        <v>28.589299999999998</v>
      </c>
      <c r="I78" s="14">
        <f>28.5872 * CHOOSE(CONTROL!$C$9, $D$9, 100%, $F$9) + CHOOSE(CONTROL!$C$27, 0.0021, 0)</f>
        <v>28.589299999999998</v>
      </c>
      <c r="J78" s="14">
        <f>28.5872 * CHOOSE(CONTROL!$C$9, $D$9, 100%, $F$9) + CHOOSE(CONTROL!$C$27, 0.0021, 0)</f>
        <v>28.589299999999998</v>
      </c>
      <c r="K78" s="14">
        <f>28.5872 * CHOOSE(CONTROL!$C$9, $D$9, 100%, $F$9) + CHOOSE(CONTROL!$C$27, 0.0021, 0)</f>
        <v>28.589299999999998</v>
      </c>
      <c r="L78" s="14"/>
    </row>
    <row r="79" spans="1:12" ht="15" x14ac:dyDescent="0.2">
      <c r="A79" s="13">
        <v>43313</v>
      </c>
      <c r="B79" s="14">
        <f>29.2354 * CHOOSE(CONTROL!$C$9, $D$9, 100%, $F$9) + CHOOSE(CONTROL!$C$27, 0.0021, 0)</f>
        <v>29.237499999999997</v>
      </c>
      <c r="C79" s="14">
        <f>28.8032 * CHOOSE(CONTROL!$C$9, $D$9, 100%, $F$9) + CHOOSE(CONTROL!$C$27, 0.0021, 0)</f>
        <v>28.805299999999999</v>
      </c>
      <c r="D79" s="14">
        <f>28.8032 * CHOOSE(CONTROL!$C$9, $D$9, 100%, $F$9) + CHOOSE(CONTROL!$C$27, 0.0021, 0)</f>
        <v>28.805299999999999</v>
      </c>
      <c r="E79" s="14">
        <f>28.6665 * CHOOSE(CONTROL!$C$9, $D$9, 100%, $F$9) + CHOOSE(CONTROL!$C$27, 0.0021, 0)</f>
        <v>28.668599999999998</v>
      </c>
      <c r="F79" s="14">
        <f>28.6665 * CHOOSE(CONTROL!$C$9, $D$9, 100%, $F$9) + CHOOSE(CONTROL!$C$27, 0.0021, 0)</f>
        <v>28.668599999999998</v>
      </c>
      <c r="G79" s="14">
        <f>28.9379 * CHOOSE(CONTROL!$C$9, $D$9, 100%, $F$9) + CHOOSE(CONTROL!$C$27, 0.0021, 0)</f>
        <v>28.939999999999998</v>
      </c>
      <c r="H79" s="14">
        <f>28.8032 * CHOOSE(CONTROL!$C$9, $D$9, 100%, $F$9) + CHOOSE(CONTROL!$C$27, 0.0021, 0)</f>
        <v>28.805299999999999</v>
      </c>
      <c r="I79" s="14">
        <f>28.8032 * CHOOSE(CONTROL!$C$9, $D$9, 100%, $F$9) + CHOOSE(CONTROL!$C$27, 0.0021, 0)</f>
        <v>28.805299999999999</v>
      </c>
      <c r="J79" s="14">
        <f>28.8032 * CHOOSE(CONTROL!$C$9, $D$9, 100%, $F$9) + CHOOSE(CONTROL!$C$27, 0.0021, 0)</f>
        <v>28.805299999999999</v>
      </c>
      <c r="K79" s="14">
        <f>28.8032 * CHOOSE(CONTROL!$C$9, $D$9, 100%, $F$9) + CHOOSE(CONTROL!$C$27, 0.0021, 0)</f>
        <v>28.805299999999999</v>
      </c>
      <c r="L79" s="14"/>
    </row>
    <row r="80" spans="1:12" ht="15" x14ac:dyDescent="0.2">
      <c r="A80" s="13">
        <v>43344</v>
      </c>
      <c r="B80" s="14">
        <f>29.8399 * CHOOSE(CONTROL!$C$9, $D$9, 100%, $F$9) + CHOOSE(CONTROL!$C$27, 0.0021, 0)</f>
        <v>29.841999999999999</v>
      </c>
      <c r="C80" s="14">
        <f>29.4077 * CHOOSE(CONTROL!$C$9, $D$9, 100%, $F$9) + CHOOSE(CONTROL!$C$27, 0.0021, 0)</f>
        <v>29.409799999999997</v>
      </c>
      <c r="D80" s="14">
        <f>29.4077 * CHOOSE(CONTROL!$C$9, $D$9, 100%, $F$9) + CHOOSE(CONTROL!$C$27, 0.0021, 0)</f>
        <v>29.409799999999997</v>
      </c>
      <c r="E80" s="14">
        <f>29.271 * CHOOSE(CONTROL!$C$9, $D$9, 100%, $F$9) + CHOOSE(CONTROL!$C$27, 0.0021, 0)</f>
        <v>29.273099999999999</v>
      </c>
      <c r="F80" s="14">
        <f>29.271 * CHOOSE(CONTROL!$C$9, $D$9, 100%, $F$9) + CHOOSE(CONTROL!$C$27, 0.0021, 0)</f>
        <v>29.273099999999999</v>
      </c>
      <c r="G80" s="14">
        <f>29.5424 * CHOOSE(CONTROL!$C$9, $D$9, 100%, $F$9) + CHOOSE(CONTROL!$C$27, 0.0021, 0)</f>
        <v>29.544499999999999</v>
      </c>
      <c r="H80" s="14">
        <f>29.4077 * CHOOSE(CONTROL!$C$9, $D$9, 100%, $F$9) + CHOOSE(CONTROL!$C$27, 0.0021, 0)</f>
        <v>29.409799999999997</v>
      </c>
      <c r="I80" s="14">
        <f>29.4077 * CHOOSE(CONTROL!$C$9, $D$9, 100%, $F$9) + CHOOSE(CONTROL!$C$27, 0.0021, 0)</f>
        <v>29.409799999999997</v>
      </c>
      <c r="J80" s="14">
        <f>29.4077 * CHOOSE(CONTROL!$C$9, $D$9, 100%, $F$9) + CHOOSE(CONTROL!$C$27, 0.0021, 0)</f>
        <v>29.409799999999997</v>
      </c>
      <c r="K80" s="14">
        <f>29.4077 * CHOOSE(CONTROL!$C$9, $D$9, 100%, $F$9) + CHOOSE(CONTROL!$C$27, 0.0021, 0)</f>
        <v>29.409799999999997</v>
      </c>
      <c r="L80" s="14"/>
    </row>
    <row r="81" spans="1:12" ht="15" x14ac:dyDescent="0.2">
      <c r="A81" s="13">
        <v>43374</v>
      </c>
      <c r="B81" s="14">
        <f>30.5931 * CHOOSE(CONTROL!$C$9, $D$9, 100%, $F$9) + CHOOSE(CONTROL!$C$27, 0.0021, 0)</f>
        <v>30.595199999999998</v>
      </c>
      <c r="C81" s="14">
        <f>30.1608 * CHOOSE(CONTROL!$C$9, $D$9, 100%, $F$9) + CHOOSE(CONTROL!$C$27, 0.0021, 0)</f>
        <v>30.162899999999997</v>
      </c>
      <c r="D81" s="14">
        <f>30.1608 * CHOOSE(CONTROL!$C$9, $D$9, 100%, $F$9) + CHOOSE(CONTROL!$C$27, 0.0021, 0)</f>
        <v>30.162899999999997</v>
      </c>
      <c r="E81" s="14">
        <f>30.0241 * CHOOSE(CONTROL!$C$9, $D$9, 100%, $F$9) + CHOOSE(CONTROL!$C$27, 0.0021, 0)</f>
        <v>30.026199999999999</v>
      </c>
      <c r="F81" s="14">
        <f>30.0241 * CHOOSE(CONTROL!$C$9, $D$9, 100%, $F$9) + CHOOSE(CONTROL!$C$27, 0.0021, 0)</f>
        <v>30.026199999999999</v>
      </c>
      <c r="G81" s="14">
        <f>30.2955 * CHOOSE(CONTROL!$C$9, $D$9, 100%, $F$9) + CHOOSE(CONTROL!$C$27, 0.0021, 0)</f>
        <v>30.297599999999999</v>
      </c>
      <c r="H81" s="14">
        <f>30.1608 * CHOOSE(CONTROL!$C$9, $D$9, 100%, $F$9) + CHOOSE(CONTROL!$C$27, 0.0021, 0)</f>
        <v>30.162899999999997</v>
      </c>
      <c r="I81" s="14">
        <f>30.1608 * CHOOSE(CONTROL!$C$9, $D$9, 100%, $F$9) + CHOOSE(CONTROL!$C$27, 0.0021, 0)</f>
        <v>30.162899999999997</v>
      </c>
      <c r="J81" s="14">
        <f>30.1608 * CHOOSE(CONTROL!$C$9, $D$9, 100%, $F$9) + CHOOSE(CONTROL!$C$27, 0.0021, 0)</f>
        <v>30.162899999999997</v>
      </c>
      <c r="K81" s="14">
        <f>30.1608 * CHOOSE(CONTROL!$C$9, $D$9, 100%, $F$9) + CHOOSE(CONTROL!$C$27, 0.0021, 0)</f>
        <v>30.162899999999997</v>
      </c>
      <c r="L81" s="14"/>
    </row>
    <row r="82" spans="1:12" ht="15" x14ac:dyDescent="0.2">
      <c r="A82" s="13">
        <v>43405</v>
      </c>
      <c r="B82" s="14">
        <f>30.7169 * CHOOSE(CONTROL!$C$9, $D$9, 100%, $F$9) + CHOOSE(CONTROL!$C$27, 0.0021, 0)</f>
        <v>30.718999999999998</v>
      </c>
      <c r="C82" s="14">
        <f>30.2846 * CHOOSE(CONTROL!$C$9, $D$9, 100%, $F$9) + CHOOSE(CONTROL!$C$27, 0.0021, 0)</f>
        <v>30.2867</v>
      </c>
      <c r="D82" s="14">
        <f>30.2846 * CHOOSE(CONTROL!$C$9, $D$9, 100%, $F$9) + CHOOSE(CONTROL!$C$27, 0.0021, 0)</f>
        <v>30.2867</v>
      </c>
      <c r="E82" s="14">
        <f>30.1479 * CHOOSE(CONTROL!$C$9, $D$9, 100%, $F$9) + CHOOSE(CONTROL!$C$27, 0.0021, 0)</f>
        <v>30.15</v>
      </c>
      <c r="F82" s="14">
        <f>30.1479 * CHOOSE(CONTROL!$C$9, $D$9, 100%, $F$9) + CHOOSE(CONTROL!$C$27, 0.0021, 0)</f>
        <v>30.15</v>
      </c>
      <c r="G82" s="14">
        <f>30.4193 * CHOOSE(CONTROL!$C$9, $D$9, 100%, $F$9) + CHOOSE(CONTROL!$C$27, 0.0021, 0)</f>
        <v>30.421399999999998</v>
      </c>
      <c r="H82" s="14">
        <f>30.2846 * CHOOSE(CONTROL!$C$9, $D$9, 100%, $F$9) + CHOOSE(CONTROL!$C$27, 0.0021, 0)</f>
        <v>30.2867</v>
      </c>
      <c r="I82" s="14">
        <f>30.2846 * CHOOSE(CONTROL!$C$9, $D$9, 100%, $F$9) + CHOOSE(CONTROL!$C$27, 0.0021, 0)</f>
        <v>30.2867</v>
      </c>
      <c r="J82" s="14">
        <f>30.2846 * CHOOSE(CONTROL!$C$9, $D$9, 100%, $F$9) + CHOOSE(CONTROL!$C$27, 0.0021, 0)</f>
        <v>30.2867</v>
      </c>
      <c r="K82" s="14">
        <f>30.2846 * CHOOSE(CONTROL!$C$9, $D$9, 100%, $F$9) + CHOOSE(CONTROL!$C$27, 0.0021, 0)</f>
        <v>30.2867</v>
      </c>
      <c r="L82" s="14"/>
    </row>
    <row r="83" spans="1:12" ht="15" x14ac:dyDescent="0.2">
      <c r="A83" s="13">
        <v>43435</v>
      </c>
      <c r="B83" s="14">
        <f>30.2169 * CHOOSE(CONTROL!$C$9, $D$9, 100%, $F$9) + CHOOSE(CONTROL!$C$27, 0.0021, 0)</f>
        <v>30.218999999999998</v>
      </c>
      <c r="C83" s="14">
        <f>29.7847 * CHOOSE(CONTROL!$C$9, $D$9, 100%, $F$9) + CHOOSE(CONTROL!$C$27, 0.0021, 0)</f>
        <v>29.786799999999999</v>
      </c>
      <c r="D83" s="14">
        <f>29.7847 * CHOOSE(CONTROL!$C$9, $D$9, 100%, $F$9) + CHOOSE(CONTROL!$C$27, 0.0021, 0)</f>
        <v>29.786799999999999</v>
      </c>
      <c r="E83" s="14">
        <f>29.648 * CHOOSE(CONTROL!$C$9, $D$9, 100%, $F$9) + CHOOSE(CONTROL!$C$27, 0.0021, 0)</f>
        <v>29.650099999999998</v>
      </c>
      <c r="F83" s="14">
        <f>29.648 * CHOOSE(CONTROL!$C$9, $D$9, 100%, $F$9) + CHOOSE(CONTROL!$C$27, 0.0021, 0)</f>
        <v>29.650099999999998</v>
      </c>
      <c r="G83" s="14">
        <f>29.9194 * CHOOSE(CONTROL!$C$9, $D$9, 100%, $F$9) + CHOOSE(CONTROL!$C$27, 0.0021, 0)</f>
        <v>29.921499999999998</v>
      </c>
      <c r="H83" s="14">
        <f>29.7847 * CHOOSE(CONTROL!$C$9, $D$9, 100%, $F$9) + CHOOSE(CONTROL!$C$27, 0.0021, 0)</f>
        <v>29.786799999999999</v>
      </c>
      <c r="I83" s="14">
        <f>29.7847 * CHOOSE(CONTROL!$C$9, $D$9, 100%, $F$9) + CHOOSE(CONTROL!$C$27, 0.0021, 0)</f>
        <v>29.786799999999999</v>
      </c>
      <c r="J83" s="14">
        <f>29.7847 * CHOOSE(CONTROL!$C$9, $D$9, 100%, $F$9) + CHOOSE(CONTROL!$C$27, 0.0021, 0)</f>
        <v>29.786799999999999</v>
      </c>
      <c r="K83" s="14">
        <f>29.7847 * CHOOSE(CONTROL!$C$9, $D$9, 100%, $F$9) + CHOOSE(CONTROL!$C$27, 0.0021, 0)</f>
        <v>29.786799999999999</v>
      </c>
      <c r="L83" s="14"/>
    </row>
    <row r="84" spans="1:12" ht="15" x14ac:dyDescent="0.2">
      <c r="A84" s="13">
        <v>43466</v>
      </c>
      <c r="B84" s="14">
        <f>30.1047 * CHOOSE(CONTROL!$C$9, $D$9, 100%, $F$9) + CHOOSE(CONTROL!$C$27, 0.0021, 0)</f>
        <v>30.1068</v>
      </c>
      <c r="C84" s="14">
        <f>29.6725 * CHOOSE(CONTROL!$C$9, $D$9, 100%, $F$9) + CHOOSE(CONTROL!$C$27, 0.0021, 0)</f>
        <v>29.674599999999998</v>
      </c>
      <c r="D84" s="14">
        <f>29.6725 * CHOOSE(CONTROL!$C$9, $D$9, 100%, $F$9) + CHOOSE(CONTROL!$C$27, 0.0021, 0)</f>
        <v>29.674599999999998</v>
      </c>
      <c r="E84" s="14">
        <f>29.5358 * CHOOSE(CONTROL!$C$9, $D$9, 100%, $F$9) + CHOOSE(CONTROL!$C$27, 0.0021, 0)</f>
        <v>29.537899999999997</v>
      </c>
      <c r="F84" s="14">
        <f>29.5358 * CHOOSE(CONTROL!$C$9, $D$9, 100%, $F$9) + CHOOSE(CONTROL!$C$27, 0.0021, 0)</f>
        <v>29.537899999999997</v>
      </c>
      <c r="G84" s="14">
        <f>29.8072 * CHOOSE(CONTROL!$C$9, $D$9, 100%, $F$9) + CHOOSE(CONTROL!$C$27, 0.0021, 0)</f>
        <v>29.8093</v>
      </c>
      <c r="H84" s="14">
        <f>29.6725 * CHOOSE(CONTROL!$C$9, $D$9, 100%, $F$9) + CHOOSE(CONTROL!$C$27, 0.0021, 0)</f>
        <v>29.674599999999998</v>
      </c>
      <c r="I84" s="14">
        <f>29.6725 * CHOOSE(CONTROL!$C$9, $D$9, 100%, $F$9) + CHOOSE(CONTROL!$C$27, 0.0021, 0)</f>
        <v>29.674599999999998</v>
      </c>
      <c r="J84" s="14">
        <f>29.6725 * CHOOSE(CONTROL!$C$9, $D$9, 100%, $F$9) + CHOOSE(CONTROL!$C$27, 0.0021, 0)</f>
        <v>29.674599999999998</v>
      </c>
      <c r="K84" s="14">
        <f>29.6725 * CHOOSE(CONTROL!$C$9, $D$9, 100%, $F$9) + CHOOSE(CONTROL!$C$27, 0.0021, 0)</f>
        <v>29.674599999999998</v>
      </c>
      <c r="L84" s="14"/>
    </row>
    <row r="85" spans="1:12" ht="15" x14ac:dyDescent="0.2">
      <c r="A85" s="13">
        <v>43497</v>
      </c>
      <c r="B85" s="14">
        <f>29.3737 * CHOOSE(CONTROL!$C$9, $D$9, 100%, $F$9) + CHOOSE(CONTROL!$C$27, 0.0021, 0)</f>
        <v>29.375799999999998</v>
      </c>
      <c r="C85" s="14">
        <f>28.9414 * CHOOSE(CONTROL!$C$9, $D$9, 100%, $F$9) + CHOOSE(CONTROL!$C$27, 0.0021, 0)</f>
        <v>28.9435</v>
      </c>
      <c r="D85" s="14">
        <f>28.9414 * CHOOSE(CONTROL!$C$9, $D$9, 100%, $F$9) + CHOOSE(CONTROL!$C$27, 0.0021, 0)</f>
        <v>28.9435</v>
      </c>
      <c r="E85" s="14">
        <f>28.8048 * CHOOSE(CONTROL!$C$9, $D$9, 100%, $F$9) + CHOOSE(CONTROL!$C$27, 0.0021, 0)</f>
        <v>28.806899999999999</v>
      </c>
      <c r="F85" s="14">
        <f>28.8048 * CHOOSE(CONTROL!$C$9, $D$9, 100%, $F$9) + CHOOSE(CONTROL!$C$27, 0.0021, 0)</f>
        <v>28.806899999999999</v>
      </c>
      <c r="G85" s="14">
        <f>29.0762 * CHOOSE(CONTROL!$C$9, $D$9, 100%, $F$9) + CHOOSE(CONTROL!$C$27, 0.0021, 0)</f>
        <v>29.078299999999999</v>
      </c>
      <c r="H85" s="14">
        <f>28.9414 * CHOOSE(CONTROL!$C$9, $D$9, 100%, $F$9) + CHOOSE(CONTROL!$C$27, 0.0021, 0)</f>
        <v>28.9435</v>
      </c>
      <c r="I85" s="14">
        <f>28.9414 * CHOOSE(CONTROL!$C$9, $D$9, 100%, $F$9) + CHOOSE(CONTROL!$C$27, 0.0021, 0)</f>
        <v>28.9435</v>
      </c>
      <c r="J85" s="14">
        <f>28.9414 * CHOOSE(CONTROL!$C$9, $D$9, 100%, $F$9) + CHOOSE(CONTROL!$C$27, 0.0021, 0)</f>
        <v>28.9435</v>
      </c>
      <c r="K85" s="14">
        <f>28.9414 * CHOOSE(CONTROL!$C$9, $D$9, 100%, $F$9) + CHOOSE(CONTROL!$C$27, 0.0021, 0)</f>
        <v>28.9435</v>
      </c>
      <c r="L85" s="14"/>
    </row>
    <row r="86" spans="1:12" ht="15" x14ac:dyDescent="0.2">
      <c r="A86" s="13">
        <v>43525</v>
      </c>
      <c r="B86" s="14">
        <f>29.1034 * CHOOSE(CONTROL!$C$9, $D$9, 100%, $F$9) + CHOOSE(CONTROL!$C$27, 0.0021, 0)</f>
        <v>29.105499999999999</v>
      </c>
      <c r="C86" s="14">
        <f>28.6711 * CHOOSE(CONTROL!$C$9, $D$9, 100%, $F$9) + CHOOSE(CONTROL!$C$27, 0.0021, 0)</f>
        <v>28.673199999999998</v>
      </c>
      <c r="D86" s="14">
        <f>28.6711 * CHOOSE(CONTROL!$C$9, $D$9, 100%, $F$9) + CHOOSE(CONTROL!$C$27, 0.0021, 0)</f>
        <v>28.673199999999998</v>
      </c>
      <c r="E86" s="14">
        <f>28.5345 * CHOOSE(CONTROL!$C$9, $D$9, 100%, $F$9) + CHOOSE(CONTROL!$C$27, 0.0021, 0)</f>
        <v>28.5366</v>
      </c>
      <c r="F86" s="14">
        <f>28.5345 * CHOOSE(CONTROL!$C$9, $D$9, 100%, $F$9) + CHOOSE(CONTROL!$C$27, 0.0021, 0)</f>
        <v>28.5366</v>
      </c>
      <c r="G86" s="14">
        <f>28.8059 * CHOOSE(CONTROL!$C$9, $D$9, 100%, $F$9) + CHOOSE(CONTROL!$C$27, 0.0021, 0)</f>
        <v>28.808</v>
      </c>
      <c r="H86" s="14">
        <f>28.6711 * CHOOSE(CONTROL!$C$9, $D$9, 100%, $F$9) + CHOOSE(CONTROL!$C$27, 0.0021, 0)</f>
        <v>28.673199999999998</v>
      </c>
      <c r="I86" s="14">
        <f>28.6711 * CHOOSE(CONTROL!$C$9, $D$9, 100%, $F$9) + CHOOSE(CONTROL!$C$27, 0.0021, 0)</f>
        <v>28.673199999999998</v>
      </c>
      <c r="J86" s="14">
        <f>28.6711 * CHOOSE(CONTROL!$C$9, $D$9, 100%, $F$9) + CHOOSE(CONTROL!$C$27, 0.0021, 0)</f>
        <v>28.673199999999998</v>
      </c>
      <c r="K86" s="14">
        <f>28.6711 * CHOOSE(CONTROL!$C$9, $D$9, 100%, $F$9) + CHOOSE(CONTROL!$C$27, 0.0021, 0)</f>
        <v>28.673199999999998</v>
      </c>
      <c r="L86" s="14"/>
    </row>
    <row r="87" spans="1:12" ht="15" x14ac:dyDescent="0.2">
      <c r="A87" s="13">
        <v>43556</v>
      </c>
      <c r="B87" s="14">
        <f>28.7685 * CHOOSE(CONTROL!$C$9, $D$9, 100%, $F$9) + CHOOSE(CONTROL!$C$27, 0.0021, 0)</f>
        <v>28.770599999999998</v>
      </c>
      <c r="C87" s="14">
        <f>28.3362 * CHOOSE(CONTROL!$C$9, $D$9, 100%, $F$9) + CHOOSE(CONTROL!$C$27, 0.0021, 0)</f>
        <v>28.3383</v>
      </c>
      <c r="D87" s="14">
        <f>28.3362 * CHOOSE(CONTROL!$C$9, $D$9, 100%, $F$9) + CHOOSE(CONTROL!$C$27, 0.0021, 0)</f>
        <v>28.3383</v>
      </c>
      <c r="E87" s="14">
        <f>28.1996 * CHOOSE(CONTROL!$C$9, $D$9, 100%, $F$9) + CHOOSE(CONTROL!$C$27, 0.0021, 0)</f>
        <v>28.201699999999999</v>
      </c>
      <c r="F87" s="14">
        <f>28.1996 * CHOOSE(CONTROL!$C$9, $D$9, 100%, $F$9) + CHOOSE(CONTROL!$C$27, 0.0021, 0)</f>
        <v>28.201699999999999</v>
      </c>
      <c r="G87" s="14">
        <f>28.4709 * CHOOSE(CONTROL!$C$9, $D$9, 100%, $F$9) + CHOOSE(CONTROL!$C$27, 0.0021, 0)</f>
        <v>28.472999999999999</v>
      </c>
      <c r="H87" s="14">
        <f>28.3362 * CHOOSE(CONTROL!$C$9, $D$9, 100%, $F$9) + CHOOSE(CONTROL!$C$27, 0.0021, 0)</f>
        <v>28.3383</v>
      </c>
      <c r="I87" s="14">
        <f>28.3362 * CHOOSE(CONTROL!$C$9, $D$9, 100%, $F$9) + CHOOSE(CONTROL!$C$27, 0.0021, 0)</f>
        <v>28.3383</v>
      </c>
      <c r="J87" s="14">
        <f>28.3362 * CHOOSE(CONTROL!$C$9, $D$9, 100%, $F$9) + CHOOSE(CONTROL!$C$27, 0.0021, 0)</f>
        <v>28.3383</v>
      </c>
      <c r="K87" s="14">
        <f>28.3362 * CHOOSE(CONTROL!$C$9, $D$9, 100%, $F$9) + CHOOSE(CONTROL!$C$27, 0.0021, 0)</f>
        <v>28.3383</v>
      </c>
      <c r="L87" s="14"/>
    </row>
    <row r="88" spans="1:12" ht="15" x14ac:dyDescent="0.2">
      <c r="A88" s="13">
        <v>43586</v>
      </c>
      <c r="B88" s="14">
        <f>29.3802 * CHOOSE(CONTROL!$C$9, $D$9, 100%, $F$9) + CHOOSE(CONTROL!$C$27, 0.0021, 0)</f>
        <v>29.382299999999997</v>
      </c>
      <c r="C88" s="14">
        <f>28.9479 * CHOOSE(CONTROL!$C$9, $D$9, 100%, $F$9) + CHOOSE(CONTROL!$C$27, 0.0021, 0)</f>
        <v>28.95</v>
      </c>
      <c r="D88" s="14">
        <f>28.9479 * CHOOSE(CONTROL!$C$9, $D$9, 100%, $F$9) + CHOOSE(CONTROL!$C$27, 0.0021, 0)</f>
        <v>28.95</v>
      </c>
      <c r="E88" s="14">
        <f>28.8113 * CHOOSE(CONTROL!$C$9, $D$9, 100%, $F$9) + CHOOSE(CONTROL!$C$27, 0.0021, 0)</f>
        <v>28.813399999999998</v>
      </c>
      <c r="F88" s="14">
        <f>28.8113 * CHOOSE(CONTROL!$C$9, $D$9, 100%, $F$9) + CHOOSE(CONTROL!$C$27, 0.0021, 0)</f>
        <v>28.813399999999998</v>
      </c>
      <c r="G88" s="14">
        <f>29.0826 * CHOOSE(CONTROL!$C$9, $D$9, 100%, $F$9) + CHOOSE(CONTROL!$C$27, 0.0021, 0)</f>
        <v>29.084699999999998</v>
      </c>
      <c r="H88" s="14">
        <f>28.9479 * CHOOSE(CONTROL!$C$9, $D$9, 100%, $F$9) + CHOOSE(CONTROL!$C$27, 0.0021, 0)</f>
        <v>28.95</v>
      </c>
      <c r="I88" s="14">
        <f>28.9479 * CHOOSE(CONTROL!$C$9, $D$9, 100%, $F$9) + CHOOSE(CONTROL!$C$27, 0.0021, 0)</f>
        <v>28.95</v>
      </c>
      <c r="J88" s="14">
        <f>28.9479 * CHOOSE(CONTROL!$C$9, $D$9, 100%, $F$9) + CHOOSE(CONTROL!$C$27, 0.0021, 0)</f>
        <v>28.95</v>
      </c>
      <c r="K88" s="14">
        <f>28.9479 * CHOOSE(CONTROL!$C$9, $D$9, 100%, $F$9) + CHOOSE(CONTROL!$C$27, 0.0021, 0)</f>
        <v>28.95</v>
      </c>
      <c r="L88" s="14"/>
    </row>
    <row r="89" spans="1:12" ht="15" x14ac:dyDescent="0.2">
      <c r="A89" s="13">
        <v>43617</v>
      </c>
      <c r="B89" s="14">
        <f>29.7704 * CHOOSE(CONTROL!$C$9, $D$9, 100%, $F$9) + CHOOSE(CONTROL!$C$27, 0.0021, 0)</f>
        <v>29.772499999999997</v>
      </c>
      <c r="C89" s="14">
        <f>29.3381 * CHOOSE(CONTROL!$C$9, $D$9, 100%, $F$9) + CHOOSE(CONTROL!$C$27, 0.0021, 0)</f>
        <v>29.340199999999999</v>
      </c>
      <c r="D89" s="14">
        <f>29.3381 * CHOOSE(CONTROL!$C$9, $D$9, 100%, $F$9) + CHOOSE(CONTROL!$C$27, 0.0021, 0)</f>
        <v>29.340199999999999</v>
      </c>
      <c r="E89" s="14">
        <f>29.2015 * CHOOSE(CONTROL!$C$9, $D$9, 100%, $F$9) + CHOOSE(CONTROL!$C$27, 0.0021, 0)</f>
        <v>29.203599999999998</v>
      </c>
      <c r="F89" s="14">
        <f>29.2015 * CHOOSE(CONTROL!$C$9, $D$9, 100%, $F$9) + CHOOSE(CONTROL!$C$27, 0.0021, 0)</f>
        <v>29.203599999999998</v>
      </c>
      <c r="G89" s="14">
        <f>29.4728 * CHOOSE(CONTROL!$C$9, $D$9, 100%, $F$9) + CHOOSE(CONTROL!$C$27, 0.0021, 0)</f>
        <v>29.474899999999998</v>
      </c>
      <c r="H89" s="14">
        <f>29.3381 * CHOOSE(CONTROL!$C$9, $D$9, 100%, $F$9) + CHOOSE(CONTROL!$C$27, 0.0021, 0)</f>
        <v>29.340199999999999</v>
      </c>
      <c r="I89" s="14">
        <f>29.3381 * CHOOSE(CONTROL!$C$9, $D$9, 100%, $F$9) + CHOOSE(CONTROL!$C$27, 0.0021, 0)</f>
        <v>29.340199999999999</v>
      </c>
      <c r="J89" s="14">
        <f>29.3381 * CHOOSE(CONTROL!$C$9, $D$9, 100%, $F$9) + CHOOSE(CONTROL!$C$27, 0.0021, 0)</f>
        <v>29.340199999999999</v>
      </c>
      <c r="K89" s="14">
        <f>29.3381 * CHOOSE(CONTROL!$C$9, $D$9, 100%, $F$9) + CHOOSE(CONTROL!$C$27, 0.0021, 0)</f>
        <v>29.340199999999999</v>
      </c>
      <c r="L89" s="14"/>
    </row>
    <row r="90" spans="1:12" ht="15" x14ac:dyDescent="0.2">
      <c r="A90" s="13">
        <v>43647</v>
      </c>
      <c r="B90" s="14">
        <f>30.3797 * CHOOSE(CONTROL!$C$9, $D$9, 100%, $F$9) + CHOOSE(CONTROL!$C$27, 0.0021, 0)</f>
        <v>30.381799999999998</v>
      </c>
      <c r="C90" s="14">
        <f>29.9475 * CHOOSE(CONTROL!$C$9, $D$9, 100%, $F$9) + CHOOSE(CONTROL!$C$27, 0.0021, 0)</f>
        <v>29.9496</v>
      </c>
      <c r="D90" s="14">
        <f>29.9475 * CHOOSE(CONTROL!$C$9, $D$9, 100%, $F$9) + CHOOSE(CONTROL!$C$27, 0.0021, 0)</f>
        <v>29.9496</v>
      </c>
      <c r="E90" s="14">
        <f>29.8108 * CHOOSE(CONTROL!$C$9, $D$9, 100%, $F$9) + CHOOSE(CONTROL!$C$27, 0.0021, 0)</f>
        <v>29.812899999999999</v>
      </c>
      <c r="F90" s="14">
        <f>29.8108 * CHOOSE(CONTROL!$C$9, $D$9, 100%, $F$9) + CHOOSE(CONTROL!$C$27, 0.0021, 0)</f>
        <v>29.812899999999999</v>
      </c>
      <c r="G90" s="14">
        <f>30.0822 * CHOOSE(CONTROL!$C$9, $D$9, 100%, $F$9) + CHOOSE(CONTROL!$C$27, 0.0021, 0)</f>
        <v>30.084299999999999</v>
      </c>
      <c r="H90" s="14">
        <f>29.9475 * CHOOSE(CONTROL!$C$9, $D$9, 100%, $F$9) + CHOOSE(CONTROL!$C$27, 0.0021, 0)</f>
        <v>29.9496</v>
      </c>
      <c r="I90" s="14">
        <f>29.9475 * CHOOSE(CONTROL!$C$9, $D$9, 100%, $F$9) + CHOOSE(CONTROL!$C$27, 0.0021, 0)</f>
        <v>29.9496</v>
      </c>
      <c r="J90" s="14">
        <f>29.9475 * CHOOSE(CONTROL!$C$9, $D$9, 100%, $F$9) + CHOOSE(CONTROL!$C$27, 0.0021, 0)</f>
        <v>29.9496</v>
      </c>
      <c r="K90" s="14">
        <f>29.9475 * CHOOSE(CONTROL!$C$9, $D$9, 100%, $F$9) + CHOOSE(CONTROL!$C$27, 0.0021, 0)</f>
        <v>29.9496</v>
      </c>
      <c r="L90" s="14"/>
    </row>
    <row r="91" spans="1:12" ht="15" x14ac:dyDescent="0.2">
      <c r="A91" s="13">
        <v>43678</v>
      </c>
      <c r="B91" s="14">
        <f>30.6067 * CHOOSE(CONTROL!$C$9, $D$9, 100%, $F$9) + CHOOSE(CONTROL!$C$27, 0.0021, 0)</f>
        <v>30.608799999999999</v>
      </c>
      <c r="C91" s="14">
        <f>30.1744 * CHOOSE(CONTROL!$C$9, $D$9, 100%, $F$9) + CHOOSE(CONTROL!$C$27, 0.0021, 0)</f>
        <v>30.176499999999997</v>
      </c>
      <c r="D91" s="14">
        <f>30.1744 * CHOOSE(CONTROL!$C$9, $D$9, 100%, $F$9) + CHOOSE(CONTROL!$C$27, 0.0021, 0)</f>
        <v>30.176499999999997</v>
      </c>
      <c r="E91" s="14">
        <f>30.0378 * CHOOSE(CONTROL!$C$9, $D$9, 100%, $F$9) + CHOOSE(CONTROL!$C$27, 0.0021, 0)</f>
        <v>30.039899999999999</v>
      </c>
      <c r="F91" s="14">
        <f>30.0378 * CHOOSE(CONTROL!$C$9, $D$9, 100%, $F$9) + CHOOSE(CONTROL!$C$27, 0.0021, 0)</f>
        <v>30.039899999999999</v>
      </c>
      <c r="G91" s="14">
        <f>30.3091 * CHOOSE(CONTROL!$C$9, $D$9, 100%, $F$9) + CHOOSE(CONTROL!$C$27, 0.0021, 0)</f>
        <v>30.311199999999999</v>
      </c>
      <c r="H91" s="14">
        <f>30.1744 * CHOOSE(CONTROL!$C$9, $D$9, 100%, $F$9) + CHOOSE(CONTROL!$C$27, 0.0021, 0)</f>
        <v>30.176499999999997</v>
      </c>
      <c r="I91" s="14">
        <f>30.1744 * CHOOSE(CONTROL!$C$9, $D$9, 100%, $F$9) + CHOOSE(CONTROL!$C$27, 0.0021, 0)</f>
        <v>30.176499999999997</v>
      </c>
      <c r="J91" s="14">
        <f>30.1744 * CHOOSE(CONTROL!$C$9, $D$9, 100%, $F$9) + CHOOSE(CONTROL!$C$27, 0.0021, 0)</f>
        <v>30.176499999999997</v>
      </c>
      <c r="K91" s="14">
        <f>30.1744 * CHOOSE(CONTROL!$C$9, $D$9, 100%, $F$9) + CHOOSE(CONTROL!$C$27, 0.0021, 0)</f>
        <v>30.176499999999997</v>
      </c>
      <c r="L91" s="14"/>
    </row>
    <row r="92" spans="1:12" ht="15" x14ac:dyDescent="0.2">
      <c r="A92" s="13">
        <v>43709</v>
      </c>
      <c r="B92" s="14">
        <f>31.2419 * CHOOSE(CONTROL!$C$9, $D$9, 100%, $F$9) + CHOOSE(CONTROL!$C$27, 0.0021, 0)</f>
        <v>31.244</v>
      </c>
      <c r="C92" s="14">
        <f>30.8097 * CHOOSE(CONTROL!$C$9, $D$9, 100%, $F$9) + CHOOSE(CONTROL!$C$27, 0.0021, 0)</f>
        <v>30.811799999999998</v>
      </c>
      <c r="D92" s="14">
        <f>30.8097 * CHOOSE(CONTROL!$C$9, $D$9, 100%, $F$9) + CHOOSE(CONTROL!$C$27, 0.0021, 0)</f>
        <v>30.811799999999998</v>
      </c>
      <c r="E92" s="14">
        <f>30.673 * CHOOSE(CONTROL!$C$9, $D$9, 100%, $F$9) + CHOOSE(CONTROL!$C$27, 0.0021, 0)</f>
        <v>30.675099999999997</v>
      </c>
      <c r="F92" s="14">
        <f>30.673 * CHOOSE(CONTROL!$C$9, $D$9, 100%, $F$9) + CHOOSE(CONTROL!$C$27, 0.0021, 0)</f>
        <v>30.675099999999997</v>
      </c>
      <c r="G92" s="14">
        <f>30.9444 * CHOOSE(CONTROL!$C$9, $D$9, 100%, $F$9) + CHOOSE(CONTROL!$C$27, 0.0021, 0)</f>
        <v>30.9465</v>
      </c>
      <c r="H92" s="14">
        <f>30.8097 * CHOOSE(CONTROL!$C$9, $D$9, 100%, $F$9) + CHOOSE(CONTROL!$C$27, 0.0021, 0)</f>
        <v>30.811799999999998</v>
      </c>
      <c r="I92" s="14">
        <f>30.8097 * CHOOSE(CONTROL!$C$9, $D$9, 100%, $F$9) + CHOOSE(CONTROL!$C$27, 0.0021, 0)</f>
        <v>30.811799999999998</v>
      </c>
      <c r="J92" s="14">
        <f>30.8097 * CHOOSE(CONTROL!$C$9, $D$9, 100%, $F$9) + CHOOSE(CONTROL!$C$27, 0.0021, 0)</f>
        <v>30.811799999999998</v>
      </c>
      <c r="K92" s="14">
        <f>30.8097 * CHOOSE(CONTROL!$C$9, $D$9, 100%, $F$9) + CHOOSE(CONTROL!$C$27, 0.0021, 0)</f>
        <v>30.811799999999998</v>
      </c>
      <c r="L92" s="14"/>
    </row>
    <row r="93" spans="1:12" ht="15" x14ac:dyDescent="0.2">
      <c r="A93" s="13">
        <v>43739</v>
      </c>
      <c r="B93" s="14">
        <f>32.0334 * CHOOSE(CONTROL!$C$9, $D$9, 100%, $F$9) + CHOOSE(CONTROL!$C$27, 0.0021, 0)</f>
        <v>32.035499999999999</v>
      </c>
      <c r="C93" s="14">
        <f>31.6012 * CHOOSE(CONTROL!$C$9, $D$9, 100%, $F$9) + CHOOSE(CONTROL!$C$27, 0.0021, 0)</f>
        <v>31.603299999999997</v>
      </c>
      <c r="D93" s="14">
        <f>31.6012 * CHOOSE(CONTROL!$C$9, $D$9, 100%, $F$9) + CHOOSE(CONTROL!$C$27, 0.0021, 0)</f>
        <v>31.603299999999997</v>
      </c>
      <c r="E93" s="14">
        <f>31.4645 * CHOOSE(CONTROL!$C$9, $D$9, 100%, $F$9) + CHOOSE(CONTROL!$C$27, 0.0021, 0)</f>
        <v>31.4666</v>
      </c>
      <c r="F93" s="14">
        <f>31.4645 * CHOOSE(CONTROL!$C$9, $D$9, 100%, $F$9) + CHOOSE(CONTROL!$C$27, 0.0021, 0)</f>
        <v>31.4666</v>
      </c>
      <c r="G93" s="14">
        <f>31.7359 * CHOOSE(CONTROL!$C$9, $D$9, 100%, $F$9) + CHOOSE(CONTROL!$C$27, 0.0021, 0)</f>
        <v>31.738</v>
      </c>
      <c r="H93" s="14">
        <f>31.6012 * CHOOSE(CONTROL!$C$9, $D$9, 100%, $F$9) + CHOOSE(CONTROL!$C$27, 0.0021, 0)</f>
        <v>31.603299999999997</v>
      </c>
      <c r="I93" s="14">
        <f>31.6012 * CHOOSE(CONTROL!$C$9, $D$9, 100%, $F$9) + CHOOSE(CONTROL!$C$27, 0.0021, 0)</f>
        <v>31.603299999999997</v>
      </c>
      <c r="J93" s="14">
        <f>31.6012 * CHOOSE(CONTROL!$C$9, $D$9, 100%, $F$9) + CHOOSE(CONTROL!$C$27, 0.0021, 0)</f>
        <v>31.603299999999997</v>
      </c>
      <c r="K93" s="14">
        <f>31.6012 * CHOOSE(CONTROL!$C$9, $D$9, 100%, $F$9) + CHOOSE(CONTROL!$C$27, 0.0021, 0)</f>
        <v>31.603299999999997</v>
      </c>
      <c r="L93" s="14"/>
    </row>
    <row r="94" spans="1:12" ht="15" x14ac:dyDescent="0.2">
      <c r="A94" s="13">
        <v>43770</v>
      </c>
      <c r="B94" s="14">
        <f>32.1635 * CHOOSE(CONTROL!$C$9, $D$9, 100%, $F$9) + CHOOSE(CONTROL!$C$27, 0.0021, 0)</f>
        <v>32.165599999999998</v>
      </c>
      <c r="C94" s="14">
        <f>31.7313 * CHOOSE(CONTROL!$C$9, $D$9, 100%, $F$9) + CHOOSE(CONTROL!$C$27, 0.0021, 0)</f>
        <v>31.7334</v>
      </c>
      <c r="D94" s="14">
        <f>31.7313 * CHOOSE(CONTROL!$C$9, $D$9, 100%, $F$9) + CHOOSE(CONTROL!$C$27, 0.0021, 0)</f>
        <v>31.7334</v>
      </c>
      <c r="E94" s="14">
        <f>31.5946 * CHOOSE(CONTROL!$C$9, $D$9, 100%, $F$9) + CHOOSE(CONTROL!$C$27, 0.0021, 0)</f>
        <v>31.596699999999998</v>
      </c>
      <c r="F94" s="14">
        <f>31.5946 * CHOOSE(CONTROL!$C$9, $D$9, 100%, $F$9) + CHOOSE(CONTROL!$C$27, 0.0021, 0)</f>
        <v>31.596699999999998</v>
      </c>
      <c r="G94" s="14">
        <f>31.866 * CHOOSE(CONTROL!$C$9, $D$9, 100%, $F$9) + CHOOSE(CONTROL!$C$27, 0.0021, 0)</f>
        <v>31.868099999999998</v>
      </c>
      <c r="H94" s="14">
        <f>31.7313 * CHOOSE(CONTROL!$C$9, $D$9, 100%, $F$9) + CHOOSE(CONTROL!$C$27, 0.0021, 0)</f>
        <v>31.7334</v>
      </c>
      <c r="I94" s="14">
        <f>31.7313 * CHOOSE(CONTROL!$C$9, $D$9, 100%, $F$9) + CHOOSE(CONTROL!$C$27, 0.0021, 0)</f>
        <v>31.7334</v>
      </c>
      <c r="J94" s="14">
        <f>31.7313 * CHOOSE(CONTROL!$C$9, $D$9, 100%, $F$9) + CHOOSE(CONTROL!$C$27, 0.0021, 0)</f>
        <v>31.7334</v>
      </c>
      <c r="K94" s="14">
        <f>31.7313 * CHOOSE(CONTROL!$C$9, $D$9, 100%, $F$9) + CHOOSE(CONTROL!$C$27, 0.0021, 0)</f>
        <v>31.7334</v>
      </c>
      <c r="L94" s="14"/>
    </row>
    <row r="95" spans="1:12" ht="15" x14ac:dyDescent="0.2">
      <c r="A95" s="13">
        <v>43800</v>
      </c>
      <c r="B95" s="14">
        <f>31.6381 * CHOOSE(CONTROL!$C$9, $D$9, 100%, $F$9) + CHOOSE(CONTROL!$C$27, 0.0021, 0)</f>
        <v>31.6402</v>
      </c>
      <c r="C95" s="14">
        <f>31.2059 * CHOOSE(CONTROL!$C$9, $D$9, 100%, $F$9) + CHOOSE(CONTROL!$C$27, 0.0021, 0)</f>
        <v>31.207999999999998</v>
      </c>
      <c r="D95" s="14">
        <f>31.2059 * CHOOSE(CONTROL!$C$9, $D$9, 100%, $F$9) + CHOOSE(CONTROL!$C$27, 0.0021, 0)</f>
        <v>31.207999999999998</v>
      </c>
      <c r="E95" s="14">
        <f>31.0692 * CHOOSE(CONTROL!$C$9, $D$9, 100%, $F$9) + CHOOSE(CONTROL!$C$27, 0.0021, 0)</f>
        <v>31.071299999999997</v>
      </c>
      <c r="F95" s="14">
        <f>31.0692 * CHOOSE(CONTROL!$C$9, $D$9, 100%, $F$9) + CHOOSE(CONTROL!$C$27, 0.0021, 0)</f>
        <v>31.071299999999997</v>
      </c>
      <c r="G95" s="14">
        <f>31.3406 * CHOOSE(CONTROL!$C$9, $D$9, 100%, $F$9) + CHOOSE(CONTROL!$C$27, 0.0021, 0)</f>
        <v>31.342699999999997</v>
      </c>
      <c r="H95" s="14">
        <f>31.2059 * CHOOSE(CONTROL!$C$9, $D$9, 100%, $F$9) + CHOOSE(CONTROL!$C$27, 0.0021, 0)</f>
        <v>31.207999999999998</v>
      </c>
      <c r="I95" s="14">
        <f>31.2059 * CHOOSE(CONTROL!$C$9, $D$9, 100%, $F$9) + CHOOSE(CONTROL!$C$27, 0.0021, 0)</f>
        <v>31.207999999999998</v>
      </c>
      <c r="J95" s="14">
        <f>31.2059 * CHOOSE(CONTROL!$C$9, $D$9, 100%, $F$9) + CHOOSE(CONTROL!$C$27, 0.0021, 0)</f>
        <v>31.207999999999998</v>
      </c>
      <c r="K95" s="14">
        <f>31.2059 * CHOOSE(CONTROL!$C$9, $D$9, 100%, $F$9) + CHOOSE(CONTROL!$C$27, 0.0021, 0)</f>
        <v>31.207999999999998</v>
      </c>
      <c r="L95" s="14"/>
    </row>
    <row r="96" spans="1:12" ht="15" x14ac:dyDescent="0.2">
      <c r="A96" s="13">
        <v>43831</v>
      </c>
      <c r="B96" s="14">
        <f>31.6802 * CHOOSE(CONTROL!$C$9, $D$9, 100%, $F$9) + CHOOSE(CONTROL!$C$27, 0.0021, 0)</f>
        <v>31.682299999999998</v>
      </c>
      <c r="C96" s="14">
        <f>31.248 * CHOOSE(CONTROL!$C$9, $D$9, 100%, $F$9) + CHOOSE(CONTROL!$C$27, 0.0021, 0)</f>
        <v>31.2501</v>
      </c>
      <c r="D96" s="14">
        <f>31.248 * CHOOSE(CONTROL!$C$9, $D$9, 100%, $F$9) + CHOOSE(CONTROL!$C$27, 0.0021, 0)</f>
        <v>31.2501</v>
      </c>
      <c r="E96" s="14">
        <f>31.1113 * CHOOSE(CONTROL!$C$9, $D$9, 100%, $F$9) + CHOOSE(CONTROL!$C$27, 0.0021, 0)</f>
        <v>31.113399999999999</v>
      </c>
      <c r="F96" s="14">
        <f>31.1113 * CHOOSE(CONTROL!$C$9, $D$9, 100%, $F$9) + CHOOSE(CONTROL!$C$27, 0.0021, 0)</f>
        <v>31.113399999999999</v>
      </c>
      <c r="G96" s="14">
        <f>31.3827 * CHOOSE(CONTROL!$C$9, $D$9, 100%, $F$9) + CHOOSE(CONTROL!$C$27, 0.0021, 0)</f>
        <v>31.384799999999998</v>
      </c>
      <c r="H96" s="14">
        <f>31.248 * CHOOSE(CONTROL!$C$9, $D$9, 100%, $F$9) + CHOOSE(CONTROL!$C$27, 0.0021, 0)</f>
        <v>31.2501</v>
      </c>
      <c r="I96" s="14">
        <f>31.248 * CHOOSE(CONTROL!$C$9, $D$9, 100%, $F$9) + CHOOSE(CONTROL!$C$27, 0.0021, 0)</f>
        <v>31.2501</v>
      </c>
      <c r="J96" s="14">
        <f>31.248 * CHOOSE(CONTROL!$C$9, $D$9, 100%, $F$9) + CHOOSE(CONTROL!$C$27, 0.0021, 0)</f>
        <v>31.2501</v>
      </c>
      <c r="K96" s="14">
        <f>31.248 * CHOOSE(CONTROL!$C$9, $D$9, 100%, $F$9) + CHOOSE(CONTROL!$C$27, 0.0021, 0)</f>
        <v>31.2501</v>
      </c>
      <c r="L96" s="14"/>
    </row>
    <row r="97" spans="1:12" ht="15" x14ac:dyDescent="0.2">
      <c r="A97" s="13">
        <v>43862</v>
      </c>
      <c r="B97" s="14">
        <f>30.9078 * CHOOSE(CONTROL!$C$9, $D$9, 100%, $F$9) + CHOOSE(CONTROL!$C$27, 0.0021, 0)</f>
        <v>30.9099</v>
      </c>
      <c r="C97" s="14">
        <f>30.4756 * CHOOSE(CONTROL!$C$9, $D$9, 100%, $F$9) + CHOOSE(CONTROL!$C$27, 0.0021, 0)</f>
        <v>30.477699999999999</v>
      </c>
      <c r="D97" s="14">
        <f>30.4756 * CHOOSE(CONTROL!$C$9, $D$9, 100%, $F$9) + CHOOSE(CONTROL!$C$27, 0.0021, 0)</f>
        <v>30.477699999999999</v>
      </c>
      <c r="E97" s="14">
        <f>30.3389 * CHOOSE(CONTROL!$C$9, $D$9, 100%, $F$9) + CHOOSE(CONTROL!$C$27, 0.0021, 0)</f>
        <v>30.340999999999998</v>
      </c>
      <c r="F97" s="14">
        <f>30.3389 * CHOOSE(CONTROL!$C$9, $D$9, 100%, $F$9) + CHOOSE(CONTROL!$C$27, 0.0021, 0)</f>
        <v>30.340999999999998</v>
      </c>
      <c r="G97" s="14">
        <f>30.6103 * CHOOSE(CONTROL!$C$9, $D$9, 100%, $F$9) + CHOOSE(CONTROL!$C$27, 0.0021, 0)</f>
        <v>30.612399999999997</v>
      </c>
      <c r="H97" s="14">
        <f>30.4756 * CHOOSE(CONTROL!$C$9, $D$9, 100%, $F$9) + CHOOSE(CONTROL!$C$27, 0.0021, 0)</f>
        <v>30.477699999999999</v>
      </c>
      <c r="I97" s="14">
        <f>30.4756 * CHOOSE(CONTROL!$C$9, $D$9, 100%, $F$9) + CHOOSE(CONTROL!$C$27, 0.0021, 0)</f>
        <v>30.477699999999999</v>
      </c>
      <c r="J97" s="14">
        <f>30.4756 * CHOOSE(CONTROL!$C$9, $D$9, 100%, $F$9) + CHOOSE(CONTROL!$C$27, 0.0021, 0)</f>
        <v>30.477699999999999</v>
      </c>
      <c r="K97" s="14">
        <f>30.4756 * CHOOSE(CONTROL!$C$9, $D$9, 100%, $F$9) + CHOOSE(CONTROL!$C$27, 0.0021, 0)</f>
        <v>30.477699999999999</v>
      </c>
      <c r="L97" s="14"/>
    </row>
    <row r="98" spans="1:12" ht="15" x14ac:dyDescent="0.2">
      <c r="A98" s="13">
        <v>43891</v>
      </c>
      <c r="B98" s="14">
        <f>30.6222 * CHOOSE(CONTROL!$C$9, $D$9, 100%, $F$9) + CHOOSE(CONTROL!$C$27, 0.0021, 0)</f>
        <v>30.624299999999998</v>
      </c>
      <c r="C98" s="14">
        <f>30.19 * CHOOSE(CONTROL!$C$9, $D$9, 100%, $F$9) + CHOOSE(CONTROL!$C$27, 0.0021, 0)</f>
        <v>30.1921</v>
      </c>
      <c r="D98" s="14">
        <f>30.19 * CHOOSE(CONTROL!$C$9, $D$9, 100%, $F$9) + CHOOSE(CONTROL!$C$27, 0.0021, 0)</f>
        <v>30.1921</v>
      </c>
      <c r="E98" s="14">
        <f>30.0533 * CHOOSE(CONTROL!$C$9, $D$9, 100%, $F$9) + CHOOSE(CONTROL!$C$27, 0.0021, 0)</f>
        <v>30.055399999999999</v>
      </c>
      <c r="F98" s="14">
        <f>30.0533 * CHOOSE(CONTROL!$C$9, $D$9, 100%, $F$9) + CHOOSE(CONTROL!$C$27, 0.0021, 0)</f>
        <v>30.055399999999999</v>
      </c>
      <c r="G98" s="14">
        <f>30.3247 * CHOOSE(CONTROL!$C$9, $D$9, 100%, $F$9) + CHOOSE(CONTROL!$C$27, 0.0021, 0)</f>
        <v>30.326799999999999</v>
      </c>
      <c r="H98" s="14">
        <f>30.19 * CHOOSE(CONTROL!$C$9, $D$9, 100%, $F$9) + CHOOSE(CONTROL!$C$27, 0.0021, 0)</f>
        <v>30.1921</v>
      </c>
      <c r="I98" s="14">
        <f>30.19 * CHOOSE(CONTROL!$C$9, $D$9, 100%, $F$9) + CHOOSE(CONTROL!$C$27, 0.0021, 0)</f>
        <v>30.1921</v>
      </c>
      <c r="J98" s="14">
        <f>30.19 * CHOOSE(CONTROL!$C$9, $D$9, 100%, $F$9) + CHOOSE(CONTROL!$C$27, 0.0021, 0)</f>
        <v>30.1921</v>
      </c>
      <c r="K98" s="14">
        <f>30.19 * CHOOSE(CONTROL!$C$9, $D$9, 100%, $F$9) + CHOOSE(CONTROL!$C$27, 0.0021, 0)</f>
        <v>30.1921</v>
      </c>
      <c r="L98" s="14"/>
    </row>
    <row r="99" spans="1:12" ht="15" x14ac:dyDescent="0.2">
      <c r="A99" s="13">
        <v>43922</v>
      </c>
      <c r="B99" s="14">
        <f>30.2683 * CHOOSE(CONTROL!$C$9, $D$9, 100%, $F$9) + CHOOSE(CONTROL!$C$27, 0.0021, 0)</f>
        <v>30.270399999999999</v>
      </c>
      <c r="C99" s="14">
        <f>29.8361 * CHOOSE(CONTROL!$C$9, $D$9, 100%, $F$9) + CHOOSE(CONTROL!$C$27, 0.0021, 0)</f>
        <v>29.838199999999997</v>
      </c>
      <c r="D99" s="14">
        <f>29.8361 * CHOOSE(CONTROL!$C$9, $D$9, 100%, $F$9) + CHOOSE(CONTROL!$C$27, 0.0021, 0)</f>
        <v>29.838199999999997</v>
      </c>
      <c r="E99" s="14">
        <f>29.6994 * CHOOSE(CONTROL!$C$9, $D$9, 100%, $F$9) + CHOOSE(CONTROL!$C$27, 0.0021, 0)</f>
        <v>29.701499999999999</v>
      </c>
      <c r="F99" s="14">
        <f>29.6994 * CHOOSE(CONTROL!$C$9, $D$9, 100%, $F$9) + CHOOSE(CONTROL!$C$27, 0.0021, 0)</f>
        <v>29.701499999999999</v>
      </c>
      <c r="G99" s="14">
        <f>29.9708 * CHOOSE(CONTROL!$C$9, $D$9, 100%, $F$9) + CHOOSE(CONTROL!$C$27, 0.0021, 0)</f>
        <v>29.972899999999999</v>
      </c>
      <c r="H99" s="14">
        <f>29.8361 * CHOOSE(CONTROL!$C$9, $D$9, 100%, $F$9) + CHOOSE(CONTROL!$C$27, 0.0021, 0)</f>
        <v>29.838199999999997</v>
      </c>
      <c r="I99" s="14">
        <f>29.8361 * CHOOSE(CONTROL!$C$9, $D$9, 100%, $F$9) + CHOOSE(CONTROL!$C$27, 0.0021, 0)</f>
        <v>29.838199999999997</v>
      </c>
      <c r="J99" s="14">
        <f>29.8361 * CHOOSE(CONTROL!$C$9, $D$9, 100%, $F$9) + CHOOSE(CONTROL!$C$27, 0.0021, 0)</f>
        <v>29.838199999999997</v>
      </c>
      <c r="K99" s="14">
        <f>29.8361 * CHOOSE(CONTROL!$C$9, $D$9, 100%, $F$9) + CHOOSE(CONTROL!$C$27, 0.0021, 0)</f>
        <v>29.838199999999997</v>
      </c>
      <c r="L99" s="14"/>
    </row>
    <row r="100" spans="1:12" ht="15" x14ac:dyDescent="0.2">
      <c r="A100" s="13">
        <v>43952</v>
      </c>
      <c r="B100" s="14">
        <f>30.9146 * CHOOSE(CONTROL!$C$9, $D$9, 100%, $F$9) + CHOOSE(CONTROL!$C$27, 0.0021, 0)</f>
        <v>30.916699999999999</v>
      </c>
      <c r="C100" s="14">
        <f>30.4824 * CHOOSE(CONTROL!$C$9, $D$9, 100%, $F$9) + CHOOSE(CONTROL!$C$27, 0.0021, 0)</f>
        <v>30.484499999999997</v>
      </c>
      <c r="D100" s="14">
        <f>30.4824 * CHOOSE(CONTROL!$C$9, $D$9, 100%, $F$9) + CHOOSE(CONTROL!$C$27, 0.0021, 0)</f>
        <v>30.484499999999997</v>
      </c>
      <c r="E100" s="14">
        <f>30.3457 * CHOOSE(CONTROL!$C$9, $D$9, 100%, $F$9) + CHOOSE(CONTROL!$C$27, 0.0021, 0)</f>
        <v>30.347799999999999</v>
      </c>
      <c r="F100" s="14">
        <f>30.3457 * CHOOSE(CONTROL!$C$9, $D$9, 100%, $F$9) + CHOOSE(CONTROL!$C$27, 0.0021, 0)</f>
        <v>30.347799999999999</v>
      </c>
      <c r="G100" s="14">
        <f>30.6171 * CHOOSE(CONTROL!$C$9, $D$9, 100%, $F$9) + CHOOSE(CONTROL!$C$27, 0.0021, 0)</f>
        <v>30.619199999999999</v>
      </c>
      <c r="H100" s="14">
        <f>30.4824 * CHOOSE(CONTROL!$C$9, $D$9, 100%, $F$9) + CHOOSE(CONTROL!$C$27, 0.0021, 0)</f>
        <v>30.484499999999997</v>
      </c>
      <c r="I100" s="14">
        <f>30.4824 * CHOOSE(CONTROL!$C$9, $D$9, 100%, $F$9) + CHOOSE(CONTROL!$C$27, 0.0021, 0)</f>
        <v>30.484499999999997</v>
      </c>
      <c r="J100" s="14">
        <f>30.4824 * CHOOSE(CONTROL!$C$9, $D$9, 100%, $F$9) + CHOOSE(CONTROL!$C$27, 0.0021, 0)</f>
        <v>30.484499999999997</v>
      </c>
      <c r="K100" s="14">
        <f>30.4824 * CHOOSE(CONTROL!$C$9, $D$9, 100%, $F$9) + CHOOSE(CONTROL!$C$27, 0.0021, 0)</f>
        <v>30.484499999999997</v>
      </c>
      <c r="L100" s="14"/>
    </row>
    <row r="101" spans="1:12" ht="15" x14ac:dyDescent="0.2">
      <c r="A101" s="13">
        <v>43983</v>
      </c>
      <c r="B101" s="14">
        <f>31.3269 * CHOOSE(CONTROL!$C$9, $D$9, 100%, $F$9) + CHOOSE(CONTROL!$C$27, 0.0021, 0)</f>
        <v>31.328999999999997</v>
      </c>
      <c r="C101" s="14">
        <f>30.8947 * CHOOSE(CONTROL!$C$9, $D$9, 100%, $F$9) + CHOOSE(CONTROL!$C$27, 0.0021, 0)</f>
        <v>30.896799999999999</v>
      </c>
      <c r="D101" s="14">
        <f>30.8947 * CHOOSE(CONTROL!$C$9, $D$9, 100%, $F$9) + CHOOSE(CONTROL!$C$27, 0.0021, 0)</f>
        <v>30.896799999999999</v>
      </c>
      <c r="E101" s="14">
        <f>30.758 * CHOOSE(CONTROL!$C$9, $D$9, 100%, $F$9) + CHOOSE(CONTROL!$C$27, 0.0021, 0)</f>
        <v>30.760099999999998</v>
      </c>
      <c r="F101" s="14">
        <f>30.758 * CHOOSE(CONTROL!$C$9, $D$9, 100%, $F$9) + CHOOSE(CONTROL!$C$27, 0.0021, 0)</f>
        <v>30.760099999999998</v>
      </c>
      <c r="G101" s="14">
        <f>31.0294 * CHOOSE(CONTROL!$C$9, $D$9, 100%, $F$9) + CHOOSE(CONTROL!$C$27, 0.0021, 0)</f>
        <v>31.031499999999998</v>
      </c>
      <c r="H101" s="14">
        <f>30.8947 * CHOOSE(CONTROL!$C$9, $D$9, 100%, $F$9) + CHOOSE(CONTROL!$C$27, 0.0021, 0)</f>
        <v>30.896799999999999</v>
      </c>
      <c r="I101" s="14">
        <f>30.8947 * CHOOSE(CONTROL!$C$9, $D$9, 100%, $F$9) + CHOOSE(CONTROL!$C$27, 0.0021, 0)</f>
        <v>30.896799999999999</v>
      </c>
      <c r="J101" s="14">
        <f>30.8947 * CHOOSE(CONTROL!$C$9, $D$9, 100%, $F$9) + CHOOSE(CONTROL!$C$27, 0.0021, 0)</f>
        <v>30.896799999999999</v>
      </c>
      <c r="K101" s="14">
        <f>30.8947 * CHOOSE(CONTROL!$C$9, $D$9, 100%, $F$9) + CHOOSE(CONTROL!$C$27, 0.0021, 0)</f>
        <v>30.896799999999999</v>
      </c>
      <c r="L101" s="14"/>
    </row>
    <row r="102" spans="1:12" ht="15" x14ac:dyDescent="0.2">
      <c r="A102" s="13">
        <v>44013</v>
      </c>
      <c r="B102" s="14">
        <f>31.9708 * CHOOSE(CONTROL!$C$9, $D$9, 100%, $F$9) + CHOOSE(CONTROL!$C$27, 0.0021, 0)</f>
        <v>31.972899999999999</v>
      </c>
      <c r="C102" s="14">
        <f>31.5386 * CHOOSE(CONTROL!$C$9, $D$9, 100%, $F$9) + CHOOSE(CONTROL!$C$27, 0.0021, 0)</f>
        <v>31.540699999999998</v>
      </c>
      <c r="D102" s="14">
        <f>31.5386 * CHOOSE(CONTROL!$C$9, $D$9, 100%, $F$9) + CHOOSE(CONTROL!$C$27, 0.0021, 0)</f>
        <v>31.540699999999998</v>
      </c>
      <c r="E102" s="14">
        <f>31.4019 * CHOOSE(CONTROL!$C$9, $D$9, 100%, $F$9) + CHOOSE(CONTROL!$C$27, 0.0021, 0)</f>
        <v>31.404</v>
      </c>
      <c r="F102" s="14">
        <f>31.4019 * CHOOSE(CONTROL!$C$9, $D$9, 100%, $F$9) + CHOOSE(CONTROL!$C$27, 0.0021, 0)</f>
        <v>31.404</v>
      </c>
      <c r="G102" s="14">
        <f>31.6733 * CHOOSE(CONTROL!$C$9, $D$9, 100%, $F$9) + CHOOSE(CONTROL!$C$27, 0.0021, 0)</f>
        <v>31.6754</v>
      </c>
      <c r="H102" s="14">
        <f>31.5386 * CHOOSE(CONTROL!$C$9, $D$9, 100%, $F$9) + CHOOSE(CONTROL!$C$27, 0.0021, 0)</f>
        <v>31.540699999999998</v>
      </c>
      <c r="I102" s="14">
        <f>31.5386 * CHOOSE(CONTROL!$C$9, $D$9, 100%, $F$9) + CHOOSE(CONTROL!$C$27, 0.0021, 0)</f>
        <v>31.540699999999998</v>
      </c>
      <c r="J102" s="14">
        <f>31.5386 * CHOOSE(CONTROL!$C$9, $D$9, 100%, $F$9) + CHOOSE(CONTROL!$C$27, 0.0021, 0)</f>
        <v>31.540699999999998</v>
      </c>
      <c r="K102" s="14">
        <f>31.5386 * CHOOSE(CONTROL!$C$9, $D$9, 100%, $F$9) + CHOOSE(CONTROL!$C$27, 0.0021, 0)</f>
        <v>31.540699999999998</v>
      </c>
      <c r="L102" s="14"/>
    </row>
    <row r="103" spans="1:12" ht="15" x14ac:dyDescent="0.2">
      <c r="A103" s="13">
        <v>44044</v>
      </c>
      <c r="B103" s="14">
        <f>32.2106 * CHOOSE(CONTROL!$C$9, $D$9, 100%, $F$9) + CHOOSE(CONTROL!$C$27, 0.0021, 0)</f>
        <v>32.212699999999998</v>
      </c>
      <c r="C103" s="14">
        <f>31.7784 * CHOOSE(CONTROL!$C$9, $D$9, 100%, $F$9) + CHOOSE(CONTROL!$C$27, 0.0021, 0)</f>
        <v>31.7805</v>
      </c>
      <c r="D103" s="14">
        <f>31.7784 * CHOOSE(CONTROL!$C$9, $D$9, 100%, $F$9) + CHOOSE(CONTROL!$C$27, 0.0021, 0)</f>
        <v>31.7805</v>
      </c>
      <c r="E103" s="14">
        <f>31.6417 * CHOOSE(CONTROL!$C$9, $D$9, 100%, $F$9) + CHOOSE(CONTROL!$C$27, 0.0021, 0)</f>
        <v>31.643799999999999</v>
      </c>
      <c r="F103" s="14">
        <f>31.6417 * CHOOSE(CONTROL!$C$9, $D$9, 100%, $F$9) + CHOOSE(CONTROL!$C$27, 0.0021, 0)</f>
        <v>31.643799999999999</v>
      </c>
      <c r="G103" s="14">
        <f>31.9131 * CHOOSE(CONTROL!$C$9, $D$9, 100%, $F$9) + CHOOSE(CONTROL!$C$27, 0.0021, 0)</f>
        <v>31.915199999999999</v>
      </c>
      <c r="H103" s="14">
        <f>31.7784 * CHOOSE(CONTROL!$C$9, $D$9, 100%, $F$9) + CHOOSE(CONTROL!$C$27, 0.0021, 0)</f>
        <v>31.7805</v>
      </c>
      <c r="I103" s="14">
        <f>31.7784 * CHOOSE(CONTROL!$C$9, $D$9, 100%, $F$9) + CHOOSE(CONTROL!$C$27, 0.0021, 0)</f>
        <v>31.7805</v>
      </c>
      <c r="J103" s="14">
        <f>31.7784 * CHOOSE(CONTROL!$C$9, $D$9, 100%, $F$9) + CHOOSE(CONTROL!$C$27, 0.0021, 0)</f>
        <v>31.7805</v>
      </c>
      <c r="K103" s="14">
        <f>31.7784 * CHOOSE(CONTROL!$C$9, $D$9, 100%, $F$9) + CHOOSE(CONTROL!$C$27, 0.0021, 0)</f>
        <v>31.7805</v>
      </c>
      <c r="L103" s="14"/>
    </row>
    <row r="104" spans="1:12" ht="15" x14ac:dyDescent="0.2">
      <c r="A104" s="13">
        <v>44075</v>
      </c>
      <c r="B104" s="14">
        <f>32.8819 * CHOOSE(CONTROL!$C$9, $D$9, 100%, $F$9) + CHOOSE(CONTROL!$C$27, 0.0021, 0)</f>
        <v>32.884</v>
      </c>
      <c r="C104" s="14">
        <f>32.4496 * CHOOSE(CONTROL!$C$9, $D$9, 100%, $F$9) + CHOOSE(CONTROL!$C$27, 0.0021, 0)</f>
        <v>32.451699999999995</v>
      </c>
      <c r="D104" s="14">
        <f>32.4496 * CHOOSE(CONTROL!$C$9, $D$9, 100%, $F$9) + CHOOSE(CONTROL!$C$27, 0.0021, 0)</f>
        <v>32.451699999999995</v>
      </c>
      <c r="E104" s="14">
        <f>32.313 * CHOOSE(CONTROL!$C$9, $D$9, 100%, $F$9) + CHOOSE(CONTROL!$C$27, 0.0021, 0)</f>
        <v>32.315100000000001</v>
      </c>
      <c r="F104" s="14">
        <f>32.313 * CHOOSE(CONTROL!$C$9, $D$9, 100%, $F$9) + CHOOSE(CONTROL!$C$27, 0.0021, 0)</f>
        <v>32.315100000000001</v>
      </c>
      <c r="G104" s="14">
        <f>32.5844 * CHOOSE(CONTROL!$C$9, $D$9, 100%, $F$9) + CHOOSE(CONTROL!$C$27, 0.0021, 0)</f>
        <v>32.586500000000001</v>
      </c>
      <c r="H104" s="14">
        <f>32.4496 * CHOOSE(CONTROL!$C$9, $D$9, 100%, $F$9) + CHOOSE(CONTROL!$C$27, 0.0021, 0)</f>
        <v>32.451699999999995</v>
      </c>
      <c r="I104" s="14">
        <f>32.4496 * CHOOSE(CONTROL!$C$9, $D$9, 100%, $F$9) + CHOOSE(CONTROL!$C$27, 0.0021, 0)</f>
        <v>32.451699999999995</v>
      </c>
      <c r="J104" s="14">
        <f>32.4496 * CHOOSE(CONTROL!$C$9, $D$9, 100%, $F$9) + CHOOSE(CONTROL!$C$27, 0.0021, 0)</f>
        <v>32.451699999999995</v>
      </c>
      <c r="K104" s="14">
        <f>32.4496 * CHOOSE(CONTROL!$C$9, $D$9, 100%, $F$9) + CHOOSE(CONTROL!$C$27, 0.0021, 0)</f>
        <v>32.451699999999995</v>
      </c>
      <c r="L104" s="14"/>
    </row>
    <row r="105" spans="1:12" ht="15" x14ac:dyDescent="0.2">
      <c r="A105" s="13">
        <v>44105</v>
      </c>
      <c r="B105" s="14">
        <f>33.7182 * CHOOSE(CONTROL!$C$9, $D$9, 100%, $F$9) + CHOOSE(CONTROL!$C$27, 0.0021, 0)</f>
        <v>33.720300000000002</v>
      </c>
      <c r="C105" s="14">
        <f>33.2859 * CHOOSE(CONTROL!$C$9, $D$9, 100%, $F$9) + CHOOSE(CONTROL!$C$27, 0.0021, 0)</f>
        <v>33.287999999999997</v>
      </c>
      <c r="D105" s="14">
        <f>33.2859 * CHOOSE(CONTROL!$C$9, $D$9, 100%, $F$9) + CHOOSE(CONTROL!$C$27, 0.0021, 0)</f>
        <v>33.287999999999997</v>
      </c>
      <c r="E105" s="14">
        <f>33.1493 * CHOOSE(CONTROL!$C$9, $D$9, 100%, $F$9) + CHOOSE(CONTROL!$C$27, 0.0021, 0)</f>
        <v>33.151399999999995</v>
      </c>
      <c r="F105" s="14">
        <f>33.1493 * CHOOSE(CONTROL!$C$9, $D$9, 100%, $F$9) + CHOOSE(CONTROL!$C$27, 0.0021, 0)</f>
        <v>33.151399999999995</v>
      </c>
      <c r="G105" s="14">
        <f>33.4207 * CHOOSE(CONTROL!$C$9, $D$9, 100%, $F$9) + CHOOSE(CONTROL!$C$27, 0.0021, 0)</f>
        <v>33.422799999999995</v>
      </c>
      <c r="H105" s="14">
        <f>33.2859 * CHOOSE(CONTROL!$C$9, $D$9, 100%, $F$9) + CHOOSE(CONTROL!$C$27, 0.0021, 0)</f>
        <v>33.287999999999997</v>
      </c>
      <c r="I105" s="14">
        <f>33.2859 * CHOOSE(CONTROL!$C$9, $D$9, 100%, $F$9) + CHOOSE(CONTROL!$C$27, 0.0021, 0)</f>
        <v>33.287999999999997</v>
      </c>
      <c r="J105" s="14">
        <f>33.2859 * CHOOSE(CONTROL!$C$9, $D$9, 100%, $F$9) + CHOOSE(CONTROL!$C$27, 0.0021, 0)</f>
        <v>33.287999999999997</v>
      </c>
      <c r="K105" s="14">
        <f>33.2859 * CHOOSE(CONTROL!$C$9, $D$9, 100%, $F$9) + CHOOSE(CONTROL!$C$27, 0.0021, 0)</f>
        <v>33.287999999999997</v>
      </c>
      <c r="L105" s="14"/>
    </row>
    <row r="106" spans="1:12" ht="15" x14ac:dyDescent="0.2">
      <c r="A106" s="13">
        <v>44136</v>
      </c>
      <c r="B106" s="14">
        <f>33.8557 * CHOOSE(CONTROL!$C$9, $D$9, 100%, $F$9) + CHOOSE(CONTROL!$C$27, 0.0021, 0)</f>
        <v>33.857799999999997</v>
      </c>
      <c r="C106" s="14">
        <f>33.4234 * CHOOSE(CONTROL!$C$9, $D$9, 100%, $F$9) + CHOOSE(CONTROL!$C$27, 0.0021, 0)</f>
        <v>33.4255</v>
      </c>
      <c r="D106" s="14">
        <f>33.4234 * CHOOSE(CONTROL!$C$9, $D$9, 100%, $F$9) + CHOOSE(CONTROL!$C$27, 0.0021, 0)</f>
        <v>33.4255</v>
      </c>
      <c r="E106" s="14">
        <f>33.2868 * CHOOSE(CONTROL!$C$9, $D$9, 100%, $F$9) + CHOOSE(CONTROL!$C$27, 0.0021, 0)</f>
        <v>33.288899999999998</v>
      </c>
      <c r="F106" s="14">
        <f>33.2868 * CHOOSE(CONTROL!$C$9, $D$9, 100%, $F$9) + CHOOSE(CONTROL!$C$27, 0.0021, 0)</f>
        <v>33.288899999999998</v>
      </c>
      <c r="G106" s="14">
        <f>33.5581 * CHOOSE(CONTROL!$C$9, $D$9, 100%, $F$9) + CHOOSE(CONTROL!$C$27, 0.0021, 0)</f>
        <v>33.560200000000002</v>
      </c>
      <c r="H106" s="14">
        <f>33.4234 * CHOOSE(CONTROL!$C$9, $D$9, 100%, $F$9) + CHOOSE(CONTROL!$C$27, 0.0021, 0)</f>
        <v>33.4255</v>
      </c>
      <c r="I106" s="14">
        <f>33.4234 * CHOOSE(CONTROL!$C$9, $D$9, 100%, $F$9) + CHOOSE(CONTROL!$C$27, 0.0021, 0)</f>
        <v>33.4255</v>
      </c>
      <c r="J106" s="14">
        <f>33.4234 * CHOOSE(CONTROL!$C$9, $D$9, 100%, $F$9) + CHOOSE(CONTROL!$C$27, 0.0021, 0)</f>
        <v>33.4255</v>
      </c>
      <c r="K106" s="14">
        <f>33.4234 * CHOOSE(CONTROL!$C$9, $D$9, 100%, $F$9) + CHOOSE(CONTROL!$C$27, 0.0021, 0)</f>
        <v>33.4255</v>
      </c>
      <c r="L106" s="14"/>
    </row>
    <row r="107" spans="1:12" ht="15" x14ac:dyDescent="0.2">
      <c r="A107" s="13">
        <v>44166</v>
      </c>
      <c r="B107" s="14">
        <f>33.3005 * CHOOSE(CONTROL!$C$9, $D$9, 100%, $F$9) + CHOOSE(CONTROL!$C$27, 0.0021, 0)</f>
        <v>33.302599999999998</v>
      </c>
      <c r="C107" s="14">
        <f>32.8683 * CHOOSE(CONTROL!$C$9, $D$9, 100%, $F$9) + CHOOSE(CONTROL!$C$27, 0.0021, 0)</f>
        <v>32.870399999999997</v>
      </c>
      <c r="D107" s="14">
        <f>32.8683 * CHOOSE(CONTROL!$C$9, $D$9, 100%, $F$9) + CHOOSE(CONTROL!$C$27, 0.0021, 0)</f>
        <v>32.870399999999997</v>
      </c>
      <c r="E107" s="14">
        <f>32.7316 * CHOOSE(CONTROL!$C$9, $D$9, 100%, $F$9) + CHOOSE(CONTROL!$C$27, 0.0021, 0)</f>
        <v>32.733699999999999</v>
      </c>
      <c r="F107" s="14">
        <f>32.7316 * CHOOSE(CONTROL!$C$9, $D$9, 100%, $F$9) + CHOOSE(CONTROL!$C$27, 0.0021, 0)</f>
        <v>32.733699999999999</v>
      </c>
      <c r="G107" s="14">
        <f>33.003 * CHOOSE(CONTROL!$C$9, $D$9, 100%, $F$9) + CHOOSE(CONTROL!$C$27, 0.0021, 0)</f>
        <v>33.005099999999999</v>
      </c>
      <c r="H107" s="14">
        <f>32.8683 * CHOOSE(CONTROL!$C$9, $D$9, 100%, $F$9) + CHOOSE(CONTROL!$C$27, 0.0021, 0)</f>
        <v>32.870399999999997</v>
      </c>
      <c r="I107" s="14">
        <f>32.8683 * CHOOSE(CONTROL!$C$9, $D$9, 100%, $F$9) + CHOOSE(CONTROL!$C$27, 0.0021, 0)</f>
        <v>32.870399999999997</v>
      </c>
      <c r="J107" s="14">
        <f>32.8683 * CHOOSE(CONTROL!$C$9, $D$9, 100%, $F$9) + CHOOSE(CONTROL!$C$27, 0.0021, 0)</f>
        <v>32.870399999999997</v>
      </c>
      <c r="K107" s="14">
        <f>32.8683 * CHOOSE(CONTROL!$C$9, $D$9, 100%, $F$9) + CHOOSE(CONTROL!$C$27, 0.0021, 0)</f>
        <v>32.870399999999997</v>
      </c>
      <c r="L107" s="14"/>
    </row>
    <row r="108" spans="1:12" ht="15" x14ac:dyDescent="0.2">
      <c r="A108" s="13">
        <v>44197</v>
      </c>
      <c r="B108" s="14">
        <f>33.9389 * CHOOSE(CONTROL!$C$9, $D$9, 100%, $F$9) + CHOOSE(CONTROL!$C$27, 0.0021, 0)</f>
        <v>33.940999999999995</v>
      </c>
      <c r="C108" s="14">
        <f>33.5067 * CHOOSE(CONTROL!$C$9, $D$9, 100%, $F$9) + CHOOSE(CONTROL!$C$27, 0.0021, 0)</f>
        <v>33.508800000000001</v>
      </c>
      <c r="D108" s="14">
        <f>33.5067 * CHOOSE(CONTROL!$C$9, $D$9, 100%, $F$9) + CHOOSE(CONTROL!$C$27, 0.0021, 0)</f>
        <v>33.508800000000001</v>
      </c>
      <c r="E108" s="14">
        <f>33.37 * CHOOSE(CONTROL!$C$9, $D$9, 100%, $F$9) + CHOOSE(CONTROL!$C$27, 0.0021, 0)</f>
        <v>33.372099999999996</v>
      </c>
      <c r="F108" s="14">
        <f>33.37 * CHOOSE(CONTROL!$C$9, $D$9, 100%, $F$9) + CHOOSE(CONTROL!$C$27, 0.0021, 0)</f>
        <v>33.372099999999996</v>
      </c>
      <c r="G108" s="14">
        <f>33.6414 * CHOOSE(CONTROL!$C$9, $D$9, 100%, $F$9) + CHOOSE(CONTROL!$C$27, 0.0021, 0)</f>
        <v>33.643499999999996</v>
      </c>
      <c r="H108" s="14">
        <f>33.5067 * CHOOSE(CONTROL!$C$9, $D$9, 100%, $F$9) + CHOOSE(CONTROL!$C$27, 0.0021, 0)</f>
        <v>33.508800000000001</v>
      </c>
      <c r="I108" s="14">
        <f>33.5067 * CHOOSE(CONTROL!$C$9, $D$9, 100%, $F$9) + CHOOSE(CONTROL!$C$27, 0.0021, 0)</f>
        <v>33.508800000000001</v>
      </c>
      <c r="J108" s="14">
        <f>33.5067 * CHOOSE(CONTROL!$C$9, $D$9, 100%, $F$9) + CHOOSE(CONTROL!$C$27, 0.0021, 0)</f>
        <v>33.508800000000001</v>
      </c>
      <c r="K108" s="14">
        <f>33.5067 * CHOOSE(CONTROL!$C$9, $D$9, 100%, $F$9) + CHOOSE(CONTROL!$C$27, 0.0021, 0)</f>
        <v>33.508800000000001</v>
      </c>
      <c r="L108" s="14"/>
    </row>
    <row r="109" spans="1:12" ht="15" x14ac:dyDescent="0.2">
      <c r="A109" s="13">
        <v>44228</v>
      </c>
      <c r="B109" s="14">
        <f>33.1071 * CHOOSE(CONTROL!$C$9, $D$9, 100%, $F$9) + CHOOSE(CONTROL!$C$27, 0.0021, 0)</f>
        <v>33.109200000000001</v>
      </c>
      <c r="C109" s="14">
        <f>32.6749 * CHOOSE(CONTROL!$C$9, $D$9, 100%, $F$9) + CHOOSE(CONTROL!$C$27, 0.0021, 0)</f>
        <v>32.677</v>
      </c>
      <c r="D109" s="14">
        <f>32.6749 * CHOOSE(CONTROL!$C$9, $D$9, 100%, $F$9) + CHOOSE(CONTROL!$C$27, 0.0021, 0)</f>
        <v>32.677</v>
      </c>
      <c r="E109" s="14">
        <f>32.5382 * CHOOSE(CONTROL!$C$9, $D$9, 100%, $F$9) + CHOOSE(CONTROL!$C$27, 0.0021, 0)</f>
        <v>32.540300000000002</v>
      </c>
      <c r="F109" s="14">
        <f>32.5382 * CHOOSE(CONTROL!$C$9, $D$9, 100%, $F$9) + CHOOSE(CONTROL!$C$27, 0.0021, 0)</f>
        <v>32.540300000000002</v>
      </c>
      <c r="G109" s="14">
        <f>32.8096 * CHOOSE(CONTROL!$C$9, $D$9, 100%, $F$9) + CHOOSE(CONTROL!$C$27, 0.0021, 0)</f>
        <v>32.811700000000002</v>
      </c>
      <c r="H109" s="14">
        <f>32.6749 * CHOOSE(CONTROL!$C$9, $D$9, 100%, $F$9) + CHOOSE(CONTROL!$C$27, 0.0021, 0)</f>
        <v>32.677</v>
      </c>
      <c r="I109" s="14">
        <f>32.6749 * CHOOSE(CONTROL!$C$9, $D$9, 100%, $F$9) + CHOOSE(CONTROL!$C$27, 0.0021, 0)</f>
        <v>32.677</v>
      </c>
      <c r="J109" s="14">
        <f>32.6749 * CHOOSE(CONTROL!$C$9, $D$9, 100%, $F$9) + CHOOSE(CONTROL!$C$27, 0.0021, 0)</f>
        <v>32.677</v>
      </c>
      <c r="K109" s="14">
        <f>32.6749 * CHOOSE(CONTROL!$C$9, $D$9, 100%, $F$9) + CHOOSE(CONTROL!$C$27, 0.0021, 0)</f>
        <v>32.677</v>
      </c>
      <c r="L109" s="14"/>
    </row>
    <row r="110" spans="1:12" ht="15" x14ac:dyDescent="0.2">
      <c r="A110" s="13">
        <v>44256</v>
      </c>
      <c r="B110" s="14">
        <f>32.7995 * CHOOSE(CONTROL!$C$9, $D$9, 100%, $F$9) + CHOOSE(CONTROL!$C$27, 0.0021, 0)</f>
        <v>32.801600000000001</v>
      </c>
      <c r="C110" s="14">
        <f>32.3673 * CHOOSE(CONTROL!$C$9, $D$9, 100%, $F$9) + CHOOSE(CONTROL!$C$27, 0.0021, 0)</f>
        <v>32.369399999999999</v>
      </c>
      <c r="D110" s="14">
        <f>32.3673 * CHOOSE(CONTROL!$C$9, $D$9, 100%, $F$9) + CHOOSE(CONTROL!$C$27, 0.0021, 0)</f>
        <v>32.369399999999999</v>
      </c>
      <c r="E110" s="14">
        <f>32.2306 * CHOOSE(CONTROL!$C$9, $D$9, 100%, $F$9) + CHOOSE(CONTROL!$C$27, 0.0021, 0)</f>
        <v>32.232700000000001</v>
      </c>
      <c r="F110" s="14">
        <f>32.2306 * CHOOSE(CONTROL!$C$9, $D$9, 100%, $F$9) + CHOOSE(CONTROL!$C$27, 0.0021, 0)</f>
        <v>32.232700000000001</v>
      </c>
      <c r="G110" s="14">
        <f>32.502 * CHOOSE(CONTROL!$C$9, $D$9, 100%, $F$9) + CHOOSE(CONTROL!$C$27, 0.0021, 0)</f>
        <v>32.504100000000001</v>
      </c>
      <c r="H110" s="14">
        <f>32.3673 * CHOOSE(CONTROL!$C$9, $D$9, 100%, $F$9) + CHOOSE(CONTROL!$C$27, 0.0021, 0)</f>
        <v>32.369399999999999</v>
      </c>
      <c r="I110" s="14">
        <f>32.3673 * CHOOSE(CONTROL!$C$9, $D$9, 100%, $F$9) + CHOOSE(CONTROL!$C$27, 0.0021, 0)</f>
        <v>32.369399999999999</v>
      </c>
      <c r="J110" s="14">
        <f>32.3673 * CHOOSE(CONTROL!$C$9, $D$9, 100%, $F$9) + CHOOSE(CONTROL!$C$27, 0.0021, 0)</f>
        <v>32.369399999999999</v>
      </c>
      <c r="K110" s="14">
        <f>32.3673 * CHOOSE(CONTROL!$C$9, $D$9, 100%, $F$9) + CHOOSE(CONTROL!$C$27, 0.0021, 0)</f>
        <v>32.369399999999999</v>
      </c>
      <c r="L110" s="14"/>
    </row>
    <row r="111" spans="1:12" ht="15" x14ac:dyDescent="0.2">
      <c r="A111" s="13">
        <v>44287</v>
      </c>
      <c r="B111" s="14">
        <f>32.4185 * CHOOSE(CONTROL!$C$9, $D$9, 100%, $F$9) + CHOOSE(CONTROL!$C$27, 0.0021, 0)</f>
        <v>32.4206</v>
      </c>
      <c r="C111" s="14">
        <f>31.9862 * CHOOSE(CONTROL!$C$9, $D$9, 100%, $F$9) + CHOOSE(CONTROL!$C$27, 0.0021, 0)</f>
        <v>31.988299999999999</v>
      </c>
      <c r="D111" s="14">
        <f>31.9862 * CHOOSE(CONTROL!$C$9, $D$9, 100%, $F$9) + CHOOSE(CONTROL!$C$27, 0.0021, 0)</f>
        <v>31.988299999999999</v>
      </c>
      <c r="E111" s="14">
        <f>31.8495 * CHOOSE(CONTROL!$C$9, $D$9, 100%, $F$9) + CHOOSE(CONTROL!$C$27, 0.0021, 0)</f>
        <v>31.851599999999998</v>
      </c>
      <c r="F111" s="14">
        <f>31.8495 * CHOOSE(CONTROL!$C$9, $D$9, 100%, $F$9) + CHOOSE(CONTROL!$C$27, 0.0021, 0)</f>
        <v>31.851599999999998</v>
      </c>
      <c r="G111" s="14">
        <f>32.1209 * CHOOSE(CONTROL!$C$9, $D$9, 100%, $F$9) + CHOOSE(CONTROL!$C$27, 0.0021, 0)</f>
        <v>32.122999999999998</v>
      </c>
      <c r="H111" s="14">
        <f>31.9862 * CHOOSE(CONTROL!$C$9, $D$9, 100%, $F$9) + CHOOSE(CONTROL!$C$27, 0.0021, 0)</f>
        <v>31.988299999999999</v>
      </c>
      <c r="I111" s="14">
        <f>31.9862 * CHOOSE(CONTROL!$C$9, $D$9, 100%, $F$9) + CHOOSE(CONTROL!$C$27, 0.0021, 0)</f>
        <v>31.988299999999999</v>
      </c>
      <c r="J111" s="14">
        <f>31.9862 * CHOOSE(CONTROL!$C$9, $D$9, 100%, $F$9) + CHOOSE(CONTROL!$C$27, 0.0021, 0)</f>
        <v>31.988299999999999</v>
      </c>
      <c r="K111" s="14">
        <f>31.9862 * CHOOSE(CONTROL!$C$9, $D$9, 100%, $F$9) + CHOOSE(CONTROL!$C$27, 0.0021, 0)</f>
        <v>31.988299999999999</v>
      </c>
      <c r="L111" s="14"/>
    </row>
    <row r="112" spans="1:12" ht="15" x14ac:dyDescent="0.2">
      <c r="A112" s="13">
        <v>44317</v>
      </c>
      <c r="B112" s="14">
        <f>33.1145 * CHOOSE(CONTROL!$C$9, $D$9, 100%, $F$9) + CHOOSE(CONTROL!$C$27, 0.0021, 0)</f>
        <v>33.116599999999998</v>
      </c>
      <c r="C112" s="14">
        <f>32.6822 * CHOOSE(CONTROL!$C$9, $D$9, 100%, $F$9) + CHOOSE(CONTROL!$C$27, 0.0021, 0)</f>
        <v>32.6843</v>
      </c>
      <c r="D112" s="14">
        <f>32.6822 * CHOOSE(CONTROL!$C$9, $D$9, 100%, $F$9) + CHOOSE(CONTROL!$C$27, 0.0021, 0)</f>
        <v>32.6843</v>
      </c>
      <c r="E112" s="14">
        <f>32.5456 * CHOOSE(CONTROL!$C$9, $D$9, 100%, $F$9) + CHOOSE(CONTROL!$C$27, 0.0021, 0)</f>
        <v>32.547699999999999</v>
      </c>
      <c r="F112" s="14">
        <f>32.5456 * CHOOSE(CONTROL!$C$9, $D$9, 100%, $F$9) + CHOOSE(CONTROL!$C$27, 0.0021, 0)</f>
        <v>32.547699999999999</v>
      </c>
      <c r="G112" s="14">
        <f>32.8169 * CHOOSE(CONTROL!$C$9, $D$9, 100%, $F$9) + CHOOSE(CONTROL!$C$27, 0.0021, 0)</f>
        <v>32.818999999999996</v>
      </c>
      <c r="H112" s="14">
        <f>32.6822 * CHOOSE(CONTROL!$C$9, $D$9, 100%, $F$9) + CHOOSE(CONTROL!$C$27, 0.0021, 0)</f>
        <v>32.6843</v>
      </c>
      <c r="I112" s="14">
        <f>32.6822 * CHOOSE(CONTROL!$C$9, $D$9, 100%, $F$9) + CHOOSE(CONTROL!$C$27, 0.0021, 0)</f>
        <v>32.6843</v>
      </c>
      <c r="J112" s="14">
        <f>32.6822 * CHOOSE(CONTROL!$C$9, $D$9, 100%, $F$9) + CHOOSE(CONTROL!$C$27, 0.0021, 0)</f>
        <v>32.6843</v>
      </c>
      <c r="K112" s="14">
        <f>32.6822 * CHOOSE(CONTROL!$C$9, $D$9, 100%, $F$9) + CHOOSE(CONTROL!$C$27, 0.0021, 0)</f>
        <v>32.6843</v>
      </c>
      <c r="L112" s="14"/>
    </row>
    <row r="113" spans="1:12" ht="15" x14ac:dyDescent="0.2">
      <c r="A113" s="13">
        <v>44348</v>
      </c>
      <c r="B113" s="14">
        <f>33.5585 * CHOOSE(CONTROL!$C$9, $D$9, 100%, $F$9) + CHOOSE(CONTROL!$C$27, 0.0021, 0)</f>
        <v>33.560600000000001</v>
      </c>
      <c r="C113" s="14">
        <f>33.1262 * CHOOSE(CONTROL!$C$9, $D$9, 100%, $F$9) + CHOOSE(CONTROL!$C$27, 0.0021, 0)</f>
        <v>33.128299999999996</v>
      </c>
      <c r="D113" s="14">
        <f>33.1262 * CHOOSE(CONTROL!$C$9, $D$9, 100%, $F$9) + CHOOSE(CONTROL!$C$27, 0.0021, 0)</f>
        <v>33.128299999999996</v>
      </c>
      <c r="E113" s="14">
        <f>32.9896 * CHOOSE(CONTROL!$C$9, $D$9, 100%, $F$9) + CHOOSE(CONTROL!$C$27, 0.0021, 0)</f>
        <v>32.991700000000002</v>
      </c>
      <c r="F113" s="14">
        <f>32.9896 * CHOOSE(CONTROL!$C$9, $D$9, 100%, $F$9) + CHOOSE(CONTROL!$C$27, 0.0021, 0)</f>
        <v>32.991700000000002</v>
      </c>
      <c r="G113" s="14">
        <f>33.2609 * CHOOSE(CONTROL!$C$9, $D$9, 100%, $F$9) + CHOOSE(CONTROL!$C$27, 0.0021, 0)</f>
        <v>33.262999999999998</v>
      </c>
      <c r="H113" s="14">
        <f>33.1262 * CHOOSE(CONTROL!$C$9, $D$9, 100%, $F$9) + CHOOSE(CONTROL!$C$27, 0.0021, 0)</f>
        <v>33.128299999999996</v>
      </c>
      <c r="I113" s="14">
        <f>33.1262 * CHOOSE(CONTROL!$C$9, $D$9, 100%, $F$9) + CHOOSE(CONTROL!$C$27, 0.0021, 0)</f>
        <v>33.128299999999996</v>
      </c>
      <c r="J113" s="14">
        <f>33.1262 * CHOOSE(CONTROL!$C$9, $D$9, 100%, $F$9) + CHOOSE(CONTROL!$C$27, 0.0021, 0)</f>
        <v>33.128299999999996</v>
      </c>
      <c r="K113" s="14">
        <f>33.1262 * CHOOSE(CONTROL!$C$9, $D$9, 100%, $F$9) + CHOOSE(CONTROL!$C$27, 0.0021, 0)</f>
        <v>33.128299999999996</v>
      </c>
      <c r="L113" s="14"/>
    </row>
    <row r="114" spans="1:12" ht="15" x14ac:dyDescent="0.2">
      <c r="A114" s="13">
        <v>44378</v>
      </c>
      <c r="B114" s="14">
        <f>34.2518 * CHOOSE(CONTROL!$C$9, $D$9, 100%, $F$9) + CHOOSE(CONTROL!$C$27, 0.0021, 0)</f>
        <v>34.253900000000002</v>
      </c>
      <c r="C114" s="14">
        <f>33.8196 * CHOOSE(CONTROL!$C$9, $D$9, 100%, $F$9) + CHOOSE(CONTROL!$C$27, 0.0021, 0)</f>
        <v>33.8217</v>
      </c>
      <c r="D114" s="14">
        <f>33.8196 * CHOOSE(CONTROL!$C$9, $D$9, 100%, $F$9) + CHOOSE(CONTROL!$C$27, 0.0021, 0)</f>
        <v>33.8217</v>
      </c>
      <c r="E114" s="14">
        <f>33.6829 * CHOOSE(CONTROL!$C$9, $D$9, 100%, $F$9) + CHOOSE(CONTROL!$C$27, 0.0021, 0)</f>
        <v>33.684999999999995</v>
      </c>
      <c r="F114" s="14">
        <f>33.6829 * CHOOSE(CONTROL!$C$9, $D$9, 100%, $F$9) + CHOOSE(CONTROL!$C$27, 0.0021, 0)</f>
        <v>33.684999999999995</v>
      </c>
      <c r="G114" s="14">
        <f>33.9543 * CHOOSE(CONTROL!$C$9, $D$9, 100%, $F$9) + CHOOSE(CONTROL!$C$27, 0.0021, 0)</f>
        <v>33.956400000000002</v>
      </c>
      <c r="H114" s="14">
        <f>33.8196 * CHOOSE(CONTROL!$C$9, $D$9, 100%, $F$9) + CHOOSE(CONTROL!$C$27, 0.0021, 0)</f>
        <v>33.8217</v>
      </c>
      <c r="I114" s="14">
        <f>33.8196 * CHOOSE(CONTROL!$C$9, $D$9, 100%, $F$9) + CHOOSE(CONTROL!$C$27, 0.0021, 0)</f>
        <v>33.8217</v>
      </c>
      <c r="J114" s="14">
        <f>33.8196 * CHOOSE(CONTROL!$C$9, $D$9, 100%, $F$9) + CHOOSE(CONTROL!$C$27, 0.0021, 0)</f>
        <v>33.8217</v>
      </c>
      <c r="K114" s="14">
        <f>33.8196 * CHOOSE(CONTROL!$C$9, $D$9, 100%, $F$9) + CHOOSE(CONTROL!$C$27, 0.0021, 0)</f>
        <v>33.8217</v>
      </c>
      <c r="L114" s="14"/>
    </row>
    <row r="115" spans="1:12" ht="15" x14ac:dyDescent="0.2">
      <c r="A115" s="13">
        <v>44409</v>
      </c>
      <c r="B115" s="14">
        <f>34.5101 * CHOOSE(CONTROL!$C$9, $D$9, 100%, $F$9) + CHOOSE(CONTROL!$C$27, 0.0021, 0)</f>
        <v>34.5122</v>
      </c>
      <c r="C115" s="14">
        <f>34.0778 * CHOOSE(CONTROL!$C$9, $D$9, 100%, $F$9) + CHOOSE(CONTROL!$C$27, 0.0021, 0)</f>
        <v>34.079900000000002</v>
      </c>
      <c r="D115" s="14">
        <f>34.0778 * CHOOSE(CONTROL!$C$9, $D$9, 100%, $F$9) + CHOOSE(CONTROL!$C$27, 0.0021, 0)</f>
        <v>34.079900000000002</v>
      </c>
      <c r="E115" s="14">
        <f>33.9412 * CHOOSE(CONTROL!$C$9, $D$9, 100%, $F$9) + CHOOSE(CONTROL!$C$27, 0.0021, 0)</f>
        <v>33.943300000000001</v>
      </c>
      <c r="F115" s="14">
        <f>33.9412 * CHOOSE(CONTROL!$C$9, $D$9, 100%, $F$9) + CHOOSE(CONTROL!$C$27, 0.0021, 0)</f>
        <v>33.943300000000001</v>
      </c>
      <c r="G115" s="14">
        <f>34.2125 * CHOOSE(CONTROL!$C$9, $D$9, 100%, $F$9) + CHOOSE(CONTROL!$C$27, 0.0021, 0)</f>
        <v>34.214599999999997</v>
      </c>
      <c r="H115" s="14">
        <f>34.0778 * CHOOSE(CONTROL!$C$9, $D$9, 100%, $F$9) + CHOOSE(CONTROL!$C$27, 0.0021, 0)</f>
        <v>34.079900000000002</v>
      </c>
      <c r="I115" s="14">
        <f>34.0778 * CHOOSE(CONTROL!$C$9, $D$9, 100%, $F$9) + CHOOSE(CONTROL!$C$27, 0.0021, 0)</f>
        <v>34.079900000000002</v>
      </c>
      <c r="J115" s="14">
        <f>34.0778 * CHOOSE(CONTROL!$C$9, $D$9, 100%, $F$9) + CHOOSE(CONTROL!$C$27, 0.0021, 0)</f>
        <v>34.079900000000002</v>
      </c>
      <c r="K115" s="14">
        <f>34.0778 * CHOOSE(CONTROL!$C$9, $D$9, 100%, $F$9) + CHOOSE(CONTROL!$C$27, 0.0021, 0)</f>
        <v>34.079900000000002</v>
      </c>
      <c r="L115" s="14"/>
    </row>
    <row r="116" spans="1:12" ht="15" x14ac:dyDescent="0.2">
      <c r="A116" s="13">
        <v>44440</v>
      </c>
      <c r="B116" s="14">
        <f>35.2329 * CHOOSE(CONTROL!$C$9, $D$9, 100%, $F$9) + CHOOSE(CONTROL!$C$27, 0.0021, 0)</f>
        <v>35.234999999999999</v>
      </c>
      <c r="C116" s="14">
        <f>34.8007 * CHOOSE(CONTROL!$C$9, $D$9, 100%, $F$9) + CHOOSE(CONTROL!$C$27, 0.0021, 0)</f>
        <v>34.802799999999998</v>
      </c>
      <c r="D116" s="14">
        <f>34.8007 * CHOOSE(CONTROL!$C$9, $D$9, 100%, $F$9) + CHOOSE(CONTROL!$C$27, 0.0021, 0)</f>
        <v>34.802799999999998</v>
      </c>
      <c r="E116" s="14">
        <f>34.664 * CHOOSE(CONTROL!$C$9, $D$9, 100%, $F$9) + CHOOSE(CONTROL!$C$27, 0.0021, 0)</f>
        <v>34.6661</v>
      </c>
      <c r="F116" s="14">
        <f>34.664 * CHOOSE(CONTROL!$C$9, $D$9, 100%, $F$9) + CHOOSE(CONTROL!$C$27, 0.0021, 0)</f>
        <v>34.6661</v>
      </c>
      <c r="G116" s="14">
        <f>34.9354 * CHOOSE(CONTROL!$C$9, $D$9, 100%, $F$9) + CHOOSE(CONTROL!$C$27, 0.0021, 0)</f>
        <v>34.9375</v>
      </c>
      <c r="H116" s="14">
        <f>34.8007 * CHOOSE(CONTROL!$C$9, $D$9, 100%, $F$9) + CHOOSE(CONTROL!$C$27, 0.0021, 0)</f>
        <v>34.802799999999998</v>
      </c>
      <c r="I116" s="14">
        <f>34.8007 * CHOOSE(CONTROL!$C$9, $D$9, 100%, $F$9) + CHOOSE(CONTROL!$C$27, 0.0021, 0)</f>
        <v>34.802799999999998</v>
      </c>
      <c r="J116" s="14">
        <f>34.8007 * CHOOSE(CONTROL!$C$9, $D$9, 100%, $F$9) + CHOOSE(CONTROL!$C$27, 0.0021, 0)</f>
        <v>34.802799999999998</v>
      </c>
      <c r="K116" s="14">
        <f>34.8007 * CHOOSE(CONTROL!$C$9, $D$9, 100%, $F$9) + CHOOSE(CONTROL!$C$27, 0.0021, 0)</f>
        <v>34.802799999999998</v>
      </c>
      <c r="L116" s="14"/>
    </row>
    <row r="117" spans="1:12" ht="15" x14ac:dyDescent="0.2">
      <c r="A117" s="13">
        <v>44470</v>
      </c>
      <c r="B117" s="14">
        <f>36.1335 * CHOOSE(CONTROL!$C$9, $D$9, 100%, $F$9) + CHOOSE(CONTROL!$C$27, 0.0021, 0)</f>
        <v>36.135599999999997</v>
      </c>
      <c r="C117" s="14">
        <f>35.7012 * CHOOSE(CONTROL!$C$9, $D$9, 100%, $F$9) + CHOOSE(CONTROL!$C$27, 0.0021, 0)</f>
        <v>35.703299999999999</v>
      </c>
      <c r="D117" s="14">
        <f>35.7012 * CHOOSE(CONTROL!$C$9, $D$9, 100%, $F$9) + CHOOSE(CONTROL!$C$27, 0.0021, 0)</f>
        <v>35.703299999999999</v>
      </c>
      <c r="E117" s="14">
        <f>35.5646 * CHOOSE(CONTROL!$C$9, $D$9, 100%, $F$9) + CHOOSE(CONTROL!$C$27, 0.0021, 0)</f>
        <v>35.566699999999997</v>
      </c>
      <c r="F117" s="14">
        <f>35.5646 * CHOOSE(CONTROL!$C$9, $D$9, 100%, $F$9) + CHOOSE(CONTROL!$C$27, 0.0021, 0)</f>
        <v>35.566699999999997</v>
      </c>
      <c r="G117" s="14">
        <f>35.836 * CHOOSE(CONTROL!$C$9, $D$9, 100%, $F$9) + CHOOSE(CONTROL!$C$27, 0.0021, 0)</f>
        <v>35.838099999999997</v>
      </c>
      <c r="H117" s="14">
        <f>35.7012 * CHOOSE(CONTROL!$C$9, $D$9, 100%, $F$9) + CHOOSE(CONTROL!$C$27, 0.0021, 0)</f>
        <v>35.703299999999999</v>
      </c>
      <c r="I117" s="14">
        <f>35.7012 * CHOOSE(CONTROL!$C$9, $D$9, 100%, $F$9) + CHOOSE(CONTROL!$C$27, 0.0021, 0)</f>
        <v>35.703299999999999</v>
      </c>
      <c r="J117" s="14">
        <f>35.7012 * CHOOSE(CONTROL!$C$9, $D$9, 100%, $F$9) + CHOOSE(CONTROL!$C$27, 0.0021, 0)</f>
        <v>35.703299999999999</v>
      </c>
      <c r="K117" s="14">
        <f>35.7012 * CHOOSE(CONTROL!$C$9, $D$9, 100%, $F$9) + CHOOSE(CONTROL!$C$27, 0.0021, 0)</f>
        <v>35.703299999999999</v>
      </c>
      <c r="L117" s="14"/>
    </row>
    <row r="118" spans="1:12" ht="15" x14ac:dyDescent="0.2">
      <c r="A118" s="13">
        <v>44501</v>
      </c>
      <c r="B118" s="14">
        <f>36.2815 * CHOOSE(CONTROL!$C$9, $D$9, 100%, $F$9) + CHOOSE(CONTROL!$C$27, 0.0021, 0)</f>
        <v>36.2836</v>
      </c>
      <c r="C118" s="14">
        <f>35.8493 * CHOOSE(CONTROL!$C$9, $D$9, 100%, $F$9) + CHOOSE(CONTROL!$C$27, 0.0021, 0)</f>
        <v>35.851399999999998</v>
      </c>
      <c r="D118" s="14">
        <f>35.8493 * CHOOSE(CONTROL!$C$9, $D$9, 100%, $F$9) + CHOOSE(CONTROL!$C$27, 0.0021, 0)</f>
        <v>35.851399999999998</v>
      </c>
      <c r="E118" s="14">
        <f>35.7126 * CHOOSE(CONTROL!$C$9, $D$9, 100%, $F$9) + CHOOSE(CONTROL!$C$27, 0.0021, 0)</f>
        <v>35.714700000000001</v>
      </c>
      <c r="F118" s="14">
        <f>35.7126 * CHOOSE(CONTROL!$C$9, $D$9, 100%, $F$9) + CHOOSE(CONTROL!$C$27, 0.0021, 0)</f>
        <v>35.714700000000001</v>
      </c>
      <c r="G118" s="14">
        <f>35.984 * CHOOSE(CONTROL!$C$9, $D$9, 100%, $F$9) + CHOOSE(CONTROL!$C$27, 0.0021, 0)</f>
        <v>35.9861</v>
      </c>
      <c r="H118" s="14">
        <f>35.8493 * CHOOSE(CONTROL!$C$9, $D$9, 100%, $F$9) + CHOOSE(CONTROL!$C$27, 0.0021, 0)</f>
        <v>35.851399999999998</v>
      </c>
      <c r="I118" s="14">
        <f>35.8493 * CHOOSE(CONTROL!$C$9, $D$9, 100%, $F$9) + CHOOSE(CONTROL!$C$27, 0.0021, 0)</f>
        <v>35.851399999999998</v>
      </c>
      <c r="J118" s="14">
        <f>35.8493 * CHOOSE(CONTROL!$C$9, $D$9, 100%, $F$9) + CHOOSE(CONTROL!$C$27, 0.0021, 0)</f>
        <v>35.851399999999998</v>
      </c>
      <c r="K118" s="14">
        <f>35.8493 * CHOOSE(CONTROL!$C$9, $D$9, 100%, $F$9) + CHOOSE(CONTROL!$C$27, 0.0021, 0)</f>
        <v>35.851399999999998</v>
      </c>
      <c r="L118" s="14"/>
    </row>
    <row r="119" spans="1:12" ht="15" x14ac:dyDescent="0.2">
      <c r="A119" s="13">
        <v>44531</v>
      </c>
      <c r="B119" s="14">
        <f>35.6837 * CHOOSE(CONTROL!$C$9, $D$9, 100%, $F$9) + CHOOSE(CONTROL!$C$27, 0.0021, 0)</f>
        <v>35.6858</v>
      </c>
      <c r="C119" s="14">
        <f>35.2515 * CHOOSE(CONTROL!$C$9, $D$9, 100%, $F$9) + CHOOSE(CONTROL!$C$27, 0.0021, 0)</f>
        <v>35.253599999999999</v>
      </c>
      <c r="D119" s="14">
        <f>35.2515 * CHOOSE(CONTROL!$C$9, $D$9, 100%, $F$9) + CHOOSE(CONTROL!$C$27, 0.0021, 0)</f>
        <v>35.253599999999999</v>
      </c>
      <c r="E119" s="14">
        <f>35.1148 * CHOOSE(CONTROL!$C$9, $D$9, 100%, $F$9) + CHOOSE(CONTROL!$C$27, 0.0021, 0)</f>
        <v>35.116900000000001</v>
      </c>
      <c r="F119" s="14">
        <f>35.1148 * CHOOSE(CONTROL!$C$9, $D$9, 100%, $F$9) + CHOOSE(CONTROL!$C$27, 0.0021, 0)</f>
        <v>35.116900000000001</v>
      </c>
      <c r="G119" s="14">
        <f>35.3862 * CHOOSE(CONTROL!$C$9, $D$9, 100%, $F$9) + CHOOSE(CONTROL!$C$27, 0.0021, 0)</f>
        <v>35.388300000000001</v>
      </c>
      <c r="H119" s="14">
        <f>35.2515 * CHOOSE(CONTROL!$C$9, $D$9, 100%, $F$9) + CHOOSE(CONTROL!$C$27, 0.0021, 0)</f>
        <v>35.253599999999999</v>
      </c>
      <c r="I119" s="14">
        <f>35.2515 * CHOOSE(CONTROL!$C$9, $D$9, 100%, $F$9) + CHOOSE(CONTROL!$C$27, 0.0021, 0)</f>
        <v>35.253599999999999</v>
      </c>
      <c r="J119" s="14">
        <f>35.2515 * CHOOSE(CONTROL!$C$9, $D$9, 100%, $F$9) + CHOOSE(CONTROL!$C$27, 0.0021, 0)</f>
        <v>35.253599999999999</v>
      </c>
      <c r="K119" s="14">
        <f>35.2515 * CHOOSE(CONTROL!$C$9, $D$9, 100%, $F$9) + CHOOSE(CONTROL!$C$27, 0.0021, 0)</f>
        <v>35.253599999999999</v>
      </c>
      <c r="L119" s="14"/>
    </row>
    <row r="120" spans="1:12" ht="15" x14ac:dyDescent="0.2">
      <c r="A120" s="13">
        <v>44562</v>
      </c>
      <c r="B120" s="14">
        <f>36.4046 * CHOOSE(CONTROL!$C$9, $D$9, 100%, $F$9) + CHOOSE(CONTROL!$C$27, 0.0021, 0)</f>
        <v>36.406700000000001</v>
      </c>
      <c r="C120" s="14">
        <f>35.9724 * CHOOSE(CONTROL!$C$9, $D$9, 100%, $F$9) + CHOOSE(CONTROL!$C$27, 0.0021, 0)</f>
        <v>35.974499999999999</v>
      </c>
      <c r="D120" s="14">
        <f>35.9724 * CHOOSE(CONTROL!$C$9, $D$9, 100%, $F$9) + CHOOSE(CONTROL!$C$27, 0.0021, 0)</f>
        <v>35.974499999999999</v>
      </c>
      <c r="E120" s="14">
        <f>35.8357 * CHOOSE(CONTROL!$C$9, $D$9, 100%, $F$9) + CHOOSE(CONTROL!$C$27, 0.0021, 0)</f>
        <v>35.837800000000001</v>
      </c>
      <c r="F120" s="14">
        <f>35.8357 * CHOOSE(CONTROL!$C$9, $D$9, 100%, $F$9) + CHOOSE(CONTROL!$C$27, 0.0021, 0)</f>
        <v>35.837800000000001</v>
      </c>
      <c r="G120" s="14">
        <f>36.1071 * CHOOSE(CONTROL!$C$9, $D$9, 100%, $F$9) + CHOOSE(CONTROL!$C$27, 0.0021, 0)</f>
        <v>36.109200000000001</v>
      </c>
      <c r="H120" s="14">
        <f>35.9724 * CHOOSE(CONTROL!$C$9, $D$9, 100%, $F$9) + CHOOSE(CONTROL!$C$27, 0.0021, 0)</f>
        <v>35.974499999999999</v>
      </c>
      <c r="I120" s="14">
        <f>35.9724 * CHOOSE(CONTROL!$C$9, $D$9, 100%, $F$9) + CHOOSE(CONTROL!$C$27, 0.0021, 0)</f>
        <v>35.974499999999999</v>
      </c>
      <c r="J120" s="14">
        <f>35.9724 * CHOOSE(CONTROL!$C$9, $D$9, 100%, $F$9) + CHOOSE(CONTROL!$C$27, 0.0021, 0)</f>
        <v>35.974499999999999</v>
      </c>
      <c r="K120" s="14">
        <f>35.9724 * CHOOSE(CONTROL!$C$9, $D$9, 100%, $F$9) + CHOOSE(CONTROL!$C$27, 0.0021, 0)</f>
        <v>35.974499999999999</v>
      </c>
      <c r="L120" s="14"/>
    </row>
    <row r="121" spans="1:12" ht="15" x14ac:dyDescent="0.2">
      <c r="A121" s="13">
        <v>44593</v>
      </c>
      <c r="B121" s="14">
        <f>35.508 * CHOOSE(CONTROL!$C$9, $D$9, 100%, $F$9) + CHOOSE(CONTROL!$C$27, 0.0021, 0)</f>
        <v>35.510100000000001</v>
      </c>
      <c r="C121" s="14">
        <f>35.0758 * CHOOSE(CONTROL!$C$9, $D$9, 100%, $F$9) + CHOOSE(CONTROL!$C$27, 0.0021, 0)</f>
        <v>35.0779</v>
      </c>
      <c r="D121" s="14">
        <f>35.0758 * CHOOSE(CONTROL!$C$9, $D$9, 100%, $F$9) + CHOOSE(CONTROL!$C$27, 0.0021, 0)</f>
        <v>35.0779</v>
      </c>
      <c r="E121" s="14">
        <f>34.9391 * CHOOSE(CONTROL!$C$9, $D$9, 100%, $F$9) + CHOOSE(CONTROL!$C$27, 0.0021, 0)</f>
        <v>34.941200000000002</v>
      </c>
      <c r="F121" s="14">
        <f>34.9391 * CHOOSE(CONTROL!$C$9, $D$9, 100%, $F$9) + CHOOSE(CONTROL!$C$27, 0.0021, 0)</f>
        <v>34.941200000000002</v>
      </c>
      <c r="G121" s="14">
        <f>35.2105 * CHOOSE(CONTROL!$C$9, $D$9, 100%, $F$9) + CHOOSE(CONTROL!$C$27, 0.0021, 0)</f>
        <v>35.212600000000002</v>
      </c>
      <c r="H121" s="14">
        <f>35.0758 * CHOOSE(CONTROL!$C$9, $D$9, 100%, $F$9) + CHOOSE(CONTROL!$C$27, 0.0021, 0)</f>
        <v>35.0779</v>
      </c>
      <c r="I121" s="14">
        <f>35.0758 * CHOOSE(CONTROL!$C$9, $D$9, 100%, $F$9) + CHOOSE(CONTROL!$C$27, 0.0021, 0)</f>
        <v>35.0779</v>
      </c>
      <c r="J121" s="14">
        <f>35.0758 * CHOOSE(CONTROL!$C$9, $D$9, 100%, $F$9) + CHOOSE(CONTROL!$C$27, 0.0021, 0)</f>
        <v>35.0779</v>
      </c>
      <c r="K121" s="14">
        <f>35.0758 * CHOOSE(CONTROL!$C$9, $D$9, 100%, $F$9) + CHOOSE(CONTROL!$C$27, 0.0021, 0)</f>
        <v>35.0779</v>
      </c>
      <c r="L121" s="14"/>
    </row>
    <row r="122" spans="1:12" ht="15" x14ac:dyDescent="0.2">
      <c r="A122" s="13">
        <v>44621</v>
      </c>
      <c r="B122" s="14">
        <f>35.1765 * CHOOSE(CONTROL!$C$9, $D$9, 100%, $F$9) + CHOOSE(CONTROL!$C$27, 0.0021, 0)</f>
        <v>35.178599999999996</v>
      </c>
      <c r="C122" s="14">
        <f>34.7442 * CHOOSE(CONTROL!$C$9, $D$9, 100%, $F$9) + CHOOSE(CONTROL!$C$27, 0.0021, 0)</f>
        <v>34.746299999999998</v>
      </c>
      <c r="D122" s="14">
        <f>34.7442 * CHOOSE(CONTROL!$C$9, $D$9, 100%, $F$9) + CHOOSE(CONTROL!$C$27, 0.0021, 0)</f>
        <v>34.746299999999998</v>
      </c>
      <c r="E122" s="14">
        <f>34.6076 * CHOOSE(CONTROL!$C$9, $D$9, 100%, $F$9) + CHOOSE(CONTROL!$C$27, 0.0021, 0)</f>
        <v>34.609699999999997</v>
      </c>
      <c r="F122" s="14">
        <f>34.6076 * CHOOSE(CONTROL!$C$9, $D$9, 100%, $F$9) + CHOOSE(CONTROL!$C$27, 0.0021, 0)</f>
        <v>34.609699999999997</v>
      </c>
      <c r="G122" s="14">
        <f>34.879 * CHOOSE(CONTROL!$C$9, $D$9, 100%, $F$9) + CHOOSE(CONTROL!$C$27, 0.0021, 0)</f>
        <v>34.881099999999996</v>
      </c>
      <c r="H122" s="14">
        <f>34.7442 * CHOOSE(CONTROL!$C$9, $D$9, 100%, $F$9) + CHOOSE(CONTROL!$C$27, 0.0021, 0)</f>
        <v>34.746299999999998</v>
      </c>
      <c r="I122" s="14">
        <f>34.7442 * CHOOSE(CONTROL!$C$9, $D$9, 100%, $F$9) + CHOOSE(CONTROL!$C$27, 0.0021, 0)</f>
        <v>34.746299999999998</v>
      </c>
      <c r="J122" s="14">
        <f>34.7442 * CHOOSE(CONTROL!$C$9, $D$9, 100%, $F$9) + CHOOSE(CONTROL!$C$27, 0.0021, 0)</f>
        <v>34.746299999999998</v>
      </c>
      <c r="K122" s="14">
        <f>34.7442 * CHOOSE(CONTROL!$C$9, $D$9, 100%, $F$9) + CHOOSE(CONTROL!$C$27, 0.0021, 0)</f>
        <v>34.746299999999998</v>
      </c>
      <c r="L122" s="14"/>
    </row>
    <row r="123" spans="1:12" ht="15" x14ac:dyDescent="0.2">
      <c r="A123" s="13">
        <v>44652</v>
      </c>
      <c r="B123" s="14">
        <f>34.7657 * CHOOSE(CONTROL!$C$9, $D$9, 100%, $F$9) + CHOOSE(CONTROL!$C$27, 0.0021, 0)</f>
        <v>34.767800000000001</v>
      </c>
      <c r="C123" s="14">
        <f>34.3335 * CHOOSE(CONTROL!$C$9, $D$9, 100%, $F$9) + CHOOSE(CONTROL!$C$27, 0.0021, 0)</f>
        <v>34.335599999999999</v>
      </c>
      <c r="D123" s="14">
        <f>34.3335 * CHOOSE(CONTROL!$C$9, $D$9, 100%, $F$9) + CHOOSE(CONTROL!$C$27, 0.0021, 0)</f>
        <v>34.335599999999999</v>
      </c>
      <c r="E123" s="14">
        <f>34.1968 * CHOOSE(CONTROL!$C$9, $D$9, 100%, $F$9) + CHOOSE(CONTROL!$C$27, 0.0021, 0)</f>
        <v>34.198900000000002</v>
      </c>
      <c r="F123" s="14">
        <f>34.1968 * CHOOSE(CONTROL!$C$9, $D$9, 100%, $F$9) + CHOOSE(CONTROL!$C$27, 0.0021, 0)</f>
        <v>34.198900000000002</v>
      </c>
      <c r="G123" s="14">
        <f>34.4682 * CHOOSE(CONTROL!$C$9, $D$9, 100%, $F$9) + CHOOSE(CONTROL!$C$27, 0.0021, 0)</f>
        <v>34.470300000000002</v>
      </c>
      <c r="H123" s="14">
        <f>34.3335 * CHOOSE(CONTROL!$C$9, $D$9, 100%, $F$9) + CHOOSE(CONTROL!$C$27, 0.0021, 0)</f>
        <v>34.335599999999999</v>
      </c>
      <c r="I123" s="14">
        <f>34.3335 * CHOOSE(CONTROL!$C$9, $D$9, 100%, $F$9) + CHOOSE(CONTROL!$C$27, 0.0021, 0)</f>
        <v>34.335599999999999</v>
      </c>
      <c r="J123" s="14">
        <f>34.3335 * CHOOSE(CONTROL!$C$9, $D$9, 100%, $F$9) + CHOOSE(CONTROL!$C$27, 0.0021, 0)</f>
        <v>34.335599999999999</v>
      </c>
      <c r="K123" s="14">
        <f>34.3335 * CHOOSE(CONTROL!$C$9, $D$9, 100%, $F$9) + CHOOSE(CONTROL!$C$27, 0.0021, 0)</f>
        <v>34.335599999999999</v>
      </c>
      <c r="L123" s="14"/>
    </row>
    <row r="124" spans="1:12" ht="15" x14ac:dyDescent="0.2">
      <c r="A124" s="13">
        <v>44682</v>
      </c>
      <c r="B124" s="14">
        <f>35.516 * CHOOSE(CONTROL!$C$9, $D$9, 100%, $F$9) + CHOOSE(CONTROL!$C$27, 0.0021, 0)</f>
        <v>35.518099999999997</v>
      </c>
      <c r="C124" s="14">
        <f>35.0837 * CHOOSE(CONTROL!$C$9, $D$9, 100%, $F$9) + CHOOSE(CONTROL!$C$27, 0.0021, 0)</f>
        <v>35.085799999999999</v>
      </c>
      <c r="D124" s="14">
        <f>35.0837 * CHOOSE(CONTROL!$C$9, $D$9, 100%, $F$9) + CHOOSE(CONTROL!$C$27, 0.0021, 0)</f>
        <v>35.085799999999999</v>
      </c>
      <c r="E124" s="14">
        <f>34.947 * CHOOSE(CONTROL!$C$9, $D$9, 100%, $F$9) + CHOOSE(CONTROL!$C$27, 0.0021, 0)</f>
        <v>34.949100000000001</v>
      </c>
      <c r="F124" s="14">
        <f>34.947 * CHOOSE(CONTROL!$C$9, $D$9, 100%, $F$9) + CHOOSE(CONTROL!$C$27, 0.0021, 0)</f>
        <v>34.949100000000001</v>
      </c>
      <c r="G124" s="14">
        <f>35.2184 * CHOOSE(CONTROL!$C$9, $D$9, 100%, $F$9) + CHOOSE(CONTROL!$C$27, 0.0021, 0)</f>
        <v>35.220500000000001</v>
      </c>
      <c r="H124" s="14">
        <f>35.0837 * CHOOSE(CONTROL!$C$9, $D$9, 100%, $F$9) + CHOOSE(CONTROL!$C$27, 0.0021, 0)</f>
        <v>35.085799999999999</v>
      </c>
      <c r="I124" s="14">
        <f>35.0837 * CHOOSE(CONTROL!$C$9, $D$9, 100%, $F$9) + CHOOSE(CONTROL!$C$27, 0.0021, 0)</f>
        <v>35.085799999999999</v>
      </c>
      <c r="J124" s="14">
        <f>35.0837 * CHOOSE(CONTROL!$C$9, $D$9, 100%, $F$9) + CHOOSE(CONTROL!$C$27, 0.0021, 0)</f>
        <v>35.085799999999999</v>
      </c>
      <c r="K124" s="14">
        <f>35.0837 * CHOOSE(CONTROL!$C$9, $D$9, 100%, $F$9) + CHOOSE(CONTROL!$C$27, 0.0021, 0)</f>
        <v>35.085799999999999</v>
      </c>
      <c r="L124" s="14"/>
    </row>
    <row r="125" spans="1:12" ht="15" x14ac:dyDescent="0.2">
      <c r="A125" s="13">
        <v>44713</v>
      </c>
      <c r="B125" s="14">
        <f>35.9945 * CHOOSE(CONTROL!$C$9, $D$9, 100%, $F$9) + CHOOSE(CONTROL!$C$27, 0.0021, 0)</f>
        <v>35.996600000000001</v>
      </c>
      <c r="C125" s="14">
        <f>35.5623 * CHOOSE(CONTROL!$C$9, $D$9, 100%, $F$9) + CHOOSE(CONTROL!$C$27, 0.0021, 0)</f>
        <v>35.564399999999999</v>
      </c>
      <c r="D125" s="14">
        <f>35.5623 * CHOOSE(CONTROL!$C$9, $D$9, 100%, $F$9) + CHOOSE(CONTROL!$C$27, 0.0021, 0)</f>
        <v>35.564399999999999</v>
      </c>
      <c r="E125" s="14">
        <f>35.4256 * CHOOSE(CONTROL!$C$9, $D$9, 100%, $F$9) + CHOOSE(CONTROL!$C$27, 0.0021, 0)</f>
        <v>35.427700000000002</v>
      </c>
      <c r="F125" s="14">
        <f>35.4256 * CHOOSE(CONTROL!$C$9, $D$9, 100%, $F$9) + CHOOSE(CONTROL!$C$27, 0.0021, 0)</f>
        <v>35.427700000000002</v>
      </c>
      <c r="G125" s="14">
        <f>35.697 * CHOOSE(CONTROL!$C$9, $D$9, 100%, $F$9) + CHOOSE(CONTROL!$C$27, 0.0021, 0)</f>
        <v>35.699100000000001</v>
      </c>
      <c r="H125" s="14">
        <f>35.5623 * CHOOSE(CONTROL!$C$9, $D$9, 100%, $F$9) + CHOOSE(CONTROL!$C$27, 0.0021, 0)</f>
        <v>35.564399999999999</v>
      </c>
      <c r="I125" s="14">
        <f>35.5623 * CHOOSE(CONTROL!$C$9, $D$9, 100%, $F$9) + CHOOSE(CONTROL!$C$27, 0.0021, 0)</f>
        <v>35.564399999999999</v>
      </c>
      <c r="J125" s="14">
        <f>35.5623 * CHOOSE(CONTROL!$C$9, $D$9, 100%, $F$9) + CHOOSE(CONTROL!$C$27, 0.0021, 0)</f>
        <v>35.564399999999999</v>
      </c>
      <c r="K125" s="14">
        <f>35.5623 * CHOOSE(CONTROL!$C$9, $D$9, 100%, $F$9) + CHOOSE(CONTROL!$C$27, 0.0021, 0)</f>
        <v>35.564399999999999</v>
      </c>
      <c r="L125" s="14"/>
    </row>
    <row r="126" spans="1:12" ht="15" x14ac:dyDescent="0.2">
      <c r="A126" s="13">
        <v>44743</v>
      </c>
      <c r="B126" s="14">
        <f>36.7419 * CHOOSE(CONTROL!$C$9, $D$9, 100%, $F$9) + CHOOSE(CONTROL!$C$27, 0.0021, 0)</f>
        <v>36.744</v>
      </c>
      <c r="C126" s="14">
        <f>36.3097 * CHOOSE(CONTROL!$C$9, $D$9, 100%, $F$9) + CHOOSE(CONTROL!$C$27, 0.0021, 0)</f>
        <v>36.311799999999998</v>
      </c>
      <c r="D126" s="14">
        <f>36.3097 * CHOOSE(CONTROL!$C$9, $D$9, 100%, $F$9) + CHOOSE(CONTROL!$C$27, 0.0021, 0)</f>
        <v>36.311799999999998</v>
      </c>
      <c r="E126" s="14">
        <f>36.173 * CHOOSE(CONTROL!$C$9, $D$9, 100%, $F$9) + CHOOSE(CONTROL!$C$27, 0.0021, 0)</f>
        <v>36.1751</v>
      </c>
      <c r="F126" s="14">
        <f>36.173 * CHOOSE(CONTROL!$C$9, $D$9, 100%, $F$9) + CHOOSE(CONTROL!$C$27, 0.0021, 0)</f>
        <v>36.1751</v>
      </c>
      <c r="G126" s="14">
        <f>36.4444 * CHOOSE(CONTROL!$C$9, $D$9, 100%, $F$9) + CHOOSE(CONTROL!$C$27, 0.0021, 0)</f>
        <v>36.4465</v>
      </c>
      <c r="H126" s="14">
        <f>36.3097 * CHOOSE(CONTROL!$C$9, $D$9, 100%, $F$9) + CHOOSE(CONTROL!$C$27, 0.0021, 0)</f>
        <v>36.311799999999998</v>
      </c>
      <c r="I126" s="14">
        <f>36.3097 * CHOOSE(CONTROL!$C$9, $D$9, 100%, $F$9) + CHOOSE(CONTROL!$C$27, 0.0021, 0)</f>
        <v>36.311799999999998</v>
      </c>
      <c r="J126" s="14">
        <f>36.3097 * CHOOSE(CONTROL!$C$9, $D$9, 100%, $F$9) + CHOOSE(CONTROL!$C$27, 0.0021, 0)</f>
        <v>36.311799999999998</v>
      </c>
      <c r="K126" s="14">
        <f>36.3097 * CHOOSE(CONTROL!$C$9, $D$9, 100%, $F$9) + CHOOSE(CONTROL!$C$27, 0.0021, 0)</f>
        <v>36.311799999999998</v>
      </c>
      <c r="L126" s="14"/>
    </row>
    <row r="127" spans="1:12" ht="15" x14ac:dyDescent="0.2">
      <c r="A127" s="13">
        <v>44774</v>
      </c>
      <c r="B127" s="14">
        <f>37.0203 * CHOOSE(CONTROL!$C$9, $D$9, 100%, $F$9) + CHOOSE(CONTROL!$C$27, 0.0021, 0)</f>
        <v>37.022399999999998</v>
      </c>
      <c r="C127" s="14">
        <f>36.588 * CHOOSE(CONTROL!$C$9, $D$9, 100%, $F$9) + CHOOSE(CONTROL!$C$27, 0.0021, 0)</f>
        <v>36.5901</v>
      </c>
      <c r="D127" s="14">
        <f>36.588 * CHOOSE(CONTROL!$C$9, $D$9, 100%, $F$9) + CHOOSE(CONTROL!$C$27, 0.0021, 0)</f>
        <v>36.5901</v>
      </c>
      <c r="E127" s="14">
        <f>36.4514 * CHOOSE(CONTROL!$C$9, $D$9, 100%, $F$9) + CHOOSE(CONTROL!$C$27, 0.0021, 0)</f>
        <v>36.453499999999998</v>
      </c>
      <c r="F127" s="14">
        <f>36.4514 * CHOOSE(CONTROL!$C$9, $D$9, 100%, $F$9) + CHOOSE(CONTROL!$C$27, 0.0021, 0)</f>
        <v>36.453499999999998</v>
      </c>
      <c r="G127" s="14">
        <f>36.7227 * CHOOSE(CONTROL!$C$9, $D$9, 100%, $F$9) + CHOOSE(CONTROL!$C$27, 0.0021, 0)</f>
        <v>36.724800000000002</v>
      </c>
      <c r="H127" s="14">
        <f>36.588 * CHOOSE(CONTROL!$C$9, $D$9, 100%, $F$9) + CHOOSE(CONTROL!$C$27, 0.0021, 0)</f>
        <v>36.5901</v>
      </c>
      <c r="I127" s="14">
        <f>36.588 * CHOOSE(CONTROL!$C$9, $D$9, 100%, $F$9) + CHOOSE(CONTROL!$C$27, 0.0021, 0)</f>
        <v>36.5901</v>
      </c>
      <c r="J127" s="14">
        <f>36.588 * CHOOSE(CONTROL!$C$9, $D$9, 100%, $F$9) + CHOOSE(CONTROL!$C$27, 0.0021, 0)</f>
        <v>36.5901</v>
      </c>
      <c r="K127" s="14">
        <f>36.588 * CHOOSE(CONTROL!$C$9, $D$9, 100%, $F$9) + CHOOSE(CONTROL!$C$27, 0.0021, 0)</f>
        <v>36.5901</v>
      </c>
      <c r="L127" s="14"/>
    </row>
    <row r="128" spans="1:12" ht="15" x14ac:dyDescent="0.2">
      <c r="A128" s="13">
        <v>44805</v>
      </c>
      <c r="B128" s="14">
        <f>37.7995 * CHOOSE(CONTROL!$C$9, $D$9, 100%, $F$9) + CHOOSE(CONTROL!$C$27, 0.0021, 0)</f>
        <v>37.801600000000001</v>
      </c>
      <c r="C128" s="14">
        <f>37.3672 * CHOOSE(CONTROL!$C$9, $D$9, 100%, $F$9) + CHOOSE(CONTROL!$C$27, 0.0021, 0)</f>
        <v>37.369299999999996</v>
      </c>
      <c r="D128" s="14">
        <f>37.3672 * CHOOSE(CONTROL!$C$9, $D$9, 100%, $F$9) + CHOOSE(CONTROL!$C$27, 0.0021, 0)</f>
        <v>37.369299999999996</v>
      </c>
      <c r="E128" s="14">
        <f>37.2305 * CHOOSE(CONTROL!$C$9, $D$9, 100%, $F$9) + CHOOSE(CONTROL!$C$27, 0.0021, 0)</f>
        <v>37.232599999999998</v>
      </c>
      <c r="F128" s="14">
        <f>37.2305 * CHOOSE(CONTROL!$C$9, $D$9, 100%, $F$9) + CHOOSE(CONTROL!$C$27, 0.0021, 0)</f>
        <v>37.232599999999998</v>
      </c>
      <c r="G128" s="14">
        <f>37.5019 * CHOOSE(CONTROL!$C$9, $D$9, 100%, $F$9) + CHOOSE(CONTROL!$C$27, 0.0021, 0)</f>
        <v>37.503999999999998</v>
      </c>
      <c r="H128" s="14">
        <f>37.3672 * CHOOSE(CONTROL!$C$9, $D$9, 100%, $F$9) + CHOOSE(CONTROL!$C$27, 0.0021, 0)</f>
        <v>37.369299999999996</v>
      </c>
      <c r="I128" s="14">
        <f>37.3672 * CHOOSE(CONTROL!$C$9, $D$9, 100%, $F$9) + CHOOSE(CONTROL!$C$27, 0.0021, 0)</f>
        <v>37.369299999999996</v>
      </c>
      <c r="J128" s="14">
        <f>37.3672 * CHOOSE(CONTROL!$C$9, $D$9, 100%, $F$9) + CHOOSE(CONTROL!$C$27, 0.0021, 0)</f>
        <v>37.369299999999996</v>
      </c>
      <c r="K128" s="14">
        <f>37.3672 * CHOOSE(CONTROL!$C$9, $D$9, 100%, $F$9) + CHOOSE(CONTROL!$C$27, 0.0021, 0)</f>
        <v>37.369299999999996</v>
      </c>
      <c r="L128" s="14"/>
    </row>
    <row r="129" spans="1:12" ht="15" x14ac:dyDescent="0.2">
      <c r="A129" s="13">
        <v>44835</v>
      </c>
      <c r="B129" s="14">
        <f>38.7702 * CHOOSE(CONTROL!$C$9, $D$9, 100%, $F$9) + CHOOSE(CONTROL!$C$27, 0.0021, 0)</f>
        <v>38.772300000000001</v>
      </c>
      <c r="C129" s="14">
        <f>38.3379 * CHOOSE(CONTROL!$C$9, $D$9, 100%, $F$9) + CHOOSE(CONTROL!$C$27, 0.0021, 0)</f>
        <v>38.339999999999996</v>
      </c>
      <c r="D129" s="14">
        <f>38.3379 * CHOOSE(CONTROL!$C$9, $D$9, 100%, $F$9) + CHOOSE(CONTROL!$C$27, 0.0021, 0)</f>
        <v>38.339999999999996</v>
      </c>
      <c r="E129" s="14">
        <f>38.2013 * CHOOSE(CONTROL!$C$9, $D$9, 100%, $F$9) + CHOOSE(CONTROL!$C$27, 0.0021, 0)</f>
        <v>38.203400000000002</v>
      </c>
      <c r="F129" s="14">
        <f>38.2013 * CHOOSE(CONTROL!$C$9, $D$9, 100%, $F$9) + CHOOSE(CONTROL!$C$27, 0.0021, 0)</f>
        <v>38.203400000000002</v>
      </c>
      <c r="G129" s="14">
        <f>38.4727 * CHOOSE(CONTROL!$C$9, $D$9, 100%, $F$9) + CHOOSE(CONTROL!$C$27, 0.0021, 0)</f>
        <v>38.474800000000002</v>
      </c>
      <c r="H129" s="14">
        <f>38.3379 * CHOOSE(CONTROL!$C$9, $D$9, 100%, $F$9) + CHOOSE(CONTROL!$C$27, 0.0021, 0)</f>
        <v>38.339999999999996</v>
      </c>
      <c r="I129" s="14">
        <f>38.3379 * CHOOSE(CONTROL!$C$9, $D$9, 100%, $F$9) + CHOOSE(CONTROL!$C$27, 0.0021, 0)</f>
        <v>38.339999999999996</v>
      </c>
      <c r="J129" s="14">
        <f>38.3379 * CHOOSE(CONTROL!$C$9, $D$9, 100%, $F$9) + CHOOSE(CONTROL!$C$27, 0.0021, 0)</f>
        <v>38.339999999999996</v>
      </c>
      <c r="K129" s="14">
        <f>38.3379 * CHOOSE(CONTROL!$C$9, $D$9, 100%, $F$9) + CHOOSE(CONTROL!$C$27, 0.0021, 0)</f>
        <v>38.339999999999996</v>
      </c>
      <c r="L129" s="14"/>
    </row>
    <row r="130" spans="1:12" ht="15" x14ac:dyDescent="0.2">
      <c r="A130" s="13">
        <v>44866</v>
      </c>
      <c r="B130" s="14">
        <f>38.9298 * CHOOSE(CONTROL!$C$9, $D$9, 100%, $F$9) + CHOOSE(CONTROL!$C$27, 0.0021, 0)</f>
        <v>38.931899999999999</v>
      </c>
      <c r="C130" s="14">
        <f>38.4975 * CHOOSE(CONTROL!$C$9, $D$9, 100%, $F$9) + CHOOSE(CONTROL!$C$27, 0.0021, 0)</f>
        <v>38.499600000000001</v>
      </c>
      <c r="D130" s="14">
        <f>38.4975 * CHOOSE(CONTROL!$C$9, $D$9, 100%, $F$9) + CHOOSE(CONTROL!$C$27, 0.0021, 0)</f>
        <v>38.499600000000001</v>
      </c>
      <c r="E130" s="14">
        <f>38.3609 * CHOOSE(CONTROL!$C$9, $D$9, 100%, $F$9) + CHOOSE(CONTROL!$C$27, 0.0021, 0)</f>
        <v>38.363</v>
      </c>
      <c r="F130" s="14">
        <f>38.3609 * CHOOSE(CONTROL!$C$9, $D$9, 100%, $F$9) + CHOOSE(CONTROL!$C$27, 0.0021, 0)</f>
        <v>38.363</v>
      </c>
      <c r="G130" s="14">
        <f>38.6322 * CHOOSE(CONTROL!$C$9, $D$9, 100%, $F$9) + CHOOSE(CONTROL!$C$27, 0.0021, 0)</f>
        <v>38.634299999999996</v>
      </c>
      <c r="H130" s="14">
        <f>38.4975 * CHOOSE(CONTROL!$C$9, $D$9, 100%, $F$9) + CHOOSE(CONTROL!$C$27, 0.0021, 0)</f>
        <v>38.499600000000001</v>
      </c>
      <c r="I130" s="14">
        <f>38.4975 * CHOOSE(CONTROL!$C$9, $D$9, 100%, $F$9) + CHOOSE(CONTROL!$C$27, 0.0021, 0)</f>
        <v>38.499600000000001</v>
      </c>
      <c r="J130" s="14">
        <f>38.4975 * CHOOSE(CONTROL!$C$9, $D$9, 100%, $F$9) + CHOOSE(CONTROL!$C$27, 0.0021, 0)</f>
        <v>38.499600000000001</v>
      </c>
      <c r="K130" s="14">
        <f>38.4975 * CHOOSE(CONTROL!$C$9, $D$9, 100%, $F$9) + CHOOSE(CONTROL!$C$27, 0.0021, 0)</f>
        <v>38.499600000000001</v>
      </c>
      <c r="L130" s="14"/>
    </row>
    <row r="131" spans="1:12" ht="15" x14ac:dyDescent="0.2">
      <c r="A131" s="13">
        <v>44896</v>
      </c>
      <c r="B131" s="14">
        <f>38.2854 * CHOOSE(CONTROL!$C$9, $D$9, 100%, $F$9) + CHOOSE(CONTROL!$C$27, 0.0021, 0)</f>
        <v>38.287500000000001</v>
      </c>
      <c r="C131" s="14">
        <f>37.8531 * CHOOSE(CONTROL!$C$9, $D$9, 100%, $F$9) + CHOOSE(CONTROL!$C$27, 0.0021, 0)</f>
        <v>37.855199999999996</v>
      </c>
      <c r="D131" s="14">
        <f>37.8531 * CHOOSE(CONTROL!$C$9, $D$9, 100%, $F$9) + CHOOSE(CONTROL!$C$27, 0.0021, 0)</f>
        <v>37.855199999999996</v>
      </c>
      <c r="E131" s="14">
        <f>37.7165 * CHOOSE(CONTROL!$C$9, $D$9, 100%, $F$9) + CHOOSE(CONTROL!$C$27, 0.0021, 0)</f>
        <v>37.718600000000002</v>
      </c>
      <c r="F131" s="14">
        <f>37.7165 * CHOOSE(CONTROL!$C$9, $D$9, 100%, $F$9) + CHOOSE(CONTROL!$C$27, 0.0021, 0)</f>
        <v>37.718600000000002</v>
      </c>
      <c r="G131" s="14">
        <f>37.9879 * CHOOSE(CONTROL!$C$9, $D$9, 100%, $F$9) + CHOOSE(CONTROL!$C$27, 0.0021, 0)</f>
        <v>37.99</v>
      </c>
      <c r="H131" s="14">
        <f>37.8531 * CHOOSE(CONTROL!$C$9, $D$9, 100%, $F$9) + CHOOSE(CONTROL!$C$27, 0.0021, 0)</f>
        <v>37.855199999999996</v>
      </c>
      <c r="I131" s="14">
        <f>37.8531 * CHOOSE(CONTROL!$C$9, $D$9, 100%, $F$9) + CHOOSE(CONTROL!$C$27, 0.0021, 0)</f>
        <v>37.855199999999996</v>
      </c>
      <c r="J131" s="14">
        <f>37.8531 * CHOOSE(CONTROL!$C$9, $D$9, 100%, $F$9) + CHOOSE(CONTROL!$C$27, 0.0021, 0)</f>
        <v>37.855199999999996</v>
      </c>
      <c r="K131" s="14">
        <f>37.8531 * CHOOSE(CONTROL!$C$9, $D$9, 100%, $F$9) + CHOOSE(CONTROL!$C$27, 0.0021, 0)</f>
        <v>37.855199999999996</v>
      </c>
      <c r="L131" s="14"/>
    </row>
    <row r="132" spans="1:12" ht="15" x14ac:dyDescent="0.2">
      <c r="A132" s="13">
        <v>44927</v>
      </c>
      <c r="B132" s="14">
        <f>38.9133 * CHOOSE(CONTROL!$C$9, $D$9, 100%, $F$9) + CHOOSE(CONTROL!$C$27, 0.0021, 0)</f>
        <v>38.915399999999998</v>
      </c>
      <c r="C132" s="14">
        <f>38.4811 * CHOOSE(CONTROL!$C$9, $D$9, 100%, $F$9) + CHOOSE(CONTROL!$C$27, 0.0021, 0)</f>
        <v>38.483199999999997</v>
      </c>
      <c r="D132" s="14">
        <f>38.4811 * CHOOSE(CONTROL!$C$9, $D$9, 100%, $F$9) + CHOOSE(CONTROL!$C$27, 0.0021, 0)</f>
        <v>38.483199999999997</v>
      </c>
      <c r="E132" s="14">
        <f>38.3444 * CHOOSE(CONTROL!$C$9, $D$9, 100%, $F$9) + CHOOSE(CONTROL!$C$27, 0.0021, 0)</f>
        <v>38.346499999999999</v>
      </c>
      <c r="F132" s="14">
        <f>38.3444 * CHOOSE(CONTROL!$C$9, $D$9, 100%, $F$9) + CHOOSE(CONTROL!$C$27, 0.0021, 0)</f>
        <v>38.346499999999999</v>
      </c>
      <c r="G132" s="14">
        <f>38.6158 * CHOOSE(CONTROL!$C$9, $D$9, 100%, $F$9) + CHOOSE(CONTROL!$C$27, 0.0021, 0)</f>
        <v>38.617899999999999</v>
      </c>
      <c r="H132" s="14">
        <f>38.4811 * CHOOSE(CONTROL!$C$9, $D$9, 100%, $F$9) + CHOOSE(CONTROL!$C$27, 0.0021, 0)</f>
        <v>38.483199999999997</v>
      </c>
      <c r="I132" s="14">
        <f>38.4811 * CHOOSE(CONTROL!$C$9, $D$9, 100%, $F$9) + CHOOSE(CONTROL!$C$27, 0.0021, 0)</f>
        <v>38.483199999999997</v>
      </c>
      <c r="J132" s="14">
        <f>38.4811 * CHOOSE(CONTROL!$C$9, $D$9, 100%, $F$9) + CHOOSE(CONTROL!$C$27, 0.0021, 0)</f>
        <v>38.483199999999997</v>
      </c>
      <c r="K132" s="14">
        <f>38.4811 * CHOOSE(CONTROL!$C$9, $D$9, 100%, $F$9) + CHOOSE(CONTROL!$C$27, 0.0021, 0)</f>
        <v>38.483199999999997</v>
      </c>
      <c r="L132" s="14"/>
    </row>
    <row r="133" spans="1:12" ht="15" x14ac:dyDescent="0.2">
      <c r="A133" s="13">
        <v>44958</v>
      </c>
      <c r="B133" s="14">
        <f>37.9508 * CHOOSE(CONTROL!$C$9, $D$9, 100%, $F$9) + CHOOSE(CONTROL!$C$27, 0.0021, 0)</f>
        <v>37.9529</v>
      </c>
      <c r="C133" s="14">
        <f>37.5185 * CHOOSE(CONTROL!$C$9, $D$9, 100%, $F$9) + CHOOSE(CONTROL!$C$27, 0.0021, 0)</f>
        <v>37.520600000000002</v>
      </c>
      <c r="D133" s="14">
        <f>37.5185 * CHOOSE(CONTROL!$C$9, $D$9, 100%, $F$9) + CHOOSE(CONTROL!$C$27, 0.0021, 0)</f>
        <v>37.520600000000002</v>
      </c>
      <c r="E133" s="14">
        <f>37.3819 * CHOOSE(CONTROL!$C$9, $D$9, 100%, $F$9) + CHOOSE(CONTROL!$C$27, 0.0021, 0)</f>
        <v>37.384</v>
      </c>
      <c r="F133" s="14">
        <f>37.3819 * CHOOSE(CONTROL!$C$9, $D$9, 100%, $F$9) + CHOOSE(CONTROL!$C$27, 0.0021, 0)</f>
        <v>37.384</v>
      </c>
      <c r="G133" s="14">
        <f>37.6532 * CHOOSE(CONTROL!$C$9, $D$9, 100%, $F$9) + CHOOSE(CONTROL!$C$27, 0.0021, 0)</f>
        <v>37.655299999999997</v>
      </c>
      <c r="H133" s="14">
        <f>37.5185 * CHOOSE(CONTROL!$C$9, $D$9, 100%, $F$9) + CHOOSE(CONTROL!$C$27, 0.0021, 0)</f>
        <v>37.520600000000002</v>
      </c>
      <c r="I133" s="14">
        <f>37.5185 * CHOOSE(CONTROL!$C$9, $D$9, 100%, $F$9) + CHOOSE(CONTROL!$C$27, 0.0021, 0)</f>
        <v>37.520600000000002</v>
      </c>
      <c r="J133" s="14">
        <f>37.5185 * CHOOSE(CONTROL!$C$9, $D$9, 100%, $F$9) + CHOOSE(CONTROL!$C$27, 0.0021, 0)</f>
        <v>37.520600000000002</v>
      </c>
      <c r="K133" s="14">
        <f>37.5185 * CHOOSE(CONTROL!$C$9, $D$9, 100%, $F$9) + CHOOSE(CONTROL!$C$27, 0.0021, 0)</f>
        <v>37.520600000000002</v>
      </c>
      <c r="L133" s="14"/>
    </row>
    <row r="134" spans="1:12" ht="15" x14ac:dyDescent="0.2">
      <c r="A134" s="13">
        <v>44986</v>
      </c>
      <c r="B134" s="14">
        <f>37.5949 * CHOOSE(CONTROL!$C$9, $D$9, 100%, $F$9) + CHOOSE(CONTROL!$C$27, 0.0021, 0)</f>
        <v>37.597000000000001</v>
      </c>
      <c r="C134" s="14">
        <f>37.1626 * CHOOSE(CONTROL!$C$9, $D$9, 100%, $F$9) + CHOOSE(CONTROL!$C$27, 0.0021, 0)</f>
        <v>37.164699999999996</v>
      </c>
      <c r="D134" s="14">
        <f>37.1626 * CHOOSE(CONTROL!$C$9, $D$9, 100%, $F$9) + CHOOSE(CONTROL!$C$27, 0.0021, 0)</f>
        <v>37.164699999999996</v>
      </c>
      <c r="E134" s="14">
        <f>37.026 * CHOOSE(CONTROL!$C$9, $D$9, 100%, $F$9) + CHOOSE(CONTROL!$C$27, 0.0021, 0)</f>
        <v>37.028100000000002</v>
      </c>
      <c r="F134" s="14">
        <f>37.026 * CHOOSE(CONTROL!$C$9, $D$9, 100%, $F$9) + CHOOSE(CONTROL!$C$27, 0.0021, 0)</f>
        <v>37.028100000000002</v>
      </c>
      <c r="G134" s="14">
        <f>37.2973 * CHOOSE(CONTROL!$C$9, $D$9, 100%, $F$9) + CHOOSE(CONTROL!$C$27, 0.0021, 0)</f>
        <v>37.299399999999999</v>
      </c>
      <c r="H134" s="14">
        <f>37.1626 * CHOOSE(CONTROL!$C$9, $D$9, 100%, $F$9) + CHOOSE(CONTROL!$C$27, 0.0021, 0)</f>
        <v>37.164699999999996</v>
      </c>
      <c r="I134" s="14">
        <f>37.1626 * CHOOSE(CONTROL!$C$9, $D$9, 100%, $F$9) + CHOOSE(CONTROL!$C$27, 0.0021, 0)</f>
        <v>37.164699999999996</v>
      </c>
      <c r="J134" s="14">
        <f>37.1626 * CHOOSE(CONTROL!$C$9, $D$9, 100%, $F$9) + CHOOSE(CONTROL!$C$27, 0.0021, 0)</f>
        <v>37.164699999999996</v>
      </c>
      <c r="K134" s="14">
        <f>37.1626 * CHOOSE(CONTROL!$C$9, $D$9, 100%, $F$9) + CHOOSE(CONTROL!$C$27, 0.0021, 0)</f>
        <v>37.164699999999996</v>
      </c>
      <c r="L134" s="14"/>
    </row>
    <row r="135" spans="1:12" ht="15" x14ac:dyDescent="0.2">
      <c r="A135" s="13">
        <v>45017</v>
      </c>
      <c r="B135" s="14">
        <f>37.1539 * CHOOSE(CONTROL!$C$9, $D$9, 100%, $F$9) + CHOOSE(CONTROL!$C$27, 0.0021, 0)</f>
        <v>37.155999999999999</v>
      </c>
      <c r="C135" s="14">
        <f>36.7216 * CHOOSE(CONTROL!$C$9, $D$9, 100%, $F$9) + CHOOSE(CONTROL!$C$27, 0.0021, 0)</f>
        <v>36.723700000000001</v>
      </c>
      <c r="D135" s="14">
        <f>36.7216 * CHOOSE(CONTROL!$C$9, $D$9, 100%, $F$9) + CHOOSE(CONTROL!$C$27, 0.0021, 0)</f>
        <v>36.723700000000001</v>
      </c>
      <c r="E135" s="14">
        <f>36.585 * CHOOSE(CONTROL!$C$9, $D$9, 100%, $F$9) + CHOOSE(CONTROL!$C$27, 0.0021, 0)</f>
        <v>36.5871</v>
      </c>
      <c r="F135" s="14">
        <f>36.585 * CHOOSE(CONTROL!$C$9, $D$9, 100%, $F$9) + CHOOSE(CONTROL!$C$27, 0.0021, 0)</f>
        <v>36.5871</v>
      </c>
      <c r="G135" s="14">
        <f>36.8563 * CHOOSE(CONTROL!$C$9, $D$9, 100%, $F$9) + CHOOSE(CONTROL!$C$27, 0.0021, 0)</f>
        <v>36.858399999999996</v>
      </c>
      <c r="H135" s="14">
        <f>36.7216 * CHOOSE(CONTROL!$C$9, $D$9, 100%, $F$9) + CHOOSE(CONTROL!$C$27, 0.0021, 0)</f>
        <v>36.723700000000001</v>
      </c>
      <c r="I135" s="14">
        <f>36.7216 * CHOOSE(CONTROL!$C$9, $D$9, 100%, $F$9) + CHOOSE(CONTROL!$C$27, 0.0021, 0)</f>
        <v>36.723700000000001</v>
      </c>
      <c r="J135" s="14">
        <f>36.7216 * CHOOSE(CONTROL!$C$9, $D$9, 100%, $F$9) + CHOOSE(CONTROL!$C$27, 0.0021, 0)</f>
        <v>36.723700000000001</v>
      </c>
      <c r="K135" s="14">
        <f>36.7216 * CHOOSE(CONTROL!$C$9, $D$9, 100%, $F$9) + CHOOSE(CONTROL!$C$27, 0.0021, 0)</f>
        <v>36.723700000000001</v>
      </c>
      <c r="L135" s="14"/>
    </row>
    <row r="136" spans="1:12" ht="15" x14ac:dyDescent="0.2">
      <c r="A136" s="13">
        <v>45047</v>
      </c>
      <c r="B136" s="14">
        <f>37.9593 * CHOOSE(CONTROL!$C$9, $D$9, 100%, $F$9) + CHOOSE(CONTROL!$C$27, 0.0021, 0)</f>
        <v>37.961399999999998</v>
      </c>
      <c r="C136" s="14">
        <f>37.527 * CHOOSE(CONTROL!$C$9, $D$9, 100%, $F$9) + CHOOSE(CONTROL!$C$27, 0.0021, 0)</f>
        <v>37.5291</v>
      </c>
      <c r="D136" s="14">
        <f>37.527 * CHOOSE(CONTROL!$C$9, $D$9, 100%, $F$9) + CHOOSE(CONTROL!$C$27, 0.0021, 0)</f>
        <v>37.5291</v>
      </c>
      <c r="E136" s="14">
        <f>37.3904 * CHOOSE(CONTROL!$C$9, $D$9, 100%, $F$9) + CHOOSE(CONTROL!$C$27, 0.0021, 0)</f>
        <v>37.392499999999998</v>
      </c>
      <c r="F136" s="14">
        <f>37.3904 * CHOOSE(CONTROL!$C$9, $D$9, 100%, $F$9) + CHOOSE(CONTROL!$C$27, 0.0021, 0)</f>
        <v>37.392499999999998</v>
      </c>
      <c r="G136" s="14">
        <f>37.6618 * CHOOSE(CONTROL!$C$9, $D$9, 100%, $F$9) + CHOOSE(CONTROL!$C$27, 0.0021, 0)</f>
        <v>37.663899999999998</v>
      </c>
      <c r="H136" s="14">
        <f>37.527 * CHOOSE(CONTROL!$C$9, $D$9, 100%, $F$9) + CHOOSE(CONTROL!$C$27, 0.0021, 0)</f>
        <v>37.5291</v>
      </c>
      <c r="I136" s="14">
        <f>37.527 * CHOOSE(CONTROL!$C$9, $D$9, 100%, $F$9) + CHOOSE(CONTROL!$C$27, 0.0021, 0)</f>
        <v>37.5291</v>
      </c>
      <c r="J136" s="14">
        <f>37.527 * CHOOSE(CONTROL!$C$9, $D$9, 100%, $F$9) + CHOOSE(CONTROL!$C$27, 0.0021, 0)</f>
        <v>37.5291</v>
      </c>
      <c r="K136" s="14">
        <f>37.527 * CHOOSE(CONTROL!$C$9, $D$9, 100%, $F$9) + CHOOSE(CONTROL!$C$27, 0.0021, 0)</f>
        <v>37.5291</v>
      </c>
      <c r="L136" s="14"/>
    </row>
    <row r="137" spans="1:12" ht="15" x14ac:dyDescent="0.2">
      <c r="A137" s="13">
        <v>45078</v>
      </c>
      <c r="B137" s="14">
        <f>38.4731 * CHOOSE(CONTROL!$C$9, $D$9, 100%, $F$9) + CHOOSE(CONTROL!$C$27, 0.0021, 0)</f>
        <v>38.475200000000001</v>
      </c>
      <c r="C137" s="14">
        <f>38.0408 * CHOOSE(CONTROL!$C$9, $D$9, 100%, $F$9) + CHOOSE(CONTROL!$C$27, 0.0021, 0)</f>
        <v>38.042899999999996</v>
      </c>
      <c r="D137" s="14">
        <f>38.0408 * CHOOSE(CONTROL!$C$9, $D$9, 100%, $F$9) + CHOOSE(CONTROL!$C$27, 0.0021, 0)</f>
        <v>38.042899999999996</v>
      </c>
      <c r="E137" s="14">
        <f>37.9042 * CHOOSE(CONTROL!$C$9, $D$9, 100%, $F$9) + CHOOSE(CONTROL!$C$27, 0.0021, 0)</f>
        <v>37.906300000000002</v>
      </c>
      <c r="F137" s="14">
        <f>37.9042 * CHOOSE(CONTROL!$C$9, $D$9, 100%, $F$9) + CHOOSE(CONTROL!$C$27, 0.0021, 0)</f>
        <v>37.906300000000002</v>
      </c>
      <c r="G137" s="14">
        <f>38.1755 * CHOOSE(CONTROL!$C$9, $D$9, 100%, $F$9) + CHOOSE(CONTROL!$C$27, 0.0021, 0)</f>
        <v>38.177599999999998</v>
      </c>
      <c r="H137" s="14">
        <f>38.0408 * CHOOSE(CONTROL!$C$9, $D$9, 100%, $F$9) + CHOOSE(CONTROL!$C$27, 0.0021, 0)</f>
        <v>38.042899999999996</v>
      </c>
      <c r="I137" s="14">
        <f>38.0408 * CHOOSE(CONTROL!$C$9, $D$9, 100%, $F$9) + CHOOSE(CONTROL!$C$27, 0.0021, 0)</f>
        <v>38.042899999999996</v>
      </c>
      <c r="J137" s="14">
        <f>38.0408 * CHOOSE(CONTROL!$C$9, $D$9, 100%, $F$9) + CHOOSE(CONTROL!$C$27, 0.0021, 0)</f>
        <v>38.042899999999996</v>
      </c>
      <c r="K137" s="14">
        <f>38.0408 * CHOOSE(CONTROL!$C$9, $D$9, 100%, $F$9) + CHOOSE(CONTROL!$C$27, 0.0021, 0)</f>
        <v>38.042899999999996</v>
      </c>
      <c r="L137" s="14"/>
    </row>
    <row r="138" spans="1:12" ht="15" x14ac:dyDescent="0.2">
      <c r="A138" s="13">
        <v>45108</v>
      </c>
      <c r="B138" s="14">
        <f>39.2754 * CHOOSE(CONTROL!$C$9, $D$9, 100%, $F$9) + CHOOSE(CONTROL!$C$27, 0.0021, 0)</f>
        <v>39.277499999999996</v>
      </c>
      <c r="C138" s="14">
        <f>38.8432 * CHOOSE(CONTROL!$C$9, $D$9, 100%, $F$9) + CHOOSE(CONTROL!$C$27, 0.0021, 0)</f>
        <v>38.845300000000002</v>
      </c>
      <c r="D138" s="14">
        <f>38.8432 * CHOOSE(CONTROL!$C$9, $D$9, 100%, $F$9) + CHOOSE(CONTROL!$C$27, 0.0021, 0)</f>
        <v>38.845300000000002</v>
      </c>
      <c r="E138" s="14">
        <f>38.7065 * CHOOSE(CONTROL!$C$9, $D$9, 100%, $F$9) + CHOOSE(CONTROL!$C$27, 0.0021, 0)</f>
        <v>38.708599999999997</v>
      </c>
      <c r="F138" s="14">
        <f>38.7065 * CHOOSE(CONTROL!$C$9, $D$9, 100%, $F$9) + CHOOSE(CONTROL!$C$27, 0.0021, 0)</f>
        <v>38.708599999999997</v>
      </c>
      <c r="G138" s="14">
        <f>38.9779 * CHOOSE(CONTROL!$C$9, $D$9, 100%, $F$9) + CHOOSE(CONTROL!$C$27, 0.0021, 0)</f>
        <v>38.979999999999997</v>
      </c>
      <c r="H138" s="14">
        <f>38.8432 * CHOOSE(CONTROL!$C$9, $D$9, 100%, $F$9) + CHOOSE(CONTROL!$C$27, 0.0021, 0)</f>
        <v>38.845300000000002</v>
      </c>
      <c r="I138" s="14">
        <f>38.8432 * CHOOSE(CONTROL!$C$9, $D$9, 100%, $F$9) + CHOOSE(CONTROL!$C$27, 0.0021, 0)</f>
        <v>38.845300000000002</v>
      </c>
      <c r="J138" s="14">
        <f>38.8432 * CHOOSE(CONTROL!$C$9, $D$9, 100%, $F$9) + CHOOSE(CONTROL!$C$27, 0.0021, 0)</f>
        <v>38.845300000000002</v>
      </c>
      <c r="K138" s="14">
        <f>38.8432 * CHOOSE(CONTROL!$C$9, $D$9, 100%, $F$9) + CHOOSE(CONTROL!$C$27, 0.0021, 0)</f>
        <v>38.845300000000002</v>
      </c>
      <c r="L138" s="14"/>
    </row>
    <row r="139" spans="1:12" ht="15" x14ac:dyDescent="0.2">
      <c r="A139" s="13">
        <v>45139</v>
      </c>
      <c r="B139" s="14">
        <f>39.5742 * CHOOSE(CONTROL!$C$9, $D$9, 100%, $F$9) + CHOOSE(CONTROL!$C$27, 0.0021, 0)</f>
        <v>39.576299999999996</v>
      </c>
      <c r="C139" s="14">
        <f>39.142 * CHOOSE(CONTROL!$C$9, $D$9, 100%, $F$9) + CHOOSE(CONTROL!$C$27, 0.0021, 0)</f>
        <v>39.144100000000002</v>
      </c>
      <c r="D139" s="14">
        <f>39.142 * CHOOSE(CONTROL!$C$9, $D$9, 100%, $F$9) + CHOOSE(CONTROL!$C$27, 0.0021, 0)</f>
        <v>39.144100000000002</v>
      </c>
      <c r="E139" s="14">
        <f>39.0053 * CHOOSE(CONTROL!$C$9, $D$9, 100%, $F$9) + CHOOSE(CONTROL!$C$27, 0.0021, 0)</f>
        <v>39.007399999999997</v>
      </c>
      <c r="F139" s="14">
        <f>39.0053 * CHOOSE(CONTROL!$C$9, $D$9, 100%, $F$9) + CHOOSE(CONTROL!$C$27, 0.0021, 0)</f>
        <v>39.007399999999997</v>
      </c>
      <c r="G139" s="14">
        <f>39.2767 * CHOOSE(CONTROL!$C$9, $D$9, 100%, $F$9) + CHOOSE(CONTROL!$C$27, 0.0021, 0)</f>
        <v>39.278799999999997</v>
      </c>
      <c r="H139" s="14">
        <f>39.142 * CHOOSE(CONTROL!$C$9, $D$9, 100%, $F$9) + CHOOSE(CONTROL!$C$27, 0.0021, 0)</f>
        <v>39.144100000000002</v>
      </c>
      <c r="I139" s="14">
        <f>39.142 * CHOOSE(CONTROL!$C$9, $D$9, 100%, $F$9) + CHOOSE(CONTROL!$C$27, 0.0021, 0)</f>
        <v>39.144100000000002</v>
      </c>
      <c r="J139" s="14">
        <f>39.142 * CHOOSE(CONTROL!$C$9, $D$9, 100%, $F$9) + CHOOSE(CONTROL!$C$27, 0.0021, 0)</f>
        <v>39.144100000000002</v>
      </c>
      <c r="K139" s="14">
        <f>39.142 * CHOOSE(CONTROL!$C$9, $D$9, 100%, $F$9) + CHOOSE(CONTROL!$C$27, 0.0021, 0)</f>
        <v>39.144100000000002</v>
      </c>
      <c r="L139" s="14"/>
    </row>
    <row r="140" spans="1:12" ht="15" x14ac:dyDescent="0.2">
      <c r="A140" s="13">
        <v>45170</v>
      </c>
      <c r="B140" s="14">
        <f>40.4107 * CHOOSE(CONTROL!$C$9, $D$9, 100%, $F$9) + CHOOSE(CONTROL!$C$27, 0.0021, 0)</f>
        <v>40.412799999999997</v>
      </c>
      <c r="C140" s="14">
        <f>39.9785 * CHOOSE(CONTROL!$C$9, $D$9, 100%, $F$9) + CHOOSE(CONTROL!$C$27, 0.0021, 0)</f>
        <v>39.980599999999995</v>
      </c>
      <c r="D140" s="14">
        <f>39.9785 * CHOOSE(CONTROL!$C$9, $D$9, 100%, $F$9) + CHOOSE(CONTROL!$C$27, 0.0021, 0)</f>
        <v>39.980599999999995</v>
      </c>
      <c r="E140" s="14">
        <f>39.8418 * CHOOSE(CONTROL!$C$9, $D$9, 100%, $F$9) + CHOOSE(CONTROL!$C$27, 0.0021, 0)</f>
        <v>39.843899999999998</v>
      </c>
      <c r="F140" s="14">
        <f>39.8418 * CHOOSE(CONTROL!$C$9, $D$9, 100%, $F$9) + CHOOSE(CONTROL!$C$27, 0.0021, 0)</f>
        <v>39.843899999999998</v>
      </c>
      <c r="G140" s="14">
        <f>40.1132 * CHOOSE(CONTROL!$C$9, $D$9, 100%, $F$9) + CHOOSE(CONTROL!$C$27, 0.0021, 0)</f>
        <v>40.115299999999998</v>
      </c>
      <c r="H140" s="14">
        <f>39.9785 * CHOOSE(CONTROL!$C$9, $D$9, 100%, $F$9) + CHOOSE(CONTROL!$C$27, 0.0021, 0)</f>
        <v>39.980599999999995</v>
      </c>
      <c r="I140" s="14">
        <f>39.9785 * CHOOSE(CONTROL!$C$9, $D$9, 100%, $F$9) + CHOOSE(CONTROL!$C$27, 0.0021, 0)</f>
        <v>39.980599999999995</v>
      </c>
      <c r="J140" s="14">
        <f>39.9785 * CHOOSE(CONTROL!$C$9, $D$9, 100%, $F$9) + CHOOSE(CONTROL!$C$27, 0.0021, 0)</f>
        <v>39.980599999999995</v>
      </c>
      <c r="K140" s="14">
        <f>39.9785 * CHOOSE(CONTROL!$C$9, $D$9, 100%, $F$9) + CHOOSE(CONTROL!$C$27, 0.0021, 0)</f>
        <v>39.980599999999995</v>
      </c>
      <c r="L140" s="14"/>
    </row>
    <row r="141" spans="1:12" ht="15" x14ac:dyDescent="0.2">
      <c r="A141" s="13">
        <v>45200</v>
      </c>
      <c r="B141" s="14">
        <f>41.4528 * CHOOSE(CONTROL!$C$9, $D$9, 100%, $F$9) + CHOOSE(CONTROL!$C$27, 0.0021, 0)</f>
        <v>41.454900000000002</v>
      </c>
      <c r="C141" s="14">
        <f>41.0206 * CHOOSE(CONTROL!$C$9, $D$9, 100%, $F$9) + CHOOSE(CONTROL!$C$27, 0.0021, 0)</f>
        <v>41.0227</v>
      </c>
      <c r="D141" s="14">
        <f>41.0206 * CHOOSE(CONTROL!$C$9, $D$9, 100%, $F$9) + CHOOSE(CONTROL!$C$27, 0.0021, 0)</f>
        <v>41.0227</v>
      </c>
      <c r="E141" s="14">
        <f>40.8839 * CHOOSE(CONTROL!$C$9, $D$9, 100%, $F$9) + CHOOSE(CONTROL!$C$27, 0.0021, 0)</f>
        <v>40.885999999999996</v>
      </c>
      <c r="F141" s="14">
        <f>40.8839 * CHOOSE(CONTROL!$C$9, $D$9, 100%, $F$9) + CHOOSE(CONTROL!$C$27, 0.0021, 0)</f>
        <v>40.885999999999996</v>
      </c>
      <c r="G141" s="14">
        <f>41.1553 * CHOOSE(CONTROL!$C$9, $D$9, 100%, $F$9) + CHOOSE(CONTROL!$C$27, 0.0021, 0)</f>
        <v>41.157399999999996</v>
      </c>
      <c r="H141" s="14">
        <f>41.0206 * CHOOSE(CONTROL!$C$9, $D$9, 100%, $F$9) + CHOOSE(CONTROL!$C$27, 0.0021, 0)</f>
        <v>41.0227</v>
      </c>
      <c r="I141" s="14">
        <f>41.0206 * CHOOSE(CONTROL!$C$9, $D$9, 100%, $F$9) + CHOOSE(CONTROL!$C$27, 0.0021, 0)</f>
        <v>41.0227</v>
      </c>
      <c r="J141" s="14">
        <f>41.0206 * CHOOSE(CONTROL!$C$9, $D$9, 100%, $F$9) + CHOOSE(CONTROL!$C$27, 0.0021, 0)</f>
        <v>41.0227</v>
      </c>
      <c r="K141" s="14">
        <f>41.0206 * CHOOSE(CONTROL!$C$9, $D$9, 100%, $F$9) + CHOOSE(CONTROL!$C$27, 0.0021, 0)</f>
        <v>41.0227</v>
      </c>
      <c r="L141" s="14"/>
    </row>
    <row r="142" spans="1:12" ht="15" x14ac:dyDescent="0.2">
      <c r="A142" s="13">
        <v>45231</v>
      </c>
      <c r="B142" s="14">
        <f>41.6242 * CHOOSE(CONTROL!$C$9, $D$9, 100%, $F$9) + CHOOSE(CONTROL!$C$27, 0.0021, 0)</f>
        <v>41.626300000000001</v>
      </c>
      <c r="C142" s="14">
        <f>41.1919 * CHOOSE(CONTROL!$C$9, $D$9, 100%, $F$9) + CHOOSE(CONTROL!$C$27, 0.0021, 0)</f>
        <v>41.193999999999996</v>
      </c>
      <c r="D142" s="14">
        <f>41.1919 * CHOOSE(CONTROL!$C$9, $D$9, 100%, $F$9) + CHOOSE(CONTROL!$C$27, 0.0021, 0)</f>
        <v>41.193999999999996</v>
      </c>
      <c r="E142" s="14">
        <f>41.0553 * CHOOSE(CONTROL!$C$9, $D$9, 100%, $F$9) + CHOOSE(CONTROL!$C$27, 0.0021, 0)</f>
        <v>41.057400000000001</v>
      </c>
      <c r="F142" s="14">
        <f>41.0553 * CHOOSE(CONTROL!$C$9, $D$9, 100%, $F$9) + CHOOSE(CONTROL!$C$27, 0.0021, 0)</f>
        <v>41.057400000000001</v>
      </c>
      <c r="G142" s="14">
        <f>41.3266 * CHOOSE(CONTROL!$C$9, $D$9, 100%, $F$9) + CHOOSE(CONTROL!$C$27, 0.0021, 0)</f>
        <v>41.328699999999998</v>
      </c>
      <c r="H142" s="14">
        <f>41.1919 * CHOOSE(CONTROL!$C$9, $D$9, 100%, $F$9) + CHOOSE(CONTROL!$C$27, 0.0021, 0)</f>
        <v>41.193999999999996</v>
      </c>
      <c r="I142" s="14">
        <f>41.1919 * CHOOSE(CONTROL!$C$9, $D$9, 100%, $F$9) + CHOOSE(CONTROL!$C$27, 0.0021, 0)</f>
        <v>41.193999999999996</v>
      </c>
      <c r="J142" s="14">
        <f>41.1919 * CHOOSE(CONTROL!$C$9, $D$9, 100%, $F$9) + CHOOSE(CONTROL!$C$27, 0.0021, 0)</f>
        <v>41.193999999999996</v>
      </c>
      <c r="K142" s="14">
        <f>41.1919 * CHOOSE(CONTROL!$C$9, $D$9, 100%, $F$9) + CHOOSE(CONTROL!$C$27, 0.0021, 0)</f>
        <v>41.193999999999996</v>
      </c>
      <c r="L142" s="14"/>
    </row>
    <row r="143" spans="1:12" ht="15" x14ac:dyDescent="0.2">
      <c r="A143" s="13">
        <v>45261</v>
      </c>
      <c r="B143" s="14">
        <f>40.9324 * CHOOSE(CONTROL!$C$9, $D$9, 100%, $F$9) + CHOOSE(CONTROL!$C$27, 0.0021, 0)</f>
        <v>40.9345</v>
      </c>
      <c r="C143" s="14">
        <f>40.5001 * CHOOSE(CONTROL!$C$9, $D$9, 100%, $F$9) + CHOOSE(CONTROL!$C$27, 0.0021, 0)</f>
        <v>40.502200000000002</v>
      </c>
      <c r="D143" s="14">
        <f>40.5001 * CHOOSE(CONTROL!$C$9, $D$9, 100%, $F$9) + CHOOSE(CONTROL!$C$27, 0.0021, 0)</f>
        <v>40.502200000000002</v>
      </c>
      <c r="E143" s="14">
        <f>40.3635 * CHOOSE(CONTROL!$C$9, $D$9, 100%, $F$9) + CHOOSE(CONTROL!$C$27, 0.0021, 0)</f>
        <v>40.365600000000001</v>
      </c>
      <c r="F143" s="14">
        <f>40.3635 * CHOOSE(CONTROL!$C$9, $D$9, 100%, $F$9) + CHOOSE(CONTROL!$C$27, 0.0021, 0)</f>
        <v>40.365600000000001</v>
      </c>
      <c r="G143" s="14">
        <f>40.6349 * CHOOSE(CONTROL!$C$9, $D$9, 100%, $F$9) + CHOOSE(CONTROL!$C$27, 0.0021, 0)</f>
        <v>40.637</v>
      </c>
      <c r="H143" s="14">
        <f>40.5001 * CHOOSE(CONTROL!$C$9, $D$9, 100%, $F$9) + CHOOSE(CONTROL!$C$27, 0.0021, 0)</f>
        <v>40.502200000000002</v>
      </c>
      <c r="I143" s="14">
        <f>40.5001 * CHOOSE(CONTROL!$C$9, $D$9, 100%, $F$9) + CHOOSE(CONTROL!$C$27, 0.0021, 0)</f>
        <v>40.502200000000002</v>
      </c>
      <c r="J143" s="14">
        <f>40.5001 * CHOOSE(CONTROL!$C$9, $D$9, 100%, $F$9) + CHOOSE(CONTROL!$C$27, 0.0021, 0)</f>
        <v>40.502200000000002</v>
      </c>
      <c r="K143" s="14">
        <f>40.5001 * CHOOSE(CONTROL!$C$9, $D$9, 100%, $F$9) + CHOOSE(CONTROL!$C$27, 0.0021, 0)</f>
        <v>40.502200000000002</v>
      </c>
      <c r="L143" s="14"/>
    </row>
    <row r="144" spans="1:12" ht="15" x14ac:dyDescent="0.2">
      <c r="A144" s="13">
        <v>45292</v>
      </c>
      <c r="B144" s="14">
        <f>41.4806 * CHOOSE(CONTROL!$C$9, $D$9, 100%, $F$9) + CHOOSE(CONTROL!$C$27, 0.0021, 0)</f>
        <v>41.482700000000001</v>
      </c>
      <c r="C144" s="14">
        <f>41.0484 * CHOOSE(CONTROL!$C$9, $D$9, 100%, $F$9) + CHOOSE(CONTROL!$C$27, 0.0021, 0)</f>
        <v>41.0505</v>
      </c>
      <c r="D144" s="14">
        <f>41.0484 * CHOOSE(CONTROL!$C$9, $D$9, 100%, $F$9) + CHOOSE(CONTROL!$C$27, 0.0021, 0)</f>
        <v>41.0505</v>
      </c>
      <c r="E144" s="14">
        <f>40.9117 * CHOOSE(CONTROL!$C$9, $D$9, 100%, $F$9) + CHOOSE(CONTROL!$C$27, 0.0021, 0)</f>
        <v>40.913800000000002</v>
      </c>
      <c r="F144" s="14">
        <f>40.9117 * CHOOSE(CONTROL!$C$9, $D$9, 100%, $F$9) + CHOOSE(CONTROL!$C$27, 0.0021, 0)</f>
        <v>40.913800000000002</v>
      </c>
      <c r="G144" s="14">
        <f>41.1831 * CHOOSE(CONTROL!$C$9, $D$9, 100%, $F$9) + CHOOSE(CONTROL!$C$27, 0.0021, 0)</f>
        <v>41.185200000000002</v>
      </c>
      <c r="H144" s="14">
        <f>41.0484 * CHOOSE(CONTROL!$C$9, $D$9, 100%, $F$9) + CHOOSE(CONTROL!$C$27, 0.0021, 0)</f>
        <v>41.0505</v>
      </c>
      <c r="I144" s="14">
        <f>41.0484 * CHOOSE(CONTROL!$C$9, $D$9, 100%, $F$9) + CHOOSE(CONTROL!$C$27, 0.0021, 0)</f>
        <v>41.0505</v>
      </c>
      <c r="J144" s="14">
        <f>41.0484 * CHOOSE(CONTROL!$C$9, $D$9, 100%, $F$9) + CHOOSE(CONTROL!$C$27, 0.0021, 0)</f>
        <v>41.0505</v>
      </c>
      <c r="K144" s="14">
        <f>41.0484 * CHOOSE(CONTROL!$C$9, $D$9, 100%, $F$9) + CHOOSE(CONTROL!$C$27, 0.0021, 0)</f>
        <v>41.0505</v>
      </c>
      <c r="L144" s="14"/>
    </row>
    <row r="145" spans="1:12" ht="15" x14ac:dyDescent="0.2">
      <c r="A145" s="13">
        <v>45323</v>
      </c>
      <c r="B145" s="14">
        <f>40.4506 * CHOOSE(CONTROL!$C$9, $D$9, 100%, $F$9) + CHOOSE(CONTROL!$C$27, 0.0021, 0)</f>
        <v>40.4527</v>
      </c>
      <c r="C145" s="14">
        <f>40.0183 * CHOOSE(CONTROL!$C$9, $D$9, 100%, $F$9) + CHOOSE(CONTROL!$C$27, 0.0021, 0)</f>
        <v>40.020400000000002</v>
      </c>
      <c r="D145" s="14">
        <f>40.0183 * CHOOSE(CONTROL!$C$9, $D$9, 100%, $F$9) + CHOOSE(CONTROL!$C$27, 0.0021, 0)</f>
        <v>40.020400000000002</v>
      </c>
      <c r="E145" s="14">
        <f>39.8817 * CHOOSE(CONTROL!$C$9, $D$9, 100%, $F$9) + CHOOSE(CONTROL!$C$27, 0.0021, 0)</f>
        <v>39.883800000000001</v>
      </c>
      <c r="F145" s="14">
        <f>39.8817 * CHOOSE(CONTROL!$C$9, $D$9, 100%, $F$9) + CHOOSE(CONTROL!$C$27, 0.0021, 0)</f>
        <v>39.883800000000001</v>
      </c>
      <c r="G145" s="14">
        <f>40.1531 * CHOOSE(CONTROL!$C$9, $D$9, 100%, $F$9) + CHOOSE(CONTROL!$C$27, 0.0021, 0)</f>
        <v>40.155200000000001</v>
      </c>
      <c r="H145" s="14">
        <f>40.0183 * CHOOSE(CONTROL!$C$9, $D$9, 100%, $F$9) + CHOOSE(CONTROL!$C$27, 0.0021, 0)</f>
        <v>40.020400000000002</v>
      </c>
      <c r="I145" s="14">
        <f>40.0183 * CHOOSE(CONTROL!$C$9, $D$9, 100%, $F$9) + CHOOSE(CONTROL!$C$27, 0.0021, 0)</f>
        <v>40.020400000000002</v>
      </c>
      <c r="J145" s="14">
        <f>40.0183 * CHOOSE(CONTROL!$C$9, $D$9, 100%, $F$9) + CHOOSE(CONTROL!$C$27, 0.0021, 0)</f>
        <v>40.020400000000002</v>
      </c>
      <c r="K145" s="14">
        <f>40.0183 * CHOOSE(CONTROL!$C$9, $D$9, 100%, $F$9) + CHOOSE(CONTROL!$C$27, 0.0021, 0)</f>
        <v>40.020400000000002</v>
      </c>
      <c r="L145" s="14"/>
    </row>
    <row r="146" spans="1:12" ht="15" x14ac:dyDescent="0.2">
      <c r="A146" s="13">
        <v>45352</v>
      </c>
      <c r="B146" s="14">
        <f>40.0697 * CHOOSE(CONTROL!$C$9, $D$9, 100%, $F$9) + CHOOSE(CONTROL!$C$27, 0.0021, 0)</f>
        <v>40.071799999999996</v>
      </c>
      <c r="C146" s="14">
        <f>39.6375 * CHOOSE(CONTROL!$C$9, $D$9, 100%, $F$9) + CHOOSE(CONTROL!$C$27, 0.0021, 0)</f>
        <v>39.639600000000002</v>
      </c>
      <c r="D146" s="14">
        <f>39.6375 * CHOOSE(CONTROL!$C$9, $D$9, 100%, $F$9) + CHOOSE(CONTROL!$C$27, 0.0021, 0)</f>
        <v>39.639600000000002</v>
      </c>
      <c r="E146" s="14">
        <f>39.5008 * CHOOSE(CONTROL!$C$9, $D$9, 100%, $F$9) + CHOOSE(CONTROL!$C$27, 0.0021, 0)</f>
        <v>39.502899999999997</v>
      </c>
      <c r="F146" s="14">
        <f>39.5008 * CHOOSE(CONTROL!$C$9, $D$9, 100%, $F$9) + CHOOSE(CONTROL!$C$27, 0.0021, 0)</f>
        <v>39.502899999999997</v>
      </c>
      <c r="G146" s="14">
        <f>39.7722 * CHOOSE(CONTROL!$C$9, $D$9, 100%, $F$9) + CHOOSE(CONTROL!$C$27, 0.0021, 0)</f>
        <v>39.774299999999997</v>
      </c>
      <c r="H146" s="14">
        <f>39.6375 * CHOOSE(CONTROL!$C$9, $D$9, 100%, $F$9) + CHOOSE(CONTROL!$C$27, 0.0021, 0)</f>
        <v>39.639600000000002</v>
      </c>
      <c r="I146" s="14">
        <f>39.6375 * CHOOSE(CONTROL!$C$9, $D$9, 100%, $F$9) + CHOOSE(CONTROL!$C$27, 0.0021, 0)</f>
        <v>39.639600000000002</v>
      </c>
      <c r="J146" s="14">
        <f>39.6375 * CHOOSE(CONTROL!$C$9, $D$9, 100%, $F$9) + CHOOSE(CONTROL!$C$27, 0.0021, 0)</f>
        <v>39.639600000000002</v>
      </c>
      <c r="K146" s="14">
        <f>39.6375 * CHOOSE(CONTROL!$C$9, $D$9, 100%, $F$9) + CHOOSE(CONTROL!$C$27, 0.0021, 0)</f>
        <v>39.639600000000002</v>
      </c>
      <c r="L146" s="14"/>
    </row>
    <row r="147" spans="1:12" ht="15" x14ac:dyDescent="0.2">
      <c r="A147" s="13">
        <v>45383</v>
      </c>
      <c r="B147" s="14">
        <f>39.5978 * CHOOSE(CONTROL!$C$9, $D$9, 100%, $F$9) + CHOOSE(CONTROL!$C$27, 0.0021, 0)</f>
        <v>39.599899999999998</v>
      </c>
      <c r="C147" s="14">
        <f>39.1656 * CHOOSE(CONTROL!$C$9, $D$9, 100%, $F$9) + CHOOSE(CONTROL!$C$27, 0.0021, 0)</f>
        <v>39.167699999999996</v>
      </c>
      <c r="D147" s="14">
        <f>39.1656 * CHOOSE(CONTROL!$C$9, $D$9, 100%, $F$9) + CHOOSE(CONTROL!$C$27, 0.0021, 0)</f>
        <v>39.167699999999996</v>
      </c>
      <c r="E147" s="14">
        <f>39.0289 * CHOOSE(CONTROL!$C$9, $D$9, 100%, $F$9) + CHOOSE(CONTROL!$C$27, 0.0021, 0)</f>
        <v>39.030999999999999</v>
      </c>
      <c r="F147" s="14">
        <f>39.0289 * CHOOSE(CONTROL!$C$9, $D$9, 100%, $F$9) + CHOOSE(CONTROL!$C$27, 0.0021, 0)</f>
        <v>39.030999999999999</v>
      </c>
      <c r="G147" s="14">
        <f>39.3003 * CHOOSE(CONTROL!$C$9, $D$9, 100%, $F$9) + CHOOSE(CONTROL!$C$27, 0.0021, 0)</f>
        <v>39.302399999999999</v>
      </c>
      <c r="H147" s="14">
        <f>39.1656 * CHOOSE(CONTROL!$C$9, $D$9, 100%, $F$9) + CHOOSE(CONTROL!$C$27, 0.0021, 0)</f>
        <v>39.167699999999996</v>
      </c>
      <c r="I147" s="14">
        <f>39.1656 * CHOOSE(CONTROL!$C$9, $D$9, 100%, $F$9) + CHOOSE(CONTROL!$C$27, 0.0021, 0)</f>
        <v>39.167699999999996</v>
      </c>
      <c r="J147" s="14">
        <f>39.1656 * CHOOSE(CONTROL!$C$9, $D$9, 100%, $F$9) + CHOOSE(CONTROL!$C$27, 0.0021, 0)</f>
        <v>39.167699999999996</v>
      </c>
      <c r="K147" s="14">
        <f>39.1656 * CHOOSE(CONTROL!$C$9, $D$9, 100%, $F$9) + CHOOSE(CONTROL!$C$27, 0.0021, 0)</f>
        <v>39.167699999999996</v>
      </c>
      <c r="L147" s="14"/>
    </row>
    <row r="148" spans="1:12" ht="15" x14ac:dyDescent="0.2">
      <c r="A148" s="13">
        <v>45413</v>
      </c>
      <c r="B148" s="14">
        <f>40.4597 * CHOOSE(CONTROL!$C$9, $D$9, 100%, $F$9) + CHOOSE(CONTROL!$C$27, 0.0021, 0)</f>
        <v>40.461799999999997</v>
      </c>
      <c r="C148" s="14">
        <f>40.0275 * CHOOSE(CONTROL!$C$9, $D$9, 100%, $F$9) + CHOOSE(CONTROL!$C$27, 0.0021, 0)</f>
        <v>40.029600000000002</v>
      </c>
      <c r="D148" s="14">
        <f>40.0275 * CHOOSE(CONTROL!$C$9, $D$9, 100%, $F$9) + CHOOSE(CONTROL!$C$27, 0.0021, 0)</f>
        <v>40.029600000000002</v>
      </c>
      <c r="E148" s="14">
        <f>39.8908 * CHOOSE(CONTROL!$C$9, $D$9, 100%, $F$9) + CHOOSE(CONTROL!$C$27, 0.0021, 0)</f>
        <v>39.892899999999997</v>
      </c>
      <c r="F148" s="14">
        <f>39.8908 * CHOOSE(CONTROL!$C$9, $D$9, 100%, $F$9) + CHOOSE(CONTROL!$C$27, 0.0021, 0)</f>
        <v>39.892899999999997</v>
      </c>
      <c r="G148" s="14">
        <f>40.1622 * CHOOSE(CONTROL!$C$9, $D$9, 100%, $F$9) + CHOOSE(CONTROL!$C$27, 0.0021, 0)</f>
        <v>40.164299999999997</v>
      </c>
      <c r="H148" s="14">
        <f>40.0275 * CHOOSE(CONTROL!$C$9, $D$9, 100%, $F$9) + CHOOSE(CONTROL!$C$27, 0.0021, 0)</f>
        <v>40.029600000000002</v>
      </c>
      <c r="I148" s="14">
        <f>40.0275 * CHOOSE(CONTROL!$C$9, $D$9, 100%, $F$9) + CHOOSE(CONTROL!$C$27, 0.0021, 0)</f>
        <v>40.029600000000002</v>
      </c>
      <c r="J148" s="14">
        <f>40.0275 * CHOOSE(CONTROL!$C$9, $D$9, 100%, $F$9) + CHOOSE(CONTROL!$C$27, 0.0021, 0)</f>
        <v>40.029600000000002</v>
      </c>
      <c r="K148" s="14">
        <f>40.0275 * CHOOSE(CONTROL!$C$9, $D$9, 100%, $F$9) + CHOOSE(CONTROL!$C$27, 0.0021, 0)</f>
        <v>40.029600000000002</v>
      </c>
      <c r="L148" s="14"/>
    </row>
    <row r="149" spans="1:12" ht="15" x14ac:dyDescent="0.2">
      <c r="A149" s="13">
        <v>45444</v>
      </c>
      <c r="B149" s="14">
        <f>41.0095 * CHOOSE(CONTROL!$C$9, $D$9, 100%, $F$9) + CHOOSE(CONTROL!$C$27, 0.0021, 0)</f>
        <v>41.011600000000001</v>
      </c>
      <c r="C149" s="14">
        <f>40.5773 * CHOOSE(CONTROL!$C$9, $D$9, 100%, $F$9) + CHOOSE(CONTROL!$C$27, 0.0021, 0)</f>
        <v>40.5794</v>
      </c>
      <c r="D149" s="14">
        <f>40.5773 * CHOOSE(CONTROL!$C$9, $D$9, 100%, $F$9) + CHOOSE(CONTROL!$C$27, 0.0021, 0)</f>
        <v>40.5794</v>
      </c>
      <c r="E149" s="14">
        <f>40.4406 * CHOOSE(CONTROL!$C$9, $D$9, 100%, $F$9) + CHOOSE(CONTROL!$C$27, 0.0021, 0)</f>
        <v>40.442700000000002</v>
      </c>
      <c r="F149" s="14">
        <f>40.4406 * CHOOSE(CONTROL!$C$9, $D$9, 100%, $F$9) + CHOOSE(CONTROL!$C$27, 0.0021, 0)</f>
        <v>40.442700000000002</v>
      </c>
      <c r="G149" s="14">
        <f>40.712 * CHOOSE(CONTROL!$C$9, $D$9, 100%, $F$9) + CHOOSE(CONTROL!$C$27, 0.0021, 0)</f>
        <v>40.714100000000002</v>
      </c>
      <c r="H149" s="14">
        <f>40.5773 * CHOOSE(CONTROL!$C$9, $D$9, 100%, $F$9) + CHOOSE(CONTROL!$C$27, 0.0021, 0)</f>
        <v>40.5794</v>
      </c>
      <c r="I149" s="14">
        <f>40.5773 * CHOOSE(CONTROL!$C$9, $D$9, 100%, $F$9) + CHOOSE(CONTROL!$C$27, 0.0021, 0)</f>
        <v>40.5794</v>
      </c>
      <c r="J149" s="14">
        <f>40.5773 * CHOOSE(CONTROL!$C$9, $D$9, 100%, $F$9) + CHOOSE(CONTROL!$C$27, 0.0021, 0)</f>
        <v>40.5794</v>
      </c>
      <c r="K149" s="14">
        <f>40.5773 * CHOOSE(CONTROL!$C$9, $D$9, 100%, $F$9) + CHOOSE(CONTROL!$C$27, 0.0021, 0)</f>
        <v>40.5794</v>
      </c>
      <c r="L149" s="14"/>
    </row>
    <row r="150" spans="1:12" ht="15" x14ac:dyDescent="0.2">
      <c r="A150" s="13">
        <v>45474</v>
      </c>
      <c r="B150" s="14">
        <f>41.8681 * CHOOSE(CONTROL!$C$9, $D$9, 100%, $F$9) + CHOOSE(CONTROL!$C$27, 0.0021, 0)</f>
        <v>41.870199999999997</v>
      </c>
      <c r="C150" s="14">
        <f>41.4359 * CHOOSE(CONTROL!$C$9, $D$9, 100%, $F$9) + CHOOSE(CONTROL!$C$27, 0.0021, 0)</f>
        <v>41.437999999999995</v>
      </c>
      <c r="D150" s="14">
        <f>41.4359 * CHOOSE(CONTROL!$C$9, $D$9, 100%, $F$9) + CHOOSE(CONTROL!$C$27, 0.0021, 0)</f>
        <v>41.437999999999995</v>
      </c>
      <c r="E150" s="14">
        <f>41.2992 * CHOOSE(CONTROL!$C$9, $D$9, 100%, $F$9) + CHOOSE(CONTROL!$C$27, 0.0021, 0)</f>
        <v>41.301299999999998</v>
      </c>
      <c r="F150" s="14">
        <f>41.2992 * CHOOSE(CONTROL!$C$9, $D$9, 100%, $F$9) + CHOOSE(CONTROL!$C$27, 0.0021, 0)</f>
        <v>41.301299999999998</v>
      </c>
      <c r="G150" s="14">
        <f>41.5706 * CHOOSE(CONTROL!$C$9, $D$9, 100%, $F$9) + CHOOSE(CONTROL!$C$27, 0.0021, 0)</f>
        <v>41.572699999999998</v>
      </c>
      <c r="H150" s="14">
        <f>41.4359 * CHOOSE(CONTROL!$C$9, $D$9, 100%, $F$9) + CHOOSE(CONTROL!$C$27, 0.0021, 0)</f>
        <v>41.437999999999995</v>
      </c>
      <c r="I150" s="14">
        <f>41.4359 * CHOOSE(CONTROL!$C$9, $D$9, 100%, $F$9) + CHOOSE(CONTROL!$C$27, 0.0021, 0)</f>
        <v>41.437999999999995</v>
      </c>
      <c r="J150" s="14">
        <f>41.4359 * CHOOSE(CONTROL!$C$9, $D$9, 100%, $F$9) + CHOOSE(CONTROL!$C$27, 0.0021, 0)</f>
        <v>41.437999999999995</v>
      </c>
      <c r="K150" s="14">
        <f>41.4359 * CHOOSE(CONTROL!$C$9, $D$9, 100%, $F$9) + CHOOSE(CONTROL!$C$27, 0.0021, 0)</f>
        <v>41.437999999999995</v>
      </c>
      <c r="L150" s="14"/>
    </row>
    <row r="151" spans="1:12" ht="15" x14ac:dyDescent="0.2">
      <c r="A151" s="13">
        <v>45505</v>
      </c>
      <c r="B151" s="14">
        <f>42.1879 * CHOOSE(CONTROL!$C$9, $D$9, 100%, $F$9) + CHOOSE(CONTROL!$C$27, 0.0021, 0)</f>
        <v>42.19</v>
      </c>
      <c r="C151" s="14">
        <f>41.7556 * CHOOSE(CONTROL!$C$9, $D$9, 100%, $F$9) + CHOOSE(CONTROL!$C$27, 0.0021, 0)</f>
        <v>41.7577</v>
      </c>
      <c r="D151" s="14">
        <f>41.7556 * CHOOSE(CONTROL!$C$9, $D$9, 100%, $F$9) + CHOOSE(CONTROL!$C$27, 0.0021, 0)</f>
        <v>41.7577</v>
      </c>
      <c r="E151" s="14">
        <f>41.619 * CHOOSE(CONTROL!$C$9, $D$9, 100%, $F$9) + CHOOSE(CONTROL!$C$27, 0.0021, 0)</f>
        <v>41.621099999999998</v>
      </c>
      <c r="F151" s="14">
        <f>41.619 * CHOOSE(CONTROL!$C$9, $D$9, 100%, $F$9) + CHOOSE(CONTROL!$C$27, 0.0021, 0)</f>
        <v>41.621099999999998</v>
      </c>
      <c r="G151" s="14">
        <f>41.8903 * CHOOSE(CONTROL!$C$9, $D$9, 100%, $F$9) + CHOOSE(CONTROL!$C$27, 0.0021, 0)</f>
        <v>41.892400000000002</v>
      </c>
      <c r="H151" s="14">
        <f>41.7556 * CHOOSE(CONTROL!$C$9, $D$9, 100%, $F$9) + CHOOSE(CONTROL!$C$27, 0.0021, 0)</f>
        <v>41.7577</v>
      </c>
      <c r="I151" s="14">
        <f>41.7556 * CHOOSE(CONTROL!$C$9, $D$9, 100%, $F$9) + CHOOSE(CONTROL!$C$27, 0.0021, 0)</f>
        <v>41.7577</v>
      </c>
      <c r="J151" s="14">
        <f>41.7556 * CHOOSE(CONTROL!$C$9, $D$9, 100%, $F$9) + CHOOSE(CONTROL!$C$27, 0.0021, 0)</f>
        <v>41.7577</v>
      </c>
      <c r="K151" s="14">
        <f>41.7556 * CHOOSE(CONTROL!$C$9, $D$9, 100%, $F$9) + CHOOSE(CONTROL!$C$27, 0.0021, 0)</f>
        <v>41.7577</v>
      </c>
      <c r="L151" s="14"/>
    </row>
    <row r="152" spans="1:12" ht="15" x14ac:dyDescent="0.2">
      <c r="A152" s="13">
        <v>45536</v>
      </c>
      <c r="B152" s="14">
        <f>43.083 * CHOOSE(CONTROL!$C$9, $D$9, 100%, $F$9) + CHOOSE(CONTROL!$C$27, 0.0021, 0)</f>
        <v>43.085099999999997</v>
      </c>
      <c r="C152" s="14">
        <f>42.6507 * CHOOSE(CONTROL!$C$9, $D$9, 100%, $F$9) + CHOOSE(CONTROL!$C$27, 0.0021, 0)</f>
        <v>42.652799999999999</v>
      </c>
      <c r="D152" s="14">
        <f>42.6507 * CHOOSE(CONTROL!$C$9, $D$9, 100%, $F$9) + CHOOSE(CONTROL!$C$27, 0.0021, 0)</f>
        <v>42.652799999999999</v>
      </c>
      <c r="E152" s="14">
        <f>42.5141 * CHOOSE(CONTROL!$C$9, $D$9, 100%, $F$9) + CHOOSE(CONTROL!$C$27, 0.0021, 0)</f>
        <v>42.516199999999998</v>
      </c>
      <c r="F152" s="14">
        <f>42.5141 * CHOOSE(CONTROL!$C$9, $D$9, 100%, $F$9) + CHOOSE(CONTROL!$C$27, 0.0021, 0)</f>
        <v>42.516199999999998</v>
      </c>
      <c r="G152" s="14">
        <f>42.7855 * CHOOSE(CONTROL!$C$9, $D$9, 100%, $F$9) + CHOOSE(CONTROL!$C$27, 0.0021, 0)</f>
        <v>42.787599999999998</v>
      </c>
      <c r="H152" s="14">
        <f>42.6507 * CHOOSE(CONTROL!$C$9, $D$9, 100%, $F$9) + CHOOSE(CONTROL!$C$27, 0.0021, 0)</f>
        <v>42.652799999999999</v>
      </c>
      <c r="I152" s="14">
        <f>42.6507 * CHOOSE(CONTROL!$C$9, $D$9, 100%, $F$9) + CHOOSE(CONTROL!$C$27, 0.0021, 0)</f>
        <v>42.652799999999999</v>
      </c>
      <c r="J152" s="14">
        <f>42.6507 * CHOOSE(CONTROL!$C$9, $D$9, 100%, $F$9) + CHOOSE(CONTROL!$C$27, 0.0021, 0)</f>
        <v>42.652799999999999</v>
      </c>
      <c r="K152" s="14">
        <f>42.6507 * CHOOSE(CONTROL!$C$9, $D$9, 100%, $F$9) + CHOOSE(CONTROL!$C$27, 0.0021, 0)</f>
        <v>42.652799999999999</v>
      </c>
      <c r="L152" s="14"/>
    </row>
    <row r="153" spans="1:12" ht="15" x14ac:dyDescent="0.2">
      <c r="A153" s="13">
        <v>45566</v>
      </c>
      <c r="B153" s="14">
        <f>44.1982 * CHOOSE(CONTROL!$C$9, $D$9, 100%, $F$9) + CHOOSE(CONTROL!$C$27, 0.0021, 0)</f>
        <v>44.200299999999999</v>
      </c>
      <c r="C153" s="14">
        <f>43.7659 * CHOOSE(CONTROL!$C$9, $D$9, 100%, $F$9) + CHOOSE(CONTROL!$C$27, 0.0021, 0)</f>
        <v>43.768000000000001</v>
      </c>
      <c r="D153" s="14">
        <f>43.7659 * CHOOSE(CONTROL!$C$9, $D$9, 100%, $F$9) + CHOOSE(CONTROL!$C$27, 0.0021, 0)</f>
        <v>43.768000000000001</v>
      </c>
      <c r="E153" s="14">
        <f>43.6293 * CHOOSE(CONTROL!$C$9, $D$9, 100%, $F$9) + CHOOSE(CONTROL!$C$27, 0.0021, 0)</f>
        <v>43.631399999999999</v>
      </c>
      <c r="F153" s="14">
        <f>43.6293 * CHOOSE(CONTROL!$C$9, $D$9, 100%, $F$9) + CHOOSE(CONTROL!$C$27, 0.0021, 0)</f>
        <v>43.631399999999999</v>
      </c>
      <c r="G153" s="14">
        <f>43.9007 * CHOOSE(CONTROL!$C$9, $D$9, 100%, $F$9) + CHOOSE(CONTROL!$C$27, 0.0021, 0)</f>
        <v>43.902799999999999</v>
      </c>
      <c r="H153" s="14">
        <f>43.7659 * CHOOSE(CONTROL!$C$9, $D$9, 100%, $F$9) + CHOOSE(CONTROL!$C$27, 0.0021, 0)</f>
        <v>43.768000000000001</v>
      </c>
      <c r="I153" s="14">
        <f>43.7659 * CHOOSE(CONTROL!$C$9, $D$9, 100%, $F$9) + CHOOSE(CONTROL!$C$27, 0.0021, 0)</f>
        <v>43.768000000000001</v>
      </c>
      <c r="J153" s="14">
        <f>43.7659 * CHOOSE(CONTROL!$C$9, $D$9, 100%, $F$9) + CHOOSE(CONTROL!$C$27, 0.0021, 0)</f>
        <v>43.768000000000001</v>
      </c>
      <c r="K153" s="14">
        <f>43.7659 * CHOOSE(CONTROL!$C$9, $D$9, 100%, $F$9) + CHOOSE(CONTROL!$C$27, 0.0021, 0)</f>
        <v>43.768000000000001</v>
      </c>
      <c r="L153" s="14"/>
    </row>
    <row r="154" spans="1:12" ht="15" x14ac:dyDescent="0.2">
      <c r="A154" s="13">
        <v>45597</v>
      </c>
      <c r="B154" s="14">
        <f>44.3815 * CHOOSE(CONTROL!$C$9, $D$9, 100%, $F$9) + CHOOSE(CONTROL!$C$27, 0.0021, 0)</f>
        <v>44.383600000000001</v>
      </c>
      <c r="C154" s="14">
        <f>43.9493 * CHOOSE(CONTROL!$C$9, $D$9, 100%, $F$9) + CHOOSE(CONTROL!$C$27, 0.0021, 0)</f>
        <v>43.9514</v>
      </c>
      <c r="D154" s="14">
        <f>43.9493 * CHOOSE(CONTROL!$C$9, $D$9, 100%, $F$9) + CHOOSE(CONTROL!$C$27, 0.0021, 0)</f>
        <v>43.9514</v>
      </c>
      <c r="E154" s="14">
        <f>43.8126 * CHOOSE(CONTROL!$C$9, $D$9, 100%, $F$9) + CHOOSE(CONTROL!$C$27, 0.0021, 0)</f>
        <v>43.814700000000002</v>
      </c>
      <c r="F154" s="14">
        <f>43.8126 * CHOOSE(CONTROL!$C$9, $D$9, 100%, $F$9) + CHOOSE(CONTROL!$C$27, 0.0021, 0)</f>
        <v>43.814700000000002</v>
      </c>
      <c r="G154" s="14">
        <f>44.084 * CHOOSE(CONTROL!$C$9, $D$9, 100%, $F$9) + CHOOSE(CONTROL!$C$27, 0.0021, 0)</f>
        <v>44.086100000000002</v>
      </c>
      <c r="H154" s="14">
        <f>43.9493 * CHOOSE(CONTROL!$C$9, $D$9, 100%, $F$9) + CHOOSE(CONTROL!$C$27, 0.0021, 0)</f>
        <v>43.9514</v>
      </c>
      <c r="I154" s="14">
        <f>43.9493 * CHOOSE(CONTROL!$C$9, $D$9, 100%, $F$9) + CHOOSE(CONTROL!$C$27, 0.0021, 0)</f>
        <v>43.9514</v>
      </c>
      <c r="J154" s="14">
        <f>43.9493 * CHOOSE(CONTROL!$C$9, $D$9, 100%, $F$9) + CHOOSE(CONTROL!$C$27, 0.0021, 0)</f>
        <v>43.9514</v>
      </c>
      <c r="K154" s="14">
        <f>43.9493 * CHOOSE(CONTROL!$C$9, $D$9, 100%, $F$9) + CHOOSE(CONTROL!$C$27, 0.0021, 0)</f>
        <v>43.9514</v>
      </c>
      <c r="L154" s="14"/>
    </row>
    <row r="155" spans="1:12" ht="15" x14ac:dyDescent="0.2">
      <c r="A155" s="13">
        <v>45627</v>
      </c>
      <c r="B155" s="14">
        <f>43.6412 * CHOOSE(CONTROL!$C$9, $D$9, 100%, $F$9) + CHOOSE(CONTROL!$C$27, 0.0021, 0)</f>
        <v>43.643299999999996</v>
      </c>
      <c r="C155" s="14">
        <f>43.209 * CHOOSE(CONTROL!$C$9, $D$9, 100%, $F$9) + CHOOSE(CONTROL!$C$27, 0.0021, 0)</f>
        <v>43.211100000000002</v>
      </c>
      <c r="D155" s="14">
        <f>43.209 * CHOOSE(CONTROL!$C$9, $D$9, 100%, $F$9) + CHOOSE(CONTROL!$C$27, 0.0021, 0)</f>
        <v>43.211100000000002</v>
      </c>
      <c r="E155" s="14">
        <f>43.0723 * CHOOSE(CONTROL!$C$9, $D$9, 100%, $F$9) + CHOOSE(CONTROL!$C$27, 0.0021, 0)</f>
        <v>43.074399999999997</v>
      </c>
      <c r="F155" s="14">
        <f>43.0723 * CHOOSE(CONTROL!$C$9, $D$9, 100%, $F$9) + CHOOSE(CONTROL!$C$27, 0.0021, 0)</f>
        <v>43.074399999999997</v>
      </c>
      <c r="G155" s="14">
        <f>43.3437 * CHOOSE(CONTROL!$C$9, $D$9, 100%, $F$9) + CHOOSE(CONTROL!$C$27, 0.0021, 0)</f>
        <v>43.345799999999997</v>
      </c>
      <c r="H155" s="14">
        <f>43.209 * CHOOSE(CONTROL!$C$9, $D$9, 100%, $F$9) + CHOOSE(CONTROL!$C$27, 0.0021, 0)</f>
        <v>43.211100000000002</v>
      </c>
      <c r="I155" s="14">
        <f>43.209 * CHOOSE(CONTROL!$C$9, $D$9, 100%, $F$9) + CHOOSE(CONTROL!$C$27, 0.0021, 0)</f>
        <v>43.211100000000002</v>
      </c>
      <c r="J155" s="14">
        <f>43.209 * CHOOSE(CONTROL!$C$9, $D$9, 100%, $F$9) + CHOOSE(CONTROL!$C$27, 0.0021, 0)</f>
        <v>43.211100000000002</v>
      </c>
      <c r="K155" s="14">
        <f>43.209 * CHOOSE(CONTROL!$C$9, $D$9, 100%, $F$9) + CHOOSE(CONTROL!$C$27, 0.0021, 0)</f>
        <v>43.211100000000002</v>
      </c>
      <c r="L155" s="14"/>
    </row>
    <row r="156" spans="1:12" ht="15" x14ac:dyDescent="0.2">
      <c r="A156" s="13">
        <v>45658</v>
      </c>
      <c r="B156" s="14">
        <f>44.0879 * CHOOSE(CONTROL!$C$9, $D$9, 100%, $F$9) + CHOOSE(CONTROL!$C$27, 0.0021, 0)</f>
        <v>44.089999999999996</v>
      </c>
      <c r="C156" s="14">
        <f>43.6556 * CHOOSE(CONTROL!$C$9, $D$9, 100%, $F$9) + CHOOSE(CONTROL!$C$27, 0.0021, 0)</f>
        <v>43.657699999999998</v>
      </c>
      <c r="D156" s="14">
        <f>43.6556 * CHOOSE(CONTROL!$C$9, $D$9, 100%, $F$9) + CHOOSE(CONTROL!$C$27, 0.0021, 0)</f>
        <v>43.657699999999998</v>
      </c>
      <c r="E156" s="14">
        <f>43.519 * CHOOSE(CONTROL!$C$9, $D$9, 100%, $F$9) + CHOOSE(CONTROL!$C$27, 0.0021, 0)</f>
        <v>43.521099999999997</v>
      </c>
      <c r="F156" s="14">
        <f>43.519 * CHOOSE(CONTROL!$C$9, $D$9, 100%, $F$9) + CHOOSE(CONTROL!$C$27, 0.0021, 0)</f>
        <v>43.521099999999997</v>
      </c>
      <c r="G156" s="14">
        <f>43.7903 * CHOOSE(CONTROL!$C$9, $D$9, 100%, $F$9) + CHOOSE(CONTROL!$C$27, 0.0021, 0)</f>
        <v>43.792400000000001</v>
      </c>
      <c r="H156" s="14">
        <f>43.6556 * CHOOSE(CONTROL!$C$9, $D$9, 100%, $F$9) + CHOOSE(CONTROL!$C$27, 0.0021, 0)</f>
        <v>43.657699999999998</v>
      </c>
      <c r="I156" s="14">
        <f>43.6556 * CHOOSE(CONTROL!$C$9, $D$9, 100%, $F$9) + CHOOSE(CONTROL!$C$27, 0.0021, 0)</f>
        <v>43.657699999999998</v>
      </c>
      <c r="J156" s="14">
        <f>43.6556 * CHOOSE(CONTROL!$C$9, $D$9, 100%, $F$9) + CHOOSE(CONTROL!$C$27, 0.0021, 0)</f>
        <v>43.657699999999998</v>
      </c>
      <c r="K156" s="14">
        <f>43.6556 * CHOOSE(CONTROL!$C$9, $D$9, 100%, $F$9) + CHOOSE(CONTROL!$C$27, 0.0021, 0)</f>
        <v>43.657699999999998</v>
      </c>
      <c r="L156" s="14"/>
    </row>
    <row r="157" spans="1:12" ht="15" x14ac:dyDescent="0.2">
      <c r="A157" s="13">
        <v>45689</v>
      </c>
      <c r="B157" s="14">
        <f>42.9893 * CHOOSE(CONTROL!$C$9, $D$9, 100%, $F$9) + CHOOSE(CONTROL!$C$27, 0.0021, 0)</f>
        <v>42.991399999999999</v>
      </c>
      <c r="C157" s="14">
        <f>42.5571 * CHOOSE(CONTROL!$C$9, $D$9, 100%, $F$9) + CHOOSE(CONTROL!$C$27, 0.0021, 0)</f>
        <v>42.559199999999997</v>
      </c>
      <c r="D157" s="14">
        <f>42.5571 * CHOOSE(CONTROL!$C$9, $D$9, 100%, $F$9) + CHOOSE(CONTROL!$C$27, 0.0021, 0)</f>
        <v>42.559199999999997</v>
      </c>
      <c r="E157" s="14">
        <f>42.4204 * CHOOSE(CONTROL!$C$9, $D$9, 100%, $F$9) + CHOOSE(CONTROL!$C$27, 0.0021, 0)</f>
        <v>42.422499999999999</v>
      </c>
      <c r="F157" s="14">
        <f>42.4204 * CHOOSE(CONTROL!$C$9, $D$9, 100%, $F$9) + CHOOSE(CONTROL!$C$27, 0.0021, 0)</f>
        <v>42.422499999999999</v>
      </c>
      <c r="G157" s="14">
        <f>42.6918 * CHOOSE(CONTROL!$C$9, $D$9, 100%, $F$9) + CHOOSE(CONTROL!$C$27, 0.0021, 0)</f>
        <v>42.693899999999999</v>
      </c>
      <c r="H157" s="14">
        <f>42.5571 * CHOOSE(CONTROL!$C$9, $D$9, 100%, $F$9) + CHOOSE(CONTROL!$C$27, 0.0021, 0)</f>
        <v>42.559199999999997</v>
      </c>
      <c r="I157" s="14">
        <f>42.5571 * CHOOSE(CONTROL!$C$9, $D$9, 100%, $F$9) + CHOOSE(CONTROL!$C$27, 0.0021, 0)</f>
        <v>42.559199999999997</v>
      </c>
      <c r="J157" s="14">
        <f>42.5571 * CHOOSE(CONTROL!$C$9, $D$9, 100%, $F$9) + CHOOSE(CONTROL!$C$27, 0.0021, 0)</f>
        <v>42.559199999999997</v>
      </c>
      <c r="K157" s="14">
        <f>42.5571 * CHOOSE(CONTROL!$C$9, $D$9, 100%, $F$9) + CHOOSE(CONTROL!$C$27, 0.0021, 0)</f>
        <v>42.559199999999997</v>
      </c>
      <c r="L157" s="14"/>
    </row>
    <row r="158" spans="1:12" ht="15" x14ac:dyDescent="0.2">
      <c r="A158" s="13">
        <v>45717</v>
      </c>
      <c r="B158" s="14">
        <f>42.5831 * CHOOSE(CONTROL!$C$9, $D$9, 100%, $F$9) + CHOOSE(CONTROL!$C$27, 0.0021, 0)</f>
        <v>42.5852</v>
      </c>
      <c r="C158" s="14">
        <f>42.1509 * CHOOSE(CONTROL!$C$9, $D$9, 100%, $F$9) + CHOOSE(CONTROL!$C$27, 0.0021, 0)</f>
        <v>42.152999999999999</v>
      </c>
      <c r="D158" s="14">
        <f>42.1509 * CHOOSE(CONTROL!$C$9, $D$9, 100%, $F$9) + CHOOSE(CONTROL!$C$27, 0.0021, 0)</f>
        <v>42.152999999999999</v>
      </c>
      <c r="E158" s="14">
        <f>42.0142 * CHOOSE(CONTROL!$C$9, $D$9, 100%, $F$9) + CHOOSE(CONTROL!$C$27, 0.0021, 0)</f>
        <v>42.016300000000001</v>
      </c>
      <c r="F158" s="14">
        <f>42.0142 * CHOOSE(CONTROL!$C$9, $D$9, 100%, $F$9) + CHOOSE(CONTROL!$C$27, 0.0021, 0)</f>
        <v>42.016300000000001</v>
      </c>
      <c r="G158" s="14">
        <f>42.2856 * CHOOSE(CONTROL!$C$9, $D$9, 100%, $F$9) + CHOOSE(CONTROL!$C$27, 0.0021, 0)</f>
        <v>42.287700000000001</v>
      </c>
      <c r="H158" s="14">
        <f>42.1509 * CHOOSE(CONTROL!$C$9, $D$9, 100%, $F$9) + CHOOSE(CONTROL!$C$27, 0.0021, 0)</f>
        <v>42.152999999999999</v>
      </c>
      <c r="I158" s="14">
        <f>42.1509 * CHOOSE(CONTROL!$C$9, $D$9, 100%, $F$9) + CHOOSE(CONTROL!$C$27, 0.0021, 0)</f>
        <v>42.152999999999999</v>
      </c>
      <c r="J158" s="14">
        <f>42.1509 * CHOOSE(CONTROL!$C$9, $D$9, 100%, $F$9) + CHOOSE(CONTROL!$C$27, 0.0021, 0)</f>
        <v>42.152999999999999</v>
      </c>
      <c r="K158" s="14">
        <f>42.1509 * CHOOSE(CONTROL!$C$9, $D$9, 100%, $F$9) + CHOOSE(CONTROL!$C$27, 0.0021, 0)</f>
        <v>42.152999999999999</v>
      </c>
      <c r="L158" s="14"/>
    </row>
    <row r="159" spans="1:12" ht="15" x14ac:dyDescent="0.2">
      <c r="A159" s="13">
        <v>45748</v>
      </c>
      <c r="B159" s="14">
        <f>42.0798 * CHOOSE(CONTROL!$C$9, $D$9, 100%, $F$9) + CHOOSE(CONTROL!$C$27, 0.0021, 0)</f>
        <v>42.081899999999997</v>
      </c>
      <c r="C159" s="14">
        <f>41.6476 * CHOOSE(CONTROL!$C$9, $D$9, 100%, $F$9) + CHOOSE(CONTROL!$C$27, 0.0021, 0)</f>
        <v>41.649699999999996</v>
      </c>
      <c r="D159" s="14">
        <f>41.6476 * CHOOSE(CONTROL!$C$9, $D$9, 100%, $F$9) + CHOOSE(CONTROL!$C$27, 0.0021, 0)</f>
        <v>41.649699999999996</v>
      </c>
      <c r="E159" s="14">
        <f>41.5109 * CHOOSE(CONTROL!$C$9, $D$9, 100%, $F$9) + CHOOSE(CONTROL!$C$27, 0.0021, 0)</f>
        <v>41.512999999999998</v>
      </c>
      <c r="F159" s="14">
        <f>41.5109 * CHOOSE(CONTROL!$C$9, $D$9, 100%, $F$9) + CHOOSE(CONTROL!$C$27, 0.0021, 0)</f>
        <v>41.512999999999998</v>
      </c>
      <c r="G159" s="14">
        <f>41.7823 * CHOOSE(CONTROL!$C$9, $D$9, 100%, $F$9) + CHOOSE(CONTROL!$C$27, 0.0021, 0)</f>
        <v>41.784399999999998</v>
      </c>
      <c r="H159" s="14">
        <f>41.6476 * CHOOSE(CONTROL!$C$9, $D$9, 100%, $F$9) + CHOOSE(CONTROL!$C$27, 0.0021, 0)</f>
        <v>41.649699999999996</v>
      </c>
      <c r="I159" s="14">
        <f>41.6476 * CHOOSE(CONTROL!$C$9, $D$9, 100%, $F$9) + CHOOSE(CONTROL!$C$27, 0.0021, 0)</f>
        <v>41.649699999999996</v>
      </c>
      <c r="J159" s="14">
        <f>41.6476 * CHOOSE(CONTROL!$C$9, $D$9, 100%, $F$9) + CHOOSE(CONTROL!$C$27, 0.0021, 0)</f>
        <v>41.649699999999996</v>
      </c>
      <c r="K159" s="14">
        <f>41.6476 * CHOOSE(CONTROL!$C$9, $D$9, 100%, $F$9) + CHOOSE(CONTROL!$C$27, 0.0021, 0)</f>
        <v>41.649699999999996</v>
      </c>
      <c r="L159" s="14"/>
    </row>
    <row r="160" spans="1:12" ht="15" x14ac:dyDescent="0.2">
      <c r="A160" s="13">
        <v>45778</v>
      </c>
      <c r="B160" s="14">
        <f>42.999 * CHOOSE(CONTROL!$C$9, $D$9, 100%, $F$9) + CHOOSE(CONTROL!$C$27, 0.0021, 0)</f>
        <v>43.001100000000001</v>
      </c>
      <c r="C160" s="14">
        <f>42.5668 * CHOOSE(CONTROL!$C$9, $D$9, 100%, $F$9) + CHOOSE(CONTROL!$C$27, 0.0021, 0)</f>
        <v>42.568899999999999</v>
      </c>
      <c r="D160" s="14">
        <f>42.5668 * CHOOSE(CONTROL!$C$9, $D$9, 100%, $F$9) + CHOOSE(CONTROL!$C$27, 0.0021, 0)</f>
        <v>42.568899999999999</v>
      </c>
      <c r="E160" s="14">
        <f>42.4301 * CHOOSE(CONTROL!$C$9, $D$9, 100%, $F$9) + CHOOSE(CONTROL!$C$27, 0.0021, 0)</f>
        <v>42.432200000000002</v>
      </c>
      <c r="F160" s="14">
        <f>42.4301 * CHOOSE(CONTROL!$C$9, $D$9, 100%, $F$9) + CHOOSE(CONTROL!$C$27, 0.0021, 0)</f>
        <v>42.432200000000002</v>
      </c>
      <c r="G160" s="14">
        <f>42.7015 * CHOOSE(CONTROL!$C$9, $D$9, 100%, $F$9) + CHOOSE(CONTROL!$C$27, 0.0021, 0)</f>
        <v>42.703600000000002</v>
      </c>
      <c r="H160" s="14">
        <f>42.5668 * CHOOSE(CONTROL!$C$9, $D$9, 100%, $F$9) + CHOOSE(CONTROL!$C$27, 0.0021, 0)</f>
        <v>42.568899999999999</v>
      </c>
      <c r="I160" s="14">
        <f>42.5668 * CHOOSE(CONTROL!$C$9, $D$9, 100%, $F$9) + CHOOSE(CONTROL!$C$27, 0.0021, 0)</f>
        <v>42.568899999999999</v>
      </c>
      <c r="J160" s="14">
        <f>42.5668 * CHOOSE(CONTROL!$C$9, $D$9, 100%, $F$9) + CHOOSE(CONTROL!$C$27, 0.0021, 0)</f>
        <v>42.568899999999999</v>
      </c>
      <c r="K160" s="14">
        <f>42.5668 * CHOOSE(CONTROL!$C$9, $D$9, 100%, $F$9) + CHOOSE(CONTROL!$C$27, 0.0021, 0)</f>
        <v>42.568899999999999</v>
      </c>
      <c r="L160" s="14"/>
    </row>
    <row r="161" spans="1:12" ht="15" x14ac:dyDescent="0.2">
      <c r="A161" s="13">
        <v>45809</v>
      </c>
      <c r="B161" s="14">
        <f>43.5854 * CHOOSE(CONTROL!$C$9, $D$9, 100%, $F$9) + CHOOSE(CONTROL!$C$27, 0.0021, 0)</f>
        <v>43.587499999999999</v>
      </c>
      <c r="C161" s="14">
        <f>43.1532 * CHOOSE(CONTROL!$C$9, $D$9, 100%, $F$9) + CHOOSE(CONTROL!$C$27, 0.0021, 0)</f>
        <v>43.155299999999997</v>
      </c>
      <c r="D161" s="14">
        <f>43.1532 * CHOOSE(CONTROL!$C$9, $D$9, 100%, $F$9) + CHOOSE(CONTROL!$C$27, 0.0021, 0)</f>
        <v>43.155299999999997</v>
      </c>
      <c r="E161" s="14">
        <f>43.0165 * CHOOSE(CONTROL!$C$9, $D$9, 100%, $F$9) + CHOOSE(CONTROL!$C$27, 0.0021, 0)</f>
        <v>43.018599999999999</v>
      </c>
      <c r="F161" s="14">
        <f>43.0165 * CHOOSE(CONTROL!$C$9, $D$9, 100%, $F$9) + CHOOSE(CONTROL!$C$27, 0.0021, 0)</f>
        <v>43.018599999999999</v>
      </c>
      <c r="G161" s="14">
        <f>43.2879 * CHOOSE(CONTROL!$C$9, $D$9, 100%, $F$9) + CHOOSE(CONTROL!$C$27, 0.0021, 0)</f>
        <v>43.29</v>
      </c>
      <c r="H161" s="14">
        <f>43.1532 * CHOOSE(CONTROL!$C$9, $D$9, 100%, $F$9) + CHOOSE(CONTROL!$C$27, 0.0021, 0)</f>
        <v>43.155299999999997</v>
      </c>
      <c r="I161" s="14">
        <f>43.1532 * CHOOSE(CONTROL!$C$9, $D$9, 100%, $F$9) + CHOOSE(CONTROL!$C$27, 0.0021, 0)</f>
        <v>43.155299999999997</v>
      </c>
      <c r="J161" s="14">
        <f>43.1532 * CHOOSE(CONTROL!$C$9, $D$9, 100%, $F$9) + CHOOSE(CONTROL!$C$27, 0.0021, 0)</f>
        <v>43.155299999999997</v>
      </c>
      <c r="K161" s="14">
        <f>43.1532 * CHOOSE(CONTROL!$C$9, $D$9, 100%, $F$9) + CHOOSE(CONTROL!$C$27, 0.0021, 0)</f>
        <v>43.155299999999997</v>
      </c>
      <c r="L161" s="14"/>
    </row>
    <row r="162" spans="1:12" ht="15" x14ac:dyDescent="0.2">
      <c r="A162" s="13">
        <v>45839</v>
      </c>
      <c r="B162" s="14">
        <f>44.5012 * CHOOSE(CONTROL!$C$9, $D$9, 100%, $F$9) + CHOOSE(CONTROL!$C$27, 0.0021, 0)</f>
        <v>44.503299999999996</v>
      </c>
      <c r="C162" s="14">
        <f>44.0689 * CHOOSE(CONTROL!$C$9, $D$9, 100%, $F$9) + CHOOSE(CONTROL!$C$27, 0.0021, 0)</f>
        <v>44.070999999999998</v>
      </c>
      <c r="D162" s="14">
        <f>44.0689 * CHOOSE(CONTROL!$C$9, $D$9, 100%, $F$9) + CHOOSE(CONTROL!$C$27, 0.0021, 0)</f>
        <v>44.070999999999998</v>
      </c>
      <c r="E162" s="14">
        <f>43.9323 * CHOOSE(CONTROL!$C$9, $D$9, 100%, $F$9) + CHOOSE(CONTROL!$C$27, 0.0021, 0)</f>
        <v>43.934399999999997</v>
      </c>
      <c r="F162" s="14">
        <f>43.9323 * CHOOSE(CONTROL!$C$9, $D$9, 100%, $F$9) + CHOOSE(CONTROL!$C$27, 0.0021, 0)</f>
        <v>43.934399999999997</v>
      </c>
      <c r="G162" s="14">
        <f>44.2036 * CHOOSE(CONTROL!$C$9, $D$9, 100%, $F$9) + CHOOSE(CONTROL!$C$27, 0.0021, 0)</f>
        <v>44.2057</v>
      </c>
      <c r="H162" s="14">
        <f>44.0689 * CHOOSE(CONTROL!$C$9, $D$9, 100%, $F$9) + CHOOSE(CONTROL!$C$27, 0.0021, 0)</f>
        <v>44.070999999999998</v>
      </c>
      <c r="I162" s="14">
        <f>44.0689 * CHOOSE(CONTROL!$C$9, $D$9, 100%, $F$9) + CHOOSE(CONTROL!$C$27, 0.0021, 0)</f>
        <v>44.070999999999998</v>
      </c>
      <c r="J162" s="14">
        <f>44.0689 * CHOOSE(CONTROL!$C$9, $D$9, 100%, $F$9) + CHOOSE(CONTROL!$C$27, 0.0021, 0)</f>
        <v>44.070999999999998</v>
      </c>
      <c r="K162" s="14">
        <f>44.0689 * CHOOSE(CONTROL!$C$9, $D$9, 100%, $F$9) + CHOOSE(CONTROL!$C$27, 0.0021, 0)</f>
        <v>44.070999999999998</v>
      </c>
      <c r="L162" s="14"/>
    </row>
    <row r="163" spans="1:12" ht="15" x14ac:dyDescent="0.2">
      <c r="A163" s="13">
        <v>45870</v>
      </c>
      <c r="B163" s="14">
        <f>44.8422 * CHOOSE(CONTROL!$C$9, $D$9, 100%, $F$9) + CHOOSE(CONTROL!$C$27, 0.0021, 0)</f>
        <v>44.844299999999997</v>
      </c>
      <c r="C163" s="14">
        <f>44.4099 * CHOOSE(CONTROL!$C$9, $D$9, 100%, $F$9) + CHOOSE(CONTROL!$C$27, 0.0021, 0)</f>
        <v>44.411999999999999</v>
      </c>
      <c r="D163" s="14">
        <f>44.4099 * CHOOSE(CONTROL!$C$9, $D$9, 100%, $F$9) + CHOOSE(CONTROL!$C$27, 0.0021, 0)</f>
        <v>44.411999999999999</v>
      </c>
      <c r="E163" s="14">
        <f>44.2733 * CHOOSE(CONTROL!$C$9, $D$9, 100%, $F$9) + CHOOSE(CONTROL!$C$27, 0.0021, 0)</f>
        <v>44.275399999999998</v>
      </c>
      <c r="F163" s="14">
        <f>44.2733 * CHOOSE(CONTROL!$C$9, $D$9, 100%, $F$9) + CHOOSE(CONTROL!$C$27, 0.0021, 0)</f>
        <v>44.275399999999998</v>
      </c>
      <c r="G163" s="14">
        <f>44.5447 * CHOOSE(CONTROL!$C$9, $D$9, 100%, $F$9) + CHOOSE(CONTROL!$C$27, 0.0021, 0)</f>
        <v>44.546799999999998</v>
      </c>
      <c r="H163" s="14">
        <f>44.4099 * CHOOSE(CONTROL!$C$9, $D$9, 100%, $F$9) + CHOOSE(CONTROL!$C$27, 0.0021, 0)</f>
        <v>44.411999999999999</v>
      </c>
      <c r="I163" s="14">
        <f>44.4099 * CHOOSE(CONTROL!$C$9, $D$9, 100%, $F$9) + CHOOSE(CONTROL!$C$27, 0.0021, 0)</f>
        <v>44.411999999999999</v>
      </c>
      <c r="J163" s="14">
        <f>44.4099 * CHOOSE(CONTROL!$C$9, $D$9, 100%, $F$9) + CHOOSE(CONTROL!$C$27, 0.0021, 0)</f>
        <v>44.411999999999999</v>
      </c>
      <c r="K163" s="14">
        <f>44.4099 * CHOOSE(CONTROL!$C$9, $D$9, 100%, $F$9) + CHOOSE(CONTROL!$C$27, 0.0021, 0)</f>
        <v>44.411999999999999</v>
      </c>
      <c r="L163" s="14"/>
    </row>
    <row r="164" spans="1:12" ht="15" x14ac:dyDescent="0.2">
      <c r="A164" s="13">
        <v>45901</v>
      </c>
      <c r="B164" s="14">
        <f>45.7969 * CHOOSE(CONTROL!$C$9, $D$9, 100%, $F$9) + CHOOSE(CONTROL!$C$27, 0.0021, 0)</f>
        <v>45.798999999999999</v>
      </c>
      <c r="C164" s="14">
        <f>45.3646 * CHOOSE(CONTROL!$C$9, $D$9, 100%, $F$9) + CHOOSE(CONTROL!$C$27, 0.0021, 0)</f>
        <v>45.366700000000002</v>
      </c>
      <c r="D164" s="14">
        <f>45.3646 * CHOOSE(CONTROL!$C$9, $D$9, 100%, $F$9) + CHOOSE(CONTROL!$C$27, 0.0021, 0)</f>
        <v>45.366700000000002</v>
      </c>
      <c r="E164" s="14">
        <f>45.228 * CHOOSE(CONTROL!$C$9, $D$9, 100%, $F$9) + CHOOSE(CONTROL!$C$27, 0.0021, 0)</f>
        <v>45.2301</v>
      </c>
      <c r="F164" s="14">
        <f>45.228 * CHOOSE(CONTROL!$C$9, $D$9, 100%, $F$9) + CHOOSE(CONTROL!$C$27, 0.0021, 0)</f>
        <v>45.2301</v>
      </c>
      <c r="G164" s="14">
        <f>45.4993 * CHOOSE(CONTROL!$C$9, $D$9, 100%, $F$9) + CHOOSE(CONTROL!$C$27, 0.0021, 0)</f>
        <v>45.501399999999997</v>
      </c>
      <c r="H164" s="14">
        <f>45.3646 * CHOOSE(CONTROL!$C$9, $D$9, 100%, $F$9) + CHOOSE(CONTROL!$C$27, 0.0021, 0)</f>
        <v>45.366700000000002</v>
      </c>
      <c r="I164" s="14">
        <f>45.3646 * CHOOSE(CONTROL!$C$9, $D$9, 100%, $F$9) + CHOOSE(CONTROL!$C$27, 0.0021, 0)</f>
        <v>45.366700000000002</v>
      </c>
      <c r="J164" s="14">
        <f>45.3646 * CHOOSE(CONTROL!$C$9, $D$9, 100%, $F$9) + CHOOSE(CONTROL!$C$27, 0.0021, 0)</f>
        <v>45.366700000000002</v>
      </c>
      <c r="K164" s="14">
        <f>45.3646 * CHOOSE(CONTROL!$C$9, $D$9, 100%, $F$9) + CHOOSE(CONTROL!$C$27, 0.0021, 0)</f>
        <v>45.366700000000002</v>
      </c>
      <c r="L164" s="14"/>
    </row>
    <row r="165" spans="1:12" ht="15" x14ac:dyDescent="0.2">
      <c r="A165" s="13">
        <v>45931</v>
      </c>
      <c r="B165" s="14">
        <f>46.9863 * CHOOSE(CONTROL!$C$9, $D$9, 100%, $F$9) + CHOOSE(CONTROL!$C$27, 0.0021, 0)</f>
        <v>46.988399999999999</v>
      </c>
      <c r="C165" s="14">
        <f>46.554 * CHOOSE(CONTROL!$C$9, $D$9, 100%, $F$9) + CHOOSE(CONTROL!$C$27, 0.0021, 0)</f>
        <v>46.556100000000001</v>
      </c>
      <c r="D165" s="14">
        <f>46.554 * CHOOSE(CONTROL!$C$9, $D$9, 100%, $F$9) + CHOOSE(CONTROL!$C$27, 0.0021, 0)</f>
        <v>46.556100000000001</v>
      </c>
      <c r="E165" s="14">
        <f>46.4173 * CHOOSE(CONTROL!$C$9, $D$9, 100%, $F$9) + CHOOSE(CONTROL!$C$27, 0.0021, 0)</f>
        <v>46.419399999999996</v>
      </c>
      <c r="F165" s="14">
        <f>46.4173 * CHOOSE(CONTROL!$C$9, $D$9, 100%, $F$9) + CHOOSE(CONTROL!$C$27, 0.0021, 0)</f>
        <v>46.419399999999996</v>
      </c>
      <c r="G165" s="14">
        <f>46.6887 * CHOOSE(CONTROL!$C$9, $D$9, 100%, $F$9) + CHOOSE(CONTROL!$C$27, 0.0021, 0)</f>
        <v>46.690799999999996</v>
      </c>
      <c r="H165" s="14">
        <f>46.554 * CHOOSE(CONTROL!$C$9, $D$9, 100%, $F$9) + CHOOSE(CONTROL!$C$27, 0.0021, 0)</f>
        <v>46.556100000000001</v>
      </c>
      <c r="I165" s="14">
        <f>46.554 * CHOOSE(CONTROL!$C$9, $D$9, 100%, $F$9) + CHOOSE(CONTROL!$C$27, 0.0021, 0)</f>
        <v>46.556100000000001</v>
      </c>
      <c r="J165" s="14">
        <f>46.554 * CHOOSE(CONTROL!$C$9, $D$9, 100%, $F$9) + CHOOSE(CONTROL!$C$27, 0.0021, 0)</f>
        <v>46.556100000000001</v>
      </c>
      <c r="K165" s="14">
        <f>46.554 * CHOOSE(CONTROL!$C$9, $D$9, 100%, $F$9) + CHOOSE(CONTROL!$C$27, 0.0021, 0)</f>
        <v>46.556100000000001</v>
      </c>
      <c r="L165" s="14"/>
    </row>
    <row r="166" spans="1:12" ht="15" x14ac:dyDescent="0.2">
      <c r="A166" s="13">
        <v>45962</v>
      </c>
      <c r="B166" s="14">
        <f>47.1818 * CHOOSE(CONTROL!$C$9, $D$9, 100%, $F$9) + CHOOSE(CONTROL!$C$27, 0.0021, 0)</f>
        <v>47.183900000000001</v>
      </c>
      <c r="C166" s="14">
        <f>46.7495 * CHOOSE(CONTROL!$C$9, $D$9, 100%, $F$9) + CHOOSE(CONTROL!$C$27, 0.0021, 0)</f>
        <v>46.751599999999996</v>
      </c>
      <c r="D166" s="14">
        <f>46.7495 * CHOOSE(CONTROL!$C$9, $D$9, 100%, $F$9) + CHOOSE(CONTROL!$C$27, 0.0021, 0)</f>
        <v>46.751599999999996</v>
      </c>
      <c r="E166" s="14">
        <f>46.6129 * CHOOSE(CONTROL!$C$9, $D$9, 100%, $F$9) + CHOOSE(CONTROL!$C$27, 0.0021, 0)</f>
        <v>46.615000000000002</v>
      </c>
      <c r="F166" s="14">
        <f>46.6129 * CHOOSE(CONTROL!$C$9, $D$9, 100%, $F$9) + CHOOSE(CONTROL!$C$27, 0.0021, 0)</f>
        <v>46.615000000000002</v>
      </c>
      <c r="G166" s="14">
        <f>46.8842 * CHOOSE(CONTROL!$C$9, $D$9, 100%, $F$9) + CHOOSE(CONTROL!$C$27, 0.0021, 0)</f>
        <v>46.886299999999999</v>
      </c>
      <c r="H166" s="14">
        <f>46.7495 * CHOOSE(CONTROL!$C$9, $D$9, 100%, $F$9) + CHOOSE(CONTROL!$C$27, 0.0021, 0)</f>
        <v>46.751599999999996</v>
      </c>
      <c r="I166" s="14">
        <f>46.7495 * CHOOSE(CONTROL!$C$9, $D$9, 100%, $F$9) + CHOOSE(CONTROL!$C$27, 0.0021, 0)</f>
        <v>46.751599999999996</v>
      </c>
      <c r="J166" s="14">
        <f>46.7495 * CHOOSE(CONTROL!$C$9, $D$9, 100%, $F$9) + CHOOSE(CONTROL!$C$27, 0.0021, 0)</f>
        <v>46.751599999999996</v>
      </c>
      <c r="K166" s="14">
        <f>46.7495 * CHOOSE(CONTROL!$C$9, $D$9, 100%, $F$9) + CHOOSE(CONTROL!$C$27, 0.0021, 0)</f>
        <v>46.751599999999996</v>
      </c>
      <c r="L166" s="14"/>
    </row>
    <row r="167" spans="1:12" ht="15" x14ac:dyDescent="0.2">
      <c r="A167" s="13">
        <v>45992</v>
      </c>
      <c r="B167" s="14">
        <f>46.3922 * CHOOSE(CONTROL!$C$9, $D$9, 100%, $F$9) + CHOOSE(CONTROL!$C$27, 0.0021, 0)</f>
        <v>46.394300000000001</v>
      </c>
      <c r="C167" s="14">
        <f>45.96 * CHOOSE(CONTROL!$C$9, $D$9, 100%, $F$9) + CHOOSE(CONTROL!$C$27, 0.0021, 0)</f>
        <v>45.9621</v>
      </c>
      <c r="D167" s="14">
        <f>45.96 * CHOOSE(CONTROL!$C$9, $D$9, 100%, $F$9) + CHOOSE(CONTROL!$C$27, 0.0021, 0)</f>
        <v>45.9621</v>
      </c>
      <c r="E167" s="14">
        <f>45.8233 * CHOOSE(CONTROL!$C$9, $D$9, 100%, $F$9) + CHOOSE(CONTROL!$C$27, 0.0021, 0)</f>
        <v>45.825400000000002</v>
      </c>
      <c r="F167" s="14">
        <f>45.8233 * CHOOSE(CONTROL!$C$9, $D$9, 100%, $F$9) + CHOOSE(CONTROL!$C$27, 0.0021, 0)</f>
        <v>45.825400000000002</v>
      </c>
      <c r="G167" s="14">
        <f>46.0947 * CHOOSE(CONTROL!$C$9, $D$9, 100%, $F$9) + CHOOSE(CONTROL!$C$27, 0.0021, 0)</f>
        <v>46.096800000000002</v>
      </c>
      <c r="H167" s="14">
        <f>45.96 * CHOOSE(CONTROL!$C$9, $D$9, 100%, $F$9) + CHOOSE(CONTROL!$C$27, 0.0021, 0)</f>
        <v>45.9621</v>
      </c>
      <c r="I167" s="14">
        <f>45.96 * CHOOSE(CONTROL!$C$9, $D$9, 100%, $F$9) + CHOOSE(CONTROL!$C$27, 0.0021, 0)</f>
        <v>45.9621</v>
      </c>
      <c r="J167" s="14">
        <f>45.96 * CHOOSE(CONTROL!$C$9, $D$9, 100%, $F$9) + CHOOSE(CONTROL!$C$27, 0.0021, 0)</f>
        <v>45.9621</v>
      </c>
      <c r="K167" s="14">
        <f>45.96 * CHOOSE(CONTROL!$C$9, $D$9, 100%, $F$9) + CHOOSE(CONTROL!$C$27, 0.0021, 0)</f>
        <v>45.9621</v>
      </c>
      <c r="L167" s="14"/>
    </row>
    <row r="168" spans="1:12" ht="15" x14ac:dyDescent="0.2">
      <c r="A168" s="13">
        <v>46023</v>
      </c>
      <c r="B168" s="14">
        <f>46.0471 * CHOOSE(CONTROL!$C$9, $D$9, 100%, $F$9) + CHOOSE(CONTROL!$C$27, 0.0021, 0)</f>
        <v>46.049199999999999</v>
      </c>
      <c r="C168" s="14">
        <f>45.6148 * CHOOSE(CONTROL!$C$9, $D$9, 100%, $F$9) + CHOOSE(CONTROL!$C$27, 0.0021, 0)</f>
        <v>45.616900000000001</v>
      </c>
      <c r="D168" s="14">
        <f>45.6148 * CHOOSE(CONTROL!$C$9, $D$9, 100%, $F$9) + CHOOSE(CONTROL!$C$27, 0.0021, 0)</f>
        <v>45.616900000000001</v>
      </c>
      <c r="E168" s="14">
        <f>45.4782 * CHOOSE(CONTROL!$C$9, $D$9, 100%, $F$9) + CHOOSE(CONTROL!$C$27, 0.0021, 0)</f>
        <v>45.4803</v>
      </c>
      <c r="F168" s="14">
        <f>45.4782 * CHOOSE(CONTROL!$C$9, $D$9, 100%, $F$9) + CHOOSE(CONTROL!$C$27, 0.0021, 0)</f>
        <v>45.4803</v>
      </c>
      <c r="G168" s="14">
        <f>45.7496 * CHOOSE(CONTROL!$C$9, $D$9, 100%, $F$9) + CHOOSE(CONTROL!$C$27, 0.0021, 0)</f>
        <v>45.7517</v>
      </c>
      <c r="H168" s="14">
        <f>45.6148 * CHOOSE(CONTROL!$C$9, $D$9, 100%, $F$9) + CHOOSE(CONTROL!$C$27, 0.0021, 0)</f>
        <v>45.616900000000001</v>
      </c>
      <c r="I168" s="14">
        <f>45.6148 * CHOOSE(CONTROL!$C$9, $D$9, 100%, $F$9) + CHOOSE(CONTROL!$C$27, 0.0021, 0)</f>
        <v>45.616900000000001</v>
      </c>
      <c r="J168" s="14">
        <f>45.6148 * CHOOSE(CONTROL!$C$9, $D$9, 100%, $F$9) + CHOOSE(CONTROL!$C$27, 0.0021, 0)</f>
        <v>45.616900000000001</v>
      </c>
      <c r="K168" s="14">
        <f>45.6148 * CHOOSE(CONTROL!$C$9, $D$9, 100%, $F$9) + CHOOSE(CONTROL!$C$27, 0.0021, 0)</f>
        <v>45.616900000000001</v>
      </c>
      <c r="L168" s="14"/>
    </row>
    <row r="169" spans="1:12" ht="15" x14ac:dyDescent="0.2">
      <c r="A169" s="13">
        <v>46054</v>
      </c>
      <c r="B169" s="14">
        <f>44.897 * CHOOSE(CONTROL!$C$9, $D$9, 100%, $F$9) + CHOOSE(CONTROL!$C$27, 0.0021, 0)</f>
        <v>44.899099999999997</v>
      </c>
      <c r="C169" s="14">
        <f>44.4648 * CHOOSE(CONTROL!$C$9, $D$9, 100%, $F$9) + CHOOSE(CONTROL!$C$27, 0.0021, 0)</f>
        <v>44.466899999999995</v>
      </c>
      <c r="D169" s="14">
        <f>44.4648 * CHOOSE(CONTROL!$C$9, $D$9, 100%, $F$9) + CHOOSE(CONTROL!$C$27, 0.0021, 0)</f>
        <v>44.466899999999995</v>
      </c>
      <c r="E169" s="14">
        <f>44.3281 * CHOOSE(CONTROL!$C$9, $D$9, 100%, $F$9) + CHOOSE(CONTROL!$C$27, 0.0021, 0)</f>
        <v>44.330199999999998</v>
      </c>
      <c r="F169" s="14">
        <f>44.3281 * CHOOSE(CONTROL!$C$9, $D$9, 100%, $F$9) + CHOOSE(CONTROL!$C$27, 0.0021, 0)</f>
        <v>44.330199999999998</v>
      </c>
      <c r="G169" s="14">
        <f>44.5995 * CHOOSE(CONTROL!$C$9, $D$9, 100%, $F$9) + CHOOSE(CONTROL!$C$27, 0.0021, 0)</f>
        <v>44.601599999999998</v>
      </c>
      <c r="H169" s="14">
        <f>44.4648 * CHOOSE(CONTROL!$C$9, $D$9, 100%, $F$9) + CHOOSE(CONTROL!$C$27, 0.0021, 0)</f>
        <v>44.466899999999995</v>
      </c>
      <c r="I169" s="14">
        <f>44.4648 * CHOOSE(CONTROL!$C$9, $D$9, 100%, $F$9) + CHOOSE(CONTROL!$C$27, 0.0021, 0)</f>
        <v>44.466899999999995</v>
      </c>
      <c r="J169" s="14">
        <f>44.4648 * CHOOSE(CONTROL!$C$9, $D$9, 100%, $F$9) + CHOOSE(CONTROL!$C$27, 0.0021, 0)</f>
        <v>44.466899999999995</v>
      </c>
      <c r="K169" s="14">
        <f>44.4648 * CHOOSE(CONTROL!$C$9, $D$9, 100%, $F$9) + CHOOSE(CONTROL!$C$27, 0.0021, 0)</f>
        <v>44.466899999999995</v>
      </c>
      <c r="L169" s="14"/>
    </row>
    <row r="170" spans="1:12" ht="15" x14ac:dyDescent="0.2">
      <c r="A170" s="13">
        <v>46082</v>
      </c>
      <c r="B170" s="14">
        <f>44.4718 * CHOOSE(CONTROL!$C$9, $D$9, 100%, $F$9) + CHOOSE(CONTROL!$C$27, 0.0021, 0)</f>
        <v>44.4739</v>
      </c>
      <c r="C170" s="14">
        <f>44.0396 * CHOOSE(CONTROL!$C$9, $D$9, 100%, $F$9) + CHOOSE(CONTROL!$C$27, 0.0021, 0)</f>
        <v>44.041699999999999</v>
      </c>
      <c r="D170" s="14">
        <f>44.0396 * CHOOSE(CONTROL!$C$9, $D$9, 100%, $F$9) + CHOOSE(CONTROL!$C$27, 0.0021, 0)</f>
        <v>44.041699999999999</v>
      </c>
      <c r="E170" s="14">
        <f>43.9029 * CHOOSE(CONTROL!$C$9, $D$9, 100%, $F$9) + CHOOSE(CONTROL!$C$27, 0.0021, 0)</f>
        <v>43.905000000000001</v>
      </c>
      <c r="F170" s="14">
        <f>43.9029 * CHOOSE(CONTROL!$C$9, $D$9, 100%, $F$9) + CHOOSE(CONTROL!$C$27, 0.0021, 0)</f>
        <v>43.905000000000001</v>
      </c>
      <c r="G170" s="14">
        <f>44.1743 * CHOOSE(CONTROL!$C$9, $D$9, 100%, $F$9) + CHOOSE(CONTROL!$C$27, 0.0021, 0)</f>
        <v>44.176400000000001</v>
      </c>
      <c r="H170" s="14">
        <f>44.0396 * CHOOSE(CONTROL!$C$9, $D$9, 100%, $F$9) + CHOOSE(CONTROL!$C$27, 0.0021, 0)</f>
        <v>44.041699999999999</v>
      </c>
      <c r="I170" s="14">
        <f>44.0396 * CHOOSE(CONTROL!$C$9, $D$9, 100%, $F$9) + CHOOSE(CONTROL!$C$27, 0.0021, 0)</f>
        <v>44.041699999999999</v>
      </c>
      <c r="J170" s="14">
        <f>44.0396 * CHOOSE(CONTROL!$C$9, $D$9, 100%, $F$9) + CHOOSE(CONTROL!$C$27, 0.0021, 0)</f>
        <v>44.041699999999999</v>
      </c>
      <c r="K170" s="14">
        <f>44.0396 * CHOOSE(CONTROL!$C$9, $D$9, 100%, $F$9) + CHOOSE(CONTROL!$C$27, 0.0021, 0)</f>
        <v>44.041699999999999</v>
      </c>
      <c r="L170" s="14"/>
    </row>
    <row r="171" spans="1:12" ht="15" x14ac:dyDescent="0.2">
      <c r="A171" s="13">
        <v>46113</v>
      </c>
      <c r="B171" s="14">
        <f>43.9449 * CHOOSE(CONTROL!$C$9, $D$9, 100%, $F$9) + CHOOSE(CONTROL!$C$27, 0.0021, 0)</f>
        <v>43.946999999999996</v>
      </c>
      <c r="C171" s="14">
        <f>43.5126 * CHOOSE(CONTROL!$C$9, $D$9, 100%, $F$9) + CHOOSE(CONTROL!$C$27, 0.0021, 0)</f>
        <v>43.514699999999998</v>
      </c>
      <c r="D171" s="14">
        <f>43.5126 * CHOOSE(CONTROL!$C$9, $D$9, 100%, $F$9) + CHOOSE(CONTROL!$C$27, 0.0021, 0)</f>
        <v>43.514699999999998</v>
      </c>
      <c r="E171" s="14">
        <f>43.376 * CHOOSE(CONTROL!$C$9, $D$9, 100%, $F$9) + CHOOSE(CONTROL!$C$27, 0.0021, 0)</f>
        <v>43.378099999999996</v>
      </c>
      <c r="F171" s="14">
        <f>43.376 * CHOOSE(CONTROL!$C$9, $D$9, 100%, $F$9) + CHOOSE(CONTROL!$C$27, 0.0021, 0)</f>
        <v>43.378099999999996</v>
      </c>
      <c r="G171" s="14">
        <f>43.6474 * CHOOSE(CONTROL!$C$9, $D$9, 100%, $F$9) + CHOOSE(CONTROL!$C$27, 0.0021, 0)</f>
        <v>43.649499999999996</v>
      </c>
      <c r="H171" s="14">
        <f>43.5126 * CHOOSE(CONTROL!$C$9, $D$9, 100%, $F$9) + CHOOSE(CONTROL!$C$27, 0.0021, 0)</f>
        <v>43.514699999999998</v>
      </c>
      <c r="I171" s="14">
        <f>43.5126 * CHOOSE(CONTROL!$C$9, $D$9, 100%, $F$9) + CHOOSE(CONTROL!$C$27, 0.0021, 0)</f>
        <v>43.514699999999998</v>
      </c>
      <c r="J171" s="14">
        <f>43.5126 * CHOOSE(CONTROL!$C$9, $D$9, 100%, $F$9) + CHOOSE(CONTROL!$C$27, 0.0021, 0)</f>
        <v>43.514699999999998</v>
      </c>
      <c r="K171" s="14">
        <f>43.5126 * CHOOSE(CONTROL!$C$9, $D$9, 100%, $F$9) + CHOOSE(CONTROL!$C$27, 0.0021, 0)</f>
        <v>43.514699999999998</v>
      </c>
      <c r="L171" s="14"/>
    </row>
    <row r="172" spans="1:12" ht="15" x14ac:dyDescent="0.2">
      <c r="A172" s="13">
        <v>46143</v>
      </c>
      <c r="B172" s="14">
        <f>44.9072 * CHOOSE(CONTROL!$C$9, $D$9, 100%, $F$9) + CHOOSE(CONTROL!$C$27, 0.0021, 0)</f>
        <v>44.909300000000002</v>
      </c>
      <c r="C172" s="14">
        <f>44.475 * CHOOSE(CONTROL!$C$9, $D$9, 100%, $F$9) + CHOOSE(CONTROL!$C$27, 0.0021, 0)</f>
        <v>44.4771</v>
      </c>
      <c r="D172" s="14">
        <f>44.475 * CHOOSE(CONTROL!$C$9, $D$9, 100%, $F$9) + CHOOSE(CONTROL!$C$27, 0.0021, 0)</f>
        <v>44.4771</v>
      </c>
      <c r="E172" s="14">
        <f>44.3383 * CHOOSE(CONTROL!$C$9, $D$9, 100%, $F$9) + CHOOSE(CONTROL!$C$27, 0.0021, 0)</f>
        <v>44.340399999999995</v>
      </c>
      <c r="F172" s="14">
        <f>44.3383 * CHOOSE(CONTROL!$C$9, $D$9, 100%, $F$9) + CHOOSE(CONTROL!$C$27, 0.0021, 0)</f>
        <v>44.340399999999995</v>
      </c>
      <c r="G172" s="14">
        <f>44.6097 * CHOOSE(CONTROL!$C$9, $D$9, 100%, $F$9) + CHOOSE(CONTROL!$C$27, 0.0021, 0)</f>
        <v>44.611799999999995</v>
      </c>
      <c r="H172" s="14">
        <f>44.475 * CHOOSE(CONTROL!$C$9, $D$9, 100%, $F$9) + CHOOSE(CONTROL!$C$27, 0.0021, 0)</f>
        <v>44.4771</v>
      </c>
      <c r="I172" s="14">
        <f>44.475 * CHOOSE(CONTROL!$C$9, $D$9, 100%, $F$9) + CHOOSE(CONTROL!$C$27, 0.0021, 0)</f>
        <v>44.4771</v>
      </c>
      <c r="J172" s="14">
        <f>44.475 * CHOOSE(CONTROL!$C$9, $D$9, 100%, $F$9) + CHOOSE(CONTROL!$C$27, 0.0021, 0)</f>
        <v>44.4771</v>
      </c>
      <c r="K172" s="14">
        <f>44.475 * CHOOSE(CONTROL!$C$9, $D$9, 100%, $F$9) + CHOOSE(CONTROL!$C$27, 0.0021, 0)</f>
        <v>44.4771</v>
      </c>
      <c r="L172" s="14"/>
    </row>
    <row r="173" spans="1:12" ht="15" x14ac:dyDescent="0.2">
      <c r="A173" s="13">
        <v>46174</v>
      </c>
      <c r="B173" s="14">
        <f>45.5211 * CHOOSE(CONTROL!$C$9, $D$9, 100%, $F$9) + CHOOSE(CONTROL!$C$27, 0.0021, 0)</f>
        <v>45.523199999999996</v>
      </c>
      <c r="C173" s="14">
        <f>45.0888 * CHOOSE(CONTROL!$C$9, $D$9, 100%, $F$9) + CHOOSE(CONTROL!$C$27, 0.0021, 0)</f>
        <v>45.090899999999998</v>
      </c>
      <c r="D173" s="14">
        <f>45.0888 * CHOOSE(CONTROL!$C$9, $D$9, 100%, $F$9) + CHOOSE(CONTROL!$C$27, 0.0021, 0)</f>
        <v>45.090899999999998</v>
      </c>
      <c r="E173" s="14">
        <f>44.9522 * CHOOSE(CONTROL!$C$9, $D$9, 100%, $F$9) + CHOOSE(CONTROL!$C$27, 0.0021, 0)</f>
        <v>44.954299999999996</v>
      </c>
      <c r="F173" s="14">
        <f>44.9522 * CHOOSE(CONTROL!$C$9, $D$9, 100%, $F$9) + CHOOSE(CONTROL!$C$27, 0.0021, 0)</f>
        <v>44.954299999999996</v>
      </c>
      <c r="G173" s="14">
        <f>45.2236 * CHOOSE(CONTROL!$C$9, $D$9, 100%, $F$9) + CHOOSE(CONTROL!$C$27, 0.0021, 0)</f>
        <v>45.225699999999996</v>
      </c>
      <c r="H173" s="14">
        <f>45.0888 * CHOOSE(CONTROL!$C$9, $D$9, 100%, $F$9) + CHOOSE(CONTROL!$C$27, 0.0021, 0)</f>
        <v>45.090899999999998</v>
      </c>
      <c r="I173" s="14">
        <f>45.0888 * CHOOSE(CONTROL!$C$9, $D$9, 100%, $F$9) + CHOOSE(CONTROL!$C$27, 0.0021, 0)</f>
        <v>45.090899999999998</v>
      </c>
      <c r="J173" s="14">
        <f>45.0888 * CHOOSE(CONTROL!$C$9, $D$9, 100%, $F$9) + CHOOSE(CONTROL!$C$27, 0.0021, 0)</f>
        <v>45.090899999999998</v>
      </c>
      <c r="K173" s="14">
        <f>45.0888 * CHOOSE(CONTROL!$C$9, $D$9, 100%, $F$9) + CHOOSE(CONTROL!$C$27, 0.0021, 0)</f>
        <v>45.090899999999998</v>
      </c>
      <c r="L173" s="14"/>
    </row>
    <row r="174" spans="1:12" ht="15" x14ac:dyDescent="0.2">
      <c r="A174" s="13">
        <v>46204</v>
      </c>
      <c r="B174" s="14">
        <f>46.4798 * CHOOSE(CONTROL!$C$9, $D$9, 100%, $F$9) + CHOOSE(CONTROL!$C$27, 0.0021, 0)</f>
        <v>46.481899999999996</v>
      </c>
      <c r="C174" s="14">
        <f>46.0475 * CHOOSE(CONTROL!$C$9, $D$9, 100%, $F$9) + CHOOSE(CONTROL!$C$27, 0.0021, 0)</f>
        <v>46.049599999999998</v>
      </c>
      <c r="D174" s="14">
        <f>46.0475 * CHOOSE(CONTROL!$C$9, $D$9, 100%, $F$9) + CHOOSE(CONTROL!$C$27, 0.0021, 0)</f>
        <v>46.049599999999998</v>
      </c>
      <c r="E174" s="14">
        <f>45.9109 * CHOOSE(CONTROL!$C$9, $D$9, 100%, $F$9) + CHOOSE(CONTROL!$C$27, 0.0021, 0)</f>
        <v>45.912999999999997</v>
      </c>
      <c r="F174" s="14">
        <f>45.9109 * CHOOSE(CONTROL!$C$9, $D$9, 100%, $F$9) + CHOOSE(CONTROL!$C$27, 0.0021, 0)</f>
        <v>45.912999999999997</v>
      </c>
      <c r="G174" s="14">
        <f>46.1822 * CHOOSE(CONTROL!$C$9, $D$9, 100%, $F$9) + CHOOSE(CONTROL!$C$27, 0.0021, 0)</f>
        <v>46.1843</v>
      </c>
      <c r="H174" s="14">
        <f>46.0475 * CHOOSE(CONTROL!$C$9, $D$9, 100%, $F$9) + CHOOSE(CONTROL!$C$27, 0.0021, 0)</f>
        <v>46.049599999999998</v>
      </c>
      <c r="I174" s="14">
        <f>46.0475 * CHOOSE(CONTROL!$C$9, $D$9, 100%, $F$9) + CHOOSE(CONTROL!$C$27, 0.0021, 0)</f>
        <v>46.049599999999998</v>
      </c>
      <c r="J174" s="14">
        <f>46.0475 * CHOOSE(CONTROL!$C$9, $D$9, 100%, $F$9) + CHOOSE(CONTROL!$C$27, 0.0021, 0)</f>
        <v>46.049599999999998</v>
      </c>
      <c r="K174" s="14">
        <f>46.0475 * CHOOSE(CONTROL!$C$9, $D$9, 100%, $F$9) + CHOOSE(CONTROL!$C$27, 0.0021, 0)</f>
        <v>46.049599999999998</v>
      </c>
      <c r="L174" s="14"/>
    </row>
    <row r="175" spans="1:12" ht="15" x14ac:dyDescent="0.2">
      <c r="A175" s="13">
        <v>46235</v>
      </c>
      <c r="B175" s="14">
        <f>46.8368 * CHOOSE(CONTROL!$C$9, $D$9, 100%, $F$9) + CHOOSE(CONTROL!$C$27, 0.0021, 0)</f>
        <v>46.838899999999995</v>
      </c>
      <c r="C175" s="14">
        <f>46.4045 * CHOOSE(CONTROL!$C$9, $D$9, 100%, $F$9) + CHOOSE(CONTROL!$C$27, 0.0021, 0)</f>
        <v>46.406599999999997</v>
      </c>
      <c r="D175" s="14">
        <f>46.4045 * CHOOSE(CONTROL!$C$9, $D$9, 100%, $F$9) + CHOOSE(CONTROL!$C$27, 0.0021, 0)</f>
        <v>46.406599999999997</v>
      </c>
      <c r="E175" s="14">
        <f>46.2679 * CHOOSE(CONTROL!$C$9, $D$9, 100%, $F$9) + CHOOSE(CONTROL!$C$27, 0.0021, 0)</f>
        <v>46.269999999999996</v>
      </c>
      <c r="F175" s="14">
        <f>46.2679 * CHOOSE(CONTROL!$C$9, $D$9, 100%, $F$9) + CHOOSE(CONTROL!$C$27, 0.0021, 0)</f>
        <v>46.269999999999996</v>
      </c>
      <c r="G175" s="14">
        <f>46.5392 * CHOOSE(CONTROL!$C$9, $D$9, 100%, $F$9) + CHOOSE(CONTROL!$C$27, 0.0021, 0)</f>
        <v>46.5413</v>
      </c>
      <c r="H175" s="14">
        <f>46.4045 * CHOOSE(CONTROL!$C$9, $D$9, 100%, $F$9) + CHOOSE(CONTROL!$C$27, 0.0021, 0)</f>
        <v>46.406599999999997</v>
      </c>
      <c r="I175" s="14">
        <f>46.4045 * CHOOSE(CONTROL!$C$9, $D$9, 100%, $F$9) + CHOOSE(CONTROL!$C$27, 0.0021, 0)</f>
        <v>46.406599999999997</v>
      </c>
      <c r="J175" s="14">
        <f>46.4045 * CHOOSE(CONTROL!$C$9, $D$9, 100%, $F$9) + CHOOSE(CONTROL!$C$27, 0.0021, 0)</f>
        <v>46.406599999999997</v>
      </c>
      <c r="K175" s="14">
        <f>46.4045 * CHOOSE(CONTROL!$C$9, $D$9, 100%, $F$9) + CHOOSE(CONTROL!$C$27, 0.0021, 0)</f>
        <v>46.406599999999997</v>
      </c>
      <c r="L175" s="14"/>
    </row>
    <row r="176" spans="1:12" ht="15" x14ac:dyDescent="0.2">
      <c r="A176" s="13">
        <v>46266</v>
      </c>
      <c r="B176" s="14">
        <f>47.8362 * CHOOSE(CONTROL!$C$9, $D$9, 100%, $F$9) + CHOOSE(CONTROL!$C$27, 0.0021, 0)</f>
        <v>47.838299999999997</v>
      </c>
      <c r="C176" s="14">
        <f>47.4039 * CHOOSE(CONTROL!$C$9, $D$9, 100%, $F$9) + CHOOSE(CONTROL!$C$27, 0.0021, 0)</f>
        <v>47.405999999999999</v>
      </c>
      <c r="D176" s="14">
        <f>47.4039 * CHOOSE(CONTROL!$C$9, $D$9, 100%, $F$9) + CHOOSE(CONTROL!$C$27, 0.0021, 0)</f>
        <v>47.405999999999999</v>
      </c>
      <c r="E176" s="14">
        <f>47.2673 * CHOOSE(CONTROL!$C$9, $D$9, 100%, $F$9) + CHOOSE(CONTROL!$C$27, 0.0021, 0)</f>
        <v>47.269399999999997</v>
      </c>
      <c r="F176" s="14">
        <f>47.2673 * CHOOSE(CONTROL!$C$9, $D$9, 100%, $F$9) + CHOOSE(CONTROL!$C$27, 0.0021, 0)</f>
        <v>47.269399999999997</v>
      </c>
      <c r="G176" s="14">
        <f>47.5387 * CHOOSE(CONTROL!$C$9, $D$9, 100%, $F$9) + CHOOSE(CONTROL!$C$27, 0.0021, 0)</f>
        <v>47.540799999999997</v>
      </c>
      <c r="H176" s="14">
        <f>47.4039 * CHOOSE(CONTROL!$C$9, $D$9, 100%, $F$9) + CHOOSE(CONTROL!$C$27, 0.0021, 0)</f>
        <v>47.405999999999999</v>
      </c>
      <c r="I176" s="14">
        <f>47.4039 * CHOOSE(CONTROL!$C$9, $D$9, 100%, $F$9) + CHOOSE(CONTROL!$C$27, 0.0021, 0)</f>
        <v>47.405999999999999</v>
      </c>
      <c r="J176" s="14">
        <f>47.4039 * CHOOSE(CONTROL!$C$9, $D$9, 100%, $F$9) + CHOOSE(CONTROL!$C$27, 0.0021, 0)</f>
        <v>47.405999999999999</v>
      </c>
      <c r="K176" s="14">
        <f>47.4039 * CHOOSE(CONTROL!$C$9, $D$9, 100%, $F$9) + CHOOSE(CONTROL!$C$27, 0.0021, 0)</f>
        <v>47.405999999999999</v>
      </c>
      <c r="L176" s="14"/>
    </row>
    <row r="177" spans="1:12" ht="15" x14ac:dyDescent="0.2">
      <c r="A177" s="13">
        <v>46296</v>
      </c>
      <c r="B177" s="14">
        <f>49.0813 * CHOOSE(CONTROL!$C$9, $D$9, 100%, $F$9) + CHOOSE(CONTROL!$C$27, 0.0021, 0)</f>
        <v>49.083399999999997</v>
      </c>
      <c r="C177" s="14">
        <f>48.6491 * CHOOSE(CONTROL!$C$9, $D$9, 100%, $F$9) + CHOOSE(CONTROL!$C$27, 0.0021, 0)</f>
        <v>48.651199999999996</v>
      </c>
      <c r="D177" s="14">
        <f>48.6491 * CHOOSE(CONTROL!$C$9, $D$9, 100%, $F$9) + CHOOSE(CONTROL!$C$27, 0.0021, 0)</f>
        <v>48.651199999999996</v>
      </c>
      <c r="E177" s="14">
        <f>48.5124 * CHOOSE(CONTROL!$C$9, $D$9, 100%, $F$9) + CHOOSE(CONTROL!$C$27, 0.0021, 0)</f>
        <v>48.514499999999998</v>
      </c>
      <c r="F177" s="14">
        <f>48.5124 * CHOOSE(CONTROL!$C$9, $D$9, 100%, $F$9) + CHOOSE(CONTROL!$C$27, 0.0021, 0)</f>
        <v>48.514499999999998</v>
      </c>
      <c r="G177" s="14">
        <f>48.7838 * CHOOSE(CONTROL!$C$9, $D$9, 100%, $F$9) + CHOOSE(CONTROL!$C$27, 0.0021, 0)</f>
        <v>48.785899999999998</v>
      </c>
      <c r="H177" s="14">
        <f>48.6491 * CHOOSE(CONTROL!$C$9, $D$9, 100%, $F$9) + CHOOSE(CONTROL!$C$27, 0.0021, 0)</f>
        <v>48.651199999999996</v>
      </c>
      <c r="I177" s="14">
        <f>48.6491 * CHOOSE(CONTROL!$C$9, $D$9, 100%, $F$9) + CHOOSE(CONTROL!$C$27, 0.0021, 0)</f>
        <v>48.651199999999996</v>
      </c>
      <c r="J177" s="14">
        <f>48.6491 * CHOOSE(CONTROL!$C$9, $D$9, 100%, $F$9) + CHOOSE(CONTROL!$C$27, 0.0021, 0)</f>
        <v>48.651199999999996</v>
      </c>
      <c r="K177" s="14">
        <f>48.6491 * CHOOSE(CONTROL!$C$9, $D$9, 100%, $F$9) + CHOOSE(CONTROL!$C$27, 0.0021, 0)</f>
        <v>48.651199999999996</v>
      </c>
      <c r="L177" s="14"/>
    </row>
    <row r="178" spans="1:12" ht="15" x14ac:dyDescent="0.2">
      <c r="A178" s="13">
        <v>46327</v>
      </c>
      <c r="B178" s="14">
        <f>49.286 * CHOOSE(CONTROL!$C$9, $D$9, 100%, $F$9) + CHOOSE(CONTROL!$C$27, 0.0021, 0)</f>
        <v>49.2881</v>
      </c>
      <c r="C178" s="14">
        <f>48.8538 * CHOOSE(CONTROL!$C$9, $D$9, 100%, $F$9) + CHOOSE(CONTROL!$C$27, 0.0021, 0)</f>
        <v>48.855899999999998</v>
      </c>
      <c r="D178" s="14">
        <f>48.8538 * CHOOSE(CONTROL!$C$9, $D$9, 100%, $F$9) + CHOOSE(CONTROL!$C$27, 0.0021, 0)</f>
        <v>48.855899999999998</v>
      </c>
      <c r="E178" s="14">
        <f>48.7171 * CHOOSE(CONTROL!$C$9, $D$9, 100%, $F$9) + CHOOSE(CONTROL!$C$27, 0.0021, 0)</f>
        <v>48.719200000000001</v>
      </c>
      <c r="F178" s="14">
        <f>48.7171 * CHOOSE(CONTROL!$C$9, $D$9, 100%, $F$9) + CHOOSE(CONTROL!$C$27, 0.0021, 0)</f>
        <v>48.719200000000001</v>
      </c>
      <c r="G178" s="14">
        <f>48.9885 * CHOOSE(CONTROL!$C$9, $D$9, 100%, $F$9) + CHOOSE(CONTROL!$C$27, 0.0021, 0)</f>
        <v>48.990600000000001</v>
      </c>
      <c r="H178" s="14">
        <f>48.8538 * CHOOSE(CONTROL!$C$9, $D$9, 100%, $F$9) + CHOOSE(CONTROL!$C$27, 0.0021, 0)</f>
        <v>48.855899999999998</v>
      </c>
      <c r="I178" s="14">
        <f>48.8538 * CHOOSE(CONTROL!$C$9, $D$9, 100%, $F$9) + CHOOSE(CONTROL!$C$27, 0.0021, 0)</f>
        <v>48.855899999999998</v>
      </c>
      <c r="J178" s="14">
        <f>48.8538 * CHOOSE(CONTROL!$C$9, $D$9, 100%, $F$9) + CHOOSE(CONTROL!$C$27, 0.0021, 0)</f>
        <v>48.855899999999998</v>
      </c>
      <c r="K178" s="14">
        <f>48.8538 * CHOOSE(CONTROL!$C$9, $D$9, 100%, $F$9) + CHOOSE(CONTROL!$C$27, 0.0021, 0)</f>
        <v>48.855899999999998</v>
      </c>
      <c r="L178" s="14"/>
    </row>
    <row r="179" spans="1:12" ht="15" x14ac:dyDescent="0.2">
      <c r="A179" s="13">
        <v>46357</v>
      </c>
      <c r="B179" s="14">
        <f>48.4595 * CHOOSE(CONTROL!$C$9, $D$9, 100%, $F$9) + CHOOSE(CONTROL!$C$27, 0.0021, 0)</f>
        <v>48.461599999999997</v>
      </c>
      <c r="C179" s="14">
        <f>48.0272 * CHOOSE(CONTROL!$C$9, $D$9, 100%, $F$9) + CHOOSE(CONTROL!$C$27, 0.0021, 0)</f>
        <v>48.029299999999999</v>
      </c>
      <c r="D179" s="14">
        <f>48.0272 * CHOOSE(CONTROL!$C$9, $D$9, 100%, $F$9) + CHOOSE(CONTROL!$C$27, 0.0021, 0)</f>
        <v>48.029299999999999</v>
      </c>
      <c r="E179" s="14">
        <f>47.8906 * CHOOSE(CONTROL!$C$9, $D$9, 100%, $F$9) + CHOOSE(CONTROL!$C$27, 0.0021, 0)</f>
        <v>47.892699999999998</v>
      </c>
      <c r="F179" s="14">
        <f>47.8906 * CHOOSE(CONTROL!$C$9, $D$9, 100%, $F$9) + CHOOSE(CONTROL!$C$27, 0.0021, 0)</f>
        <v>47.892699999999998</v>
      </c>
      <c r="G179" s="14">
        <f>48.162 * CHOOSE(CONTROL!$C$9, $D$9, 100%, $F$9) + CHOOSE(CONTROL!$C$27, 0.0021, 0)</f>
        <v>48.164099999999998</v>
      </c>
      <c r="H179" s="14">
        <f>48.0272 * CHOOSE(CONTROL!$C$9, $D$9, 100%, $F$9) + CHOOSE(CONTROL!$C$27, 0.0021, 0)</f>
        <v>48.029299999999999</v>
      </c>
      <c r="I179" s="14">
        <f>48.0272 * CHOOSE(CONTROL!$C$9, $D$9, 100%, $F$9) + CHOOSE(CONTROL!$C$27, 0.0021, 0)</f>
        <v>48.029299999999999</v>
      </c>
      <c r="J179" s="14">
        <f>48.0272 * CHOOSE(CONTROL!$C$9, $D$9, 100%, $F$9) + CHOOSE(CONTROL!$C$27, 0.0021, 0)</f>
        <v>48.029299999999999</v>
      </c>
      <c r="K179" s="14">
        <f>48.0272 * CHOOSE(CONTROL!$C$9, $D$9, 100%, $F$9) + CHOOSE(CONTROL!$C$27, 0.0021, 0)</f>
        <v>48.029299999999999</v>
      </c>
      <c r="L179" s="14"/>
    </row>
    <row r="180" spans="1:12" ht="15" x14ac:dyDescent="0.2">
      <c r="A180" s="13">
        <v>46388</v>
      </c>
      <c r="B180" s="14">
        <f>48.0427 * CHOOSE(CONTROL!$C$9, $D$9, 100%, $F$9) + CHOOSE(CONTROL!$C$27, 0.0021, 0)</f>
        <v>48.044800000000002</v>
      </c>
      <c r="C180" s="14">
        <f>47.6105 * CHOOSE(CONTROL!$C$9, $D$9, 100%, $F$9) + CHOOSE(CONTROL!$C$27, 0.0021, 0)</f>
        <v>47.6126</v>
      </c>
      <c r="D180" s="14">
        <f>47.6105 * CHOOSE(CONTROL!$C$9, $D$9, 100%, $F$9) + CHOOSE(CONTROL!$C$27, 0.0021, 0)</f>
        <v>47.6126</v>
      </c>
      <c r="E180" s="14">
        <f>47.4738 * CHOOSE(CONTROL!$C$9, $D$9, 100%, $F$9) + CHOOSE(CONTROL!$C$27, 0.0021, 0)</f>
        <v>47.475899999999996</v>
      </c>
      <c r="F180" s="14">
        <f>47.4738 * CHOOSE(CONTROL!$C$9, $D$9, 100%, $F$9) + CHOOSE(CONTROL!$C$27, 0.0021, 0)</f>
        <v>47.475899999999996</v>
      </c>
      <c r="G180" s="14">
        <f>47.7452 * CHOOSE(CONTROL!$C$9, $D$9, 100%, $F$9) + CHOOSE(CONTROL!$C$27, 0.0021, 0)</f>
        <v>47.747299999999996</v>
      </c>
      <c r="H180" s="14">
        <f>47.6105 * CHOOSE(CONTROL!$C$9, $D$9, 100%, $F$9) + CHOOSE(CONTROL!$C$27, 0.0021, 0)</f>
        <v>47.6126</v>
      </c>
      <c r="I180" s="14">
        <f>47.6105 * CHOOSE(CONTROL!$C$9, $D$9, 100%, $F$9) + CHOOSE(CONTROL!$C$27, 0.0021, 0)</f>
        <v>47.6126</v>
      </c>
      <c r="J180" s="14">
        <f>47.6105 * CHOOSE(CONTROL!$C$9, $D$9, 100%, $F$9) + CHOOSE(CONTROL!$C$27, 0.0021, 0)</f>
        <v>47.6126</v>
      </c>
      <c r="K180" s="14">
        <f>47.6105 * CHOOSE(CONTROL!$C$9, $D$9, 100%, $F$9) + CHOOSE(CONTROL!$C$27, 0.0021, 0)</f>
        <v>47.6126</v>
      </c>
      <c r="L180" s="14"/>
    </row>
    <row r="181" spans="1:12" ht="15" x14ac:dyDescent="0.2">
      <c r="A181" s="13">
        <v>46419</v>
      </c>
      <c r="B181" s="14">
        <f>46.8402 * CHOOSE(CONTROL!$C$9, $D$9, 100%, $F$9) + CHOOSE(CONTROL!$C$27, 0.0021, 0)</f>
        <v>46.842300000000002</v>
      </c>
      <c r="C181" s="14">
        <f>46.408 * CHOOSE(CONTROL!$C$9, $D$9, 100%, $F$9) + CHOOSE(CONTROL!$C$27, 0.0021, 0)</f>
        <v>46.4101</v>
      </c>
      <c r="D181" s="14">
        <f>46.408 * CHOOSE(CONTROL!$C$9, $D$9, 100%, $F$9) + CHOOSE(CONTROL!$C$27, 0.0021, 0)</f>
        <v>46.4101</v>
      </c>
      <c r="E181" s="14">
        <f>46.2713 * CHOOSE(CONTROL!$C$9, $D$9, 100%, $F$9) + CHOOSE(CONTROL!$C$27, 0.0021, 0)</f>
        <v>46.273399999999995</v>
      </c>
      <c r="F181" s="14">
        <f>46.2713 * CHOOSE(CONTROL!$C$9, $D$9, 100%, $F$9) + CHOOSE(CONTROL!$C$27, 0.0021, 0)</f>
        <v>46.273399999999995</v>
      </c>
      <c r="G181" s="14">
        <f>46.5427 * CHOOSE(CONTROL!$C$9, $D$9, 100%, $F$9) + CHOOSE(CONTROL!$C$27, 0.0021, 0)</f>
        <v>46.544800000000002</v>
      </c>
      <c r="H181" s="14">
        <f>46.408 * CHOOSE(CONTROL!$C$9, $D$9, 100%, $F$9) + CHOOSE(CONTROL!$C$27, 0.0021, 0)</f>
        <v>46.4101</v>
      </c>
      <c r="I181" s="14">
        <f>46.408 * CHOOSE(CONTROL!$C$9, $D$9, 100%, $F$9) + CHOOSE(CONTROL!$C$27, 0.0021, 0)</f>
        <v>46.4101</v>
      </c>
      <c r="J181" s="14">
        <f>46.408 * CHOOSE(CONTROL!$C$9, $D$9, 100%, $F$9) + CHOOSE(CONTROL!$C$27, 0.0021, 0)</f>
        <v>46.4101</v>
      </c>
      <c r="K181" s="14">
        <f>46.408 * CHOOSE(CONTROL!$C$9, $D$9, 100%, $F$9) + CHOOSE(CONTROL!$C$27, 0.0021, 0)</f>
        <v>46.4101</v>
      </c>
      <c r="L181" s="14"/>
    </row>
    <row r="182" spans="1:12" ht="15" x14ac:dyDescent="0.2">
      <c r="A182" s="13">
        <v>46447</v>
      </c>
      <c r="B182" s="14">
        <f>46.3956 * CHOOSE(CONTROL!$C$9, $D$9, 100%, $F$9) + CHOOSE(CONTROL!$C$27, 0.0021, 0)</f>
        <v>46.3977</v>
      </c>
      <c r="C182" s="14">
        <f>45.9633 * CHOOSE(CONTROL!$C$9, $D$9, 100%, $F$9) + CHOOSE(CONTROL!$C$27, 0.0021, 0)</f>
        <v>45.965399999999995</v>
      </c>
      <c r="D182" s="14">
        <f>45.9633 * CHOOSE(CONTROL!$C$9, $D$9, 100%, $F$9) + CHOOSE(CONTROL!$C$27, 0.0021, 0)</f>
        <v>45.965399999999995</v>
      </c>
      <c r="E182" s="14">
        <f>45.8267 * CHOOSE(CONTROL!$C$9, $D$9, 100%, $F$9) + CHOOSE(CONTROL!$C$27, 0.0021, 0)</f>
        <v>45.828800000000001</v>
      </c>
      <c r="F182" s="14">
        <f>45.8267 * CHOOSE(CONTROL!$C$9, $D$9, 100%, $F$9) + CHOOSE(CONTROL!$C$27, 0.0021, 0)</f>
        <v>45.828800000000001</v>
      </c>
      <c r="G182" s="14">
        <f>46.098 * CHOOSE(CONTROL!$C$9, $D$9, 100%, $F$9) + CHOOSE(CONTROL!$C$27, 0.0021, 0)</f>
        <v>46.100099999999998</v>
      </c>
      <c r="H182" s="14">
        <f>45.9633 * CHOOSE(CONTROL!$C$9, $D$9, 100%, $F$9) + CHOOSE(CONTROL!$C$27, 0.0021, 0)</f>
        <v>45.965399999999995</v>
      </c>
      <c r="I182" s="14">
        <f>45.9633 * CHOOSE(CONTROL!$C$9, $D$9, 100%, $F$9) + CHOOSE(CONTROL!$C$27, 0.0021, 0)</f>
        <v>45.965399999999995</v>
      </c>
      <c r="J182" s="14">
        <f>45.9633 * CHOOSE(CONTROL!$C$9, $D$9, 100%, $F$9) + CHOOSE(CONTROL!$C$27, 0.0021, 0)</f>
        <v>45.965399999999995</v>
      </c>
      <c r="K182" s="14">
        <f>45.9633 * CHOOSE(CONTROL!$C$9, $D$9, 100%, $F$9) + CHOOSE(CONTROL!$C$27, 0.0021, 0)</f>
        <v>45.965399999999995</v>
      </c>
      <c r="L182" s="14"/>
    </row>
    <row r="183" spans="1:12" ht="15" x14ac:dyDescent="0.2">
      <c r="A183" s="13">
        <v>46478</v>
      </c>
      <c r="B183" s="14">
        <f>45.8446 * CHOOSE(CONTROL!$C$9, $D$9, 100%, $F$9) + CHOOSE(CONTROL!$C$27, 0.0021, 0)</f>
        <v>45.846699999999998</v>
      </c>
      <c r="C183" s="14">
        <f>45.4124 * CHOOSE(CONTROL!$C$9, $D$9, 100%, $F$9) + CHOOSE(CONTROL!$C$27, 0.0021, 0)</f>
        <v>45.414499999999997</v>
      </c>
      <c r="D183" s="14">
        <f>45.4124 * CHOOSE(CONTROL!$C$9, $D$9, 100%, $F$9) + CHOOSE(CONTROL!$C$27, 0.0021, 0)</f>
        <v>45.414499999999997</v>
      </c>
      <c r="E183" s="14">
        <f>45.2757 * CHOOSE(CONTROL!$C$9, $D$9, 100%, $F$9) + CHOOSE(CONTROL!$C$27, 0.0021, 0)</f>
        <v>45.277799999999999</v>
      </c>
      <c r="F183" s="14">
        <f>45.2757 * CHOOSE(CONTROL!$C$9, $D$9, 100%, $F$9) + CHOOSE(CONTROL!$C$27, 0.0021, 0)</f>
        <v>45.277799999999999</v>
      </c>
      <c r="G183" s="14">
        <f>45.5471 * CHOOSE(CONTROL!$C$9, $D$9, 100%, $F$9) + CHOOSE(CONTROL!$C$27, 0.0021, 0)</f>
        <v>45.549199999999999</v>
      </c>
      <c r="H183" s="14">
        <f>45.4124 * CHOOSE(CONTROL!$C$9, $D$9, 100%, $F$9) + CHOOSE(CONTROL!$C$27, 0.0021, 0)</f>
        <v>45.414499999999997</v>
      </c>
      <c r="I183" s="14">
        <f>45.4124 * CHOOSE(CONTROL!$C$9, $D$9, 100%, $F$9) + CHOOSE(CONTROL!$C$27, 0.0021, 0)</f>
        <v>45.414499999999997</v>
      </c>
      <c r="J183" s="14">
        <f>45.4124 * CHOOSE(CONTROL!$C$9, $D$9, 100%, $F$9) + CHOOSE(CONTROL!$C$27, 0.0021, 0)</f>
        <v>45.414499999999997</v>
      </c>
      <c r="K183" s="14">
        <f>45.4124 * CHOOSE(CONTROL!$C$9, $D$9, 100%, $F$9) + CHOOSE(CONTROL!$C$27, 0.0021, 0)</f>
        <v>45.414499999999997</v>
      </c>
      <c r="L183" s="14"/>
    </row>
    <row r="184" spans="1:12" ht="15" x14ac:dyDescent="0.2">
      <c r="A184" s="13">
        <v>46508</v>
      </c>
      <c r="B184" s="14">
        <f>46.8509 * CHOOSE(CONTROL!$C$9, $D$9, 100%, $F$9) + CHOOSE(CONTROL!$C$27, 0.0021, 0)</f>
        <v>46.853000000000002</v>
      </c>
      <c r="C184" s="14">
        <f>46.4186 * CHOOSE(CONTROL!$C$9, $D$9, 100%, $F$9) + CHOOSE(CONTROL!$C$27, 0.0021, 0)</f>
        <v>46.420699999999997</v>
      </c>
      <c r="D184" s="14">
        <f>46.4186 * CHOOSE(CONTROL!$C$9, $D$9, 100%, $F$9) + CHOOSE(CONTROL!$C$27, 0.0021, 0)</f>
        <v>46.420699999999997</v>
      </c>
      <c r="E184" s="14">
        <f>46.2819 * CHOOSE(CONTROL!$C$9, $D$9, 100%, $F$9) + CHOOSE(CONTROL!$C$27, 0.0021, 0)</f>
        <v>46.283999999999999</v>
      </c>
      <c r="F184" s="14">
        <f>46.2819 * CHOOSE(CONTROL!$C$9, $D$9, 100%, $F$9) + CHOOSE(CONTROL!$C$27, 0.0021, 0)</f>
        <v>46.283999999999999</v>
      </c>
      <c r="G184" s="14">
        <f>46.5533 * CHOOSE(CONTROL!$C$9, $D$9, 100%, $F$9) + CHOOSE(CONTROL!$C$27, 0.0021, 0)</f>
        <v>46.555399999999999</v>
      </c>
      <c r="H184" s="14">
        <f>46.4186 * CHOOSE(CONTROL!$C$9, $D$9, 100%, $F$9) + CHOOSE(CONTROL!$C$27, 0.0021, 0)</f>
        <v>46.420699999999997</v>
      </c>
      <c r="I184" s="14">
        <f>46.4186 * CHOOSE(CONTROL!$C$9, $D$9, 100%, $F$9) + CHOOSE(CONTROL!$C$27, 0.0021, 0)</f>
        <v>46.420699999999997</v>
      </c>
      <c r="J184" s="14">
        <f>46.4186 * CHOOSE(CONTROL!$C$9, $D$9, 100%, $F$9) + CHOOSE(CONTROL!$C$27, 0.0021, 0)</f>
        <v>46.420699999999997</v>
      </c>
      <c r="K184" s="14">
        <f>46.4186 * CHOOSE(CONTROL!$C$9, $D$9, 100%, $F$9) + CHOOSE(CONTROL!$C$27, 0.0021, 0)</f>
        <v>46.420699999999997</v>
      </c>
      <c r="L184" s="14"/>
    </row>
    <row r="185" spans="1:12" ht="15" x14ac:dyDescent="0.2">
      <c r="A185" s="13">
        <v>46539</v>
      </c>
      <c r="B185" s="14">
        <f>47.4927 * CHOOSE(CONTROL!$C$9, $D$9, 100%, $F$9) + CHOOSE(CONTROL!$C$27, 0.0021, 0)</f>
        <v>47.494799999999998</v>
      </c>
      <c r="C185" s="14">
        <f>47.0605 * CHOOSE(CONTROL!$C$9, $D$9, 100%, $F$9) + CHOOSE(CONTROL!$C$27, 0.0021, 0)</f>
        <v>47.062599999999996</v>
      </c>
      <c r="D185" s="14">
        <f>47.0605 * CHOOSE(CONTROL!$C$9, $D$9, 100%, $F$9) + CHOOSE(CONTROL!$C$27, 0.0021, 0)</f>
        <v>47.062599999999996</v>
      </c>
      <c r="E185" s="14">
        <f>46.9238 * CHOOSE(CONTROL!$C$9, $D$9, 100%, $F$9) + CHOOSE(CONTROL!$C$27, 0.0021, 0)</f>
        <v>46.925899999999999</v>
      </c>
      <c r="F185" s="14">
        <f>46.9238 * CHOOSE(CONTROL!$C$9, $D$9, 100%, $F$9) + CHOOSE(CONTROL!$C$27, 0.0021, 0)</f>
        <v>46.925899999999999</v>
      </c>
      <c r="G185" s="14">
        <f>47.1952 * CHOOSE(CONTROL!$C$9, $D$9, 100%, $F$9) + CHOOSE(CONTROL!$C$27, 0.0021, 0)</f>
        <v>47.197299999999998</v>
      </c>
      <c r="H185" s="14">
        <f>47.0605 * CHOOSE(CONTROL!$C$9, $D$9, 100%, $F$9) + CHOOSE(CONTROL!$C$27, 0.0021, 0)</f>
        <v>47.062599999999996</v>
      </c>
      <c r="I185" s="14">
        <f>47.0605 * CHOOSE(CONTROL!$C$9, $D$9, 100%, $F$9) + CHOOSE(CONTROL!$C$27, 0.0021, 0)</f>
        <v>47.062599999999996</v>
      </c>
      <c r="J185" s="14">
        <f>47.0605 * CHOOSE(CONTROL!$C$9, $D$9, 100%, $F$9) + CHOOSE(CONTROL!$C$27, 0.0021, 0)</f>
        <v>47.062599999999996</v>
      </c>
      <c r="K185" s="14">
        <f>47.0605 * CHOOSE(CONTROL!$C$9, $D$9, 100%, $F$9) + CHOOSE(CONTROL!$C$27, 0.0021, 0)</f>
        <v>47.062599999999996</v>
      </c>
      <c r="L185" s="14"/>
    </row>
    <row r="186" spans="1:12" ht="15" x14ac:dyDescent="0.2">
      <c r="A186" s="13">
        <v>46569</v>
      </c>
      <c r="B186" s="14">
        <f>48.4951 * CHOOSE(CONTROL!$C$9, $D$9, 100%, $F$9) + CHOOSE(CONTROL!$C$27, 0.0021, 0)</f>
        <v>48.497199999999999</v>
      </c>
      <c r="C186" s="14">
        <f>48.0629 * CHOOSE(CONTROL!$C$9, $D$9, 100%, $F$9) + CHOOSE(CONTROL!$C$27, 0.0021, 0)</f>
        <v>48.064999999999998</v>
      </c>
      <c r="D186" s="14">
        <f>48.0629 * CHOOSE(CONTROL!$C$9, $D$9, 100%, $F$9) + CHOOSE(CONTROL!$C$27, 0.0021, 0)</f>
        <v>48.064999999999998</v>
      </c>
      <c r="E186" s="14">
        <f>47.9262 * CHOOSE(CONTROL!$C$9, $D$9, 100%, $F$9) + CHOOSE(CONTROL!$C$27, 0.0021, 0)</f>
        <v>47.9283</v>
      </c>
      <c r="F186" s="14">
        <f>47.9262 * CHOOSE(CONTROL!$C$9, $D$9, 100%, $F$9) + CHOOSE(CONTROL!$C$27, 0.0021, 0)</f>
        <v>47.9283</v>
      </c>
      <c r="G186" s="14">
        <f>48.1976 * CHOOSE(CONTROL!$C$9, $D$9, 100%, $F$9) + CHOOSE(CONTROL!$C$27, 0.0021, 0)</f>
        <v>48.1997</v>
      </c>
      <c r="H186" s="14">
        <f>48.0629 * CHOOSE(CONTROL!$C$9, $D$9, 100%, $F$9) + CHOOSE(CONTROL!$C$27, 0.0021, 0)</f>
        <v>48.064999999999998</v>
      </c>
      <c r="I186" s="14">
        <f>48.0629 * CHOOSE(CONTROL!$C$9, $D$9, 100%, $F$9) + CHOOSE(CONTROL!$C$27, 0.0021, 0)</f>
        <v>48.064999999999998</v>
      </c>
      <c r="J186" s="14">
        <f>48.0629 * CHOOSE(CONTROL!$C$9, $D$9, 100%, $F$9) + CHOOSE(CONTROL!$C$27, 0.0021, 0)</f>
        <v>48.064999999999998</v>
      </c>
      <c r="K186" s="14">
        <f>48.0629 * CHOOSE(CONTROL!$C$9, $D$9, 100%, $F$9) + CHOOSE(CONTROL!$C$27, 0.0021, 0)</f>
        <v>48.064999999999998</v>
      </c>
      <c r="L186" s="14"/>
    </row>
    <row r="187" spans="1:12" ht="15" x14ac:dyDescent="0.2">
      <c r="A187" s="13">
        <v>46600</v>
      </c>
      <c r="B187" s="14">
        <f>48.8684 * CHOOSE(CONTROL!$C$9, $D$9, 100%, $F$9) + CHOOSE(CONTROL!$C$27, 0.0021, 0)</f>
        <v>48.8705</v>
      </c>
      <c r="C187" s="14">
        <f>48.4362 * CHOOSE(CONTROL!$C$9, $D$9, 100%, $F$9) + CHOOSE(CONTROL!$C$27, 0.0021, 0)</f>
        <v>48.438299999999998</v>
      </c>
      <c r="D187" s="14">
        <f>48.4362 * CHOOSE(CONTROL!$C$9, $D$9, 100%, $F$9) + CHOOSE(CONTROL!$C$27, 0.0021, 0)</f>
        <v>48.438299999999998</v>
      </c>
      <c r="E187" s="14">
        <f>48.2995 * CHOOSE(CONTROL!$C$9, $D$9, 100%, $F$9) + CHOOSE(CONTROL!$C$27, 0.0021, 0)</f>
        <v>48.301600000000001</v>
      </c>
      <c r="F187" s="14">
        <f>48.2995 * CHOOSE(CONTROL!$C$9, $D$9, 100%, $F$9) + CHOOSE(CONTROL!$C$27, 0.0021, 0)</f>
        <v>48.301600000000001</v>
      </c>
      <c r="G187" s="14">
        <f>48.5709 * CHOOSE(CONTROL!$C$9, $D$9, 100%, $F$9) + CHOOSE(CONTROL!$C$27, 0.0021, 0)</f>
        <v>48.573</v>
      </c>
      <c r="H187" s="14">
        <f>48.4362 * CHOOSE(CONTROL!$C$9, $D$9, 100%, $F$9) + CHOOSE(CONTROL!$C$27, 0.0021, 0)</f>
        <v>48.438299999999998</v>
      </c>
      <c r="I187" s="14">
        <f>48.4362 * CHOOSE(CONTROL!$C$9, $D$9, 100%, $F$9) + CHOOSE(CONTROL!$C$27, 0.0021, 0)</f>
        <v>48.438299999999998</v>
      </c>
      <c r="J187" s="14">
        <f>48.4362 * CHOOSE(CONTROL!$C$9, $D$9, 100%, $F$9) + CHOOSE(CONTROL!$C$27, 0.0021, 0)</f>
        <v>48.438299999999998</v>
      </c>
      <c r="K187" s="14">
        <f>48.4362 * CHOOSE(CONTROL!$C$9, $D$9, 100%, $F$9) + CHOOSE(CONTROL!$C$27, 0.0021, 0)</f>
        <v>48.438299999999998</v>
      </c>
      <c r="L187" s="14"/>
    </row>
    <row r="188" spans="1:12" ht="15" x14ac:dyDescent="0.2">
      <c r="A188" s="13">
        <v>46631</v>
      </c>
      <c r="B188" s="14">
        <f>49.9134 * CHOOSE(CONTROL!$C$9, $D$9, 100%, $F$9) + CHOOSE(CONTROL!$C$27, 0.0021, 0)</f>
        <v>49.915500000000002</v>
      </c>
      <c r="C188" s="14">
        <f>49.4812 * CHOOSE(CONTROL!$C$9, $D$9, 100%, $F$9) + CHOOSE(CONTROL!$C$27, 0.0021, 0)</f>
        <v>49.4833</v>
      </c>
      <c r="D188" s="14">
        <f>49.4812 * CHOOSE(CONTROL!$C$9, $D$9, 100%, $F$9) + CHOOSE(CONTROL!$C$27, 0.0021, 0)</f>
        <v>49.4833</v>
      </c>
      <c r="E188" s="14">
        <f>49.3445 * CHOOSE(CONTROL!$C$9, $D$9, 100%, $F$9) + CHOOSE(CONTROL!$C$27, 0.0021, 0)</f>
        <v>49.346599999999995</v>
      </c>
      <c r="F188" s="14">
        <f>49.3445 * CHOOSE(CONTROL!$C$9, $D$9, 100%, $F$9) + CHOOSE(CONTROL!$C$27, 0.0021, 0)</f>
        <v>49.346599999999995</v>
      </c>
      <c r="G188" s="14">
        <f>49.6159 * CHOOSE(CONTROL!$C$9, $D$9, 100%, $F$9) + CHOOSE(CONTROL!$C$27, 0.0021, 0)</f>
        <v>49.618000000000002</v>
      </c>
      <c r="H188" s="14">
        <f>49.4812 * CHOOSE(CONTROL!$C$9, $D$9, 100%, $F$9) + CHOOSE(CONTROL!$C$27, 0.0021, 0)</f>
        <v>49.4833</v>
      </c>
      <c r="I188" s="14">
        <f>49.4812 * CHOOSE(CONTROL!$C$9, $D$9, 100%, $F$9) + CHOOSE(CONTROL!$C$27, 0.0021, 0)</f>
        <v>49.4833</v>
      </c>
      <c r="J188" s="14">
        <f>49.4812 * CHOOSE(CONTROL!$C$9, $D$9, 100%, $F$9) + CHOOSE(CONTROL!$C$27, 0.0021, 0)</f>
        <v>49.4833</v>
      </c>
      <c r="K188" s="14">
        <f>49.4812 * CHOOSE(CONTROL!$C$9, $D$9, 100%, $F$9) + CHOOSE(CONTROL!$C$27, 0.0021, 0)</f>
        <v>49.4833</v>
      </c>
      <c r="L188" s="14"/>
    </row>
    <row r="189" spans="1:12" ht="15" x14ac:dyDescent="0.2">
      <c r="A189" s="13">
        <v>46661</v>
      </c>
      <c r="B189" s="14">
        <f>51.2153 * CHOOSE(CONTROL!$C$9, $D$9, 100%, $F$9) + CHOOSE(CONTROL!$C$27, 0.0021, 0)</f>
        <v>51.217399999999998</v>
      </c>
      <c r="C189" s="14">
        <f>50.7831 * CHOOSE(CONTROL!$C$9, $D$9, 100%, $F$9) + CHOOSE(CONTROL!$C$27, 0.0021, 0)</f>
        <v>50.785199999999996</v>
      </c>
      <c r="D189" s="14">
        <f>50.7831 * CHOOSE(CONTROL!$C$9, $D$9, 100%, $F$9) + CHOOSE(CONTROL!$C$27, 0.0021, 0)</f>
        <v>50.785199999999996</v>
      </c>
      <c r="E189" s="14">
        <f>50.6464 * CHOOSE(CONTROL!$C$9, $D$9, 100%, $F$9) + CHOOSE(CONTROL!$C$27, 0.0021, 0)</f>
        <v>50.648499999999999</v>
      </c>
      <c r="F189" s="14">
        <f>50.6464 * CHOOSE(CONTROL!$C$9, $D$9, 100%, $F$9) + CHOOSE(CONTROL!$C$27, 0.0021, 0)</f>
        <v>50.648499999999999</v>
      </c>
      <c r="G189" s="14">
        <f>50.9178 * CHOOSE(CONTROL!$C$9, $D$9, 100%, $F$9) + CHOOSE(CONTROL!$C$27, 0.0021, 0)</f>
        <v>50.919899999999998</v>
      </c>
      <c r="H189" s="14">
        <f>50.7831 * CHOOSE(CONTROL!$C$9, $D$9, 100%, $F$9) + CHOOSE(CONTROL!$C$27, 0.0021, 0)</f>
        <v>50.785199999999996</v>
      </c>
      <c r="I189" s="14">
        <f>50.7831 * CHOOSE(CONTROL!$C$9, $D$9, 100%, $F$9) + CHOOSE(CONTROL!$C$27, 0.0021, 0)</f>
        <v>50.785199999999996</v>
      </c>
      <c r="J189" s="14">
        <f>50.7831 * CHOOSE(CONTROL!$C$9, $D$9, 100%, $F$9) + CHOOSE(CONTROL!$C$27, 0.0021, 0)</f>
        <v>50.785199999999996</v>
      </c>
      <c r="K189" s="14">
        <f>50.7831 * CHOOSE(CONTROL!$C$9, $D$9, 100%, $F$9) + CHOOSE(CONTROL!$C$27, 0.0021, 0)</f>
        <v>50.785199999999996</v>
      </c>
      <c r="L189" s="14"/>
    </row>
    <row r="190" spans="1:12" ht="15" x14ac:dyDescent="0.2">
      <c r="A190" s="13">
        <v>46692</v>
      </c>
      <c r="B190" s="14">
        <f>51.4294 * CHOOSE(CONTROL!$C$9, $D$9, 100%, $F$9) + CHOOSE(CONTROL!$C$27, 0.0021, 0)</f>
        <v>51.4315</v>
      </c>
      <c r="C190" s="14">
        <f>50.9971 * CHOOSE(CONTROL!$C$9, $D$9, 100%, $F$9) + CHOOSE(CONTROL!$C$27, 0.0021, 0)</f>
        <v>50.999200000000002</v>
      </c>
      <c r="D190" s="14">
        <f>50.9971 * CHOOSE(CONTROL!$C$9, $D$9, 100%, $F$9) + CHOOSE(CONTROL!$C$27, 0.0021, 0)</f>
        <v>50.999200000000002</v>
      </c>
      <c r="E190" s="14">
        <f>50.8605 * CHOOSE(CONTROL!$C$9, $D$9, 100%, $F$9) + CHOOSE(CONTROL!$C$27, 0.0021, 0)</f>
        <v>50.8626</v>
      </c>
      <c r="F190" s="14">
        <f>50.8605 * CHOOSE(CONTROL!$C$9, $D$9, 100%, $F$9) + CHOOSE(CONTROL!$C$27, 0.0021, 0)</f>
        <v>50.8626</v>
      </c>
      <c r="G190" s="14">
        <f>51.1318 * CHOOSE(CONTROL!$C$9, $D$9, 100%, $F$9) + CHOOSE(CONTROL!$C$27, 0.0021, 0)</f>
        <v>51.133899999999997</v>
      </c>
      <c r="H190" s="14">
        <f>50.9971 * CHOOSE(CONTROL!$C$9, $D$9, 100%, $F$9) + CHOOSE(CONTROL!$C$27, 0.0021, 0)</f>
        <v>50.999200000000002</v>
      </c>
      <c r="I190" s="14">
        <f>50.9971 * CHOOSE(CONTROL!$C$9, $D$9, 100%, $F$9) + CHOOSE(CONTROL!$C$27, 0.0021, 0)</f>
        <v>50.999200000000002</v>
      </c>
      <c r="J190" s="14">
        <f>50.9971 * CHOOSE(CONTROL!$C$9, $D$9, 100%, $F$9) + CHOOSE(CONTROL!$C$27, 0.0021, 0)</f>
        <v>50.999200000000002</v>
      </c>
      <c r="K190" s="14">
        <f>50.9971 * CHOOSE(CONTROL!$C$9, $D$9, 100%, $F$9) + CHOOSE(CONTROL!$C$27, 0.0021, 0)</f>
        <v>50.999200000000002</v>
      </c>
      <c r="L190" s="14"/>
    </row>
    <row r="191" spans="1:12" ht="15" x14ac:dyDescent="0.2">
      <c r="A191" s="13">
        <v>46722</v>
      </c>
      <c r="B191" s="14">
        <f>50.5651 * CHOOSE(CONTROL!$C$9, $D$9, 100%, $F$9) + CHOOSE(CONTROL!$C$27, 0.0021, 0)</f>
        <v>50.5672</v>
      </c>
      <c r="C191" s="14">
        <f>50.1329 * CHOOSE(CONTROL!$C$9, $D$9, 100%, $F$9) + CHOOSE(CONTROL!$C$27, 0.0021, 0)</f>
        <v>50.134999999999998</v>
      </c>
      <c r="D191" s="14">
        <f>50.1329 * CHOOSE(CONTROL!$C$9, $D$9, 100%, $F$9) + CHOOSE(CONTROL!$C$27, 0.0021, 0)</f>
        <v>50.134999999999998</v>
      </c>
      <c r="E191" s="14">
        <f>49.9962 * CHOOSE(CONTROL!$C$9, $D$9, 100%, $F$9) + CHOOSE(CONTROL!$C$27, 0.0021, 0)</f>
        <v>49.9983</v>
      </c>
      <c r="F191" s="14">
        <f>49.9962 * CHOOSE(CONTROL!$C$9, $D$9, 100%, $F$9) + CHOOSE(CONTROL!$C$27, 0.0021, 0)</f>
        <v>49.9983</v>
      </c>
      <c r="G191" s="14">
        <f>50.2676 * CHOOSE(CONTROL!$C$9, $D$9, 100%, $F$9) + CHOOSE(CONTROL!$C$27, 0.0021, 0)</f>
        <v>50.2697</v>
      </c>
      <c r="H191" s="14">
        <f>50.1329 * CHOOSE(CONTROL!$C$9, $D$9, 100%, $F$9) + CHOOSE(CONTROL!$C$27, 0.0021, 0)</f>
        <v>50.134999999999998</v>
      </c>
      <c r="I191" s="14">
        <f>50.1329 * CHOOSE(CONTROL!$C$9, $D$9, 100%, $F$9) + CHOOSE(CONTROL!$C$27, 0.0021, 0)</f>
        <v>50.134999999999998</v>
      </c>
      <c r="J191" s="14">
        <f>50.1329 * CHOOSE(CONTROL!$C$9, $D$9, 100%, $F$9) + CHOOSE(CONTROL!$C$27, 0.0021, 0)</f>
        <v>50.134999999999998</v>
      </c>
      <c r="K191" s="14">
        <f>50.1329 * CHOOSE(CONTROL!$C$9, $D$9, 100%, $F$9) + CHOOSE(CONTROL!$C$27, 0.0021, 0)</f>
        <v>50.134999999999998</v>
      </c>
      <c r="L191" s="14"/>
    </row>
    <row r="192" spans="1:12" ht="15" x14ac:dyDescent="0.2">
      <c r="A192" s="13">
        <v>46753</v>
      </c>
      <c r="B192" s="14">
        <f>50.036 * CHOOSE(CONTROL!$C$9, $D$9, 100%, $F$9) + CHOOSE(CONTROL!$C$27, 0.0021, 0)</f>
        <v>50.0381</v>
      </c>
      <c r="C192" s="14">
        <f>49.6038 * CHOOSE(CONTROL!$C$9, $D$9, 100%, $F$9) + CHOOSE(CONTROL!$C$27, 0.0021, 0)</f>
        <v>49.605899999999998</v>
      </c>
      <c r="D192" s="14">
        <f>49.6038 * CHOOSE(CONTROL!$C$9, $D$9, 100%, $F$9) + CHOOSE(CONTROL!$C$27, 0.0021, 0)</f>
        <v>49.605899999999998</v>
      </c>
      <c r="E192" s="14">
        <f>49.4671 * CHOOSE(CONTROL!$C$9, $D$9, 100%, $F$9) + CHOOSE(CONTROL!$C$27, 0.0021, 0)</f>
        <v>49.469200000000001</v>
      </c>
      <c r="F192" s="14">
        <f>49.4671 * CHOOSE(CONTROL!$C$9, $D$9, 100%, $F$9) + CHOOSE(CONTROL!$C$27, 0.0021, 0)</f>
        <v>49.469200000000001</v>
      </c>
      <c r="G192" s="14">
        <f>49.7385 * CHOOSE(CONTROL!$C$9, $D$9, 100%, $F$9) + CHOOSE(CONTROL!$C$27, 0.0021, 0)</f>
        <v>49.740600000000001</v>
      </c>
      <c r="H192" s="14">
        <f>49.6038 * CHOOSE(CONTROL!$C$9, $D$9, 100%, $F$9) + CHOOSE(CONTROL!$C$27, 0.0021, 0)</f>
        <v>49.605899999999998</v>
      </c>
      <c r="I192" s="14">
        <f>49.6038 * CHOOSE(CONTROL!$C$9, $D$9, 100%, $F$9) + CHOOSE(CONTROL!$C$27, 0.0021, 0)</f>
        <v>49.605899999999998</v>
      </c>
      <c r="J192" s="14">
        <f>49.6038 * CHOOSE(CONTROL!$C$9, $D$9, 100%, $F$9) + CHOOSE(CONTROL!$C$27, 0.0021, 0)</f>
        <v>49.605899999999998</v>
      </c>
      <c r="K192" s="14">
        <f>49.6038 * CHOOSE(CONTROL!$C$9, $D$9, 100%, $F$9) + CHOOSE(CONTROL!$C$27, 0.0021, 0)</f>
        <v>49.605899999999998</v>
      </c>
      <c r="L192" s="14"/>
    </row>
    <row r="193" spans="1:12" ht="15" x14ac:dyDescent="0.2">
      <c r="A193" s="13">
        <v>46784</v>
      </c>
      <c r="B193" s="14">
        <f>48.7811 * CHOOSE(CONTROL!$C$9, $D$9, 100%, $F$9) + CHOOSE(CONTROL!$C$27, 0.0021, 0)</f>
        <v>48.783200000000001</v>
      </c>
      <c r="C193" s="14">
        <f>48.3489 * CHOOSE(CONTROL!$C$9, $D$9, 100%, $F$9) + CHOOSE(CONTROL!$C$27, 0.0021, 0)</f>
        <v>48.350999999999999</v>
      </c>
      <c r="D193" s="14">
        <f>48.3489 * CHOOSE(CONTROL!$C$9, $D$9, 100%, $F$9) + CHOOSE(CONTROL!$C$27, 0.0021, 0)</f>
        <v>48.350999999999999</v>
      </c>
      <c r="E193" s="14">
        <f>48.2122 * CHOOSE(CONTROL!$C$9, $D$9, 100%, $F$9) + CHOOSE(CONTROL!$C$27, 0.0021, 0)</f>
        <v>48.214300000000001</v>
      </c>
      <c r="F193" s="14">
        <f>48.2122 * CHOOSE(CONTROL!$C$9, $D$9, 100%, $F$9) + CHOOSE(CONTROL!$C$27, 0.0021, 0)</f>
        <v>48.214300000000001</v>
      </c>
      <c r="G193" s="14">
        <f>48.4836 * CHOOSE(CONTROL!$C$9, $D$9, 100%, $F$9) + CHOOSE(CONTROL!$C$27, 0.0021, 0)</f>
        <v>48.485700000000001</v>
      </c>
      <c r="H193" s="14">
        <f>48.3489 * CHOOSE(CONTROL!$C$9, $D$9, 100%, $F$9) + CHOOSE(CONTROL!$C$27, 0.0021, 0)</f>
        <v>48.350999999999999</v>
      </c>
      <c r="I193" s="14">
        <f>48.3489 * CHOOSE(CONTROL!$C$9, $D$9, 100%, $F$9) + CHOOSE(CONTROL!$C$27, 0.0021, 0)</f>
        <v>48.350999999999999</v>
      </c>
      <c r="J193" s="14">
        <f>48.3489 * CHOOSE(CONTROL!$C$9, $D$9, 100%, $F$9) + CHOOSE(CONTROL!$C$27, 0.0021, 0)</f>
        <v>48.350999999999999</v>
      </c>
      <c r="K193" s="14">
        <f>48.3489 * CHOOSE(CONTROL!$C$9, $D$9, 100%, $F$9) + CHOOSE(CONTROL!$C$27, 0.0021, 0)</f>
        <v>48.350999999999999</v>
      </c>
      <c r="L193" s="14"/>
    </row>
    <row r="194" spans="1:12" ht="15" x14ac:dyDescent="0.2">
      <c r="A194" s="13">
        <v>46813</v>
      </c>
      <c r="B194" s="14">
        <f>48.3171 * CHOOSE(CONTROL!$C$9, $D$9, 100%, $F$9) + CHOOSE(CONTROL!$C$27, 0.0021, 0)</f>
        <v>48.319200000000002</v>
      </c>
      <c r="C194" s="14">
        <f>47.8849 * CHOOSE(CONTROL!$C$9, $D$9, 100%, $F$9) + CHOOSE(CONTROL!$C$27, 0.0021, 0)</f>
        <v>47.887</v>
      </c>
      <c r="D194" s="14">
        <f>47.8849 * CHOOSE(CONTROL!$C$9, $D$9, 100%, $F$9) + CHOOSE(CONTROL!$C$27, 0.0021, 0)</f>
        <v>47.887</v>
      </c>
      <c r="E194" s="14">
        <f>47.7482 * CHOOSE(CONTROL!$C$9, $D$9, 100%, $F$9) + CHOOSE(CONTROL!$C$27, 0.0021, 0)</f>
        <v>47.750299999999996</v>
      </c>
      <c r="F194" s="14">
        <f>47.7482 * CHOOSE(CONTROL!$C$9, $D$9, 100%, $F$9) + CHOOSE(CONTROL!$C$27, 0.0021, 0)</f>
        <v>47.750299999999996</v>
      </c>
      <c r="G194" s="14">
        <f>48.0196 * CHOOSE(CONTROL!$C$9, $D$9, 100%, $F$9) + CHOOSE(CONTROL!$C$27, 0.0021, 0)</f>
        <v>48.021699999999996</v>
      </c>
      <c r="H194" s="14">
        <f>47.8849 * CHOOSE(CONTROL!$C$9, $D$9, 100%, $F$9) + CHOOSE(CONTROL!$C$27, 0.0021, 0)</f>
        <v>47.887</v>
      </c>
      <c r="I194" s="14">
        <f>47.8849 * CHOOSE(CONTROL!$C$9, $D$9, 100%, $F$9) + CHOOSE(CONTROL!$C$27, 0.0021, 0)</f>
        <v>47.887</v>
      </c>
      <c r="J194" s="14">
        <f>47.8849 * CHOOSE(CONTROL!$C$9, $D$9, 100%, $F$9) + CHOOSE(CONTROL!$C$27, 0.0021, 0)</f>
        <v>47.887</v>
      </c>
      <c r="K194" s="14">
        <f>47.8849 * CHOOSE(CONTROL!$C$9, $D$9, 100%, $F$9) + CHOOSE(CONTROL!$C$27, 0.0021, 0)</f>
        <v>47.887</v>
      </c>
      <c r="L194" s="14"/>
    </row>
    <row r="195" spans="1:12" ht="15" x14ac:dyDescent="0.2">
      <c r="A195" s="13">
        <v>46844</v>
      </c>
      <c r="B195" s="14">
        <f>47.7422 * CHOOSE(CONTROL!$C$9, $D$9, 100%, $F$9) + CHOOSE(CONTROL!$C$27, 0.0021, 0)</f>
        <v>47.744299999999996</v>
      </c>
      <c r="C195" s="14">
        <f>47.31 * CHOOSE(CONTROL!$C$9, $D$9, 100%, $F$9) + CHOOSE(CONTROL!$C$27, 0.0021, 0)</f>
        <v>47.312100000000001</v>
      </c>
      <c r="D195" s="14">
        <f>47.31 * CHOOSE(CONTROL!$C$9, $D$9, 100%, $F$9) + CHOOSE(CONTROL!$C$27, 0.0021, 0)</f>
        <v>47.312100000000001</v>
      </c>
      <c r="E195" s="14">
        <f>47.1733 * CHOOSE(CONTROL!$C$9, $D$9, 100%, $F$9) + CHOOSE(CONTROL!$C$27, 0.0021, 0)</f>
        <v>47.175399999999996</v>
      </c>
      <c r="F195" s="14">
        <f>47.1733 * CHOOSE(CONTROL!$C$9, $D$9, 100%, $F$9) + CHOOSE(CONTROL!$C$27, 0.0021, 0)</f>
        <v>47.175399999999996</v>
      </c>
      <c r="G195" s="14">
        <f>47.4447 * CHOOSE(CONTROL!$C$9, $D$9, 100%, $F$9) + CHOOSE(CONTROL!$C$27, 0.0021, 0)</f>
        <v>47.446799999999996</v>
      </c>
      <c r="H195" s="14">
        <f>47.31 * CHOOSE(CONTROL!$C$9, $D$9, 100%, $F$9) + CHOOSE(CONTROL!$C$27, 0.0021, 0)</f>
        <v>47.312100000000001</v>
      </c>
      <c r="I195" s="14">
        <f>47.31 * CHOOSE(CONTROL!$C$9, $D$9, 100%, $F$9) + CHOOSE(CONTROL!$C$27, 0.0021, 0)</f>
        <v>47.312100000000001</v>
      </c>
      <c r="J195" s="14">
        <f>47.31 * CHOOSE(CONTROL!$C$9, $D$9, 100%, $F$9) + CHOOSE(CONTROL!$C$27, 0.0021, 0)</f>
        <v>47.312100000000001</v>
      </c>
      <c r="K195" s="14">
        <f>47.31 * CHOOSE(CONTROL!$C$9, $D$9, 100%, $F$9) + CHOOSE(CONTROL!$C$27, 0.0021, 0)</f>
        <v>47.312100000000001</v>
      </c>
      <c r="L195" s="14"/>
    </row>
    <row r="196" spans="1:12" ht="15" x14ac:dyDescent="0.2">
      <c r="A196" s="13">
        <v>46874</v>
      </c>
      <c r="B196" s="14">
        <f>48.7923 * CHOOSE(CONTROL!$C$9, $D$9, 100%, $F$9) + CHOOSE(CONTROL!$C$27, 0.0021, 0)</f>
        <v>48.794399999999996</v>
      </c>
      <c r="C196" s="14">
        <f>48.36 * CHOOSE(CONTROL!$C$9, $D$9, 100%, $F$9) + CHOOSE(CONTROL!$C$27, 0.0021, 0)</f>
        <v>48.362099999999998</v>
      </c>
      <c r="D196" s="14">
        <f>48.36 * CHOOSE(CONTROL!$C$9, $D$9, 100%, $F$9) + CHOOSE(CONTROL!$C$27, 0.0021, 0)</f>
        <v>48.362099999999998</v>
      </c>
      <c r="E196" s="14">
        <f>48.2233 * CHOOSE(CONTROL!$C$9, $D$9, 100%, $F$9) + CHOOSE(CONTROL!$C$27, 0.0021, 0)</f>
        <v>48.2254</v>
      </c>
      <c r="F196" s="14">
        <f>48.2233 * CHOOSE(CONTROL!$C$9, $D$9, 100%, $F$9) + CHOOSE(CONTROL!$C$27, 0.0021, 0)</f>
        <v>48.2254</v>
      </c>
      <c r="G196" s="14">
        <f>48.4947 * CHOOSE(CONTROL!$C$9, $D$9, 100%, $F$9) + CHOOSE(CONTROL!$C$27, 0.0021, 0)</f>
        <v>48.4968</v>
      </c>
      <c r="H196" s="14">
        <f>48.36 * CHOOSE(CONTROL!$C$9, $D$9, 100%, $F$9) + CHOOSE(CONTROL!$C$27, 0.0021, 0)</f>
        <v>48.362099999999998</v>
      </c>
      <c r="I196" s="14">
        <f>48.36 * CHOOSE(CONTROL!$C$9, $D$9, 100%, $F$9) + CHOOSE(CONTROL!$C$27, 0.0021, 0)</f>
        <v>48.362099999999998</v>
      </c>
      <c r="J196" s="14">
        <f>48.36 * CHOOSE(CONTROL!$C$9, $D$9, 100%, $F$9) + CHOOSE(CONTROL!$C$27, 0.0021, 0)</f>
        <v>48.362099999999998</v>
      </c>
      <c r="K196" s="14">
        <f>48.36 * CHOOSE(CONTROL!$C$9, $D$9, 100%, $F$9) + CHOOSE(CONTROL!$C$27, 0.0021, 0)</f>
        <v>48.362099999999998</v>
      </c>
      <c r="L196" s="14"/>
    </row>
    <row r="197" spans="1:12" ht="15" x14ac:dyDescent="0.2">
      <c r="A197" s="13">
        <v>46905</v>
      </c>
      <c r="B197" s="14">
        <f>49.4621 * CHOOSE(CONTROL!$C$9, $D$9, 100%, $F$9) + CHOOSE(CONTROL!$C$27, 0.0021, 0)</f>
        <v>49.464199999999998</v>
      </c>
      <c r="C197" s="14">
        <f>49.0298 * CHOOSE(CONTROL!$C$9, $D$9, 100%, $F$9) + CHOOSE(CONTROL!$C$27, 0.0021, 0)</f>
        <v>49.0319</v>
      </c>
      <c r="D197" s="14">
        <f>49.0298 * CHOOSE(CONTROL!$C$9, $D$9, 100%, $F$9) + CHOOSE(CONTROL!$C$27, 0.0021, 0)</f>
        <v>49.0319</v>
      </c>
      <c r="E197" s="14">
        <f>48.8932 * CHOOSE(CONTROL!$C$9, $D$9, 100%, $F$9) + CHOOSE(CONTROL!$C$27, 0.0021, 0)</f>
        <v>48.895299999999999</v>
      </c>
      <c r="F197" s="14">
        <f>48.8932 * CHOOSE(CONTROL!$C$9, $D$9, 100%, $F$9) + CHOOSE(CONTROL!$C$27, 0.0021, 0)</f>
        <v>48.895299999999999</v>
      </c>
      <c r="G197" s="14">
        <f>49.1646 * CHOOSE(CONTROL!$C$9, $D$9, 100%, $F$9) + CHOOSE(CONTROL!$C$27, 0.0021, 0)</f>
        <v>49.166699999999999</v>
      </c>
      <c r="H197" s="14">
        <f>49.0298 * CHOOSE(CONTROL!$C$9, $D$9, 100%, $F$9) + CHOOSE(CONTROL!$C$27, 0.0021, 0)</f>
        <v>49.0319</v>
      </c>
      <c r="I197" s="14">
        <f>49.0298 * CHOOSE(CONTROL!$C$9, $D$9, 100%, $F$9) + CHOOSE(CONTROL!$C$27, 0.0021, 0)</f>
        <v>49.0319</v>
      </c>
      <c r="J197" s="14">
        <f>49.0298 * CHOOSE(CONTROL!$C$9, $D$9, 100%, $F$9) + CHOOSE(CONTROL!$C$27, 0.0021, 0)</f>
        <v>49.0319</v>
      </c>
      <c r="K197" s="14">
        <f>49.0298 * CHOOSE(CONTROL!$C$9, $D$9, 100%, $F$9) + CHOOSE(CONTROL!$C$27, 0.0021, 0)</f>
        <v>49.0319</v>
      </c>
      <c r="L197" s="14"/>
    </row>
    <row r="198" spans="1:12" ht="15" x14ac:dyDescent="0.2">
      <c r="A198" s="13">
        <v>46935</v>
      </c>
      <c r="B198" s="14">
        <f>50.5082 * CHOOSE(CONTROL!$C$9, $D$9, 100%, $F$9) + CHOOSE(CONTROL!$C$27, 0.0021, 0)</f>
        <v>50.510300000000001</v>
      </c>
      <c r="C198" s="14">
        <f>50.0759 * CHOOSE(CONTROL!$C$9, $D$9, 100%, $F$9) + CHOOSE(CONTROL!$C$27, 0.0021, 0)</f>
        <v>50.077999999999996</v>
      </c>
      <c r="D198" s="14">
        <f>50.0759 * CHOOSE(CONTROL!$C$9, $D$9, 100%, $F$9) + CHOOSE(CONTROL!$C$27, 0.0021, 0)</f>
        <v>50.077999999999996</v>
      </c>
      <c r="E198" s="14">
        <f>49.9393 * CHOOSE(CONTROL!$C$9, $D$9, 100%, $F$9) + CHOOSE(CONTROL!$C$27, 0.0021, 0)</f>
        <v>49.941400000000002</v>
      </c>
      <c r="F198" s="14">
        <f>49.9393 * CHOOSE(CONTROL!$C$9, $D$9, 100%, $F$9) + CHOOSE(CONTROL!$C$27, 0.0021, 0)</f>
        <v>49.941400000000002</v>
      </c>
      <c r="G198" s="14">
        <f>50.2106 * CHOOSE(CONTROL!$C$9, $D$9, 100%, $F$9) + CHOOSE(CONTROL!$C$27, 0.0021, 0)</f>
        <v>50.212699999999998</v>
      </c>
      <c r="H198" s="14">
        <f>50.0759 * CHOOSE(CONTROL!$C$9, $D$9, 100%, $F$9) + CHOOSE(CONTROL!$C$27, 0.0021, 0)</f>
        <v>50.077999999999996</v>
      </c>
      <c r="I198" s="14">
        <f>50.0759 * CHOOSE(CONTROL!$C$9, $D$9, 100%, $F$9) + CHOOSE(CONTROL!$C$27, 0.0021, 0)</f>
        <v>50.077999999999996</v>
      </c>
      <c r="J198" s="14">
        <f>50.0759 * CHOOSE(CONTROL!$C$9, $D$9, 100%, $F$9) + CHOOSE(CONTROL!$C$27, 0.0021, 0)</f>
        <v>50.077999999999996</v>
      </c>
      <c r="K198" s="14">
        <f>50.0759 * CHOOSE(CONTROL!$C$9, $D$9, 100%, $F$9) + CHOOSE(CONTROL!$C$27, 0.0021, 0)</f>
        <v>50.077999999999996</v>
      </c>
      <c r="L198" s="14"/>
    </row>
    <row r="199" spans="1:12" ht="15" x14ac:dyDescent="0.2">
      <c r="A199" s="13">
        <v>46966</v>
      </c>
      <c r="B199" s="14">
        <f>50.8977 * CHOOSE(CONTROL!$C$9, $D$9, 100%, $F$9) + CHOOSE(CONTROL!$C$27, 0.0021, 0)</f>
        <v>50.899799999999999</v>
      </c>
      <c r="C199" s="14">
        <f>50.4655 * CHOOSE(CONTROL!$C$9, $D$9, 100%, $F$9) + CHOOSE(CONTROL!$C$27, 0.0021, 0)</f>
        <v>50.467599999999997</v>
      </c>
      <c r="D199" s="14">
        <f>50.4655 * CHOOSE(CONTROL!$C$9, $D$9, 100%, $F$9) + CHOOSE(CONTROL!$C$27, 0.0021, 0)</f>
        <v>50.467599999999997</v>
      </c>
      <c r="E199" s="14">
        <f>50.3288 * CHOOSE(CONTROL!$C$9, $D$9, 100%, $F$9) + CHOOSE(CONTROL!$C$27, 0.0021, 0)</f>
        <v>50.3309</v>
      </c>
      <c r="F199" s="14">
        <f>50.3288 * CHOOSE(CONTROL!$C$9, $D$9, 100%, $F$9) + CHOOSE(CONTROL!$C$27, 0.0021, 0)</f>
        <v>50.3309</v>
      </c>
      <c r="G199" s="14">
        <f>50.6002 * CHOOSE(CONTROL!$C$9, $D$9, 100%, $F$9) + CHOOSE(CONTROL!$C$27, 0.0021, 0)</f>
        <v>50.6023</v>
      </c>
      <c r="H199" s="14">
        <f>50.4655 * CHOOSE(CONTROL!$C$9, $D$9, 100%, $F$9) + CHOOSE(CONTROL!$C$27, 0.0021, 0)</f>
        <v>50.467599999999997</v>
      </c>
      <c r="I199" s="14">
        <f>50.4655 * CHOOSE(CONTROL!$C$9, $D$9, 100%, $F$9) + CHOOSE(CONTROL!$C$27, 0.0021, 0)</f>
        <v>50.467599999999997</v>
      </c>
      <c r="J199" s="14">
        <f>50.4655 * CHOOSE(CONTROL!$C$9, $D$9, 100%, $F$9) + CHOOSE(CONTROL!$C$27, 0.0021, 0)</f>
        <v>50.467599999999997</v>
      </c>
      <c r="K199" s="14">
        <f>50.4655 * CHOOSE(CONTROL!$C$9, $D$9, 100%, $F$9) + CHOOSE(CONTROL!$C$27, 0.0021, 0)</f>
        <v>50.467599999999997</v>
      </c>
      <c r="L199" s="14"/>
    </row>
    <row r="200" spans="1:12" ht="15" x14ac:dyDescent="0.2">
      <c r="A200" s="13">
        <v>46997</v>
      </c>
      <c r="B200" s="14">
        <f>51.9883 * CHOOSE(CONTROL!$C$9, $D$9, 100%, $F$9) + CHOOSE(CONTROL!$C$27, 0.0021, 0)</f>
        <v>51.990400000000001</v>
      </c>
      <c r="C200" s="14">
        <f>51.556 * CHOOSE(CONTROL!$C$9, $D$9, 100%, $F$9) + CHOOSE(CONTROL!$C$27, 0.0021, 0)</f>
        <v>51.558099999999996</v>
      </c>
      <c r="D200" s="14">
        <f>51.556 * CHOOSE(CONTROL!$C$9, $D$9, 100%, $F$9) + CHOOSE(CONTROL!$C$27, 0.0021, 0)</f>
        <v>51.558099999999996</v>
      </c>
      <c r="E200" s="14">
        <f>51.4193 * CHOOSE(CONTROL!$C$9, $D$9, 100%, $F$9) + CHOOSE(CONTROL!$C$27, 0.0021, 0)</f>
        <v>51.421399999999998</v>
      </c>
      <c r="F200" s="14">
        <f>51.4193 * CHOOSE(CONTROL!$C$9, $D$9, 100%, $F$9) + CHOOSE(CONTROL!$C$27, 0.0021, 0)</f>
        <v>51.421399999999998</v>
      </c>
      <c r="G200" s="14">
        <f>51.6907 * CHOOSE(CONTROL!$C$9, $D$9, 100%, $F$9) + CHOOSE(CONTROL!$C$27, 0.0021, 0)</f>
        <v>51.692799999999998</v>
      </c>
      <c r="H200" s="14">
        <f>51.556 * CHOOSE(CONTROL!$C$9, $D$9, 100%, $F$9) + CHOOSE(CONTROL!$C$27, 0.0021, 0)</f>
        <v>51.558099999999996</v>
      </c>
      <c r="I200" s="14">
        <f>51.556 * CHOOSE(CONTROL!$C$9, $D$9, 100%, $F$9) + CHOOSE(CONTROL!$C$27, 0.0021, 0)</f>
        <v>51.558099999999996</v>
      </c>
      <c r="J200" s="14">
        <f>51.556 * CHOOSE(CONTROL!$C$9, $D$9, 100%, $F$9) + CHOOSE(CONTROL!$C$27, 0.0021, 0)</f>
        <v>51.558099999999996</v>
      </c>
      <c r="K200" s="14">
        <f>51.556 * CHOOSE(CONTROL!$C$9, $D$9, 100%, $F$9) + CHOOSE(CONTROL!$C$27, 0.0021, 0)</f>
        <v>51.558099999999996</v>
      </c>
      <c r="L200" s="14"/>
    </row>
    <row r="201" spans="1:12" ht="15" x14ac:dyDescent="0.2">
      <c r="A201" s="13">
        <v>47027</v>
      </c>
      <c r="B201" s="14">
        <f>53.3469 * CHOOSE(CONTROL!$C$9, $D$9, 100%, $F$9) + CHOOSE(CONTROL!$C$27, 0.0021, 0)</f>
        <v>53.348999999999997</v>
      </c>
      <c r="C201" s="14">
        <f>52.9147 * CHOOSE(CONTROL!$C$9, $D$9, 100%, $F$9) + CHOOSE(CONTROL!$C$27, 0.0021, 0)</f>
        <v>52.916800000000002</v>
      </c>
      <c r="D201" s="14">
        <f>52.9147 * CHOOSE(CONTROL!$C$9, $D$9, 100%, $F$9) + CHOOSE(CONTROL!$C$27, 0.0021, 0)</f>
        <v>52.916800000000002</v>
      </c>
      <c r="E201" s="14">
        <f>52.778 * CHOOSE(CONTROL!$C$9, $D$9, 100%, $F$9) + CHOOSE(CONTROL!$C$27, 0.0021, 0)</f>
        <v>52.780099999999997</v>
      </c>
      <c r="F201" s="14">
        <f>52.778 * CHOOSE(CONTROL!$C$9, $D$9, 100%, $F$9) + CHOOSE(CONTROL!$C$27, 0.0021, 0)</f>
        <v>52.780099999999997</v>
      </c>
      <c r="G201" s="14">
        <f>53.0494 * CHOOSE(CONTROL!$C$9, $D$9, 100%, $F$9) + CHOOSE(CONTROL!$C$27, 0.0021, 0)</f>
        <v>53.051499999999997</v>
      </c>
      <c r="H201" s="14">
        <f>52.9147 * CHOOSE(CONTROL!$C$9, $D$9, 100%, $F$9) + CHOOSE(CONTROL!$C$27, 0.0021, 0)</f>
        <v>52.916800000000002</v>
      </c>
      <c r="I201" s="14">
        <f>52.9147 * CHOOSE(CONTROL!$C$9, $D$9, 100%, $F$9) + CHOOSE(CONTROL!$C$27, 0.0021, 0)</f>
        <v>52.916800000000002</v>
      </c>
      <c r="J201" s="14">
        <f>52.9147 * CHOOSE(CONTROL!$C$9, $D$9, 100%, $F$9) + CHOOSE(CONTROL!$C$27, 0.0021, 0)</f>
        <v>52.916800000000002</v>
      </c>
      <c r="K201" s="14">
        <f>52.9147 * CHOOSE(CONTROL!$C$9, $D$9, 100%, $F$9) + CHOOSE(CONTROL!$C$27, 0.0021, 0)</f>
        <v>52.916800000000002</v>
      </c>
      <c r="L201" s="14"/>
    </row>
    <row r="202" spans="1:12" ht="15" x14ac:dyDescent="0.2">
      <c r="A202" s="13">
        <v>47058</v>
      </c>
      <c r="B202" s="14">
        <f>53.5703 * CHOOSE(CONTROL!$C$9, $D$9, 100%, $F$9) + CHOOSE(CONTROL!$C$27, 0.0021, 0)</f>
        <v>53.572400000000002</v>
      </c>
      <c r="C202" s="14">
        <f>53.138 * CHOOSE(CONTROL!$C$9, $D$9, 100%, $F$9) + CHOOSE(CONTROL!$C$27, 0.0021, 0)</f>
        <v>53.140099999999997</v>
      </c>
      <c r="D202" s="14">
        <f>53.138 * CHOOSE(CONTROL!$C$9, $D$9, 100%, $F$9) + CHOOSE(CONTROL!$C$27, 0.0021, 0)</f>
        <v>53.140099999999997</v>
      </c>
      <c r="E202" s="14">
        <f>53.0013 * CHOOSE(CONTROL!$C$9, $D$9, 100%, $F$9) + CHOOSE(CONTROL!$C$27, 0.0021, 0)</f>
        <v>53.003399999999999</v>
      </c>
      <c r="F202" s="14">
        <f>53.0013 * CHOOSE(CONTROL!$C$9, $D$9, 100%, $F$9) + CHOOSE(CONTROL!$C$27, 0.0021, 0)</f>
        <v>53.003399999999999</v>
      </c>
      <c r="G202" s="14">
        <f>53.2727 * CHOOSE(CONTROL!$C$9, $D$9, 100%, $F$9) + CHOOSE(CONTROL!$C$27, 0.0021, 0)</f>
        <v>53.274799999999999</v>
      </c>
      <c r="H202" s="14">
        <f>53.138 * CHOOSE(CONTROL!$C$9, $D$9, 100%, $F$9) + CHOOSE(CONTROL!$C$27, 0.0021, 0)</f>
        <v>53.140099999999997</v>
      </c>
      <c r="I202" s="14">
        <f>53.138 * CHOOSE(CONTROL!$C$9, $D$9, 100%, $F$9) + CHOOSE(CONTROL!$C$27, 0.0021, 0)</f>
        <v>53.140099999999997</v>
      </c>
      <c r="J202" s="14">
        <f>53.138 * CHOOSE(CONTROL!$C$9, $D$9, 100%, $F$9) + CHOOSE(CONTROL!$C$27, 0.0021, 0)</f>
        <v>53.140099999999997</v>
      </c>
      <c r="K202" s="14">
        <f>53.138 * CHOOSE(CONTROL!$C$9, $D$9, 100%, $F$9) + CHOOSE(CONTROL!$C$27, 0.0021, 0)</f>
        <v>53.140099999999997</v>
      </c>
      <c r="L202" s="14"/>
    </row>
    <row r="203" spans="1:12" ht="15" x14ac:dyDescent="0.2">
      <c r="A203" s="13">
        <v>47088</v>
      </c>
      <c r="B203" s="14">
        <f>52.6684 * CHOOSE(CONTROL!$C$9, $D$9, 100%, $F$9) + CHOOSE(CONTROL!$C$27, 0.0021, 0)</f>
        <v>52.670499999999997</v>
      </c>
      <c r="C203" s="14">
        <f>52.2361 * CHOOSE(CONTROL!$C$9, $D$9, 100%, $F$9) + CHOOSE(CONTROL!$C$27, 0.0021, 0)</f>
        <v>52.238199999999999</v>
      </c>
      <c r="D203" s="14">
        <f>52.2361 * CHOOSE(CONTROL!$C$9, $D$9, 100%, $F$9) + CHOOSE(CONTROL!$C$27, 0.0021, 0)</f>
        <v>52.238199999999999</v>
      </c>
      <c r="E203" s="14">
        <f>52.0995 * CHOOSE(CONTROL!$C$9, $D$9, 100%, $F$9) + CHOOSE(CONTROL!$C$27, 0.0021, 0)</f>
        <v>52.101599999999998</v>
      </c>
      <c r="F203" s="14">
        <f>52.0995 * CHOOSE(CONTROL!$C$9, $D$9, 100%, $F$9) + CHOOSE(CONTROL!$C$27, 0.0021, 0)</f>
        <v>52.101599999999998</v>
      </c>
      <c r="G203" s="14">
        <f>52.3708 * CHOOSE(CONTROL!$C$9, $D$9, 100%, $F$9) + CHOOSE(CONTROL!$C$27, 0.0021, 0)</f>
        <v>52.372900000000001</v>
      </c>
      <c r="H203" s="14">
        <f>52.2361 * CHOOSE(CONTROL!$C$9, $D$9, 100%, $F$9) + CHOOSE(CONTROL!$C$27, 0.0021, 0)</f>
        <v>52.238199999999999</v>
      </c>
      <c r="I203" s="14">
        <f>52.2361 * CHOOSE(CONTROL!$C$9, $D$9, 100%, $F$9) + CHOOSE(CONTROL!$C$27, 0.0021, 0)</f>
        <v>52.238199999999999</v>
      </c>
      <c r="J203" s="14">
        <f>52.2361 * CHOOSE(CONTROL!$C$9, $D$9, 100%, $F$9) + CHOOSE(CONTROL!$C$27, 0.0021, 0)</f>
        <v>52.238199999999999</v>
      </c>
      <c r="K203" s="14">
        <f>52.2361 * CHOOSE(CONTROL!$C$9, $D$9, 100%, $F$9) + CHOOSE(CONTROL!$C$27, 0.0021, 0)</f>
        <v>52.238199999999999</v>
      </c>
      <c r="L203" s="14"/>
    </row>
    <row r="204" spans="1:12" ht="15" x14ac:dyDescent="0.2">
      <c r="A204" s="13">
        <v>47119</v>
      </c>
      <c r="B204" s="14">
        <f>52.1433 * CHOOSE(CONTROL!$C$9, $D$9, 100%, $F$9) + CHOOSE(CONTROL!$C$27, 0.0021, 0)</f>
        <v>52.145400000000002</v>
      </c>
      <c r="C204" s="14">
        <f>51.711 * CHOOSE(CONTROL!$C$9, $D$9, 100%, $F$9) + CHOOSE(CONTROL!$C$27, 0.0021, 0)</f>
        <v>51.713099999999997</v>
      </c>
      <c r="D204" s="14">
        <f>51.711 * CHOOSE(CONTROL!$C$9, $D$9, 100%, $F$9) + CHOOSE(CONTROL!$C$27, 0.0021, 0)</f>
        <v>51.713099999999997</v>
      </c>
      <c r="E204" s="14">
        <f>51.5744 * CHOOSE(CONTROL!$C$9, $D$9, 100%, $F$9) + CHOOSE(CONTROL!$C$27, 0.0021, 0)</f>
        <v>51.576499999999996</v>
      </c>
      <c r="F204" s="14">
        <f>51.5744 * CHOOSE(CONTROL!$C$9, $D$9, 100%, $F$9) + CHOOSE(CONTROL!$C$27, 0.0021, 0)</f>
        <v>51.576499999999996</v>
      </c>
      <c r="G204" s="14">
        <f>51.8457 * CHOOSE(CONTROL!$C$9, $D$9, 100%, $F$9) + CHOOSE(CONTROL!$C$27, 0.0021, 0)</f>
        <v>51.847799999999999</v>
      </c>
      <c r="H204" s="14">
        <f>51.711 * CHOOSE(CONTROL!$C$9, $D$9, 100%, $F$9) + CHOOSE(CONTROL!$C$27, 0.0021, 0)</f>
        <v>51.713099999999997</v>
      </c>
      <c r="I204" s="14">
        <f>51.711 * CHOOSE(CONTROL!$C$9, $D$9, 100%, $F$9) + CHOOSE(CONTROL!$C$27, 0.0021, 0)</f>
        <v>51.713099999999997</v>
      </c>
      <c r="J204" s="14">
        <f>51.711 * CHOOSE(CONTROL!$C$9, $D$9, 100%, $F$9) + CHOOSE(CONTROL!$C$27, 0.0021, 0)</f>
        <v>51.713099999999997</v>
      </c>
      <c r="K204" s="14">
        <f>51.711 * CHOOSE(CONTROL!$C$9, $D$9, 100%, $F$9) + CHOOSE(CONTROL!$C$27, 0.0021, 0)</f>
        <v>51.713099999999997</v>
      </c>
      <c r="L204" s="14"/>
    </row>
    <row r="205" spans="1:12" ht="15" x14ac:dyDescent="0.2">
      <c r="A205" s="13">
        <v>47150</v>
      </c>
      <c r="B205" s="14">
        <f>50.833 * CHOOSE(CONTROL!$C$9, $D$9, 100%, $F$9) + CHOOSE(CONTROL!$C$27, 0.0021, 0)</f>
        <v>50.835099999999997</v>
      </c>
      <c r="C205" s="14">
        <f>50.4007 * CHOOSE(CONTROL!$C$9, $D$9, 100%, $F$9) + CHOOSE(CONTROL!$C$27, 0.0021, 0)</f>
        <v>50.402799999999999</v>
      </c>
      <c r="D205" s="14">
        <f>50.4007 * CHOOSE(CONTROL!$C$9, $D$9, 100%, $F$9) + CHOOSE(CONTROL!$C$27, 0.0021, 0)</f>
        <v>50.402799999999999</v>
      </c>
      <c r="E205" s="14">
        <f>50.2641 * CHOOSE(CONTROL!$C$9, $D$9, 100%, $F$9) + CHOOSE(CONTROL!$C$27, 0.0021, 0)</f>
        <v>50.266199999999998</v>
      </c>
      <c r="F205" s="14">
        <f>50.2641 * CHOOSE(CONTROL!$C$9, $D$9, 100%, $F$9) + CHOOSE(CONTROL!$C$27, 0.0021, 0)</f>
        <v>50.266199999999998</v>
      </c>
      <c r="G205" s="14">
        <f>50.5355 * CHOOSE(CONTROL!$C$9, $D$9, 100%, $F$9) + CHOOSE(CONTROL!$C$27, 0.0021, 0)</f>
        <v>50.537599999999998</v>
      </c>
      <c r="H205" s="14">
        <f>50.4007 * CHOOSE(CONTROL!$C$9, $D$9, 100%, $F$9) + CHOOSE(CONTROL!$C$27, 0.0021, 0)</f>
        <v>50.402799999999999</v>
      </c>
      <c r="I205" s="14">
        <f>50.4007 * CHOOSE(CONTROL!$C$9, $D$9, 100%, $F$9) + CHOOSE(CONTROL!$C$27, 0.0021, 0)</f>
        <v>50.402799999999999</v>
      </c>
      <c r="J205" s="14">
        <f>50.4007 * CHOOSE(CONTROL!$C$9, $D$9, 100%, $F$9) + CHOOSE(CONTROL!$C$27, 0.0021, 0)</f>
        <v>50.402799999999999</v>
      </c>
      <c r="K205" s="14">
        <f>50.4007 * CHOOSE(CONTROL!$C$9, $D$9, 100%, $F$9) + CHOOSE(CONTROL!$C$27, 0.0021, 0)</f>
        <v>50.402799999999999</v>
      </c>
      <c r="L205" s="14"/>
    </row>
    <row r="206" spans="1:12" ht="15" x14ac:dyDescent="0.2">
      <c r="A206" s="13">
        <v>47178</v>
      </c>
      <c r="B206" s="14">
        <f>50.3485 * CHOOSE(CONTROL!$C$9, $D$9, 100%, $F$9) + CHOOSE(CONTROL!$C$27, 0.0021, 0)</f>
        <v>50.3506</v>
      </c>
      <c r="C206" s="14">
        <f>49.9163 * CHOOSE(CONTROL!$C$9, $D$9, 100%, $F$9) + CHOOSE(CONTROL!$C$27, 0.0021, 0)</f>
        <v>49.918399999999998</v>
      </c>
      <c r="D206" s="14">
        <f>49.9163 * CHOOSE(CONTROL!$C$9, $D$9, 100%, $F$9) + CHOOSE(CONTROL!$C$27, 0.0021, 0)</f>
        <v>49.918399999999998</v>
      </c>
      <c r="E206" s="14">
        <f>49.7796 * CHOOSE(CONTROL!$C$9, $D$9, 100%, $F$9) + CHOOSE(CONTROL!$C$27, 0.0021, 0)</f>
        <v>49.781700000000001</v>
      </c>
      <c r="F206" s="14">
        <f>49.7796 * CHOOSE(CONTROL!$C$9, $D$9, 100%, $F$9) + CHOOSE(CONTROL!$C$27, 0.0021, 0)</f>
        <v>49.781700000000001</v>
      </c>
      <c r="G206" s="14">
        <f>50.051 * CHOOSE(CONTROL!$C$9, $D$9, 100%, $F$9) + CHOOSE(CONTROL!$C$27, 0.0021, 0)</f>
        <v>50.053100000000001</v>
      </c>
      <c r="H206" s="14">
        <f>49.9163 * CHOOSE(CONTROL!$C$9, $D$9, 100%, $F$9) + CHOOSE(CONTROL!$C$27, 0.0021, 0)</f>
        <v>49.918399999999998</v>
      </c>
      <c r="I206" s="14">
        <f>49.9163 * CHOOSE(CONTROL!$C$9, $D$9, 100%, $F$9) + CHOOSE(CONTROL!$C$27, 0.0021, 0)</f>
        <v>49.918399999999998</v>
      </c>
      <c r="J206" s="14">
        <f>49.9163 * CHOOSE(CONTROL!$C$9, $D$9, 100%, $F$9) + CHOOSE(CONTROL!$C$27, 0.0021, 0)</f>
        <v>49.918399999999998</v>
      </c>
      <c r="K206" s="14">
        <f>49.9163 * CHOOSE(CONTROL!$C$9, $D$9, 100%, $F$9) + CHOOSE(CONTROL!$C$27, 0.0021, 0)</f>
        <v>49.918399999999998</v>
      </c>
      <c r="L206" s="14"/>
    </row>
    <row r="207" spans="1:12" ht="15" x14ac:dyDescent="0.2">
      <c r="A207" s="13">
        <v>47209</v>
      </c>
      <c r="B207" s="14">
        <f>49.7482 * CHOOSE(CONTROL!$C$9, $D$9, 100%, $F$9) + CHOOSE(CONTROL!$C$27, 0.0021, 0)</f>
        <v>49.750299999999996</v>
      </c>
      <c r="C207" s="14">
        <f>49.3159 * CHOOSE(CONTROL!$C$9, $D$9, 100%, $F$9) + CHOOSE(CONTROL!$C$27, 0.0021, 0)</f>
        <v>49.317999999999998</v>
      </c>
      <c r="D207" s="14">
        <f>49.3159 * CHOOSE(CONTROL!$C$9, $D$9, 100%, $F$9) + CHOOSE(CONTROL!$C$27, 0.0021, 0)</f>
        <v>49.317999999999998</v>
      </c>
      <c r="E207" s="14">
        <f>49.1793 * CHOOSE(CONTROL!$C$9, $D$9, 100%, $F$9) + CHOOSE(CONTROL!$C$27, 0.0021, 0)</f>
        <v>49.181399999999996</v>
      </c>
      <c r="F207" s="14">
        <f>49.1793 * CHOOSE(CONTROL!$C$9, $D$9, 100%, $F$9) + CHOOSE(CONTROL!$C$27, 0.0021, 0)</f>
        <v>49.181399999999996</v>
      </c>
      <c r="G207" s="14">
        <f>49.4507 * CHOOSE(CONTROL!$C$9, $D$9, 100%, $F$9) + CHOOSE(CONTROL!$C$27, 0.0021, 0)</f>
        <v>49.452799999999996</v>
      </c>
      <c r="H207" s="14">
        <f>49.3159 * CHOOSE(CONTROL!$C$9, $D$9, 100%, $F$9) + CHOOSE(CONTROL!$C$27, 0.0021, 0)</f>
        <v>49.317999999999998</v>
      </c>
      <c r="I207" s="14">
        <f>49.3159 * CHOOSE(CONTROL!$C$9, $D$9, 100%, $F$9) + CHOOSE(CONTROL!$C$27, 0.0021, 0)</f>
        <v>49.317999999999998</v>
      </c>
      <c r="J207" s="14">
        <f>49.3159 * CHOOSE(CONTROL!$C$9, $D$9, 100%, $F$9) + CHOOSE(CONTROL!$C$27, 0.0021, 0)</f>
        <v>49.317999999999998</v>
      </c>
      <c r="K207" s="14">
        <f>49.3159 * CHOOSE(CONTROL!$C$9, $D$9, 100%, $F$9) + CHOOSE(CONTROL!$C$27, 0.0021, 0)</f>
        <v>49.317999999999998</v>
      </c>
      <c r="L207" s="14"/>
    </row>
    <row r="208" spans="1:12" ht="15" x14ac:dyDescent="0.2">
      <c r="A208" s="13">
        <v>47239</v>
      </c>
      <c r="B208" s="14">
        <f>50.8446 * CHOOSE(CONTROL!$C$9, $D$9, 100%, $F$9) + CHOOSE(CONTROL!$C$27, 0.0021, 0)</f>
        <v>50.846699999999998</v>
      </c>
      <c r="C208" s="14">
        <f>50.4123 * CHOOSE(CONTROL!$C$9, $D$9, 100%, $F$9) + CHOOSE(CONTROL!$C$27, 0.0021, 0)</f>
        <v>50.414400000000001</v>
      </c>
      <c r="D208" s="14">
        <f>50.4123 * CHOOSE(CONTROL!$C$9, $D$9, 100%, $F$9) + CHOOSE(CONTROL!$C$27, 0.0021, 0)</f>
        <v>50.414400000000001</v>
      </c>
      <c r="E208" s="14">
        <f>50.2757 * CHOOSE(CONTROL!$C$9, $D$9, 100%, $F$9) + CHOOSE(CONTROL!$C$27, 0.0021, 0)</f>
        <v>50.277799999999999</v>
      </c>
      <c r="F208" s="14">
        <f>50.2757 * CHOOSE(CONTROL!$C$9, $D$9, 100%, $F$9) + CHOOSE(CONTROL!$C$27, 0.0021, 0)</f>
        <v>50.277799999999999</v>
      </c>
      <c r="G208" s="14">
        <f>50.5471 * CHOOSE(CONTROL!$C$9, $D$9, 100%, $F$9) + CHOOSE(CONTROL!$C$27, 0.0021, 0)</f>
        <v>50.549199999999999</v>
      </c>
      <c r="H208" s="14">
        <f>50.4123 * CHOOSE(CONTROL!$C$9, $D$9, 100%, $F$9) + CHOOSE(CONTROL!$C$27, 0.0021, 0)</f>
        <v>50.414400000000001</v>
      </c>
      <c r="I208" s="14">
        <f>50.4123 * CHOOSE(CONTROL!$C$9, $D$9, 100%, $F$9) + CHOOSE(CONTROL!$C$27, 0.0021, 0)</f>
        <v>50.414400000000001</v>
      </c>
      <c r="J208" s="14">
        <f>50.4123 * CHOOSE(CONTROL!$C$9, $D$9, 100%, $F$9) + CHOOSE(CONTROL!$C$27, 0.0021, 0)</f>
        <v>50.414400000000001</v>
      </c>
      <c r="K208" s="14">
        <f>50.4123 * CHOOSE(CONTROL!$C$9, $D$9, 100%, $F$9) + CHOOSE(CONTROL!$C$27, 0.0021, 0)</f>
        <v>50.414400000000001</v>
      </c>
      <c r="L208" s="14"/>
    </row>
    <row r="209" spans="1:12" ht="15" x14ac:dyDescent="0.2">
      <c r="A209" s="13">
        <v>47270</v>
      </c>
      <c r="B209" s="14">
        <f>51.544 * CHOOSE(CONTROL!$C$9, $D$9, 100%, $F$9) + CHOOSE(CONTROL!$C$27, 0.0021, 0)</f>
        <v>51.546099999999996</v>
      </c>
      <c r="C209" s="14">
        <f>51.1117 * CHOOSE(CONTROL!$C$9, $D$9, 100%, $F$9) + CHOOSE(CONTROL!$C$27, 0.0021, 0)</f>
        <v>51.113799999999998</v>
      </c>
      <c r="D209" s="14">
        <f>51.1117 * CHOOSE(CONTROL!$C$9, $D$9, 100%, $F$9) + CHOOSE(CONTROL!$C$27, 0.0021, 0)</f>
        <v>51.113799999999998</v>
      </c>
      <c r="E209" s="14">
        <f>50.9751 * CHOOSE(CONTROL!$C$9, $D$9, 100%, $F$9) + CHOOSE(CONTROL!$C$27, 0.0021, 0)</f>
        <v>50.977199999999996</v>
      </c>
      <c r="F209" s="14">
        <f>50.9751 * CHOOSE(CONTROL!$C$9, $D$9, 100%, $F$9) + CHOOSE(CONTROL!$C$27, 0.0021, 0)</f>
        <v>50.977199999999996</v>
      </c>
      <c r="G209" s="14">
        <f>51.2464 * CHOOSE(CONTROL!$C$9, $D$9, 100%, $F$9) + CHOOSE(CONTROL!$C$27, 0.0021, 0)</f>
        <v>51.2485</v>
      </c>
      <c r="H209" s="14">
        <f>51.1117 * CHOOSE(CONTROL!$C$9, $D$9, 100%, $F$9) + CHOOSE(CONTROL!$C$27, 0.0021, 0)</f>
        <v>51.113799999999998</v>
      </c>
      <c r="I209" s="14">
        <f>51.1117 * CHOOSE(CONTROL!$C$9, $D$9, 100%, $F$9) + CHOOSE(CONTROL!$C$27, 0.0021, 0)</f>
        <v>51.113799999999998</v>
      </c>
      <c r="J209" s="14">
        <f>51.1117 * CHOOSE(CONTROL!$C$9, $D$9, 100%, $F$9) + CHOOSE(CONTROL!$C$27, 0.0021, 0)</f>
        <v>51.113799999999998</v>
      </c>
      <c r="K209" s="14">
        <f>51.1117 * CHOOSE(CONTROL!$C$9, $D$9, 100%, $F$9) + CHOOSE(CONTROL!$C$27, 0.0021, 0)</f>
        <v>51.113799999999998</v>
      </c>
      <c r="L209" s="14"/>
    </row>
    <row r="210" spans="1:12" ht="15" x14ac:dyDescent="0.2">
      <c r="A210" s="13">
        <v>47300</v>
      </c>
      <c r="B210" s="14">
        <f>52.6362 * CHOOSE(CONTROL!$C$9, $D$9, 100%, $F$9) + CHOOSE(CONTROL!$C$27, 0.0021, 0)</f>
        <v>52.638300000000001</v>
      </c>
      <c r="C210" s="14">
        <f>52.204 * CHOOSE(CONTROL!$C$9, $D$9, 100%, $F$9) + CHOOSE(CONTROL!$C$27, 0.0021, 0)</f>
        <v>52.206099999999999</v>
      </c>
      <c r="D210" s="14">
        <f>52.204 * CHOOSE(CONTROL!$C$9, $D$9, 100%, $F$9) + CHOOSE(CONTROL!$C$27, 0.0021, 0)</f>
        <v>52.206099999999999</v>
      </c>
      <c r="E210" s="14">
        <f>52.0673 * CHOOSE(CONTROL!$C$9, $D$9, 100%, $F$9) + CHOOSE(CONTROL!$C$27, 0.0021, 0)</f>
        <v>52.069400000000002</v>
      </c>
      <c r="F210" s="14">
        <f>52.0673 * CHOOSE(CONTROL!$C$9, $D$9, 100%, $F$9) + CHOOSE(CONTROL!$C$27, 0.0021, 0)</f>
        <v>52.069400000000002</v>
      </c>
      <c r="G210" s="14">
        <f>52.3387 * CHOOSE(CONTROL!$C$9, $D$9, 100%, $F$9) + CHOOSE(CONTROL!$C$27, 0.0021, 0)</f>
        <v>52.340800000000002</v>
      </c>
      <c r="H210" s="14">
        <f>52.204 * CHOOSE(CONTROL!$C$9, $D$9, 100%, $F$9) + CHOOSE(CONTROL!$C$27, 0.0021, 0)</f>
        <v>52.206099999999999</v>
      </c>
      <c r="I210" s="14">
        <f>52.204 * CHOOSE(CONTROL!$C$9, $D$9, 100%, $F$9) + CHOOSE(CONTROL!$C$27, 0.0021, 0)</f>
        <v>52.206099999999999</v>
      </c>
      <c r="J210" s="14">
        <f>52.204 * CHOOSE(CONTROL!$C$9, $D$9, 100%, $F$9) + CHOOSE(CONTROL!$C$27, 0.0021, 0)</f>
        <v>52.206099999999999</v>
      </c>
      <c r="K210" s="14">
        <f>52.204 * CHOOSE(CONTROL!$C$9, $D$9, 100%, $F$9) + CHOOSE(CONTROL!$C$27, 0.0021, 0)</f>
        <v>52.206099999999999</v>
      </c>
      <c r="L210" s="14"/>
    </row>
    <row r="211" spans="1:12" ht="15" x14ac:dyDescent="0.2">
      <c r="A211" s="13">
        <v>47331</v>
      </c>
      <c r="B211" s="14">
        <f>53.043 * CHOOSE(CONTROL!$C$9, $D$9, 100%, $F$9) + CHOOSE(CONTROL!$C$27, 0.0021, 0)</f>
        <v>53.045099999999998</v>
      </c>
      <c r="C211" s="14">
        <f>52.6107 * CHOOSE(CONTROL!$C$9, $D$9, 100%, $F$9) + CHOOSE(CONTROL!$C$27, 0.0021, 0)</f>
        <v>52.6128</v>
      </c>
      <c r="D211" s="14">
        <f>52.6107 * CHOOSE(CONTROL!$C$9, $D$9, 100%, $F$9) + CHOOSE(CONTROL!$C$27, 0.0021, 0)</f>
        <v>52.6128</v>
      </c>
      <c r="E211" s="14">
        <f>52.4741 * CHOOSE(CONTROL!$C$9, $D$9, 100%, $F$9) + CHOOSE(CONTROL!$C$27, 0.0021, 0)</f>
        <v>52.476199999999999</v>
      </c>
      <c r="F211" s="14">
        <f>52.4741 * CHOOSE(CONTROL!$C$9, $D$9, 100%, $F$9) + CHOOSE(CONTROL!$C$27, 0.0021, 0)</f>
        <v>52.476199999999999</v>
      </c>
      <c r="G211" s="14">
        <f>52.7454 * CHOOSE(CONTROL!$C$9, $D$9, 100%, $F$9) + CHOOSE(CONTROL!$C$27, 0.0021, 0)</f>
        <v>52.747499999999995</v>
      </c>
      <c r="H211" s="14">
        <f>52.6107 * CHOOSE(CONTROL!$C$9, $D$9, 100%, $F$9) + CHOOSE(CONTROL!$C$27, 0.0021, 0)</f>
        <v>52.6128</v>
      </c>
      <c r="I211" s="14">
        <f>52.6107 * CHOOSE(CONTROL!$C$9, $D$9, 100%, $F$9) + CHOOSE(CONTROL!$C$27, 0.0021, 0)</f>
        <v>52.6128</v>
      </c>
      <c r="J211" s="14">
        <f>52.6107 * CHOOSE(CONTROL!$C$9, $D$9, 100%, $F$9) + CHOOSE(CONTROL!$C$27, 0.0021, 0)</f>
        <v>52.6128</v>
      </c>
      <c r="K211" s="14">
        <f>52.6107 * CHOOSE(CONTROL!$C$9, $D$9, 100%, $F$9) + CHOOSE(CONTROL!$C$27, 0.0021, 0)</f>
        <v>52.6128</v>
      </c>
      <c r="L211" s="14"/>
    </row>
    <row r="212" spans="1:12" ht="15" x14ac:dyDescent="0.2">
      <c r="A212" s="13">
        <v>47362</v>
      </c>
      <c r="B212" s="14">
        <f>54.1816 * CHOOSE(CONTROL!$C$9, $D$9, 100%, $F$9) + CHOOSE(CONTROL!$C$27, 0.0021, 0)</f>
        <v>54.183700000000002</v>
      </c>
      <c r="C212" s="14">
        <f>53.7494 * CHOOSE(CONTROL!$C$9, $D$9, 100%, $F$9) + CHOOSE(CONTROL!$C$27, 0.0021, 0)</f>
        <v>53.7515</v>
      </c>
      <c r="D212" s="14">
        <f>53.7494 * CHOOSE(CONTROL!$C$9, $D$9, 100%, $F$9) + CHOOSE(CONTROL!$C$27, 0.0021, 0)</f>
        <v>53.7515</v>
      </c>
      <c r="E212" s="14">
        <f>53.6127 * CHOOSE(CONTROL!$C$9, $D$9, 100%, $F$9) + CHOOSE(CONTROL!$C$27, 0.0021, 0)</f>
        <v>53.614799999999995</v>
      </c>
      <c r="F212" s="14">
        <f>53.6127 * CHOOSE(CONTROL!$C$9, $D$9, 100%, $F$9) + CHOOSE(CONTROL!$C$27, 0.0021, 0)</f>
        <v>53.614799999999995</v>
      </c>
      <c r="G212" s="14">
        <f>53.8841 * CHOOSE(CONTROL!$C$9, $D$9, 100%, $F$9) + CHOOSE(CONTROL!$C$27, 0.0021, 0)</f>
        <v>53.886199999999995</v>
      </c>
      <c r="H212" s="14">
        <f>53.7494 * CHOOSE(CONTROL!$C$9, $D$9, 100%, $F$9) + CHOOSE(CONTROL!$C$27, 0.0021, 0)</f>
        <v>53.7515</v>
      </c>
      <c r="I212" s="14">
        <f>53.7494 * CHOOSE(CONTROL!$C$9, $D$9, 100%, $F$9) + CHOOSE(CONTROL!$C$27, 0.0021, 0)</f>
        <v>53.7515</v>
      </c>
      <c r="J212" s="14">
        <f>53.7494 * CHOOSE(CONTROL!$C$9, $D$9, 100%, $F$9) + CHOOSE(CONTROL!$C$27, 0.0021, 0)</f>
        <v>53.7515</v>
      </c>
      <c r="K212" s="14">
        <f>53.7494 * CHOOSE(CONTROL!$C$9, $D$9, 100%, $F$9) + CHOOSE(CONTROL!$C$27, 0.0021, 0)</f>
        <v>53.7515</v>
      </c>
      <c r="L212" s="14"/>
    </row>
    <row r="213" spans="1:12" ht="15" x14ac:dyDescent="0.2">
      <c r="A213" s="13">
        <v>47392</v>
      </c>
      <c r="B213" s="14">
        <f>55.6003 * CHOOSE(CONTROL!$C$9, $D$9, 100%, $F$9) + CHOOSE(CONTROL!$C$27, 0.0021, 0)</f>
        <v>55.602399999999996</v>
      </c>
      <c r="C213" s="14">
        <f>55.168 * CHOOSE(CONTROL!$C$9, $D$9, 100%, $F$9) + CHOOSE(CONTROL!$C$27, 0.0021, 0)</f>
        <v>55.170099999999998</v>
      </c>
      <c r="D213" s="14">
        <f>55.168 * CHOOSE(CONTROL!$C$9, $D$9, 100%, $F$9) + CHOOSE(CONTROL!$C$27, 0.0021, 0)</f>
        <v>55.170099999999998</v>
      </c>
      <c r="E213" s="14">
        <f>55.0314 * CHOOSE(CONTROL!$C$9, $D$9, 100%, $F$9) + CHOOSE(CONTROL!$C$27, 0.0021, 0)</f>
        <v>55.033499999999997</v>
      </c>
      <c r="F213" s="14">
        <f>55.0314 * CHOOSE(CONTROL!$C$9, $D$9, 100%, $F$9) + CHOOSE(CONTROL!$C$27, 0.0021, 0)</f>
        <v>55.033499999999997</v>
      </c>
      <c r="G213" s="14">
        <f>55.3027 * CHOOSE(CONTROL!$C$9, $D$9, 100%, $F$9) + CHOOSE(CONTROL!$C$27, 0.0021, 0)</f>
        <v>55.3048</v>
      </c>
      <c r="H213" s="14">
        <f>55.168 * CHOOSE(CONTROL!$C$9, $D$9, 100%, $F$9) + CHOOSE(CONTROL!$C$27, 0.0021, 0)</f>
        <v>55.170099999999998</v>
      </c>
      <c r="I213" s="14">
        <f>55.168 * CHOOSE(CONTROL!$C$9, $D$9, 100%, $F$9) + CHOOSE(CONTROL!$C$27, 0.0021, 0)</f>
        <v>55.170099999999998</v>
      </c>
      <c r="J213" s="14">
        <f>55.168 * CHOOSE(CONTROL!$C$9, $D$9, 100%, $F$9) + CHOOSE(CONTROL!$C$27, 0.0021, 0)</f>
        <v>55.170099999999998</v>
      </c>
      <c r="K213" s="14">
        <f>55.168 * CHOOSE(CONTROL!$C$9, $D$9, 100%, $F$9) + CHOOSE(CONTROL!$C$27, 0.0021, 0)</f>
        <v>55.170099999999998</v>
      </c>
      <c r="L213" s="14"/>
    </row>
    <row r="214" spans="1:12" ht="15" x14ac:dyDescent="0.2">
      <c r="A214" s="13">
        <v>47423</v>
      </c>
      <c r="B214" s="14">
        <f>55.8335 * CHOOSE(CONTROL!$C$9, $D$9, 100%, $F$9) + CHOOSE(CONTROL!$C$27, 0.0021, 0)</f>
        <v>55.835599999999999</v>
      </c>
      <c r="C214" s="14">
        <f>55.4012 * CHOOSE(CONTROL!$C$9, $D$9, 100%, $F$9) + CHOOSE(CONTROL!$C$27, 0.0021, 0)</f>
        <v>55.403300000000002</v>
      </c>
      <c r="D214" s="14">
        <f>55.4012 * CHOOSE(CONTROL!$C$9, $D$9, 100%, $F$9) + CHOOSE(CONTROL!$C$27, 0.0021, 0)</f>
        <v>55.403300000000002</v>
      </c>
      <c r="E214" s="14">
        <f>55.2646 * CHOOSE(CONTROL!$C$9, $D$9, 100%, $F$9) + CHOOSE(CONTROL!$C$27, 0.0021, 0)</f>
        <v>55.2667</v>
      </c>
      <c r="F214" s="14">
        <f>55.2646 * CHOOSE(CONTROL!$C$9, $D$9, 100%, $F$9) + CHOOSE(CONTROL!$C$27, 0.0021, 0)</f>
        <v>55.2667</v>
      </c>
      <c r="G214" s="14">
        <f>55.5359 * CHOOSE(CONTROL!$C$9, $D$9, 100%, $F$9) + CHOOSE(CONTROL!$C$27, 0.0021, 0)</f>
        <v>55.537999999999997</v>
      </c>
      <c r="H214" s="14">
        <f>55.4012 * CHOOSE(CONTROL!$C$9, $D$9, 100%, $F$9) + CHOOSE(CONTROL!$C$27, 0.0021, 0)</f>
        <v>55.403300000000002</v>
      </c>
      <c r="I214" s="14">
        <f>55.4012 * CHOOSE(CONTROL!$C$9, $D$9, 100%, $F$9) + CHOOSE(CONTROL!$C$27, 0.0021, 0)</f>
        <v>55.403300000000002</v>
      </c>
      <c r="J214" s="14">
        <f>55.4012 * CHOOSE(CONTROL!$C$9, $D$9, 100%, $F$9) + CHOOSE(CONTROL!$C$27, 0.0021, 0)</f>
        <v>55.403300000000002</v>
      </c>
      <c r="K214" s="14">
        <f>55.4012 * CHOOSE(CONTROL!$C$9, $D$9, 100%, $F$9) + CHOOSE(CONTROL!$C$27, 0.0021, 0)</f>
        <v>55.403300000000002</v>
      </c>
      <c r="L214" s="14"/>
    </row>
    <row r="215" spans="1:12" ht="15" x14ac:dyDescent="0.2">
      <c r="A215" s="13">
        <v>47453</v>
      </c>
      <c r="B215" s="14">
        <f>54.8918 * CHOOSE(CONTROL!$C$9, $D$9, 100%, $F$9) + CHOOSE(CONTROL!$C$27, 0.0021, 0)</f>
        <v>54.893900000000002</v>
      </c>
      <c r="C215" s="14">
        <f>54.4595 * CHOOSE(CONTROL!$C$9, $D$9, 100%, $F$9) + CHOOSE(CONTROL!$C$27, 0.0021, 0)</f>
        <v>54.461599999999997</v>
      </c>
      <c r="D215" s="14">
        <f>54.4595 * CHOOSE(CONTROL!$C$9, $D$9, 100%, $F$9) + CHOOSE(CONTROL!$C$27, 0.0021, 0)</f>
        <v>54.461599999999997</v>
      </c>
      <c r="E215" s="14">
        <f>54.3229 * CHOOSE(CONTROL!$C$9, $D$9, 100%, $F$9) + CHOOSE(CONTROL!$C$27, 0.0021, 0)</f>
        <v>54.324999999999996</v>
      </c>
      <c r="F215" s="14">
        <f>54.3229 * CHOOSE(CONTROL!$C$9, $D$9, 100%, $F$9) + CHOOSE(CONTROL!$C$27, 0.0021, 0)</f>
        <v>54.324999999999996</v>
      </c>
      <c r="G215" s="14">
        <f>54.5942 * CHOOSE(CONTROL!$C$9, $D$9, 100%, $F$9) + CHOOSE(CONTROL!$C$27, 0.0021, 0)</f>
        <v>54.596299999999999</v>
      </c>
      <c r="H215" s="14">
        <f>54.4595 * CHOOSE(CONTROL!$C$9, $D$9, 100%, $F$9) + CHOOSE(CONTROL!$C$27, 0.0021, 0)</f>
        <v>54.461599999999997</v>
      </c>
      <c r="I215" s="14">
        <f>54.4595 * CHOOSE(CONTROL!$C$9, $D$9, 100%, $F$9) + CHOOSE(CONTROL!$C$27, 0.0021, 0)</f>
        <v>54.461599999999997</v>
      </c>
      <c r="J215" s="14">
        <f>54.4595 * CHOOSE(CONTROL!$C$9, $D$9, 100%, $F$9) + CHOOSE(CONTROL!$C$27, 0.0021, 0)</f>
        <v>54.461599999999997</v>
      </c>
      <c r="K215" s="14">
        <f>54.4595 * CHOOSE(CONTROL!$C$9, $D$9, 100%, $F$9) + CHOOSE(CONTROL!$C$27, 0.0021, 0)</f>
        <v>54.461599999999997</v>
      </c>
      <c r="L215" s="14"/>
    </row>
    <row r="216" spans="1:12" ht="15" x14ac:dyDescent="0.2">
      <c r="A216" s="13">
        <v>47484</v>
      </c>
      <c r="B216" s="14">
        <f>54.316 * CHOOSE(CONTROL!$C$9, $D$9, 100%, $F$9) + CHOOSE(CONTROL!$C$27, 0.0021, 0)</f>
        <v>54.318100000000001</v>
      </c>
      <c r="C216" s="14">
        <f>53.8837 * CHOOSE(CONTROL!$C$9, $D$9, 100%, $F$9) + CHOOSE(CONTROL!$C$27, 0.0021, 0)</f>
        <v>53.885799999999996</v>
      </c>
      <c r="D216" s="14">
        <f>53.8837 * CHOOSE(CONTROL!$C$9, $D$9, 100%, $F$9) + CHOOSE(CONTROL!$C$27, 0.0021, 0)</f>
        <v>53.885799999999996</v>
      </c>
      <c r="E216" s="14">
        <f>53.7471 * CHOOSE(CONTROL!$C$9, $D$9, 100%, $F$9) + CHOOSE(CONTROL!$C$27, 0.0021, 0)</f>
        <v>53.749200000000002</v>
      </c>
      <c r="F216" s="14">
        <f>53.7471 * CHOOSE(CONTROL!$C$9, $D$9, 100%, $F$9) + CHOOSE(CONTROL!$C$27, 0.0021, 0)</f>
        <v>53.749200000000002</v>
      </c>
      <c r="G216" s="14">
        <f>54.0184 * CHOOSE(CONTROL!$C$9, $D$9, 100%, $F$9) + CHOOSE(CONTROL!$C$27, 0.0021, 0)</f>
        <v>54.020499999999998</v>
      </c>
      <c r="H216" s="14">
        <f>53.8837 * CHOOSE(CONTROL!$C$9, $D$9, 100%, $F$9) + CHOOSE(CONTROL!$C$27, 0.0021, 0)</f>
        <v>53.885799999999996</v>
      </c>
      <c r="I216" s="14">
        <f>53.8837 * CHOOSE(CONTROL!$C$9, $D$9, 100%, $F$9) + CHOOSE(CONTROL!$C$27, 0.0021, 0)</f>
        <v>53.885799999999996</v>
      </c>
      <c r="J216" s="14">
        <f>53.8837 * CHOOSE(CONTROL!$C$9, $D$9, 100%, $F$9) + CHOOSE(CONTROL!$C$27, 0.0021, 0)</f>
        <v>53.885799999999996</v>
      </c>
      <c r="K216" s="14">
        <f>53.8837 * CHOOSE(CONTROL!$C$9, $D$9, 100%, $F$9) + CHOOSE(CONTROL!$C$27, 0.0021, 0)</f>
        <v>53.885799999999996</v>
      </c>
      <c r="L216" s="14"/>
    </row>
    <row r="217" spans="1:12" ht="15" x14ac:dyDescent="0.2">
      <c r="A217" s="13">
        <v>47515</v>
      </c>
      <c r="B217" s="14">
        <f>52.9486 * CHOOSE(CONTROL!$C$9, $D$9, 100%, $F$9) + CHOOSE(CONTROL!$C$27, 0.0021, 0)</f>
        <v>52.950699999999998</v>
      </c>
      <c r="C217" s="14">
        <f>52.5163 * CHOOSE(CONTROL!$C$9, $D$9, 100%, $F$9) + CHOOSE(CONTROL!$C$27, 0.0021, 0)</f>
        <v>52.5184</v>
      </c>
      <c r="D217" s="14">
        <f>52.5163 * CHOOSE(CONTROL!$C$9, $D$9, 100%, $F$9) + CHOOSE(CONTROL!$C$27, 0.0021, 0)</f>
        <v>52.5184</v>
      </c>
      <c r="E217" s="14">
        <f>52.3797 * CHOOSE(CONTROL!$C$9, $D$9, 100%, $F$9) + CHOOSE(CONTROL!$C$27, 0.0021, 0)</f>
        <v>52.381799999999998</v>
      </c>
      <c r="F217" s="14">
        <f>52.3797 * CHOOSE(CONTROL!$C$9, $D$9, 100%, $F$9) + CHOOSE(CONTROL!$C$27, 0.0021, 0)</f>
        <v>52.381799999999998</v>
      </c>
      <c r="G217" s="14">
        <f>52.6511 * CHOOSE(CONTROL!$C$9, $D$9, 100%, $F$9) + CHOOSE(CONTROL!$C$27, 0.0021, 0)</f>
        <v>52.653199999999998</v>
      </c>
      <c r="H217" s="14">
        <f>52.5163 * CHOOSE(CONTROL!$C$9, $D$9, 100%, $F$9) + CHOOSE(CONTROL!$C$27, 0.0021, 0)</f>
        <v>52.5184</v>
      </c>
      <c r="I217" s="14">
        <f>52.5163 * CHOOSE(CONTROL!$C$9, $D$9, 100%, $F$9) + CHOOSE(CONTROL!$C$27, 0.0021, 0)</f>
        <v>52.5184</v>
      </c>
      <c r="J217" s="14">
        <f>52.5163 * CHOOSE(CONTROL!$C$9, $D$9, 100%, $F$9) + CHOOSE(CONTROL!$C$27, 0.0021, 0)</f>
        <v>52.5184</v>
      </c>
      <c r="K217" s="14">
        <f>52.5163 * CHOOSE(CONTROL!$C$9, $D$9, 100%, $F$9) + CHOOSE(CONTROL!$C$27, 0.0021, 0)</f>
        <v>52.5184</v>
      </c>
      <c r="L217" s="14"/>
    </row>
    <row r="218" spans="1:12" ht="15" x14ac:dyDescent="0.2">
      <c r="A218" s="13">
        <v>47543</v>
      </c>
      <c r="B218" s="14">
        <f>52.443 * CHOOSE(CONTROL!$C$9, $D$9, 100%, $F$9) + CHOOSE(CONTROL!$C$27, 0.0021, 0)</f>
        <v>52.445099999999996</v>
      </c>
      <c r="C218" s="14">
        <f>52.0108 * CHOOSE(CONTROL!$C$9, $D$9, 100%, $F$9) + CHOOSE(CONTROL!$C$27, 0.0021, 0)</f>
        <v>52.012900000000002</v>
      </c>
      <c r="D218" s="14">
        <f>52.0108 * CHOOSE(CONTROL!$C$9, $D$9, 100%, $F$9) + CHOOSE(CONTROL!$C$27, 0.0021, 0)</f>
        <v>52.012900000000002</v>
      </c>
      <c r="E218" s="14">
        <f>51.8741 * CHOOSE(CONTROL!$C$9, $D$9, 100%, $F$9) + CHOOSE(CONTROL!$C$27, 0.0021, 0)</f>
        <v>51.876199999999997</v>
      </c>
      <c r="F218" s="14">
        <f>51.8741 * CHOOSE(CONTROL!$C$9, $D$9, 100%, $F$9) + CHOOSE(CONTROL!$C$27, 0.0021, 0)</f>
        <v>51.876199999999997</v>
      </c>
      <c r="G218" s="14">
        <f>52.1455 * CHOOSE(CONTROL!$C$9, $D$9, 100%, $F$9) + CHOOSE(CONTROL!$C$27, 0.0021, 0)</f>
        <v>52.147599999999997</v>
      </c>
      <c r="H218" s="14">
        <f>52.0108 * CHOOSE(CONTROL!$C$9, $D$9, 100%, $F$9) + CHOOSE(CONTROL!$C$27, 0.0021, 0)</f>
        <v>52.012900000000002</v>
      </c>
      <c r="I218" s="14">
        <f>52.0108 * CHOOSE(CONTROL!$C$9, $D$9, 100%, $F$9) + CHOOSE(CONTROL!$C$27, 0.0021, 0)</f>
        <v>52.012900000000002</v>
      </c>
      <c r="J218" s="14">
        <f>52.0108 * CHOOSE(CONTROL!$C$9, $D$9, 100%, $F$9) + CHOOSE(CONTROL!$C$27, 0.0021, 0)</f>
        <v>52.012900000000002</v>
      </c>
      <c r="K218" s="14">
        <f>52.0108 * CHOOSE(CONTROL!$C$9, $D$9, 100%, $F$9) + CHOOSE(CONTROL!$C$27, 0.0021, 0)</f>
        <v>52.012900000000002</v>
      </c>
      <c r="L218" s="14"/>
    </row>
    <row r="219" spans="1:12" ht="15" x14ac:dyDescent="0.2">
      <c r="A219" s="13">
        <v>47574</v>
      </c>
      <c r="B219" s="14">
        <f>51.8165 * CHOOSE(CONTROL!$C$9, $D$9, 100%, $F$9) + CHOOSE(CONTROL!$C$27, 0.0021, 0)</f>
        <v>51.818599999999996</v>
      </c>
      <c r="C219" s="14">
        <f>51.3843 * CHOOSE(CONTROL!$C$9, $D$9, 100%, $F$9) + CHOOSE(CONTROL!$C$27, 0.0021, 0)</f>
        <v>51.386400000000002</v>
      </c>
      <c r="D219" s="14">
        <f>51.3843 * CHOOSE(CONTROL!$C$9, $D$9, 100%, $F$9) + CHOOSE(CONTROL!$C$27, 0.0021, 0)</f>
        <v>51.386400000000002</v>
      </c>
      <c r="E219" s="14">
        <f>51.2476 * CHOOSE(CONTROL!$C$9, $D$9, 100%, $F$9) + CHOOSE(CONTROL!$C$27, 0.0021, 0)</f>
        <v>51.249699999999997</v>
      </c>
      <c r="F219" s="14">
        <f>51.2476 * CHOOSE(CONTROL!$C$9, $D$9, 100%, $F$9) + CHOOSE(CONTROL!$C$27, 0.0021, 0)</f>
        <v>51.249699999999997</v>
      </c>
      <c r="G219" s="14">
        <f>51.519 * CHOOSE(CONTROL!$C$9, $D$9, 100%, $F$9) + CHOOSE(CONTROL!$C$27, 0.0021, 0)</f>
        <v>51.521099999999997</v>
      </c>
      <c r="H219" s="14">
        <f>51.3843 * CHOOSE(CONTROL!$C$9, $D$9, 100%, $F$9) + CHOOSE(CONTROL!$C$27, 0.0021, 0)</f>
        <v>51.386400000000002</v>
      </c>
      <c r="I219" s="14">
        <f>51.3843 * CHOOSE(CONTROL!$C$9, $D$9, 100%, $F$9) + CHOOSE(CONTROL!$C$27, 0.0021, 0)</f>
        <v>51.386400000000002</v>
      </c>
      <c r="J219" s="14">
        <f>51.3843 * CHOOSE(CONTROL!$C$9, $D$9, 100%, $F$9) + CHOOSE(CONTROL!$C$27, 0.0021, 0)</f>
        <v>51.386400000000002</v>
      </c>
      <c r="K219" s="14">
        <f>51.3843 * CHOOSE(CONTROL!$C$9, $D$9, 100%, $F$9) + CHOOSE(CONTROL!$C$27, 0.0021, 0)</f>
        <v>51.386400000000002</v>
      </c>
      <c r="L219" s="14"/>
    </row>
    <row r="220" spans="1:12" ht="15" x14ac:dyDescent="0.2">
      <c r="A220" s="13">
        <v>47604</v>
      </c>
      <c r="B220" s="14">
        <f>52.9607 * CHOOSE(CONTROL!$C$9, $D$9, 100%, $F$9) + CHOOSE(CONTROL!$C$27, 0.0021, 0)</f>
        <v>52.962800000000001</v>
      </c>
      <c r="C220" s="14">
        <f>52.5285 * CHOOSE(CONTROL!$C$9, $D$9, 100%, $F$9) + CHOOSE(CONTROL!$C$27, 0.0021, 0)</f>
        <v>52.5306</v>
      </c>
      <c r="D220" s="14">
        <f>52.5285 * CHOOSE(CONTROL!$C$9, $D$9, 100%, $F$9) + CHOOSE(CONTROL!$C$27, 0.0021, 0)</f>
        <v>52.5306</v>
      </c>
      <c r="E220" s="14">
        <f>52.3918 * CHOOSE(CONTROL!$C$9, $D$9, 100%, $F$9) + CHOOSE(CONTROL!$C$27, 0.0021, 0)</f>
        <v>52.393900000000002</v>
      </c>
      <c r="F220" s="14">
        <f>52.3918 * CHOOSE(CONTROL!$C$9, $D$9, 100%, $F$9) + CHOOSE(CONTROL!$C$27, 0.0021, 0)</f>
        <v>52.393900000000002</v>
      </c>
      <c r="G220" s="14">
        <f>52.6632 * CHOOSE(CONTROL!$C$9, $D$9, 100%, $F$9) + CHOOSE(CONTROL!$C$27, 0.0021, 0)</f>
        <v>52.665300000000002</v>
      </c>
      <c r="H220" s="14">
        <f>52.5285 * CHOOSE(CONTROL!$C$9, $D$9, 100%, $F$9) + CHOOSE(CONTROL!$C$27, 0.0021, 0)</f>
        <v>52.5306</v>
      </c>
      <c r="I220" s="14">
        <f>52.5285 * CHOOSE(CONTROL!$C$9, $D$9, 100%, $F$9) + CHOOSE(CONTROL!$C$27, 0.0021, 0)</f>
        <v>52.5306</v>
      </c>
      <c r="J220" s="14">
        <f>52.5285 * CHOOSE(CONTROL!$C$9, $D$9, 100%, $F$9) + CHOOSE(CONTROL!$C$27, 0.0021, 0)</f>
        <v>52.5306</v>
      </c>
      <c r="K220" s="14">
        <f>52.5285 * CHOOSE(CONTROL!$C$9, $D$9, 100%, $F$9) + CHOOSE(CONTROL!$C$27, 0.0021, 0)</f>
        <v>52.5306</v>
      </c>
      <c r="L220" s="14"/>
    </row>
    <row r="221" spans="1:12" ht="15" x14ac:dyDescent="0.2">
      <c r="A221" s="13">
        <v>47635</v>
      </c>
      <c r="B221" s="14">
        <f>53.6906 * CHOOSE(CONTROL!$C$9, $D$9, 100%, $F$9) + CHOOSE(CONTROL!$C$27, 0.0021, 0)</f>
        <v>53.692700000000002</v>
      </c>
      <c r="C221" s="14">
        <f>53.2583 * CHOOSE(CONTROL!$C$9, $D$9, 100%, $F$9) + CHOOSE(CONTROL!$C$27, 0.0021, 0)</f>
        <v>53.260399999999997</v>
      </c>
      <c r="D221" s="14">
        <f>53.2583 * CHOOSE(CONTROL!$C$9, $D$9, 100%, $F$9) + CHOOSE(CONTROL!$C$27, 0.0021, 0)</f>
        <v>53.260399999999997</v>
      </c>
      <c r="E221" s="14">
        <f>53.1217 * CHOOSE(CONTROL!$C$9, $D$9, 100%, $F$9) + CHOOSE(CONTROL!$C$27, 0.0021, 0)</f>
        <v>53.123799999999996</v>
      </c>
      <c r="F221" s="14">
        <f>53.1217 * CHOOSE(CONTROL!$C$9, $D$9, 100%, $F$9) + CHOOSE(CONTROL!$C$27, 0.0021, 0)</f>
        <v>53.123799999999996</v>
      </c>
      <c r="G221" s="14">
        <f>53.393 * CHOOSE(CONTROL!$C$9, $D$9, 100%, $F$9) + CHOOSE(CONTROL!$C$27, 0.0021, 0)</f>
        <v>53.395099999999999</v>
      </c>
      <c r="H221" s="14">
        <f>53.2583 * CHOOSE(CONTROL!$C$9, $D$9, 100%, $F$9) + CHOOSE(CONTROL!$C$27, 0.0021, 0)</f>
        <v>53.260399999999997</v>
      </c>
      <c r="I221" s="14">
        <f>53.2583 * CHOOSE(CONTROL!$C$9, $D$9, 100%, $F$9) + CHOOSE(CONTROL!$C$27, 0.0021, 0)</f>
        <v>53.260399999999997</v>
      </c>
      <c r="J221" s="14">
        <f>53.2583 * CHOOSE(CONTROL!$C$9, $D$9, 100%, $F$9) + CHOOSE(CONTROL!$C$27, 0.0021, 0)</f>
        <v>53.260399999999997</v>
      </c>
      <c r="K221" s="14">
        <f>53.2583 * CHOOSE(CONTROL!$C$9, $D$9, 100%, $F$9) + CHOOSE(CONTROL!$C$27, 0.0021, 0)</f>
        <v>53.260399999999997</v>
      </c>
      <c r="L221" s="14"/>
    </row>
    <row r="222" spans="1:12" ht="15" x14ac:dyDescent="0.2">
      <c r="A222" s="13">
        <v>47665</v>
      </c>
      <c r="B222" s="14">
        <f>54.8304 * CHOOSE(CONTROL!$C$9, $D$9, 100%, $F$9) + CHOOSE(CONTROL!$C$27, 0.0021, 0)</f>
        <v>54.832499999999996</v>
      </c>
      <c r="C222" s="14">
        <f>54.3982 * CHOOSE(CONTROL!$C$9, $D$9, 100%, $F$9) + CHOOSE(CONTROL!$C$27, 0.0021, 0)</f>
        <v>54.400300000000001</v>
      </c>
      <c r="D222" s="14">
        <f>54.3982 * CHOOSE(CONTROL!$C$9, $D$9, 100%, $F$9) + CHOOSE(CONTROL!$C$27, 0.0021, 0)</f>
        <v>54.400300000000001</v>
      </c>
      <c r="E222" s="14">
        <f>54.2615 * CHOOSE(CONTROL!$C$9, $D$9, 100%, $F$9) + CHOOSE(CONTROL!$C$27, 0.0021, 0)</f>
        <v>54.263599999999997</v>
      </c>
      <c r="F222" s="14">
        <f>54.2615 * CHOOSE(CONTROL!$C$9, $D$9, 100%, $F$9) + CHOOSE(CONTROL!$C$27, 0.0021, 0)</f>
        <v>54.263599999999997</v>
      </c>
      <c r="G222" s="14">
        <f>54.5329 * CHOOSE(CONTROL!$C$9, $D$9, 100%, $F$9) + CHOOSE(CONTROL!$C$27, 0.0021, 0)</f>
        <v>54.534999999999997</v>
      </c>
      <c r="H222" s="14">
        <f>54.3982 * CHOOSE(CONTROL!$C$9, $D$9, 100%, $F$9) + CHOOSE(CONTROL!$C$27, 0.0021, 0)</f>
        <v>54.400300000000001</v>
      </c>
      <c r="I222" s="14">
        <f>54.3982 * CHOOSE(CONTROL!$C$9, $D$9, 100%, $F$9) + CHOOSE(CONTROL!$C$27, 0.0021, 0)</f>
        <v>54.400300000000001</v>
      </c>
      <c r="J222" s="14">
        <f>54.3982 * CHOOSE(CONTROL!$C$9, $D$9, 100%, $F$9) + CHOOSE(CONTROL!$C$27, 0.0021, 0)</f>
        <v>54.400300000000001</v>
      </c>
      <c r="K222" s="14">
        <f>54.3982 * CHOOSE(CONTROL!$C$9, $D$9, 100%, $F$9) + CHOOSE(CONTROL!$C$27, 0.0021, 0)</f>
        <v>54.400300000000001</v>
      </c>
      <c r="L222" s="14"/>
    </row>
    <row r="223" spans="1:12" ht="15" x14ac:dyDescent="0.2">
      <c r="A223" s="13">
        <v>47696</v>
      </c>
      <c r="B223" s="14">
        <f>55.146 * CHOOSE(CONTROL!$C$9, $D$9, 100%, $F$9) + CHOOSE(CONTROL!$C$27, 0.0021, 0)</f>
        <v>55.148099999999999</v>
      </c>
      <c r="C223" s="14">
        <f>54.7138 * CHOOSE(CONTROL!$C$9, $D$9, 100%, $F$9) + CHOOSE(CONTROL!$C$27, 0.0021, 0)</f>
        <v>54.715899999999998</v>
      </c>
      <c r="D223" s="14">
        <f>54.7138 * CHOOSE(CONTROL!$C$9, $D$9, 100%, $F$9) + CHOOSE(CONTROL!$C$27, 0.0021, 0)</f>
        <v>54.715899999999998</v>
      </c>
      <c r="E223" s="14">
        <f>54.5771 * CHOOSE(CONTROL!$C$9, $D$9, 100%, $F$9) + CHOOSE(CONTROL!$C$27, 0.0021, 0)</f>
        <v>54.5792</v>
      </c>
      <c r="F223" s="14">
        <f>54.5771 * CHOOSE(CONTROL!$C$9, $D$9, 100%, $F$9) + CHOOSE(CONTROL!$C$27, 0.0021, 0)</f>
        <v>54.5792</v>
      </c>
      <c r="G223" s="14">
        <f>54.8485 * CHOOSE(CONTROL!$C$9, $D$9, 100%, $F$9) + CHOOSE(CONTROL!$C$27, 0.0021, 0)</f>
        <v>54.8506</v>
      </c>
      <c r="H223" s="14">
        <f>54.7138 * CHOOSE(CONTROL!$C$9, $D$9, 100%, $F$9) + CHOOSE(CONTROL!$C$27, 0.0021, 0)</f>
        <v>54.715899999999998</v>
      </c>
      <c r="I223" s="14">
        <f>54.7138 * CHOOSE(CONTROL!$C$9, $D$9, 100%, $F$9) + CHOOSE(CONTROL!$C$27, 0.0021, 0)</f>
        <v>54.715899999999998</v>
      </c>
      <c r="J223" s="14">
        <f>54.7138 * CHOOSE(CONTROL!$C$9, $D$9, 100%, $F$9) + CHOOSE(CONTROL!$C$27, 0.0021, 0)</f>
        <v>54.715899999999998</v>
      </c>
      <c r="K223" s="14">
        <f>54.7138 * CHOOSE(CONTROL!$C$9, $D$9, 100%, $F$9) + CHOOSE(CONTROL!$C$27, 0.0021, 0)</f>
        <v>54.715899999999998</v>
      </c>
      <c r="L223" s="14"/>
    </row>
    <row r="224" spans="1:12" ht="15" x14ac:dyDescent="0.2">
      <c r="A224" s="13">
        <v>47727</v>
      </c>
      <c r="B224" s="14">
        <f>56.2208 * CHOOSE(CONTROL!$C$9, $D$9, 100%, $F$9) + CHOOSE(CONTROL!$C$27, 0.0021, 0)</f>
        <v>56.222899999999996</v>
      </c>
      <c r="C224" s="14">
        <f>55.7886 * CHOOSE(CONTROL!$C$9, $D$9, 100%, $F$9) + CHOOSE(CONTROL!$C$27, 0.0021, 0)</f>
        <v>55.790700000000001</v>
      </c>
      <c r="D224" s="14">
        <f>55.7886 * CHOOSE(CONTROL!$C$9, $D$9, 100%, $F$9) + CHOOSE(CONTROL!$C$27, 0.0021, 0)</f>
        <v>55.790700000000001</v>
      </c>
      <c r="E224" s="14">
        <f>55.6519 * CHOOSE(CONTROL!$C$9, $D$9, 100%, $F$9) + CHOOSE(CONTROL!$C$27, 0.0021, 0)</f>
        <v>55.653999999999996</v>
      </c>
      <c r="F224" s="14">
        <f>55.6519 * CHOOSE(CONTROL!$C$9, $D$9, 100%, $F$9) + CHOOSE(CONTROL!$C$27, 0.0021, 0)</f>
        <v>55.653999999999996</v>
      </c>
      <c r="G224" s="14">
        <f>55.9233 * CHOOSE(CONTROL!$C$9, $D$9, 100%, $F$9) + CHOOSE(CONTROL!$C$27, 0.0021, 0)</f>
        <v>55.925399999999996</v>
      </c>
      <c r="H224" s="14">
        <f>55.7886 * CHOOSE(CONTROL!$C$9, $D$9, 100%, $F$9) + CHOOSE(CONTROL!$C$27, 0.0021, 0)</f>
        <v>55.790700000000001</v>
      </c>
      <c r="I224" s="14">
        <f>55.7886 * CHOOSE(CONTROL!$C$9, $D$9, 100%, $F$9) + CHOOSE(CONTROL!$C$27, 0.0021, 0)</f>
        <v>55.790700000000001</v>
      </c>
      <c r="J224" s="14">
        <f>55.7886 * CHOOSE(CONTROL!$C$9, $D$9, 100%, $F$9) + CHOOSE(CONTROL!$C$27, 0.0021, 0)</f>
        <v>55.790700000000001</v>
      </c>
      <c r="K224" s="14">
        <f>55.7886 * CHOOSE(CONTROL!$C$9, $D$9, 100%, $F$9) + CHOOSE(CONTROL!$C$27, 0.0021, 0)</f>
        <v>55.790700000000001</v>
      </c>
      <c r="L224" s="14"/>
    </row>
    <row r="225" spans="1:12" ht="15" x14ac:dyDescent="0.2">
      <c r="A225" s="13">
        <v>47757</v>
      </c>
      <c r="B225" s="14">
        <f>57.5813 * CHOOSE(CONTROL!$C$9, $D$9, 100%, $F$9) + CHOOSE(CONTROL!$C$27, 0.0021, 0)</f>
        <v>57.583399999999997</v>
      </c>
      <c r="C225" s="14">
        <f>57.149 * CHOOSE(CONTROL!$C$9, $D$9, 100%, $F$9) + CHOOSE(CONTROL!$C$27, 0.0021, 0)</f>
        <v>57.1511</v>
      </c>
      <c r="D225" s="14">
        <f>57.149 * CHOOSE(CONTROL!$C$9, $D$9, 100%, $F$9) + CHOOSE(CONTROL!$C$27, 0.0021, 0)</f>
        <v>57.1511</v>
      </c>
      <c r="E225" s="14">
        <f>57.0124 * CHOOSE(CONTROL!$C$9, $D$9, 100%, $F$9) + CHOOSE(CONTROL!$C$27, 0.0021, 0)</f>
        <v>57.014499999999998</v>
      </c>
      <c r="F225" s="14">
        <f>57.0124 * CHOOSE(CONTROL!$C$9, $D$9, 100%, $F$9) + CHOOSE(CONTROL!$C$27, 0.0021, 0)</f>
        <v>57.014499999999998</v>
      </c>
      <c r="G225" s="14">
        <f>57.2838 * CHOOSE(CONTROL!$C$9, $D$9, 100%, $F$9) + CHOOSE(CONTROL!$C$27, 0.0021, 0)</f>
        <v>57.285899999999998</v>
      </c>
      <c r="H225" s="14">
        <f>57.149 * CHOOSE(CONTROL!$C$9, $D$9, 100%, $F$9) + CHOOSE(CONTROL!$C$27, 0.0021, 0)</f>
        <v>57.1511</v>
      </c>
      <c r="I225" s="14">
        <f>57.149 * CHOOSE(CONTROL!$C$9, $D$9, 100%, $F$9) + CHOOSE(CONTROL!$C$27, 0.0021, 0)</f>
        <v>57.1511</v>
      </c>
      <c r="J225" s="14">
        <f>57.149 * CHOOSE(CONTROL!$C$9, $D$9, 100%, $F$9) + CHOOSE(CONTROL!$C$27, 0.0021, 0)</f>
        <v>57.1511</v>
      </c>
      <c r="K225" s="14">
        <f>57.149 * CHOOSE(CONTROL!$C$9, $D$9, 100%, $F$9) + CHOOSE(CONTROL!$C$27, 0.0021, 0)</f>
        <v>57.1511</v>
      </c>
      <c r="L225" s="14"/>
    </row>
    <row r="226" spans="1:12" ht="15" x14ac:dyDescent="0.2">
      <c r="A226" s="13">
        <v>47788</v>
      </c>
      <c r="B226" s="14">
        <f>57.709 * CHOOSE(CONTROL!$C$9, $D$9, 100%, $F$9) + CHOOSE(CONTROL!$C$27, 0.0021, 0)</f>
        <v>57.711100000000002</v>
      </c>
      <c r="C226" s="14">
        <f>57.2768 * CHOOSE(CONTROL!$C$9, $D$9, 100%, $F$9) + CHOOSE(CONTROL!$C$27, 0.0021, 0)</f>
        <v>57.2789</v>
      </c>
      <c r="D226" s="14">
        <f>57.2768 * CHOOSE(CONTROL!$C$9, $D$9, 100%, $F$9) + CHOOSE(CONTROL!$C$27, 0.0021, 0)</f>
        <v>57.2789</v>
      </c>
      <c r="E226" s="14">
        <f>57.1401 * CHOOSE(CONTROL!$C$9, $D$9, 100%, $F$9) + CHOOSE(CONTROL!$C$27, 0.0021, 0)</f>
        <v>57.142199999999995</v>
      </c>
      <c r="F226" s="14">
        <f>57.1401 * CHOOSE(CONTROL!$C$9, $D$9, 100%, $F$9) + CHOOSE(CONTROL!$C$27, 0.0021, 0)</f>
        <v>57.142199999999995</v>
      </c>
      <c r="G226" s="14">
        <f>57.4115 * CHOOSE(CONTROL!$C$9, $D$9, 100%, $F$9) + CHOOSE(CONTROL!$C$27, 0.0021, 0)</f>
        <v>57.413599999999995</v>
      </c>
      <c r="H226" s="14">
        <f>57.2768 * CHOOSE(CONTROL!$C$9, $D$9, 100%, $F$9) + CHOOSE(CONTROL!$C$27, 0.0021, 0)</f>
        <v>57.2789</v>
      </c>
      <c r="I226" s="14">
        <f>57.2768 * CHOOSE(CONTROL!$C$9, $D$9, 100%, $F$9) + CHOOSE(CONTROL!$C$27, 0.0021, 0)</f>
        <v>57.2789</v>
      </c>
      <c r="J226" s="14">
        <f>57.2768 * CHOOSE(CONTROL!$C$9, $D$9, 100%, $F$9) + CHOOSE(CONTROL!$C$27, 0.0021, 0)</f>
        <v>57.2789</v>
      </c>
      <c r="K226" s="14">
        <f>57.2768 * CHOOSE(CONTROL!$C$9, $D$9, 100%, $F$9) + CHOOSE(CONTROL!$C$27, 0.0021, 0)</f>
        <v>57.2789</v>
      </c>
      <c r="L226" s="14"/>
    </row>
    <row r="227" spans="1:12" ht="15" x14ac:dyDescent="0.2">
      <c r="A227" s="13">
        <v>47818</v>
      </c>
      <c r="B227" s="14">
        <f>56.6224 * CHOOSE(CONTROL!$C$9, $D$9, 100%, $F$9) + CHOOSE(CONTROL!$C$27, 0.0021, 0)</f>
        <v>56.624499999999998</v>
      </c>
      <c r="C227" s="14">
        <f>56.1902 * CHOOSE(CONTROL!$C$9, $D$9, 100%, $F$9) + CHOOSE(CONTROL!$C$27, 0.0021, 0)</f>
        <v>56.192299999999996</v>
      </c>
      <c r="D227" s="14">
        <f>56.1902 * CHOOSE(CONTROL!$C$9, $D$9, 100%, $F$9) + CHOOSE(CONTROL!$C$27, 0.0021, 0)</f>
        <v>56.192299999999996</v>
      </c>
      <c r="E227" s="14">
        <f>56.0535 * CHOOSE(CONTROL!$C$9, $D$9, 100%, $F$9) + CHOOSE(CONTROL!$C$27, 0.0021, 0)</f>
        <v>56.055599999999998</v>
      </c>
      <c r="F227" s="14">
        <f>56.0535 * CHOOSE(CONTROL!$C$9, $D$9, 100%, $F$9) + CHOOSE(CONTROL!$C$27, 0.0021, 0)</f>
        <v>56.055599999999998</v>
      </c>
      <c r="G227" s="14">
        <f>56.3249 * CHOOSE(CONTROL!$C$9, $D$9, 100%, $F$9) + CHOOSE(CONTROL!$C$27, 0.0021, 0)</f>
        <v>56.326999999999998</v>
      </c>
      <c r="H227" s="14">
        <f>56.1902 * CHOOSE(CONTROL!$C$9, $D$9, 100%, $F$9) + CHOOSE(CONTROL!$C$27, 0.0021, 0)</f>
        <v>56.192299999999996</v>
      </c>
      <c r="I227" s="14">
        <f>56.1902 * CHOOSE(CONTROL!$C$9, $D$9, 100%, $F$9) + CHOOSE(CONTROL!$C$27, 0.0021, 0)</f>
        <v>56.192299999999996</v>
      </c>
      <c r="J227" s="14">
        <f>56.1902 * CHOOSE(CONTROL!$C$9, $D$9, 100%, $F$9) + CHOOSE(CONTROL!$C$27, 0.0021, 0)</f>
        <v>56.192299999999996</v>
      </c>
      <c r="K227" s="14">
        <f>56.1902 * CHOOSE(CONTROL!$C$9, $D$9, 100%, $F$9) + CHOOSE(CONTROL!$C$27, 0.0021, 0)</f>
        <v>56.192299999999996</v>
      </c>
      <c r="L227" s="14"/>
    </row>
    <row r="228" spans="1:12" ht="15" x14ac:dyDescent="0.2">
      <c r="A228" s="13">
        <v>47849</v>
      </c>
      <c r="B228" s="14">
        <f>55.9356 * CHOOSE(CONTROL!$C$9, $D$9, 100%, $F$9) + CHOOSE(CONTROL!$C$27, 0.0021, 0)</f>
        <v>55.9377</v>
      </c>
      <c r="C228" s="14">
        <f>55.5034 * CHOOSE(CONTROL!$C$9, $D$9, 100%, $F$9) + CHOOSE(CONTROL!$C$27, 0.0021, 0)</f>
        <v>55.505499999999998</v>
      </c>
      <c r="D228" s="14">
        <f>55.5034 * CHOOSE(CONTROL!$C$9, $D$9, 100%, $F$9) + CHOOSE(CONTROL!$C$27, 0.0021, 0)</f>
        <v>55.505499999999998</v>
      </c>
      <c r="E228" s="14">
        <f>55.3667 * CHOOSE(CONTROL!$C$9, $D$9, 100%, $F$9) + CHOOSE(CONTROL!$C$27, 0.0021, 0)</f>
        <v>55.3688</v>
      </c>
      <c r="F228" s="14">
        <f>55.3667 * CHOOSE(CONTROL!$C$9, $D$9, 100%, $F$9) + CHOOSE(CONTROL!$C$27, 0.0021, 0)</f>
        <v>55.3688</v>
      </c>
      <c r="G228" s="14">
        <f>55.6381 * CHOOSE(CONTROL!$C$9, $D$9, 100%, $F$9) + CHOOSE(CONTROL!$C$27, 0.0021, 0)</f>
        <v>55.6402</v>
      </c>
      <c r="H228" s="14">
        <f>55.5034 * CHOOSE(CONTROL!$C$9, $D$9, 100%, $F$9) + CHOOSE(CONTROL!$C$27, 0.0021, 0)</f>
        <v>55.505499999999998</v>
      </c>
      <c r="I228" s="14">
        <f>55.5034 * CHOOSE(CONTROL!$C$9, $D$9, 100%, $F$9) + CHOOSE(CONTROL!$C$27, 0.0021, 0)</f>
        <v>55.505499999999998</v>
      </c>
      <c r="J228" s="14">
        <f>55.5034 * CHOOSE(CONTROL!$C$9, $D$9, 100%, $F$9) + CHOOSE(CONTROL!$C$27, 0.0021, 0)</f>
        <v>55.505499999999998</v>
      </c>
      <c r="K228" s="14">
        <f>55.5034 * CHOOSE(CONTROL!$C$9, $D$9, 100%, $F$9) + CHOOSE(CONTROL!$C$27, 0.0021, 0)</f>
        <v>55.505499999999998</v>
      </c>
      <c r="L228" s="14"/>
    </row>
    <row r="229" spans="1:12" ht="15" x14ac:dyDescent="0.2">
      <c r="A229" s="13">
        <v>47880</v>
      </c>
      <c r="B229" s="14">
        <f>54.4183 * CHOOSE(CONTROL!$C$9, $D$9, 100%, $F$9) + CHOOSE(CONTROL!$C$27, 0.0021, 0)</f>
        <v>54.420400000000001</v>
      </c>
      <c r="C229" s="14">
        <f>53.9861 * CHOOSE(CONTROL!$C$9, $D$9, 100%, $F$9) + CHOOSE(CONTROL!$C$27, 0.0021, 0)</f>
        <v>53.988199999999999</v>
      </c>
      <c r="D229" s="14">
        <f>53.9861 * CHOOSE(CONTROL!$C$9, $D$9, 100%, $F$9) + CHOOSE(CONTROL!$C$27, 0.0021, 0)</f>
        <v>53.988199999999999</v>
      </c>
      <c r="E229" s="14">
        <f>53.8494 * CHOOSE(CONTROL!$C$9, $D$9, 100%, $F$9) + CHOOSE(CONTROL!$C$27, 0.0021, 0)</f>
        <v>53.851500000000001</v>
      </c>
      <c r="F229" s="14">
        <f>53.8494 * CHOOSE(CONTROL!$C$9, $D$9, 100%, $F$9) + CHOOSE(CONTROL!$C$27, 0.0021, 0)</f>
        <v>53.851500000000001</v>
      </c>
      <c r="G229" s="14">
        <f>54.1208 * CHOOSE(CONTROL!$C$9, $D$9, 100%, $F$9) + CHOOSE(CONTROL!$C$27, 0.0021, 0)</f>
        <v>54.122900000000001</v>
      </c>
      <c r="H229" s="14">
        <f>53.9861 * CHOOSE(CONTROL!$C$9, $D$9, 100%, $F$9) + CHOOSE(CONTROL!$C$27, 0.0021, 0)</f>
        <v>53.988199999999999</v>
      </c>
      <c r="I229" s="14">
        <f>53.9861 * CHOOSE(CONTROL!$C$9, $D$9, 100%, $F$9) + CHOOSE(CONTROL!$C$27, 0.0021, 0)</f>
        <v>53.988199999999999</v>
      </c>
      <c r="J229" s="14">
        <f>53.9861 * CHOOSE(CONTROL!$C$9, $D$9, 100%, $F$9) + CHOOSE(CONTROL!$C$27, 0.0021, 0)</f>
        <v>53.988199999999999</v>
      </c>
      <c r="K229" s="14">
        <f>53.9861 * CHOOSE(CONTROL!$C$9, $D$9, 100%, $F$9) + CHOOSE(CONTROL!$C$27, 0.0021, 0)</f>
        <v>53.988199999999999</v>
      </c>
      <c r="L229" s="14"/>
    </row>
    <row r="230" spans="1:12" ht="15" x14ac:dyDescent="0.2">
      <c r="A230" s="13">
        <v>47908</v>
      </c>
      <c r="B230" s="14">
        <f>53.792 * CHOOSE(CONTROL!$C$9, $D$9, 100%, $F$9) + CHOOSE(CONTROL!$C$27, 0.0021, 0)</f>
        <v>53.7941</v>
      </c>
      <c r="C230" s="14">
        <f>53.3597 * CHOOSE(CONTROL!$C$9, $D$9, 100%, $F$9) + CHOOSE(CONTROL!$C$27, 0.0021, 0)</f>
        <v>53.361799999999995</v>
      </c>
      <c r="D230" s="14">
        <f>53.3597 * CHOOSE(CONTROL!$C$9, $D$9, 100%, $F$9) + CHOOSE(CONTROL!$C$27, 0.0021, 0)</f>
        <v>53.361799999999995</v>
      </c>
      <c r="E230" s="14">
        <f>53.2231 * CHOOSE(CONTROL!$C$9, $D$9, 100%, $F$9) + CHOOSE(CONTROL!$C$27, 0.0021, 0)</f>
        <v>53.225200000000001</v>
      </c>
      <c r="F230" s="14">
        <f>53.2231 * CHOOSE(CONTROL!$C$9, $D$9, 100%, $F$9) + CHOOSE(CONTROL!$C$27, 0.0021, 0)</f>
        <v>53.225200000000001</v>
      </c>
      <c r="G230" s="14">
        <f>53.4944 * CHOOSE(CONTROL!$C$9, $D$9, 100%, $F$9) + CHOOSE(CONTROL!$C$27, 0.0021, 0)</f>
        <v>53.496499999999997</v>
      </c>
      <c r="H230" s="14">
        <f>53.3597 * CHOOSE(CONTROL!$C$9, $D$9, 100%, $F$9) + CHOOSE(CONTROL!$C$27, 0.0021, 0)</f>
        <v>53.361799999999995</v>
      </c>
      <c r="I230" s="14">
        <f>53.3597 * CHOOSE(CONTROL!$C$9, $D$9, 100%, $F$9) + CHOOSE(CONTROL!$C$27, 0.0021, 0)</f>
        <v>53.361799999999995</v>
      </c>
      <c r="J230" s="14">
        <f>53.3597 * CHOOSE(CONTROL!$C$9, $D$9, 100%, $F$9) + CHOOSE(CONTROL!$C$27, 0.0021, 0)</f>
        <v>53.361799999999995</v>
      </c>
      <c r="K230" s="14">
        <f>53.3597 * CHOOSE(CONTROL!$C$9, $D$9, 100%, $F$9) + CHOOSE(CONTROL!$C$27, 0.0021, 0)</f>
        <v>53.361799999999995</v>
      </c>
      <c r="L230" s="14"/>
    </row>
    <row r="231" spans="1:12" ht="15" x14ac:dyDescent="0.2">
      <c r="A231" s="13">
        <v>47939</v>
      </c>
      <c r="B231" s="14">
        <f>53.0441 * CHOOSE(CONTROL!$C$9, $D$9, 100%, $F$9) + CHOOSE(CONTROL!$C$27, 0.0021, 0)</f>
        <v>53.046199999999999</v>
      </c>
      <c r="C231" s="14">
        <f>52.6118 * CHOOSE(CONTROL!$C$9, $D$9, 100%, $F$9) + CHOOSE(CONTROL!$C$27, 0.0021, 0)</f>
        <v>52.613900000000001</v>
      </c>
      <c r="D231" s="14">
        <f>52.6118 * CHOOSE(CONTROL!$C$9, $D$9, 100%, $F$9) + CHOOSE(CONTROL!$C$27, 0.0021, 0)</f>
        <v>52.613900000000001</v>
      </c>
      <c r="E231" s="14">
        <f>52.4752 * CHOOSE(CONTROL!$C$9, $D$9, 100%, $F$9) + CHOOSE(CONTROL!$C$27, 0.0021, 0)</f>
        <v>52.4773</v>
      </c>
      <c r="F231" s="14">
        <f>52.4752 * CHOOSE(CONTROL!$C$9, $D$9, 100%, $F$9) + CHOOSE(CONTROL!$C$27, 0.0021, 0)</f>
        <v>52.4773</v>
      </c>
      <c r="G231" s="14">
        <f>52.7466 * CHOOSE(CONTROL!$C$9, $D$9, 100%, $F$9) + CHOOSE(CONTROL!$C$27, 0.0021, 0)</f>
        <v>52.748699999999999</v>
      </c>
      <c r="H231" s="14">
        <f>52.6118 * CHOOSE(CONTROL!$C$9, $D$9, 100%, $F$9) + CHOOSE(CONTROL!$C$27, 0.0021, 0)</f>
        <v>52.613900000000001</v>
      </c>
      <c r="I231" s="14">
        <f>52.6118 * CHOOSE(CONTROL!$C$9, $D$9, 100%, $F$9) + CHOOSE(CONTROL!$C$27, 0.0021, 0)</f>
        <v>52.613900000000001</v>
      </c>
      <c r="J231" s="14">
        <f>52.6118 * CHOOSE(CONTROL!$C$9, $D$9, 100%, $F$9) + CHOOSE(CONTROL!$C$27, 0.0021, 0)</f>
        <v>52.613900000000001</v>
      </c>
      <c r="K231" s="14">
        <f>52.6118 * CHOOSE(CONTROL!$C$9, $D$9, 100%, $F$9) + CHOOSE(CONTROL!$C$27, 0.0021, 0)</f>
        <v>52.613900000000001</v>
      </c>
      <c r="L231" s="14"/>
    </row>
    <row r="232" spans="1:12" ht="15" x14ac:dyDescent="0.2">
      <c r="A232" s="13">
        <v>47969</v>
      </c>
      <c r="B232" s="14">
        <f>54.1099 * CHOOSE(CONTROL!$C$9, $D$9, 100%, $F$9) + CHOOSE(CONTROL!$C$27, 0.0021, 0)</f>
        <v>54.112000000000002</v>
      </c>
      <c r="C232" s="14">
        <f>53.6777 * CHOOSE(CONTROL!$C$9, $D$9, 100%, $F$9) + CHOOSE(CONTROL!$C$27, 0.0021, 0)</f>
        <v>53.6798</v>
      </c>
      <c r="D232" s="14">
        <f>53.6777 * CHOOSE(CONTROL!$C$9, $D$9, 100%, $F$9) + CHOOSE(CONTROL!$C$27, 0.0021, 0)</f>
        <v>53.6798</v>
      </c>
      <c r="E232" s="14">
        <f>53.541 * CHOOSE(CONTROL!$C$9, $D$9, 100%, $F$9) + CHOOSE(CONTROL!$C$27, 0.0021, 0)</f>
        <v>53.543099999999995</v>
      </c>
      <c r="F232" s="14">
        <f>53.541 * CHOOSE(CONTROL!$C$9, $D$9, 100%, $F$9) + CHOOSE(CONTROL!$C$27, 0.0021, 0)</f>
        <v>53.543099999999995</v>
      </c>
      <c r="G232" s="14">
        <f>53.8124 * CHOOSE(CONTROL!$C$9, $D$9, 100%, $F$9) + CHOOSE(CONTROL!$C$27, 0.0021, 0)</f>
        <v>53.814499999999995</v>
      </c>
      <c r="H232" s="14">
        <f>53.6777 * CHOOSE(CONTROL!$C$9, $D$9, 100%, $F$9) + CHOOSE(CONTROL!$C$27, 0.0021, 0)</f>
        <v>53.6798</v>
      </c>
      <c r="I232" s="14">
        <f>53.6777 * CHOOSE(CONTROL!$C$9, $D$9, 100%, $F$9) + CHOOSE(CONTROL!$C$27, 0.0021, 0)</f>
        <v>53.6798</v>
      </c>
      <c r="J232" s="14">
        <f>53.6777 * CHOOSE(CONTROL!$C$9, $D$9, 100%, $F$9) + CHOOSE(CONTROL!$C$27, 0.0021, 0)</f>
        <v>53.6798</v>
      </c>
      <c r="K232" s="14">
        <f>53.6777 * CHOOSE(CONTROL!$C$9, $D$9, 100%, $F$9) + CHOOSE(CONTROL!$C$27, 0.0021, 0)</f>
        <v>53.6798</v>
      </c>
      <c r="L232" s="14"/>
    </row>
    <row r="233" spans="1:12" ht="15" x14ac:dyDescent="0.2">
      <c r="A233" s="13">
        <v>48000</v>
      </c>
      <c r="B233" s="14">
        <f>54.7483 * CHOOSE(CONTROL!$C$9, $D$9, 100%, $F$9) + CHOOSE(CONTROL!$C$27, 0.0021, 0)</f>
        <v>54.750399999999999</v>
      </c>
      <c r="C233" s="14">
        <f>54.316 * CHOOSE(CONTROL!$C$9, $D$9, 100%, $F$9) + CHOOSE(CONTROL!$C$27, 0.0021, 0)</f>
        <v>54.318100000000001</v>
      </c>
      <c r="D233" s="14">
        <f>54.316 * CHOOSE(CONTROL!$C$9, $D$9, 100%, $F$9) + CHOOSE(CONTROL!$C$27, 0.0021, 0)</f>
        <v>54.318100000000001</v>
      </c>
      <c r="E233" s="14">
        <f>54.1794 * CHOOSE(CONTROL!$C$9, $D$9, 100%, $F$9) + CHOOSE(CONTROL!$C$27, 0.0021, 0)</f>
        <v>54.1815</v>
      </c>
      <c r="F233" s="14">
        <f>54.1794 * CHOOSE(CONTROL!$C$9, $D$9, 100%, $F$9) + CHOOSE(CONTROL!$C$27, 0.0021, 0)</f>
        <v>54.1815</v>
      </c>
      <c r="G233" s="14">
        <f>54.4508 * CHOOSE(CONTROL!$C$9, $D$9, 100%, $F$9) + CHOOSE(CONTROL!$C$27, 0.0021, 0)</f>
        <v>54.4529</v>
      </c>
      <c r="H233" s="14">
        <f>54.316 * CHOOSE(CONTROL!$C$9, $D$9, 100%, $F$9) + CHOOSE(CONTROL!$C$27, 0.0021, 0)</f>
        <v>54.318100000000001</v>
      </c>
      <c r="I233" s="14">
        <f>54.316 * CHOOSE(CONTROL!$C$9, $D$9, 100%, $F$9) + CHOOSE(CONTROL!$C$27, 0.0021, 0)</f>
        <v>54.318100000000001</v>
      </c>
      <c r="J233" s="14">
        <f>54.316 * CHOOSE(CONTROL!$C$9, $D$9, 100%, $F$9) + CHOOSE(CONTROL!$C$27, 0.0021, 0)</f>
        <v>54.318100000000001</v>
      </c>
      <c r="K233" s="14">
        <f>54.316 * CHOOSE(CONTROL!$C$9, $D$9, 100%, $F$9) + CHOOSE(CONTROL!$C$27, 0.0021, 0)</f>
        <v>54.318100000000001</v>
      </c>
      <c r="L233" s="14"/>
    </row>
    <row r="234" spans="1:12" ht="15" x14ac:dyDescent="0.2">
      <c r="A234" s="13">
        <v>48030</v>
      </c>
      <c r="B234" s="14">
        <f>55.8014 * CHOOSE(CONTROL!$C$9, $D$9, 100%, $F$9) + CHOOSE(CONTROL!$C$27, 0.0021, 0)</f>
        <v>55.8035</v>
      </c>
      <c r="C234" s="14">
        <f>55.3691 * CHOOSE(CONTROL!$C$9, $D$9, 100%, $F$9) + CHOOSE(CONTROL!$C$27, 0.0021, 0)</f>
        <v>55.371200000000002</v>
      </c>
      <c r="D234" s="14">
        <f>55.3691 * CHOOSE(CONTROL!$C$9, $D$9, 100%, $F$9) + CHOOSE(CONTROL!$C$27, 0.0021, 0)</f>
        <v>55.371200000000002</v>
      </c>
      <c r="E234" s="14">
        <f>55.2325 * CHOOSE(CONTROL!$C$9, $D$9, 100%, $F$9) + CHOOSE(CONTROL!$C$27, 0.0021, 0)</f>
        <v>55.2346</v>
      </c>
      <c r="F234" s="14">
        <f>55.2325 * CHOOSE(CONTROL!$C$9, $D$9, 100%, $F$9) + CHOOSE(CONTROL!$C$27, 0.0021, 0)</f>
        <v>55.2346</v>
      </c>
      <c r="G234" s="14">
        <f>55.5038 * CHOOSE(CONTROL!$C$9, $D$9, 100%, $F$9) + CHOOSE(CONTROL!$C$27, 0.0021, 0)</f>
        <v>55.505899999999997</v>
      </c>
      <c r="H234" s="14">
        <f>55.3691 * CHOOSE(CONTROL!$C$9, $D$9, 100%, $F$9) + CHOOSE(CONTROL!$C$27, 0.0021, 0)</f>
        <v>55.371200000000002</v>
      </c>
      <c r="I234" s="14">
        <f>55.3691 * CHOOSE(CONTROL!$C$9, $D$9, 100%, $F$9) + CHOOSE(CONTROL!$C$27, 0.0021, 0)</f>
        <v>55.371200000000002</v>
      </c>
      <c r="J234" s="14">
        <f>55.3691 * CHOOSE(CONTROL!$C$9, $D$9, 100%, $F$9) + CHOOSE(CONTROL!$C$27, 0.0021, 0)</f>
        <v>55.371200000000002</v>
      </c>
      <c r="K234" s="14">
        <f>55.3691 * CHOOSE(CONTROL!$C$9, $D$9, 100%, $F$9) + CHOOSE(CONTROL!$C$27, 0.0021, 0)</f>
        <v>55.371200000000002</v>
      </c>
      <c r="L234" s="14"/>
    </row>
    <row r="235" spans="1:12" ht="15" x14ac:dyDescent="0.2">
      <c r="A235" s="13">
        <v>48061</v>
      </c>
      <c r="B235" s="14">
        <f>56.1228 * CHOOSE(CONTROL!$C$9, $D$9, 100%, $F$9) + CHOOSE(CONTROL!$C$27, 0.0021, 0)</f>
        <v>56.124899999999997</v>
      </c>
      <c r="C235" s="14">
        <f>55.6906 * CHOOSE(CONTROL!$C$9, $D$9, 100%, $F$9) + CHOOSE(CONTROL!$C$27, 0.0021, 0)</f>
        <v>55.692700000000002</v>
      </c>
      <c r="D235" s="14">
        <f>55.6906 * CHOOSE(CONTROL!$C$9, $D$9, 100%, $F$9) + CHOOSE(CONTROL!$C$27, 0.0021, 0)</f>
        <v>55.692700000000002</v>
      </c>
      <c r="E235" s="14">
        <f>55.5539 * CHOOSE(CONTROL!$C$9, $D$9, 100%, $F$9) + CHOOSE(CONTROL!$C$27, 0.0021, 0)</f>
        <v>55.555999999999997</v>
      </c>
      <c r="F235" s="14">
        <f>55.5539 * CHOOSE(CONTROL!$C$9, $D$9, 100%, $F$9) + CHOOSE(CONTROL!$C$27, 0.0021, 0)</f>
        <v>55.555999999999997</v>
      </c>
      <c r="G235" s="14">
        <f>55.8253 * CHOOSE(CONTROL!$C$9, $D$9, 100%, $F$9) + CHOOSE(CONTROL!$C$27, 0.0021, 0)</f>
        <v>55.827399999999997</v>
      </c>
      <c r="H235" s="14">
        <f>55.6906 * CHOOSE(CONTROL!$C$9, $D$9, 100%, $F$9) + CHOOSE(CONTROL!$C$27, 0.0021, 0)</f>
        <v>55.692700000000002</v>
      </c>
      <c r="I235" s="14">
        <f>55.6906 * CHOOSE(CONTROL!$C$9, $D$9, 100%, $F$9) + CHOOSE(CONTROL!$C$27, 0.0021, 0)</f>
        <v>55.692700000000002</v>
      </c>
      <c r="J235" s="14">
        <f>55.6906 * CHOOSE(CONTROL!$C$9, $D$9, 100%, $F$9) + CHOOSE(CONTROL!$C$27, 0.0021, 0)</f>
        <v>55.692700000000002</v>
      </c>
      <c r="K235" s="14">
        <f>55.6906 * CHOOSE(CONTROL!$C$9, $D$9, 100%, $F$9) + CHOOSE(CONTROL!$C$27, 0.0021, 0)</f>
        <v>55.692700000000002</v>
      </c>
      <c r="L235" s="14"/>
    </row>
    <row r="236" spans="1:12" ht="15" x14ac:dyDescent="0.2">
      <c r="A236" s="13">
        <v>48092</v>
      </c>
      <c r="B236" s="14">
        <f>57.2174 * CHOOSE(CONTROL!$C$9, $D$9, 100%, $F$9) + CHOOSE(CONTROL!$C$27, 0.0021, 0)</f>
        <v>57.219499999999996</v>
      </c>
      <c r="C236" s="14">
        <f>56.7852 * CHOOSE(CONTROL!$C$9, $D$9, 100%, $F$9) + CHOOSE(CONTROL!$C$27, 0.0021, 0)</f>
        <v>56.787300000000002</v>
      </c>
      <c r="D236" s="14">
        <f>56.7852 * CHOOSE(CONTROL!$C$9, $D$9, 100%, $F$9) + CHOOSE(CONTROL!$C$27, 0.0021, 0)</f>
        <v>56.787300000000002</v>
      </c>
      <c r="E236" s="14">
        <f>56.6485 * CHOOSE(CONTROL!$C$9, $D$9, 100%, $F$9) + CHOOSE(CONTROL!$C$27, 0.0021, 0)</f>
        <v>56.650599999999997</v>
      </c>
      <c r="F236" s="14">
        <f>56.6485 * CHOOSE(CONTROL!$C$9, $D$9, 100%, $F$9) + CHOOSE(CONTROL!$C$27, 0.0021, 0)</f>
        <v>56.650599999999997</v>
      </c>
      <c r="G236" s="14">
        <f>56.9199 * CHOOSE(CONTROL!$C$9, $D$9, 100%, $F$9) + CHOOSE(CONTROL!$C$27, 0.0021, 0)</f>
        <v>56.921999999999997</v>
      </c>
      <c r="H236" s="14">
        <f>56.7852 * CHOOSE(CONTROL!$C$9, $D$9, 100%, $F$9) + CHOOSE(CONTROL!$C$27, 0.0021, 0)</f>
        <v>56.787300000000002</v>
      </c>
      <c r="I236" s="14">
        <f>56.7852 * CHOOSE(CONTROL!$C$9, $D$9, 100%, $F$9) + CHOOSE(CONTROL!$C$27, 0.0021, 0)</f>
        <v>56.787300000000002</v>
      </c>
      <c r="J236" s="14">
        <f>56.7852 * CHOOSE(CONTROL!$C$9, $D$9, 100%, $F$9) + CHOOSE(CONTROL!$C$27, 0.0021, 0)</f>
        <v>56.787300000000002</v>
      </c>
      <c r="K236" s="14">
        <f>56.7852 * CHOOSE(CONTROL!$C$9, $D$9, 100%, $F$9) + CHOOSE(CONTROL!$C$27, 0.0021, 0)</f>
        <v>56.787300000000002</v>
      </c>
      <c r="L236" s="14"/>
    </row>
    <row r="237" spans="1:12" ht="15" x14ac:dyDescent="0.2">
      <c r="A237" s="13">
        <v>48122</v>
      </c>
      <c r="B237" s="14">
        <f>58.6031 * CHOOSE(CONTROL!$C$9, $D$9, 100%, $F$9) + CHOOSE(CONTROL!$C$27, 0.0021, 0)</f>
        <v>58.605199999999996</v>
      </c>
      <c r="C237" s="14">
        <f>58.1708 * CHOOSE(CONTROL!$C$9, $D$9, 100%, $F$9) + CHOOSE(CONTROL!$C$27, 0.0021, 0)</f>
        <v>58.172899999999998</v>
      </c>
      <c r="D237" s="14">
        <f>58.1708 * CHOOSE(CONTROL!$C$9, $D$9, 100%, $F$9) + CHOOSE(CONTROL!$C$27, 0.0021, 0)</f>
        <v>58.172899999999998</v>
      </c>
      <c r="E237" s="14">
        <f>58.0342 * CHOOSE(CONTROL!$C$9, $D$9, 100%, $F$9) + CHOOSE(CONTROL!$C$27, 0.0021, 0)</f>
        <v>58.036299999999997</v>
      </c>
      <c r="F237" s="14">
        <f>58.0342 * CHOOSE(CONTROL!$C$9, $D$9, 100%, $F$9) + CHOOSE(CONTROL!$C$27, 0.0021, 0)</f>
        <v>58.036299999999997</v>
      </c>
      <c r="G237" s="14">
        <f>58.3055 * CHOOSE(CONTROL!$C$9, $D$9, 100%, $F$9) + CHOOSE(CONTROL!$C$27, 0.0021, 0)</f>
        <v>58.307600000000001</v>
      </c>
      <c r="H237" s="14">
        <f>58.1708 * CHOOSE(CONTROL!$C$9, $D$9, 100%, $F$9) + CHOOSE(CONTROL!$C$27, 0.0021, 0)</f>
        <v>58.172899999999998</v>
      </c>
      <c r="I237" s="14">
        <f>58.1708 * CHOOSE(CONTROL!$C$9, $D$9, 100%, $F$9) + CHOOSE(CONTROL!$C$27, 0.0021, 0)</f>
        <v>58.172899999999998</v>
      </c>
      <c r="J237" s="14">
        <f>58.1708 * CHOOSE(CONTROL!$C$9, $D$9, 100%, $F$9) + CHOOSE(CONTROL!$C$27, 0.0021, 0)</f>
        <v>58.172899999999998</v>
      </c>
      <c r="K237" s="14">
        <f>58.1708 * CHOOSE(CONTROL!$C$9, $D$9, 100%, $F$9) + CHOOSE(CONTROL!$C$27, 0.0021, 0)</f>
        <v>58.172899999999998</v>
      </c>
      <c r="L237" s="14"/>
    </row>
    <row r="238" spans="1:12" ht="15" x14ac:dyDescent="0.2">
      <c r="A238" s="13">
        <v>48153</v>
      </c>
      <c r="B238" s="14">
        <f>58.7331 * CHOOSE(CONTROL!$C$9, $D$9, 100%, $F$9) + CHOOSE(CONTROL!$C$27, 0.0021, 0)</f>
        <v>58.735199999999999</v>
      </c>
      <c r="C238" s="14">
        <f>58.3009 * CHOOSE(CONTROL!$C$9, $D$9, 100%, $F$9) + CHOOSE(CONTROL!$C$27, 0.0021, 0)</f>
        <v>58.302999999999997</v>
      </c>
      <c r="D238" s="14">
        <f>58.3009 * CHOOSE(CONTROL!$C$9, $D$9, 100%, $F$9) + CHOOSE(CONTROL!$C$27, 0.0021, 0)</f>
        <v>58.302999999999997</v>
      </c>
      <c r="E238" s="14">
        <f>58.1642 * CHOOSE(CONTROL!$C$9, $D$9, 100%, $F$9) + CHOOSE(CONTROL!$C$27, 0.0021, 0)</f>
        <v>58.1663</v>
      </c>
      <c r="F238" s="14">
        <f>58.1642 * CHOOSE(CONTROL!$C$9, $D$9, 100%, $F$9) + CHOOSE(CONTROL!$C$27, 0.0021, 0)</f>
        <v>58.1663</v>
      </c>
      <c r="G238" s="14">
        <f>58.4356 * CHOOSE(CONTROL!$C$9, $D$9, 100%, $F$9) + CHOOSE(CONTROL!$C$27, 0.0021, 0)</f>
        <v>58.4377</v>
      </c>
      <c r="H238" s="14">
        <f>58.3009 * CHOOSE(CONTROL!$C$9, $D$9, 100%, $F$9) + CHOOSE(CONTROL!$C$27, 0.0021, 0)</f>
        <v>58.302999999999997</v>
      </c>
      <c r="I238" s="14">
        <f>58.3009 * CHOOSE(CONTROL!$C$9, $D$9, 100%, $F$9) + CHOOSE(CONTROL!$C$27, 0.0021, 0)</f>
        <v>58.302999999999997</v>
      </c>
      <c r="J238" s="14">
        <f>58.3009 * CHOOSE(CONTROL!$C$9, $D$9, 100%, $F$9) + CHOOSE(CONTROL!$C$27, 0.0021, 0)</f>
        <v>58.302999999999997</v>
      </c>
      <c r="K238" s="14">
        <f>58.3009 * CHOOSE(CONTROL!$C$9, $D$9, 100%, $F$9) + CHOOSE(CONTROL!$C$27, 0.0021, 0)</f>
        <v>58.302999999999997</v>
      </c>
      <c r="L238" s="14"/>
    </row>
    <row r="239" spans="1:12" ht="15" x14ac:dyDescent="0.2">
      <c r="A239" s="13">
        <v>48183</v>
      </c>
      <c r="B239" s="14">
        <f>57.6265 * CHOOSE(CONTROL!$C$9, $D$9, 100%, $F$9) + CHOOSE(CONTROL!$C$27, 0.0021, 0)</f>
        <v>57.628599999999999</v>
      </c>
      <c r="C239" s="14">
        <f>57.1942 * CHOOSE(CONTROL!$C$9, $D$9, 100%, $F$9) + CHOOSE(CONTROL!$C$27, 0.0021, 0)</f>
        <v>57.196300000000001</v>
      </c>
      <c r="D239" s="14">
        <f>57.1942 * CHOOSE(CONTROL!$C$9, $D$9, 100%, $F$9) + CHOOSE(CONTROL!$C$27, 0.0021, 0)</f>
        <v>57.196300000000001</v>
      </c>
      <c r="E239" s="14">
        <f>57.0576 * CHOOSE(CONTROL!$C$9, $D$9, 100%, $F$9) + CHOOSE(CONTROL!$C$27, 0.0021, 0)</f>
        <v>57.059699999999999</v>
      </c>
      <c r="F239" s="14">
        <f>57.0576 * CHOOSE(CONTROL!$C$9, $D$9, 100%, $F$9) + CHOOSE(CONTROL!$C$27, 0.0021, 0)</f>
        <v>57.059699999999999</v>
      </c>
      <c r="G239" s="14">
        <f>57.3289 * CHOOSE(CONTROL!$C$9, $D$9, 100%, $F$9) + CHOOSE(CONTROL!$C$27, 0.0021, 0)</f>
        <v>57.330999999999996</v>
      </c>
      <c r="H239" s="14">
        <f>57.1942 * CHOOSE(CONTROL!$C$9, $D$9, 100%, $F$9) + CHOOSE(CONTROL!$C$27, 0.0021, 0)</f>
        <v>57.196300000000001</v>
      </c>
      <c r="I239" s="14">
        <f>57.1942 * CHOOSE(CONTROL!$C$9, $D$9, 100%, $F$9) + CHOOSE(CONTROL!$C$27, 0.0021, 0)</f>
        <v>57.196300000000001</v>
      </c>
      <c r="J239" s="14">
        <f>57.1942 * CHOOSE(CONTROL!$C$9, $D$9, 100%, $F$9) + CHOOSE(CONTROL!$C$27, 0.0021, 0)</f>
        <v>57.196300000000001</v>
      </c>
      <c r="K239" s="14">
        <f>57.1942 * CHOOSE(CONTROL!$C$9, $D$9, 100%, $F$9) + CHOOSE(CONTROL!$C$27, 0.0021, 0)</f>
        <v>57.196300000000001</v>
      </c>
      <c r="L239" s="14"/>
    </row>
    <row r="240" spans="1:12" ht="15" x14ac:dyDescent="0.2">
      <c r="A240" s="13">
        <v>48214</v>
      </c>
      <c r="B240" s="14">
        <f>56.927 * CHOOSE(CONTROL!$C$9, $D$9, 100%, $F$9) + CHOOSE(CONTROL!$C$27, 0.0021, 0)</f>
        <v>56.929099999999998</v>
      </c>
      <c r="C240" s="14">
        <f>56.4948 * CHOOSE(CONTROL!$C$9, $D$9, 100%, $F$9) + CHOOSE(CONTROL!$C$27, 0.0021, 0)</f>
        <v>56.496899999999997</v>
      </c>
      <c r="D240" s="14">
        <f>56.4948 * CHOOSE(CONTROL!$C$9, $D$9, 100%, $F$9) + CHOOSE(CONTROL!$C$27, 0.0021, 0)</f>
        <v>56.496899999999997</v>
      </c>
      <c r="E240" s="14">
        <f>56.3581 * CHOOSE(CONTROL!$C$9, $D$9, 100%, $F$9) + CHOOSE(CONTROL!$C$27, 0.0021, 0)</f>
        <v>56.360199999999999</v>
      </c>
      <c r="F240" s="14">
        <f>56.3581 * CHOOSE(CONTROL!$C$9, $D$9, 100%, $F$9) + CHOOSE(CONTROL!$C$27, 0.0021, 0)</f>
        <v>56.360199999999999</v>
      </c>
      <c r="G240" s="14">
        <f>56.6295 * CHOOSE(CONTROL!$C$9, $D$9, 100%, $F$9) + CHOOSE(CONTROL!$C$27, 0.0021, 0)</f>
        <v>56.631599999999999</v>
      </c>
      <c r="H240" s="14">
        <f>56.4948 * CHOOSE(CONTROL!$C$9, $D$9, 100%, $F$9) + CHOOSE(CONTROL!$C$27, 0.0021, 0)</f>
        <v>56.496899999999997</v>
      </c>
      <c r="I240" s="14">
        <f>56.4948 * CHOOSE(CONTROL!$C$9, $D$9, 100%, $F$9) + CHOOSE(CONTROL!$C$27, 0.0021, 0)</f>
        <v>56.496899999999997</v>
      </c>
      <c r="J240" s="14">
        <f>56.4948 * CHOOSE(CONTROL!$C$9, $D$9, 100%, $F$9) + CHOOSE(CONTROL!$C$27, 0.0021, 0)</f>
        <v>56.496899999999997</v>
      </c>
      <c r="K240" s="14">
        <f>56.4948 * CHOOSE(CONTROL!$C$9, $D$9, 100%, $F$9) + CHOOSE(CONTROL!$C$27, 0.0021, 0)</f>
        <v>56.496899999999997</v>
      </c>
      <c r="L240" s="14"/>
    </row>
    <row r="241" spans="1:12" ht="15" x14ac:dyDescent="0.2">
      <c r="A241" s="13">
        <v>48245</v>
      </c>
      <c r="B241" s="14">
        <f>55.3816 * CHOOSE(CONTROL!$C$9, $D$9, 100%, $F$9) + CHOOSE(CONTROL!$C$27, 0.0021, 0)</f>
        <v>55.383699999999997</v>
      </c>
      <c r="C241" s="14">
        <f>54.9494 * CHOOSE(CONTROL!$C$9, $D$9, 100%, $F$9) + CHOOSE(CONTROL!$C$27, 0.0021, 0)</f>
        <v>54.951499999999996</v>
      </c>
      <c r="D241" s="14">
        <f>54.9494 * CHOOSE(CONTROL!$C$9, $D$9, 100%, $F$9) + CHOOSE(CONTROL!$C$27, 0.0021, 0)</f>
        <v>54.951499999999996</v>
      </c>
      <c r="E241" s="14">
        <f>54.8127 * CHOOSE(CONTROL!$C$9, $D$9, 100%, $F$9) + CHOOSE(CONTROL!$C$27, 0.0021, 0)</f>
        <v>54.814799999999998</v>
      </c>
      <c r="F241" s="14">
        <f>54.8127 * CHOOSE(CONTROL!$C$9, $D$9, 100%, $F$9) + CHOOSE(CONTROL!$C$27, 0.0021, 0)</f>
        <v>54.814799999999998</v>
      </c>
      <c r="G241" s="14">
        <f>55.0841 * CHOOSE(CONTROL!$C$9, $D$9, 100%, $F$9) + CHOOSE(CONTROL!$C$27, 0.0021, 0)</f>
        <v>55.086199999999998</v>
      </c>
      <c r="H241" s="14">
        <f>54.9494 * CHOOSE(CONTROL!$C$9, $D$9, 100%, $F$9) + CHOOSE(CONTROL!$C$27, 0.0021, 0)</f>
        <v>54.951499999999996</v>
      </c>
      <c r="I241" s="14">
        <f>54.9494 * CHOOSE(CONTROL!$C$9, $D$9, 100%, $F$9) + CHOOSE(CONTROL!$C$27, 0.0021, 0)</f>
        <v>54.951499999999996</v>
      </c>
      <c r="J241" s="14">
        <f>54.9494 * CHOOSE(CONTROL!$C$9, $D$9, 100%, $F$9) + CHOOSE(CONTROL!$C$27, 0.0021, 0)</f>
        <v>54.951499999999996</v>
      </c>
      <c r="K241" s="14">
        <f>54.9494 * CHOOSE(CONTROL!$C$9, $D$9, 100%, $F$9) + CHOOSE(CONTROL!$C$27, 0.0021, 0)</f>
        <v>54.951499999999996</v>
      </c>
      <c r="L241" s="14"/>
    </row>
    <row r="242" spans="1:12" ht="15" x14ac:dyDescent="0.2">
      <c r="A242" s="13">
        <v>48274</v>
      </c>
      <c r="B242" s="14">
        <f>54.7437 * CHOOSE(CONTROL!$C$9, $D$9, 100%, $F$9) + CHOOSE(CONTROL!$C$27, 0.0021, 0)</f>
        <v>54.745799999999996</v>
      </c>
      <c r="C242" s="14">
        <f>54.3115 * CHOOSE(CONTROL!$C$9, $D$9, 100%, $F$9) + CHOOSE(CONTROL!$C$27, 0.0021, 0)</f>
        <v>54.313600000000001</v>
      </c>
      <c r="D242" s="14">
        <f>54.3115 * CHOOSE(CONTROL!$C$9, $D$9, 100%, $F$9) + CHOOSE(CONTROL!$C$27, 0.0021, 0)</f>
        <v>54.313600000000001</v>
      </c>
      <c r="E242" s="14">
        <f>54.1748 * CHOOSE(CONTROL!$C$9, $D$9, 100%, $F$9) + CHOOSE(CONTROL!$C$27, 0.0021, 0)</f>
        <v>54.176899999999996</v>
      </c>
      <c r="F242" s="14">
        <f>54.1748 * CHOOSE(CONTROL!$C$9, $D$9, 100%, $F$9) + CHOOSE(CONTROL!$C$27, 0.0021, 0)</f>
        <v>54.176899999999996</v>
      </c>
      <c r="G242" s="14">
        <f>54.4462 * CHOOSE(CONTROL!$C$9, $D$9, 100%, $F$9) + CHOOSE(CONTROL!$C$27, 0.0021, 0)</f>
        <v>54.448299999999996</v>
      </c>
      <c r="H242" s="14">
        <f>54.3115 * CHOOSE(CONTROL!$C$9, $D$9, 100%, $F$9) + CHOOSE(CONTROL!$C$27, 0.0021, 0)</f>
        <v>54.313600000000001</v>
      </c>
      <c r="I242" s="14">
        <f>54.3115 * CHOOSE(CONTROL!$C$9, $D$9, 100%, $F$9) + CHOOSE(CONTROL!$C$27, 0.0021, 0)</f>
        <v>54.313600000000001</v>
      </c>
      <c r="J242" s="14">
        <f>54.3115 * CHOOSE(CONTROL!$C$9, $D$9, 100%, $F$9) + CHOOSE(CONTROL!$C$27, 0.0021, 0)</f>
        <v>54.313600000000001</v>
      </c>
      <c r="K242" s="14">
        <f>54.3115 * CHOOSE(CONTROL!$C$9, $D$9, 100%, $F$9) + CHOOSE(CONTROL!$C$27, 0.0021, 0)</f>
        <v>54.313600000000001</v>
      </c>
      <c r="L242" s="14"/>
    </row>
    <row r="243" spans="1:12" ht="15" x14ac:dyDescent="0.2">
      <c r="A243" s="13">
        <v>48305</v>
      </c>
      <c r="B243" s="14">
        <f>53.982 * CHOOSE(CONTROL!$C$9, $D$9, 100%, $F$9) + CHOOSE(CONTROL!$C$27, 0.0021, 0)</f>
        <v>53.984099999999998</v>
      </c>
      <c r="C243" s="14">
        <f>53.5498 * CHOOSE(CONTROL!$C$9, $D$9, 100%, $F$9) + CHOOSE(CONTROL!$C$27, 0.0021, 0)</f>
        <v>53.551899999999996</v>
      </c>
      <c r="D243" s="14">
        <f>53.5498 * CHOOSE(CONTROL!$C$9, $D$9, 100%, $F$9) + CHOOSE(CONTROL!$C$27, 0.0021, 0)</f>
        <v>53.551899999999996</v>
      </c>
      <c r="E243" s="14">
        <f>53.4131 * CHOOSE(CONTROL!$C$9, $D$9, 100%, $F$9) + CHOOSE(CONTROL!$C$27, 0.0021, 0)</f>
        <v>53.415199999999999</v>
      </c>
      <c r="F243" s="14">
        <f>53.4131 * CHOOSE(CONTROL!$C$9, $D$9, 100%, $F$9) + CHOOSE(CONTROL!$C$27, 0.0021, 0)</f>
        <v>53.415199999999999</v>
      </c>
      <c r="G243" s="14">
        <f>53.6845 * CHOOSE(CONTROL!$C$9, $D$9, 100%, $F$9) + CHOOSE(CONTROL!$C$27, 0.0021, 0)</f>
        <v>53.686599999999999</v>
      </c>
      <c r="H243" s="14">
        <f>53.5498 * CHOOSE(CONTROL!$C$9, $D$9, 100%, $F$9) + CHOOSE(CONTROL!$C$27, 0.0021, 0)</f>
        <v>53.551899999999996</v>
      </c>
      <c r="I243" s="14">
        <f>53.5498 * CHOOSE(CONTROL!$C$9, $D$9, 100%, $F$9) + CHOOSE(CONTROL!$C$27, 0.0021, 0)</f>
        <v>53.551899999999996</v>
      </c>
      <c r="J243" s="14">
        <f>53.5498 * CHOOSE(CONTROL!$C$9, $D$9, 100%, $F$9) + CHOOSE(CONTROL!$C$27, 0.0021, 0)</f>
        <v>53.551899999999996</v>
      </c>
      <c r="K243" s="14">
        <f>53.5498 * CHOOSE(CONTROL!$C$9, $D$9, 100%, $F$9) + CHOOSE(CONTROL!$C$27, 0.0021, 0)</f>
        <v>53.551899999999996</v>
      </c>
      <c r="L243" s="14"/>
    </row>
    <row r="244" spans="1:12" ht="15" x14ac:dyDescent="0.2">
      <c r="A244" s="13">
        <v>48335</v>
      </c>
      <c r="B244" s="14">
        <f>55.0675 * CHOOSE(CONTROL!$C$9, $D$9, 100%, $F$9) + CHOOSE(CONTROL!$C$27, 0.0021, 0)</f>
        <v>55.069600000000001</v>
      </c>
      <c r="C244" s="14">
        <f>54.6353 * CHOOSE(CONTROL!$C$9, $D$9, 100%, $F$9) + CHOOSE(CONTROL!$C$27, 0.0021, 0)</f>
        <v>54.6374</v>
      </c>
      <c r="D244" s="14">
        <f>54.6353 * CHOOSE(CONTROL!$C$9, $D$9, 100%, $F$9) + CHOOSE(CONTROL!$C$27, 0.0021, 0)</f>
        <v>54.6374</v>
      </c>
      <c r="E244" s="14">
        <f>54.4986 * CHOOSE(CONTROL!$C$9, $D$9, 100%, $F$9) + CHOOSE(CONTROL!$C$27, 0.0021, 0)</f>
        <v>54.500700000000002</v>
      </c>
      <c r="F244" s="14">
        <f>54.4986 * CHOOSE(CONTROL!$C$9, $D$9, 100%, $F$9) + CHOOSE(CONTROL!$C$27, 0.0021, 0)</f>
        <v>54.500700000000002</v>
      </c>
      <c r="G244" s="14">
        <f>54.77 * CHOOSE(CONTROL!$C$9, $D$9, 100%, $F$9) + CHOOSE(CONTROL!$C$27, 0.0021, 0)</f>
        <v>54.772100000000002</v>
      </c>
      <c r="H244" s="14">
        <f>54.6353 * CHOOSE(CONTROL!$C$9, $D$9, 100%, $F$9) + CHOOSE(CONTROL!$C$27, 0.0021, 0)</f>
        <v>54.6374</v>
      </c>
      <c r="I244" s="14">
        <f>54.6353 * CHOOSE(CONTROL!$C$9, $D$9, 100%, $F$9) + CHOOSE(CONTROL!$C$27, 0.0021, 0)</f>
        <v>54.6374</v>
      </c>
      <c r="J244" s="14">
        <f>54.6353 * CHOOSE(CONTROL!$C$9, $D$9, 100%, $F$9) + CHOOSE(CONTROL!$C$27, 0.0021, 0)</f>
        <v>54.6374</v>
      </c>
      <c r="K244" s="14">
        <f>54.6353 * CHOOSE(CONTROL!$C$9, $D$9, 100%, $F$9) + CHOOSE(CONTROL!$C$27, 0.0021, 0)</f>
        <v>54.6374</v>
      </c>
      <c r="L244" s="14"/>
    </row>
    <row r="245" spans="1:12" ht="15" x14ac:dyDescent="0.2">
      <c r="A245" s="13">
        <v>48366</v>
      </c>
      <c r="B245" s="14">
        <f>55.7177 * CHOOSE(CONTROL!$C$9, $D$9, 100%, $F$9) + CHOOSE(CONTROL!$C$27, 0.0021, 0)</f>
        <v>55.719799999999999</v>
      </c>
      <c r="C245" s="14">
        <f>55.2855 * CHOOSE(CONTROL!$C$9, $D$9, 100%, $F$9) + CHOOSE(CONTROL!$C$27, 0.0021, 0)</f>
        <v>55.287599999999998</v>
      </c>
      <c r="D245" s="14">
        <f>55.2855 * CHOOSE(CONTROL!$C$9, $D$9, 100%, $F$9) + CHOOSE(CONTROL!$C$27, 0.0021, 0)</f>
        <v>55.287599999999998</v>
      </c>
      <c r="E245" s="14">
        <f>55.1488 * CHOOSE(CONTROL!$C$9, $D$9, 100%, $F$9) + CHOOSE(CONTROL!$C$27, 0.0021, 0)</f>
        <v>55.1509</v>
      </c>
      <c r="F245" s="14">
        <f>55.1488 * CHOOSE(CONTROL!$C$9, $D$9, 100%, $F$9) + CHOOSE(CONTROL!$C$27, 0.0021, 0)</f>
        <v>55.1509</v>
      </c>
      <c r="G245" s="14">
        <f>55.4202 * CHOOSE(CONTROL!$C$9, $D$9, 100%, $F$9) + CHOOSE(CONTROL!$C$27, 0.0021, 0)</f>
        <v>55.4223</v>
      </c>
      <c r="H245" s="14">
        <f>55.2855 * CHOOSE(CONTROL!$C$9, $D$9, 100%, $F$9) + CHOOSE(CONTROL!$C$27, 0.0021, 0)</f>
        <v>55.287599999999998</v>
      </c>
      <c r="I245" s="14">
        <f>55.2855 * CHOOSE(CONTROL!$C$9, $D$9, 100%, $F$9) + CHOOSE(CONTROL!$C$27, 0.0021, 0)</f>
        <v>55.287599999999998</v>
      </c>
      <c r="J245" s="14">
        <f>55.2855 * CHOOSE(CONTROL!$C$9, $D$9, 100%, $F$9) + CHOOSE(CONTROL!$C$27, 0.0021, 0)</f>
        <v>55.287599999999998</v>
      </c>
      <c r="K245" s="14">
        <f>55.2855 * CHOOSE(CONTROL!$C$9, $D$9, 100%, $F$9) + CHOOSE(CONTROL!$C$27, 0.0021, 0)</f>
        <v>55.287599999999998</v>
      </c>
      <c r="L245" s="14"/>
    </row>
    <row r="246" spans="1:12" ht="15" x14ac:dyDescent="0.2">
      <c r="A246" s="13">
        <v>48396</v>
      </c>
      <c r="B246" s="14">
        <f>56.7903 * CHOOSE(CONTROL!$C$9, $D$9, 100%, $F$9) + CHOOSE(CONTROL!$C$27, 0.0021, 0)</f>
        <v>56.792400000000001</v>
      </c>
      <c r="C246" s="14">
        <f>56.358 * CHOOSE(CONTROL!$C$9, $D$9, 100%, $F$9) + CHOOSE(CONTROL!$C$27, 0.0021, 0)</f>
        <v>56.360099999999996</v>
      </c>
      <c r="D246" s="14">
        <f>56.358 * CHOOSE(CONTROL!$C$9, $D$9, 100%, $F$9) + CHOOSE(CONTROL!$C$27, 0.0021, 0)</f>
        <v>56.360099999999996</v>
      </c>
      <c r="E246" s="14">
        <f>56.2213 * CHOOSE(CONTROL!$C$9, $D$9, 100%, $F$9) + CHOOSE(CONTROL!$C$27, 0.0021, 0)</f>
        <v>56.223399999999998</v>
      </c>
      <c r="F246" s="14">
        <f>56.2213 * CHOOSE(CONTROL!$C$9, $D$9, 100%, $F$9) + CHOOSE(CONTROL!$C$27, 0.0021, 0)</f>
        <v>56.223399999999998</v>
      </c>
      <c r="G246" s="14">
        <f>56.4927 * CHOOSE(CONTROL!$C$9, $D$9, 100%, $F$9) + CHOOSE(CONTROL!$C$27, 0.0021, 0)</f>
        <v>56.494799999999998</v>
      </c>
      <c r="H246" s="14">
        <f>56.358 * CHOOSE(CONTROL!$C$9, $D$9, 100%, $F$9) + CHOOSE(CONTROL!$C$27, 0.0021, 0)</f>
        <v>56.360099999999996</v>
      </c>
      <c r="I246" s="14">
        <f>56.358 * CHOOSE(CONTROL!$C$9, $D$9, 100%, $F$9) + CHOOSE(CONTROL!$C$27, 0.0021, 0)</f>
        <v>56.360099999999996</v>
      </c>
      <c r="J246" s="14">
        <f>56.358 * CHOOSE(CONTROL!$C$9, $D$9, 100%, $F$9) + CHOOSE(CONTROL!$C$27, 0.0021, 0)</f>
        <v>56.360099999999996</v>
      </c>
      <c r="K246" s="14">
        <f>56.358 * CHOOSE(CONTROL!$C$9, $D$9, 100%, $F$9) + CHOOSE(CONTROL!$C$27, 0.0021, 0)</f>
        <v>56.360099999999996</v>
      </c>
      <c r="L246" s="14"/>
    </row>
    <row r="247" spans="1:12" ht="15" x14ac:dyDescent="0.2">
      <c r="A247" s="13">
        <v>48427</v>
      </c>
      <c r="B247" s="14">
        <f>57.1176 * CHOOSE(CONTROL!$C$9, $D$9, 100%, $F$9) + CHOOSE(CONTROL!$C$27, 0.0021, 0)</f>
        <v>57.119700000000002</v>
      </c>
      <c r="C247" s="14">
        <f>56.6854 * CHOOSE(CONTROL!$C$9, $D$9, 100%, $F$9) + CHOOSE(CONTROL!$C$27, 0.0021, 0)</f>
        <v>56.6875</v>
      </c>
      <c r="D247" s="14">
        <f>56.6854 * CHOOSE(CONTROL!$C$9, $D$9, 100%, $F$9) + CHOOSE(CONTROL!$C$27, 0.0021, 0)</f>
        <v>56.6875</v>
      </c>
      <c r="E247" s="14">
        <f>56.5487 * CHOOSE(CONTROL!$C$9, $D$9, 100%, $F$9) + CHOOSE(CONTROL!$C$27, 0.0021, 0)</f>
        <v>56.550799999999995</v>
      </c>
      <c r="F247" s="14">
        <f>56.5487 * CHOOSE(CONTROL!$C$9, $D$9, 100%, $F$9) + CHOOSE(CONTROL!$C$27, 0.0021, 0)</f>
        <v>56.550799999999995</v>
      </c>
      <c r="G247" s="14">
        <f>56.8201 * CHOOSE(CONTROL!$C$9, $D$9, 100%, $F$9) + CHOOSE(CONTROL!$C$27, 0.0021, 0)</f>
        <v>56.822199999999995</v>
      </c>
      <c r="H247" s="14">
        <f>56.6854 * CHOOSE(CONTROL!$C$9, $D$9, 100%, $F$9) + CHOOSE(CONTROL!$C$27, 0.0021, 0)</f>
        <v>56.6875</v>
      </c>
      <c r="I247" s="14">
        <f>56.6854 * CHOOSE(CONTROL!$C$9, $D$9, 100%, $F$9) + CHOOSE(CONTROL!$C$27, 0.0021, 0)</f>
        <v>56.6875</v>
      </c>
      <c r="J247" s="14">
        <f>56.6854 * CHOOSE(CONTROL!$C$9, $D$9, 100%, $F$9) + CHOOSE(CONTROL!$C$27, 0.0021, 0)</f>
        <v>56.6875</v>
      </c>
      <c r="K247" s="14">
        <f>56.6854 * CHOOSE(CONTROL!$C$9, $D$9, 100%, $F$9) + CHOOSE(CONTROL!$C$27, 0.0021, 0)</f>
        <v>56.6875</v>
      </c>
      <c r="L247" s="14"/>
    </row>
    <row r="248" spans="1:12" ht="15" x14ac:dyDescent="0.2">
      <c r="A248" s="13">
        <v>48458</v>
      </c>
      <c r="B248" s="14">
        <f>58.2325 * CHOOSE(CONTROL!$C$9, $D$9, 100%, $F$9) + CHOOSE(CONTROL!$C$27, 0.0021, 0)</f>
        <v>58.2346</v>
      </c>
      <c r="C248" s="14">
        <f>57.8003 * CHOOSE(CONTROL!$C$9, $D$9, 100%, $F$9) + CHOOSE(CONTROL!$C$27, 0.0021, 0)</f>
        <v>57.802399999999999</v>
      </c>
      <c r="D248" s="14">
        <f>57.8003 * CHOOSE(CONTROL!$C$9, $D$9, 100%, $F$9) + CHOOSE(CONTROL!$C$27, 0.0021, 0)</f>
        <v>57.802399999999999</v>
      </c>
      <c r="E248" s="14">
        <f>57.6636 * CHOOSE(CONTROL!$C$9, $D$9, 100%, $F$9) + CHOOSE(CONTROL!$C$27, 0.0021, 0)</f>
        <v>57.665700000000001</v>
      </c>
      <c r="F248" s="14">
        <f>57.6636 * CHOOSE(CONTROL!$C$9, $D$9, 100%, $F$9) + CHOOSE(CONTROL!$C$27, 0.0021, 0)</f>
        <v>57.665700000000001</v>
      </c>
      <c r="G248" s="14">
        <f>57.935 * CHOOSE(CONTROL!$C$9, $D$9, 100%, $F$9) + CHOOSE(CONTROL!$C$27, 0.0021, 0)</f>
        <v>57.937100000000001</v>
      </c>
      <c r="H248" s="14">
        <f>57.8003 * CHOOSE(CONTROL!$C$9, $D$9, 100%, $F$9) + CHOOSE(CONTROL!$C$27, 0.0021, 0)</f>
        <v>57.802399999999999</v>
      </c>
      <c r="I248" s="14">
        <f>57.8003 * CHOOSE(CONTROL!$C$9, $D$9, 100%, $F$9) + CHOOSE(CONTROL!$C$27, 0.0021, 0)</f>
        <v>57.802399999999999</v>
      </c>
      <c r="J248" s="14">
        <f>57.8003 * CHOOSE(CONTROL!$C$9, $D$9, 100%, $F$9) + CHOOSE(CONTROL!$C$27, 0.0021, 0)</f>
        <v>57.802399999999999</v>
      </c>
      <c r="K248" s="14">
        <f>57.8003 * CHOOSE(CONTROL!$C$9, $D$9, 100%, $F$9) + CHOOSE(CONTROL!$C$27, 0.0021, 0)</f>
        <v>57.802399999999999</v>
      </c>
      <c r="L248" s="14"/>
    </row>
    <row r="249" spans="1:12" ht="15" x14ac:dyDescent="0.2">
      <c r="A249" s="13">
        <v>48488</v>
      </c>
      <c r="B249" s="14">
        <f>59.6437 * CHOOSE(CONTROL!$C$9, $D$9, 100%, $F$9) + CHOOSE(CONTROL!$C$27, 0.0021, 0)</f>
        <v>59.645800000000001</v>
      </c>
      <c r="C249" s="14">
        <f>59.2115 * CHOOSE(CONTROL!$C$9, $D$9, 100%, $F$9) + CHOOSE(CONTROL!$C$27, 0.0021, 0)</f>
        <v>59.2136</v>
      </c>
      <c r="D249" s="14">
        <f>59.2115 * CHOOSE(CONTROL!$C$9, $D$9, 100%, $F$9) + CHOOSE(CONTROL!$C$27, 0.0021, 0)</f>
        <v>59.2136</v>
      </c>
      <c r="E249" s="14">
        <f>59.0748 * CHOOSE(CONTROL!$C$9, $D$9, 100%, $F$9) + CHOOSE(CONTROL!$C$27, 0.0021, 0)</f>
        <v>59.076900000000002</v>
      </c>
      <c r="F249" s="14">
        <f>59.0748 * CHOOSE(CONTROL!$C$9, $D$9, 100%, $F$9) + CHOOSE(CONTROL!$C$27, 0.0021, 0)</f>
        <v>59.076900000000002</v>
      </c>
      <c r="G249" s="14">
        <f>59.3462 * CHOOSE(CONTROL!$C$9, $D$9, 100%, $F$9) + CHOOSE(CONTROL!$C$27, 0.0021, 0)</f>
        <v>59.348300000000002</v>
      </c>
      <c r="H249" s="14">
        <f>59.2115 * CHOOSE(CONTROL!$C$9, $D$9, 100%, $F$9) + CHOOSE(CONTROL!$C$27, 0.0021, 0)</f>
        <v>59.2136</v>
      </c>
      <c r="I249" s="14">
        <f>59.2115 * CHOOSE(CONTROL!$C$9, $D$9, 100%, $F$9) + CHOOSE(CONTROL!$C$27, 0.0021, 0)</f>
        <v>59.2136</v>
      </c>
      <c r="J249" s="14">
        <f>59.2115 * CHOOSE(CONTROL!$C$9, $D$9, 100%, $F$9) + CHOOSE(CONTROL!$C$27, 0.0021, 0)</f>
        <v>59.2136</v>
      </c>
      <c r="K249" s="14">
        <f>59.2115 * CHOOSE(CONTROL!$C$9, $D$9, 100%, $F$9) + CHOOSE(CONTROL!$C$27, 0.0021, 0)</f>
        <v>59.2136</v>
      </c>
      <c r="L249" s="14"/>
    </row>
    <row r="250" spans="1:12" ht="15" x14ac:dyDescent="0.2">
      <c r="A250" s="13">
        <v>48519</v>
      </c>
      <c r="B250" s="14">
        <f>59.7762 * CHOOSE(CONTROL!$C$9, $D$9, 100%, $F$9) + CHOOSE(CONTROL!$C$27, 0.0021, 0)</f>
        <v>59.778300000000002</v>
      </c>
      <c r="C250" s="14">
        <f>59.344 * CHOOSE(CONTROL!$C$9, $D$9, 100%, $F$9) + CHOOSE(CONTROL!$C$27, 0.0021, 0)</f>
        <v>59.3461</v>
      </c>
      <c r="D250" s="14">
        <f>59.344 * CHOOSE(CONTROL!$C$9, $D$9, 100%, $F$9) + CHOOSE(CONTROL!$C$27, 0.0021, 0)</f>
        <v>59.3461</v>
      </c>
      <c r="E250" s="14">
        <f>59.2073 * CHOOSE(CONTROL!$C$9, $D$9, 100%, $F$9) + CHOOSE(CONTROL!$C$27, 0.0021, 0)</f>
        <v>59.209399999999995</v>
      </c>
      <c r="F250" s="14">
        <f>59.2073 * CHOOSE(CONTROL!$C$9, $D$9, 100%, $F$9) + CHOOSE(CONTROL!$C$27, 0.0021, 0)</f>
        <v>59.209399999999995</v>
      </c>
      <c r="G250" s="14">
        <f>59.4787 * CHOOSE(CONTROL!$C$9, $D$9, 100%, $F$9) + CHOOSE(CONTROL!$C$27, 0.0021, 0)</f>
        <v>59.480800000000002</v>
      </c>
      <c r="H250" s="14">
        <f>59.344 * CHOOSE(CONTROL!$C$9, $D$9, 100%, $F$9) + CHOOSE(CONTROL!$C$27, 0.0021, 0)</f>
        <v>59.3461</v>
      </c>
      <c r="I250" s="14">
        <f>59.344 * CHOOSE(CONTROL!$C$9, $D$9, 100%, $F$9) + CHOOSE(CONTROL!$C$27, 0.0021, 0)</f>
        <v>59.3461</v>
      </c>
      <c r="J250" s="14">
        <f>59.344 * CHOOSE(CONTROL!$C$9, $D$9, 100%, $F$9) + CHOOSE(CONTROL!$C$27, 0.0021, 0)</f>
        <v>59.3461</v>
      </c>
      <c r="K250" s="14">
        <f>59.344 * CHOOSE(CONTROL!$C$9, $D$9, 100%, $F$9) + CHOOSE(CONTROL!$C$27, 0.0021, 0)</f>
        <v>59.3461</v>
      </c>
      <c r="L250" s="14"/>
    </row>
    <row r="251" spans="1:12" ht="15" x14ac:dyDescent="0.2">
      <c r="A251" s="13">
        <v>48549</v>
      </c>
      <c r="B251" s="14">
        <f>58.6491 * CHOOSE(CONTROL!$C$9, $D$9, 100%, $F$9) + CHOOSE(CONTROL!$C$27, 0.0021, 0)</f>
        <v>58.651199999999996</v>
      </c>
      <c r="C251" s="14">
        <f>58.2168 * CHOOSE(CONTROL!$C$9, $D$9, 100%, $F$9) + CHOOSE(CONTROL!$C$27, 0.0021, 0)</f>
        <v>58.218899999999998</v>
      </c>
      <c r="D251" s="14">
        <f>58.2168 * CHOOSE(CONTROL!$C$9, $D$9, 100%, $F$9) + CHOOSE(CONTROL!$C$27, 0.0021, 0)</f>
        <v>58.218899999999998</v>
      </c>
      <c r="E251" s="14">
        <f>58.0802 * CHOOSE(CONTROL!$C$9, $D$9, 100%, $F$9) + CHOOSE(CONTROL!$C$27, 0.0021, 0)</f>
        <v>58.082299999999996</v>
      </c>
      <c r="F251" s="14">
        <f>58.0802 * CHOOSE(CONTROL!$C$9, $D$9, 100%, $F$9) + CHOOSE(CONTROL!$C$27, 0.0021, 0)</f>
        <v>58.082299999999996</v>
      </c>
      <c r="G251" s="14">
        <f>58.3516 * CHOOSE(CONTROL!$C$9, $D$9, 100%, $F$9) + CHOOSE(CONTROL!$C$27, 0.0021, 0)</f>
        <v>58.353699999999996</v>
      </c>
      <c r="H251" s="14">
        <f>58.2168 * CHOOSE(CONTROL!$C$9, $D$9, 100%, $F$9) + CHOOSE(CONTROL!$C$27, 0.0021, 0)</f>
        <v>58.218899999999998</v>
      </c>
      <c r="I251" s="14">
        <f>58.2168 * CHOOSE(CONTROL!$C$9, $D$9, 100%, $F$9) + CHOOSE(CONTROL!$C$27, 0.0021, 0)</f>
        <v>58.218899999999998</v>
      </c>
      <c r="J251" s="14">
        <f>58.2168 * CHOOSE(CONTROL!$C$9, $D$9, 100%, $F$9) + CHOOSE(CONTROL!$C$27, 0.0021, 0)</f>
        <v>58.218899999999998</v>
      </c>
      <c r="K251" s="14">
        <f>58.2168 * CHOOSE(CONTROL!$C$9, $D$9, 100%, $F$9) + CHOOSE(CONTROL!$C$27, 0.0021, 0)</f>
        <v>58.218899999999998</v>
      </c>
      <c r="L251" s="14"/>
    </row>
    <row r="252" spans="1:12" ht="15" x14ac:dyDescent="0.2">
      <c r="A252" s="13">
        <v>48580</v>
      </c>
      <c r="B252" s="14">
        <f>57.9367 * CHOOSE(CONTROL!$C$9, $D$9, 100%, $F$9) + CHOOSE(CONTROL!$C$27, 0.0021, 0)</f>
        <v>57.938800000000001</v>
      </c>
      <c r="C252" s="14">
        <f>57.5044 * CHOOSE(CONTROL!$C$9, $D$9, 100%, $F$9) + CHOOSE(CONTROL!$C$27, 0.0021, 0)</f>
        <v>57.506499999999996</v>
      </c>
      <c r="D252" s="14">
        <f>57.5044 * CHOOSE(CONTROL!$C$9, $D$9, 100%, $F$9) + CHOOSE(CONTROL!$C$27, 0.0021, 0)</f>
        <v>57.506499999999996</v>
      </c>
      <c r="E252" s="14">
        <f>57.3678 * CHOOSE(CONTROL!$C$9, $D$9, 100%, $F$9) + CHOOSE(CONTROL!$C$27, 0.0021, 0)</f>
        <v>57.369900000000001</v>
      </c>
      <c r="F252" s="14">
        <f>57.3678 * CHOOSE(CONTROL!$C$9, $D$9, 100%, $F$9) + CHOOSE(CONTROL!$C$27, 0.0021, 0)</f>
        <v>57.369900000000001</v>
      </c>
      <c r="G252" s="14">
        <f>57.6392 * CHOOSE(CONTROL!$C$9, $D$9, 100%, $F$9) + CHOOSE(CONTROL!$C$27, 0.0021, 0)</f>
        <v>57.641300000000001</v>
      </c>
      <c r="H252" s="14">
        <f>57.5044 * CHOOSE(CONTROL!$C$9, $D$9, 100%, $F$9) + CHOOSE(CONTROL!$C$27, 0.0021, 0)</f>
        <v>57.506499999999996</v>
      </c>
      <c r="I252" s="14">
        <f>57.5044 * CHOOSE(CONTROL!$C$9, $D$9, 100%, $F$9) + CHOOSE(CONTROL!$C$27, 0.0021, 0)</f>
        <v>57.506499999999996</v>
      </c>
      <c r="J252" s="14">
        <f>57.5044 * CHOOSE(CONTROL!$C$9, $D$9, 100%, $F$9) + CHOOSE(CONTROL!$C$27, 0.0021, 0)</f>
        <v>57.506499999999996</v>
      </c>
      <c r="K252" s="14">
        <f>57.5044 * CHOOSE(CONTROL!$C$9, $D$9, 100%, $F$9) + CHOOSE(CONTROL!$C$27, 0.0021, 0)</f>
        <v>57.506499999999996</v>
      </c>
      <c r="L252" s="14"/>
    </row>
    <row r="253" spans="1:12" ht="15" x14ac:dyDescent="0.2">
      <c r="A253" s="13">
        <v>48611</v>
      </c>
      <c r="B253" s="14">
        <f>56.3628 * CHOOSE(CONTROL!$C$9, $D$9, 100%, $F$9) + CHOOSE(CONTROL!$C$27, 0.0021, 0)</f>
        <v>56.364899999999999</v>
      </c>
      <c r="C253" s="14">
        <f>55.9305 * CHOOSE(CONTROL!$C$9, $D$9, 100%, $F$9) + CHOOSE(CONTROL!$C$27, 0.0021, 0)</f>
        <v>55.932600000000001</v>
      </c>
      <c r="D253" s="14">
        <f>55.9305 * CHOOSE(CONTROL!$C$9, $D$9, 100%, $F$9) + CHOOSE(CONTROL!$C$27, 0.0021, 0)</f>
        <v>55.932600000000001</v>
      </c>
      <c r="E253" s="14">
        <f>55.7939 * CHOOSE(CONTROL!$C$9, $D$9, 100%, $F$9) + CHOOSE(CONTROL!$C$27, 0.0021, 0)</f>
        <v>55.795999999999999</v>
      </c>
      <c r="F253" s="14">
        <f>55.7939 * CHOOSE(CONTROL!$C$9, $D$9, 100%, $F$9) + CHOOSE(CONTROL!$C$27, 0.0021, 0)</f>
        <v>55.795999999999999</v>
      </c>
      <c r="G253" s="14">
        <f>56.0652 * CHOOSE(CONTROL!$C$9, $D$9, 100%, $F$9) + CHOOSE(CONTROL!$C$27, 0.0021, 0)</f>
        <v>56.067299999999996</v>
      </c>
      <c r="H253" s="14">
        <f>55.9305 * CHOOSE(CONTROL!$C$9, $D$9, 100%, $F$9) + CHOOSE(CONTROL!$C$27, 0.0021, 0)</f>
        <v>55.932600000000001</v>
      </c>
      <c r="I253" s="14">
        <f>55.9305 * CHOOSE(CONTROL!$C$9, $D$9, 100%, $F$9) + CHOOSE(CONTROL!$C$27, 0.0021, 0)</f>
        <v>55.932600000000001</v>
      </c>
      <c r="J253" s="14">
        <f>55.9305 * CHOOSE(CONTROL!$C$9, $D$9, 100%, $F$9) + CHOOSE(CONTROL!$C$27, 0.0021, 0)</f>
        <v>55.932600000000001</v>
      </c>
      <c r="K253" s="14">
        <f>55.9305 * CHOOSE(CONTROL!$C$9, $D$9, 100%, $F$9) + CHOOSE(CONTROL!$C$27, 0.0021, 0)</f>
        <v>55.932600000000001</v>
      </c>
      <c r="L253" s="14"/>
    </row>
    <row r="254" spans="1:12" ht="15" x14ac:dyDescent="0.2">
      <c r="A254" s="13">
        <v>48639</v>
      </c>
      <c r="B254" s="14">
        <f>55.7131 * CHOOSE(CONTROL!$C$9, $D$9, 100%, $F$9) + CHOOSE(CONTROL!$C$27, 0.0021, 0)</f>
        <v>55.715199999999996</v>
      </c>
      <c r="C254" s="14">
        <f>55.2808 * CHOOSE(CONTROL!$C$9, $D$9, 100%, $F$9) + CHOOSE(CONTROL!$C$27, 0.0021, 0)</f>
        <v>55.282899999999998</v>
      </c>
      <c r="D254" s="14">
        <f>55.2808 * CHOOSE(CONTROL!$C$9, $D$9, 100%, $F$9) + CHOOSE(CONTROL!$C$27, 0.0021, 0)</f>
        <v>55.282899999999998</v>
      </c>
      <c r="E254" s="14">
        <f>55.1442 * CHOOSE(CONTROL!$C$9, $D$9, 100%, $F$9) + CHOOSE(CONTROL!$C$27, 0.0021, 0)</f>
        <v>55.146299999999997</v>
      </c>
      <c r="F254" s="14">
        <f>55.1442 * CHOOSE(CONTROL!$C$9, $D$9, 100%, $F$9) + CHOOSE(CONTROL!$C$27, 0.0021, 0)</f>
        <v>55.146299999999997</v>
      </c>
      <c r="G254" s="14">
        <f>55.4155 * CHOOSE(CONTROL!$C$9, $D$9, 100%, $F$9) + CHOOSE(CONTROL!$C$27, 0.0021, 0)</f>
        <v>55.4176</v>
      </c>
      <c r="H254" s="14">
        <f>55.2808 * CHOOSE(CONTROL!$C$9, $D$9, 100%, $F$9) + CHOOSE(CONTROL!$C$27, 0.0021, 0)</f>
        <v>55.282899999999998</v>
      </c>
      <c r="I254" s="14">
        <f>55.2808 * CHOOSE(CONTROL!$C$9, $D$9, 100%, $F$9) + CHOOSE(CONTROL!$C$27, 0.0021, 0)</f>
        <v>55.282899999999998</v>
      </c>
      <c r="J254" s="14">
        <f>55.2808 * CHOOSE(CONTROL!$C$9, $D$9, 100%, $F$9) + CHOOSE(CONTROL!$C$27, 0.0021, 0)</f>
        <v>55.282899999999998</v>
      </c>
      <c r="K254" s="14">
        <f>55.2808 * CHOOSE(CONTROL!$C$9, $D$9, 100%, $F$9) + CHOOSE(CONTROL!$C$27, 0.0021, 0)</f>
        <v>55.282899999999998</v>
      </c>
      <c r="L254" s="14"/>
    </row>
    <row r="255" spans="1:12" ht="15" x14ac:dyDescent="0.2">
      <c r="A255" s="13">
        <v>48670</v>
      </c>
      <c r="B255" s="14">
        <f>54.9373 * CHOOSE(CONTROL!$C$9, $D$9, 100%, $F$9) + CHOOSE(CONTROL!$C$27, 0.0021, 0)</f>
        <v>54.939399999999999</v>
      </c>
      <c r="C255" s="14">
        <f>54.505 * CHOOSE(CONTROL!$C$9, $D$9, 100%, $F$9) + CHOOSE(CONTROL!$C$27, 0.0021, 0)</f>
        <v>54.507100000000001</v>
      </c>
      <c r="D255" s="14">
        <f>54.505 * CHOOSE(CONTROL!$C$9, $D$9, 100%, $F$9) + CHOOSE(CONTROL!$C$27, 0.0021, 0)</f>
        <v>54.507100000000001</v>
      </c>
      <c r="E255" s="14">
        <f>54.3684 * CHOOSE(CONTROL!$C$9, $D$9, 100%, $F$9) + CHOOSE(CONTROL!$C$27, 0.0021, 0)</f>
        <v>54.3705</v>
      </c>
      <c r="F255" s="14">
        <f>54.3684 * CHOOSE(CONTROL!$C$9, $D$9, 100%, $F$9) + CHOOSE(CONTROL!$C$27, 0.0021, 0)</f>
        <v>54.3705</v>
      </c>
      <c r="G255" s="14">
        <f>54.6398 * CHOOSE(CONTROL!$C$9, $D$9, 100%, $F$9) + CHOOSE(CONTROL!$C$27, 0.0021, 0)</f>
        <v>54.6419</v>
      </c>
      <c r="H255" s="14">
        <f>54.505 * CHOOSE(CONTROL!$C$9, $D$9, 100%, $F$9) + CHOOSE(CONTROL!$C$27, 0.0021, 0)</f>
        <v>54.507100000000001</v>
      </c>
      <c r="I255" s="14">
        <f>54.505 * CHOOSE(CONTROL!$C$9, $D$9, 100%, $F$9) + CHOOSE(CONTROL!$C$27, 0.0021, 0)</f>
        <v>54.507100000000001</v>
      </c>
      <c r="J255" s="14">
        <f>54.505 * CHOOSE(CONTROL!$C$9, $D$9, 100%, $F$9) + CHOOSE(CONTROL!$C$27, 0.0021, 0)</f>
        <v>54.507100000000001</v>
      </c>
      <c r="K255" s="14">
        <f>54.505 * CHOOSE(CONTROL!$C$9, $D$9, 100%, $F$9) + CHOOSE(CONTROL!$C$27, 0.0021, 0)</f>
        <v>54.507100000000001</v>
      </c>
      <c r="L255" s="14"/>
    </row>
    <row r="256" spans="1:12" ht="15" x14ac:dyDescent="0.2">
      <c r="A256" s="13">
        <v>48700</v>
      </c>
      <c r="B256" s="14">
        <f>56.0429 * CHOOSE(CONTROL!$C$9, $D$9, 100%, $F$9) + CHOOSE(CONTROL!$C$27, 0.0021, 0)</f>
        <v>56.045000000000002</v>
      </c>
      <c r="C256" s="14">
        <f>55.6106 * CHOOSE(CONTROL!$C$9, $D$9, 100%, $F$9) + CHOOSE(CONTROL!$C$27, 0.0021, 0)</f>
        <v>55.612699999999997</v>
      </c>
      <c r="D256" s="14">
        <f>55.6106 * CHOOSE(CONTROL!$C$9, $D$9, 100%, $F$9) + CHOOSE(CONTROL!$C$27, 0.0021, 0)</f>
        <v>55.612699999999997</v>
      </c>
      <c r="E256" s="14">
        <f>55.4739 * CHOOSE(CONTROL!$C$9, $D$9, 100%, $F$9) + CHOOSE(CONTROL!$C$27, 0.0021, 0)</f>
        <v>55.475999999999999</v>
      </c>
      <c r="F256" s="14">
        <f>55.4739 * CHOOSE(CONTROL!$C$9, $D$9, 100%, $F$9) + CHOOSE(CONTROL!$C$27, 0.0021, 0)</f>
        <v>55.475999999999999</v>
      </c>
      <c r="G256" s="14">
        <f>55.7453 * CHOOSE(CONTROL!$C$9, $D$9, 100%, $F$9) + CHOOSE(CONTROL!$C$27, 0.0021, 0)</f>
        <v>55.747399999999999</v>
      </c>
      <c r="H256" s="14">
        <f>55.6106 * CHOOSE(CONTROL!$C$9, $D$9, 100%, $F$9) + CHOOSE(CONTROL!$C$27, 0.0021, 0)</f>
        <v>55.612699999999997</v>
      </c>
      <c r="I256" s="14">
        <f>55.6106 * CHOOSE(CONTROL!$C$9, $D$9, 100%, $F$9) + CHOOSE(CONTROL!$C$27, 0.0021, 0)</f>
        <v>55.612699999999997</v>
      </c>
      <c r="J256" s="14">
        <f>55.6106 * CHOOSE(CONTROL!$C$9, $D$9, 100%, $F$9) + CHOOSE(CONTROL!$C$27, 0.0021, 0)</f>
        <v>55.612699999999997</v>
      </c>
      <c r="K256" s="14">
        <f>55.6106 * CHOOSE(CONTROL!$C$9, $D$9, 100%, $F$9) + CHOOSE(CONTROL!$C$27, 0.0021, 0)</f>
        <v>55.612699999999997</v>
      </c>
      <c r="L256" s="14"/>
    </row>
    <row r="257" spans="1:12" ht="15" x14ac:dyDescent="0.2">
      <c r="A257" s="13">
        <v>48731</v>
      </c>
      <c r="B257" s="14">
        <f>56.705 * CHOOSE(CONTROL!$C$9, $D$9, 100%, $F$9) + CHOOSE(CONTROL!$C$27, 0.0021, 0)</f>
        <v>56.707099999999997</v>
      </c>
      <c r="C257" s="14">
        <f>56.2728 * CHOOSE(CONTROL!$C$9, $D$9, 100%, $F$9) + CHOOSE(CONTROL!$C$27, 0.0021, 0)</f>
        <v>56.274899999999995</v>
      </c>
      <c r="D257" s="14">
        <f>56.2728 * CHOOSE(CONTROL!$C$9, $D$9, 100%, $F$9) + CHOOSE(CONTROL!$C$27, 0.0021, 0)</f>
        <v>56.274899999999995</v>
      </c>
      <c r="E257" s="14">
        <f>56.1361 * CHOOSE(CONTROL!$C$9, $D$9, 100%, $F$9) + CHOOSE(CONTROL!$C$27, 0.0021, 0)</f>
        <v>56.138199999999998</v>
      </c>
      <c r="F257" s="14">
        <f>56.1361 * CHOOSE(CONTROL!$C$9, $D$9, 100%, $F$9) + CHOOSE(CONTROL!$C$27, 0.0021, 0)</f>
        <v>56.138199999999998</v>
      </c>
      <c r="G257" s="14">
        <f>56.4075 * CHOOSE(CONTROL!$C$9, $D$9, 100%, $F$9) + CHOOSE(CONTROL!$C$27, 0.0021, 0)</f>
        <v>56.409599999999998</v>
      </c>
      <c r="H257" s="14">
        <f>56.2728 * CHOOSE(CONTROL!$C$9, $D$9, 100%, $F$9) + CHOOSE(CONTROL!$C$27, 0.0021, 0)</f>
        <v>56.274899999999995</v>
      </c>
      <c r="I257" s="14">
        <f>56.2728 * CHOOSE(CONTROL!$C$9, $D$9, 100%, $F$9) + CHOOSE(CONTROL!$C$27, 0.0021, 0)</f>
        <v>56.274899999999995</v>
      </c>
      <c r="J257" s="14">
        <f>56.2728 * CHOOSE(CONTROL!$C$9, $D$9, 100%, $F$9) + CHOOSE(CONTROL!$C$27, 0.0021, 0)</f>
        <v>56.274899999999995</v>
      </c>
      <c r="K257" s="14">
        <f>56.2728 * CHOOSE(CONTROL!$C$9, $D$9, 100%, $F$9) + CHOOSE(CONTROL!$C$27, 0.0021, 0)</f>
        <v>56.274899999999995</v>
      </c>
      <c r="L257" s="14"/>
    </row>
    <row r="258" spans="1:12" ht="15" x14ac:dyDescent="0.2">
      <c r="A258" s="13">
        <v>48761</v>
      </c>
      <c r="B258" s="14">
        <f>57.7974 * CHOOSE(CONTROL!$C$9, $D$9, 100%, $F$9) + CHOOSE(CONTROL!$C$27, 0.0021, 0)</f>
        <v>57.799500000000002</v>
      </c>
      <c r="C258" s="14">
        <f>57.3652 * CHOOSE(CONTROL!$C$9, $D$9, 100%, $F$9) + CHOOSE(CONTROL!$C$27, 0.0021, 0)</f>
        <v>57.3673</v>
      </c>
      <c r="D258" s="14">
        <f>57.3652 * CHOOSE(CONTROL!$C$9, $D$9, 100%, $F$9) + CHOOSE(CONTROL!$C$27, 0.0021, 0)</f>
        <v>57.3673</v>
      </c>
      <c r="E258" s="14">
        <f>57.2285 * CHOOSE(CONTROL!$C$9, $D$9, 100%, $F$9) + CHOOSE(CONTROL!$C$27, 0.0021, 0)</f>
        <v>57.230599999999995</v>
      </c>
      <c r="F258" s="14">
        <f>57.2285 * CHOOSE(CONTROL!$C$9, $D$9, 100%, $F$9) + CHOOSE(CONTROL!$C$27, 0.0021, 0)</f>
        <v>57.230599999999995</v>
      </c>
      <c r="G258" s="14">
        <f>57.4999 * CHOOSE(CONTROL!$C$9, $D$9, 100%, $F$9) + CHOOSE(CONTROL!$C$27, 0.0021, 0)</f>
        <v>57.501999999999995</v>
      </c>
      <c r="H258" s="14">
        <f>57.3652 * CHOOSE(CONTROL!$C$9, $D$9, 100%, $F$9) + CHOOSE(CONTROL!$C$27, 0.0021, 0)</f>
        <v>57.3673</v>
      </c>
      <c r="I258" s="14">
        <f>57.3652 * CHOOSE(CONTROL!$C$9, $D$9, 100%, $F$9) + CHOOSE(CONTROL!$C$27, 0.0021, 0)</f>
        <v>57.3673</v>
      </c>
      <c r="J258" s="14">
        <f>57.3652 * CHOOSE(CONTROL!$C$9, $D$9, 100%, $F$9) + CHOOSE(CONTROL!$C$27, 0.0021, 0)</f>
        <v>57.3673</v>
      </c>
      <c r="K258" s="14">
        <f>57.3652 * CHOOSE(CONTROL!$C$9, $D$9, 100%, $F$9) + CHOOSE(CONTROL!$C$27, 0.0021, 0)</f>
        <v>57.3673</v>
      </c>
      <c r="L258" s="14"/>
    </row>
    <row r="259" spans="1:12" ht="15" x14ac:dyDescent="0.2">
      <c r="A259" s="13">
        <v>48792</v>
      </c>
      <c r="B259" s="14">
        <f>58.1308 * CHOOSE(CONTROL!$C$9, $D$9, 100%, $F$9) + CHOOSE(CONTROL!$C$27, 0.0021, 0)</f>
        <v>58.132899999999999</v>
      </c>
      <c r="C259" s="14">
        <f>57.6986 * CHOOSE(CONTROL!$C$9, $D$9, 100%, $F$9) + CHOOSE(CONTROL!$C$27, 0.0021, 0)</f>
        <v>57.700699999999998</v>
      </c>
      <c r="D259" s="14">
        <f>57.6986 * CHOOSE(CONTROL!$C$9, $D$9, 100%, $F$9) + CHOOSE(CONTROL!$C$27, 0.0021, 0)</f>
        <v>57.700699999999998</v>
      </c>
      <c r="E259" s="14">
        <f>57.5619 * CHOOSE(CONTROL!$C$9, $D$9, 100%, $F$9) + CHOOSE(CONTROL!$C$27, 0.0021, 0)</f>
        <v>57.564</v>
      </c>
      <c r="F259" s="14">
        <f>57.5619 * CHOOSE(CONTROL!$C$9, $D$9, 100%, $F$9) + CHOOSE(CONTROL!$C$27, 0.0021, 0)</f>
        <v>57.564</v>
      </c>
      <c r="G259" s="14">
        <f>57.8333 * CHOOSE(CONTROL!$C$9, $D$9, 100%, $F$9) + CHOOSE(CONTROL!$C$27, 0.0021, 0)</f>
        <v>57.8354</v>
      </c>
      <c r="H259" s="14">
        <f>57.6986 * CHOOSE(CONTROL!$C$9, $D$9, 100%, $F$9) + CHOOSE(CONTROL!$C$27, 0.0021, 0)</f>
        <v>57.700699999999998</v>
      </c>
      <c r="I259" s="14">
        <f>57.6986 * CHOOSE(CONTROL!$C$9, $D$9, 100%, $F$9) + CHOOSE(CONTROL!$C$27, 0.0021, 0)</f>
        <v>57.700699999999998</v>
      </c>
      <c r="J259" s="14">
        <f>57.6986 * CHOOSE(CONTROL!$C$9, $D$9, 100%, $F$9) + CHOOSE(CONTROL!$C$27, 0.0021, 0)</f>
        <v>57.700699999999998</v>
      </c>
      <c r="K259" s="14">
        <f>57.6986 * CHOOSE(CONTROL!$C$9, $D$9, 100%, $F$9) + CHOOSE(CONTROL!$C$27, 0.0021, 0)</f>
        <v>57.700699999999998</v>
      </c>
      <c r="L259" s="14"/>
    </row>
    <row r="260" spans="1:12" ht="15" x14ac:dyDescent="0.2">
      <c r="A260" s="13">
        <v>48823</v>
      </c>
      <c r="B260" s="14">
        <f>59.2663 * CHOOSE(CONTROL!$C$9, $D$9, 100%, $F$9) + CHOOSE(CONTROL!$C$27, 0.0021, 0)</f>
        <v>59.2684</v>
      </c>
      <c r="C260" s="14">
        <f>58.8341 * CHOOSE(CONTROL!$C$9, $D$9, 100%, $F$9) + CHOOSE(CONTROL!$C$27, 0.0021, 0)</f>
        <v>58.836199999999998</v>
      </c>
      <c r="D260" s="14">
        <f>58.8341 * CHOOSE(CONTROL!$C$9, $D$9, 100%, $F$9) + CHOOSE(CONTROL!$C$27, 0.0021, 0)</f>
        <v>58.836199999999998</v>
      </c>
      <c r="E260" s="14">
        <f>58.6974 * CHOOSE(CONTROL!$C$9, $D$9, 100%, $F$9) + CHOOSE(CONTROL!$C$27, 0.0021, 0)</f>
        <v>58.6995</v>
      </c>
      <c r="F260" s="14">
        <f>58.6974 * CHOOSE(CONTROL!$C$9, $D$9, 100%, $F$9) + CHOOSE(CONTROL!$C$27, 0.0021, 0)</f>
        <v>58.6995</v>
      </c>
      <c r="G260" s="14">
        <f>58.9688 * CHOOSE(CONTROL!$C$9, $D$9, 100%, $F$9) + CHOOSE(CONTROL!$C$27, 0.0021, 0)</f>
        <v>58.9709</v>
      </c>
      <c r="H260" s="14">
        <f>58.8341 * CHOOSE(CONTROL!$C$9, $D$9, 100%, $F$9) + CHOOSE(CONTROL!$C$27, 0.0021, 0)</f>
        <v>58.836199999999998</v>
      </c>
      <c r="I260" s="14">
        <f>58.8341 * CHOOSE(CONTROL!$C$9, $D$9, 100%, $F$9) + CHOOSE(CONTROL!$C$27, 0.0021, 0)</f>
        <v>58.836199999999998</v>
      </c>
      <c r="J260" s="14">
        <f>58.8341 * CHOOSE(CONTROL!$C$9, $D$9, 100%, $F$9) + CHOOSE(CONTROL!$C$27, 0.0021, 0)</f>
        <v>58.836199999999998</v>
      </c>
      <c r="K260" s="14">
        <f>58.8341 * CHOOSE(CONTROL!$C$9, $D$9, 100%, $F$9) + CHOOSE(CONTROL!$C$27, 0.0021, 0)</f>
        <v>58.836199999999998</v>
      </c>
      <c r="L260" s="14"/>
    </row>
    <row r="261" spans="1:12" ht="15" x14ac:dyDescent="0.2">
      <c r="A261" s="13">
        <v>48853</v>
      </c>
      <c r="B261" s="14">
        <f>60.7036 * CHOOSE(CONTROL!$C$9, $D$9, 100%, $F$9) + CHOOSE(CONTROL!$C$27, 0.0021, 0)</f>
        <v>60.7057</v>
      </c>
      <c r="C261" s="14">
        <f>60.2714 * CHOOSE(CONTROL!$C$9, $D$9, 100%, $F$9) + CHOOSE(CONTROL!$C$27, 0.0021, 0)</f>
        <v>60.273499999999999</v>
      </c>
      <c r="D261" s="14">
        <f>60.2714 * CHOOSE(CONTROL!$C$9, $D$9, 100%, $F$9) + CHOOSE(CONTROL!$C$27, 0.0021, 0)</f>
        <v>60.273499999999999</v>
      </c>
      <c r="E261" s="14">
        <f>60.1347 * CHOOSE(CONTROL!$C$9, $D$9, 100%, $F$9) + CHOOSE(CONTROL!$C$27, 0.0021, 0)</f>
        <v>60.136800000000001</v>
      </c>
      <c r="F261" s="14">
        <f>60.1347 * CHOOSE(CONTROL!$C$9, $D$9, 100%, $F$9) + CHOOSE(CONTROL!$C$27, 0.0021, 0)</f>
        <v>60.136800000000001</v>
      </c>
      <c r="G261" s="14">
        <f>60.4061 * CHOOSE(CONTROL!$C$9, $D$9, 100%, $F$9) + CHOOSE(CONTROL!$C$27, 0.0021, 0)</f>
        <v>60.408200000000001</v>
      </c>
      <c r="H261" s="14">
        <f>60.2714 * CHOOSE(CONTROL!$C$9, $D$9, 100%, $F$9) + CHOOSE(CONTROL!$C$27, 0.0021, 0)</f>
        <v>60.273499999999999</v>
      </c>
      <c r="I261" s="14">
        <f>60.2714 * CHOOSE(CONTROL!$C$9, $D$9, 100%, $F$9) + CHOOSE(CONTROL!$C$27, 0.0021, 0)</f>
        <v>60.273499999999999</v>
      </c>
      <c r="J261" s="14">
        <f>60.2714 * CHOOSE(CONTROL!$C$9, $D$9, 100%, $F$9) + CHOOSE(CONTROL!$C$27, 0.0021, 0)</f>
        <v>60.273499999999999</v>
      </c>
      <c r="K261" s="14">
        <f>60.2714 * CHOOSE(CONTROL!$C$9, $D$9, 100%, $F$9) + CHOOSE(CONTROL!$C$27, 0.0021, 0)</f>
        <v>60.273499999999999</v>
      </c>
      <c r="L261" s="14"/>
    </row>
    <row r="262" spans="1:12" ht="15" x14ac:dyDescent="0.2">
      <c r="A262" s="13">
        <v>48884</v>
      </c>
      <c r="B262" s="14">
        <f>60.8386 * CHOOSE(CONTROL!$C$9, $D$9, 100%, $F$9) + CHOOSE(CONTROL!$C$27, 0.0021, 0)</f>
        <v>60.840699999999998</v>
      </c>
      <c r="C262" s="14">
        <f>60.4063 * CHOOSE(CONTROL!$C$9, $D$9, 100%, $F$9) + CHOOSE(CONTROL!$C$27, 0.0021, 0)</f>
        <v>60.4084</v>
      </c>
      <c r="D262" s="14">
        <f>60.4063 * CHOOSE(CONTROL!$C$9, $D$9, 100%, $F$9) + CHOOSE(CONTROL!$C$27, 0.0021, 0)</f>
        <v>60.4084</v>
      </c>
      <c r="E262" s="14">
        <f>60.2697 * CHOOSE(CONTROL!$C$9, $D$9, 100%, $F$9) + CHOOSE(CONTROL!$C$27, 0.0021, 0)</f>
        <v>60.271799999999999</v>
      </c>
      <c r="F262" s="14">
        <f>60.2697 * CHOOSE(CONTROL!$C$9, $D$9, 100%, $F$9) + CHOOSE(CONTROL!$C$27, 0.0021, 0)</f>
        <v>60.271799999999999</v>
      </c>
      <c r="G262" s="14">
        <f>60.541 * CHOOSE(CONTROL!$C$9, $D$9, 100%, $F$9) + CHOOSE(CONTROL!$C$27, 0.0021, 0)</f>
        <v>60.543099999999995</v>
      </c>
      <c r="H262" s="14">
        <f>60.4063 * CHOOSE(CONTROL!$C$9, $D$9, 100%, $F$9) + CHOOSE(CONTROL!$C$27, 0.0021, 0)</f>
        <v>60.4084</v>
      </c>
      <c r="I262" s="14">
        <f>60.4063 * CHOOSE(CONTROL!$C$9, $D$9, 100%, $F$9) + CHOOSE(CONTROL!$C$27, 0.0021, 0)</f>
        <v>60.4084</v>
      </c>
      <c r="J262" s="14">
        <f>60.4063 * CHOOSE(CONTROL!$C$9, $D$9, 100%, $F$9) + CHOOSE(CONTROL!$C$27, 0.0021, 0)</f>
        <v>60.4084</v>
      </c>
      <c r="K262" s="14">
        <f>60.4063 * CHOOSE(CONTROL!$C$9, $D$9, 100%, $F$9) + CHOOSE(CONTROL!$C$27, 0.0021, 0)</f>
        <v>60.4084</v>
      </c>
      <c r="L262" s="14"/>
    </row>
    <row r="263" spans="1:12" ht="15" x14ac:dyDescent="0.2">
      <c r="A263" s="13">
        <v>48914</v>
      </c>
      <c r="B263" s="14">
        <f>59.6906 * CHOOSE(CONTROL!$C$9, $D$9, 100%, $F$9) + CHOOSE(CONTROL!$C$27, 0.0021, 0)</f>
        <v>59.692700000000002</v>
      </c>
      <c r="C263" s="14">
        <f>59.2584 * CHOOSE(CONTROL!$C$9, $D$9, 100%, $F$9) + CHOOSE(CONTROL!$C$27, 0.0021, 0)</f>
        <v>59.2605</v>
      </c>
      <c r="D263" s="14">
        <f>59.2584 * CHOOSE(CONTROL!$C$9, $D$9, 100%, $F$9) + CHOOSE(CONTROL!$C$27, 0.0021, 0)</f>
        <v>59.2605</v>
      </c>
      <c r="E263" s="14">
        <f>59.1217 * CHOOSE(CONTROL!$C$9, $D$9, 100%, $F$9) + CHOOSE(CONTROL!$C$27, 0.0021, 0)</f>
        <v>59.123799999999996</v>
      </c>
      <c r="F263" s="14">
        <f>59.1217 * CHOOSE(CONTROL!$C$9, $D$9, 100%, $F$9) + CHOOSE(CONTROL!$C$27, 0.0021, 0)</f>
        <v>59.123799999999996</v>
      </c>
      <c r="G263" s="14">
        <f>59.3931 * CHOOSE(CONTROL!$C$9, $D$9, 100%, $F$9) + CHOOSE(CONTROL!$C$27, 0.0021, 0)</f>
        <v>59.395199999999996</v>
      </c>
      <c r="H263" s="14">
        <f>59.2584 * CHOOSE(CONTROL!$C$9, $D$9, 100%, $F$9) + CHOOSE(CONTROL!$C$27, 0.0021, 0)</f>
        <v>59.2605</v>
      </c>
      <c r="I263" s="14">
        <f>59.2584 * CHOOSE(CONTROL!$C$9, $D$9, 100%, $F$9) + CHOOSE(CONTROL!$C$27, 0.0021, 0)</f>
        <v>59.2605</v>
      </c>
      <c r="J263" s="14">
        <f>59.2584 * CHOOSE(CONTROL!$C$9, $D$9, 100%, $F$9) + CHOOSE(CONTROL!$C$27, 0.0021, 0)</f>
        <v>59.2605</v>
      </c>
      <c r="K263" s="14">
        <f>59.2584 * CHOOSE(CONTROL!$C$9, $D$9, 100%, $F$9) + CHOOSE(CONTROL!$C$27, 0.0021, 0)</f>
        <v>59.2605</v>
      </c>
      <c r="L263" s="14"/>
    </row>
    <row r="264" spans="1:12" ht="15" x14ac:dyDescent="0.2">
      <c r="A264" s="13">
        <v>48945</v>
      </c>
      <c r="B264" s="14">
        <f>58.965 * CHOOSE(CONTROL!$C$9, $D$9, 100%, $F$9) + CHOOSE(CONTROL!$C$27, 0.0021, 0)</f>
        <v>58.967100000000002</v>
      </c>
      <c r="C264" s="14">
        <f>58.5328 * CHOOSE(CONTROL!$C$9, $D$9, 100%, $F$9) + CHOOSE(CONTROL!$C$27, 0.0021, 0)</f>
        <v>58.5349</v>
      </c>
      <c r="D264" s="14">
        <f>58.5328 * CHOOSE(CONTROL!$C$9, $D$9, 100%, $F$9) + CHOOSE(CONTROL!$C$27, 0.0021, 0)</f>
        <v>58.5349</v>
      </c>
      <c r="E264" s="14">
        <f>58.3961 * CHOOSE(CONTROL!$C$9, $D$9, 100%, $F$9) + CHOOSE(CONTROL!$C$27, 0.0021, 0)</f>
        <v>58.398199999999996</v>
      </c>
      <c r="F264" s="14">
        <f>58.3961 * CHOOSE(CONTROL!$C$9, $D$9, 100%, $F$9) + CHOOSE(CONTROL!$C$27, 0.0021, 0)</f>
        <v>58.398199999999996</v>
      </c>
      <c r="G264" s="14">
        <f>58.6675 * CHOOSE(CONTROL!$C$9, $D$9, 100%, $F$9) + CHOOSE(CONTROL!$C$27, 0.0021, 0)</f>
        <v>58.669599999999996</v>
      </c>
      <c r="H264" s="14">
        <f>58.5328 * CHOOSE(CONTROL!$C$9, $D$9, 100%, $F$9) + CHOOSE(CONTROL!$C$27, 0.0021, 0)</f>
        <v>58.5349</v>
      </c>
      <c r="I264" s="14">
        <f>58.5328 * CHOOSE(CONTROL!$C$9, $D$9, 100%, $F$9) + CHOOSE(CONTROL!$C$27, 0.0021, 0)</f>
        <v>58.5349</v>
      </c>
      <c r="J264" s="14">
        <f>58.5328 * CHOOSE(CONTROL!$C$9, $D$9, 100%, $F$9) + CHOOSE(CONTROL!$C$27, 0.0021, 0)</f>
        <v>58.5349</v>
      </c>
      <c r="K264" s="14">
        <f>58.5328 * CHOOSE(CONTROL!$C$9, $D$9, 100%, $F$9) + CHOOSE(CONTROL!$C$27, 0.0021, 0)</f>
        <v>58.5349</v>
      </c>
      <c r="L264" s="14"/>
    </row>
    <row r="265" spans="1:12" ht="15" x14ac:dyDescent="0.2">
      <c r="A265" s="13">
        <v>48976</v>
      </c>
      <c r="B265" s="14">
        <f>57.362 * CHOOSE(CONTROL!$C$9, $D$9, 100%, $F$9) + CHOOSE(CONTROL!$C$27, 0.0021, 0)</f>
        <v>57.364100000000001</v>
      </c>
      <c r="C265" s="14">
        <f>56.9298 * CHOOSE(CONTROL!$C$9, $D$9, 100%, $F$9) + CHOOSE(CONTROL!$C$27, 0.0021, 0)</f>
        <v>56.931899999999999</v>
      </c>
      <c r="D265" s="14">
        <f>56.9298 * CHOOSE(CONTROL!$C$9, $D$9, 100%, $F$9) + CHOOSE(CONTROL!$C$27, 0.0021, 0)</f>
        <v>56.931899999999999</v>
      </c>
      <c r="E265" s="14">
        <f>56.7931 * CHOOSE(CONTROL!$C$9, $D$9, 100%, $F$9) + CHOOSE(CONTROL!$C$27, 0.0021, 0)</f>
        <v>56.795200000000001</v>
      </c>
      <c r="F265" s="14">
        <f>56.7931 * CHOOSE(CONTROL!$C$9, $D$9, 100%, $F$9) + CHOOSE(CONTROL!$C$27, 0.0021, 0)</f>
        <v>56.795200000000001</v>
      </c>
      <c r="G265" s="14">
        <f>57.0645 * CHOOSE(CONTROL!$C$9, $D$9, 100%, $F$9) + CHOOSE(CONTROL!$C$27, 0.0021, 0)</f>
        <v>57.066600000000001</v>
      </c>
      <c r="H265" s="14">
        <f>56.9298 * CHOOSE(CONTROL!$C$9, $D$9, 100%, $F$9) + CHOOSE(CONTROL!$C$27, 0.0021, 0)</f>
        <v>56.931899999999999</v>
      </c>
      <c r="I265" s="14">
        <f>56.9298 * CHOOSE(CONTROL!$C$9, $D$9, 100%, $F$9) + CHOOSE(CONTROL!$C$27, 0.0021, 0)</f>
        <v>56.931899999999999</v>
      </c>
      <c r="J265" s="14">
        <f>56.9298 * CHOOSE(CONTROL!$C$9, $D$9, 100%, $F$9) + CHOOSE(CONTROL!$C$27, 0.0021, 0)</f>
        <v>56.931899999999999</v>
      </c>
      <c r="K265" s="14">
        <f>56.9298 * CHOOSE(CONTROL!$C$9, $D$9, 100%, $F$9) + CHOOSE(CONTROL!$C$27, 0.0021, 0)</f>
        <v>56.931899999999999</v>
      </c>
      <c r="L265" s="14"/>
    </row>
    <row r="266" spans="1:12" ht="15" x14ac:dyDescent="0.2">
      <c r="A266" s="13">
        <v>49004</v>
      </c>
      <c r="B266" s="14">
        <f>56.7003 * CHOOSE(CONTROL!$C$9, $D$9, 100%, $F$9) + CHOOSE(CONTROL!$C$27, 0.0021, 0)</f>
        <v>56.702399999999997</v>
      </c>
      <c r="C266" s="14">
        <f>56.2681 * CHOOSE(CONTROL!$C$9, $D$9, 100%, $F$9) + CHOOSE(CONTROL!$C$27, 0.0021, 0)</f>
        <v>56.270199999999996</v>
      </c>
      <c r="D266" s="14">
        <f>56.2681 * CHOOSE(CONTROL!$C$9, $D$9, 100%, $F$9) + CHOOSE(CONTROL!$C$27, 0.0021, 0)</f>
        <v>56.270199999999996</v>
      </c>
      <c r="E266" s="14">
        <f>56.1314 * CHOOSE(CONTROL!$C$9, $D$9, 100%, $F$9) + CHOOSE(CONTROL!$C$27, 0.0021, 0)</f>
        <v>56.133499999999998</v>
      </c>
      <c r="F266" s="14">
        <f>56.1314 * CHOOSE(CONTROL!$C$9, $D$9, 100%, $F$9) + CHOOSE(CONTROL!$C$27, 0.0021, 0)</f>
        <v>56.133499999999998</v>
      </c>
      <c r="G266" s="14">
        <f>56.4028 * CHOOSE(CONTROL!$C$9, $D$9, 100%, $F$9) + CHOOSE(CONTROL!$C$27, 0.0021, 0)</f>
        <v>56.404899999999998</v>
      </c>
      <c r="H266" s="14">
        <f>56.2681 * CHOOSE(CONTROL!$C$9, $D$9, 100%, $F$9) + CHOOSE(CONTROL!$C$27, 0.0021, 0)</f>
        <v>56.270199999999996</v>
      </c>
      <c r="I266" s="14">
        <f>56.2681 * CHOOSE(CONTROL!$C$9, $D$9, 100%, $F$9) + CHOOSE(CONTROL!$C$27, 0.0021, 0)</f>
        <v>56.270199999999996</v>
      </c>
      <c r="J266" s="14">
        <f>56.2681 * CHOOSE(CONTROL!$C$9, $D$9, 100%, $F$9) + CHOOSE(CONTROL!$C$27, 0.0021, 0)</f>
        <v>56.270199999999996</v>
      </c>
      <c r="K266" s="14">
        <f>56.2681 * CHOOSE(CONTROL!$C$9, $D$9, 100%, $F$9) + CHOOSE(CONTROL!$C$27, 0.0021, 0)</f>
        <v>56.270199999999996</v>
      </c>
      <c r="L266" s="14"/>
    </row>
    <row r="267" spans="1:12" ht="15" x14ac:dyDescent="0.2">
      <c r="A267" s="13">
        <v>49035</v>
      </c>
      <c r="B267" s="14">
        <f>55.9102 * CHOOSE(CONTROL!$C$9, $D$9, 100%, $F$9) + CHOOSE(CONTROL!$C$27, 0.0021, 0)</f>
        <v>55.912300000000002</v>
      </c>
      <c r="C267" s="14">
        <f>55.478 * CHOOSE(CONTROL!$C$9, $D$9, 100%, $F$9) + CHOOSE(CONTROL!$C$27, 0.0021, 0)</f>
        <v>55.4801</v>
      </c>
      <c r="D267" s="14">
        <f>55.478 * CHOOSE(CONTROL!$C$9, $D$9, 100%, $F$9) + CHOOSE(CONTROL!$C$27, 0.0021, 0)</f>
        <v>55.4801</v>
      </c>
      <c r="E267" s="14">
        <f>55.3413 * CHOOSE(CONTROL!$C$9, $D$9, 100%, $F$9) + CHOOSE(CONTROL!$C$27, 0.0021, 0)</f>
        <v>55.343399999999995</v>
      </c>
      <c r="F267" s="14">
        <f>55.3413 * CHOOSE(CONTROL!$C$9, $D$9, 100%, $F$9) + CHOOSE(CONTROL!$C$27, 0.0021, 0)</f>
        <v>55.343399999999995</v>
      </c>
      <c r="G267" s="14">
        <f>55.6127 * CHOOSE(CONTROL!$C$9, $D$9, 100%, $F$9) + CHOOSE(CONTROL!$C$27, 0.0021, 0)</f>
        <v>55.614799999999995</v>
      </c>
      <c r="H267" s="14">
        <f>55.478 * CHOOSE(CONTROL!$C$9, $D$9, 100%, $F$9) + CHOOSE(CONTROL!$C$27, 0.0021, 0)</f>
        <v>55.4801</v>
      </c>
      <c r="I267" s="14">
        <f>55.478 * CHOOSE(CONTROL!$C$9, $D$9, 100%, $F$9) + CHOOSE(CONTROL!$C$27, 0.0021, 0)</f>
        <v>55.4801</v>
      </c>
      <c r="J267" s="14">
        <f>55.478 * CHOOSE(CONTROL!$C$9, $D$9, 100%, $F$9) + CHOOSE(CONTROL!$C$27, 0.0021, 0)</f>
        <v>55.4801</v>
      </c>
      <c r="K267" s="14">
        <f>55.478 * CHOOSE(CONTROL!$C$9, $D$9, 100%, $F$9) + CHOOSE(CONTROL!$C$27, 0.0021, 0)</f>
        <v>55.4801</v>
      </c>
      <c r="L267" s="14"/>
    </row>
    <row r="268" spans="1:12" ht="15" x14ac:dyDescent="0.2">
      <c r="A268" s="13">
        <v>49065</v>
      </c>
      <c r="B268" s="14">
        <f>57.0362 * CHOOSE(CONTROL!$C$9, $D$9, 100%, $F$9) + CHOOSE(CONTROL!$C$27, 0.0021, 0)</f>
        <v>57.0383</v>
      </c>
      <c r="C268" s="14">
        <f>56.604 * CHOOSE(CONTROL!$C$9, $D$9, 100%, $F$9) + CHOOSE(CONTROL!$C$27, 0.0021, 0)</f>
        <v>56.606099999999998</v>
      </c>
      <c r="D268" s="14">
        <f>56.604 * CHOOSE(CONTROL!$C$9, $D$9, 100%, $F$9) + CHOOSE(CONTROL!$C$27, 0.0021, 0)</f>
        <v>56.606099999999998</v>
      </c>
      <c r="E268" s="14">
        <f>56.4673 * CHOOSE(CONTROL!$C$9, $D$9, 100%, $F$9) + CHOOSE(CONTROL!$C$27, 0.0021, 0)</f>
        <v>56.4694</v>
      </c>
      <c r="F268" s="14">
        <f>56.4673 * CHOOSE(CONTROL!$C$9, $D$9, 100%, $F$9) + CHOOSE(CONTROL!$C$27, 0.0021, 0)</f>
        <v>56.4694</v>
      </c>
      <c r="G268" s="14">
        <f>56.7387 * CHOOSE(CONTROL!$C$9, $D$9, 100%, $F$9) + CHOOSE(CONTROL!$C$27, 0.0021, 0)</f>
        <v>56.7408</v>
      </c>
      <c r="H268" s="14">
        <f>56.604 * CHOOSE(CONTROL!$C$9, $D$9, 100%, $F$9) + CHOOSE(CONTROL!$C$27, 0.0021, 0)</f>
        <v>56.606099999999998</v>
      </c>
      <c r="I268" s="14">
        <f>56.604 * CHOOSE(CONTROL!$C$9, $D$9, 100%, $F$9) + CHOOSE(CONTROL!$C$27, 0.0021, 0)</f>
        <v>56.606099999999998</v>
      </c>
      <c r="J268" s="14">
        <f>56.604 * CHOOSE(CONTROL!$C$9, $D$9, 100%, $F$9) + CHOOSE(CONTROL!$C$27, 0.0021, 0)</f>
        <v>56.606099999999998</v>
      </c>
      <c r="K268" s="14">
        <f>56.604 * CHOOSE(CONTROL!$C$9, $D$9, 100%, $F$9) + CHOOSE(CONTROL!$C$27, 0.0021, 0)</f>
        <v>56.606099999999998</v>
      </c>
      <c r="L268" s="14"/>
    </row>
    <row r="269" spans="1:12" ht="15" x14ac:dyDescent="0.2">
      <c r="A269" s="13">
        <v>49096</v>
      </c>
      <c r="B269" s="14">
        <f>57.7106 * CHOOSE(CONTROL!$C$9, $D$9, 100%, $F$9) + CHOOSE(CONTROL!$C$27, 0.0021, 0)</f>
        <v>57.712699999999998</v>
      </c>
      <c r="C269" s="14">
        <f>57.2784 * CHOOSE(CONTROL!$C$9, $D$9, 100%, $F$9) + CHOOSE(CONTROL!$C$27, 0.0021, 0)</f>
        <v>57.280499999999996</v>
      </c>
      <c r="D269" s="14">
        <f>57.2784 * CHOOSE(CONTROL!$C$9, $D$9, 100%, $F$9) + CHOOSE(CONTROL!$C$27, 0.0021, 0)</f>
        <v>57.280499999999996</v>
      </c>
      <c r="E269" s="14">
        <f>57.1417 * CHOOSE(CONTROL!$C$9, $D$9, 100%, $F$9) + CHOOSE(CONTROL!$C$27, 0.0021, 0)</f>
        <v>57.143799999999999</v>
      </c>
      <c r="F269" s="14">
        <f>57.1417 * CHOOSE(CONTROL!$C$9, $D$9, 100%, $F$9) + CHOOSE(CONTROL!$C$27, 0.0021, 0)</f>
        <v>57.143799999999999</v>
      </c>
      <c r="G269" s="14">
        <f>57.4131 * CHOOSE(CONTROL!$C$9, $D$9, 100%, $F$9) + CHOOSE(CONTROL!$C$27, 0.0021, 0)</f>
        <v>57.415199999999999</v>
      </c>
      <c r="H269" s="14">
        <f>57.2784 * CHOOSE(CONTROL!$C$9, $D$9, 100%, $F$9) + CHOOSE(CONTROL!$C$27, 0.0021, 0)</f>
        <v>57.280499999999996</v>
      </c>
      <c r="I269" s="14">
        <f>57.2784 * CHOOSE(CONTROL!$C$9, $D$9, 100%, $F$9) + CHOOSE(CONTROL!$C$27, 0.0021, 0)</f>
        <v>57.280499999999996</v>
      </c>
      <c r="J269" s="14">
        <f>57.2784 * CHOOSE(CONTROL!$C$9, $D$9, 100%, $F$9) + CHOOSE(CONTROL!$C$27, 0.0021, 0)</f>
        <v>57.280499999999996</v>
      </c>
      <c r="K269" s="14">
        <f>57.2784 * CHOOSE(CONTROL!$C$9, $D$9, 100%, $F$9) + CHOOSE(CONTROL!$C$27, 0.0021, 0)</f>
        <v>57.280499999999996</v>
      </c>
      <c r="L269" s="14"/>
    </row>
    <row r="270" spans="1:12" ht="15" x14ac:dyDescent="0.2">
      <c r="A270" s="13">
        <v>49126</v>
      </c>
      <c r="B270" s="14">
        <f>58.8232 * CHOOSE(CONTROL!$C$9, $D$9, 100%, $F$9) + CHOOSE(CONTROL!$C$27, 0.0021, 0)</f>
        <v>58.825299999999999</v>
      </c>
      <c r="C270" s="14">
        <f>58.3909 * CHOOSE(CONTROL!$C$9, $D$9, 100%, $F$9) + CHOOSE(CONTROL!$C$27, 0.0021, 0)</f>
        <v>58.393000000000001</v>
      </c>
      <c r="D270" s="14">
        <f>58.3909 * CHOOSE(CONTROL!$C$9, $D$9, 100%, $F$9) + CHOOSE(CONTROL!$C$27, 0.0021, 0)</f>
        <v>58.393000000000001</v>
      </c>
      <c r="E270" s="14">
        <f>58.2543 * CHOOSE(CONTROL!$C$9, $D$9, 100%, $F$9) + CHOOSE(CONTROL!$C$27, 0.0021, 0)</f>
        <v>58.256399999999999</v>
      </c>
      <c r="F270" s="14">
        <f>58.2543 * CHOOSE(CONTROL!$C$9, $D$9, 100%, $F$9) + CHOOSE(CONTROL!$C$27, 0.0021, 0)</f>
        <v>58.256399999999999</v>
      </c>
      <c r="G270" s="14">
        <f>58.5257 * CHOOSE(CONTROL!$C$9, $D$9, 100%, $F$9) + CHOOSE(CONTROL!$C$27, 0.0021, 0)</f>
        <v>58.527799999999999</v>
      </c>
      <c r="H270" s="14">
        <f>58.3909 * CHOOSE(CONTROL!$C$9, $D$9, 100%, $F$9) + CHOOSE(CONTROL!$C$27, 0.0021, 0)</f>
        <v>58.393000000000001</v>
      </c>
      <c r="I270" s="14">
        <f>58.3909 * CHOOSE(CONTROL!$C$9, $D$9, 100%, $F$9) + CHOOSE(CONTROL!$C$27, 0.0021, 0)</f>
        <v>58.393000000000001</v>
      </c>
      <c r="J270" s="14">
        <f>58.3909 * CHOOSE(CONTROL!$C$9, $D$9, 100%, $F$9) + CHOOSE(CONTROL!$C$27, 0.0021, 0)</f>
        <v>58.393000000000001</v>
      </c>
      <c r="K270" s="14">
        <f>58.3909 * CHOOSE(CONTROL!$C$9, $D$9, 100%, $F$9) + CHOOSE(CONTROL!$C$27, 0.0021, 0)</f>
        <v>58.393000000000001</v>
      </c>
      <c r="L270" s="14"/>
    </row>
    <row r="271" spans="1:12" ht="15" x14ac:dyDescent="0.2">
      <c r="A271" s="13">
        <v>49157</v>
      </c>
      <c r="B271" s="14">
        <f>59.1628 * CHOOSE(CONTROL!$C$9, $D$9, 100%, $F$9) + CHOOSE(CONTROL!$C$27, 0.0021, 0)</f>
        <v>59.164899999999996</v>
      </c>
      <c r="C271" s="14">
        <f>58.7305 * CHOOSE(CONTROL!$C$9, $D$9, 100%, $F$9) + CHOOSE(CONTROL!$C$27, 0.0021, 0)</f>
        <v>58.732599999999998</v>
      </c>
      <c r="D271" s="14">
        <f>58.7305 * CHOOSE(CONTROL!$C$9, $D$9, 100%, $F$9) + CHOOSE(CONTROL!$C$27, 0.0021, 0)</f>
        <v>58.732599999999998</v>
      </c>
      <c r="E271" s="14">
        <f>58.5939 * CHOOSE(CONTROL!$C$9, $D$9, 100%, $F$9) + CHOOSE(CONTROL!$C$27, 0.0021, 0)</f>
        <v>58.595999999999997</v>
      </c>
      <c r="F271" s="14">
        <f>58.5939 * CHOOSE(CONTROL!$C$9, $D$9, 100%, $F$9) + CHOOSE(CONTROL!$C$27, 0.0021, 0)</f>
        <v>58.595999999999997</v>
      </c>
      <c r="G271" s="14">
        <f>58.8652 * CHOOSE(CONTROL!$C$9, $D$9, 100%, $F$9) + CHOOSE(CONTROL!$C$27, 0.0021, 0)</f>
        <v>58.8673</v>
      </c>
      <c r="H271" s="14">
        <f>58.7305 * CHOOSE(CONTROL!$C$9, $D$9, 100%, $F$9) + CHOOSE(CONTROL!$C$27, 0.0021, 0)</f>
        <v>58.732599999999998</v>
      </c>
      <c r="I271" s="14">
        <f>58.7305 * CHOOSE(CONTROL!$C$9, $D$9, 100%, $F$9) + CHOOSE(CONTROL!$C$27, 0.0021, 0)</f>
        <v>58.732599999999998</v>
      </c>
      <c r="J271" s="14">
        <f>58.7305 * CHOOSE(CONTROL!$C$9, $D$9, 100%, $F$9) + CHOOSE(CONTROL!$C$27, 0.0021, 0)</f>
        <v>58.732599999999998</v>
      </c>
      <c r="K271" s="14">
        <f>58.7305 * CHOOSE(CONTROL!$C$9, $D$9, 100%, $F$9) + CHOOSE(CONTROL!$C$27, 0.0021, 0)</f>
        <v>58.732599999999998</v>
      </c>
      <c r="L271" s="14"/>
    </row>
    <row r="272" spans="1:12" ht="15" x14ac:dyDescent="0.2">
      <c r="A272" s="13">
        <v>49188</v>
      </c>
      <c r="B272" s="14">
        <f>60.3192 * CHOOSE(CONTROL!$C$9, $D$9, 100%, $F$9) + CHOOSE(CONTROL!$C$27, 0.0021, 0)</f>
        <v>60.321300000000001</v>
      </c>
      <c r="C272" s="14">
        <f>59.887 * CHOOSE(CONTROL!$C$9, $D$9, 100%, $F$9) + CHOOSE(CONTROL!$C$27, 0.0021, 0)</f>
        <v>59.889099999999999</v>
      </c>
      <c r="D272" s="14">
        <f>59.887 * CHOOSE(CONTROL!$C$9, $D$9, 100%, $F$9) + CHOOSE(CONTROL!$C$27, 0.0021, 0)</f>
        <v>59.889099999999999</v>
      </c>
      <c r="E272" s="14">
        <f>59.7503 * CHOOSE(CONTROL!$C$9, $D$9, 100%, $F$9) + CHOOSE(CONTROL!$C$27, 0.0021, 0)</f>
        <v>59.752400000000002</v>
      </c>
      <c r="F272" s="14">
        <f>59.7503 * CHOOSE(CONTROL!$C$9, $D$9, 100%, $F$9) + CHOOSE(CONTROL!$C$27, 0.0021, 0)</f>
        <v>59.752400000000002</v>
      </c>
      <c r="G272" s="14">
        <f>60.0217 * CHOOSE(CONTROL!$C$9, $D$9, 100%, $F$9) + CHOOSE(CONTROL!$C$27, 0.0021, 0)</f>
        <v>60.023800000000001</v>
      </c>
      <c r="H272" s="14">
        <f>59.887 * CHOOSE(CONTROL!$C$9, $D$9, 100%, $F$9) + CHOOSE(CONTROL!$C$27, 0.0021, 0)</f>
        <v>59.889099999999999</v>
      </c>
      <c r="I272" s="14">
        <f>59.887 * CHOOSE(CONTROL!$C$9, $D$9, 100%, $F$9) + CHOOSE(CONTROL!$C$27, 0.0021, 0)</f>
        <v>59.889099999999999</v>
      </c>
      <c r="J272" s="14">
        <f>59.887 * CHOOSE(CONTROL!$C$9, $D$9, 100%, $F$9) + CHOOSE(CONTROL!$C$27, 0.0021, 0)</f>
        <v>59.889099999999999</v>
      </c>
      <c r="K272" s="14">
        <f>59.887 * CHOOSE(CONTROL!$C$9, $D$9, 100%, $F$9) + CHOOSE(CONTROL!$C$27, 0.0021, 0)</f>
        <v>59.889099999999999</v>
      </c>
      <c r="L272" s="14"/>
    </row>
    <row r="273" spans="1:12" ht="15" x14ac:dyDescent="0.2">
      <c r="A273" s="13">
        <v>49218</v>
      </c>
      <c r="B273" s="14">
        <f>61.7831 * CHOOSE(CONTROL!$C$9, $D$9, 100%, $F$9) + CHOOSE(CONTROL!$C$27, 0.0021, 0)</f>
        <v>61.785199999999996</v>
      </c>
      <c r="C273" s="14">
        <f>61.3509 * CHOOSE(CONTROL!$C$9, $D$9, 100%, $F$9) + CHOOSE(CONTROL!$C$27, 0.0021, 0)</f>
        <v>61.353000000000002</v>
      </c>
      <c r="D273" s="14">
        <f>61.3509 * CHOOSE(CONTROL!$C$9, $D$9, 100%, $F$9) + CHOOSE(CONTROL!$C$27, 0.0021, 0)</f>
        <v>61.353000000000002</v>
      </c>
      <c r="E273" s="14">
        <f>61.2142 * CHOOSE(CONTROL!$C$9, $D$9, 100%, $F$9) + CHOOSE(CONTROL!$C$27, 0.0021, 0)</f>
        <v>61.216299999999997</v>
      </c>
      <c r="F273" s="14">
        <f>61.2142 * CHOOSE(CONTROL!$C$9, $D$9, 100%, $F$9) + CHOOSE(CONTROL!$C$27, 0.0021, 0)</f>
        <v>61.216299999999997</v>
      </c>
      <c r="G273" s="14">
        <f>61.4856 * CHOOSE(CONTROL!$C$9, $D$9, 100%, $F$9) + CHOOSE(CONTROL!$C$27, 0.0021, 0)</f>
        <v>61.487699999999997</v>
      </c>
      <c r="H273" s="14">
        <f>61.3509 * CHOOSE(CONTROL!$C$9, $D$9, 100%, $F$9) + CHOOSE(CONTROL!$C$27, 0.0021, 0)</f>
        <v>61.353000000000002</v>
      </c>
      <c r="I273" s="14">
        <f>61.3509 * CHOOSE(CONTROL!$C$9, $D$9, 100%, $F$9) + CHOOSE(CONTROL!$C$27, 0.0021, 0)</f>
        <v>61.353000000000002</v>
      </c>
      <c r="J273" s="14">
        <f>61.3509 * CHOOSE(CONTROL!$C$9, $D$9, 100%, $F$9) + CHOOSE(CONTROL!$C$27, 0.0021, 0)</f>
        <v>61.353000000000002</v>
      </c>
      <c r="K273" s="14">
        <f>61.3509 * CHOOSE(CONTROL!$C$9, $D$9, 100%, $F$9) + CHOOSE(CONTROL!$C$27, 0.0021, 0)</f>
        <v>61.353000000000002</v>
      </c>
      <c r="L273" s="14"/>
    </row>
    <row r="274" spans="1:12" ht="15" x14ac:dyDescent="0.2">
      <c r="A274" s="13">
        <v>49249</v>
      </c>
      <c r="B274" s="14">
        <f>61.9205 * CHOOSE(CONTROL!$C$9, $D$9, 100%, $F$9) + CHOOSE(CONTROL!$C$27, 0.0021, 0)</f>
        <v>61.922599999999996</v>
      </c>
      <c r="C274" s="14">
        <f>61.4883 * CHOOSE(CONTROL!$C$9, $D$9, 100%, $F$9) + CHOOSE(CONTROL!$C$27, 0.0021, 0)</f>
        <v>61.490400000000001</v>
      </c>
      <c r="D274" s="14">
        <f>61.4883 * CHOOSE(CONTROL!$C$9, $D$9, 100%, $F$9) + CHOOSE(CONTROL!$C$27, 0.0021, 0)</f>
        <v>61.490400000000001</v>
      </c>
      <c r="E274" s="14">
        <f>61.3516 * CHOOSE(CONTROL!$C$9, $D$9, 100%, $F$9) + CHOOSE(CONTROL!$C$27, 0.0021, 0)</f>
        <v>61.353699999999996</v>
      </c>
      <c r="F274" s="14">
        <f>61.3516 * CHOOSE(CONTROL!$C$9, $D$9, 100%, $F$9) + CHOOSE(CONTROL!$C$27, 0.0021, 0)</f>
        <v>61.353699999999996</v>
      </c>
      <c r="G274" s="14">
        <f>61.623 * CHOOSE(CONTROL!$C$9, $D$9, 100%, $F$9) + CHOOSE(CONTROL!$C$27, 0.0021, 0)</f>
        <v>61.625099999999996</v>
      </c>
      <c r="H274" s="14">
        <f>61.4883 * CHOOSE(CONTROL!$C$9, $D$9, 100%, $F$9) + CHOOSE(CONTROL!$C$27, 0.0021, 0)</f>
        <v>61.490400000000001</v>
      </c>
      <c r="I274" s="14">
        <f>61.4883 * CHOOSE(CONTROL!$C$9, $D$9, 100%, $F$9) + CHOOSE(CONTROL!$C$27, 0.0021, 0)</f>
        <v>61.490400000000001</v>
      </c>
      <c r="J274" s="14">
        <f>61.4883 * CHOOSE(CONTROL!$C$9, $D$9, 100%, $F$9) + CHOOSE(CONTROL!$C$27, 0.0021, 0)</f>
        <v>61.490400000000001</v>
      </c>
      <c r="K274" s="14">
        <f>61.4883 * CHOOSE(CONTROL!$C$9, $D$9, 100%, $F$9) + CHOOSE(CONTROL!$C$27, 0.0021, 0)</f>
        <v>61.490400000000001</v>
      </c>
      <c r="L274" s="14"/>
    </row>
    <row r="275" spans="1:12" ht="15" x14ac:dyDescent="0.2">
      <c r="A275" s="13">
        <v>49279</v>
      </c>
      <c r="B275" s="14">
        <f>60.7514 * CHOOSE(CONTROL!$C$9, $D$9, 100%, $F$9) + CHOOSE(CONTROL!$C$27, 0.0021, 0)</f>
        <v>60.753499999999995</v>
      </c>
      <c r="C275" s="14">
        <f>60.3191 * CHOOSE(CONTROL!$C$9, $D$9, 100%, $F$9) + CHOOSE(CONTROL!$C$27, 0.0021, 0)</f>
        <v>60.321199999999997</v>
      </c>
      <c r="D275" s="14">
        <f>60.3191 * CHOOSE(CONTROL!$C$9, $D$9, 100%, $F$9) + CHOOSE(CONTROL!$C$27, 0.0021, 0)</f>
        <v>60.321199999999997</v>
      </c>
      <c r="E275" s="14">
        <f>60.1825 * CHOOSE(CONTROL!$C$9, $D$9, 100%, $F$9) + CHOOSE(CONTROL!$C$27, 0.0021, 0)</f>
        <v>60.184599999999996</v>
      </c>
      <c r="F275" s="14">
        <f>60.1825 * CHOOSE(CONTROL!$C$9, $D$9, 100%, $F$9) + CHOOSE(CONTROL!$C$27, 0.0021, 0)</f>
        <v>60.184599999999996</v>
      </c>
      <c r="G275" s="14">
        <f>60.4538 * CHOOSE(CONTROL!$C$9, $D$9, 100%, $F$9) + CHOOSE(CONTROL!$C$27, 0.0021, 0)</f>
        <v>60.4559</v>
      </c>
      <c r="H275" s="14">
        <f>60.3191 * CHOOSE(CONTROL!$C$9, $D$9, 100%, $F$9) + CHOOSE(CONTROL!$C$27, 0.0021, 0)</f>
        <v>60.321199999999997</v>
      </c>
      <c r="I275" s="14">
        <f>60.3191 * CHOOSE(CONTROL!$C$9, $D$9, 100%, $F$9) + CHOOSE(CONTROL!$C$27, 0.0021, 0)</f>
        <v>60.321199999999997</v>
      </c>
      <c r="J275" s="14">
        <f>60.3191 * CHOOSE(CONTROL!$C$9, $D$9, 100%, $F$9) + CHOOSE(CONTROL!$C$27, 0.0021, 0)</f>
        <v>60.321199999999997</v>
      </c>
      <c r="K275" s="14">
        <f>60.3191 * CHOOSE(CONTROL!$C$9, $D$9, 100%, $F$9) + CHOOSE(CONTROL!$C$27, 0.0021, 0)</f>
        <v>60.321199999999997</v>
      </c>
      <c r="L275" s="14"/>
    </row>
    <row r="276" spans="1:12" ht="15" x14ac:dyDescent="0.2">
      <c r="A276" s="13">
        <v>49310</v>
      </c>
      <c r="B276" s="14">
        <f>60.0124 * CHOOSE(CONTROL!$C$9, $D$9, 100%, $F$9) + CHOOSE(CONTROL!$C$27, 0.0021, 0)</f>
        <v>60.014499999999998</v>
      </c>
      <c r="C276" s="14">
        <f>59.5802 * CHOOSE(CONTROL!$C$9, $D$9, 100%, $F$9) + CHOOSE(CONTROL!$C$27, 0.0021, 0)</f>
        <v>59.582299999999996</v>
      </c>
      <c r="D276" s="14">
        <f>59.5802 * CHOOSE(CONTROL!$C$9, $D$9, 100%, $F$9) + CHOOSE(CONTROL!$C$27, 0.0021, 0)</f>
        <v>59.582299999999996</v>
      </c>
      <c r="E276" s="14">
        <f>59.4435 * CHOOSE(CONTROL!$C$9, $D$9, 100%, $F$9) + CHOOSE(CONTROL!$C$27, 0.0021, 0)</f>
        <v>59.445599999999999</v>
      </c>
      <c r="F276" s="14">
        <f>59.4435 * CHOOSE(CONTROL!$C$9, $D$9, 100%, $F$9) + CHOOSE(CONTROL!$C$27, 0.0021, 0)</f>
        <v>59.445599999999999</v>
      </c>
      <c r="G276" s="14">
        <f>59.7149 * CHOOSE(CONTROL!$C$9, $D$9, 100%, $F$9) + CHOOSE(CONTROL!$C$27, 0.0021, 0)</f>
        <v>59.716999999999999</v>
      </c>
      <c r="H276" s="14">
        <f>59.5802 * CHOOSE(CONTROL!$C$9, $D$9, 100%, $F$9) + CHOOSE(CONTROL!$C$27, 0.0021, 0)</f>
        <v>59.582299999999996</v>
      </c>
      <c r="I276" s="14">
        <f>59.5802 * CHOOSE(CONTROL!$C$9, $D$9, 100%, $F$9) + CHOOSE(CONTROL!$C$27, 0.0021, 0)</f>
        <v>59.582299999999996</v>
      </c>
      <c r="J276" s="14">
        <f>59.5802 * CHOOSE(CONTROL!$C$9, $D$9, 100%, $F$9) + CHOOSE(CONTROL!$C$27, 0.0021, 0)</f>
        <v>59.582299999999996</v>
      </c>
      <c r="K276" s="14">
        <f>59.5802 * CHOOSE(CONTROL!$C$9, $D$9, 100%, $F$9) + CHOOSE(CONTROL!$C$27, 0.0021, 0)</f>
        <v>59.582299999999996</v>
      </c>
      <c r="L276" s="14"/>
    </row>
    <row r="277" spans="1:12" ht="15" x14ac:dyDescent="0.2">
      <c r="A277" s="13">
        <v>49341</v>
      </c>
      <c r="B277" s="14">
        <f>58.3798 * CHOOSE(CONTROL!$C$9, $D$9, 100%, $F$9) + CHOOSE(CONTROL!$C$27, 0.0021, 0)</f>
        <v>58.381900000000002</v>
      </c>
      <c r="C277" s="14">
        <f>57.9475 * CHOOSE(CONTROL!$C$9, $D$9, 100%, $F$9) + CHOOSE(CONTROL!$C$27, 0.0021, 0)</f>
        <v>57.949599999999997</v>
      </c>
      <c r="D277" s="14">
        <f>57.9475 * CHOOSE(CONTROL!$C$9, $D$9, 100%, $F$9) + CHOOSE(CONTROL!$C$27, 0.0021, 0)</f>
        <v>57.949599999999997</v>
      </c>
      <c r="E277" s="14">
        <f>57.8109 * CHOOSE(CONTROL!$C$9, $D$9, 100%, $F$9) + CHOOSE(CONTROL!$C$27, 0.0021, 0)</f>
        <v>57.812999999999995</v>
      </c>
      <c r="F277" s="14">
        <f>57.8109 * CHOOSE(CONTROL!$C$9, $D$9, 100%, $F$9) + CHOOSE(CONTROL!$C$27, 0.0021, 0)</f>
        <v>57.812999999999995</v>
      </c>
      <c r="G277" s="14">
        <f>58.0822 * CHOOSE(CONTROL!$C$9, $D$9, 100%, $F$9) + CHOOSE(CONTROL!$C$27, 0.0021, 0)</f>
        <v>58.084299999999999</v>
      </c>
      <c r="H277" s="14">
        <f>57.9475 * CHOOSE(CONTROL!$C$9, $D$9, 100%, $F$9) + CHOOSE(CONTROL!$C$27, 0.0021, 0)</f>
        <v>57.949599999999997</v>
      </c>
      <c r="I277" s="14">
        <f>57.9475 * CHOOSE(CONTROL!$C$9, $D$9, 100%, $F$9) + CHOOSE(CONTROL!$C$27, 0.0021, 0)</f>
        <v>57.949599999999997</v>
      </c>
      <c r="J277" s="14">
        <f>57.9475 * CHOOSE(CONTROL!$C$9, $D$9, 100%, $F$9) + CHOOSE(CONTROL!$C$27, 0.0021, 0)</f>
        <v>57.949599999999997</v>
      </c>
      <c r="K277" s="14">
        <f>57.9475 * CHOOSE(CONTROL!$C$9, $D$9, 100%, $F$9) + CHOOSE(CONTROL!$C$27, 0.0021, 0)</f>
        <v>57.949599999999997</v>
      </c>
      <c r="L277" s="14"/>
    </row>
    <row r="278" spans="1:12" ht="15" x14ac:dyDescent="0.2">
      <c r="A278" s="13">
        <v>49369</v>
      </c>
      <c r="B278" s="14">
        <f>57.7058 * CHOOSE(CONTROL!$C$9, $D$9, 100%, $F$9) + CHOOSE(CONTROL!$C$27, 0.0021, 0)</f>
        <v>57.707900000000002</v>
      </c>
      <c r="C278" s="14">
        <f>57.2736 * CHOOSE(CONTROL!$C$9, $D$9, 100%, $F$9) + CHOOSE(CONTROL!$C$27, 0.0021, 0)</f>
        <v>57.275700000000001</v>
      </c>
      <c r="D278" s="14">
        <f>57.2736 * CHOOSE(CONTROL!$C$9, $D$9, 100%, $F$9) + CHOOSE(CONTROL!$C$27, 0.0021, 0)</f>
        <v>57.275700000000001</v>
      </c>
      <c r="E278" s="14">
        <f>57.1369 * CHOOSE(CONTROL!$C$9, $D$9, 100%, $F$9) + CHOOSE(CONTROL!$C$27, 0.0021, 0)</f>
        <v>57.138999999999996</v>
      </c>
      <c r="F278" s="14">
        <f>57.1369 * CHOOSE(CONTROL!$C$9, $D$9, 100%, $F$9) + CHOOSE(CONTROL!$C$27, 0.0021, 0)</f>
        <v>57.138999999999996</v>
      </c>
      <c r="G278" s="14">
        <f>57.4083 * CHOOSE(CONTROL!$C$9, $D$9, 100%, $F$9) + CHOOSE(CONTROL!$C$27, 0.0021, 0)</f>
        <v>57.410399999999996</v>
      </c>
      <c r="H278" s="14">
        <f>57.2736 * CHOOSE(CONTROL!$C$9, $D$9, 100%, $F$9) + CHOOSE(CONTROL!$C$27, 0.0021, 0)</f>
        <v>57.275700000000001</v>
      </c>
      <c r="I278" s="14">
        <f>57.2736 * CHOOSE(CONTROL!$C$9, $D$9, 100%, $F$9) + CHOOSE(CONTROL!$C$27, 0.0021, 0)</f>
        <v>57.275700000000001</v>
      </c>
      <c r="J278" s="14">
        <f>57.2736 * CHOOSE(CONTROL!$C$9, $D$9, 100%, $F$9) + CHOOSE(CONTROL!$C$27, 0.0021, 0)</f>
        <v>57.275700000000001</v>
      </c>
      <c r="K278" s="14">
        <f>57.2736 * CHOOSE(CONTROL!$C$9, $D$9, 100%, $F$9) + CHOOSE(CONTROL!$C$27, 0.0021, 0)</f>
        <v>57.275700000000001</v>
      </c>
      <c r="L278" s="14"/>
    </row>
    <row r="279" spans="1:12" ht="15" x14ac:dyDescent="0.2">
      <c r="A279" s="13">
        <v>49400</v>
      </c>
      <c r="B279" s="14">
        <f>56.9011 * CHOOSE(CONTROL!$C$9, $D$9, 100%, $F$9) + CHOOSE(CONTROL!$C$27, 0.0021, 0)</f>
        <v>56.903199999999998</v>
      </c>
      <c r="C279" s="14">
        <f>56.4689 * CHOOSE(CONTROL!$C$9, $D$9, 100%, $F$9) + CHOOSE(CONTROL!$C$27, 0.0021, 0)</f>
        <v>56.470999999999997</v>
      </c>
      <c r="D279" s="14">
        <f>56.4689 * CHOOSE(CONTROL!$C$9, $D$9, 100%, $F$9) + CHOOSE(CONTROL!$C$27, 0.0021, 0)</f>
        <v>56.470999999999997</v>
      </c>
      <c r="E279" s="14">
        <f>56.3322 * CHOOSE(CONTROL!$C$9, $D$9, 100%, $F$9) + CHOOSE(CONTROL!$C$27, 0.0021, 0)</f>
        <v>56.334299999999999</v>
      </c>
      <c r="F279" s="14">
        <f>56.3322 * CHOOSE(CONTROL!$C$9, $D$9, 100%, $F$9) + CHOOSE(CONTROL!$C$27, 0.0021, 0)</f>
        <v>56.334299999999999</v>
      </c>
      <c r="G279" s="14">
        <f>56.6036 * CHOOSE(CONTROL!$C$9, $D$9, 100%, $F$9) + CHOOSE(CONTROL!$C$27, 0.0021, 0)</f>
        <v>56.605699999999999</v>
      </c>
      <c r="H279" s="14">
        <f>56.4689 * CHOOSE(CONTROL!$C$9, $D$9, 100%, $F$9) + CHOOSE(CONTROL!$C$27, 0.0021, 0)</f>
        <v>56.470999999999997</v>
      </c>
      <c r="I279" s="14">
        <f>56.4689 * CHOOSE(CONTROL!$C$9, $D$9, 100%, $F$9) + CHOOSE(CONTROL!$C$27, 0.0021, 0)</f>
        <v>56.470999999999997</v>
      </c>
      <c r="J279" s="14">
        <f>56.4689 * CHOOSE(CONTROL!$C$9, $D$9, 100%, $F$9) + CHOOSE(CONTROL!$C$27, 0.0021, 0)</f>
        <v>56.470999999999997</v>
      </c>
      <c r="K279" s="14">
        <f>56.4689 * CHOOSE(CONTROL!$C$9, $D$9, 100%, $F$9) + CHOOSE(CONTROL!$C$27, 0.0021, 0)</f>
        <v>56.470999999999997</v>
      </c>
      <c r="L279" s="14"/>
    </row>
    <row r="280" spans="1:12" ht="15" x14ac:dyDescent="0.2">
      <c r="A280" s="13">
        <v>49430</v>
      </c>
      <c r="B280" s="14">
        <f>58.0479 * CHOOSE(CONTROL!$C$9, $D$9, 100%, $F$9) + CHOOSE(CONTROL!$C$27, 0.0021, 0)</f>
        <v>58.05</v>
      </c>
      <c r="C280" s="14">
        <f>57.6157 * CHOOSE(CONTROL!$C$9, $D$9, 100%, $F$9) + CHOOSE(CONTROL!$C$27, 0.0021, 0)</f>
        <v>57.617799999999995</v>
      </c>
      <c r="D280" s="14">
        <f>57.6157 * CHOOSE(CONTROL!$C$9, $D$9, 100%, $F$9) + CHOOSE(CONTROL!$C$27, 0.0021, 0)</f>
        <v>57.617799999999995</v>
      </c>
      <c r="E280" s="14">
        <f>57.479 * CHOOSE(CONTROL!$C$9, $D$9, 100%, $F$9) + CHOOSE(CONTROL!$C$27, 0.0021, 0)</f>
        <v>57.481099999999998</v>
      </c>
      <c r="F280" s="14">
        <f>57.479 * CHOOSE(CONTROL!$C$9, $D$9, 100%, $F$9) + CHOOSE(CONTROL!$C$27, 0.0021, 0)</f>
        <v>57.481099999999998</v>
      </c>
      <c r="G280" s="14">
        <f>57.7504 * CHOOSE(CONTROL!$C$9, $D$9, 100%, $F$9) + CHOOSE(CONTROL!$C$27, 0.0021, 0)</f>
        <v>57.752499999999998</v>
      </c>
      <c r="H280" s="14">
        <f>57.6157 * CHOOSE(CONTROL!$C$9, $D$9, 100%, $F$9) + CHOOSE(CONTROL!$C$27, 0.0021, 0)</f>
        <v>57.617799999999995</v>
      </c>
      <c r="I280" s="14">
        <f>57.6157 * CHOOSE(CONTROL!$C$9, $D$9, 100%, $F$9) + CHOOSE(CONTROL!$C$27, 0.0021, 0)</f>
        <v>57.617799999999995</v>
      </c>
      <c r="J280" s="14">
        <f>57.6157 * CHOOSE(CONTROL!$C$9, $D$9, 100%, $F$9) + CHOOSE(CONTROL!$C$27, 0.0021, 0)</f>
        <v>57.617799999999995</v>
      </c>
      <c r="K280" s="14">
        <f>57.6157 * CHOOSE(CONTROL!$C$9, $D$9, 100%, $F$9) + CHOOSE(CONTROL!$C$27, 0.0021, 0)</f>
        <v>57.617799999999995</v>
      </c>
      <c r="L280" s="14"/>
    </row>
    <row r="281" spans="1:12" ht="15" x14ac:dyDescent="0.2">
      <c r="A281" s="33">
        <v>49461</v>
      </c>
      <c r="B281" s="14">
        <f>58.7348 * CHOOSE(CONTROL!$C$9, $D$9, 100%, $F$9) + CHOOSE(CONTROL!$C$27, 0.0021, 0)</f>
        <v>58.736899999999999</v>
      </c>
      <c r="C281" s="14">
        <f>58.3026 * CHOOSE(CONTROL!$C$9, $D$9, 100%, $F$9) + CHOOSE(CONTROL!$C$27, 0.0021, 0)</f>
        <v>58.304699999999997</v>
      </c>
      <c r="D281" s="14">
        <f>58.3026 * CHOOSE(CONTROL!$C$9, $D$9, 100%, $F$9) + CHOOSE(CONTROL!$C$27, 0.0021, 0)</f>
        <v>58.304699999999997</v>
      </c>
      <c r="E281" s="14">
        <f>58.1659 * CHOOSE(CONTROL!$C$9, $D$9, 100%, $F$9) + CHOOSE(CONTROL!$C$27, 0.0021, 0)</f>
        <v>58.167999999999999</v>
      </c>
      <c r="F281" s="14">
        <f>58.1659 * CHOOSE(CONTROL!$C$9, $D$9, 100%, $F$9) + CHOOSE(CONTROL!$C$27, 0.0021, 0)</f>
        <v>58.167999999999999</v>
      </c>
      <c r="G281" s="14">
        <f>58.4373 * CHOOSE(CONTROL!$C$9, $D$9, 100%, $F$9) + CHOOSE(CONTROL!$C$27, 0.0021, 0)</f>
        <v>58.439399999999999</v>
      </c>
      <c r="H281" s="14">
        <f>58.3026 * CHOOSE(CONTROL!$C$9, $D$9, 100%, $F$9) + CHOOSE(CONTROL!$C$27, 0.0021, 0)</f>
        <v>58.304699999999997</v>
      </c>
      <c r="I281" s="14">
        <f>58.3026 * CHOOSE(CONTROL!$C$9, $D$9, 100%, $F$9) + CHOOSE(CONTROL!$C$27, 0.0021, 0)</f>
        <v>58.304699999999997</v>
      </c>
      <c r="J281" s="14">
        <f>58.3026 * CHOOSE(CONTROL!$C$9, $D$9, 100%, $F$9) + CHOOSE(CONTROL!$C$27, 0.0021, 0)</f>
        <v>58.304699999999997</v>
      </c>
      <c r="K281" s="14">
        <f>58.3026 * CHOOSE(CONTROL!$C$9, $D$9, 100%, $F$9) + CHOOSE(CONTROL!$C$27, 0.0021, 0)</f>
        <v>58.304699999999997</v>
      </c>
      <c r="L281" s="14"/>
    </row>
    <row r="282" spans="1:12" ht="15" x14ac:dyDescent="0.2">
      <c r="A282" s="33">
        <v>49491</v>
      </c>
      <c r="B282" s="14">
        <f>59.8679 * CHOOSE(CONTROL!$C$9, $D$9, 100%, $F$9) + CHOOSE(CONTROL!$C$27, 0.0021, 0)</f>
        <v>59.87</v>
      </c>
      <c r="C282" s="14">
        <f>59.4357 * CHOOSE(CONTROL!$C$9, $D$9, 100%, $F$9) + CHOOSE(CONTROL!$C$27, 0.0021, 0)</f>
        <v>59.437799999999996</v>
      </c>
      <c r="D282" s="14">
        <f>59.4357 * CHOOSE(CONTROL!$C$9, $D$9, 100%, $F$9) + CHOOSE(CONTROL!$C$27, 0.0021, 0)</f>
        <v>59.437799999999996</v>
      </c>
      <c r="E282" s="14">
        <f>59.299 * CHOOSE(CONTROL!$C$9, $D$9, 100%, $F$9) + CHOOSE(CONTROL!$C$27, 0.0021, 0)</f>
        <v>59.301099999999998</v>
      </c>
      <c r="F282" s="14">
        <f>59.299 * CHOOSE(CONTROL!$C$9, $D$9, 100%, $F$9) + CHOOSE(CONTROL!$C$27, 0.0021, 0)</f>
        <v>59.301099999999998</v>
      </c>
      <c r="G282" s="14">
        <f>59.5704 * CHOOSE(CONTROL!$C$9, $D$9, 100%, $F$9) + CHOOSE(CONTROL!$C$27, 0.0021, 0)</f>
        <v>59.572499999999998</v>
      </c>
      <c r="H282" s="14">
        <f>59.4357 * CHOOSE(CONTROL!$C$9, $D$9, 100%, $F$9) + CHOOSE(CONTROL!$C$27, 0.0021, 0)</f>
        <v>59.437799999999996</v>
      </c>
      <c r="I282" s="14">
        <f>59.4357 * CHOOSE(CONTROL!$C$9, $D$9, 100%, $F$9) + CHOOSE(CONTROL!$C$27, 0.0021, 0)</f>
        <v>59.437799999999996</v>
      </c>
      <c r="J282" s="14">
        <f>59.4357 * CHOOSE(CONTROL!$C$9, $D$9, 100%, $F$9) + CHOOSE(CONTROL!$C$27, 0.0021, 0)</f>
        <v>59.437799999999996</v>
      </c>
      <c r="K282" s="14">
        <f>59.4357 * CHOOSE(CONTROL!$C$9, $D$9, 100%, $F$9) + CHOOSE(CONTROL!$C$27, 0.0021, 0)</f>
        <v>59.437799999999996</v>
      </c>
      <c r="L282" s="14"/>
    </row>
    <row r="283" spans="1:12" ht="15" x14ac:dyDescent="0.2">
      <c r="A283" s="33">
        <v>49522</v>
      </c>
      <c r="B283" s="14">
        <f>60.2138 * CHOOSE(CONTROL!$C$9, $D$9, 100%, $F$9) + CHOOSE(CONTROL!$C$27, 0.0021, 0)</f>
        <v>60.215899999999998</v>
      </c>
      <c r="C283" s="14">
        <f>59.7815 * CHOOSE(CONTROL!$C$9, $D$9, 100%, $F$9) + CHOOSE(CONTROL!$C$27, 0.0021, 0)</f>
        <v>59.7836</v>
      </c>
      <c r="D283" s="14">
        <f>59.7815 * CHOOSE(CONTROL!$C$9, $D$9, 100%, $F$9) + CHOOSE(CONTROL!$C$27, 0.0021, 0)</f>
        <v>59.7836</v>
      </c>
      <c r="E283" s="14">
        <f>59.6449 * CHOOSE(CONTROL!$C$9, $D$9, 100%, $F$9) + CHOOSE(CONTROL!$C$27, 0.0021, 0)</f>
        <v>59.646999999999998</v>
      </c>
      <c r="F283" s="14">
        <f>59.6449 * CHOOSE(CONTROL!$C$9, $D$9, 100%, $F$9) + CHOOSE(CONTROL!$C$27, 0.0021, 0)</f>
        <v>59.646999999999998</v>
      </c>
      <c r="G283" s="14">
        <f>59.9163 * CHOOSE(CONTROL!$C$9, $D$9, 100%, $F$9) + CHOOSE(CONTROL!$C$27, 0.0021, 0)</f>
        <v>59.918399999999998</v>
      </c>
      <c r="H283" s="14">
        <f>59.7815 * CHOOSE(CONTROL!$C$9, $D$9, 100%, $F$9) + CHOOSE(CONTROL!$C$27, 0.0021, 0)</f>
        <v>59.7836</v>
      </c>
      <c r="I283" s="14">
        <f>59.7815 * CHOOSE(CONTROL!$C$9, $D$9, 100%, $F$9) + CHOOSE(CONTROL!$C$27, 0.0021, 0)</f>
        <v>59.7836</v>
      </c>
      <c r="J283" s="14">
        <f>59.7815 * CHOOSE(CONTROL!$C$9, $D$9, 100%, $F$9) + CHOOSE(CONTROL!$C$27, 0.0021, 0)</f>
        <v>59.7836</v>
      </c>
      <c r="K283" s="14">
        <f>59.7815 * CHOOSE(CONTROL!$C$9, $D$9, 100%, $F$9) + CHOOSE(CONTROL!$C$27, 0.0021, 0)</f>
        <v>59.7836</v>
      </c>
      <c r="L283" s="14"/>
    </row>
    <row r="284" spans="1:12" ht="15" x14ac:dyDescent="0.2">
      <c r="A284" s="33">
        <v>49553</v>
      </c>
      <c r="B284" s="14">
        <f>61.3916 * CHOOSE(CONTROL!$C$9, $D$9, 100%, $F$9) + CHOOSE(CONTROL!$C$27, 0.0021, 0)</f>
        <v>61.393699999999995</v>
      </c>
      <c r="C284" s="14">
        <f>60.9594 * CHOOSE(CONTROL!$C$9, $D$9, 100%, $F$9) + CHOOSE(CONTROL!$C$27, 0.0021, 0)</f>
        <v>60.961500000000001</v>
      </c>
      <c r="D284" s="14">
        <f>60.9594 * CHOOSE(CONTROL!$C$9, $D$9, 100%, $F$9) + CHOOSE(CONTROL!$C$27, 0.0021, 0)</f>
        <v>60.961500000000001</v>
      </c>
      <c r="E284" s="14">
        <f>60.8227 * CHOOSE(CONTROL!$C$9, $D$9, 100%, $F$9) + CHOOSE(CONTROL!$C$27, 0.0021, 0)</f>
        <v>60.824799999999996</v>
      </c>
      <c r="F284" s="14">
        <f>60.8227 * CHOOSE(CONTROL!$C$9, $D$9, 100%, $F$9) + CHOOSE(CONTROL!$C$27, 0.0021, 0)</f>
        <v>60.824799999999996</v>
      </c>
      <c r="G284" s="14">
        <f>61.0941 * CHOOSE(CONTROL!$C$9, $D$9, 100%, $F$9) + CHOOSE(CONTROL!$C$27, 0.0021, 0)</f>
        <v>61.096199999999996</v>
      </c>
      <c r="H284" s="14">
        <f>60.9594 * CHOOSE(CONTROL!$C$9, $D$9, 100%, $F$9) + CHOOSE(CONTROL!$C$27, 0.0021, 0)</f>
        <v>60.961500000000001</v>
      </c>
      <c r="I284" s="14">
        <f>60.9594 * CHOOSE(CONTROL!$C$9, $D$9, 100%, $F$9) + CHOOSE(CONTROL!$C$27, 0.0021, 0)</f>
        <v>60.961500000000001</v>
      </c>
      <c r="J284" s="14">
        <f>60.9594 * CHOOSE(CONTROL!$C$9, $D$9, 100%, $F$9) + CHOOSE(CONTROL!$C$27, 0.0021, 0)</f>
        <v>60.961500000000001</v>
      </c>
      <c r="K284" s="14">
        <f>60.9594 * CHOOSE(CONTROL!$C$9, $D$9, 100%, $F$9) + CHOOSE(CONTROL!$C$27, 0.0021, 0)</f>
        <v>60.961500000000001</v>
      </c>
      <c r="L284" s="14"/>
    </row>
    <row r="285" spans="1:12" ht="15" x14ac:dyDescent="0.2">
      <c r="A285" s="33">
        <v>49583</v>
      </c>
      <c r="B285" s="14">
        <f>62.8825 * CHOOSE(CONTROL!$C$9, $D$9, 100%, $F$9) + CHOOSE(CONTROL!$C$27, 0.0021, 0)</f>
        <v>62.884599999999999</v>
      </c>
      <c r="C285" s="14">
        <f>62.4503 * CHOOSE(CONTROL!$C$9, $D$9, 100%, $F$9) + CHOOSE(CONTROL!$C$27, 0.0021, 0)</f>
        <v>62.452399999999997</v>
      </c>
      <c r="D285" s="14">
        <f>62.4503 * CHOOSE(CONTROL!$C$9, $D$9, 100%, $F$9) + CHOOSE(CONTROL!$C$27, 0.0021, 0)</f>
        <v>62.452399999999997</v>
      </c>
      <c r="E285" s="14">
        <f>62.3136 * CHOOSE(CONTROL!$C$9, $D$9, 100%, $F$9) + CHOOSE(CONTROL!$C$27, 0.0021, 0)</f>
        <v>62.3157</v>
      </c>
      <c r="F285" s="14">
        <f>62.3136 * CHOOSE(CONTROL!$C$9, $D$9, 100%, $F$9) + CHOOSE(CONTROL!$C$27, 0.0021, 0)</f>
        <v>62.3157</v>
      </c>
      <c r="G285" s="14">
        <f>62.585 * CHOOSE(CONTROL!$C$9, $D$9, 100%, $F$9) + CHOOSE(CONTROL!$C$27, 0.0021, 0)</f>
        <v>62.5871</v>
      </c>
      <c r="H285" s="14">
        <f>62.4503 * CHOOSE(CONTROL!$C$9, $D$9, 100%, $F$9) + CHOOSE(CONTROL!$C$27, 0.0021, 0)</f>
        <v>62.452399999999997</v>
      </c>
      <c r="I285" s="14">
        <f>62.4503 * CHOOSE(CONTROL!$C$9, $D$9, 100%, $F$9) + CHOOSE(CONTROL!$C$27, 0.0021, 0)</f>
        <v>62.452399999999997</v>
      </c>
      <c r="J285" s="14">
        <f>62.4503 * CHOOSE(CONTROL!$C$9, $D$9, 100%, $F$9) + CHOOSE(CONTROL!$C$27, 0.0021, 0)</f>
        <v>62.452399999999997</v>
      </c>
      <c r="K285" s="14">
        <f>62.4503 * CHOOSE(CONTROL!$C$9, $D$9, 100%, $F$9) + CHOOSE(CONTROL!$C$27, 0.0021, 0)</f>
        <v>62.452399999999997</v>
      </c>
      <c r="L285" s="14"/>
    </row>
    <row r="286" spans="1:12" ht="15" x14ac:dyDescent="0.2">
      <c r="A286" s="33">
        <v>49614</v>
      </c>
      <c r="B286" s="14">
        <f>63.0225 * CHOOSE(CONTROL!$C$9, $D$9, 100%, $F$9) + CHOOSE(CONTROL!$C$27, 0.0021, 0)</f>
        <v>63.0246</v>
      </c>
      <c r="C286" s="14">
        <f>62.5903 * CHOOSE(CONTROL!$C$9, $D$9, 100%, $F$9) + CHOOSE(CONTROL!$C$27, 0.0021, 0)</f>
        <v>62.592399999999998</v>
      </c>
      <c r="D286" s="14">
        <f>62.5903 * CHOOSE(CONTROL!$C$9, $D$9, 100%, $F$9) + CHOOSE(CONTROL!$C$27, 0.0021, 0)</f>
        <v>62.592399999999998</v>
      </c>
      <c r="E286" s="14">
        <f>62.4536 * CHOOSE(CONTROL!$C$9, $D$9, 100%, $F$9) + CHOOSE(CONTROL!$C$27, 0.0021, 0)</f>
        <v>62.4557</v>
      </c>
      <c r="F286" s="14">
        <f>62.4536 * CHOOSE(CONTROL!$C$9, $D$9, 100%, $F$9) + CHOOSE(CONTROL!$C$27, 0.0021, 0)</f>
        <v>62.4557</v>
      </c>
      <c r="G286" s="14">
        <f>62.725 * CHOOSE(CONTROL!$C$9, $D$9, 100%, $F$9) + CHOOSE(CONTROL!$C$27, 0.0021, 0)</f>
        <v>62.7271</v>
      </c>
      <c r="H286" s="14">
        <f>62.5903 * CHOOSE(CONTROL!$C$9, $D$9, 100%, $F$9) + CHOOSE(CONTROL!$C$27, 0.0021, 0)</f>
        <v>62.592399999999998</v>
      </c>
      <c r="I286" s="14">
        <f>62.5903 * CHOOSE(CONTROL!$C$9, $D$9, 100%, $F$9) + CHOOSE(CONTROL!$C$27, 0.0021, 0)</f>
        <v>62.592399999999998</v>
      </c>
      <c r="J286" s="14">
        <f>62.5903 * CHOOSE(CONTROL!$C$9, $D$9, 100%, $F$9) + CHOOSE(CONTROL!$C$27, 0.0021, 0)</f>
        <v>62.592399999999998</v>
      </c>
      <c r="K286" s="14">
        <f>62.5903 * CHOOSE(CONTROL!$C$9, $D$9, 100%, $F$9) + CHOOSE(CONTROL!$C$27, 0.0021, 0)</f>
        <v>62.592399999999998</v>
      </c>
      <c r="L286" s="14"/>
    </row>
    <row r="287" spans="1:12" ht="15" x14ac:dyDescent="0.2">
      <c r="A287" s="33">
        <v>49644</v>
      </c>
      <c r="B287" s="14">
        <f>61.8317 * CHOOSE(CONTROL!$C$9, $D$9, 100%, $F$9) + CHOOSE(CONTROL!$C$27, 0.0021, 0)</f>
        <v>61.833799999999997</v>
      </c>
      <c r="C287" s="14">
        <f>61.3995 * CHOOSE(CONTROL!$C$9, $D$9, 100%, $F$9) + CHOOSE(CONTROL!$C$27, 0.0021, 0)</f>
        <v>61.401600000000002</v>
      </c>
      <c r="D287" s="14">
        <f>61.3995 * CHOOSE(CONTROL!$C$9, $D$9, 100%, $F$9) + CHOOSE(CONTROL!$C$27, 0.0021, 0)</f>
        <v>61.401600000000002</v>
      </c>
      <c r="E287" s="14">
        <f>61.2628 * CHOOSE(CONTROL!$C$9, $D$9, 100%, $F$9) + CHOOSE(CONTROL!$C$27, 0.0021, 0)</f>
        <v>61.264899999999997</v>
      </c>
      <c r="F287" s="14">
        <f>61.2628 * CHOOSE(CONTROL!$C$9, $D$9, 100%, $F$9) + CHOOSE(CONTROL!$C$27, 0.0021, 0)</f>
        <v>61.264899999999997</v>
      </c>
      <c r="G287" s="14">
        <f>61.5342 * CHOOSE(CONTROL!$C$9, $D$9, 100%, $F$9) + CHOOSE(CONTROL!$C$27, 0.0021, 0)</f>
        <v>61.536299999999997</v>
      </c>
      <c r="H287" s="14">
        <f>61.3995 * CHOOSE(CONTROL!$C$9, $D$9, 100%, $F$9) + CHOOSE(CONTROL!$C$27, 0.0021, 0)</f>
        <v>61.401600000000002</v>
      </c>
      <c r="I287" s="14">
        <f>61.3995 * CHOOSE(CONTROL!$C$9, $D$9, 100%, $F$9) + CHOOSE(CONTROL!$C$27, 0.0021, 0)</f>
        <v>61.401600000000002</v>
      </c>
      <c r="J287" s="14">
        <f>61.3995 * CHOOSE(CONTROL!$C$9, $D$9, 100%, $F$9) + CHOOSE(CONTROL!$C$27, 0.0021, 0)</f>
        <v>61.401600000000002</v>
      </c>
      <c r="K287" s="14">
        <f>61.3995 * CHOOSE(CONTROL!$C$9, $D$9, 100%, $F$9) + CHOOSE(CONTROL!$C$27, 0.0021, 0)</f>
        <v>61.401600000000002</v>
      </c>
      <c r="L287" s="14"/>
    </row>
    <row r="288" spans="1:12" ht="15" x14ac:dyDescent="0.2">
      <c r="A288" s="33">
        <v>49675</v>
      </c>
      <c r="B288" s="14">
        <f>61.0791 * CHOOSE(CONTROL!$C$9, $D$9, 100%, $F$9) + CHOOSE(CONTROL!$C$27, 0.0021, 0)</f>
        <v>61.081199999999995</v>
      </c>
      <c r="C288" s="14">
        <f>60.6469 * CHOOSE(CONTROL!$C$9, $D$9, 100%, $F$9) + CHOOSE(CONTROL!$C$27, 0.0021, 0)</f>
        <v>60.649000000000001</v>
      </c>
      <c r="D288" s="14">
        <f>60.6469 * CHOOSE(CONTROL!$C$9, $D$9, 100%, $F$9) + CHOOSE(CONTROL!$C$27, 0.0021, 0)</f>
        <v>60.649000000000001</v>
      </c>
      <c r="E288" s="14">
        <f>60.5102 * CHOOSE(CONTROL!$C$9, $D$9, 100%, $F$9) + CHOOSE(CONTROL!$C$27, 0.0021, 0)</f>
        <v>60.512299999999996</v>
      </c>
      <c r="F288" s="14">
        <f>60.5102 * CHOOSE(CONTROL!$C$9, $D$9, 100%, $F$9) + CHOOSE(CONTROL!$C$27, 0.0021, 0)</f>
        <v>60.512299999999996</v>
      </c>
      <c r="G288" s="14">
        <f>60.7816 * CHOOSE(CONTROL!$C$9, $D$9, 100%, $F$9) + CHOOSE(CONTROL!$C$27, 0.0021, 0)</f>
        <v>60.783699999999996</v>
      </c>
      <c r="H288" s="14">
        <f>60.6469 * CHOOSE(CONTROL!$C$9, $D$9, 100%, $F$9) + CHOOSE(CONTROL!$C$27, 0.0021, 0)</f>
        <v>60.649000000000001</v>
      </c>
      <c r="I288" s="14">
        <f>60.6469 * CHOOSE(CONTROL!$C$9, $D$9, 100%, $F$9) + CHOOSE(CONTROL!$C$27, 0.0021, 0)</f>
        <v>60.649000000000001</v>
      </c>
      <c r="J288" s="14">
        <f>60.6469 * CHOOSE(CONTROL!$C$9, $D$9, 100%, $F$9) + CHOOSE(CONTROL!$C$27, 0.0021, 0)</f>
        <v>60.649000000000001</v>
      </c>
      <c r="K288" s="14">
        <f>60.6469 * CHOOSE(CONTROL!$C$9, $D$9, 100%, $F$9) + CHOOSE(CONTROL!$C$27, 0.0021, 0)</f>
        <v>60.649000000000001</v>
      </c>
      <c r="L288" s="14"/>
    </row>
    <row r="289" spans="1:12" ht="15" x14ac:dyDescent="0.2">
      <c r="A289" s="33">
        <v>49706</v>
      </c>
      <c r="B289" s="14">
        <f>59.4163 * CHOOSE(CONTROL!$C$9, $D$9, 100%, $F$9) + CHOOSE(CONTROL!$C$27, 0.0021, 0)</f>
        <v>59.418399999999998</v>
      </c>
      <c r="C289" s="14">
        <f>58.9841 * CHOOSE(CONTROL!$C$9, $D$9, 100%, $F$9) + CHOOSE(CONTROL!$C$27, 0.0021, 0)</f>
        <v>58.986199999999997</v>
      </c>
      <c r="D289" s="14">
        <f>58.9841 * CHOOSE(CONTROL!$C$9, $D$9, 100%, $F$9) + CHOOSE(CONTROL!$C$27, 0.0021, 0)</f>
        <v>58.986199999999997</v>
      </c>
      <c r="E289" s="14">
        <f>58.8474 * CHOOSE(CONTROL!$C$9, $D$9, 100%, $F$9) + CHOOSE(CONTROL!$C$27, 0.0021, 0)</f>
        <v>58.849499999999999</v>
      </c>
      <c r="F289" s="14">
        <f>58.8474 * CHOOSE(CONTROL!$C$9, $D$9, 100%, $F$9) + CHOOSE(CONTROL!$C$27, 0.0021, 0)</f>
        <v>58.849499999999999</v>
      </c>
      <c r="G289" s="14">
        <f>59.1188 * CHOOSE(CONTROL!$C$9, $D$9, 100%, $F$9) + CHOOSE(CONTROL!$C$27, 0.0021, 0)</f>
        <v>59.120899999999999</v>
      </c>
      <c r="H289" s="14">
        <f>58.9841 * CHOOSE(CONTROL!$C$9, $D$9, 100%, $F$9) + CHOOSE(CONTROL!$C$27, 0.0021, 0)</f>
        <v>58.986199999999997</v>
      </c>
      <c r="I289" s="14">
        <f>58.9841 * CHOOSE(CONTROL!$C$9, $D$9, 100%, $F$9) + CHOOSE(CONTROL!$C$27, 0.0021, 0)</f>
        <v>58.986199999999997</v>
      </c>
      <c r="J289" s="14">
        <f>58.9841 * CHOOSE(CONTROL!$C$9, $D$9, 100%, $F$9) + CHOOSE(CONTROL!$C$27, 0.0021, 0)</f>
        <v>58.986199999999997</v>
      </c>
      <c r="K289" s="14">
        <f>58.9841 * CHOOSE(CONTROL!$C$9, $D$9, 100%, $F$9) + CHOOSE(CONTROL!$C$27, 0.0021, 0)</f>
        <v>58.986199999999997</v>
      </c>
      <c r="L289" s="14"/>
    </row>
    <row r="290" spans="1:12" ht="15" x14ac:dyDescent="0.2">
      <c r="A290" s="33">
        <v>49735</v>
      </c>
      <c r="B290" s="14">
        <f>58.7299 * CHOOSE(CONTROL!$C$9, $D$9, 100%, $F$9) + CHOOSE(CONTROL!$C$27, 0.0021, 0)</f>
        <v>58.731999999999999</v>
      </c>
      <c r="C290" s="14">
        <f>58.2976 * CHOOSE(CONTROL!$C$9, $D$9, 100%, $F$9) + CHOOSE(CONTROL!$C$27, 0.0021, 0)</f>
        <v>58.299700000000001</v>
      </c>
      <c r="D290" s="14">
        <f>58.2976 * CHOOSE(CONTROL!$C$9, $D$9, 100%, $F$9) + CHOOSE(CONTROL!$C$27, 0.0021, 0)</f>
        <v>58.299700000000001</v>
      </c>
      <c r="E290" s="14">
        <f>58.161 * CHOOSE(CONTROL!$C$9, $D$9, 100%, $F$9) + CHOOSE(CONTROL!$C$27, 0.0021, 0)</f>
        <v>58.1631</v>
      </c>
      <c r="F290" s="14">
        <f>58.161 * CHOOSE(CONTROL!$C$9, $D$9, 100%, $F$9) + CHOOSE(CONTROL!$C$27, 0.0021, 0)</f>
        <v>58.1631</v>
      </c>
      <c r="G290" s="14">
        <f>58.4324 * CHOOSE(CONTROL!$C$9, $D$9, 100%, $F$9) + CHOOSE(CONTROL!$C$27, 0.0021, 0)</f>
        <v>58.4345</v>
      </c>
      <c r="H290" s="14">
        <f>58.2976 * CHOOSE(CONTROL!$C$9, $D$9, 100%, $F$9) + CHOOSE(CONTROL!$C$27, 0.0021, 0)</f>
        <v>58.299700000000001</v>
      </c>
      <c r="I290" s="14">
        <f>58.2976 * CHOOSE(CONTROL!$C$9, $D$9, 100%, $F$9) + CHOOSE(CONTROL!$C$27, 0.0021, 0)</f>
        <v>58.299700000000001</v>
      </c>
      <c r="J290" s="14">
        <f>58.2976 * CHOOSE(CONTROL!$C$9, $D$9, 100%, $F$9) + CHOOSE(CONTROL!$C$27, 0.0021, 0)</f>
        <v>58.299700000000001</v>
      </c>
      <c r="K290" s="14">
        <f>58.2976 * CHOOSE(CONTROL!$C$9, $D$9, 100%, $F$9) + CHOOSE(CONTROL!$C$27, 0.0021, 0)</f>
        <v>58.299700000000001</v>
      </c>
      <c r="L290" s="14"/>
    </row>
    <row r="291" spans="1:12" ht="15" x14ac:dyDescent="0.2">
      <c r="A291" s="33">
        <v>49766</v>
      </c>
      <c r="B291" s="14">
        <f>57.9103 * CHOOSE(CONTROL!$C$9, $D$9, 100%, $F$9) + CHOOSE(CONTROL!$C$27, 0.0021, 0)</f>
        <v>57.912399999999998</v>
      </c>
      <c r="C291" s="14">
        <f>57.4781 * CHOOSE(CONTROL!$C$9, $D$9, 100%, $F$9) + CHOOSE(CONTROL!$C$27, 0.0021, 0)</f>
        <v>57.480199999999996</v>
      </c>
      <c r="D291" s="14">
        <f>57.4781 * CHOOSE(CONTROL!$C$9, $D$9, 100%, $F$9) + CHOOSE(CONTROL!$C$27, 0.0021, 0)</f>
        <v>57.480199999999996</v>
      </c>
      <c r="E291" s="14">
        <f>57.3414 * CHOOSE(CONTROL!$C$9, $D$9, 100%, $F$9) + CHOOSE(CONTROL!$C$27, 0.0021, 0)</f>
        <v>57.343499999999999</v>
      </c>
      <c r="F291" s="14">
        <f>57.3414 * CHOOSE(CONTROL!$C$9, $D$9, 100%, $F$9) + CHOOSE(CONTROL!$C$27, 0.0021, 0)</f>
        <v>57.343499999999999</v>
      </c>
      <c r="G291" s="14">
        <f>57.6128 * CHOOSE(CONTROL!$C$9, $D$9, 100%, $F$9) + CHOOSE(CONTROL!$C$27, 0.0021, 0)</f>
        <v>57.614899999999999</v>
      </c>
      <c r="H291" s="14">
        <f>57.4781 * CHOOSE(CONTROL!$C$9, $D$9, 100%, $F$9) + CHOOSE(CONTROL!$C$27, 0.0021, 0)</f>
        <v>57.480199999999996</v>
      </c>
      <c r="I291" s="14">
        <f>57.4781 * CHOOSE(CONTROL!$C$9, $D$9, 100%, $F$9) + CHOOSE(CONTROL!$C$27, 0.0021, 0)</f>
        <v>57.480199999999996</v>
      </c>
      <c r="J291" s="14">
        <f>57.4781 * CHOOSE(CONTROL!$C$9, $D$9, 100%, $F$9) + CHOOSE(CONTROL!$C$27, 0.0021, 0)</f>
        <v>57.480199999999996</v>
      </c>
      <c r="K291" s="14">
        <f>57.4781 * CHOOSE(CONTROL!$C$9, $D$9, 100%, $F$9) + CHOOSE(CONTROL!$C$27, 0.0021, 0)</f>
        <v>57.480199999999996</v>
      </c>
      <c r="L291" s="14"/>
    </row>
    <row r="292" spans="1:12" ht="15" x14ac:dyDescent="0.2">
      <c r="A292" s="33">
        <v>49796</v>
      </c>
      <c r="B292" s="14">
        <f>59.0783 * CHOOSE(CONTROL!$C$9, $D$9, 100%, $F$9) + CHOOSE(CONTROL!$C$27, 0.0021, 0)</f>
        <v>59.080399999999997</v>
      </c>
      <c r="C292" s="14">
        <f>58.6461 * CHOOSE(CONTROL!$C$9, $D$9, 100%, $F$9) + CHOOSE(CONTROL!$C$27, 0.0021, 0)</f>
        <v>58.648199999999996</v>
      </c>
      <c r="D292" s="14">
        <f>58.6461 * CHOOSE(CONTROL!$C$9, $D$9, 100%, $F$9) + CHOOSE(CONTROL!$C$27, 0.0021, 0)</f>
        <v>58.648199999999996</v>
      </c>
      <c r="E292" s="14">
        <f>58.5094 * CHOOSE(CONTROL!$C$9, $D$9, 100%, $F$9) + CHOOSE(CONTROL!$C$27, 0.0021, 0)</f>
        <v>58.511499999999998</v>
      </c>
      <c r="F292" s="14">
        <f>58.5094 * CHOOSE(CONTROL!$C$9, $D$9, 100%, $F$9) + CHOOSE(CONTROL!$C$27, 0.0021, 0)</f>
        <v>58.511499999999998</v>
      </c>
      <c r="G292" s="14">
        <f>58.7808 * CHOOSE(CONTROL!$C$9, $D$9, 100%, $F$9) + CHOOSE(CONTROL!$C$27, 0.0021, 0)</f>
        <v>58.782899999999998</v>
      </c>
      <c r="H292" s="14">
        <f>58.6461 * CHOOSE(CONTROL!$C$9, $D$9, 100%, $F$9) + CHOOSE(CONTROL!$C$27, 0.0021, 0)</f>
        <v>58.648199999999996</v>
      </c>
      <c r="I292" s="14">
        <f>58.6461 * CHOOSE(CONTROL!$C$9, $D$9, 100%, $F$9) + CHOOSE(CONTROL!$C$27, 0.0021, 0)</f>
        <v>58.648199999999996</v>
      </c>
      <c r="J292" s="14">
        <f>58.6461 * CHOOSE(CONTROL!$C$9, $D$9, 100%, $F$9) + CHOOSE(CONTROL!$C$27, 0.0021, 0)</f>
        <v>58.648199999999996</v>
      </c>
      <c r="K292" s="14">
        <f>58.6461 * CHOOSE(CONTROL!$C$9, $D$9, 100%, $F$9) + CHOOSE(CONTROL!$C$27, 0.0021, 0)</f>
        <v>58.648199999999996</v>
      </c>
      <c r="L292" s="14"/>
    </row>
    <row r="293" spans="1:12" ht="15" x14ac:dyDescent="0.2">
      <c r="A293" s="33">
        <v>49827</v>
      </c>
      <c r="B293" s="14">
        <f>59.7779 * CHOOSE(CONTROL!$C$9, $D$9, 100%, $F$9) + CHOOSE(CONTROL!$C$27, 0.0021, 0)</f>
        <v>59.78</v>
      </c>
      <c r="C293" s="14">
        <f>59.3457 * CHOOSE(CONTROL!$C$9, $D$9, 100%, $F$9) + CHOOSE(CONTROL!$C$27, 0.0021, 0)</f>
        <v>59.347799999999999</v>
      </c>
      <c r="D293" s="14">
        <f>59.3457 * CHOOSE(CONTROL!$C$9, $D$9, 100%, $F$9) + CHOOSE(CONTROL!$C$27, 0.0021, 0)</f>
        <v>59.347799999999999</v>
      </c>
      <c r="E293" s="14">
        <f>59.209 * CHOOSE(CONTROL!$C$9, $D$9, 100%, $F$9) + CHOOSE(CONTROL!$C$27, 0.0021, 0)</f>
        <v>59.211100000000002</v>
      </c>
      <c r="F293" s="14">
        <f>59.209 * CHOOSE(CONTROL!$C$9, $D$9, 100%, $F$9) + CHOOSE(CONTROL!$C$27, 0.0021, 0)</f>
        <v>59.211100000000002</v>
      </c>
      <c r="G293" s="14">
        <f>59.4804 * CHOOSE(CONTROL!$C$9, $D$9, 100%, $F$9) + CHOOSE(CONTROL!$C$27, 0.0021, 0)</f>
        <v>59.482500000000002</v>
      </c>
      <c r="H293" s="14">
        <f>59.3457 * CHOOSE(CONTROL!$C$9, $D$9, 100%, $F$9) + CHOOSE(CONTROL!$C$27, 0.0021, 0)</f>
        <v>59.347799999999999</v>
      </c>
      <c r="I293" s="14">
        <f>59.3457 * CHOOSE(CONTROL!$C$9, $D$9, 100%, $F$9) + CHOOSE(CONTROL!$C$27, 0.0021, 0)</f>
        <v>59.347799999999999</v>
      </c>
      <c r="J293" s="14">
        <f>59.3457 * CHOOSE(CONTROL!$C$9, $D$9, 100%, $F$9) + CHOOSE(CONTROL!$C$27, 0.0021, 0)</f>
        <v>59.347799999999999</v>
      </c>
      <c r="K293" s="14">
        <f>59.3457 * CHOOSE(CONTROL!$C$9, $D$9, 100%, $F$9) + CHOOSE(CONTROL!$C$27, 0.0021, 0)</f>
        <v>59.347799999999999</v>
      </c>
      <c r="L293" s="14"/>
    </row>
    <row r="294" spans="1:12" ht="15" x14ac:dyDescent="0.2">
      <c r="A294" s="33">
        <v>49857</v>
      </c>
      <c r="B294" s="14">
        <f>60.932 * CHOOSE(CONTROL!$C$9, $D$9, 100%, $F$9) + CHOOSE(CONTROL!$C$27, 0.0021, 0)</f>
        <v>60.934100000000001</v>
      </c>
      <c r="C294" s="14">
        <f>60.4997 * CHOOSE(CONTROL!$C$9, $D$9, 100%, $F$9) + CHOOSE(CONTROL!$C$27, 0.0021, 0)</f>
        <v>60.501799999999996</v>
      </c>
      <c r="D294" s="14">
        <f>60.4997 * CHOOSE(CONTROL!$C$9, $D$9, 100%, $F$9) + CHOOSE(CONTROL!$C$27, 0.0021, 0)</f>
        <v>60.501799999999996</v>
      </c>
      <c r="E294" s="14">
        <f>60.3631 * CHOOSE(CONTROL!$C$9, $D$9, 100%, $F$9) + CHOOSE(CONTROL!$C$27, 0.0021, 0)</f>
        <v>60.365200000000002</v>
      </c>
      <c r="F294" s="14">
        <f>60.3631 * CHOOSE(CONTROL!$C$9, $D$9, 100%, $F$9) + CHOOSE(CONTROL!$C$27, 0.0021, 0)</f>
        <v>60.365200000000002</v>
      </c>
      <c r="G294" s="14">
        <f>60.6344 * CHOOSE(CONTROL!$C$9, $D$9, 100%, $F$9) + CHOOSE(CONTROL!$C$27, 0.0021, 0)</f>
        <v>60.636499999999998</v>
      </c>
      <c r="H294" s="14">
        <f>60.4997 * CHOOSE(CONTROL!$C$9, $D$9, 100%, $F$9) + CHOOSE(CONTROL!$C$27, 0.0021, 0)</f>
        <v>60.501799999999996</v>
      </c>
      <c r="I294" s="14">
        <f>60.4997 * CHOOSE(CONTROL!$C$9, $D$9, 100%, $F$9) + CHOOSE(CONTROL!$C$27, 0.0021, 0)</f>
        <v>60.501799999999996</v>
      </c>
      <c r="J294" s="14">
        <f>60.4997 * CHOOSE(CONTROL!$C$9, $D$9, 100%, $F$9) + CHOOSE(CONTROL!$C$27, 0.0021, 0)</f>
        <v>60.501799999999996</v>
      </c>
      <c r="K294" s="14">
        <f>60.4997 * CHOOSE(CONTROL!$C$9, $D$9, 100%, $F$9) + CHOOSE(CONTROL!$C$27, 0.0021, 0)</f>
        <v>60.501799999999996</v>
      </c>
      <c r="L294" s="14"/>
    </row>
    <row r="295" spans="1:12" ht="15" x14ac:dyDescent="0.2">
      <c r="A295" s="33">
        <v>49888</v>
      </c>
      <c r="B295" s="14">
        <f>61.2842 * CHOOSE(CONTROL!$C$9, $D$9, 100%, $F$9) + CHOOSE(CONTROL!$C$27, 0.0021, 0)</f>
        <v>61.286299999999997</v>
      </c>
      <c r="C295" s="14">
        <f>60.852 * CHOOSE(CONTROL!$C$9, $D$9, 100%, $F$9) + CHOOSE(CONTROL!$C$27, 0.0021, 0)</f>
        <v>60.854099999999995</v>
      </c>
      <c r="D295" s="14">
        <f>60.852 * CHOOSE(CONTROL!$C$9, $D$9, 100%, $F$9) + CHOOSE(CONTROL!$C$27, 0.0021, 0)</f>
        <v>60.854099999999995</v>
      </c>
      <c r="E295" s="14">
        <f>60.7153 * CHOOSE(CONTROL!$C$9, $D$9, 100%, $F$9) + CHOOSE(CONTROL!$C$27, 0.0021, 0)</f>
        <v>60.717399999999998</v>
      </c>
      <c r="F295" s="14">
        <f>60.7153 * CHOOSE(CONTROL!$C$9, $D$9, 100%, $F$9) + CHOOSE(CONTROL!$C$27, 0.0021, 0)</f>
        <v>60.717399999999998</v>
      </c>
      <c r="G295" s="14">
        <f>60.9867 * CHOOSE(CONTROL!$C$9, $D$9, 100%, $F$9) + CHOOSE(CONTROL!$C$27, 0.0021, 0)</f>
        <v>60.988799999999998</v>
      </c>
      <c r="H295" s="14">
        <f>60.852 * CHOOSE(CONTROL!$C$9, $D$9, 100%, $F$9) + CHOOSE(CONTROL!$C$27, 0.0021, 0)</f>
        <v>60.854099999999995</v>
      </c>
      <c r="I295" s="14">
        <f>60.852 * CHOOSE(CONTROL!$C$9, $D$9, 100%, $F$9) + CHOOSE(CONTROL!$C$27, 0.0021, 0)</f>
        <v>60.854099999999995</v>
      </c>
      <c r="J295" s="14">
        <f>60.852 * CHOOSE(CONTROL!$C$9, $D$9, 100%, $F$9) + CHOOSE(CONTROL!$C$27, 0.0021, 0)</f>
        <v>60.854099999999995</v>
      </c>
      <c r="K295" s="14">
        <f>60.852 * CHOOSE(CONTROL!$C$9, $D$9, 100%, $F$9) + CHOOSE(CONTROL!$C$27, 0.0021, 0)</f>
        <v>60.854099999999995</v>
      </c>
      <c r="L295" s="14"/>
    </row>
    <row r="296" spans="1:12" ht="15" x14ac:dyDescent="0.2">
      <c r="A296" s="33">
        <v>49919</v>
      </c>
      <c r="B296" s="14">
        <f>62.4838 * CHOOSE(CONTROL!$C$9, $D$9, 100%, $F$9) + CHOOSE(CONTROL!$C$27, 0.0021, 0)</f>
        <v>62.485900000000001</v>
      </c>
      <c r="C296" s="14">
        <f>62.0516 * CHOOSE(CONTROL!$C$9, $D$9, 100%, $F$9) + CHOOSE(CONTROL!$C$27, 0.0021, 0)</f>
        <v>62.053699999999999</v>
      </c>
      <c r="D296" s="14">
        <f>62.0516 * CHOOSE(CONTROL!$C$9, $D$9, 100%, $F$9) + CHOOSE(CONTROL!$C$27, 0.0021, 0)</f>
        <v>62.053699999999999</v>
      </c>
      <c r="E296" s="14">
        <f>61.9149 * CHOOSE(CONTROL!$C$9, $D$9, 100%, $F$9) + CHOOSE(CONTROL!$C$27, 0.0021, 0)</f>
        <v>61.917000000000002</v>
      </c>
      <c r="F296" s="14">
        <f>61.9149 * CHOOSE(CONTROL!$C$9, $D$9, 100%, $F$9) + CHOOSE(CONTROL!$C$27, 0.0021, 0)</f>
        <v>61.917000000000002</v>
      </c>
      <c r="G296" s="14">
        <f>62.1863 * CHOOSE(CONTROL!$C$9, $D$9, 100%, $F$9) + CHOOSE(CONTROL!$C$27, 0.0021, 0)</f>
        <v>62.188400000000001</v>
      </c>
      <c r="H296" s="14">
        <f>62.0516 * CHOOSE(CONTROL!$C$9, $D$9, 100%, $F$9) + CHOOSE(CONTROL!$C$27, 0.0021, 0)</f>
        <v>62.053699999999999</v>
      </c>
      <c r="I296" s="14">
        <f>62.0516 * CHOOSE(CONTROL!$C$9, $D$9, 100%, $F$9) + CHOOSE(CONTROL!$C$27, 0.0021, 0)</f>
        <v>62.053699999999999</v>
      </c>
      <c r="J296" s="14">
        <f>62.0516 * CHOOSE(CONTROL!$C$9, $D$9, 100%, $F$9) + CHOOSE(CONTROL!$C$27, 0.0021, 0)</f>
        <v>62.053699999999999</v>
      </c>
      <c r="K296" s="14">
        <f>62.0516 * CHOOSE(CONTROL!$C$9, $D$9, 100%, $F$9) + CHOOSE(CONTROL!$C$27, 0.0021, 0)</f>
        <v>62.053699999999999</v>
      </c>
      <c r="L296" s="14"/>
    </row>
    <row r="297" spans="1:12" ht="15" x14ac:dyDescent="0.2">
      <c r="A297" s="33">
        <v>49949</v>
      </c>
      <c r="B297" s="14">
        <f>64.0023 * CHOOSE(CONTROL!$C$9, $D$9, 100%, $F$9) + CHOOSE(CONTROL!$C$27, 0.0021, 0)</f>
        <v>64.004400000000004</v>
      </c>
      <c r="C297" s="14">
        <f>63.5701 * CHOOSE(CONTROL!$C$9, $D$9, 100%, $F$9) + CHOOSE(CONTROL!$C$27, 0.0021, 0)</f>
        <v>63.572199999999995</v>
      </c>
      <c r="D297" s="14">
        <f>63.5701 * CHOOSE(CONTROL!$C$9, $D$9, 100%, $F$9) + CHOOSE(CONTROL!$C$27, 0.0021, 0)</f>
        <v>63.572199999999995</v>
      </c>
      <c r="E297" s="14">
        <f>63.4334 * CHOOSE(CONTROL!$C$9, $D$9, 100%, $F$9) + CHOOSE(CONTROL!$C$27, 0.0021, 0)</f>
        <v>63.435499999999998</v>
      </c>
      <c r="F297" s="14">
        <f>63.4334 * CHOOSE(CONTROL!$C$9, $D$9, 100%, $F$9) + CHOOSE(CONTROL!$C$27, 0.0021, 0)</f>
        <v>63.435499999999998</v>
      </c>
      <c r="G297" s="14">
        <f>63.7048 * CHOOSE(CONTROL!$C$9, $D$9, 100%, $F$9) + CHOOSE(CONTROL!$C$27, 0.0021, 0)</f>
        <v>63.706899999999997</v>
      </c>
      <c r="H297" s="14">
        <f>63.5701 * CHOOSE(CONTROL!$C$9, $D$9, 100%, $F$9) + CHOOSE(CONTROL!$C$27, 0.0021, 0)</f>
        <v>63.572199999999995</v>
      </c>
      <c r="I297" s="14">
        <f>63.5701 * CHOOSE(CONTROL!$C$9, $D$9, 100%, $F$9) + CHOOSE(CONTROL!$C$27, 0.0021, 0)</f>
        <v>63.572199999999995</v>
      </c>
      <c r="J297" s="14">
        <f>63.5701 * CHOOSE(CONTROL!$C$9, $D$9, 100%, $F$9) + CHOOSE(CONTROL!$C$27, 0.0021, 0)</f>
        <v>63.572199999999995</v>
      </c>
      <c r="K297" s="14">
        <f>63.5701 * CHOOSE(CONTROL!$C$9, $D$9, 100%, $F$9) + CHOOSE(CONTROL!$C$27, 0.0021, 0)</f>
        <v>63.572199999999995</v>
      </c>
      <c r="L297" s="14"/>
    </row>
    <row r="298" spans="1:12" ht="15" x14ac:dyDescent="0.2">
      <c r="A298" s="33">
        <v>49980</v>
      </c>
      <c r="B298" s="14">
        <f>64.1449 * CHOOSE(CONTROL!$C$9, $D$9, 100%, $F$9) + CHOOSE(CONTROL!$C$27, 0.0021, 0)</f>
        <v>64.147000000000006</v>
      </c>
      <c r="C298" s="14">
        <f>63.7126 * CHOOSE(CONTROL!$C$9, $D$9, 100%, $F$9) + CHOOSE(CONTROL!$C$27, 0.0021, 0)</f>
        <v>63.714700000000001</v>
      </c>
      <c r="D298" s="14">
        <f>63.7126 * CHOOSE(CONTROL!$C$9, $D$9, 100%, $F$9) + CHOOSE(CONTROL!$C$27, 0.0021, 0)</f>
        <v>63.714700000000001</v>
      </c>
      <c r="E298" s="14">
        <f>63.5759 * CHOOSE(CONTROL!$C$9, $D$9, 100%, $F$9) + CHOOSE(CONTROL!$C$27, 0.0021, 0)</f>
        <v>63.577999999999996</v>
      </c>
      <c r="F298" s="14">
        <f>63.5759 * CHOOSE(CONTROL!$C$9, $D$9, 100%, $F$9) + CHOOSE(CONTROL!$C$27, 0.0021, 0)</f>
        <v>63.577999999999996</v>
      </c>
      <c r="G298" s="14">
        <f>63.8473 * CHOOSE(CONTROL!$C$9, $D$9, 100%, $F$9) + CHOOSE(CONTROL!$C$27, 0.0021, 0)</f>
        <v>63.849399999999996</v>
      </c>
      <c r="H298" s="14">
        <f>63.7126 * CHOOSE(CONTROL!$C$9, $D$9, 100%, $F$9) + CHOOSE(CONTROL!$C$27, 0.0021, 0)</f>
        <v>63.714700000000001</v>
      </c>
      <c r="I298" s="14">
        <f>63.7126 * CHOOSE(CONTROL!$C$9, $D$9, 100%, $F$9) + CHOOSE(CONTROL!$C$27, 0.0021, 0)</f>
        <v>63.714700000000001</v>
      </c>
      <c r="J298" s="14">
        <f>63.7126 * CHOOSE(CONTROL!$C$9, $D$9, 100%, $F$9) + CHOOSE(CONTROL!$C$27, 0.0021, 0)</f>
        <v>63.714700000000001</v>
      </c>
      <c r="K298" s="14">
        <f>63.7126 * CHOOSE(CONTROL!$C$9, $D$9, 100%, $F$9) + CHOOSE(CONTROL!$C$27, 0.0021, 0)</f>
        <v>63.714700000000001</v>
      </c>
      <c r="L298" s="14"/>
    </row>
    <row r="299" spans="1:12" ht="15" x14ac:dyDescent="0.2">
      <c r="A299" s="33">
        <v>50010</v>
      </c>
      <c r="B299" s="14">
        <f>62.9321 * CHOOSE(CONTROL!$C$9, $D$9, 100%, $F$9) + CHOOSE(CONTROL!$C$27, 0.0021, 0)</f>
        <v>62.934199999999997</v>
      </c>
      <c r="C299" s="14">
        <f>62.4998 * CHOOSE(CONTROL!$C$9, $D$9, 100%, $F$9) + CHOOSE(CONTROL!$C$27, 0.0021, 0)</f>
        <v>62.501899999999999</v>
      </c>
      <c r="D299" s="14">
        <f>62.4998 * CHOOSE(CONTROL!$C$9, $D$9, 100%, $F$9) + CHOOSE(CONTROL!$C$27, 0.0021, 0)</f>
        <v>62.501899999999999</v>
      </c>
      <c r="E299" s="14">
        <f>62.3632 * CHOOSE(CONTROL!$C$9, $D$9, 100%, $F$9) + CHOOSE(CONTROL!$C$27, 0.0021, 0)</f>
        <v>62.365299999999998</v>
      </c>
      <c r="F299" s="14">
        <f>62.3632 * CHOOSE(CONTROL!$C$9, $D$9, 100%, $F$9) + CHOOSE(CONTROL!$C$27, 0.0021, 0)</f>
        <v>62.365299999999998</v>
      </c>
      <c r="G299" s="14">
        <f>62.6345 * CHOOSE(CONTROL!$C$9, $D$9, 100%, $F$9) + CHOOSE(CONTROL!$C$27, 0.0021, 0)</f>
        <v>62.636600000000001</v>
      </c>
      <c r="H299" s="14">
        <f>62.4998 * CHOOSE(CONTROL!$C$9, $D$9, 100%, $F$9) + CHOOSE(CONTROL!$C$27, 0.0021, 0)</f>
        <v>62.501899999999999</v>
      </c>
      <c r="I299" s="14">
        <f>62.4998 * CHOOSE(CONTROL!$C$9, $D$9, 100%, $F$9) + CHOOSE(CONTROL!$C$27, 0.0021, 0)</f>
        <v>62.501899999999999</v>
      </c>
      <c r="J299" s="14">
        <f>62.4998 * CHOOSE(CONTROL!$C$9, $D$9, 100%, $F$9) + CHOOSE(CONTROL!$C$27, 0.0021, 0)</f>
        <v>62.501899999999999</v>
      </c>
      <c r="K299" s="14">
        <f>62.4998 * CHOOSE(CONTROL!$C$9, $D$9, 100%, $F$9) + CHOOSE(CONTROL!$C$27, 0.0021, 0)</f>
        <v>62.501899999999999</v>
      </c>
      <c r="L299" s="14"/>
    </row>
    <row r="300" spans="1:12" ht="15" x14ac:dyDescent="0.2">
      <c r="A300" s="33">
        <v>50041</v>
      </c>
      <c r="B300" s="14">
        <f>62.1655 * CHOOSE(CONTROL!$C$9, $D$9, 100%, $F$9) + CHOOSE(CONTROL!$C$27, 0.0021, 0)</f>
        <v>62.1676</v>
      </c>
      <c r="C300" s="14">
        <f>61.7333 * CHOOSE(CONTROL!$C$9, $D$9, 100%, $F$9) + CHOOSE(CONTROL!$C$27, 0.0021, 0)</f>
        <v>61.735399999999998</v>
      </c>
      <c r="D300" s="14">
        <f>61.7333 * CHOOSE(CONTROL!$C$9, $D$9, 100%, $F$9) + CHOOSE(CONTROL!$C$27, 0.0021, 0)</f>
        <v>61.735399999999998</v>
      </c>
      <c r="E300" s="14">
        <f>61.5966 * CHOOSE(CONTROL!$C$9, $D$9, 100%, $F$9) + CHOOSE(CONTROL!$C$27, 0.0021, 0)</f>
        <v>61.598700000000001</v>
      </c>
      <c r="F300" s="14">
        <f>61.5966 * CHOOSE(CONTROL!$C$9, $D$9, 100%, $F$9) + CHOOSE(CONTROL!$C$27, 0.0021, 0)</f>
        <v>61.598700000000001</v>
      </c>
      <c r="G300" s="14">
        <f>61.868 * CHOOSE(CONTROL!$C$9, $D$9, 100%, $F$9) + CHOOSE(CONTROL!$C$27, 0.0021, 0)</f>
        <v>61.870100000000001</v>
      </c>
      <c r="H300" s="14">
        <f>61.7333 * CHOOSE(CONTROL!$C$9, $D$9, 100%, $F$9) + CHOOSE(CONTROL!$C$27, 0.0021, 0)</f>
        <v>61.735399999999998</v>
      </c>
      <c r="I300" s="14">
        <f>61.7333 * CHOOSE(CONTROL!$C$9, $D$9, 100%, $F$9) + CHOOSE(CONTROL!$C$27, 0.0021, 0)</f>
        <v>61.735399999999998</v>
      </c>
      <c r="J300" s="14">
        <f>61.7333 * CHOOSE(CONTROL!$C$9, $D$9, 100%, $F$9) + CHOOSE(CONTROL!$C$27, 0.0021, 0)</f>
        <v>61.735399999999998</v>
      </c>
      <c r="K300" s="14">
        <f>61.7333 * CHOOSE(CONTROL!$C$9, $D$9, 100%, $F$9) + CHOOSE(CONTROL!$C$27, 0.0021, 0)</f>
        <v>61.735399999999998</v>
      </c>
      <c r="L300" s="14"/>
    </row>
    <row r="301" spans="1:12" ht="15" x14ac:dyDescent="0.2">
      <c r="A301" s="33">
        <v>50072</v>
      </c>
      <c r="B301" s="14">
        <f>60.472 * CHOOSE(CONTROL!$C$9, $D$9, 100%, $F$9) + CHOOSE(CONTROL!$C$27, 0.0021, 0)</f>
        <v>60.4741</v>
      </c>
      <c r="C301" s="14">
        <f>60.0397 * CHOOSE(CONTROL!$C$9, $D$9, 100%, $F$9) + CHOOSE(CONTROL!$C$27, 0.0021, 0)</f>
        <v>60.041800000000002</v>
      </c>
      <c r="D301" s="14">
        <f>60.0397 * CHOOSE(CONTROL!$C$9, $D$9, 100%, $F$9) + CHOOSE(CONTROL!$C$27, 0.0021, 0)</f>
        <v>60.041800000000002</v>
      </c>
      <c r="E301" s="14">
        <f>59.9031 * CHOOSE(CONTROL!$C$9, $D$9, 100%, $F$9) + CHOOSE(CONTROL!$C$27, 0.0021, 0)</f>
        <v>59.905200000000001</v>
      </c>
      <c r="F301" s="14">
        <f>59.9031 * CHOOSE(CONTROL!$C$9, $D$9, 100%, $F$9) + CHOOSE(CONTROL!$C$27, 0.0021, 0)</f>
        <v>59.905200000000001</v>
      </c>
      <c r="G301" s="14">
        <f>60.1745 * CHOOSE(CONTROL!$C$9, $D$9, 100%, $F$9) + CHOOSE(CONTROL!$C$27, 0.0021, 0)</f>
        <v>60.176600000000001</v>
      </c>
      <c r="H301" s="14">
        <f>60.0397 * CHOOSE(CONTROL!$C$9, $D$9, 100%, $F$9) + CHOOSE(CONTROL!$C$27, 0.0021, 0)</f>
        <v>60.041800000000002</v>
      </c>
      <c r="I301" s="14">
        <f>60.0397 * CHOOSE(CONTROL!$C$9, $D$9, 100%, $F$9) + CHOOSE(CONTROL!$C$27, 0.0021, 0)</f>
        <v>60.041800000000002</v>
      </c>
      <c r="J301" s="14">
        <f>60.0397 * CHOOSE(CONTROL!$C$9, $D$9, 100%, $F$9) + CHOOSE(CONTROL!$C$27, 0.0021, 0)</f>
        <v>60.041800000000002</v>
      </c>
      <c r="K301" s="14">
        <f>60.0397 * CHOOSE(CONTROL!$C$9, $D$9, 100%, $F$9) + CHOOSE(CONTROL!$C$27, 0.0021, 0)</f>
        <v>60.041800000000002</v>
      </c>
      <c r="L301" s="14"/>
    </row>
    <row r="302" spans="1:12" ht="15" x14ac:dyDescent="0.2">
      <c r="A302" s="33">
        <v>50100</v>
      </c>
      <c r="B302" s="14">
        <f>59.7729 * CHOOSE(CONTROL!$C$9, $D$9, 100%, $F$9) + CHOOSE(CONTROL!$C$27, 0.0021, 0)</f>
        <v>59.774999999999999</v>
      </c>
      <c r="C302" s="14">
        <f>59.3407 * CHOOSE(CONTROL!$C$9, $D$9, 100%, $F$9) + CHOOSE(CONTROL!$C$27, 0.0021, 0)</f>
        <v>59.342799999999997</v>
      </c>
      <c r="D302" s="14">
        <f>59.3407 * CHOOSE(CONTROL!$C$9, $D$9, 100%, $F$9) + CHOOSE(CONTROL!$C$27, 0.0021, 0)</f>
        <v>59.342799999999997</v>
      </c>
      <c r="E302" s="14">
        <f>59.204 * CHOOSE(CONTROL!$C$9, $D$9, 100%, $F$9) + CHOOSE(CONTROL!$C$27, 0.0021, 0)</f>
        <v>59.206099999999999</v>
      </c>
      <c r="F302" s="14">
        <f>59.204 * CHOOSE(CONTROL!$C$9, $D$9, 100%, $F$9) + CHOOSE(CONTROL!$C$27, 0.0021, 0)</f>
        <v>59.206099999999999</v>
      </c>
      <c r="G302" s="14">
        <f>59.4754 * CHOOSE(CONTROL!$C$9, $D$9, 100%, $F$9) + CHOOSE(CONTROL!$C$27, 0.0021, 0)</f>
        <v>59.477499999999999</v>
      </c>
      <c r="H302" s="14">
        <f>59.3407 * CHOOSE(CONTROL!$C$9, $D$9, 100%, $F$9) + CHOOSE(CONTROL!$C$27, 0.0021, 0)</f>
        <v>59.342799999999997</v>
      </c>
      <c r="I302" s="14">
        <f>59.3407 * CHOOSE(CONTROL!$C$9, $D$9, 100%, $F$9) + CHOOSE(CONTROL!$C$27, 0.0021, 0)</f>
        <v>59.342799999999997</v>
      </c>
      <c r="J302" s="14">
        <f>59.3407 * CHOOSE(CONTROL!$C$9, $D$9, 100%, $F$9) + CHOOSE(CONTROL!$C$27, 0.0021, 0)</f>
        <v>59.342799999999997</v>
      </c>
      <c r="K302" s="14">
        <f>59.3407 * CHOOSE(CONTROL!$C$9, $D$9, 100%, $F$9) + CHOOSE(CONTROL!$C$27, 0.0021, 0)</f>
        <v>59.342799999999997</v>
      </c>
      <c r="L302" s="14"/>
    </row>
    <row r="303" spans="1:12" ht="15" x14ac:dyDescent="0.2">
      <c r="A303" s="33">
        <v>50131</v>
      </c>
      <c r="B303" s="14">
        <f>58.9382 * CHOOSE(CONTROL!$C$9, $D$9, 100%, $F$9) + CHOOSE(CONTROL!$C$27, 0.0021, 0)</f>
        <v>58.940300000000001</v>
      </c>
      <c r="C303" s="14">
        <f>58.5059 * CHOOSE(CONTROL!$C$9, $D$9, 100%, $F$9) + CHOOSE(CONTROL!$C$27, 0.0021, 0)</f>
        <v>58.507999999999996</v>
      </c>
      <c r="D303" s="14">
        <f>58.5059 * CHOOSE(CONTROL!$C$9, $D$9, 100%, $F$9) + CHOOSE(CONTROL!$C$27, 0.0021, 0)</f>
        <v>58.507999999999996</v>
      </c>
      <c r="E303" s="14">
        <f>58.3693 * CHOOSE(CONTROL!$C$9, $D$9, 100%, $F$9) + CHOOSE(CONTROL!$C$27, 0.0021, 0)</f>
        <v>58.371400000000001</v>
      </c>
      <c r="F303" s="14">
        <f>58.3693 * CHOOSE(CONTROL!$C$9, $D$9, 100%, $F$9) + CHOOSE(CONTROL!$C$27, 0.0021, 0)</f>
        <v>58.371400000000001</v>
      </c>
      <c r="G303" s="14">
        <f>58.6406 * CHOOSE(CONTROL!$C$9, $D$9, 100%, $F$9) + CHOOSE(CONTROL!$C$27, 0.0021, 0)</f>
        <v>58.642699999999998</v>
      </c>
      <c r="H303" s="14">
        <f>58.5059 * CHOOSE(CONTROL!$C$9, $D$9, 100%, $F$9) + CHOOSE(CONTROL!$C$27, 0.0021, 0)</f>
        <v>58.507999999999996</v>
      </c>
      <c r="I303" s="14">
        <f>58.5059 * CHOOSE(CONTROL!$C$9, $D$9, 100%, $F$9) + CHOOSE(CONTROL!$C$27, 0.0021, 0)</f>
        <v>58.507999999999996</v>
      </c>
      <c r="J303" s="14">
        <f>58.5059 * CHOOSE(CONTROL!$C$9, $D$9, 100%, $F$9) + CHOOSE(CONTROL!$C$27, 0.0021, 0)</f>
        <v>58.507999999999996</v>
      </c>
      <c r="K303" s="14">
        <f>58.5059 * CHOOSE(CONTROL!$C$9, $D$9, 100%, $F$9) + CHOOSE(CONTROL!$C$27, 0.0021, 0)</f>
        <v>58.507999999999996</v>
      </c>
      <c r="L303" s="14"/>
    </row>
    <row r="304" spans="1:12" ht="15" x14ac:dyDescent="0.2">
      <c r="A304" s="33">
        <v>50161</v>
      </c>
      <c r="B304" s="14">
        <f>60.1278 * CHOOSE(CONTROL!$C$9, $D$9, 100%, $F$9) + CHOOSE(CONTROL!$C$27, 0.0021, 0)</f>
        <v>60.129899999999999</v>
      </c>
      <c r="C304" s="14">
        <f>59.6955 * CHOOSE(CONTROL!$C$9, $D$9, 100%, $F$9) + CHOOSE(CONTROL!$C$27, 0.0021, 0)</f>
        <v>59.697600000000001</v>
      </c>
      <c r="D304" s="14">
        <f>59.6955 * CHOOSE(CONTROL!$C$9, $D$9, 100%, $F$9) + CHOOSE(CONTROL!$C$27, 0.0021, 0)</f>
        <v>59.697600000000001</v>
      </c>
      <c r="E304" s="14">
        <f>59.5589 * CHOOSE(CONTROL!$C$9, $D$9, 100%, $F$9) + CHOOSE(CONTROL!$C$27, 0.0021, 0)</f>
        <v>59.561</v>
      </c>
      <c r="F304" s="14">
        <f>59.5589 * CHOOSE(CONTROL!$C$9, $D$9, 100%, $F$9) + CHOOSE(CONTROL!$C$27, 0.0021, 0)</f>
        <v>59.561</v>
      </c>
      <c r="G304" s="14">
        <f>59.8302 * CHOOSE(CONTROL!$C$9, $D$9, 100%, $F$9) + CHOOSE(CONTROL!$C$27, 0.0021, 0)</f>
        <v>59.832299999999996</v>
      </c>
      <c r="H304" s="14">
        <f>59.6955 * CHOOSE(CONTROL!$C$9, $D$9, 100%, $F$9) + CHOOSE(CONTROL!$C$27, 0.0021, 0)</f>
        <v>59.697600000000001</v>
      </c>
      <c r="I304" s="14">
        <f>59.6955 * CHOOSE(CONTROL!$C$9, $D$9, 100%, $F$9) + CHOOSE(CONTROL!$C$27, 0.0021, 0)</f>
        <v>59.697600000000001</v>
      </c>
      <c r="J304" s="14">
        <f>59.6955 * CHOOSE(CONTROL!$C$9, $D$9, 100%, $F$9) + CHOOSE(CONTROL!$C$27, 0.0021, 0)</f>
        <v>59.697600000000001</v>
      </c>
      <c r="K304" s="14">
        <f>59.6955 * CHOOSE(CONTROL!$C$9, $D$9, 100%, $F$9) + CHOOSE(CONTROL!$C$27, 0.0021, 0)</f>
        <v>59.697600000000001</v>
      </c>
      <c r="L304" s="14"/>
    </row>
    <row r="305" spans="1:12" ht="15" x14ac:dyDescent="0.2">
      <c r="A305" s="33">
        <v>50192</v>
      </c>
      <c r="B305" s="14">
        <f>60.8403 * CHOOSE(CONTROL!$C$9, $D$9, 100%, $F$9) + CHOOSE(CONTROL!$C$27, 0.0021, 0)</f>
        <v>60.842399999999998</v>
      </c>
      <c r="C305" s="14">
        <f>60.408 * CHOOSE(CONTROL!$C$9, $D$9, 100%, $F$9) + CHOOSE(CONTROL!$C$27, 0.0021, 0)</f>
        <v>60.4101</v>
      </c>
      <c r="D305" s="14">
        <f>60.408 * CHOOSE(CONTROL!$C$9, $D$9, 100%, $F$9) + CHOOSE(CONTROL!$C$27, 0.0021, 0)</f>
        <v>60.4101</v>
      </c>
      <c r="E305" s="14">
        <f>60.2714 * CHOOSE(CONTROL!$C$9, $D$9, 100%, $F$9) + CHOOSE(CONTROL!$C$27, 0.0021, 0)</f>
        <v>60.273499999999999</v>
      </c>
      <c r="F305" s="14">
        <f>60.2714 * CHOOSE(CONTROL!$C$9, $D$9, 100%, $F$9) + CHOOSE(CONTROL!$C$27, 0.0021, 0)</f>
        <v>60.273499999999999</v>
      </c>
      <c r="G305" s="14">
        <f>60.5427 * CHOOSE(CONTROL!$C$9, $D$9, 100%, $F$9) + CHOOSE(CONTROL!$C$27, 0.0021, 0)</f>
        <v>60.544800000000002</v>
      </c>
      <c r="H305" s="14">
        <f>60.408 * CHOOSE(CONTROL!$C$9, $D$9, 100%, $F$9) + CHOOSE(CONTROL!$C$27, 0.0021, 0)</f>
        <v>60.4101</v>
      </c>
      <c r="I305" s="14">
        <f>60.408 * CHOOSE(CONTROL!$C$9, $D$9, 100%, $F$9) + CHOOSE(CONTROL!$C$27, 0.0021, 0)</f>
        <v>60.4101</v>
      </c>
      <c r="J305" s="14">
        <f>60.408 * CHOOSE(CONTROL!$C$9, $D$9, 100%, $F$9) + CHOOSE(CONTROL!$C$27, 0.0021, 0)</f>
        <v>60.4101</v>
      </c>
      <c r="K305" s="14">
        <f>60.408 * CHOOSE(CONTROL!$C$9, $D$9, 100%, $F$9) + CHOOSE(CONTROL!$C$27, 0.0021, 0)</f>
        <v>60.4101</v>
      </c>
      <c r="L305" s="14"/>
    </row>
    <row r="306" spans="1:12" ht="15" x14ac:dyDescent="0.2">
      <c r="A306" s="33">
        <v>50222</v>
      </c>
      <c r="B306" s="14">
        <f>62.0157 * CHOOSE(CONTROL!$C$9, $D$9, 100%, $F$9) + CHOOSE(CONTROL!$C$27, 0.0021, 0)</f>
        <v>62.017800000000001</v>
      </c>
      <c r="C306" s="14">
        <f>61.5834 * CHOOSE(CONTROL!$C$9, $D$9, 100%, $F$9) + CHOOSE(CONTROL!$C$27, 0.0021, 0)</f>
        <v>61.585499999999996</v>
      </c>
      <c r="D306" s="14">
        <f>61.5834 * CHOOSE(CONTROL!$C$9, $D$9, 100%, $F$9) + CHOOSE(CONTROL!$C$27, 0.0021, 0)</f>
        <v>61.585499999999996</v>
      </c>
      <c r="E306" s="14">
        <f>61.4468 * CHOOSE(CONTROL!$C$9, $D$9, 100%, $F$9) + CHOOSE(CONTROL!$C$27, 0.0021, 0)</f>
        <v>61.448900000000002</v>
      </c>
      <c r="F306" s="14">
        <f>61.4468 * CHOOSE(CONTROL!$C$9, $D$9, 100%, $F$9) + CHOOSE(CONTROL!$C$27, 0.0021, 0)</f>
        <v>61.448900000000002</v>
      </c>
      <c r="G306" s="14">
        <f>61.7181 * CHOOSE(CONTROL!$C$9, $D$9, 100%, $F$9) + CHOOSE(CONTROL!$C$27, 0.0021, 0)</f>
        <v>61.720199999999998</v>
      </c>
      <c r="H306" s="14">
        <f>61.5834 * CHOOSE(CONTROL!$C$9, $D$9, 100%, $F$9) + CHOOSE(CONTROL!$C$27, 0.0021, 0)</f>
        <v>61.585499999999996</v>
      </c>
      <c r="I306" s="14">
        <f>61.5834 * CHOOSE(CONTROL!$C$9, $D$9, 100%, $F$9) + CHOOSE(CONTROL!$C$27, 0.0021, 0)</f>
        <v>61.585499999999996</v>
      </c>
      <c r="J306" s="14">
        <f>61.5834 * CHOOSE(CONTROL!$C$9, $D$9, 100%, $F$9) + CHOOSE(CONTROL!$C$27, 0.0021, 0)</f>
        <v>61.585499999999996</v>
      </c>
      <c r="K306" s="14">
        <f>61.5834 * CHOOSE(CONTROL!$C$9, $D$9, 100%, $F$9) + CHOOSE(CONTROL!$C$27, 0.0021, 0)</f>
        <v>61.585499999999996</v>
      </c>
      <c r="L306" s="14"/>
    </row>
    <row r="307" spans="1:12" ht="15" x14ac:dyDescent="0.2">
      <c r="A307" s="33">
        <v>50253</v>
      </c>
      <c r="B307" s="14">
        <f>62.3744 * CHOOSE(CONTROL!$C$9, $D$9, 100%, $F$9) + CHOOSE(CONTROL!$C$27, 0.0021, 0)</f>
        <v>62.3765</v>
      </c>
      <c r="C307" s="14">
        <f>61.9422 * CHOOSE(CONTROL!$C$9, $D$9, 100%, $F$9) + CHOOSE(CONTROL!$C$27, 0.0021, 0)</f>
        <v>61.944299999999998</v>
      </c>
      <c r="D307" s="14">
        <f>61.9422 * CHOOSE(CONTROL!$C$9, $D$9, 100%, $F$9) + CHOOSE(CONTROL!$C$27, 0.0021, 0)</f>
        <v>61.944299999999998</v>
      </c>
      <c r="E307" s="14">
        <f>61.8055 * CHOOSE(CONTROL!$C$9, $D$9, 100%, $F$9) + CHOOSE(CONTROL!$C$27, 0.0021, 0)</f>
        <v>61.807600000000001</v>
      </c>
      <c r="F307" s="14">
        <f>61.8055 * CHOOSE(CONTROL!$C$9, $D$9, 100%, $F$9) + CHOOSE(CONTROL!$C$27, 0.0021, 0)</f>
        <v>61.807600000000001</v>
      </c>
      <c r="G307" s="14">
        <f>62.0769 * CHOOSE(CONTROL!$C$9, $D$9, 100%, $F$9) + CHOOSE(CONTROL!$C$27, 0.0021, 0)</f>
        <v>62.079000000000001</v>
      </c>
      <c r="H307" s="14">
        <f>61.9422 * CHOOSE(CONTROL!$C$9, $D$9, 100%, $F$9) + CHOOSE(CONTROL!$C$27, 0.0021, 0)</f>
        <v>61.944299999999998</v>
      </c>
      <c r="I307" s="14">
        <f>61.9422 * CHOOSE(CONTROL!$C$9, $D$9, 100%, $F$9) + CHOOSE(CONTROL!$C$27, 0.0021, 0)</f>
        <v>61.944299999999998</v>
      </c>
      <c r="J307" s="14">
        <f>61.9422 * CHOOSE(CONTROL!$C$9, $D$9, 100%, $F$9) + CHOOSE(CONTROL!$C$27, 0.0021, 0)</f>
        <v>61.944299999999998</v>
      </c>
      <c r="K307" s="14">
        <f>61.9422 * CHOOSE(CONTROL!$C$9, $D$9, 100%, $F$9) + CHOOSE(CONTROL!$C$27, 0.0021, 0)</f>
        <v>61.944299999999998</v>
      </c>
      <c r="L307" s="14"/>
    </row>
    <row r="308" spans="1:12" ht="15" x14ac:dyDescent="0.2">
      <c r="A308" s="33">
        <v>50284</v>
      </c>
      <c r="B308" s="14">
        <f>63.5962 * CHOOSE(CONTROL!$C$9, $D$9, 100%, $F$9) + CHOOSE(CONTROL!$C$27, 0.0021, 0)</f>
        <v>63.598300000000002</v>
      </c>
      <c r="C308" s="14">
        <f>63.164 * CHOOSE(CONTROL!$C$9, $D$9, 100%, $F$9) + CHOOSE(CONTROL!$C$27, 0.0021, 0)</f>
        <v>63.1661</v>
      </c>
      <c r="D308" s="14">
        <f>63.164 * CHOOSE(CONTROL!$C$9, $D$9, 100%, $F$9) + CHOOSE(CONTROL!$C$27, 0.0021, 0)</f>
        <v>63.1661</v>
      </c>
      <c r="E308" s="14">
        <f>63.0273 * CHOOSE(CONTROL!$C$9, $D$9, 100%, $F$9) + CHOOSE(CONTROL!$C$27, 0.0021, 0)</f>
        <v>63.029399999999995</v>
      </c>
      <c r="F308" s="14">
        <f>63.0273 * CHOOSE(CONTROL!$C$9, $D$9, 100%, $F$9) + CHOOSE(CONTROL!$C$27, 0.0021, 0)</f>
        <v>63.029399999999995</v>
      </c>
      <c r="G308" s="14">
        <f>63.2987 * CHOOSE(CONTROL!$C$9, $D$9, 100%, $F$9) + CHOOSE(CONTROL!$C$27, 0.0021, 0)</f>
        <v>63.300799999999995</v>
      </c>
      <c r="H308" s="14">
        <f>63.164 * CHOOSE(CONTROL!$C$9, $D$9, 100%, $F$9) + CHOOSE(CONTROL!$C$27, 0.0021, 0)</f>
        <v>63.1661</v>
      </c>
      <c r="I308" s="14">
        <f>63.164 * CHOOSE(CONTROL!$C$9, $D$9, 100%, $F$9) + CHOOSE(CONTROL!$C$27, 0.0021, 0)</f>
        <v>63.1661</v>
      </c>
      <c r="J308" s="14">
        <f>63.164 * CHOOSE(CONTROL!$C$9, $D$9, 100%, $F$9) + CHOOSE(CONTROL!$C$27, 0.0021, 0)</f>
        <v>63.1661</v>
      </c>
      <c r="K308" s="14">
        <f>63.164 * CHOOSE(CONTROL!$C$9, $D$9, 100%, $F$9) + CHOOSE(CONTROL!$C$27, 0.0021, 0)</f>
        <v>63.1661</v>
      </c>
      <c r="L308" s="14"/>
    </row>
    <row r="309" spans="1:12" ht="15" x14ac:dyDescent="0.2">
      <c r="A309" s="33">
        <v>50314</v>
      </c>
      <c r="B309" s="14">
        <f>65.1427 * CHOOSE(CONTROL!$C$9, $D$9, 100%, $F$9) + CHOOSE(CONTROL!$C$27, 0.0021, 0)</f>
        <v>65.144800000000004</v>
      </c>
      <c r="C309" s="14">
        <f>64.7105 * CHOOSE(CONTROL!$C$9, $D$9, 100%, $F$9) + CHOOSE(CONTROL!$C$27, 0.0021, 0)</f>
        <v>64.712599999999995</v>
      </c>
      <c r="D309" s="14">
        <f>64.7105 * CHOOSE(CONTROL!$C$9, $D$9, 100%, $F$9) + CHOOSE(CONTROL!$C$27, 0.0021, 0)</f>
        <v>64.712599999999995</v>
      </c>
      <c r="E309" s="14">
        <f>64.5738 * CHOOSE(CONTROL!$C$9, $D$9, 100%, $F$9) + CHOOSE(CONTROL!$C$27, 0.0021, 0)</f>
        <v>64.575900000000004</v>
      </c>
      <c r="F309" s="14">
        <f>64.5738 * CHOOSE(CONTROL!$C$9, $D$9, 100%, $F$9) + CHOOSE(CONTROL!$C$27, 0.0021, 0)</f>
        <v>64.575900000000004</v>
      </c>
      <c r="G309" s="14">
        <f>64.8452 * CHOOSE(CONTROL!$C$9, $D$9, 100%, $F$9) + CHOOSE(CONTROL!$C$27, 0.0021, 0)</f>
        <v>64.847300000000004</v>
      </c>
      <c r="H309" s="14">
        <f>64.7105 * CHOOSE(CONTROL!$C$9, $D$9, 100%, $F$9) + CHOOSE(CONTROL!$C$27, 0.0021, 0)</f>
        <v>64.712599999999995</v>
      </c>
      <c r="I309" s="14">
        <f>64.7105 * CHOOSE(CONTROL!$C$9, $D$9, 100%, $F$9) + CHOOSE(CONTROL!$C$27, 0.0021, 0)</f>
        <v>64.712599999999995</v>
      </c>
      <c r="J309" s="14">
        <f>64.7105 * CHOOSE(CONTROL!$C$9, $D$9, 100%, $F$9) + CHOOSE(CONTROL!$C$27, 0.0021, 0)</f>
        <v>64.712599999999995</v>
      </c>
      <c r="K309" s="14">
        <f>64.7105 * CHOOSE(CONTROL!$C$9, $D$9, 100%, $F$9) + CHOOSE(CONTROL!$C$27, 0.0021, 0)</f>
        <v>64.712599999999995</v>
      </c>
      <c r="L309" s="14"/>
    </row>
    <row r="310" spans="1:12" ht="15" x14ac:dyDescent="0.2">
      <c r="A310" s="33">
        <v>50345</v>
      </c>
      <c r="B310" s="14">
        <f>65.2879 * CHOOSE(CONTROL!$C$9, $D$9, 100%, $F$9) + CHOOSE(CONTROL!$C$27, 0.0021, 0)</f>
        <v>65.289999999999992</v>
      </c>
      <c r="C310" s="14">
        <f>64.8557 * CHOOSE(CONTROL!$C$9, $D$9, 100%, $F$9) + CHOOSE(CONTROL!$C$27, 0.0021, 0)</f>
        <v>64.857799999999997</v>
      </c>
      <c r="D310" s="14">
        <f>64.8557 * CHOOSE(CONTROL!$C$9, $D$9, 100%, $F$9) + CHOOSE(CONTROL!$C$27, 0.0021, 0)</f>
        <v>64.857799999999997</v>
      </c>
      <c r="E310" s="14">
        <f>64.719 * CHOOSE(CONTROL!$C$9, $D$9, 100%, $F$9) + CHOOSE(CONTROL!$C$27, 0.0021, 0)</f>
        <v>64.721099999999993</v>
      </c>
      <c r="F310" s="14">
        <f>64.719 * CHOOSE(CONTROL!$C$9, $D$9, 100%, $F$9) + CHOOSE(CONTROL!$C$27, 0.0021, 0)</f>
        <v>64.721099999999993</v>
      </c>
      <c r="G310" s="14">
        <f>64.9904 * CHOOSE(CONTROL!$C$9, $D$9, 100%, $F$9) + CHOOSE(CONTROL!$C$27, 0.0021, 0)</f>
        <v>64.992499999999993</v>
      </c>
      <c r="H310" s="14">
        <f>64.8557 * CHOOSE(CONTROL!$C$9, $D$9, 100%, $F$9) + CHOOSE(CONTROL!$C$27, 0.0021, 0)</f>
        <v>64.857799999999997</v>
      </c>
      <c r="I310" s="14">
        <f>64.8557 * CHOOSE(CONTROL!$C$9, $D$9, 100%, $F$9) + CHOOSE(CONTROL!$C$27, 0.0021, 0)</f>
        <v>64.857799999999997</v>
      </c>
      <c r="J310" s="14">
        <f>64.8557 * CHOOSE(CONTROL!$C$9, $D$9, 100%, $F$9) + CHOOSE(CONTROL!$C$27, 0.0021, 0)</f>
        <v>64.857799999999997</v>
      </c>
      <c r="K310" s="14">
        <f>64.8557 * CHOOSE(CONTROL!$C$9, $D$9, 100%, $F$9) + CHOOSE(CONTROL!$C$27, 0.0021, 0)</f>
        <v>64.857799999999997</v>
      </c>
      <c r="L310" s="14"/>
    </row>
    <row r="311" spans="1:12" ht="15" x14ac:dyDescent="0.2">
      <c r="A311" s="33">
        <v>50375</v>
      </c>
      <c r="B311" s="14">
        <f>64.0527 * CHOOSE(CONTROL!$C$9, $D$9, 100%, $F$9) + CHOOSE(CONTROL!$C$27, 0.0021, 0)</f>
        <v>64.0548</v>
      </c>
      <c r="C311" s="14">
        <f>63.6205 * CHOOSE(CONTROL!$C$9, $D$9, 100%, $F$9) + CHOOSE(CONTROL!$C$27, 0.0021, 0)</f>
        <v>63.622599999999998</v>
      </c>
      <c r="D311" s="14">
        <f>63.6205 * CHOOSE(CONTROL!$C$9, $D$9, 100%, $F$9) + CHOOSE(CONTROL!$C$27, 0.0021, 0)</f>
        <v>63.622599999999998</v>
      </c>
      <c r="E311" s="14">
        <f>63.4838 * CHOOSE(CONTROL!$C$9, $D$9, 100%, $F$9) + CHOOSE(CONTROL!$C$27, 0.0021, 0)</f>
        <v>63.485900000000001</v>
      </c>
      <c r="F311" s="14">
        <f>63.4838 * CHOOSE(CONTROL!$C$9, $D$9, 100%, $F$9) + CHOOSE(CONTROL!$C$27, 0.0021, 0)</f>
        <v>63.485900000000001</v>
      </c>
      <c r="G311" s="14">
        <f>63.7552 * CHOOSE(CONTROL!$C$9, $D$9, 100%, $F$9) + CHOOSE(CONTROL!$C$27, 0.0021, 0)</f>
        <v>63.757300000000001</v>
      </c>
      <c r="H311" s="14">
        <f>63.6205 * CHOOSE(CONTROL!$C$9, $D$9, 100%, $F$9) + CHOOSE(CONTROL!$C$27, 0.0021, 0)</f>
        <v>63.622599999999998</v>
      </c>
      <c r="I311" s="14">
        <f>63.6205 * CHOOSE(CONTROL!$C$9, $D$9, 100%, $F$9) + CHOOSE(CONTROL!$C$27, 0.0021, 0)</f>
        <v>63.622599999999998</v>
      </c>
      <c r="J311" s="14">
        <f>63.6205 * CHOOSE(CONTROL!$C$9, $D$9, 100%, $F$9) + CHOOSE(CONTROL!$C$27, 0.0021, 0)</f>
        <v>63.622599999999998</v>
      </c>
      <c r="K311" s="14">
        <f>63.6205 * CHOOSE(CONTROL!$C$9, $D$9, 100%, $F$9) + CHOOSE(CONTROL!$C$27, 0.0021, 0)</f>
        <v>63.622599999999998</v>
      </c>
      <c r="L311" s="14"/>
    </row>
    <row r="312" spans="1:12" ht="15.75" x14ac:dyDescent="0.25">
      <c r="A312" s="32">
        <v>50436</v>
      </c>
      <c r="B312" s="14">
        <f>63.272 * CHOOSE(CONTROL!$C$9, $D$9, 100%, $F$9) + CHOOSE(CONTROL!$C$27, 0.0021, 0)</f>
        <v>63.274099999999997</v>
      </c>
      <c r="C312" s="14">
        <f>62.8398 * CHOOSE(CONTROL!$C$9, $D$9, 100%, $F$9) + CHOOSE(CONTROL!$C$27, 0.0021, 0)</f>
        <v>62.841899999999995</v>
      </c>
      <c r="D312" s="14">
        <f>62.8398 * CHOOSE(CONTROL!$C$9, $D$9, 100%, $F$9) + CHOOSE(CONTROL!$C$27, 0.0021, 0)</f>
        <v>62.841899999999995</v>
      </c>
      <c r="E312" s="14">
        <f>62.7031 * CHOOSE(CONTROL!$C$9, $D$9, 100%, $F$9) + CHOOSE(CONTROL!$C$27, 0.0021, 0)</f>
        <v>62.705199999999998</v>
      </c>
      <c r="F312" s="14">
        <f>62.7031 * CHOOSE(CONTROL!$C$9, $D$9, 100%, $F$9) + CHOOSE(CONTROL!$C$27, 0.0021, 0)</f>
        <v>62.705199999999998</v>
      </c>
      <c r="G312" s="14">
        <f>62.9745 * CHOOSE(CONTROL!$C$9, $D$9, 100%, $F$9) + CHOOSE(CONTROL!$C$27, 0.0021, 0)</f>
        <v>62.976599999999998</v>
      </c>
      <c r="H312" s="14">
        <f>62.8398 * CHOOSE(CONTROL!$C$9, $D$9, 100%, $F$9) + CHOOSE(CONTROL!$C$27, 0.0021, 0)</f>
        <v>62.841899999999995</v>
      </c>
      <c r="I312" s="14">
        <f>62.8398 * CHOOSE(CONTROL!$C$9, $D$9, 100%, $F$9) + CHOOSE(CONTROL!$C$27, 0.0021, 0)</f>
        <v>62.841899999999995</v>
      </c>
      <c r="J312" s="14">
        <f>62.8398 * CHOOSE(CONTROL!$C$9, $D$9, 100%, $F$9) + CHOOSE(CONTROL!$C$27, 0.0021, 0)</f>
        <v>62.841899999999995</v>
      </c>
      <c r="K312" s="14">
        <f>62.8398 * CHOOSE(CONTROL!$C$9, $D$9, 100%, $F$9) + CHOOSE(CONTROL!$C$27, 0.0021, 0)</f>
        <v>62.841899999999995</v>
      </c>
      <c r="L312" s="14"/>
    </row>
    <row r="313" spans="1:12" ht="15.75" x14ac:dyDescent="0.25">
      <c r="A313" s="32">
        <v>50464</v>
      </c>
      <c r="B313" s="14">
        <f>61.5472 * CHOOSE(CONTROL!$C$9, $D$9, 100%, $F$9) + CHOOSE(CONTROL!$C$27, 0.0021, 0)</f>
        <v>61.549299999999995</v>
      </c>
      <c r="C313" s="14">
        <f>61.1149 * CHOOSE(CONTROL!$C$9, $D$9, 100%, $F$9) + CHOOSE(CONTROL!$C$27, 0.0021, 0)</f>
        <v>61.116999999999997</v>
      </c>
      <c r="D313" s="14">
        <f>61.1149 * CHOOSE(CONTROL!$C$9, $D$9, 100%, $F$9) + CHOOSE(CONTROL!$C$27, 0.0021, 0)</f>
        <v>61.116999999999997</v>
      </c>
      <c r="E313" s="14">
        <f>60.9783 * CHOOSE(CONTROL!$C$9, $D$9, 100%, $F$9) + CHOOSE(CONTROL!$C$27, 0.0021, 0)</f>
        <v>60.980399999999996</v>
      </c>
      <c r="F313" s="14">
        <f>60.9783 * CHOOSE(CONTROL!$C$9, $D$9, 100%, $F$9) + CHOOSE(CONTROL!$C$27, 0.0021, 0)</f>
        <v>60.980399999999996</v>
      </c>
      <c r="G313" s="14">
        <f>61.2497 * CHOOSE(CONTROL!$C$9, $D$9, 100%, $F$9) + CHOOSE(CONTROL!$C$27, 0.0021, 0)</f>
        <v>61.251799999999996</v>
      </c>
      <c r="H313" s="14">
        <f>61.1149 * CHOOSE(CONTROL!$C$9, $D$9, 100%, $F$9) + CHOOSE(CONTROL!$C$27, 0.0021, 0)</f>
        <v>61.116999999999997</v>
      </c>
      <c r="I313" s="14">
        <f>61.1149 * CHOOSE(CONTROL!$C$9, $D$9, 100%, $F$9) + CHOOSE(CONTROL!$C$27, 0.0021, 0)</f>
        <v>61.116999999999997</v>
      </c>
      <c r="J313" s="14">
        <f>61.1149 * CHOOSE(CONTROL!$C$9, $D$9, 100%, $F$9) + CHOOSE(CONTROL!$C$27, 0.0021, 0)</f>
        <v>61.116999999999997</v>
      </c>
      <c r="K313" s="14">
        <f>61.1149 * CHOOSE(CONTROL!$C$9, $D$9, 100%, $F$9) + CHOOSE(CONTROL!$C$27, 0.0021, 0)</f>
        <v>61.116999999999997</v>
      </c>
      <c r="L313" s="14"/>
    </row>
    <row r="314" spans="1:12" ht="15.75" x14ac:dyDescent="0.25">
      <c r="A314" s="32">
        <v>50495</v>
      </c>
      <c r="B314" s="14">
        <f>60.8352 * CHOOSE(CONTROL!$C$9, $D$9, 100%, $F$9) + CHOOSE(CONTROL!$C$27, 0.0021, 0)</f>
        <v>60.837299999999999</v>
      </c>
      <c r="C314" s="14">
        <f>60.4029 * CHOOSE(CONTROL!$C$9, $D$9, 100%, $F$9) + CHOOSE(CONTROL!$C$27, 0.0021, 0)</f>
        <v>60.405000000000001</v>
      </c>
      <c r="D314" s="14">
        <f>60.4029 * CHOOSE(CONTROL!$C$9, $D$9, 100%, $F$9) + CHOOSE(CONTROL!$C$27, 0.0021, 0)</f>
        <v>60.405000000000001</v>
      </c>
      <c r="E314" s="14">
        <f>60.2663 * CHOOSE(CONTROL!$C$9, $D$9, 100%, $F$9) + CHOOSE(CONTROL!$C$27, 0.0021, 0)</f>
        <v>60.2684</v>
      </c>
      <c r="F314" s="14">
        <f>60.2663 * CHOOSE(CONTROL!$C$9, $D$9, 100%, $F$9) + CHOOSE(CONTROL!$C$27, 0.0021, 0)</f>
        <v>60.2684</v>
      </c>
      <c r="G314" s="14">
        <f>60.5377 * CHOOSE(CONTROL!$C$9, $D$9, 100%, $F$9) + CHOOSE(CONTROL!$C$27, 0.0021, 0)</f>
        <v>60.5398</v>
      </c>
      <c r="H314" s="14">
        <f>60.4029 * CHOOSE(CONTROL!$C$9, $D$9, 100%, $F$9) + CHOOSE(CONTROL!$C$27, 0.0021, 0)</f>
        <v>60.405000000000001</v>
      </c>
      <c r="I314" s="14">
        <f>60.4029 * CHOOSE(CONTROL!$C$9, $D$9, 100%, $F$9) + CHOOSE(CONTROL!$C$27, 0.0021, 0)</f>
        <v>60.405000000000001</v>
      </c>
      <c r="J314" s="14">
        <f>60.4029 * CHOOSE(CONTROL!$C$9, $D$9, 100%, $F$9) + CHOOSE(CONTROL!$C$27, 0.0021, 0)</f>
        <v>60.405000000000001</v>
      </c>
      <c r="K314" s="14">
        <f>60.4029 * CHOOSE(CONTROL!$C$9, $D$9, 100%, $F$9) + CHOOSE(CONTROL!$C$27, 0.0021, 0)</f>
        <v>60.405000000000001</v>
      </c>
      <c r="L314" s="14"/>
    </row>
    <row r="315" spans="1:12" ht="15.75" x14ac:dyDescent="0.25">
      <c r="A315" s="32">
        <v>50525</v>
      </c>
      <c r="B315" s="14">
        <f>59.985 * CHOOSE(CONTROL!$C$9, $D$9, 100%, $F$9) + CHOOSE(CONTROL!$C$27, 0.0021, 0)</f>
        <v>59.987099999999998</v>
      </c>
      <c r="C315" s="14">
        <f>59.5528 * CHOOSE(CONTROL!$C$9, $D$9, 100%, $F$9) + CHOOSE(CONTROL!$C$27, 0.0021, 0)</f>
        <v>59.554899999999996</v>
      </c>
      <c r="D315" s="14">
        <f>59.5528 * CHOOSE(CONTROL!$C$9, $D$9, 100%, $F$9) + CHOOSE(CONTROL!$C$27, 0.0021, 0)</f>
        <v>59.554899999999996</v>
      </c>
      <c r="E315" s="14">
        <f>59.4161 * CHOOSE(CONTROL!$C$9, $D$9, 100%, $F$9) + CHOOSE(CONTROL!$C$27, 0.0021, 0)</f>
        <v>59.418199999999999</v>
      </c>
      <c r="F315" s="14">
        <f>59.4161 * CHOOSE(CONTROL!$C$9, $D$9, 100%, $F$9) + CHOOSE(CONTROL!$C$27, 0.0021, 0)</f>
        <v>59.418199999999999</v>
      </c>
      <c r="G315" s="14">
        <f>59.6875 * CHOOSE(CONTROL!$C$9, $D$9, 100%, $F$9) + CHOOSE(CONTROL!$C$27, 0.0021, 0)</f>
        <v>59.689599999999999</v>
      </c>
      <c r="H315" s="14">
        <f>59.5528 * CHOOSE(CONTROL!$C$9, $D$9, 100%, $F$9) + CHOOSE(CONTROL!$C$27, 0.0021, 0)</f>
        <v>59.554899999999996</v>
      </c>
      <c r="I315" s="14">
        <f>59.5528 * CHOOSE(CONTROL!$C$9, $D$9, 100%, $F$9) + CHOOSE(CONTROL!$C$27, 0.0021, 0)</f>
        <v>59.554899999999996</v>
      </c>
      <c r="J315" s="14">
        <f>59.5528 * CHOOSE(CONTROL!$C$9, $D$9, 100%, $F$9) + CHOOSE(CONTROL!$C$27, 0.0021, 0)</f>
        <v>59.554899999999996</v>
      </c>
      <c r="K315" s="14">
        <f>59.5528 * CHOOSE(CONTROL!$C$9, $D$9, 100%, $F$9) + CHOOSE(CONTROL!$C$27, 0.0021, 0)</f>
        <v>59.554899999999996</v>
      </c>
      <c r="L315" s="14"/>
    </row>
    <row r="316" spans="1:12" ht="15.75" x14ac:dyDescent="0.25">
      <c r="A316" s="32">
        <v>50556</v>
      </c>
      <c r="B316" s="14">
        <f>61.1966 * CHOOSE(CONTROL!$C$9, $D$9, 100%, $F$9) + CHOOSE(CONTROL!$C$27, 0.0021, 0)</f>
        <v>61.198699999999995</v>
      </c>
      <c r="C316" s="14">
        <f>60.7644 * CHOOSE(CONTROL!$C$9, $D$9, 100%, $F$9) + CHOOSE(CONTROL!$C$27, 0.0021, 0)</f>
        <v>60.766500000000001</v>
      </c>
      <c r="D316" s="14">
        <f>60.7644 * CHOOSE(CONTROL!$C$9, $D$9, 100%, $F$9) + CHOOSE(CONTROL!$C$27, 0.0021, 0)</f>
        <v>60.766500000000001</v>
      </c>
      <c r="E316" s="14">
        <f>60.6277 * CHOOSE(CONTROL!$C$9, $D$9, 100%, $F$9) + CHOOSE(CONTROL!$C$27, 0.0021, 0)</f>
        <v>60.629799999999996</v>
      </c>
      <c r="F316" s="14">
        <f>60.6277 * CHOOSE(CONTROL!$C$9, $D$9, 100%, $F$9) + CHOOSE(CONTROL!$C$27, 0.0021, 0)</f>
        <v>60.629799999999996</v>
      </c>
      <c r="G316" s="14">
        <f>60.8991 * CHOOSE(CONTROL!$C$9, $D$9, 100%, $F$9) + CHOOSE(CONTROL!$C$27, 0.0021, 0)</f>
        <v>60.901199999999996</v>
      </c>
      <c r="H316" s="14">
        <f>60.7644 * CHOOSE(CONTROL!$C$9, $D$9, 100%, $F$9) + CHOOSE(CONTROL!$C$27, 0.0021, 0)</f>
        <v>60.766500000000001</v>
      </c>
      <c r="I316" s="14">
        <f>60.7644 * CHOOSE(CONTROL!$C$9, $D$9, 100%, $F$9) + CHOOSE(CONTROL!$C$27, 0.0021, 0)</f>
        <v>60.766500000000001</v>
      </c>
      <c r="J316" s="14">
        <f>60.7644 * CHOOSE(CONTROL!$C$9, $D$9, 100%, $F$9) + CHOOSE(CONTROL!$C$27, 0.0021, 0)</f>
        <v>60.766500000000001</v>
      </c>
      <c r="K316" s="14">
        <f>60.7644 * CHOOSE(CONTROL!$C$9, $D$9, 100%, $F$9) + CHOOSE(CONTROL!$C$27, 0.0021, 0)</f>
        <v>60.766500000000001</v>
      </c>
      <c r="L316" s="14"/>
    </row>
    <row r="317" spans="1:12" ht="15.75" x14ac:dyDescent="0.25">
      <c r="A317" s="32">
        <v>50586</v>
      </c>
      <c r="B317" s="14">
        <f>61.9223 * CHOOSE(CONTROL!$C$9, $D$9, 100%, $F$9) + CHOOSE(CONTROL!$C$27, 0.0021, 0)</f>
        <v>61.924399999999999</v>
      </c>
      <c r="C317" s="14">
        <f>61.49 * CHOOSE(CONTROL!$C$9, $D$9, 100%, $F$9) + CHOOSE(CONTROL!$C$27, 0.0021, 0)</f>
        <v>61.492100000000001</v>
      </c>
      <c r="D317" s="14">
        <f>61.49 * CHOOSE(CONTROL!$C$9, $D$9, 100%, $F$9) + CHOOSE(CONTROL!$C$27, 0.0021, 0)</f>
        <v>61.492100000000001</v>
      </c>
      <c r="E317" s="14">
        <f>61.3534 * CHOOSE(CONTROL!$C$9, $D$9, 100%, $F$9) + CHOOSE(CONTROL!$C$27, 0.0021, 0)</f>
        <v>61.355499999999999</v>
      </c>
      <c r="F317" s="14">
        <f>61.3534 * CHOOSE(CONTROL!$C$9, $D$9, 100%, $F$9) + CHOOSE(CONTROL!$C$27, 0.0021, 0)</f>
        <v>61.355499999999999</v>
      </c>
      <c r="G317" s="14">
        <f>61.6248 * CHOOSE(CONTROL!$C$9, $D$9, 100%, $F$9) + CHOOSE(CONTROL!$C$27, 0.0021, 0)</f>
        <v>61.626899999999999</v>
      </c>
      <c r="H317" s="14">
        <f>61.49 * CHOOSE(CONTROL!$C$9, $D$9, 100%, $F$9) + CHOOSE(CONTROL!$C$27, 0.0021, 0)</f>
        <v>61.492100000000001</v>
      </c>
      <c r="I317" s="14">
        <f>61.49 * CHOOSE(CONTROL!$C$9, $D$9, 100%, $F$9) + CHOOSE(CONTROL!$C$27, 0.0021, 0)</f>
        <v>61.492100000000001</v>
      </c>
      <c r="J317" s="14">
        <f>61.49 * CHOOSE(CONTROL!$C$9, $D$9, 100%, $F$9) + CHOOSE(CONTROL!$C$27, 0.0021, 0)</f>
        <v>61.492100000000001</v>
      </c>
      <c r="K317" s="14">
        <f>61.49 * CHOOSE(CONTROL!$C$9, $D$9, 100%, $F$9) + CHOOSE(CONTROL!$C$27, 0.0021, 0)</f>
        <v>61.492100000000001</v>
      </c>
      <c r="L317" s="14"/>
    </row>
    <row r="318" spans="1:12" ht="15.75" x14ac:dyDescent="0.25">
      <c r="A318" s="32">
        <v>50617</v>
      </c>
      <c r="B318" s="14">
        <f>63.1194 * CHOOSE(CONTROL!$C$9, $D$9, 100%, $F$9) + CHOOSE(CONTROL!$C$27, 0.0021, 0)</f>
        <v>63.121499999999997</v>
      </c>
      <c r="C318" s="14">
        <f>62.6872 * CHOOSE(CONTROL!$C$9, $D$9, 100%, $F$9) + CHOOSE(CONTROL!$C$27, 0.0021, 0)</f>
        <v>62.689299999999996</v>
      </c>
      <c r="D318" s="14">
        <f>62.6872 * CHOOSE(CONTROL!$C$9, $D$9, 100%, $F$9) + CHOOSE(CONTROL!$C$27, 0.0021, 0)</f>
        <v>62.689299999999996</v>
      </c>
      <c r="E318" s="14">
        <f>62.5505 * CHOOSE(CONTROL!$C$9, $D$9, 100%, $F$9) + CHOOSE(CONTROL!$C$27, 0.0021, 0)</f>
        <v>62.552599999999998</v>
      </c>
      <c r="F318" s="14">
        <f>62.5505 * CHOOSE(CONTROL!$C$9, $D$9, 100%, $F$9) + CHOOSE(CONTROL!$C$27, 0.0021, 0)</f>
        <v>62.552599999999998</v>
      </c>
      <c r="G318" s="14">
        <f>62.8219 * CHOOSE(CONTROL!$C$9, $D$9, 100%, $F$9) + CHOOSE(CONTROL!$C$27, 0.0021, 0)</f>
        <v>62.823999999999998</v>
      </c>
      <c r="H318" s="14">
        <f>62.6872 * CHOOSE(CONTROL!$C$9, $D$9, 100%, $F$9) + CHOOSE(CONTROL!$C$27, 0.0021, 0)</f>
        <v>62.689299999999996</v>
      </c>
      <c r="I318" s="14">
        <f>62.6872 * CHOOSE(CONTROL!$C$9, $D$9, 100%, $F$9) + CHOOSE(CONTROL!$C$27, 0.0021, 0)</f>
        <v>62.689299999999996</v>
      </c>
      <c r="J318" s="14">
        <f>62.6872 * CHOOSE(CONTROL!$C$9, $D$9, 100%, $F$9) + CHOOSE(CONTROL!$C$27, 0.0021, 0)</f>
        <v>62.689299999999996</v>
      </c>
      <c r="K318" s="14">
        <f>62.6872 * CHOOSE(CONTROL!$C$9, $D$9, 100%, $F$9) + CHOOSE(CONTROL!$C$27, 0.0021, 0)</f>
        <v>62.689299999999996</v>
      </c>
      <c r="L318" s="14"/>
    </row>
    <row r="319" spans="1:12" ht="15.75" x14ac:dyDescent="0.25">
      <c r="A319" s="32">
        <v>50648</v>
      </c>
      <c r="B319" s="14">
        <f>63.4848 * CHOOSE(CONTROL!$C$9, $D$9, 100%, $F$9) + CHOOSE(CONTROL!$C$27, 0.0021, 0)</f>
        <v>63.486899999999999</v>
      </c>
      <c r="C319" s="14">
        <f>63.0525 * CHOOSE(CONTROL!$C$9, $D$9, 100%, $F$9) + CHOOSE(CONTROL!$C$27, 0.0021, 0)</f>
        <v>63.054600000000001</v>
      </c>
      <c r="D319" s="14">
        <f>63.0525 * CHOOSE(CONTROL!$C$9, $D$9, 100%, $F$9) + CHOOSE(CONTROL!$C$27, 0.0021, 0)</f>
        <v>63.054600000000001</v>
      </c>
      <c r="E319" s="14">
        <f>62.9159 * CHOOSE(CONTROL!$C$9, $D$9, 100%, $F$9) + CHOOSE(CONTROL!$C$27, 0.0021, 0)</f>
        <v>62.917999999999999</v>
      </c>
      <c r="F319" s="14">
        <f>62.9159 * CHOOSE(CONTROL!$C$9, $D$9, 100%, $F$9) + CHOOSE(CONTROL!$C$27, 0.0021, 0)</f>
        <v>62.917999999999999</v>
      </c>
      <c r="G319" s="14">
        <f>63.1873 * CHOOSE(CONTROL!$C$9, $D$9, 100%, $F$9) + CHOOSE(CONTROL!$C$27, 0.0021, 0)</f>
        <v>63.189399999999999</v>
      </c>
      <c r="H319" s="14">
        <f>63.0525 * CHOOSE(CONTROL!$C$9, $D$9, 100%, $F$9) + CHOOSE(CONTROL!$C$27, 0.0021, 0)</f>
        <v>63.054600000000001</v>
      </c>
      <c r="I319" s="14">
        <f>63.0525 * CHOOSE(CONTROL!$C$9, $D$9, 100%, $F$9) + CHOOSE(CONTROL!$C$27, 0.0021, 0)</f>
        <v>63.054600000000001</v>
      </c>
      <c r="J319" s="14">
        <f>63.0525 * CHOOSE(CONTROL!$C$9, $D$9, 100%, $F$9) + CHOOSE(CONTROL!$C$27, 0.0021, 0)</f>
        <v>63.054600000000001</v>
      </c>
      <c r="K319" s="14">
        <f>63.0525 * CHOOSE(CONTROL!$C$9, $D$9, 100%, $F$9) + CHOOSE(CONTROL!$C$27, 0.0021, 0)</f>
        <v>63.054600000000001</v>
      </c>
      <c r="L319" s="14"/>
    </row>
    <row r="320" spans="1:12" ht="15.75" x14ac:dyDescent="0.25">
      <c r="A320" s="32">
        <v>50678</v>
      </c>
      <c r="B320" s="14">
        <f>64.7291 * CHOOSE(CONTROL!$C$9, $D$9, 100%, $F$9) + CHOOSE(CONTROL!$C$27, 0.0021, 0)</f>
        <v>64.731200000000001</v>
      </c>
      <c r="C320" s="14">
        <f>64.2969 * CHOOSE(CONTROL!$C$9, $D$9, 100%, $F$9) + CHOOSE(CONTROL!$C$27, 0.0021, 0)</f>
        <v>64.298999999999992</v>
      </c>
      <c r="D320" s="14">
        <f>64.2969 * CHOOSE(CONTROL!$C$9, $D$9, 100%, $F$9) + CHOOSE(CONTROL!$C$27, 0.0021, 0)</f>
        <v>64.298999999999992</v>
      </c>
      <c r="E320" s="14">
        <f>64.1602 * CHOOSE(CONTROL!$C$9, $D$9, 100%, $F$9) + CHOOSE(CONTROL!$C$27, 0.0021, 0)</f>
        <v>64.162300000000002</v>
      </c>
      <c r="F320" s="14">
        <f>64.1602 * CHOOSE(CONTROL!$C$9, $D$9, 100%, $F$9) + CHOOSE(CONTROL!$C$27, 0.0021, 0)</f>
        <v>64.162300000000002</v>
      </c>
      <c r="G320" s="14">
        <f>64.4316 * CHOOSE(CONTROL!$C$9, $D$9, 100%, $F$9) + CHOOSE(CONTROL!$C$27, 0.0021, 0)</f>
        <v>64.433700000000002</v>
      </c>
      <c r="H320" s="14">
        <f>64.2969 * CHOOSE(CONTROL!$C$9, $D$9, 100%, $F$9) + CHOOSE(CONTROL!$C$27, 0.0021, 0)</f>
        <v>64.298999999999992</v>
      </c>
      <c r="I320" s="14">
        <f>64.2969 * CHOOSE(CONTROL!$C$9, $D$9, 100%, $F$9) + CHOOSE(CONTROL!$C$27, 0.0021, 0)</f>
        <v>64.298999999999992</v>
      </c>
      <c r="J320" s="14">
        <f>64.2969 * CHOOSE(CONTROL!$C$9, $D$9, 100%, $F$9) + CHOOSE(CONTROL!$C$27, 0.0021, 0)</f>
        <v>64.298999999999992</v>
      </c>
      <c r="K320" s="14">
        <f>64.2969 * CHOOSE(CONTROL!$C$9, $D$9, 100%, $F$9) + CHOOSE(CONTROL!$C$27, 0.0021, 0)</f>
        <v>64.298999999999992</v>
      </c>
      <c r="L320" s="14"/>
    </row>
    <row r="321" spans="1:12" ht="15.75" x14ac:dyDescent="0.25">
      <c r="A321" s="32">
        <v>50709</v>
      </c>
      <c r="B321" s="14">
        <f>66.3043 * CHOOSE(CONTROL!$C$9, $D$9, 100%, $F$9) + CHOOSE(CONTROL!$C$27, 0.0021, 0)</f>
        <v>66.306399999999996</v>
      </c>
      <c r="C321" s="14">
        <f>65.872 * CHOOSE(CONTROL!$C$9, $D$9, 100%, $F$9) + CHOOSE(CONTROL!$C$27, 0.0021, 0)</f>
        <v>65.874099999999999</v>
      </c>
      <c r="D321" s="14">
        <f>65.872 * CHOOSE(CONTROL!$C$9, $D$9, 100%, $F$9) + CHOOSE(CONTROL!$C$27, 0.0021, 0)</f>
        <v>65.874099999999999</v>
      </c>
      <c r="E321" s="14">
        <f>65.7354 * CHOOSE(CONTROL!$C$9, $D$9, 100%, $F$9) + CHOOSE(CONTROL!$C$27, 0.0021, 0)</f>
        <v>65.737499999999997</v>
      </c>
      <c r="F321" s="14">
        <f>65.7354 * CHOOSE(CONTROL!$C$9, $D$9, 100%, $F$9) + CHOOSE(CONTROL!$C$27, 0.0021, 0)</f>
        <v>65.737499999999997</v>
      </c>
      <c r="G321" s="14">
        <f>66.0067 * CHOOSE(CONTROL!$C$9, $D$9, 100%, $F$9) + CHOOSE(CONTROL!$C$27, 0.0021, 0)</f>
        <v>66.008799999999994</v>
      </c>
      <c r="H321" s="14">
        <f>65.872 * CHOOSE(CONTROL!$C$9, $D$9, 100%, $F$9) + CHOOSE(CONTROL!$C$27, 0.0021, 0)</f>
        <v>65.874099999999999</v>
      </c>
      <c r="I321" s="14">
        <f>65.872 * CHOOSE(CONTROL!$C$9, $D$9, 100%, $F$9) + CHOOSE(CONTROL!$C$27, 0.0021, 0)</f>
        <v>65.874099999999999</v>
      </c>
      <c r="J321" s="14">
        <f>65.872 * CHOOSE(CONTROL!$C$9, $D$9, 100%, $F$9) + CHOOSE(CONTROL!$C$27, 0.0021, 0)</f>
        <v>65.874099999999999</v>
      </c>
      <c r="K321" s="14">
        <f>65.872 * CHOOSE(CONTROL!$C$9, $D$9, 100%, $F$9) + CHOOSE(CONTROL!$C$27, 0.0021, 0)</f>
        <v>65.874099999999999</v>
      </c>
      <c r="L321" s="14"/>
    </row>
    <row r="322" spans="1:12" ht="15.75" x14ac:dyDescent="0.25">
      <c r="A322" s="32">
        <v>50739</v>
      </c>
      <c r="B322" s="14">
        <f>66.4521 * CHOOSE(CONTROL!$C$9, $D$9, 100%, $F$9) + CHOOSE(CONTROL!$C$27, 0.0021, 0)</f>
        <v>66.4542</v>
      </c>
      <c r="C322" s="14">
        <f>66.0199 * CHOOSE(CONTROL!$C$9, $D$9, 100%, $F$9) + CHOOSE(CONTROL!$C$27, 0.0021, 0)</f>
        <v>66.022000000000006</v>
      </c>
      <c r="D322" s="14">
        <f>66.0199 * CHOOSE(CONTROL!$C$9, $D$9, 100%, $F$9) + CHOOSE(CONTROL!$C$27, 0.0021, 0)</f>
        <v>66.022000000000006</v>
      </c>
      <c r="E322" s="14">
        <f>65.8832 * CHOOSE(CONTROL!$C$9, $D$9, 100%, $F$9) + CHOOSE(CONTROL!$C$27, 0.0021, 0)</f>
        <v>65.885300000000001</v>
      </c>
      <c r="F322" s="14">
        <f>65.8832 * CHOOSE(CONTROL!$C$9, $D$9, 100%, $F$9) + CHOOSE(CONTROL!$C$27, 0.0021, 0)</f>
        <v>65.885300000000001</v>
      </c>
      <c r="G322" s="14">
        <f>66.1546 * CHOOSE(CONTROL!$C$9, $D$9, 100%, $F$9) + CHOOSE(CONTROL!$C$27, 0.0021, 0)</f>
        <v>66.156700000000001</v>
      </c>
      <c r="H322" s="14">
        <f>66.0199 * CHOOSE(CONTROL!$C$9, $D$9, 100%, $F$9) + CHOOSE(CONTROL!$C$27, 0.0021, 0)</f>
        <v>66.022000000000006</v>
      </c>
      <c r="I322" s="14">
        <f>66.0199 * CHOOSE(CONTROL!$C$9, $D$9, 100%, $F$9) + CHOOSE(CONTROL!$C$27, 0.0021, 0)</f>
        <v>66.022000000000006</v>
      </c>
      <c r="J322" s="14">
        <f>66.0199 * CHOOSE(CONTROL!$C$9, $D$9, 100%, $F$9) + CHOOSE(CONTROL!$C$27, 0.0021, 0)</f>
        <v>66.022000000000006</v>
      </c>
      <c r="K322" s="14">
        <f>66.0199 * CHOOSE(CONTROL!$C$9, $D$9, 100%, $F$9) + CHOOSE(CONTROL!$C$27, 0.0021, 0)</f>
        <v>66.022000000000006</v>
      </c>
      <c r="L322" s="14"/>
    </row>
    <row r="323" spans="1:12" ht="15.75" x14ac:dyDescent="0.25">
      <c r="A323" s="32">
        <v>50770</v>
      </c>
      <c r="B323" s="14">
        <f>65.1941 * CHOOSE(CONTROL!$C$9, $D$9, 100%, $F$9) + CHOOSE(CONTROL!$C$27, 0.0021, 0)</f>
        <v>65.196200000000005</v>
      </c>
      <c r="C323" s="14">
        <f>64.7619 * CHOOSE(CONTROL!$C$9, $D$9, 100%, $F$9) + CHOOSE(CONTROL!$C$27, 0.0021, 0)</f>
        <v>64.763999999999996</v>
      </c>
      <c r="D323" s="14">
        <f>64.7619 * CHOOSE(CONTROL!$C$9, $D$9, 100%, $F$9) + CHOOSE(CONTROL!$C$27, 0.0021, 0)</f>
        <v>64.763999999999996</v>
      </c>
      <c r="E323" s="14">
        <f>64.6252 * CHOOSE(CONTROL!$C$9, $D$9, 100%, $F$9) + CHOOSE(CONTROL!$C$27, 0.0021, 0)</f>
        <v>64.627300000000005</v>
      </c>
      <c r="F323" s="14">
        <f>64.6252 * CHOOSE(CONTROL!$C$9, $D$9, 100%, $F$9) + CHOOSE(CONTROL!$C$27, 0.0021, 0)</f>
        <v>64.627300000000005</v>
      </c>
      <c r="G323" s="14">
        <f>64.8966 * CHOOSE(CONTROL!$C$9, $D$9, 100%, $F$9) + CHOOSE(CONTROL!$C$27, 0.0021, 0)</f>
        <v>64.898700000000005</v>
      </c>
      <c r="H323" s="14">
        <f>64.7619 * CHOOSE(CONTROL!$C$9, $D$9, 100%, $F$9) + CHOOSE(CONTROL!$C$27, 0.0021, 0)</f>
        <v>64.763999999999996</v>
      </c>
      <c r="I323" s="14">
        <f>64.7619 * CHOOSE(CONTROL!$C$9, $D$9, 100%, $F$9) + CHOOSE(CONTROL!$C$27, 0.0021, 0)</f>
        <v>64.763999999999996</v>
      </c>
      <c r="J323" s="14">
        <f>64.7619 * CHOOSE(CONTROL!$C$9, $D$9, 100%, $F$9) + CHOOSE(CONTROL!$C$27, 0.0021, 0)</f>
        <v>64.763999999999996</v>
      </c>
      <c r="K323" s="14">
        <f>64.7619 * CHOOSE(CONTROL!$C$9, $D$9, 100%, $F$9) + CHOOSE(CONTROL!$C$27, 0.0021, 0)</f>
        <v>64.763999999999996</v>
      </c>
      <c r="L323" s="14"/>
    </row>
    <row r="324" spans="1:12" ht="15.75" x14ac:dyDescent="0.25">
      <c r="A324" s="32">
        <v>50801</v>
      </c>
      <c r="B324" s="14">
        <f>64.399 * CHOOSE(CONTROL!$C$9, $D$9, 100%, $F$9) + CHOOSE(CONTROL!$C$27, 0.0021, 0)</f>
        <v>64.4011</v>
      </c>
      <c r="C324" s="14">
        <f>63.9667 * CHOOSE(CONTROL!$C$9, $D$9, 100%, $F$9) + CHOOSE(CONTROL!$C$27, 0.0021, 0)</f>
        <v>63.968800000000002</v>
      </c>
      <c r="D324" s="14">
        <f>63.9667 * CHOOSE(CONTROL!$C$9, $D$9, 100%, $F$9) + CHOOSE(CONTROL!$C$27, 0.0021, 0)</f>
        <v>63.968800000000002</v>
      </c>
      <c r="E324" s="14">
        <f>63.8301 * CHOOSE(CONTROL!$C$9, $D$9, 100%, $F$9) + CHOOSE(CONTROL!$C$27, 0.0021, 0)</f>
        <v>63.8322</v>
      </c>
      <c r="F324" s="14">
        <f>63.8301 * CHOOSE(CONTROL!$C$9, $D$9, 100%, $F$9) + CHOOSE(CONTROL!$C$27, 0.0021, 0)</f>
        <v>63.8322</v>
      </c>
      <c r="G324" s="14">
        <f>64.1015 * CHOOSE(CONTROL!$C$9, $D$9, 100%, $F$9) + CHOOSE(CONTROL!$C$27, 0.0021, 0)</f>
        <v>64.1036</v>
      </c>
      <c r="H324" s="14">
        <f>63.9667 * CHOOSE(CONTROL!$C$9, $D$9, 100%, $F$9) + CHOOSE(CONTROL!$C$27, 0.0021, 0)</f>
        <v>63.968800000000002</v>
      </c>
      <c r="I324" s="14">
        <f>63.9667 * CHOOSE(CONTROL!$C$9, $D$9, 100%, $F$9) + CHOOSE(CONTROL!$C$27, 0.0021, 0)</f>
        <v>63.968800000000002</v>
      </c>
      <c r="J324" s="14">
        <f>63.9667 * CHOOSE(CONTROL!$C$9, $D$9, 100%, $F$9) + CHOOSE(CONTROL!$C$27, 0.0021, 0)</f>
        <v>63.968800000000002</v>
      </c>
      <c r="K324" s="14">
        <f>63.9667 * CHOOSE(CONTROL!$C$9, $D$9, 100%, $F$9) + CHOOSE(CONTROL!$C$27, 0.0021, 0)</f>
        <v>63.968800000000002</v>
      </c>
      <c r="L324" s="14"/>
    </row>
    <row r="325" spans="1:12" ht="15.75" x14ac:dyDescent="0.25">
      <c r="A325" s="32">
        <v>50829</v>
      </c>
      <c r="B325" s="14">
        <f>62.6423 * CHOOSE(CONTROL!$C$9, $D$9, 100%, $F$9) + CHOOSE(CONTROL!$C$27, 0.0021, 0)</f>
        <v>62.644399999999997</v>
      </c>
      <c r="C325" s="14">
        <f>62.21 * CHOOSE(CONTROL!$C$9, $D$9, 100%, $F$9) + CHOOSE(CONTROL!$C$27, 0.0021, 0)</f>
        <v>62.2121</v>
      </c>
      <c r="D325" s="14">
        <f>62.21 * CHOOSE(CONTROL!$C$9, $D$9, 100%, $F$9) + CHOOSE(CONTROL!$C$27, 0.0021, 0)</f>
        <v>62.2121</v>
      </c>
      <c r="E325" s="14">
        <f>62.0734 * CHOOSE(CONTROL!$C$9, $D$9, 100%, $F$9) + CHOOSE(CONTROL!$C$27, 0.0021, 0)</f>
        <v>62.075499999999998</v>
      </c>
      <c r="F325" s="14">
        <f>62.0734 * CHOOSE(CONTROL!$C$9, $D$9, 100%, $F$9) + CHOOSE(CONTROL!$C$27, 0.0021, 0)</f>
        <v>62.075499999999998</v>
      </c>
      <c r="G325" s="14">
        <f>62.3447 * CHOOSE(CONTROL!$C$9, $D$9, 100%, $F$9) + CHOOSE(CONTROL!$C$27, 0.0021, 0)</f>
        <v>62.346800000000002</v>
      </c>
      <c r="H325" s="14">
        <f>62.21 * CHOOSE(CONTROL!$C$9, $D$9, 100%, $F$9) + CHOOSE(CONTROL!$C$27, 0.0021, 0)</f>
        <v>62.2121</v>
      </c>
      <c r="I325" s="14">
        <f>62.21 * CHOOSE(CONTROL!$C$9, $D$9, 100%, $F$9) + CHOOSE(CONTROL!$C$27, 0.0021, 0)</f>
        <v>62.2121</v>
      </c>
      <c r="J325" s="14">
        <f>62.21 * CHOOSE(CONTROL!$C$9, $D$9, 100%, $F$9) + CHOOSE(CONTROL!$C$27, 0.0021, 0)</f>
        <v>62.2121</v>
      </c>
      <c r="K325" s="14">
        <f>62.21 * CHOOSE(CONTROL!$C$9, $D$9, 100%, $F$9) + CHOOSE(CONTROL!$C$27, 0.0021, 0)</f>
        <v>62.2121</v>
      </c>
      <c r="L325" s="14"/>
    </row>
    <row r="326" spans="1:12" ht="15.75" x14ac:dyDescent="0.25">
      <c r="A326" s="32">
        <v>50860</v>
      </c>
      <c r="B326" s="14">
        <f>61.9171 * CHOOSE(CONTROL!$C$9, $D$9, 100%, $F$9) + CHOOSE(CONTROL!$C$27, 0.0021, 0)</f>
        <v>61.919199999999996</v>
      </c>
      <c r="C326" s="14">
        <f>61.4849 * CHOOSE(CONTROL!$C$9, $D$9, 100%, $F$9) + CHOOSE(CONTROL!$C$27, 0.0021, 0)</f>
        <v>61.487000000000002</v>
      </c>
      <c r="D326" s="14">
        <f>61.4849 * CHOOSE(CONTROL!$C$9, $D$9, 100%, $F$9) + CHOOSE(CONTROL!$C$27, 0.0021, 0)</f>
        <v>61.487000000000002</v>
      </c>
      <c r="E326" s="14">
        <f>61.3482 * CHOOSE(CONTROL!$C$9, $D$9, 100%, $F$9) + CHOOSE(CONTROL!$C$27, 0.0021, 0)</f>
        <v>61.350299999999997</v>
      </c>
      <c r="F326" s="14">
        <f>61.3482 * CHOOSE(CONTROL!$C$9, $D$9, 100%, $F$9) + CHOOSE(CONTROL!$C$27, 0.0021, 0)</f>
        <v>61.350299999999997</v>
      </c>
      <c r="G326" s="14">
        <f>61.6196 * CHOOSE(CONTROL!$C$9, $D$9, 100%, $F$9) + CHOOSE(CONTROL!$C$27, 0.0021, 0)</f>
        <v>61.621699999999997</v>
      </c>
      <c r="H326" s="14">
        <f>61.4849 * CHOOSE(CONTROL!$C$9, $D$9, 100%, $F$9) + CHOOSE(CONTROL!$C$27, 0.0021, 0)</f>
        <v>61.487000000000002</v>
      </c>
      <c r="I326" s="14">
        <f>61.4849 * CHOOSE(CONTROL!$C$9, $D$9, 100%, $F$9) + CHOOSE(CONTROL!$C$27, 0.0021, 0)</f>
        <v>61.487000000000002</v>
      </c>
      <c r="J326" s="14">
        <f>61.4849 * CHOOSE(CONTROL!$C$9, $D$9, 100%, $F$9) + CHOOSE(CONTROL!$C$27, 0.0021, 0)</f>
        <v>61.487000000000002</v>
      </c>
      <c r="K326" s="14">
        <f>61.4849 * CHOOSE(CONTROL!$C$9, $D$9, 100%, $F$9) + CHOOSE(CONTROL!$C$27, 0.0021, 0)</f>
        <v>61.487000000000002</v>
      </c>
      <c r="L326" s="14"/>
    </row>
    <row r="327" spans="1:12" ht="15.75" x14ac:dyDescent="0.25">
      <c r="A327" s="32">
        <v>50890</v>
      </c>
      <c r="B327" s="14">
        <f>61.0512 * CHOOSE(CONTROL!$C$9, $D$9, 100%, $F$9) + CHOOSE(CONTROL!$C$27, 0.0021, 0)</f>
        <v>61.0533</v>
      </c>
      <c r="C327" s="14">
        <f>60.619 * CHOOSE(CONTROL!$C$9, $D$9, 100%, $F$9) + CHOOSE(CONTROL!$C$27, 0.0021, 0)</f>
        <v>60.621099999999998</v>
      </c>
      <c r="D327" s="14">
        <f>60.619 * CHOOSE(CONTROL!$C$9, $D$9, 100%, $F$9) + CHOOSE(CONTROL!$C$27, 0.0021, 0)</f>
        <v>60.621099999999998</v>
      </c>
      <c r="E327" s="14">
        <f>60.4823 * CHOOSE(CONTROL!$C$9, $D$9, 100%, $F$9) + CHOOSE(CONTROL!$C$27, 0.0021, 0)</f>
        <v>60.484400000000001</v>
      </c>
      <c r="F327" s="14">
        <f>60.4823 * CHOOSE(CONTROL!$C$9, $D$9, 100%, $F$9) + CHOOSE(CONTROL!$C$27, 0.0021, 0)</f>
        <v>60.484400000000001</v>
      </c>
      <c r="G327" s="14">
        <f>60.7537 * CHOOSE(CONTROL!$C$9, $D$9, 100%, $F$9) + CHOOSE(CONTROL!$C$27, 0.0021, 0)</f>
        <v>60.755800000000001</v>
      </c>
      <c r="H327" s="14">
        <f>60.619 * CHOOSE(CONTROL!$C$9, $D$9, 100%, $F$9) + CHOOSE(CONTROL!$C$27, 0.0021, 0)</f>
        <v>60.621099999999998</v>
      </c>
      <c r="I327" s="14">
        <f>60.619 * CHOOSE(CONTROL!$C$9, $D$9, 100%, $F$9) + CHOOSE(CONTROL!$C$27, 0.0021, 0)</f>
        <v>60.621099999999998</v>
      </c>
      <c r="J327" s="14">
        <f>60.619 * CHOOSE(CONTROL!$C$9, $D$9, 100%, $F$9) + CHOOSE(CONTROL!$C$27, 0.0021, 0)</f>
        <v>60.621099999999998</v>
      </c>
      <c r="K327" s="14">
        <f>60.619 * CHOOSE(CONTROL!$C$9, $D$9, 100%, $F$9) + CHOOSE(CONTROL!$C$27, 0.0021, 0)</f>
        <v>60.621099999999998</v>
      </c>
      <c r="L327" s="14"/>
    </row>
    <row r="328" spans="1:12" ht="15.75" x14ac:dyDescent="0.25">
      <c r="A328" s="32">
        <v>50921</v>
      </c>
      <c r="B328" s="14">
        <f>62.2852 * CHOOSE(CONTROL!$C$9, $D$9, 100%, $F$9) + CHOOSE(CONTROL!$C$27, 0.0021, 0)</f>
        <v>62.287300000000002</v>
      </c>
      <c r="C328" s="14">
        <f>61.853 * CHOOSE(CONTROL!$C$9, $D$9, 100%, $F$9) + CHOOSE(CONTROL!$C$27, 0.0021, 0)</f>
        <v>61.8551</v>
      </c>
      <c r="D328" s="14">
        <f>61.853 * CHOOSE(CONTROL!$C$9, $D$9, 100%, $F$9) + CHOOSE(CONTROL!$C$27, 0.0021, 0)</f>
        <v>61.8551</v>
      </c>
      <c r="E328" s="14">
        <f>61.7163 * CHOOSE(CONTROL!$C$9, $D$9, 100%, $F$9) + CHOOSE(CONTROL!$C$27, 0.0021, 0)</f>
        <v>61.718399999999995</v>
      </c>
      <c r="F328" s="14">
        <f>61.7163 * CHOOSE(CONTROL!$C$9, $D$9, 100%, $F$9) + CHOOSE(CONTROL!$C$27, 0.0021, 0)</f>
        <v>61.718399999999995</v>
      </c>
      <c r="G328" s="14">
        <f>61.9877 * CHOOSE(CONTROL!$C$9, $D$9, 100%, $F$9) + CHOOSE(CONTROL!$C$27, 0.0021, 0)</f>
        <v>61.989799999999995</v>
      </c>
      <c r="H328" s="14">
        <f>61.853 * CHOOSE(CONTROL!$C$9, $D$9, 100%, $F$9) + CHOOSE(CONTROL!$C$27, 0.0021, 0)</f>
        <v>61.8551</v>
      </c>
      <c r="I328" s="14">
        <f>61.853 * CHOOSE(CONTROL!$C$9, $D$9, 100%, $F$9) + CHOOSE(CONTROL!$C$27, 0.0021, 0)</f>
        <v>61.8551</v>
      </c>
      <c r="J328" s="14">
        <f>61.853 * CHOOSE(CONTROL!$C$9, $D$9, 100%, $F$9) + CHOOSE(CONTROL!$C$27, 0.0021, 0)</f>
        <v>61.8551</v>
      </c>
      <c r="K328" s="14">
        <f>61.853 * CHOOSE(CONTROL!$C$9, $D$9, 100%, $F$9) + CHOOSE(CONTROL!$C$27, 0.0021, 0)</f>
        <v>61.8551</v>
      </c>
      <c r="L328" s="14"/>
    </row>
    <row r="329" spans="1:12" ht="15.75" x14ac:dyDescent="0.25">
      <c r="A329" s="32">
        <v>50951</v>
      </c>
      <c r="B329" s="14">
        <f>63.0243 * CHOOSE(CONTROL!$C$9, $D$9, 100%, $F$9) + CHOOSE(CONTROL!$C$27, 0.0021, 0)</f>
        <v>63.026399999999995</v>
      </c>
      <c r="C329" s="14">
        <f>62.592 * CHOOSE(CONTROL!$C$9, $D$9, 100%, $F$9) + CHOOSE(CONTROL!$C$27, 0.0021, 0)</f>
        <v>62.594099999999997</v>
      </c>
      <c r="D329" s="14">
        <f>62.592 * CHOOSE(CONTROL!$C$9, $D$9, 100%, $F$9) + CHOOSE(CONTROL!$C$27, 0.0021, 0)</f>
        <v>62.594099999999997</v>
      </c>
      <c r="E329" s="14">
        <f>62.4554 * CHOOSE(CONTROL!$C$9, $D$9, 100%, $F$9) + CHOOSE(CONTROL!$C$27, 0.0021, 0)</f>
        <v>62.457499999999996</v>
      </c>
      <c r="F329" s="14">
        <f>62.4554 * CHOOSE(CONTROL!$C$9, $D$9, 100%, $F$9) + CHOOSE(CONTROL!$C$27, 0.0021, 0)</f>
        <v>62.457499999999996</v>
      </c>
      <c r="G329" s="14">
        <f>62.7268 * CHOOSE(CONTROL!$C$9, $D$9, 100%, $F$9) + CHOOSE(CONTROL!$C$27, 0.0021, 0)</f>
        <v>62.728899999999996</v>
      </c>
      <c r="H329" s="14">
        <f>62.592 * CHOOSE(CONTROL!$C$9, $D$9, 100%, $F$9) + CHOOSE(CONTROL!$C$27, 0.0021, 0)</f>
        <v>62.594099999999997</v>
      </c>
      <c r="I329" s="14">
        <f>62.592 * CHOOSE(CONTROL!$C$9, $D$9, 100%, $F$9) + CHOOSE(CONTROL!$C$27, 0.0021, 0)</f>
        <v>62.594099999999997</v>
      </c>
      <c r="J329" s="14">
        <f>62.592 * CHOOSE(CONTROL!$C$9, $D$9, 100%, $F$9) + CHOOSE(CONTROL!$C$27, 0.0021, 0)</f>
        <v>62.594099999999997</v>
      </c>
      <c r="K329" s="14">
        <f>62.592 * CHOOSE(CONTROL!$C$9, $D$9, 100%, $F$9) + CHOOSE(CONTROL!$C$27, 0.0021, 0)</f>
        <v>62.594099999999997</v>
      </c>
      <c r="L329" s="14"/>
    </row>
    <row r="330" spans="1:12" ht="15.75" x14ac:dyDescent="0.25">
      <c r="A330" s="32">
        <v>50982</v>
      </c>
      <c r="B330" s="14">
        <f>64.2435 * CHOOSE(CONTROL!$C$9, $D$9, 100%, $F$9) + CHOOSE(CONTROL!$C$27, 0.0021, 0)</f>
        <v>64.245599999999996</v>
      </c>
      <c r="C330" s="14">
        <f>63.8113 * CHOOSE(CONTROL!$C$9, $D$9, 100%, $F$9) + CHOOSE(CONTROL!$C$27, 0.0021, 0)</f>
        <v>63.813400000000001</v>
      </c>
      <c r="D330" s="14">
        <f>63.8113 * CHOOSE(CONTROL!$C$9, $D$9, 100%, $F$9) + CHOOSE(CONTROL!$C$27, 0.0021, 0)</f>
        <v>63.813400000000001</v>
      </c>
      <c r="E330" s="14">
        <f>63.6746 * CHOOSE(CONTROL!$C$9, $D$9, 100%, $F$9) + CHOOSE(CONTROL!$C$27, 0.0021, 0)</f>
        <v>63.676699999999997</v>
      </c>
      <c r="F330" s="14">
        <f>63.6746 * CHOOSE(CONTROL!$C$9, $D$9, 100%, $F$9) + CHOOSE(CONTROL!$C$27, 0.0021, 0)</f>
        <v>63.676699999999997</v>
      </c>
      <c r="G330" s="14">
        <f>63.946 * CHOOSE(CONTROL!$C$9, $D$9, 100%, $F$9) + CHOOSE(CONTROL!$C$27, 0.0021, 0)</f>
        <v>63.948099999999997</v>
      </c>
      <c r="H330" s="14">
        <f>63.8113 * CHOOSE(CONTROL!$C$9, $D$9, 100%, $F$9) + CHOOSE(CONTROL!$C$27, 0.0021, 0)</f>
        <v>63.813400000000001</v>
      </c>
      <c r="I330" s="14">
        <f>63.8113 * CHOOSE(CONTROL!$C$9, $D$9, 100%, $F$9) + CHOOSE(CONTROL!$C$27, 0.0021, 0)</f>
        <v>63.813400000000001</v>
      </c>
      <c r="J330" s="14">
        <f>63.8113 * CHOOSE(CONTROL!$C$9, $D$9, 100%, $F$9) + CHOOSE(CONTROL!$C$27, 0.0021, 0)</f>
        <v>63.813400000000001</v>
      </c>
      <c r="K330" s="14">
        <f>63.8113 * CHOOSE(CONTROL!$C$9, $D$9, 100%, $F$9) + CHOOSE(CONTROL!$C$27, 0.0021, 0)</f>
        <v>63.813400000000001</v>
      </c>
      <c r="L330" s="14"/>
    </row>
    <row r="331" spans="1:12" ht="15.75" x14ac:dyDescent="0.25">
      <c r="A331" s="32">
        <v>51013</v>
      </c>
      <c r="B331" s="14">
        <f>64.6157 * CHOOSE(CONTROL!$C$9, $D$9, 100%, $F$9) + CHOOSE(CONTROL!$C$27, 0.0021, 0)</f>
        <v>64.617800000000003</v>
      </c>
      <c r="C331" s="14">
        <f>64.1834 * CHOOSE(CONTROL!$C$9, $D$9, 100%, $F$9) + CHOOSE(CONTROL!$C$27, 0.0021, 0)</f>
        <v>64.185500000000005</v>
      </c>
      <c r="D331" s="14">
        <f>64.1834 * CHOOSE(CONTROL!$C$9, $D$9, 100%, $F$9) + CHOOSE(CONTROL!$C$27, 0.0021, 0)</f>
        <v>64.185500000000005</v>
      </c>
      <c r="E331" s="14">
        <f>64.0468 * CHOOSE(CONTROL!$C$9, $D$9, 100%, $F$9) + CHOOSE(CONTROL!$C$27, 0.0021, 0)</f>
        <v>64.048900000000003</v>
      </c>
      <c r="F331" s="14">
        <f>64.0468 * CHOOSE(CONTROL!$C$9, $D$9, 100%, $F$9) + CHOOSE(CONTROL!$C$27, 0.0021, 0)</f>
        <v>64.048900000000003</v>
      </c>
      <c r="G331" s="14">
        <f>64.3181 * CHOOSE(CONTROL!$C$9, $D$9, 100%, $F$9) + CHOOSE(CONTROL!$C$27, 0.0021, 0)</f>
        <v>64.3202</v>
      </c>
      <c r="H331" s="14">
        <f>64.1834 * CHOOSE(CONTROL!$C$9, $D$9, 100%, $F$9) + CHOOSE(CONTROL!$C$27, 0.0021, 0)</f>
        <v>64.185500000000005</v>
      </c>
      <c r="I331" s="14">
        <f>64.1834 * CHOOSE(CONTROL!$C$9, $D$9, 100%, $F$9) + CHOOSE(CONTROL!$C$27, 0.0021, 0)</f>
        <v>64.185500000000005</v>
      </c>
      <c r="J331" s="14">
        <f>64.1834 * CHOOSE(CONTROL!$C$9, $D$9, 100%, $F$9) + CHOOSE(CONTROL!$C$27, 0.0021, 0)</f>
        <v>64.185500000000005</v>
      </c>
      <c r="K331" s="14">
        <f>64.1834 * CHOOSE(CONTROL!$C$9, $D$9, 100%, $F$9) + CHOOSE(CONTROL!$C$27, 0.0021, 0)</f>
        <v>64.185500000000005</v>
      </c>
      <c r="L331" s="14"/>
    </row>
    <row r="332" spans="1:12" ht="15.75" x14ac:dyDescent="0.25">
      <c r="A332" s="32">
        <v>51043</v>
      </c>
      <c r="B332" s="14">
        <f>65.883 * CHOOSE(CONTROL!$C$9, $D$9, 100%, $F$9) + CHOOSE(CONTROL!$C$27, 0.0021, 0)</f>
        <v>65.885099999999994</v>
      </c>
      <c r="C332" s="14">
        <f>65.4508 * CHOOSE(CONTROL!$C$9, $D$9, 100%, $F$9) + CHOOSE(CONTROL!$C$27, 0.0021, 0)</f>
        <v>65.4529</v>
      </c>
      <c r="D332" s="14">
        <f>65.4508 * CHOOSE(CONTROL!$C$9, $D$9, 100%, $F$9) + CHOOSE(CONTROL!$C$27, 0.0021, 0)</f>
        <v>65.4529</v>
      </c>
      <c r="E332" s="14">
        <f>65.3141 * CHOOSE(CONTROL!$C$9, $D$9, 100%, $F$9) + CHOOSE(CONTROL!$C$27, 0.0021, 0)</f>
        <v>65.316199999999995</v>
      </c>
      <c r="F332" s="14">
        <f>65.3141 * CHOOSE(CONTROL!$C$9, $D$9, 100%, $F$9) + CHOOSE(CONTROL!$C$27, 0.0021, 0)</f>
        <v>65.316199999999995</v>
      </c>
      <c r="G332" s="14">
        <f>65.5855 * CHOOSE(CONTROL!$C$9, $D$9, 100%, $F$9) + CHOOSE(CONTROL!$C$27, 0.0021, 0)</f>
        <v>65.587599999999995</v>
      </c>
      <c r="H332" s="14">
        <f>65.4508 * CHOOSE(CONTROL!$C$9, $D$9, 100%, $F$9) + CHOOSE(CONTROL!$C$27, 0.0021, 0)</f>
        <v>65.4529</v>
      </c>
      <c r="I332" s="14">
        <f>65.4508 * CHOOSE(CONTROL!$C$9, $D$9, 100%, $F$9) + CHOOSE(CONTROL!$C$27, 0.0021, 0)</f>
        <v>65.4529</v>
      </c>
      <c r="J332" s="14">
        <f>65.4508 * CHOOSE(CONTROL!$C$9, $D$9, 100%, $F$9) + CHOOSE(CONTROL!$C$27, 0.0021, 0)</f>
        <v>65.4529</v>
      </c>
      <c r="K332" s="14">
        <f>65.4508 * CHOOSE(CONTROL!$C$9, $D$9, 100%, $F$9) + CHOOSE(CONTROL!$C$27, 0.0021, 0)</f>
        <v>65.4529</v>
      </c>
      <c r="L332" s="14"/>
    </row>
    <row r="333" spans="1:12" ht="15.75" x14ac:dyDescent="0.25">
      <c r="A333" s="32">
        <v>51074</v>
      </c>
      <c r="B333" s="14">
        <f>67.4873 * CHOOSE(CONTROL!$C$9, $D$9, 100%, $F$9) + CHOOSE(CONTROL!$C$27, 0.0021, 0)</f>
        <v>67.489400000000003</v>
      </c>
      <c r="C333" s="14">
        <f>67.055 * CHOOSE(CONTROL!$C$9, $D$9, 100%, $F$9) + CHOOSE(CONTROL!$C$27, 0.0021, 0)</f>
        <v>67.057100000000005</v>
      </c>
      <c r="D333" s="14">
        <f>67.055 * CHOOSE(CONTROL!$C$9, $D$9, 100%, $F$9) + CHOOSE(CONTROL!$C$27, 0.0021, 0)</f>
        <v>67.057100000000005</v>
      </c>
      <c r="E333" s="14">
        <f>66.9184 * CHOOSE(CONTROL!$C$9, $D$9, 100%, $F$9) + CHOOSE(CONTROL!$C$27, 0.0021, 0)</f>
        <v>66.920500000000004</v>
      </c>
      <c r="F333" s="14">
        <f>66.9184 * CHOOSE(CONTROL!$C$9, $D$9, 100%, $F$9) + CHOOSE(CONTROL!$C$27, 0.0021, 0)</f>
        <v>66.920500000000004</v>
      </c>
      <c r="G333" s="14">
        <f>67.1897 * CHOOSE(CONTROL!$C$9, $D$9, 100%, $F$9) + CHOOSE(CONTROL!$C$27, 0.0021, 0)</f>
        <v>67.191800000000001</v>
      </c>
      <c r="H333" s="14">
        <f>67.055 * CHOOSE(CONTROL!$C$9, $D$9, 100%, $F$9) + CHOOSE(CONTROL!$C$27, 0.0021, 0)</f>
        <v>67.057100000000005</v>
      </c>
      <c r="I333" s="14">
        <f>67.055 * CHOOSE(CONTROL!$C$9, $D$9, 100%, $F$9) + CHOOSE(CONTROL!$C$27, 0.0021, 0)</f>
        <v>67.057100000000005</v>
      </c>
      <c r="J333" s="14">
        <f>67.055 * CHOOSE(CONTROL!$C$9, $D$9, 100%, $F$9) + CHOOSE(CONTROL!$C$27, 0.0021, 0)</f>
        <v>67.057100000000005</v>
      </c>
      <c r="K333" s="14">
        <f>67.055 * CHOOSE(CONTROL!$C$9, $D$9, 100%, $F$9) + CHOOSE(CONTROL!$C$27, 0.0021, 0)</f>
        <v>67.057100000000005</v>
      </c>
      <c r="L333" s="14"/>
    </row>
    <row r="334" spans="1:12" ht="15.75" x14ac:dyDescent="0.25">
      <c r="A334" s="32">
        <v>51104</v>
      </c>
      <c r="B334" s="14">
        <f>67.6379 * CHOOSE(CONTROL!$C$9, $D$9, 100%, $F$9) + CHOOSE(CONTROL!$C$27, 0.0021, 0)</f>
        <v>67.64</v>
      </c>
      <c r="C334" s="14">
        <f>67.2056 * CHOOSE(CONTROL!$C$9, $D$9, 100%, $F$9) + CHOOSE(CONTROL!$C$27, 0.0021, 0)</f>
        <v>67.207700000000003</v>
      </c>
      <c r="D334" s="14">
        <f>67.2056 * CHOOSE(CONTROL!$C$9, $D$9, 100%, $F$9) + CHOOSE(CONTROL!$C$27, 0.0021, 0)</f>
        <v>67.207700000000003</v>
      </c>
      <c r="E334" s="14">
        <f>67.069 * CHOOSE(CONTROL!$C$9, $D$9, 100%, $F$9) + CHOOSE(CONTROL!$C$27, 0.0021, 0)</f>
        <v>67.071100000000001</v>
      </c>
      <c r="F334" s="14">
        <f>67.069 * CHOOSE(CONTROL!$C$9, $D$9, 100%, $F$9) + CHOOSE(CONTROL!$C$27, 0.0021, 0)</f>
        <v>67.071100000000001</v>
      </c>
      <c r="G334" s="14">
        <f>67.3403 * CHOOSE(CONTROL!$C$9, $D$9, 100%, $F$9) + CHOOSE(CONTROL!$C$27, 0.0021, 0)</f>
        <v>67.342399999999998</v>
      </c>
      <c r="H334" s="14">
        <f>67.2056 * CHOOSE(CONTROL!$C$9, $D$9, 100%, $F$9) + CHOOSE(CONTROL!$C$27, 0.0021, 0)</f>
        <v>67.207700000000003</v>
      </c>
      <c r="I334" s="14">
        <f>67.2056 * CHOOSE(CONTROL!$C$9, $D$9, 100%, $F$9) + CHOOSE(CONTROL!$C$27, 0.0021, 0)</f>
        <v>67.207700000000003</v>
      </c>
      <c r="J334" s="14">
        <f>67.2056 * CHOOSE(CONTROL!$C$9, $D$9, 100%, $F$9) + CHOOSE(CONTROL!$C$27, 0.0021, 0)</f>
        <v>67.207700000000003</v>
      </c>
      <c r="K334" s="14">
        <f>67.2056 * CHOOSE(CONTROL!$C$9, $D$9, 100%, $F$9) + CHOOSE(CONTROL!$C$27, 0.0021, 0)</f>
        <v>67.207700000000003</v>
      </c>
      <c r="L334" s="14"/>
    </row>
    <row r="335" spans="1:12" ht="15.75" x14ac:dyDescent="0.25">
      <c r="A335" s="32">
        <v>51135</v>
      </c>
      <c r="B335" s="14">
        <f>66.3566 * CHOOSE(CONTROL!$C$9, $D$9, 100%, $F$9) + CHOOSE(CONTROL!$C$27, 0.0021, 0)</f>
        <v>66.358699999999999</v>
      </c>
      <c r="C335" s="14">
        <f>65.9243 * CHOOSE(CONTROL!$C$9, $D$9, 100%, $F$9) + CHOOSE(CONTROL!$C$27, 0.0021, 0)</f>
        <v>65.926400000000001</v>
      </c>
      <c r="D335" s="14">
        <f>65.9243 * CHOOSE(CONTROL!$C$9, $D$9, 100%, $F$9) + CHOOSE(CONTROL!$C$27, 0.0021, 0)</f>
        <v>65.926400000000001</v>
      </c>
      <c r="E335" s="14">
        <f>65.7877 * CHOOSE(CONTROL!$C$9, $D$9, 100%, $F$9) + CHOOSE(CONTROL!$C$27, 0.0021, 0)</f>
        <v>65.7898</v>
      </c>
      <c r="F335" s="14">
        <f>65.7877 * CHOOSE(CONTROL!$C$9, $D$9, 100%, $F$9) + CHOOSE(CONTROL!$C$27, 0.0021, 0)</f>
        <v>65.7898</v>
      </c>
      <c r="G335" s="14">
        <f>66.0591 * CHOOSE(CONTROL!$C$9, $D$9, 100%, $F$9) + CHOOSE(CONTROL!$C$27, 0.0021, 0)</f>
        <v>66.061199999999999</v>
      </c>
      <c r="H335" s="14">
        <f>65.9243 * CHOOSE(CONTROL!$C$9, $D$9, 100%, $F$9) + CHOOSE(CONTROL!$C$27, 0.0021, 0)</f>
        <v>65.926400000000001</v>
      </c>
      <c r="I335" s="14">
        <f>65.9243 * CHOOSE(CONTROL!$C$9, $D$9, 100%, $F$9) + CHOOSE(CONTROL!$C$27, 0.0021, 0)</f>
        <v>65.926400000000001</v>
      </c>
      <c r="J335" s="14">
        <f>65.9243 * CHOOSE(CONTROL!$C$9, $D$9, 100%, $F$9) + CHOOSE(CONTROL!$C$27, 0.0021, 0)</f>
        <v>65.926400000000001</v>
      </c>
      <c r="K335" s="14">
        <f>65.9243 * CHOOSE(CONTROL!$C$9, $D$9, 100%, $F$9) + CHOOSE(CONTROL!$C$27, 0.0021, 0)</f>
        <v>65.926400000000001</v>
      </c>
      <c r="L335" s="14"/>
    </row>
    <row r="336" spans="1:12" ht="15.75" x14ac:dyDescent="0.25">
      <c r="A336" s="32">
        <v>51166</v>
      </c>
      <c r="B336" s="14">
        <f>65.5468 * CHOOSE(CONTROL!$C$9, $D$9, 100%, $F$9) + CHOOSE(CONTROL!$C$27, 0.0021, 0)</f>
        <v>65.548900000000003</v>
      </c>
      <c r="C336" s="14">
        <f>65.1145 * CHOOSE(CONTROL!$C$9, $D$9, 100%, $F$9) + CHOOSE(CONTROL!$C$27, 0.0021, 0)</f>
        <v>65.116600000000005</v>
      </c>
      <c r="D336" s="14">
        <f>65.1145 * CHOOSE(CONTROL!$C$9, $D$9, 100%, $F$9) + CHOOSE(CONTROL!$C$27, 0.0021, 0)</f>
        <v>65.116600000000005</v>
      </c>
      <c r="E336" s="14">
        <f>64.9779 * CHOOSE(CONTROL!$C$9, $D$9, 100%, $F$9) + CHOOSE(CONTROL!$C$27, 0.0021, 0)</f>
        <v>64.98</v>
      </c>
      <c r="F336" s="14">
        <f>64.9779 * CHOOSE(CONTROL!$C$9, $D$9, 100%, $F$9) + CHOOSE(CONTROL!$C$27, 0.0021, 0)</f>
        <v>64.98</v>
      </c>
      <c r="G336" s="14">
        <f>65.2492 * CHOOSE(CONTROL!$C$9, $D$9, 100%, $F$9) + CHOOSE(CONTROL!$C$27, 0.0021, 0)</f>
        <v>65.251300000000001</v>
      </c>
      <c r="H336" s="14">
        <f>65.1145 * CHOOSE(CONTROL!$C$9, $D$9, 100%, $F$9) + CHOOSE(CONTROL!$C$27, 0.0021, 0)</f>
        <v>65.116600000000005</v>
      </c>
      <c r="I336" s="14">
        <f>65.1145 * CHOOSE(CONTROL!$C$9, $D$9, 100%, $F$9) + CHOOSE(CONTROL!$C$27, 0.0021, 0)</f>
        <v>65.116600000000005</v>
      </c>
      <c r="J336" s="14">
        <f>65.1145 * CHOOSE(CONTROL!$C$9, $D$9, 100%, $F$9) + CHOOSE(CONTROL!$C$27, 0.0021, 0)</f>
        <v>65.116600000000005</v>
      </c>
      <c r="K336" s="14">
        <f>65.1145 * CHOOSE(CONTROL!$C$9, $D$9, 100%, $F$9) + CHOOSE(CONTROL!$C$27, 0.0021, 0)</f>
        <v>65.116600000000005</v>
      </c>
      <c r="L336" s="14"/>
    </row>
    <row r="337" spans="1:12" ht="15.75" x14ac:dyDescent="0.25">
      <c r="A337" s="32">
        <v>51194</v>
      </c>
      <c r="B337" s="14">
        <f>63.7576 * CHOOSE(CONTROL!$C$9, $D$9, 100%, $F$9) + CHOOSE(CONTROL!$C$27, 0.0021, 0)</f>
        <v>63.759699999999995</v>
      </c>
      <c r="C337" s="14">
        <f>63.3253 * CHOOSE(CONTROL!$C$9, $D$9, 100%, $F$9) + CHOOSE(CONTROL!$C$27, 0.0021, 0)</f>
        <v>63.327399999999997</v>
      </c>
      <c r="D337" s="14">
        <f>63.3253 * CHOOSE(CONTROL!$C$9, $D$9, 100%, $F$9) + CHOOSE(CONTROL!$C$27, 0.0021, 0)</f>
        <v>63.327399999999997</v>
      </c>
      <c r="E337" s="14">
        <f>63.1887 * CHOOSE(CONTROL!$C$9, $D$9, 100%, $F$9) + CHOOSE(CONTROL!$C$27, 0.0021, 0)</f>
        <v>63.190799999999996</v>
      </c>
      <c r="F337" s="14">
        <f>63.1887 * CHOOSE(CONTROL!$C$9, $D$9, 100%, $F$9) + CHOOSE(CONTROL!$C$27, 0.0021, 0)</f>
        <v>63.190799999999996</v>
      </c>
      <c r="G337" s="14">
        <f>63.4601 * CHOOSE(CONTROL!$C$9, $D$9, 100%, $F$9) + CHOOSE(CONTROL!$C$27, 0.0021, 0)</f>
        <v>63.462199999999996</v>
      </c>
      <c r="H337" s="14">
        <f>63.3253 * CHOOSE(CONTROL!$C$9, $D$9, 100%, $F$9) + CHOOSE(CONTROL!$C$27, 0.0021, 0)</f>
        <v>63.327399999999997</v>
      </c>
      <c r="I337" s="14">
        <f>63.3253 * CHOOSE(CONTROL!$C$9, $D$9, 100%, $F$9) + CHOOSE(CONTROL!$C$27, 0.0021, 0)</f>
        <v>63.327399999999997</v>
      </c>
      <c r="J337" s="14">
        <f>63.3253 * CHOOSE(CONTROL!$C$9, $D$9, 100%, $F$9) + CHOOSE(CONTROL!$C$27, 0.0021, 0)</f>
        <v>63.327399999999997</v>
      </c>
      <c r="K337" s="14">
        <f>63.3253 * CHOOSE(CONTROL!$C$9, $D$9, 100%, $F$9) + CHOOSE(CONTROL!$C$27, 0.0021, 0)</f>
        <v>63.327399999999997</v>
      </c>
      <c r="L337" s="14"/>
    </row>
    <row r="338" spans="1:12" ht="15.75" x14ac:dyDescent="0.25">
      <c r="A338" s="32">
        <v>51226</v>
      </c>
      <c r="B338" s="14">
        <f>63.019 * CHOOSE(CONTROL!$C$9, $D$9, 100%, $F$9) + CHOOSE(CONTROL!$C$27, 0.0021, 0)</f>
        <v>63.021099999999997</v>
      </c>
      <c r="C338" s="14">
        <f>62.5868 * CHOOSE(CONTROL!$C$9, $D$9, 100%, $F$9) + CHOOSE(CONTROL!$C$27, 0.0021, 0)</f>
        <v>62.588899999999995</v>
      </c>
      <c r="D338" s="14">
        <f>62.5868 * CHOOSE(CONTROL!$C$9, $D$9, 100%, $F$9) + CHOOSE(CONTROL!$C$27, 0.0021, 0)</f>
        <v>62.588899999999995</v>
      </c>
      <c r="E338" s="14">
        <f>62.4501 * CHOOSE(CONTROL!$C$9, $D$9, 100%, $F$9) + CHOOSE(CONTROL!$C$27, 0.0021, 0)</f>
        <v>62.452199999999998</v>
      </c>
      <c r="F338" s="14">
        <f>62.4501 * CHOOSE(CONTROL!$C$9, $D$9, 100%, $F$9) + CHOOSE(CONTROL!$C$27, 0.0021, 0)</f>
        <v>62.452199999999998</v>
      </c>
      <c r="G338" s="14">
        <f>62.7215 * CHOOSE(CONTROL!$C$9, $D$9, 100%, $F$9) + CHOOSE(CONTROL!$C$27, 0.0021, 0)</f>
        <v>62.723599999999998</v>
      </c>
      <c r="H338" s="14">
        <f>62.5868 * CHOOSE(CONTROL!$C$9, $D$9, 100%, $F$9) + CHOOSE(CONTROL!$C$27, 0.0021, 0)</f>
        <v>62.588899999999995</v>
      </c>
      <c r="I338" s="14">
        <f>62.5868 * CHOOSE(CONTROL!$C$9, $D$9, 100%, $F$9) + CHOOSE(CONTROL!$C$27, 0.0021, 0)</f>
        <v>62.588899999999995</v>
      </c>
      <c r="J338" s="14">
        <f>62.5868 * CHOOSE(CONTROL!$C$9, $D$9, 100%, $F$9) + CHOOSE(CONTROL!$C$27, 0.0021, 0)</f>
        <v>62.588899999999995</v>
      </c>
      <c r="K338" s="14">
        <f>62.5868 * CHOOSE(CONTROL!$C$9, $D$9, 100%, $F$9) + CHOOSE(CONTROL!$C$27, 0.0021, 0)</f>
        <v>62.588899999999995</v>
      </c>
      <c r="L338" s="14"/>
    </row>
    <row r="339" spans="1:12" ht="15.75" x14ac:dyDescent="0.25">
      <c r="A339" s="32">
        <v>51256</v>
      </c>
      <c r="B339" s="14">
        <f>62.1371 * CHOOSE(CONTROL!$C$9, $D$9, 100%, $F$9) + CHOOSE(CONTROL!$C$27, 0.0021, 0)</f>
        <v>62.139199999999995</v>
      </c>
      <c r="C339" s="14">
        <f>61.7049 * CHOOSE(CONTROL!$C$9, $D$9, 100%, $F$9) + CHOOSE(CONTROL!$C$27, 0.0021, 0)</f>
        <v>61.707000000000001</v>
      </c>
      <c r="D339" s="14">
        <f>61.7049 * CHOOSE(CONTROL!$C$9, $D$9, 100%, $F$9) + CHOOSE(CONTROL!$C$27, 0.0021, 0)</f>
        <v>61.707000000000001</v>
      </c>
      <c r="E339" s="14">
        <f>61.5682 * CHOOSE(CONTROL!$C$9, $D$9, 100%, $F$9) + CHOOSE(CONTROL!$C$27, 0.0021, 0)</f>
        <v>61.570299999999996</v>
      </c>
      <c r="F339" s="14">
        <f>61.5682 * CHOOSE(CONTROL!$C$9, $D$9, 100%, $F$9) + CHOOSE(CONTROL!$C$27, 0.0021, 0)</f>
        <v>61.570299999999996</v>
      </c>
      <c r="G339" s="14">
        <f>61.8396 * CHOOSE(CONTROL!$C$9, $D$9, 100%, $F$9) + CHOOSE(CONTROL!$C$27, 0.0021, 0)</f>
        <v>61.841699999999996</v>
      </c>
      <c r="H339" s="14">
        <f>61.7049 * CHOOSE(CONTROL!$C$9, $D$9, 100%, $F$9) + CHOOSE(CONTROL!$C$27, 0.0021, 0)</f>
        <v>61.707000000000001</v>
      </c>
      <c r="I339" s="14">
        <f>61.7049 * CHOOSE(CONTROL!$C$9, $D$9, 100%, $F$9) + CHOOSE(CONTROL!$C$27, 0.0021, 0)</f>
        <v>61.707000000000001</v>
      </c>
      <c r="J339" s="14">
        <f>61.7049 * CHOOSE(CONTROL!$C$9, $D$9, 100%, $F$9) + CHOOSE(CONTROL!$C$27, 0.0021, 0)</f>
        <v>61.707000000000001</v>
      </c>
      <c r="K339" s="14">
        <f>61.7049 * CHOOSE(CONTROL!$C$9, $D$9, 100%, $F$9) + CHOOSE(CONTROL!$C$27, 0.0021, 0)</f>
        <v>61.707000000000001</v>
      </c>
      <c r="L339" s="14"/>
    </row>
    <row r="340" spans="1:12" ht="15.75" x14ac:dyDescent="0.25">
      <c r="A340" s="32">
        <v>51287</v>
      </c>
      <c r="B340" s="14">
        <f>63.3939 * CHOOSE(CONTROL!$C$9, $D$9, 100%, $F$9) + CHOOSE(CONTROL!$C$27, 0.0021, 0)</f>
        <v>63.396000000000001</v>
      </c>
      <c r="C340" s="14">
        <f>62.9617 * CHOOSE(CONTROL!$C$9, $D$9, 100%, $F$9) + CHOOSE(CONTROL!$C$27, 0.0021, 0)</f>
        <v>62.963799999999999</v>
      </c>
      <c r="D340" s="14">
        <f>62.9617 * CHOOSE(CONTROL!$C$9, $D$9, 100%, $F$9) + CHOOSE(CONTROL!$C$27, 0.0021, 0)</f>
        <v>62.963799999999999</v>
      </c>
      <c r="E340" s="14">
        <f>62.825 * CHOOSE(CONTROL!$C$9, $D$9, 100%, $F$9) + CHOOSE(CONTROL!$C$27, 0.0021, 0)</f>
        <v>62.827100000000002</v>
      </c>
      <c r="F340" s="14">
        <f>62.825 * CHOOSE(CONTROL!$C$9, $D$9, 100%, $F$9) + CHOOSE(CONTROL!$C$27, 0.0021, 0)</f>
        <v>62.827100000000002</v>
      </c>
      <c r="G340" s="14">
        <f>63.0964 * CHOOSE(CONTROL!$C$9, $D$9, 100%, $F$9) + CHOOSE(CONTROL!$C$27, 0.0021, 0)</f>
        <v>63.098500000000001</v>
      </c>
      <c r="H340" s="14">
        <f>62.9617 * CHOOSE(CONTROL!$C$9, $D$9, 100%, $F$9) + CHOOSE(CONTROL!$C$27, 0.0021, 0)</f>
        <v>62.963799999999999</v>
      </c>
      <c r="I340" s="14">
        <f>62.9617 * CHOOSE(CONTROL!$C$9, $D$9, 100%, $F$9) + CHOOSE(CONTROL!$C$27, 0.0021, 0)</f>
        <v>62.963799999999999</v>
      </c>
      <c r="J340" s="14">
        <f>62.9617 * CHOOSE(CONTROL!$C$9, $D$9, 100%, $F$9) + CHOOSE(CONTROL!$C$27, 0.0021, 0)</f>
        <v>62.963799999999999</v>
      </c>
      <c r="K340" s="14">
        <f>62.9617 * CHOOSE(CONTROL!$C$9, $D$9, 100%, $F$9) + CHOOSE(CONTROL!$C$27, 0.0021, 0)</f>
        <v>62.963799999999999</v>
      </c>
      <c r="L340" s="14"/>
    </row>
    <row r="341" spans="1:12" ht="15.75" x14ac:dyDescent="0.25">
      <c r="A341" s="32">
        <v>51317</v>
      </c>
      <c r="B341" s="14">
        <f>64.1467 * CHOOSE(CONTROL!$C$9, $D$9, 100%, $F$9) + CHOOSE(CONTROL!$C$27, 0.0021, 0)</f>
        <v>64.148799999999994</v>
      </c>
      <c r="C341" s="14">
        <f>63.7144 * CHOOSE(CONTROL!$C$9, $D$9, 100%, $F$9) + CHOOSE(CONTROL!$C$27, 0.0021, 0)</f>
        <v>63.716499999999996</v>
      </c>
      <c r="D341" s="14">
        <f>63.7144 * CHOOSE(CONTROL!$C$9, $D$9, 100%, $F$9) + CHOOSE(CONTROL!$C$27, 0.0021, 0)</f>
        <v>63.716499999999996</v>
      </c>
      <c r="E341" s="14">
        <f>63.5778 * CHOOSE(CONTROL!$C$9, $D$9, 100%, $F$9) + CHOOSE(CONTROL!$C$27, 0.0021, 0)</f>
        <v>63.579900000000002</v>
      </c>
      <c r="F341" s="14">
        <f>63.5778 * CHOOSE(CONTROL!$C$9, $D$9, 100%, $F$9) + CHOOSE(CONTROL!$C$27, 0.0021, 0)</f>
        <v>63.579900000000002</v>
      </c>
      <c r="G341" s="14">
        <f>63.8491 * CHOOSE(CONTROL!$C$9, $D$9, 100%, $F$9) + CHOOSE(CONTROL!$C$27, 0.0021, 0)</f>
        <v>63.851199999999999</v>
      </c>
      <c r="H341" s="14">
        <f>63.7144 * CHOOSE(CONTROL!$C$9, $D$9, 100%, $F$9) + CHOOSE(CONTROL!$C$27, 0.0021, 0)</f>
        <v>63.716499999999996</v>
      </c>
      <c r="I341" s="14">
        <f>63.7144 * CHOOSE(CONTROL!$C$9, $D$9, 100%, $F$9) + CHOOSE(CONTROL!$C$27, 0.0021, 0)</f>
        <v>63.716499999999996</v>
      </c>
      <c r="J341" s="14">
        <f>63.7144 * CHOOSE(CONTROL!$C$9, $D$9, 100%, $F$9) + CHOOSE(CONTROL!$C$27, 0.0021, 0)</f>
        <v>63.716499999999996</v>
      </c>
      <c r="K341" s="14">
        <f>63.7144 * CHOOSE(CONTROL!$C$9, $D$9, 100%, $F$9) + CHOOSE(CONTROL!$C$27, 0.0021, 0)</f>
        <v>63.716499999999996</v>
      </c>
      <c r="L341" s="14"/>
    </row>
    <row r="342" spans="1:12" ht="15.75" x14ac:dyDescent="0.25">
      <c r="A342" s="32">
        <v>51348</v>
      </c>
      <c r="B342" s="14">
        <f>65.3884 * CHOOSE(CONTROL!$C$9, $D$9, 100%, $F$9) + CHOOSE(CONTROL!$C$27, 0.0021, 0)</f>
        <v>65.390500000000003</v>
      </c>
      <c r="C342" s="14">
        <f>64.9562 * CHOOSE(CONTROL!$C$9, $D$9, 100%, $F$9) + CHOOSE(CONTROL!$C$27, 0.0021, 0)</f>
        <v>64.958299999999994</v>
      </c>
      <c r="D342" s="14">
        <f>64.9562 * CHOOSE(CONTROL!$C$9, $D$9, 100%, $F$9) + CHOOSE(CONTROL!$C$27, 0.0021, 0)</f>
        <v>64.958299999999994</v>
      </c>
      <c r="E342" s="14">
        <f>64.8195 * CHOOSE(CONTROL!$C$9, $D$9, 100%, $F$9) + CHOOSE(CONTROL!$C$27, 0.0021, 0)</f>
        <v>64.821600000000004</v>
      </c>
      <c r="F342" s="14">
        <f>64.8195 * CHOOSE(CONTROL!$C$9, $D$9, 100%, $F$9) + CHOOSE(CONTROL!$C$27, 0.0021, 0)</f>
        <v>64.821600000000004</v>
      </c>
      <c r="G342" s="14">
        <f>65.0909 * CHOOSE(CONTROL!$C$9, $D$9, 100%, $F$9) + CHOOSE(CONTROL!$C$27, 0.0021, 0)</f>
        <v>65.093000000000004</v>
      </c>
      <c r="H342" s="14">
        <f>64.9562 * CHOOSE(CONTROL!$C$9, $D$9, 100%, $F$9) + CHOOSE(CONTROL!$C$27, 0.0021, 0)</f>
        <v>64.958299999999994</v>
      </c>
      <c r="I342" s="14">
        <f>64.9562 * CHOOSE(CONTROL!$C$9, $D$9, 100%, $F$9) + CHOOSE(CONTROL!$C$27, 0.0021, 0)</f>
        <v>64.958299999999994</v>
      </c>
      <c r="J342" s="14">
        <f>64.9562 * CHOOSE(CONTROL!$C$9, $D$9, 100%, $F$9) + CHOOSE(CONTROL!$C$27, 0.0021, 0)</f>
        <v>64.958299999999994</v>
      </c>
      <c r="K342" s="14">
        <f>64.9562 * CHOOSE(CONTROL!$C$9, $D$9, 100%, $F$9) + CHOOSE(CONTROL!$C$27, 0.0021, 0)</f>
        <v>64.958299999999994</v>
      </c>
      <c r="L342" s="14"/>
    </row>
    <row r="343" spans="1:12" ht="15.75" x14ac:dyDescent="0.25">
      <c r="A343" s="32">
        <v>51379</v>
      </c>
      <c r="B343" s="14">
        <f>65.7675 * CHOOSE(CONTROL!$C$9, $D$9, 100%, $F$9) + CHOOSE(CONTROL!$C$27, 0.0021, 0)</f>
        <v>65.769599999999997</v>
      </c>
      <c r="C343" s="14">
        <f>65.3352 * CHOOSE(CONTROL!$C$9, $D$9, 100%, $F$9) + CHOOSE(CONTROL!$C$27, 0.0021, 0)</f>
        <v>65.337299999999999</v>
      </c>
      <c r="D343" s="14">
        <f>65.3352 * CHOOSE(CONTROL!$C$9, $D$9, 100%, $F$9) + CHOOSE(CONTROL!$C$27, 0.0021, 0)</f>
        <v>65.337299999999999</v>
      </c>
      <c r="E343" s="14">
        <f>65.1986 * CHOOSE(CONTROL!$C$9, $D$9, 100%, $F$9) + CHOOSE(CONTROL!$C$27, 0.0021, 0)</f>
        <v>65.200699999999998</v>
      </c>
      <c r="F343" s="14">
        <f>65.1986 * CHOOSE(CONTROL!$C$9, $D$9, 100%, $F$9) + CHOOSE(CONTROL!$C$27, 0.0021, 0)</f>
        <v>65.200699999999998</v>
      </c>
      <c r="G343" s="14">
        <f>65.4699 * CHOOSE(CONTROL!$C$9, $D$9, 100%, $F$9) + CHOOSE(CONTROL!$C$27, 0.0021, 0)</f>
        <v>65.471999999999994</v>
      </c>
      <c r="H343" s="14">
        <f>65.3352 * CHOOSE(CONTROL!$C$9, $D$9, 100%, $F$9) + CHOOSE(CONTROL!$C$27, 0.0021, 0)</f>
        <v>65.337299999999999</v>
      </c>
      <c r="I343" s="14">
        <f>65.3352 * CHOOSE(CONTROL!$C$9, $D$9, 100%, $F$9) + CHOOSE(CONTROL!$C$27, 0.0021, 0)</f>
        <v>65.337299999999999</v>
      </c>
      <c r="J343" s="14">
        <f>65.3352 * CHOOSE(CONTROL!$C$9, $D$9, 100%, $F$9) + CHOOSE(CONTROL!$C$27, 0.0021, 0)</f>
        <v>65.337299999999999</v>
      </c>
      <c r="K343" s="14">
        <f>65.3352 * CHOOSE(CONTROL!$C$9, $D$9, 100%, $F$9) + CHOOSE(CONTROL!$C$27, 0.0021, 0)</f>
        <v>65.337299999999999</v>
      </c>
      <c r="L343" s="14"/>
    </row>
    <row r="344" spans="1:12" ht="15.75" x14ac:dyDescent="0.25">
      <c r="A344" s="32">
        <v>51409</v>
      </c>
      <c r="B344" s="14">
        <f>67.0582 * CHOOSE(CONTROL!$C$9, $D$9, 100%, $F$9) + CHOOSE(CONTROL!$C$27, 0.0021, 0)</f>
        <v>67.060299999999998</v>
      </c>
      <c r="C344" s="14">
        <f>66.626 * CHOOSE(CONTROL!$C$9, $D$9, 100%, $F$9) + CHOOSE(CONTROL!$C$27, 0.0021, 0)</f>
        <v>66.628100000000003</v>
      </c>
      <c r="D344" s="14">
        <f>66.626 * CHOOSE(CONTROL!$C$9, $D$9, 100%, $F$9) + CHOOSE(CONTROL!$C$27, 0.0021, 0)</f>
        <v>66.628100000000003</v>
      </c>
      <c r="E344" s="14">
        <f>66.4893 * CHOOSE(CONTROL!$C$9, $D$9, 100%, $F$9) + CHOOSE(CONTROL!$C$27, 0.0021, 0)</f>
        <v>66.491399999999999</v>
      </c>
      <c r="F344" s="14">
        <f>66.4893 * CHOOSE(CONTROL!$C$9, $D$9, 100%, $F$9) + CHOOSE(CONTROL!$C$27, 0.0021, 0)</f>
        <v>66.491399999999999</v>
      </c>
      <c r="G344" s="14">
        <f>66.7607 * CHOOSE(CONTROL!$C$9, $D$9, 100%, $F$9) + CHOOSE(CONTROL!$C$27, 0.0021, 0)</f>
        <v>66.762799999999999</v>
      </c>
      <c r="H344" s="14">
        <f>66.626 * CHOOSE(CONTROL!$C$9, $D$9, 100%, $F$9) + CHOOSE(CONTROL!$C$27, 0.0021, 0)</f>
        <v>66.628100000000003</v>
      </c>
      <c r="I344" s="14">
        <f>66.626 * CHOOSE(CONTROL!$C$9, $D$9, 100%, $F$9) + CHOOSE(CONTROL!$C$27, 0.0021, 0)</f>
        <v>66.628100000000003</v>
      </c>
      <c r="J344" s="14">
        <f>66.626 * CHOOSE(CONTROL!$C$9, $D$9, 100%, $F$9) + CHOOSE(CONTROL!$C$27, 0.0021, 0)</f>
        <v>66.628100000000003</v>
      </c>
      <c r="K344" s="14">
        <f>66.626 * CHOOSE(CONTROL!$C$9, $D$9, 100%, $F$9) + CHOOSE(CONTROL!$C$27, 0.0021, 0)</f>
        <v>66.628100000000003</v>
      </c>
      <c r="L344" s="14"/>
    </row>
    <row r="345" spans="1:12" ht="15.75" x14ac:dyDescent="0.25">
      <c r="A345" s="32">
        <v>51440</v>
      </c>
      <c r="B345" s="14">
        <f>68.6921 * CHOOSE(CONTROL!$C$9, $D$9, 100%, $F$9) + CHOOSE(CONTROL!$C$27, 0.0021, 0)</f>
        <v>68.694199999999995</v>
      </c>
      <c r="C345" s="14">
        <f>68.2599 * CHOOSE(CONTROL!$C$9, $D$9, 100%, $F$9) + CHOOSE(CONTROL!$C$27, 0.0021, 0)</f>
        <v>68.262</v>
      </c>
      <c r="D345" s="14">
        <f>68.2599 * CHOOSE(CONTROL!$C$9, $D$9, 100%, $F$9) + CHOOSE(CONTROL!$C$27, 0.0021, 0)</f>
        <v>68.262</v>
      </c>
      <c r="E345" s="14">
        <f>68.1232 * CHOOSE(CONTROL!$C$9, $D$9, 100%, $F$9) + CHOOSE(CONTROL!$C$27, 0.0021, 0)</f>
        <v>68.125299999999996</v>
      </c>
      <c r="F345" s="14">
        <f>68.1232 * CHOOSE(CONTROL!$C$9, $D$9, 100%, $F$9) + CHOOSE(CONTROL!$C$27, 0.0021, 0)</f>
        <v>68.125299999999996</v>
      </c>
      <c r="G345" s="14">
        <f>68.3946 * CHOOSE(CONTROL!$C$9, $D$9, 100%, $F$9) + CHOOSE(CONTROL!$C$27, 0.0021, 0)</f>
        <v>68.396699999999996</v>
      </c>
      <c r="H345" s="14">
        <f>68.2599 * CHOOSE(CONTROL!$C$9, $D$9, 100%, $F$9) + CHOOSE(CONTROL!$C$27, 0.0021, 0)</f>
        <v>68.262</v>
      </c>
      <c r="I345" s="14">
        <f>68.2599 * CHOOSE(CONTROL!$C$9, $D$9, 100%, $F$9) + CHOOSE(CONTROL!$C$27, 0.0021, 0)</f>
        <v>68.262</v>
      </c>
      <c r="J345" s="14">
        <f>68.2599 * CHOOSE(CONTROL!$C$9, $D$9, 100%, $F$9) + CHOOSE(CONTROL!$C$27, 0.0021, 0)</f>
        <v>68.262</v>
      </c>
      <c r="K345" s="14">
        <f>68.2599 * CHOOSE(CONTROL!$C$9, $D$9, 100%, $F$9) + CHOOSE(CONTROL!$C$27, 0.0021, 0)</f>
        <v>68.262</v>
      </c>
      <c r="L345" s="14"/>
    </row>
    <row r="346" spans="1:12" ht="15.75" x14ac:dyDescent="0.25">
      <c r="A346" s="32">
        <v>51470</v>
      </c>
      <c r="B346" s="14">
        <f>68.8455 * CHOOSE(CONTROL!$C$9, $D$9, 100%, $F$9) + CHOOSE(CONTROL!$C$27, 0.0021, 0)</f>
        <v>68.8476</v>
      </c>
      <c r="C346" s="14">
        <f>68.4132 * CHOOSE(CONTROL!$C$9, $D$9, 100%, $F$9) + CHOOSE(CONTROL!$C$27, 0.0021, 0)</f>
        <v>68.415300000000002</v>
      </c>
      <c r="D346" s="14">
        <f>68.4132 * CHOOSE(CONTROL!$C$9, $D$9, 100%, $F$9) + CHOOSE(CONTROL!$C$27, 0.0021, 0)</f>
        <v>68.415300000000002</v>
      </c>
      <c r="E346" s="14">
        <f>68.2766 * CHOOSE(CONTROL!$C$9, $D$9, 100%, $F$9) + CHOOSE(CONTROL!$C$27, 0.0021, 0)</f>
        <v>68.278700000000001</v>
      </c>
      <c r="F346" s="14">
        <f>68.2766 * CHOOSE(CONTROL!$C$9, $D$9, 100%, $F$9) + CHOOSE(CONTROL!$C$27, 0.0021, 0)</f>
        <v>68.278700000000001</v>
      </c>
      <c r="G346" s="14">
        <f>68.548 * CHOOSE(CONTROL!$C$9, $D$9, 100%, $F$9) + CHOOSE(CONTROL!$C$27, 0.0021, 0)</f>
        <v>68.5501</v>
      </c>
      <c r="H346" s="14">
        <f>68.4132 * CHOOSE(CONTROL!$C$9, $D$9, 100%, $F$9) + CHOOSE(CONTROL!$C$27, 0.0021, 0)</f>
        <v>68.415300000000002</v>
      </c>
      <c r="I346" s="14">
        <f>68.4132 * CHOOSE(CONTROL!$C$9, $D$9, 100%, $F$9) + CHOOSE(CONTROL!$C$27, 0.0021, 0)</f>
        <v>68.415300000000002</v>
      </c>
      <c r="J346" s="14">
        <f>68.4132 * CHOOSE(CONTROL!$C$9, $D$9, 100%, $F$9) + CHOOSE(CONTROL!$C$27, 0.0021, 0)</f>
        <v>68.415300000000002</v>
      </c>
      <c r="K346" s="14">
        <f>68.4132 * CHOOSE(CONTROL!$C$9, $D$9, 100%, $F$9) + CHOOSE(CONTROL!$C$27, 0.0021, 0)</f>
        <v>68.415300000000002</v>
      </c>
      <c r="L346" s="14"/>
    </row>
    <row r="347" spans="1:12" ht="15.75" x14ac:dyDescent="0.25">
      <c r="A347" s="32">
        <v>51501</v>
      </c>
      <c r="B347" s="14">
        <f>67.5405 * CHOOSE(CONTROL!$C$9, $D$9, 100%, $F$9) + CHOOSE(CONTROL!$C$27, 0.0021, 0)</f>
        <v>67.542599999999993</v>
      </c>
      <c r="C347" s="14">
        <f>67.1083 * CHOOSE(CONTROL!$C$9, $D$9, 100%, $F$9) + CHOOSE(CONTROL!$C$27, 0.0021, 0)</f>
        <v>67.110399999999998</v>
      </c>
      <c r="D347" s="14">
        <f>67.1083 * CHOOSE(CONTROL!$C$9, $D$9, 100%, $F$9) + CHOOSE(CONTROL!$C$27, 0.0021, 0)</f>
        <v>67.110399999999998</v>
      </c>
      <c r="E347" s="14">
        <f>66.9716 * CHOOSE(CONTROL!$C$9, $D$9, 100%, $F$9) + CHOOSE(CONTROL!$C$27, 0.0021, 0)</f>
        <v>66.973699999999994</v>
      </c>
      <c r="F347" s="14">
        <f>66.9716 * CHOOSE(CONTROL!$C$9, $D$9, 100%, $F$9) + CHOOSE(CONTROL!$C$27, 0.0021, 0)</f>
        <v>66.973699999999994</v>
      </c>
      <c r="G347" s="14">
        <f>67.243 * CHOOSE(CONTROL!$C$9, $D$9, 100%, $F$9) + CHOOSE(CONTROL!$C$27, 0.0021, 0)</f>
        <v>67.245099999999994</v>
      </c>
      <c r="H347" s="14">
        <f>67.1083 * CHOOSE(CONTROL!$C$9, $D$9, 100%, $F$9) + CHOOSE(CONTROL!$C$27, 0.0021, 0)</f>
        <v>67.110399999999998</v>
      </c>
      <c r="I347" s="14">
        <f>67.1083 * CHOOSE(CONTROL!$C$9, $D$9, 100%, $F$9) + CHOOSE(CONTROL!$C$27, 0.0021, 0)</f>
        <v>67.110399999999998</v>
      </c>
      <c r="J347" s="14">
        <f>67.1083 * CHOOSE(CONTROL!$C$9, $D$9, 100%, $F$9) + CHOOSE(CONTROL!$C$27, 0.0021, 0)</f>
        <v>67.110399999999998</v>
      </c>
      <c r="K347" s="14">
        <f>67.1083 * CHOOSE(CONTROL!$C$9, $D$9, 100%, $F$9) + CHOOSE(CONTROL!$C$27, 0.0021, 0)</f>
        <v>67.110399999999998</v>
      </c>
      <c r="L347" s="14"/>
    </row>
    <row r="348" spans="1:12" ht="15.75" x14ac:dyDescent="0.25">
      <c r="A348" s="32">
        <v>51532</v>
      </c>
      <c r="B348" s="14">
        <f>66.7157 * CHOOSE(CONTROL!$C$9, $D$9, 100%, $F$9) + CHOOSE(CONTROL!$C$27, 0.0021, 0)</f>
        <v>66.717799999999997</v>
      </c>
      <c r="C348" s="14">
        <f>66.2835 * CHOOSE(CONTROL!$C$9, $D$9, 100%, $F$9) + CHOOSE(CONTROL!$C$27, 0.0021, 0)</f>
        <v>66.285600000000002</v>
      </c>
      <c r="D348" s="14">
        <f>66.2835 * CHOOSE(CONTROL!$C$9, $D$9, 100%, $F$9) + CHOOSE(CONTROL!$C$27, 0.0021, 0)</f>
        <v>66.285600000000002</v>
      </c>
      <c r="E348" s="14">
        <f>66.1468 * CHOOSE(CONTROL!$C$9, $D$9, 100%, $F$9) + CHOOSE(CONTROL!$C$27, 0.0021, 0)</f>
        <v>66.148899999999998</v>
      </c>
      <c r="F348" s="14">
        <f>66.1468 * CHOOSE(CONTROL!$C$9, $D$9, 100%, $F$9) + CHOOSE(CONTROL!$C$27, 0.0021, 0)</f>
        <v>66.148899999999998</v>
      </c>
      <c r="G348" s="14">
        <f>66.4182 * CHOOSE(CONTROL!$C$9, $D$9, 100%, $F$9) + CHOOSE(CONTROL!$C$27, 0.0021, 0)</f>
        <v>66.420299999999997</v>
      </c>
      <c r="H348" s="14">
        <f>66.2835 * CHOOSE(CONTROL!$C$9, $D$9, 100%, $F$9) + CHOOSE(CONTROL!$C$27, 0.0021, 0)</f>
        <v>66.285600000000002</v>
      </c>
      <c r="I348" s="14">
        <f>66.2835 * CHOOSE(CONTROL!$C$9, $D$9, 100%, $F$9) + CHOOSE(CONTROL!$C$27, 0.0021, 0)</f>
        <v>66.285600000000002</v>
      </c>
      <c r="J348" s="14">
        <f>66.2835 * CHOOSE(CONTROL!$C$9, $D$9, 100%, $F$9) + CHOOSE(CONTROL!$C$27, 0.0021, 0)</f>
        <v>66.285600000000002</v>
      </c>
      <c r="K348" s="14">
        <f>66.2835 * CHOOSE(CONTROL!$C$9, $D$9, 100%, $F$9) + CHOOSE(CONTROL!$C$27, 0.0021, 0)</f>
        <v>66.285600000000002</v>
      </c>
      <c r="L348" s="14"/>
    </row>
    <row r="349" spans="1:12" ht="15.75" x14ac:dyDescent="0.25">
      <c r="A349" s="32">
        <v>51560</v>
      </c>
      <c r="B349" s="14">
        <f>64.8935 * CHOOSE(CONTROL!$C$9, $D$9, 100%, $F$9) + CHOOSE(CONTROL!$C$27, 0.0021, 0)</f>
        <v>64.895600000000002</v>
      </c>
      <c r="C349" s="14">
        <f>64.4613 * CHOOSE(CONTROL!$C$9, $D$9, 100%, $F$9) + CHOOSE(CONTROL!$C$27, 0.0021, 0)</f>
        <v>64.463399999999993</v>
      </c>
      <c r="D349" s="14">
        <f>64.4613 * CHOOSE(CONTROL!$C$9, $D$9, 100%, $F$9) + CHOOSE(CONTROL!$C$27, 0.0021, 0)</f>
        <v>64.463399999999993</v>
      </c>
      <c r="E349" s="14">
        <f>64.3246 * CHOOSE(CONTROL!$C$9, $D$9, 100%, $F$9) + CHOOSE(CONTROL!$C$27, 0.0021, 0)</f>
        <v>64.326700000000002</v>
      </c>
      <c r="F349" s="14">
        <f>64.3246 * CHOOSE(CONTROL!$C$9, $D$9, 100%, $F$9) + CHOOSE(CONTROL!$C$27, 0.0021, 0)</f>
        <v>64.326700000000002</v>
      </c>
      <c r="G349" s="14">
        <f>64.596 * CHOOSE(CONTROL!$C$9, $D$9, 100%, $F$9) + CHOOSE(CONTROL!$C$27, 0.0021, 0)</f>
        <v>64.598100000000002</v>
      </c>
      <c r="H349" s="14">
        <f>64.4613 * CHOOSE(CONTROL!$C$9, $D$9, 100%, $F$9) + CHOOSE(CONTROL!$C$27, 0.0021, 0)</f>
        <v>64.463399999999993</v>
      </c>
      <c r="I349" s="14">
        <f>64.4613 * CHOOSE(CONTROL!$C$9, $D$9, 100%, $F$9) + CHOOSE(CONTROL!$C$27, 0.0021, 0)</f>
        <v>64.463399999999993</v>
      </c>
      <c r="J349" s="14">
        <f>64.4613 * CHOOSE(CONTROL!$C$9, $D$9, 100%, $F$9) + CHOOSE(CONTROL!$C$27, 0.0021, 0)</f>
        <v>64.463399999999993</v>
      </c>
      <c r="K349" s="14">
        <f>64.4613 * CHOOSE(CONTROL!$C$9, $D$9, 100%, $F$9) + CHOOSE(CONTROL!$C$27, 0.0021, 0)</f>
        <v>64.463399999999993</v>
      </c>
      <c r="L349" s="14"/>
    </row>
    <row r="350" spans="1:12" ht="15.75" x14ac:dyDescent="0.25">
      <c r="A350" s="32">
        <v>51591</v>
      </c>
      <c r="B350" s="14">
        <f>64.1413 * CHOOSE(CONTROL!$C$9, $D$9, 100%, $F$9) + CHOOSE(CONTROL!$C$27, 0.0021, 0)</f>
        <v>64.1434</v>
      </c>
      <c r="C350" s="14">
        <f>63.709 * CHOOSE(CONTROL!$C$9, $D$9, 100%, $F$9) + CHOOSE(CONTROL!$C$27, 0.0021, 0)</f>
        <v>63.711100000000002</v>
      </c>
      <c r="D350" s="14">
        <f>63.709 * CHOOSE(CONTROL!$C$9, $D$9, 100%, $F$9) + CHOOSE(CONTROL!$C$27, 0.0021, 0)</f>
        <v>63.711100000000002</v>
      </c>
      <c r="E350" s="14">
        <f>63.5724 * CHOOSE(CONTROL!$C$9, $D$9, 100%, $F$9) + CHOOSE(CONTROL!$C$27, 0.0021, 0)</f>
        <v>63.5745</v>
      </c>
      <c r="F350" s="14">
        <f>63.5724 * CHOOSE(CONTROL!$C$9, $D$9, 100%, $F$9) + CHOOSE(CONTROL!$C$27, 0.0021, 0)</f>
        <v>63.5745</v>
      </c>
      <c r="G350" s="14">
        <f>63.8438 * CHOOSE(CONTROL!$C$9, $D$9, 100%, $F$9) + CHOOSE(CONTROL!$C$27, 0.0021, 0)</f>
        <v>63.8459</v>
      </c>
      <c r="H350" s="14">
        <f>63.709 * CHOOSE(CONTROL!$C$9, $D$9, 100%, $F$9) + CHOOSE(CONTROL!$C$27, 0.0021, 0)</f>
        <v>63.711100000000002</v>
      </c>
      <c r="I350" s="14">
        <f>63.709 * CHOOSE(CONTROL!$C$9, $D$9, 100%, $F$9) + CHOOSE(CONTROL!$C$27, 0.0021, 0)</f>
        <v>63.711100000000002</v>
      </c>
      <c r="J350" s="14">
        <f>63.709 * CHOOSE(CONTROL!$C$9, $D$9, 100%, $F$9) + CHOOSE(CONTROL!$C$27, 0.0021, 0)</f>
        <v>63.711100000000002</v>
      </c>
      <c r="K350" s="14">
        <f>63.709 * CHOOSE(CONTROL!$C$9, $D$9, 100%, $F$9) + CHOOSE(CONTROL!$C$27, 0.0021, 0)</f>
        <v>63.711100000000002</v>
      </c>
      <c r="L350" s="14"/>
    </row>
    <row r="351" spans="1:12" ht="15.75" x14ac:dyDescent="0.25">
      <c r="A351" s="32">
        <v>51621</v>
      </c>
      <c r="B351" s="14">
        <f>63.2431 * CHOOSE(CONTROL!$C$9, $D$9, 100%, $F$9) + CHOOSE(CONTROL!$C$27, 0.0021, 0)</f>
        <v>63.245199999999997</v>
      </c>
      <c r="C351" s="14">
        <f>62.8109 * CHOOSE(CONTROL!$C$9, $D$9, 100%, $F$9) + CHOOSE(CONTROL!$C$27, 0.0021, 0)</f>
        <v>62.812999999999995</v>
      </c>
      <c r="D351" s="14">
        <f>62.8109 * CHOOSE(CONTROL!$C$9, $D$9, 100%, $F$9) + CHOOSE(CONTROL!$C$27, 0.0021, 0)</f>
        <v>62.812999999999995</v>
      </c>
      <c r="E351" s="14">
        <f>62.6742 * CHOOSE(CONTROL!$C$9, $D$9, 100%, $F$9) + CHOOSE(CONTROL!$C$27, 0.0021, 0)</f>
        <v>62.676299999999998</v>
      </c>
      <c r="F351" s="14">
        <f>62.6742 * CHOOSE(CONTROL!$C$9, $D$9, 100%, $F$9) + CHOOSE(CONTROL!$C$27, 0.0021, 0)</f>
        <v>62.676299999999998</v>
      </c>
      <c r="G351" s="14">
        <f>62.9456 * CHOOSE(CONTROL!$C$9, $D$9, 100%, $F$9) + CHOOSE(CONTROL!$C$27, 0.0021, 0)</f>
        <v>62.947699999999998</v>
      </c>
      <c r="H351" s="14">
        <f>62.8109 * CHOOSE(CONTROL!$C$9, $D$9, 100%, $F$9) + CHOOSE(CONTROL!$C$27, 0.0021, 0)</f>
        <v>62.812999999999995</v>
      </c>
      <c r="I351" s="14">
        <f>62.8109 * CHOOSE(CONTROL!$C$9, $D$9, 100%, $F$9) + CHOOSE(CONTROL!$C$27, 0.0021, 0)</f>
        <v>62.812999999999995</v>
      </c>
      <c r="J351" s="14">
        <f>62.8109 * CHOOSE(CONTROL!$C$9, $D$9, 100%, $F$9) + CHOOSE(CONTROL!$C$27, 0.0021, 0)</f>
        <v>62.812999999999995</v>
      </c>
      <c r="K351" s="14">
        <f>62.8109 * CHOOSE(CONTROL!$C$9, $D$9, 100%, $F$9) + CHOOSE(CONTROL!$C$27, 0.0021, 0)</f>
        <v>62.812999999999995</v>
      </c>
      <c r="L351" s="14"/>
    </row>
    <row r="352" spans="1:12" ht="15.75" x14ac:dyDescent="0.25">
      <c r="A352" s="32">
        <v>51652</v>
      </c>
      <c r="B352" s="14">
        <f>64.5231 * CHOOSE(CONTROL!$C$9, $D$9, 100%, $F$9) + CHOOSE(CONTROL!$C$27, 0.0021, 0)</f>
        <v>64.525199999999998</v>
      </c>
      <c r="C352" s="14">
        <f>64.0909 * CHOOSE(CONTROL!$C$9, $D$9, 100%, $F$9) + CHOOSE(CONTROL!$C$27, 0.0021, 0)</f>
        <v>64.093000000000004</v>
      </c>
      <c r="D352" s="14">
        <f>64.0909 * CHOOSE(CONTROL!$C$9, $D$9, 100%, $F$9) + CHOOSE(CONTROL!$C$27, 0.0021, 0)</f>
        <v>64.093000000000004</v>
      </c>
      <c r="E352" s="14">
        <f>63.9542 * CHOOSE(CONTROL!$C$9, $D$9, 100%, $F$9) + CHOOSE(CONTROL!$C$27, 0.0021, 0)</f>
        <v>63.956299999999999</v>
      </c>
      <c r="F352" s="14">
        <f>63.9542 * CHOOSE(CONTROL!$C$9, $D$9, 100%, $F$9) + CHOOSE(CONTROL!$C$27, 0.0021, 0)</f>
        <v>63.956299999999999</v>
      </c>
      <c r="G352" s="14">
        <f>64.2256 * CHOOSE(CONTROL!$C$9, $D$9, 100%, $F$9) + CHOOSE(CONTROL!$C$27, 0.0021, 0)</f>
        <v>64.227699999999999</v>
      </c>
      <c r="H352" s="14">
        <f>64.0909 * CHOOSE(CONTROL!$C$9, $D$9, 100%, $F$9) + CHOOSE(CONTROL!$C$27, 0.0021, 0)</f>
        <v>64.093000000000004</v>
      </c>
      <c r="I352" s="14">
        <f>64.0909 * CHOOSE(CONTROL!$C$9, $D$9, 100%, $F$9) + CHOOSE(CONTROL!$C$27, 0.0021, 0)</f>
        <v>64.093000000000004</v>
      </c>
      <c r="J352" s="14">
        <f>64.0909 * CHOOSE(CONTROL!$C$9, $D$9, 100%, $F$9) + CHOOSE(CONTROL!$C$27, 0.0021, 0)</f>
        <v>64.093000000000004</v>
      </c>
      <c r="K352" s="14">
        <f>64.0909 * CHOOSE(CONTROL!$C$9, $D$9, 100%, $F$9) + CHOOSE(CONTROL!$C$27, 0.0021, 0)</f>
        <v>64.093000000000004</v>
      </c>
      <c r="L352" s="14"/>
    </row>
    <row r="353" spans="1:12" ht="15.75" x14ac:dyDescent="0.25">
      <c r="A353" s="32">
        <v>51682</v>
      </c>
      <c r="B353" s="14">
        <f>65.2898 * CHOOSE(CONTROL!$C$9, $D$9, 100%, $F$9) + CHOOSE(CONTROL!$C$27, 0.0021, 0)</f>
        <v>65.291899999999998</v>
      </c>
      <c r="C353" s="14">
        <f>64.8575 * CHOOSE(CONTROL!$C$9, $D$9, 100%, $F$9) + CHOOSE(CONTROL!$C$27, 0.0021, 0)</f>
        <v>64.8596</v>
      </c>
      <c r="D353" s="14">
        <f>64.8575 * CHOOSE(CONTROL!$C$9, $D$9, 100%, $F$9) + CHOOSE(CONTROL!$C$27, 0.0021, 0)</f>
        <v>64.8596</v>
      </c>
      <c r="E353" s="14">
        <f>64.7209 * CHOOSE(CONTROL!$C$9, $D$9, 100%, $F$9) + CHOOSE(CONTROL!$C$27, 0.0021, 0)</f>
        <v>64.722999999999999</v>
      </c>
      <c r="F353" s="14">
        <f>64.7209 * CHOOSE(CONTROL!$C$9, $D$9, 100%, $F$9) + CHOOSE(CONTROL!$C$27, 0.0021, 0)</f>
        <v>64.722999999999999</v>
      </c>
      <c r="G353" s="14">
        <f>64.9923 * CHOOSE(CONTROL!$C$9, $D$9, 100%, $F$9) + CHOOSE(CONTROL!$C$27, 0.0021, 0)</f>
        <v>64.994399999999999</v>
      </c>
      <c r="H353" s="14">
        <f>64.8575 * CHOOSE(CONTROL!$C$9, $D$9, 100%, $F$9) + CHOOSE(CONTROL!$C$27, 0.0021, 0)</f>
        <v>64.8596</v>
      </c>
      <c r="I353" s="14">
        <f>64.8575 * CHOOSE(CONTROL!$C$9, $D$9, 100%, $F$9) + CHOOSE(CONTROL!$C$27, 0.0021, 0)</f>
        <v>64.8596</v>
      </c>
      <c r="J353" s="14">
        <f>64.8575 * CHOOSE(CONTROL!$C$9, $D$9, 100%, $F$9) + CHOOSE(CONTROL!$C$27, 0.0021, 0)</f>
        <v>64.8596</v>
      </c>
      <c r="K353" s="14">
        <f>64.8575 * CHOOSE(CONTROL!$C$9, $D$9, 100%, $F$9) + CHOOSE(CONTROL!$C$27, 0.0021, 0)</f>
        <v>64.8596</v>
      </c>
      <c r="L353" s="14"/>
    </row>
    <row r="354" spans="1:12" ht="15.75" x14ac:dyDescent="0.25">
      <c r="A354" s="32">
        <v>51713</v>
      </c>
      <c r="B354" s="14">
        <f>66.5545 * CHOOSE(CONTROL!$C$9, $D$9, 100%, $F$9) + CHOOSE(CONTROL!$C$27, 0.0021, 0)</f>
        <v>66.556600000000003</v>
      </c>
      <c r="C354" s="14">
        <f>66.1222 * CHOOSE(CONTROL!$C$9, $D$9, 100%, $F$9) + CHOOSE(CONTROL!$C$27, 0.0021, 0)</f>
        <v>66.124300000000005</v>
      </c>
      <c r="D354" s="14">
        <f>66.1222 * CHOOSE(CONTROL!$C$9, $D$9, 100%, $F$9) + CHOOSE(CONTROL!$C$27, 0.0021, 0)</f>
        <v>66.124300000000005</v>
      </c>
      <c r="E354" s="14">
        <f>65.9856 * CHOOSE(CONTROL!$C$9, $D$9, 100%, $F$9) + CHOOSE(CONTROL!$C$27, 0.0021, 0)</f>
        <v>65.987700000000004</v>
      </c>
      <c r="F354" s="14">
        <f>65.9856 * CHOOSE(CONTROL!$C$9, $D$9, 100%, $F$9) + CHOOSE(CONTROL!$C$27, 0.0021, 0)</f>
        <v>65.987700000000004</v>
      </c>
      <c r="G354" s="14">
        <f>66.257 * CHOOSE(CONTROL!$C$9, $D$9, 100%, $F$9) + CHOOSE(CONTROL!$C$27, 0.0021, 0)</f>
        <v>66.259100000000004</v>
      </c>
      <c r="H354" s="14">
        <f>66.1222 * CHOOSE(CONTROL!$C$9, $D$9, 100%, $F$9) + CHOOSE(CONTROL!$C$27, 0.0021, 0)</f>
        <v>66.124300000000005</v>
      </c>
      <c r="I354" s="14">
        <f>66.1222 * CHOOSE(CONTROL!$C$9, $D$9, 100%, $F$9) + CHOOSE(CONTROL!$C$27, 0.0021, 0)</f>
        <v>66.124300000000005</v>
      </c>
      <c r="J354" s="14">
        <f>66.1222 * CHOOSE(CONTROL!$C$9, $D$9, 100%, $F$9) + CHOOSE(CONTROL!$C$27, 0.0021, 0)</f>
        <v>66.124300000000005</v>
      </c>
      <c r="K354" s="14">
        <f>66.1222 * CHOOSE(CONTROL!$C$9, $D$9, 100%, $F$9) + CHOOSE(CONTROL!$C$27, 0.0021, 0)</f>
        <v>66.124300000000005</v>
      </c>
      <c r="L354" s="14"/>
    </row>
    <row r="355" spans="1:12" ht="15.75" x14ac:dyDescent="0.25">
      <c r="A355" s="32">
        <v>51744</v>
      </c>
      <c r="B355" s="14">
        <f>66.9405 * CHOOSE(CONTROL!$C$9, $D$9, 100%, $F$9) + CHOOSE(CONTROL!$C$27, 0.0021, 0)</f>
        <v>66.942599999999999</v>
      </c>
      <c r="C355" s="14">
        <f>66.5083 * CHOOSE(CONTROL!$C$9, $D$9, 100%, $F$9) + CHOOSE(CONTROL!$C$27, 0.0021, 0)</f>
        <v>66.510400000000004</v>
      </c>
      <c r="D355" s="14">
        <f>66.5083 * CHOOSE(CONTROL!$C$9, $D$9, 100%, $F$9) + CHOOSE(CONTROL!$C$27, 0.0021, 0)</f>
        <v>66.510400000000004</v>
      </c>
      <c r="E355" s="14">
        <f>66.3716 * CHOOSE(CONTROL!$C$9, $D$9, 100%, $F$9) + CHOOSE(CONTROL!$C$27, 0.0021, 0)</f>
        <v>66.373699999999999</v>
      </c>
      <c r="F355" s="14">
        <f>66.3716 * CHOOSE(CONTROL!$C$9, $D$9, 100%, $F$9) + CHOOSE(CONTROL!$C$27, 0.0021, 0)</f>
        <v>66.373699999999999</v>
      </c>
      <c r="G355" s="14">
        <f>66.643 * CHOOSE(CONTROL!$C$9, $D$9, 100%, $F$9) + CHOOSE(CONTROL!$C$27, 0.0021, 0)</f>
        <v>66.645099999999999</v>
      </c>
      <c r="H355" s="14">
        <f>66.5083 * CHOOSE(CONTROL!$C$9, $D$9, 100%, $F$9) + CHOOSE(CONTROL!$C$27, 0.0021, 0)</f>
        <v>66.510400000000004</v>
      </c>
      <c r="I355" s="14">
        <f>66.5083 * CHOOSE(CONTROL!$C$9, $D$9, 100%, $F$9) + CHOOSE(CONTROL!$C$27, 0.0021, 0)</f>
        <v>66.510400000000004</v>
      </c>
      <c r="J355" s="14">
        <f>66.5083 * CHOOSE(CONTROL!$C$9, $D$9, 100%, $F$9) + CHOOSE(CONTROL!$C$27, 0.0021, 0)</f>
        <v>66.510400000000004</v>
      </c>
      <c r="K355" s="14">
        <f>66.5083 * CHOOSE(CONTROL!$C$9, $D$9, 100%, $F$9) + CHOOSE(CONTROL!$C$27, 0.0021, 0)</f>
        <v>66.510400000000004</v>
      </c>
      <c r="L355" s="14"/>
    </row>
    <row r="356" spans="1:12" ht="15.75" x14ac:dyDescent="0.25">
      <c r="A356" s="32">
        <v>51774</v>
      </c>
      <c r="B356" s="14">
        <f>68.2551 * CHOOSE(CONTROL!$C$9, $D$9, 100%, $F$9) + CHOOSE(CONTROL!$C$27, 0.0021, 0)</f>
        <v>68.257199999999997</v>
      </c>
      <c r="C356" s="14">
        <f>67.8229 * CHOOSE(CONTROL!$C$9, $D$9, 100%, $F$9) + CHOOSE(CONTROL!$C$27, 0.0021, 0)</f>
        <v>67.825000000000003</v>
      </c>
      <c r="D356" s="14">
        <f>67.8229 * CHOOSE(CONTROL!$C$9, $D$9, 100%, $F$9) + CHOOSE(CONTROL!$C$27, 0.0021, 0)</f>
        <v>67.825000000000003</v>
      </c>
      <c r="E356" s="14">
        <f>67.6862 * CHOOSE(CONTROL!$C$9, $D$9, 100%, $F$9) + CHOOSE(CONTROL!$C$27, 0.0021, 0)</f>
        <v>67.688299999999998</v>
      </c>
      <c r="F356" s="14">
        <f>67.6862 * CHOOSE(CONTROL!$C$9, $D$9, 100%, $F$9) + CHOOSE(CONTROL!$C$27, 0.0021, 0)</f>
        <v>67.688299999999998</v>
      </c>
      <c r="G356" s="14">
        <f>67.9576 * CHOOSE(CONTROL!$C$9, $D$9, 100%, $F$9) + CHOOSE(CONTROL!$C$27, 0.0021, 0)</f>
        <v>67.959699999999998</v>
      </c>
      <c r="H356" s="14">
        <f>67.8229 * CHOOSE(CONTROL!$C$9, $D$9, 100%, $F$9) + CHOOSE(CONTROL!$C$27, 0.0021, 0)</f>
        <v>67.825000000000003</v>
      </c>
      <c r="I356" s="14">
        <f>67.8229 * CHOOSE(CONTROL!$C$9, $D$9, 100%, $F$9) + CHOOSE(CONTROL!$C$27, 0.0021, 0)</f>
        <v>67.825000000000003</v>
      </c>
      <c r="J356" s="14">
        <f>67.8229 * CHOOSE(CONTROL!$C$9, $D$9, 100%, $F$9) + CHOOSE(CONTROL!$C$27, 0.0021, 0)</f>
        <v>67.825000000000003</v>
      </c>
      <c r="K356" s="14">
        <f>67.8229 * CHOOSE(CONTROL!$C$9, $D$9, 100%, $F$9) + CHOOSE(CONTROL!$C$27, 0.0021, 0)</f>
        <v>67.825000000000003</v>
      </c>
      <c r="L356" s="14"/>
    </row>
    <row r="357" spans="1:12" ht="15.75" x14ac:dyDescent="0.25">
      <c r="A357" s="32">
        <v>51805</v>
      </c>
      <c r="B357" s="14">
        <f>69.9192 * CHOOSE(CONTROL!$C$9, $D$9, 100%, $F$9) + CHOOSE(CONTROL!$C$27, 0.0021, 0)</f>
        <v>69.921300000000002</v>
      </c>
      <c r="C357" s="14">
        <f>69.487 * CHOOSE(CONTROL!$C$9, $D$9, 100%, $F$9) + CHOOSE(CONTROL!$C$27, 0.0021, 0)</f>
        <v>69.489099999999993</v>
      </c>
      <c r="D357" s="14">
        <f>69.487 * CHOOSE(CONTROL!$C$9, $D$9, 100%, $F$9) + CHOOSE(CONTROL!$C$27, 0.0021, 0)</f>
        <v>69.489099999999993</v>
      </c>
      <c r="E357" s="14">
        <f>69.3503 * CHOOSE(CONTROL!$C$9, $D$9, 100%, $F$9) + CHOOSE(CONTROL!$C$27, 0.0021, 0)</f>
        <v>69.352400000000003</v>
      </c>
      <c r="F357" s="14">
        <f>69.3503 * CHOOSE(CONTROL!$C$9, $D$9, 100%, $F$9) + CHOOSE(CONTROL!$C$27, 0.0021, 0)</f>
        <v>69.352400000000003</v>
      </c>
      <c r="G357" s="14">
        <f>69.6217 * CHOOSE(CONTROL!$C$9, $D$9, 100%, $F$9) + CHOOSE(CONTROL!$C$27, 0.0021, 0)</f>
        <v>69.623800000000003</v>
      </c>
      <c r="H357" s="14">
        <f>69.487 * CHOOSE(CONTROL!$C$9, $D$9, 100%, $F$9) + CHOOSE(CONTROL!$C$27, 0.0021, 0)</f>
        <v>69.489099999999993</v>
      </c>
      <c r="I357" s="14">
        <f>69.487 * CHOOSE(CONTROL!$C$9, $D$9, 100%, $F$9) + CHOOSE(CONTROL!$C$27, 0.0021, 0)</f>
        <v>69.489099999999993</v>
      </c>
      <c r="J357" s="14">
        <f>69.487 * CHOOSE(CONTROL!$C$9, $D$9, 100%, $F$9) + CHOOSE(CONTROL!$C$27, 0.0021, 0)</f>
        <v>69.489099999999993</v>
      </c>
      <c r="K357" s="14">
        <f>69.487 * CHOOSE(CONTROL!$C$9, $D$9, 100%, $F$9) + CHOOSE(CONTROL!$C$27, 0.0021, 0)</f>
        <v>69.489099999999993</v>
      </c>
      <c r="L357" s="14"/>
    </row>
    <row r="358" spans="1:12" ht="15.75" x14ac:dyDescent="0.25">
      <c r="A358" s="32">
        <v>51835</v>
      </c>
      <c r="B358" s="14">
        <f>70.0754 * CHOOSE(CONTROL!$C$9, $D$9, 100%, $F$9) + CHOOSE(CONTROL!$C$27, 0.0021, 0)</f>
        <v>70.077500000000001</v>
      </c>
      <c r="C358" s="14">
        <f>69.6432 * CHOOSE(CONTROL!$C$9, $D$9, 100%, $F$9) + CHOOSE(CONTROL!$C$27, 0.0021, 0)</f>
        <v>69.645299999999992</v>
      </c>
      <c r="D358" s="14">
        <f>69.6432 * CHOOSE(CONTROL!$C$9, $D$9, 100%, $F$9) + CHOOSE(CONTROL!$C$27, 0.0021, 0)</f>
        <v>69.645299999999992</v>
      </c>
      <c r="E358" s="14">
        <f>69.5065 * CHOOSE(CONTROL!$C$9, $D$9, 100%, $F$9) + CHOOSE(CONTROL!$C$27, 0.0021, 0)</f>
        <v>69.508600000000001</v>
      </c>
      <c r="F358" s="14">
        <f>69.5065 * CHOOSE(CONTROL!$C$9, $D$9, 100%, $F$9) + CHOOSE(CONTROL!$C$27, 0.0021, 0)</f>
        <v>69.508600000000001</v>
      </c>
      <c r="G358" s="14">
        <f>69.7779 * CHOOSE(CONTROL!$C$9, $D$9, 100%, $F$9) + CHOOSE(CONTROL!$C$27, 0.0021, 0)</f>
        <v>69.78</v>
      </c>
      <c r="H358" s="14">
        <f>69.6432 * CHOOSE(CONTROL!$C$9, $D$9, 100%, $F$9) + CHOOSE(CONTROL!$C$27, 0.0021, 0)</f>
        <v>69.645299999999992</v>
      </c>
      <c r="I358" s="14">
        <f>69.6432 * CHOOSE(CONTROL!$C$9, $D$9, 100%, $F$9) + CHOOSE(CONTROL!$C$27, 0.0021, 0)</f>
        <v>69.645299999999992</v>
      </c>
      <c r="J358" s="14">
        <f>69.6432 * CHOOSE(CONTROL!$C$9, $D$9, 100%, $F$9) + CHOOSE(CONTROL!$C$27, 0.0021, 0)</f>
        <v>69.645299999999992</v>
      </c>
      <c r="K358" s="14">
        <f>69.6432 * CHOOSE(CONTROL!$C$9, $D$9, 100%, $F$9) + CHOOSE(CONTROL!$C$27, 0.0021, 0)</f>
        <v>69.645299999999992</v>
      </c>
      <c r="L358" s="14"/>
    </row>
    <row r="359" spans="1:12" ht="15.75" x14ac:dyDescent="0.25">
      <c r="A359" s="32">
        <v>51866</v>
      </c>
      <c r="B359" s="14">
        <f>68.7464 * CHOOSE(CONTROL!$C$9, $D$9, 100%, $F$9) + CHOOSE(CONTROL!$C$27, 0.0021, 0)</f>
        <v>68.748499999999993</v>
      </c>
      <c r="C359" s="14">
        <f>68.3141 * CHOOSE(CONTROL!$C$9, $D$9, 100%, $F$9) + CHOOSE(CONTROL!$C$27, 0.0021, 0)</f>
        <v>68.316199999999995</v>
      </c>
      <c r="D359" s="14">
        <f>68.3141 * CHOOSE(CONTROL!$C$9, $D$9, 100%, $F$9) + CHOOSE(CONTROL!$C$27, 0.0021, 0)</f>
        <v>68.316199999999995</v>
      </c>
      <c r="E359" s="14">
        <f>68.1775 * CHOOSE(CONTROL!$C$9, $D$9, 100%, $F$9) + CHOOSE(CONTROL!$C$27, 0.0021, 0)</f>
        <v>68.179599999999994</v>
      </c>
      <c r="F359" s="14">
        <f>68.1775 * CHOOSE(CONTROL!$C$9, $D$9, 100%, $F$9) + CHOOSE(CONTROL!$C$27, 0.0021, 0)</f>
        <v>68.179599999999994</v>
      </c>
      <c r="G359" s="14">
        <f>68.4488 * CHOOSE(CONTROL!$C$9, $D$9, 100%, $F$9) + CHOOSE(CONTROL!$C$27, 0.0021, 0)</f>
        <v>68.450900000000004</v>
      </c>
      <c r="H359" s="14">
        <f>68.3141 * CHOOSE(CONTROL!$C$9, $D$9, 100%, $F$9) + CHOOSE(CONTROL!$C$27, 0.0021, 0)</f>
        <v>68.316199999999995</v>
      </c>
      <c r="I359" s="14">
        <f>68.3141 * CHOOSE(CONTROL!$C$9, $D$9, 100%, $F$9) + CHOOSE(CONTROL!$C$27, 0.0021, 0)</f>
        <v>68.316199999999995</v>
      </c>
      <c r="J359" s="14">
        <f>68.3141 * CHOOSE(CONTROL!$C$9, $D$9, 100%, $F$9) + CHOOSE(CONTROL!$C$27, 0.0021, 0)</f>
        <v>68.316199999999995</v>
      </c>
      <c r="K359" s="14">
        <f>68.3141 * CHOOSE(CONTROL!$C$9, $D$9, 100%, $F$9) + CHOOSE(CONTROL!$C$27, 0.0021, 0)</f>
        <v>68.316199999999995</v>
      </c>
      <c r="L359" s="14"/>
    </row>
    <row r="360" spans="1:12" ht="15.75" x14ac:dyDescent="0.25">
      <c r="A360" s="32">
        <v>51897</v>
      </c>
      <c r="B360" s="14">
        <f>67.9063 * CHOOSE(CONTROL!$C$9, $D$9, 100%, $F$9) + CHOOSE(CONTROL!$C$27, 0.0021, 0)</f>
        <v>67.9084</v>
      </c>
      <c r="C360" s="14">
        <f>67.4741 * CHOOSE(CONTROL!$C$9, $D$9, 100%, $F$9) + CHOOSE(CONTROL!$C$27, 0.0021, 0)</f>
        <v>67.476200000000006</v>
      </c>
      <c r="D360" s="14">
        <f>67.4741 * CHOOSE(CONTROL!$C$9, $D$9, 100%, $F$9) + CHOOSE(CONTROL!$C$27, 0.0021, 0)</f>
        <v>67.476200000000006</v>
      </c>
      <c r="E360" s="14">
        <f>67.3374 * CHOOSE(CONTROL!$C$9, $D$9, 100%, $F$9) + CHOOSE(CONTROL!$C$27, 0.0021, 0)</f>
        <v>67.339500000000001</v>
      </c>
      <c r="F360" s="14">
        <f>67.3374 * CHOOSE(CONTROL!$C$9, $D$9, 100%, $F$9) + CHOOSE(CONTROL!$C$27, 0.0021, 0)</f>
        <v>67.339500000000001</v>
      </c>
      <c r="G360" s="14">
        <f>67.6088 * CHOOSE(CONTROL!$C$9, $D$9, 100%, $F$9) + CHOOSE(CONTROL!$C$27, 0.0021, 0)</f>
        <v>67.610900000000001</v>
      </c>
      <c r="H360" s="14">
        <f>67.4741 * CHOOSE(CONTROL!$C$9, $D$9, 100%, $F$9) + CHOOSE(CONTROL!$C$27, 0.0021, 0)</f>
        <v>67.476200000000006</v>
      </c>
      <c r="I360" s="14">
        <f>67.4741 * CHOOSE(CONTROL!$C$9, $D$9, 100%, $F$9) + CHOOSE(CONTROL!$C$27, 0.0021, 0)</f>
        <v>67.476200000000006</v>
      </c>
      <c r="J360" s="14">
        <f>67.4741 * CHOOSE(CONTROL!$C$9, $D$9, 100%, $F$9) + CHOOSE(CONTROL!$C$27, 0.0021, 0)</f>
        <v>67.476200000000006</v>
      </c>
      <c r="K360" s="14">
        <f>67.4741 * CHOOSE(CONTROL!$C$9, $D$9, 100%, $F$9) + CHOOSE(CONTROL!$C$27, 0.0021, 0)</f>
        <v>67.476200000000006</v>
      </c>
      <c r="L360" s="14"/>
    </row>
    <row r="361" spans="1:12" ht="15.75" x14ac:dyDescent="0.25">
      <c r="A361" s="32">
        <v>51925</v>
      </c>
      <c r="B361" s="14">
        <f>66.0504 * CHOOSE(CONTROL!$C$9, $D$9, 100%, $F$9) + CHOOSE(CONTROL!$C$27, 0.0021, 0)</f>
        <v>66.052499999999995</v>
      </c>
      <c r="C361" s="14">
        <f>65.6182 * CHOOSE(CONTROL!$C$9, $D$9, 100%, $F$9) + CHOOSE(CONTROL!$C$27, 0.0021, 0)</f>
        <v>65.6203</v>
      </c>
      <c r="D361" s="14">
        <f>65.6182 * CHOOSE(CONTROL!$C$9, $D$9, 100%, $F$9) + CHOOSE(CONTROL!$C$27, 0.0021, 0)</f>
        <v>65.6203</v>
      </c>
      <c r="E361" s="14">
        <f>65.4815 * CHOOSE(CONTROL!$C$9, $D$9, 100%, $F$9) + CHOOSE(CONTROL!$C$27, 0.0021, 0)</f>
        <v>65.483599999999996</v>
      </c>
      <c r="F361" s="14">
        <f>65.4815 * CHOOSE(CONTROL!$C$9, $D$9, 100%, $F$9) + CHOOSE(CONTROL!$C$27, 0.0021, 0)</f>
        <v>65.483599999999996</v>
      </c>
      <c r="G361" s="14">
        <f>65.7529 * CHOOSE(CONTROL!$C$9, $D$9, 100%, $F$9) + CHOOSE(CONTROL!$C$27, 0.0021, 0)</f>
        <v>65.754999999999995</v>
      </c>
      <c r="H361" s="14">
        <f>65.6182 * CHOOSE(CONTROL!$C$9, $D$9, 100%, $F$9) + CHOOSE(CONTROL!$C$27, 0.0021, 0)</f>
        <v>65.6203</v>
      </c>
      <c r="I361" s="14">
        <f>65.6182 * CHOOSE(CONTROL!$C$9, $D$9, 100%, $F$9) + CHOOSE(CONTROL!$C$27, 0.0021, 0)</f>
        <v>65.6203</v>
      </c>
      <c r="J361" s="14">
        <f>65.6182 * CHOOSE(CONTROL!$C$9, $D$9, 100%, $F$9) + CHOOSE(CONTROL!$C$27, 0.0021, 0)</f>
        <v>65.6203</v>
      </c>
      <c r="K361" s="14">
        <f>65.6182 * CHOOSE(CONTROL!$C$9, $D$9, 100%, $F$9) + CHOOSE(CONTROL!$C$27, 0.0021, 0)</f>
        <v>65.6203</v>
      </c>
      <c r="L361" s="14"/>
    </row>
    <row r="362" spans="1:12" ht="15.75" x14ac:dyDescent="0.25">
      <c r="A362" s="32">
        <v>51956</v>
      </c>
      <c r="B362" s="14">
        <f>65.2843 * CHOOSE(CONTROL!$C$9, $D$9, 100%, $F$9) + CHOOSE(CONTROL!$C$27, 0.0021, 0)</f>
        <v>65.2864</v>
      </c>
      <c r="C362" s="14">
        <f>64.8521 * CHOOSE(CONTROL!$C$9, $D$9, 100%, $F$9) + CHOOSE(CONTROL!$C$27, 0.0021, 0)</f>
        <v>64.854199999999992</v>
      </c>
      <c r="D362" s="14">
        <f>64.8521 * CHOOSE(CONTROL!$C$9, $D$9, 100%, $F$9) + CHOOSE(CONTROL!$C$27, 0.0021, 0)</f>
        <v>64.854199999999992</v>
      </c>
      <c r="E362" s="14">
        <f>64.7154 * CHOOSE(CONTROL!$C$9, $D$9, 100%, $F$9) + CHOOSE(CONTROL!$C$27, 0.0021, 0)</f>
        <v>64.717500000000001</v>
      </c>
      <c r="F362" s="14">
        <f>64.7154 * CHOOSE(CONTROL!$C$9, $D$9, 100%, $F$9) + CHOOSE(CONTROL!$C$27, 0.0021, 0)</f>
        <v>64.717500000000001</v>
      </c>
      <c r="G362" s="14">
        <f>64.9868 * CHOOSE(CONTROL!$C$9, $D$9, 100%, $F$9) + CHOOSE(CONTROL!$C$27, 0.0021, 0)</f>
        <v>64.988900000000001</v>
      </c>
      <c r="H362" s="14">
        <f>64.8521 * CHOOSE(CONTROL!$C$9, $D$9, 100%, $F$9) + CHOOSE(CONTROL!$C$27, 0.0021, 0)</f>
        <v>64.854199999999992</v>
      </c>
      <c r="I362" s="14">
        <f>64.8521 * CHOOSE(CONTROL!$C$9, $D$9, 100%, $F$9) + CHOOSE(CONTROL!$C$27, 0.0021, 0)</f>
        <v>64.854199999999992</v>
      </c>
      <c r="J362" s="14">
        <f>64.8521 * CHOOSE(CONTROL!$C$9, $D$9, 100%, $F$9) + CHOOSE(CONTROL!$C$27, 0.0021, 0)</f>
        <v>64.854199999999992</v>
      </c>
      <c r="K362" s="14">
        <f>64.8521 * CHOOSE(CONTROL!$C$9, $D$9, 100%, $F$9) + CHOOSE(CONTROL!$C$27, 0.0021, 0)</f>
        <v>64.854199999999992</v>
      </c>
      <c r="L362" s="14"/>
    </row>
    <row r="363" spans="1:12" ht="15.75" x14ac:dyDescent="0.25">
      <c r="A363" s="32">
        <v>51986</v>
      </c>
      <c r="B363" s="14">
        <f>64.3695 * CHOOSE(CONTROL!$C$9, $D$9, 100%, $F$9) + CHOOSE(CONTROL!$C$27, 0.0021, 0)</f>
        <v>64.371600000000001</v>
      </c>
      <c r="C363" s="14">
        <f>63.9373 * CHOOSE(CONTROL!$C$9, $D$9, 100%, $F$9) + CHOOSE(CONTROL!$C$27, 0.0021, 0)</f>
        <v>63.939399999999999</v>
      </c>
      <c r="D363" s="14">
        <f>63.9373 * CHOOSE(CONTROL!$C$9, $D$9, 100%, $F$9) + CHOOSE(CONTROL!$C$27, 0.0021, 0)</f>
        <v>63.939399999999999</v>
      </c>
      <c r="E363" s="14">
        <f>63.8006 * CHOOSE(CONTROL!$C$9, $D$9, 100%, $F$9) + CHOOSE(CONTROL!$C$27, 0.0021, 0)</f>
        <v>63.802700000000002</v>
      </c>
      <c r="F363" s="14">
        <f>63.8006 * CHOOSE(CONTROL!$C$9, $D$9, 100%, $F$9) + CHOOSE(CONTROL!$C$27, 0.0021, 0)</f>
        <v>63.802700000000002</v>
      </c>
      <c r="G363" s="14">
        <f>64.072 * CHOOSE(CONTROL!$C$9, $D$9, 100%, $F$9) + CHOOSE(CONTROL!$C$27, 0.0021, 0)</f>
        <v>64.074100000000001</v>
      </c>
      <c r="H363" s="14">
        <f>63.9373 * CHOOSE(CONTROL!$C$9, $D$9, 100%, $F$9) + CHOOSE(CONTROL!$C$27, 0.0021, 0)</f>
        <v>63.939399999999999</v>
      </c>
      <c r="I363" s="14">
        <f>63.9373 * CHOOSE(CONTROL!$C$9, $D$9, 100%, $F$9) + CHOOSE(CONTROL!$C$27, 0.0021, 0)</f>
        <v>63.939399999999999</v>
      </c>
      <c r="J363" s="14">
        <f>63.9373 * CHOOSE(CONTROL!$C$9, $D$9, 100%, $F$9) + CHOOSE(CONTROL!$C$27, 0.0021, 0)</f>
        <v>63.939399999999999</v>
      </c>
      <c r="K363" s="14">
        <f>63.9373 * CHOOSE(CONTROL!$C$9, $D$9, 100%, $F$9) + CHOOSE(CONTROL!$C$27, 0.0021, 0)</f>
        <v>63.939399999999999</v>
      </c>
      <c r="L363" s="14"/>
    </row>
    <row r="364" spans="1:12" ht="15.75" x14ac:dyDescent="0.25">
      <c r="A364" s="32">
        <v>52017</v>
      </c>
      <c r="B364" s="14">
        <f>65.6732 * CHOOSE(CONTROL!$C$9, $D$9, 100%, $F$9) + CHOOSE(CONTROL!$C$27, 0.0021, 0)</f>
        <v>65.675299999999993</v>
      </c>
      <c r="C364" s="14">
        <f>65.2409 * CHOOSE(CONTROL!$C$9, $D$9, 100%, $F$9) + CHOOSE(CONTROL!$C$27, 0.0021, 0)</f>
        <v>65.242999999999995</v>
      </c>
      <c r="D364" s="14">
        <f>65.2409 * CHOOSE(CONTROL!$C$9, $D$9, 100%, $F$9) + CHOOSE(CONTROL!$C$27, 0.0021, 0)</f>
        <v>65.242999999999995</v>
      </c>
      <c r="E364" s="14">
        <f>65.1043 * CHOOSE(CONTROL!$C$9, $D$9, 100%, $F$9) + CHOOSE(CONTROL!$C$27, 0.0021, 0)</f>
        <v>65.106399999999994</v>
      </c>
      <c r="F364" s="14">
        <f>65.1043 * CHOOSE(CONTROL!$C$9, $D$9, 100%, $F$9) + CHOOSE(CONTROL!$C$27, 0.0021, 0)</f>
        <v>65.106399999999994</v>
      </c>
      <c r="G364" s="14">
        <f>65.3757 * CHOOSE(CONTROL!$C$9, $D$9, 100%, $F$9) + CHOOSE(CONTROL!$C$27, 0.0021, 0)</f>
        <v>65.377799999999993</v>
      </c>
      <c r="H364" s="14">
        <f>65.2409 * CHOOSE(CONTROL!$C$9, $D$9, 100%, $F$9) + CHOOSE(CONTROL!$C$27, 0.0021, 0)</f>
        <v>65.242999999999995</v>
      </c>
      <c r="I364" s="14">
        <f>65.2409 * CHOOSE(CONTROL!$C$9, $D$9, 100%, $F$9) + CHOOSE(CONTROL!$C$27, 0.0021, 0)</f>
        <v>65.242999999999995</v>
      </c>
      <c r="J364" s="14">
        <f>65.2409 * CHOOSE(CONTROL!$C$9, $D$9, 100%, $F$9) + CHOOSE(CONTROL!$C$27, 0.0021, 0)</f>
        <v>65.242999999999995</v>
      </c>
      <c r="K364" s="14">
        <f>65.2409 * CHOOSE(CONTROL!$C$9, $D$9, 100%, $F$9) + CHOOSE(CONTROL!$C$27, 0.0021, 0)</f>
        <v>65.242999999999995</v>
      </c>
      <c r="L364" s="14"/>
    </row>
    <row r="365" spans="1:12" ht="15.75" x14ac:dyDescent="0.25">
      <c r="A365" s="32">
        <v>52047</v>
      </c>
      <c r="B365" s="14">
        <f>66.454 * CHOOSE(CONTROL!$C$9, $D$9, 100%, $F$9) + CHOOSE(CONTROL!$C$27, 0.0021, 0)</f>
        <v>66.456099999999992</v>
      </c>
      <c r="C365" s="14">
        <f>66.0218 * CHOOSE(CONTROL!$C$9, $D$9, 100%, $F$9) + CHOOSE(CONTROL!$C$27, 0.0021, 0)</f>
        <v>66.023899999999998</v>
      </c>
      <c r="D365" s="14">
        <f>66.0218 * CHOOSE(CONTROL!$C$9, $D$9, 100%, $F$9) + CHOOSE(CONTROL!$C$27, 0.0021, 0)</f>
        <v>66.023899999999998</v>
      </c>
      <c r="E365" s="14">
        <f>65.8851 * CHOOSE(CONTROL!$C$9, $D$9, 100%, $F$9) + CHOOSE(CONTROL!$C$27, 0.0021, 0)</f>
        <v>65.887199999999993</v>
      </c>
      <c r="F365" s="14">
        <f>65.8851 * CHOOSE(CONTROL!$C$9, $D$9, 100%, $F$9) + CHOOSE(CONTROL!$C$27, 0.0021, 0)</f>
        <v>65.887199999999993</v>
      </c>
      <c r="G365" s="14">
        <f>66.1565 * CHOOSE(CONTROL!$C$9, $D$9, 100%, $F$9) + CHOOSE(CONTROL!$C$27, 0.0021, 0)</f>
        <v>66.158599999999993</v>
      </c>
      <c r="H365" s="14">
        <f>66.0218 * CHOOSE(CONTROL!$C$9, $D$9, 100%, $F$9) + CHOOSE(CONTROL!$C$27, 0.0021, 0)</f>
        <v>66.023899999999998</v>
      </c>
      <c r="I365" s="14">
        <f>66.0218 * CHOOSE(CONTROL!$C$9, $D$9, 100%, $F$9) + CHOOSE(CONTROL!$C$27, 0.0021, 0)</f>
        <v>66.023899999999998</v>
      </c>
      <c r="J365" s="14">
        <f>66.0218 * CHOOSE(CONTROL!$C$9, $D$9, 100%, $F$9) + CHOOSE(CONTROL!$C$27, 0.0021, 0)</f>
        <v>66.023899999999998</v>
      </c>
      <c r="K365" s="14">
        <f>66.0218 * CHOOSE(CONTROL!$C$9, $D$9, 100%, $F$9) + CHOOSE(CONTROL!$C$27, 0.0021, 0)</f>
        <v>66.023899999999998</v>
      </c>
      <c r="L365" s="14"/>
    </row>
    <row r="366" spans="1:12" ht="15.75" x14ac:dyDescent="0.25">
      <c r="A366" s="32">
        <v>52078</v>
      </c>
      <c r="B366" s="14">
        <f>67.7421 * CHOOSE(CONTROL!$C$9, $D$9, 100%, $F$9) + CHOOSE(CONTROL!$C$27, 0.0021, 0)</f>
        <v>67.744199999999992</v>
      </c>
      <c r="C366" s="14">
        <f>67.3099 * CHOOSE(CONTROL!$C$9, $D$9, 100%, $F$9) + CHOOSE(CONTROL!$C$27, 0.0021, 0)</f>
        <v>67.311999999999998</v>
      </c>
      <c r="D366" s="14">
        <f>67.3099 * CHOOSE(CONTROL!$C$9, $D$9, 100%, $F$9) + CHOOSE(CONTROL!$C$27, 0.0021, 0)</f>
        <v>67.311999999999998</v>
      </c>
      <c r="E366" s="14">
        <f>67.1732 * CHOOSE(CONTROL!$C$9, $D$9, 100%, $F$9) + CHOOSE(CONTROL!$C$27, 0.0021, 0)</f>
        <v>67.175299999999993</v>
      </c>
      <c r="F366" s="14">
        <f>67.1732 * CHOOSE(CONTROL!$C$9, $D$9, 100%, $F$9) + CHOOSE(CONTROL!$C$27, 0.0021, 0)</f>
        <v>67.175299999999993</v>
      </c>
      <c r="G366" s="14">
        <f>67.4446 * CHOOSE(CONTROL!$C$9, $D$9, 100%, $F$9) + CHOOSE(CONTROL!$C$27, 0.0021, 0)</f>
        <v>67.446699999999993</v>
      </c>
      <c r="H366" s="14">
        <f>67.3099 * CHOOSE(CONTROL!$C$9, $D$9, 100%, $F$9) + CHOOSE(CONTROL!$C$27, 0.0021, 0)</f>
        <v>67.311999999999998</v>
      </c>
      <c r="I366" s="14">
        <f>67.3099 * CHOOSE(CONTROL!$C$9, $D$9, 100%, $F$9) + CHOOSE(CONTROL!$C$27, 0.0021, 0)</f>
        <v>67.311999999999998</v>
      </c>
      <c r="J366" s="14">
        <f>67.3099 * CHOOSE(CONTROL!$C$9, $D$9, 100%, $F$9) + CHOOSE(CONTROL!$C$27, 0.0021, 0)</f>
        <v>67.311999999999998</v>
      </c>
      <c r="K366" s="14">
        <f>67.3099 * CHOOSE(CONTROL!$C$9, $D$9, 100%, $F$9) + CHOOSE(CONTROL!$C$27, 0.0021, 0)</f>
        <v>67.311999999999998</v>
      </c>
      <c r="L366" s="14"/>
    </row>
    <row r="367" spans="1:12" ht="15.75" x14ac:dyDescent="0.25">
      <c r="A367" s="32">
        <v>52109</v>
      </c>
      <c r="B367" s="14">
        <f>68.1353 * CHOOSE(CONTROL!$C$9, $D$9, 100%, $F$9) + CHOOSE(CONTROL!$C$27, 0.0021, 0)</f>
        <v>68.1374</v>
      </c>
      <c r="C367" s="14">
        <f>67.703 * CHOOSE(CONTROL!$C$9, $D$9, 100%, $F$9) + CHOOSE(CONTROL!$C$27, 0.0021, 0)</f>
        <v>67.705100000000002</v>
      </c>
      <c r="D367" s="14">
        <f>67.703 * CHOOSE(CONTROL!$C$9, $D$9, 100%, $F$9) + CHOOSE(CONTROL!$C$27, 0.0021, 0)</f>
        <v>67.705100000000002</v>
      </c>
      <c r="E367" s="14">
        <f>67.5664 * CHOOSE(CONTROL!$C$9, $D$9, 100%, $F$9) + CHOOSE(CONTROL!$C$27, 0.0021, 0)</f>
        <v>67.5685</v>
      </c>
      <c r="F367" s="14">
        <f>67.5664 * CHOOSE(CONTROL!$C$9, $D$9, 100%, $F$9) + CHOOSE(CONTROL!$C$27, 0.0021, 0)</f>
        <v>67.5685</v>
      </c>
      <c r="G367" s="14">
        <f>67.8377 * CHOOSE(CONTROL!$C$9, $D$9, 100%, $F$9) + CHOOSE(CONTROL!$C$27, 0.0021, 0)</f>
        <v>67.839799999999997</v>
      </c>
      <c r="H367" s="14">
        <f>67.703 * CHOOSE(CONTROL!$C$9, $D$9, 100%, $F$9) + CHOOSE(CONTROL!$C$27, 0.0021, 0)</f>
        <v>67.705100000000002</v>
      </c>
      <c r="I367" s="14">
        <f>67.703 * CHOOSE(CONTROL!$C$9, $D$9, 100%, $F$9) + CHOOSE(CONTROL!$C$27, 0.0021, 0)</f>
        <v>67.705100000000002</v>
      </c>
      <c r="J367" s="14">
        <f>67.703 * CHOOSE(CONTROL!$C$9, $D$9, 100%, $F$9) + CHOOSE(CONTROL!$C$27, 0.0021, 0)</f>
        <v>67.705100000000002</v>
      </c>
      <c r="K367" s="14">
        <f>67.703 * CHOOSE(CONTROL!$C$9, $D$9, 100%, $F$9) + CHOOSE(CONTROL!$C$27, 0.0021, 0)</f>
        <v>67.705100000000002</v>
      </c>
      <c r="L367" s="14"/>
    </row>
    <row r="368" spans="1:12" ht="15.75" x14ac:dyDescent="0.25">
      <c r="A368" s="32">
        <v>52139</v>
      </c>
      <c r="B368" s="14">
        <f>69.4742 * CHOOSE(CONTROL!$C$9, $D$9, 100%, $F$9) + CHOOSE(CONTROL!$C$27, 0.0021, 0)</f>
        <v>69.476299999999995</v>
      </c>
      <c r="C368" s="14">
        <f>69.0419 * CHOOSE(CONTROL!$C$9, $D$9, 100%, $F$9) + CHOOSE(CONTROL!$C$27, 0.0021, 0)</f>
        <v>69.043999999999997</v>
      </c>
      <c r="D368" s="14">
        <f>69.0419 * CHOOSE(CONTROL!$C$9, $D$9, 100%, $F$9) + CHOOSE(CONTROL!$C$27, 0.0021, 0)</f>
        <v>69.043999999999997</v>
      </c>
      <c r="E368" s="14">
        <f>68.9053 * CHOOSE(CONTROL!$C$9, $D$9, 100%, $F$9) + CHOOSE(CONTROL!$C$27, 0.0021, 0)</f>
        <v>68.907399999999996</v>
      </c>
      <c r="F368" s="14">
        <f>68.9053 * CHOOSE(CONTROL!$C$9, $D$9, 100%, $F$9) + CHOOSE(CONTROL!$C$27, 0.0021, 0)</f>
        <v>68.907399999999996</v>
      </c>
      <c r="G368" s="14">
        <f>69.1767 * CHOOSE(CONTROL!$C$9, $D$9, 100%, $F$9) + CHOOSE(CONTROL!$C$27, 0.0021, 0)</f>
        <v>69.178799999999995</v>
      </c>
      <c r="H368" s="14">
        <f>69.0419 * CHOOSE(CONTROL!$C$9, $D$9, 100%, $F$9) + CHOOSE(CONTROL!$C$27, 0.0021, 0)</f>
        <v>69.043999999999997</v>
      </c>
      <c r="I368" s="14">
        <f>69.0419 * CHOOSE(CONTROL!$C$9, $D$9, 100%, $F$9) + CHOOSE(CONTROL!$C$27, 0.0021, 0)</f>
        <v>69.043999999999997</v>
      </c>
      <c r="J368" s="14">
        <f>69.0419 * CHOOSE(CONTROL!$C$9, $D$9, 100%, $F$9) + CHOOSE(CONTROL!$C$27, 0.0021, 0)</f>
        <v>69.043999999999997</v>
      </c>
      <c r="K368" s="14">
        <f>69.0419 * CHOOSE(CONTROL!$C$9, $D$9, 100%, $F$9) + CHOOSE(CONTROL!$C$27, 0.0021, 0)</f>
        <v>69.043999999999997</v>
      </c>
      <c r="L368" s="14"/>
    </row>
    <row r="369" spans="1:12" ht="15.75" x14ac:dyDescent="0.25">
      <c r="A369" s="32">
        <v>52170</v>
      </c>
      <c r="B369" s="14">
        <f>71.169 * CHOOSE(CONTROL!$C$9, $D$9, 100%, $F$9) + CHOOSE(CONTROL!$C$27, 0.0021, 0)</f>
        <v>71.171099999999996</v>
      </c>
      <c r="C369" s="14">
        <f>70.7368 * CHOOSE(CONTROL!$C$9, $D$9, 100%, $F$9) + CHOOSE(CONTROL!$C$27, 0.0021, 0)</f>
        <v>70.738900000000001</v>
      </c>
      <c r="D369" s="14">
        <f>70.7368 * CHOOSE(CONTROL!$C$9, $D$9, 100%, $F$9) + CHOOSE(CONTROL!$C$27, 0.0021, 0)</f>
        <v>70.738900000000001</v>
      </c>
      <c r="E369" s="14">
        <f>70.6001 * CHOOSE(CONTROL!$C$9, $D$9, 100%, $F$9) + CHOOSE(CONTROL!$C$27, 0.0021, 0)</f>
        <v>70.602199999999996</v>
      </c>
      <c r="F369" s="14">
        <f>70.6001 * CHOOSE(CONTROL!$C$9, $D$9, 100%, $F$9) + CHOOSE(CONTROL!$C$27, 0.0021, 0)</f>
        <v>70.602199999999996</v>
      </c>
      <c r="G369" s="14">
        <f>70.8715 * CHOOSE(CONTROL!$C$9, $D$9, 100%, $F$9) + CHOOSE(CONTROL!$C$27, 0.0021, 0)</f>
        <v>70.873599999999996</v>
      </c>
      <c r="H369" s="14">
        <f>70.7368 * CHOOSE(CONTROL!$C$9, $D$9, 100%, $F$9) + CHOOSE(CONTROL!$C$27, 0.0021, 0)</f>
        <v>70.738900000000001</v>
      </c>
      <c r="I369" s="14">
        <f>70.7368 * CHOOSE(CONTROL!$C$9, $D$9, 100%, $F$9) + CHOOSE(CONTROL!$C$27, 0.0021, 0)</f>
        <v>70.738900000000001</v>
      </c>
      <c r="J369" s="14">
        <f>70.7368 * CHOOSE(CONTROL!$C$9, $D$9, 100%, $F$9) + CHOOSE(CONTROL!$C$27, 0.0021, 0)</f>
        <v>70.738900000000001</v>
      </c>
      <c r="K369" s="14">
        <f>70.7368 * CHOOSE(CONTROL!$C$9, $D$9, 100%, $F$9) + CHOOSE(CONTROL!$C$27, 0.0021, 0)</f>
        <v>70.738900000000001</v>
      </c>
      <c r="L369" s="14"/>
    </row>
    <row r="370" spans="1:12" ht="15.75" x14ac:dyDescent="0.25">
      <c r="A370" s="32">
        <v>52200</v>
      </c>
      <c r="B370" s="14">
        <f>71.3281 * CHOOSE(CONTROL!$C$9, $D$9, 100%, $F$9) + CHOOSE(CONTROL!$C$27, 0.0021, 0)</f>
        <v>71.330200000000005</v>
      </c>
      <c r="C370" s="14">
        <f>70.8959 * CHOOSE(CONTROL!$C$9, $D$9, 100%, $F$9) + CHOOSE(CONTROL!$C$27, 0.0021, 0)</f>
        <v>70.897999999999996</v>
      </c>
      <c r="D370" s="14">
        <f>70.8959 * CHOOSE(CONTROL!$C$9, $D$9, 100%, $F$9) + CHOOSE(CONTROL!$C$27, 0.0021, 0)</f>
        <v>70.897999999999996</v>
      </c>
      <c r="E370" s="14">
        <f>70.7592 * CHOOSE(CONTROL!$C$9, $D$9, 100%, $F$9) + CHOOSE(CONTROL!$C$27, 0.0021, 0)</f>
        <v>70.761300000000006</v>
      </c>
      <c r="F370" s="14">
        <f>70.7592 * CHOOSE(CONTROL!$C$9, $D$9, 100%, $F$9) + CHOOSE(CONTROL!$C$27, 0.0021, 0)</f>
        <v>70.761300000000006</v>
      </c>
      <c r="G370" s="14">
        <f>71.0306 * CHOOSE(CONTROL!$C$9, $D$9, 100%, $F$9) + CHOOSE(CONTROL!$C$27, 0.0021, 0)</f>
        <v>71.032700000000006</v>
      </c>
      <c r="H370" s="14">
        <f>70.8959 * CHOOSE(CONTROL!$C$9, $D$9, 100%, $F$9) + CHOOSE(CONTROL!$C$27, 0.0021, 0)</f>
        <v>70.897999999999996</v>
      </c>
      <c r="I370" s="14">
        <f>70.8959 * CHOOSE(CONTROL!$C$9, $D$9, 100%, $F$9) + CHOOSE(CONTROL!$C$27, 0.0021, 0)</f>
        <v>70.897999999999996</v>
      </c>
      <c r="J370" s="14">
        <f>70.8959 * CHOOSE(CONTROL!$C$9, $D$9, 100%, $F$9) + CHOOSE(CONTROL!$C$27, 0.0021, 0)</f>
        <v>70.897999999999996</v>
      </c>
      <c r="K370" s="14">
        <f>70.8959 * CHOOSE(CONTROL!$C$9, $D$9, 100%, $F$9) + CHOOSE(CONTROL!$C$27, 0.0021, 0)</f>
        <v>70.897999999999996</v>
      </c>
      <c r="L370" s="14"/>
    </row>
    <row r="371" spans="1:12" ht="15.75" x14ac:dyDescent="0.25">
      <c r="A371" s="32">
        <v>52231</v>
      </c>
      <c r="B371" s="14">
        <f>69.9745 * CHOOSE(CONTROL!$C$9, $D$9, 100%, $F$9) + CHOOSE(CONTROL!$C$27, 0.0021, 0)</f>
        <v>69.976600000000005</v>
      </c>
      <c r="C371" s="14">
        <f>69.5423 * CHOOSE(CONTROL!$C$9, $D$9, 100%, $F$9) + CHOOSE(CONTROL!$C$27, 0.0021, 0)</f>
        <v>69.544399999999996</v>
      </c>
      <c r="D371" s="14">
        <f>69.5423 * CHOOSE(CONTROL!$C$9, $D$9, 100%, $F$9) + CHOOSE(CONTROL!$C$27, 0.0021, 0)</f>
        <v>69.544399999999996</v>
      </c>
      <c r="E371" s="14">
        <f>69.4056 * CHOOSE(CONTROL!$C$9, $D$9, 100%, $F$9) + CHOOSE(CONTROL!$C$27, 0.0021, 0)</f>
        <v>69.407700000000006</v>
      </c>
      <c r="F371" s="14">
        <f>69.4056 * CHOOSE(CONTROL!$C$9, $D$9, 100%, $F$9) + CHOOSE(CONTROL!$C$27, 0.0021, 0)</f>
        <v>69.407700000000006</v>
      </c>
      <c r="G371" s="14">
        <f>69.677 * CHOOSE(CONTROL!$C$9, $D$9, 100%, $F$9) + CHOOSE(CONTROL!$C$27, 0.0021, 0)</f>
        <v>69.679100000000005</v>
      </c>
      <c r="H371" s="14">
        <f>69.5423 * CHOOSE(CONTROL!$C$9, $D$9, 100%, $F$9) + CHOOSE(CONTROL!$C$27, 0.0021, 0)</f>
        <v>69.544399999999996</v>
      </c>
      <c r="I371" s="14">
        <f>69.5423 * CHOOSE(CONTROL!$C$9, $D$9, 100%, $F$9) + CHOOSE(CONTROL!$C$27, 0.0021, 0)</f>
        <v>69.544399999999996</v>
      </c>
      <c r="J371" s="14">
        <f>69.5423 * CHOOSE(CONTROL!$C$9, $D$9, 100%, $F$9) + CHOOSE(CONTROL!$C$27, 0.0021, 0)</f>
        <v>69.544399999999996</v>
      </c>
      <c r="K371" s="14">
        <f>69.5423 * CHOOSE(CONTROL!$C$9, $D$9, 100%, $F$9) + CHOOSE(CONTROL!$C$27, 0.0021, 0)</f>
        <v>69.544399999999996</v>
      </c>
      <c r="L371" s="14"/>
    </row>
    <row r="372" spans="1:12" ht="15.75" x14ac:dyDescent="0.25">
      <c r="A372" s="32">
        <v>52262</v>
      </c>
      <c r="B372" s="14">
        <f>69.1189 * CHOOSE(CONTROL!$C$9, $D$9, 100%, $F$9) + CHOOSE(CONTROL!$C$27, 0.0021, 0)</f>
        <v>69.120999999999995</v>
      </c>
      <c r="C372" s="14">
        <f>68.6867 * CHOOSE(CONTROL!$C$9, $D$9, 100%, $F$9) + CHOOSE(CONTROL!$C$27, 0.0021, 0)</f>
        <v>68.688800000000001</v>
      </c>
      <c r="D372" s="14">
        <f>68.6867 * CHOOSE(CONTROL!$C$9, $D$9, 100%, $F$9) + CHOOSE(CONTROL!$C$27, 0.0021, 0)</f>
        <v>68.688800000000001</v>
      </c>
      <c r="E372" s="14">
        <f>68.55 * CHOOSE(CONTROL!$C$9, $D$9, 100%, $F$9) + CHOOSE(CONTROL!$C$27, 0.0021, 0)</f>
        <v>68.552099999999996</v>
      </c>
      <c r="F372" s="14">
        <f>68.55 * CHOOSE(CONTROL!$C$9, $D$9, 100%, $F$9) + CHOOSE(CONTROL!$C$27, 0.0021, 0)</f>
        <v>68.552099999999996</v>
      </c>
      <c r="G372" s="14">
        <f>68.8214 * CHOOSE(CONTROL!$C$9, $D$9, 100%, $F$9) + CHOOSE(CONTROL!$C$27, 0.0021, 0)</f>
        <v>68.823499999999996</v>
      </c>
      <c r="H372" s="14">
        <f>68.6867 * CHOOSE(CONTROL!$C$9, $D$9, 100%, $F$9) + CHOOSE(CONTROL!$C$27, 0.0021, 0)</f>
        <v>68.688800000000001</v>
      </c>
      <c r="I372" s="14">
        <f>68.6867 * CHOOSE(CONTROL!$C$9, $D$9, 100%, $F$9) + CHOOSE(CONTROL!$C$27, 0.0021, 0)</f>
        <v>68.688800000000001</v>
      </c>
      <c r="J372" s="14">
        <f>68.6867 * CHOOSE(CONTROL!$C$9, $D$9, 100%, $F$9) + CHOOSE(CONTROL!$C$27, 0.0021, 0)</f>
        <v>68.688800000000001</v>
      </c>
      <c r="K372" s="14">
        <f>68.6867 * CHOOSE(CONTROL!$C$9, $D$9, 100%, $F$9) + CHOOSE(CONTROL!$C$27, 0.0021, 0)</f>
        <v>68.688800000000001</v>
      </c>
      <c r="L372" s="14"/>
    </row>
    <row r="373" spans="1:12" ht="15.75" x14ac:dyDescent="0.25">
      <c r="A373" s="32">
        <v>52290</v>
      </c>
      <c r="B373" s="14">
        <f>67.2287 * CHOOSE(CONTROL!$C$9, $D$9, 100%, $F$9) + CHOOSE(CONTROL!$C$27, 0.0021, 0)</f>
        <v>67.230800000000002</v>
      </c>
      <c r="C373" s="14">
        <f>66.7965 * CHOOSE(CONTROL!$C$9, $D$9, 100%, $F$9) + CHOOSE(CONTROL!$C$27, 0.0021, 0)</f>
        <v>66.798599999999993</v>
      </c>
      <c r="D373" s="14">
        <f>66.7965 * CHOOSE(CONTROL!$C$9, $D$9, 100%, $F$9) + CHOOSE(CONTROL!$C$27, 0.0021, 0)</f>
        <v>66.798599999999993</v>
      </c>
      <c r="E373" s="14">
        <f>66.6598 * CHOOSE(CONTROL!$C$9, $D$9, 100%, $F$9) + CHOOSE(CONTROL!$C$27, 0.0021, 0)</f>
        <v>66.661900000000003</v>
      </c>
      <c r="F373" s="14">
        <f>66.6598 * CHOOSE(CONTROL!$C$9, $D$9, 100%, $F$9) + CHOOSE(CONTROL!$C$27, 0.0021, 0)</f>
        <v>66.661900000000003</v>
      </c>
      <c r="G373" s="14">
        <f>66.9312 * CHOOSE(CONTROL!$C$9, $D$9, 100%, $F$9) + CHOOSE(CONTROL!$C$27, 0.0021, 0)</f>
        <v>66.933300000000003</v>
      </c>
      <c r="H373" s="14">
        <f>66.7965 * CHOOSE(CONTROL!$C$9, $D$9, 100%, $F$9) + CHOOSE(CONTROL!$C$27, 0.0021, 0)</f>
        <v>66.798599999999993</v>
      </c>
      <c r="I373" s="14">
        <f>66.7965 * CHOOSE(CONTROL!$C$9, $D$9, 100%, $F$9) + CHOOSE(CONTROL!$C$27, 0.0021, 0)</f>
        <v>66.798599999999993</v>
      </c>
      <c r="J373" s="14">
        <f>66.7965 * CHOOSE(CONTROL!$C$9, $D$9, 100%, $F$9) + CHOOSE(CONTROL!$C$27, 0.0021, 0)</f>
        <v>66.798599999999993</v>
      </c>
      <c r="K373" s="14">
        <f>66.7965 * CHOOSE(CONTROL!$C$9, $D$9, 100%, $F$9) + CHOOSE(CONTROL!$C$27, 0.0021, 0)</f>
        <v>66.798599999999993</v>
      </c>
      <c r="L373" s="14"/>
    </row>
    <row r="374" spans="1:12" ht="15.75" x14ac:dyDescent="0.25">
      <c r="A374" s="32">
        <v>52321</v>
      </c>
      <c r="B374" s="14">
        <f>66.4484 * CHOOSE(CONTROL!$C$9, $D$9, 100%, $F$9) + CHOOSE(CONTROL!$C$27, 0.0021, 0)</f>
        <v>66.450500000000005</v>
      </c>
      <c r="C374" s="14">
        <f>66.0162 * CHOOSE(CONTROL!$C$9, $D$9, 100%, $F$9) + CHOOSE(CONTROL!$C$27, 0.0021, 0)</f>
        <v>66.018299999999996</v>
      </c>
      <c r="D374" s="14">
        <f>66.0162 * CHOOSE(CONTROL!$C$9, $D$9, 100%, $F$9) + CHOOSE(CONTROL!$C$27, 0.0021, 0)</f>
        <v>66.018299999999996</v>
      </c>
      <c r="E374" s="14">
        <f>65.8795 * CHOOSE(CONTROL!$C$9, $D$9, 100%, $F$9) + CHOOSE(CONTROL!$C$27, 0.0021, 0)</f>
        <v>65.881599999999992</v>
      </c>
      <c r="F374" s="14">
        <f>65.8795 * CHOOSE(CONTROL!$C$9, $D$9, 100%, $F$9) + CHOOSE(CONTROL!$C$27, 0.0021, 0)</f>
        <v>65.881599999999992</v>
      </c>
      <c r="G374" s="14">
        <f>66.1509 * CHOOSE(CONTROL!$C$9, $D$9, 100%, $F$9) + CHOOSE(CONTROL!$C$27, 0.0021, 0)</f>
        <v>66.152999999999992</v>
      </c>
      <c r="H374" s="14">
        <f>66.0162 * CHOOSE(CONTROL!$C$9, $D$9, 100%, $F$9) + CHOOSE(CONTROL!$C$27, 0.0021, 0)</f>
        <v>66.018299999999996</v>
      </c>
      <c r="I374" s="14">
        <f>66.0162 * CHOOSE(CONTROL!$C$9, $D$9, 100%, $F$9) + CHOOSE(CONTROL!$C$27, 0.0021, 0)</f>
        <v>66.018299999999996</v>
      </c>
      <c r="J374" s="14">
        <f>66.0162 * CHOOSE(CONTROL!$C$9, $D$9, 100%, $F$9) + CHOOSE(CONTROL!$C$27, 0.0021, 0)</f>
        <v>66.018299999999996</v>
      </c>
      <c r="K374" s="14">
        <f>66.0162 * CHOOSE(CONTROL!$C$9, $D$9, 100%, $F$9) + CHOOSE(CONTROL!$C$27, 0.0021, 0)</f>
        <v>66.018299999999996</v>
      </c>
      <c r="L374" s="14"/>
    </row>
    <row r="375" spans="1:12" ht="15.75" x14ac:dyDescent="0.25">
      <c r="A375" s="32">
        <v>52351</v>
      </c>
      <c r="B375" s="14">
        <f>65.5168 * CHOOSE(CONTROL!$C$9, $D$9, 100%, $F$9) + CHOOSE(CONTROL!$C$27, 0.0021, 0)</f>
        <v>65.518900000000002</v>
      </c>
      <c r="C375" s="14">
        <f>65.0845 * CHOOSE(CONTROL!$C$9, $D$9, 100%, $F$9) + CHOOSE(CONTROL!$C$27, 0.0021, 0)</f>
        <v>65.086600000000004</v>
      </c>
      <c r="D375" s="14">
        <f>65.0845 * CHOOSE(CONTROL!$C$9, $D$9, 100%, $F$9) + CHOOSE(CONTROL!$C$27, 0.0021, 0)</f>
        <v>65.086600000000004</v>
      </c>
      <c r="E375" s="14">
        <f>64.9479 * CHOOSE(CONTROL!$C$9, $D$9, 100%, $F$9) + CHOOSE(CONTROL!$C$27, 0.0021, 0)</f>
        <v>64.95</v>
      </c>
      <c r="F375" s="14">
        <f>64.9479 * CHOOSE(CONTROL!$C$9, $D$9, 100%, $F$9) + CHOOSE(CONTROL!$C$27, 0.0021, 0)</f>
        <v>64.95</v>
      </c>
      <c r="G375" s="14">
        <f>65.2192 * CHOOSE(CONTROL!$C$9, $D$9, 100%, $F$9) + CHOOSE(CONTROL!$C$27, 0.0021, 0)</f>
        <v>65.221299999999999</v>
      </c>
      <c r="H375" s="14">
        <f>65.0845 * CHOOSE(CONTROL!$C$9, $D$9, 100%, $F$9) + CHOOSE(CONTROL!$C$27, 0.0021, 0)</f>
        <v>65.086600000000004</v>
      </c>
      <c r="I375" s="14">
        <f>65.0845 * CHOOSE(CONTROL!$C$9, $D$9, 100%, $F$9) + CHOOSE(CONTROL!$C$27, 0.0021, 0)</f>
        <v>65.086600000000004</v>
      </c>
      <c r="J375" s="14">
        <f>65.0845 * CHOOSE(CONTROL!$C$9, $D$9, 100%, $F$9) + CHOOSE(CONTROL!$C$27, 0.0021, 0)</f>
        <v>65.086600000000004</v>
      </c>
      <c r="K375" s="14">
        <f>65.0845 * CHOOSE(CONTROL!$C$9, $D$9, 100%, $F$9) + CHOOSE(CONTROL!$C$27, 0.0021, 0)</f>
        <v>65.086600000000004</v>
      </c>
      <c r="L375" s="14"/>
    </row>
    <row r="376" spans="1:12" ht="15.75" x14ac:dyDescent="0.25">
      <c r="A376" s="32">
        <v>52382</v>
      </c>
      <c r="B376" s="14">
        <f>66.8445 * CHOOSE(CONTROL!$C$9, $D$9, 100%, $F$9) + CHOOSE(CONTROL!$C$27, 0.0021, 0)</f>
        <v>66.846599999999995</v>
      </c>
      <c r="C376" s="14">
        <f>66.4123 * CHOOSE(CONTROL!$C$9, $D$9, 100%, $F$9) + CHOOSE(CONTROL!$C$27, 0.0021, 0)</f>
        <v>66.414400000000001</v>
      </c>
      <c r="D376" s="14">
        <f>66.4123 * CHOOSE(CONTROL!$C$9, $D$9, 100%, $F$9) + CHOOSE(CONTROL!$C$27, 0.0021, 0)</f>
        <v>66.414400000000001</v>
      </c>
      <c r="E376" s="14">
        <f>66.2756 * CHOOSE(CONTROL!$C$9, $D$9, 100%, $F$9) + CHOOSE(CONTROL!$C$27, 0.0021, 0)</f>
        <v>66.277699999999996</v>
      </c>
      <c r="F376" s="14">
        <f>66.2756 * CHOOSE(CONTROL!$C$9, $D$9, 100%, $F$9) + CHOOSE(CONTROL!$C$27, 0.0021, 0)</f>
        <v>66.277699999999996</v>
      </c>
      <c r="G376" s="14">
        <f>66.547 * CHOOSE(CONTROL!$C$9, $D$9, 100%, $F$9) + CHOOSE(CONTROL!$C$27, 0.0021, 0)</f>
        <v>66.549099999999996</v>
      </c>
      <c r="H376" s="14">
        <f>66.4123 * CHOOSE(CONTROL!$C$9, $D$9, 100%, $F$9) + CHOOSE(CONTROL!$C$27, 0.0021, 0)</f>
        <v>66.414400000000001</v>
      </c>
      <c r="I376" s="14">
        <f>66.4123 * CHOOSE(CONTROL!$C$9, $D$9, 100%, $F$9) + CHOOSE(CONTROL!$C$27, 0.0021, 0)</f>
        <v>66.414400000000001</v>
      </c>
      <c r="J376" s="14">
        <f>66.4123 * CHOOSE(CONTROL!$C$9, $D$9, 100%, $F$9) + CHOOSE(CONTROL!$C$27, 0.0021, 0)</f>
        <v>66.414400000000001</v>
      </c>
      <c r="K376" s="14">
        <f>66.4123 * CHOOSE(CONTROL!$C$9, $D$9, 100%, $F$9) + CHOOSE(CONTROL!$C$27, 0.0021, 0)</f>
        <v>66.414400000000001</v>
      </c>
      <c r="L376" s="14"/>
    </row>
    <row r="377" spans="1:12" ht="15.75" x14ac:dyDescent="0.25">
      <c r="A377" s="32">
        <v>52412</v>
      </c>
      <c r="B377" s="14">
        <f>67.6398 * CHOOSE(CONTROL!$C$9, $D$9, 100%, $F$9) + CHOOSE(CONTROL!$C$27, 0.0021, 0)</f>
        <v>67.641899999999993</v>
      </c>
      <c r="C377" s="14">
        <f>67.2075 * CHOOSE(CONTROL!$C$9, $D$9, 100%, $F$9) + CHOOSE(CONTROL!$C$27, 0.0021, 0)</f>
        <v>67.209599999999995</v>
      </c>
      <c r="D377" s="14">
        <f>67.2075 * CHOOSE(CONTROL!$C$9, $D$9, 100%, $F$9) + CHOOSE(CONTROL!$C$27, 0.0021, 0)</f>
        <v>67.209599999999995</v>
      </c>
      <c r="E377" s="14">
        <f>67.0709 * CHOOSE(CONTROL!$C$9, $D$9, 100%, $F$9) + CHOOSE(CONTROL!$C$27, 0.0021, 0)</f>
        <v>67.072999999999993</v>
      </c>
      <c r="F377" s="14">
        <f>67.0709 * CHOOSE(CONTROL!$C$9, $D$9, 100%, $F$9) + CHOOSE(CONTROL!$C$27, 0.0021, 0)</f>
        <v>67.072999999999993</v>
      </c>
      <c r="G377" s="14">
        <f>67.3422 * CHOOSE(CONTROL!$C$9, $D$9, 100%, $F$9) + CHOOSE(CONTROL!$C$27, 0.0021, 0)</f>
        <v>67.344300000000004</v>
      </c>
      <c r="H377" s="14">
        <f>67.2075 * CHOOSE(CONTROL!$C$9, $D$9, 100%, $F$9) + CHOOSE(CONTROL!$C$27, 0.0021, 0)</f>
        <v>67.209599999999995</v>
      </c>
      <c r="I377" s="14">
        <f>67.2075 * CHOOSE(CONTROL!$C$9, $D$9, 100%, $F$9) + CHOOSE(CONTROL!$C$27, 0.0021, 0)</f>
        <v>67.209599999999995</v>
      </c>
      <c r="J377" s="14">
        <f>67.2075 * CHOOSE(CONTROL!$C$9, $D$9, 100%, $F$9) + CHOOSE(CONTROL!$C$27, 0.0021, 0)</f>
        <v>67.209599999999995</v>
      </c>
      <c r="K377" s="14">
        <f>67.2075 * CHOOSE(CONTROL!$C$9, $D$9, 100%, $F$9) + CHOOSE(CONTROL!$C$27, 0.0021, 0)</f>
        <v>67.209599999999995</v>
      </c>
      <c r="L377" s="14"/>
    </row>
    <row r="378" spans="1:12" ht="15.75" x14ac:dyDescent="0.25">
      <c r="A378" s="32">
        <v>52443</v>
      </c>
      <c r="B378" s="14">
        <f>68.9517 * CHOOSE(CONTROL!$C$9, $D$9, 100%, $F$9) + CHOOSE(CONTROL!$C$27, 0.0021, 0)</f>
        <v>68.953800000000001</v>
      </c>
      <c r="C378" s="14">
        <f>68.5194 * CHOOSE(CONTROL!$C$9, $D$9, 100%, $F$9) + CHOOSE(CONTROL!$C$27, 0.0021, 0)</f>
        <v>68.521500000000003</v>
      </c>
      <c r="D378" s="14">
        <f>68.5194 * CHOOSE(CONTROL!$C$9, $D$9, 100%, $F$9) + CHOOSE(CONTROL!$C$27, 0.0021, 0)</f>
        <v>68.521500000000003</v>
      </c>
      <c r="E378" s="14">
        <f>68.3828 * CHOOSE(CONTROL!$C$9, $D$9, 100%, $F$9) + CHOOSE(CONTROL!$C$27, 0.0021, 0)</f>
        <v>68.384900000000002</v>
      </c>
      <c r="F378" s="14">
        <f>68.3828 * CHOOSE(CONTROL!$C$9, $D$9, 100%, $F$9) + CHOOSE(CONTROL!$C$27, 0.0021, 0)</f>
        <v>68.384900000000002</v>
      </c>
      <c r="G378" s="14">
        <f>68.6541 * CHOOSE(CONTROL!$C$9, $D$9, 100%, $F$9) + CHOOSE(CONTROL!$C$27, 0.0021, 0)</f>
        <v>68.656199999999998</v>
      </c>
      <c r="H378" s="14">
        <f>68.5194 * CHOOSE(CONTROL!$C$9, $D$9, 100%, $F$9) + CHOOSE(CONTROL!$C$27, 0.0021, 0)</f>
        <v>68.521500000000003</v>
      </c>
      <c r="I378" s="14">
        <f>68.5194 * CHOOSE(CONTROL!$C$9, $D$9, 100%, $F$9) + CHOOSE(CONTROL!$C$27, 0.0021, 0)</f>
        <v>68.521500000000003</v>
      </c>
      <c r="J378" s="14">
        <f>68.5194 * CHOOSE(CONTROL!$C$9, $D$9, 100%, $F$9) + CHOOSE(CONTROL!$C$27, 0.0021, 0)</f>
        <v>68.521500000000003</v>
      </c>
      <c r="K378" s="14">
        <f>68.5194 * CHOOSE(CONTROL!$C$9, $D$9, 100%, $F$9) + CHOOSE(CONTROL!$C$27, 0.0021, 0)</f>
        <v>68.521500000000003</v>
      </c>
      <c r="L378" s="14"/>
    </row>
    <row r="379" spans="1:12" ht="15.75" x14ac:dyDescent="0.25">
      <c r="A379" s="32">
        <v>52474</v>
      </c>
      <c r="B379" s="14">
        <f>69.3521 * CHOOSE(CONTROL!$C$9, $D$9, 100%, $F$9) + CHOOSE(CONTROL!$C$27, 0.0021, 0)</f>
        <v>69.354199999999992</v>
      </c>
      <c r="C379" s="14">
        <f>68.9199 * CHOOSE(CONTROL!$C$9, $D$9, 100%, $F$9) + CHOOSE(CONTROL!$C$27, 0.0021, 0)</f>
        <v>68.921999999999997</v>
      </c>
      <c r="D379" s="14">
        <f>68.9199 * CHOOSE(CONTROL!$C$9, $D$9, 100%, $F$9) + CHOOSE(CONTROL!$C$27, 0.0021, 0)</f>
        <v>68.921999999999997</v>
      </c>
      <c r="E379" s="14">
        <f>68.7832 * CHOOSE(CONTROL!$C$9, $D$9, 100%, $F$9) + CHOOSE(CONTROL!$C$27, 0.0021, 0)</f>
        <v>68.785299999999992</v>
      </c>
      <c r="F379" s="14">
        <f>68.7832 * CHOOSE(CONTROL!$C$9, $D$9, 100%, $F$9) + CHOOSE(CONTROL!$C$27, 0.0021, 0)</f>
        <v>68.785299999999992</v>
      </c>
      <c r="G379" s="14">
        <f>69.0546 * CHOOSE(CONTROL!$C$9, $D$9, 100%, $F$9) + CHOOSE(CONTROL!$C$27, 0.0021, 0)</f>
        <v>69.056699999999992</v>
      </c>
      <c r="H379" s="14">
        <f>68.9199 * CHOOSE(CONTROL!$C$9, $D$9, 100%, $F$9) + CHOOSE(CONTROL!$C$27, 0.0021, 0)</f>
        <v>68.921999999999997</v>
      </c>
      <c r="I379" s="14">
        <f>68.9199 * CHOOSE(CONTROL!$C$9, $D$9, 100%, $F$9) + CHOOSE(CONTROL!$C$27, 0.0021, 0)</f>
        <v>68.921999999999997</v>
      </c>
      <c r="J379" s="14">
        <f>68.9199 * CHOOSE(CONTROL!$C$9, $D$9, 100%, $F$9) + CHOOSE(CONTROL!$C$27, 0.0021, 0)</f>
        <v>68.921999999999997</v>
      </c>
      <c r="K379" s="14">
        <f>68.9199 * CHOOSE(CONTROL!$C$9, $D$9, 100%, $F$9) + CHOOSE(CONTROL!$C$27, 0.0021, 0)</f>
        <v>68.921999999999997</v>
      </c>
      <c r="L379" s="14"/>
    </row>
    <row r="380" spans="1:12" ht="15.75" x14ac:dyDescent="0.25">
      <c r="A380" s="32">
        <v>52504</v>
      </c>
      <c r="B380" s="14">
        <f>70.7158 * CHOOSE(CONTROL!$C$9, $D$9, 100%, $F$9) + CHOOSE(CONTROL!$C$27, 0.0021, 0)</f>
        <v>70.7179</v>
      </c>
      <c r="C380" s="14">
        <f>70.2835 * CHOOSE(CONTROL!$C$9, $D$9, 100%, $F$9) + CHOOSE(CONTROL!$C$27, 0.0021, 0)</f>
        <v>70.285600000000002</v>
      </c>
      <c r="D380" s="14">
        <f>70.2835 * CHOOSE(CONTROL!$C$9, $D$9, 100%, $F$9) + CHOOSE(CONTROL!$C$27, 0.0021, 0)</f>
        <v>70.285600000000002</v>
      </c>
      <c r="E380" s="14">
        <f>70.1469 * CHOOSE(CONTROL!$C$9, $D$9, 100%, $F$9) + CHOOSE(CONTROL!$C$27, 0.0021, 0)</f>
        <v>70.149000000000001</v>
      </c>
      <c r="F380" s="14">
        <f>70.1469 * CHOOSE(CONTROL!$C$9, $D$9, 100%, $F$9) + CHOOSE(CONTROL!$C$27, 0.0021, 0)</f>
        <v>70.149000000000001</v>
      </c>
      <c r="G380" s="14">
        <f>70.4182 * CHOOSE(CONTROL!$C$9, $D$9, 100%, $F$9) + CHOOSE(CONTROL!$C$27, 0.0021, 0)</f>
        <v>70.420299999999997</v>
      </c>
      <c r="H380" s="14">
        <f>70.2835 * CHOOSE(CONTROL!$C$9, $D$9, 100%, $F$9) + CHOOSE(CONTROL!$C$27, 0.0021, 0)</f>
        <v>70.285600000000002</v>
      </c>
      <c r="I380" s="14">
        <f>70.2835 * CHOOSE(CONTROL!$C$9, $D$9, 100%, $F$9) + CHOOSE(CONTROL!$C$27, 0.0021, 0)</f>
        <v>70.285600000000002</v>
      </c>
      <c r="J380" s="14">
        <f>70.2835 * CHOOSE(CONTROL!$C$9, $D$9, 100%, $F$9) + CHOOSE(CONTROL!$C$27, 0.0021, 0)</f>
        <v>70.285600000000002</v>
      </c>
      <c r="K380" s="14">
        <f>70.2835 * CHOOSE(CONTROL!$C$9, $D$9, 100%, $F$9) + CHOOSE(CONTROL!$C$27, 0.0021, 0)</f>
        <v>70.285600000000002</v>
      </c>
      <c r="L380" s="14"/>
    </row>
    <row r="381" spans="1:12" ht="15.75" x14ac:dyDescent="0.25">
      <c r="A381" s="32">
        <v>52535</v>
      </c>
      <c r="B381" s="14">
        <f>72.4419 * CHOOSE(CONTROL!$C$9, $D$9, 100%, $F$9) + CHOOSE(CONTROL!$C$27, 0.0021, 0)</f>
        <v>72.444000000000003</v>
      </c>
      <c r="C381" s="14">
        <f>72.0097 * CHOOSE(CONTROL!$C$9, $D$9, 100%, $F$9) + CHOOSE(CONTROL!$C$27, 0.0021, 0)</f>
        <v>72.011799999999994</v>
      </c>
      <c r="D381" s="14">
        <f>72.0097 * CHOOSE(CONTROL!$C$9, $D$9, 100%, $F$9) + CHOOSE(CONTROL!$C$27, 0.0021, 0)</f>
        <v>72.011799999999994</v>
      </c>
      <c r="E381" s="14">
        <f>71.873 * CHOOSE(CONTROL!$C$9, $D$9, 100%, $F$9) + CHOOSE(CONTROL!$C$27, 0.0021, 0)</f>
        <v>71.875100000000003</v>
      </c>
      <c r="F381" s="14">
        <f>71.873 * CHOOSE(CONTROL!$C$9, $D$9, 100%, $F$9) + CHOOSE(CONTROL!$C$27, 0.0021, 0)</f>
        <v>71.875100000000003</v>
      </c>
      <c r="G381" s="14">
        <f>72.1444 * CHOOSE(CONTROL!$C$9, $D$9, 100%, $F$9) + CHOOSE(CONTROL!$C$27, 0.0021, 0)</f>
        <v>72.146500000000003</v>
      </c>
      <c r="H381" s="14">
        <f>72.0097 * CHOOSE(CONTROL!$C$9, $D$9, 100%, $F$9) + CHOOSE(CONTROL!$C$27, 0.0021, 0)</f>
        <v>72.011799999999994</v>
      </c>
      <c r="I381" s="14">
        <f>72.0097 * CHOOSE(CONTROL!$C$9, $D$9, 100%, $F$9) + CHOOSE(CONTROL!$C$27, 0.0021, 0)</f>
        <v>72.011799999999994</v>
      </c>
      <c r="J381" s="14">
        <f>72.0097 * CHOOSE(CONTROL!$C$9, $D$9, 100%, $F$9) + CHOOSE(CONTROL!$C$27, 0.0021, 0)</f>
        <v>72.011799999999994</v>
      </c>
      <c r="K381" s="14">
        <f>72.0097 * CHOOSE(CONTROL!$C$9, $D$9, 100%, $F$9) + CHOOSE(CONTROL!$C$27, 0.0021, 0)</f>
        <v>72.011799999999994</v>
      </c>
      <c r="L381" s="14"/>
    </row>
    <row r="382" spans="1:12" ht="15.75" x14ac:dyDescent="0.25">
      <c r="A382" s="32">
        <v>52565</v>
      </c>
      <c r="B382" s="14">
        <f>72.604 * CHOOSE(CONTROL!$C$9, $D$9, 100%, $F$9) + CHOOSE(CONTROL!$C$27, 0.0021, 0)</f>
        <v>72.606099999999998</v>
      </c>
      <c r="C382" s="14">
        <f>72.1717 * CHOOSE(CONTROL!$C$9, $D$9, 100%, $F$9) + CHOOSE(CONTROL!$C$27, 0.0021, 0)</f>
        <v>72.1738</v>
      </c>
      <c r="D382" s="14">
        <f>72.1717 * CHOOSE(CONTROL!$C$9, $D$9, 100%, $F$9) + CHOOSE(CONTROL!$C$27, 0.0021, 0)</f>
        <v>72.1738</v>
      </c>
      <c r="E382" s="14">
        <f>72.0351 * CHOOSE(CONTROL!$C$9, $D$9, 100%, $F$9) + CHOOSE(CONTROL!$C$27, 0.0021, 0)</f>
        <v>72.037199999999999</v>
      </c>
      <c r="F382" s="14">
        <f>72.0351 * CHOOSE(CONTROL!$C$9, $D$9, 100%, $F$9) + CHOOSE(CONTROL!$C$27, 0.0021, 0)</f>
        <v>72.037199999999999</v>
      </c>
      <c r="G382" s="14">
        <f>72.3064 * CHOOSE(CONTROL!$C$9, $D$9, 100%, $F$9) + CHOOSE(CONTROL!$C$27, 0.0021, 0)</f>
        <v>72.308499999999995</v>
      </c>
      <c r="H382" s="14">
        <f>72.1717 * CHOOSE(CONTROL!$C$9, $D$9, 100%, $F$9) + CHOOSE(CONTROL!$C$27, 0.0021, 0)</f>
        <v>72.1738</v>
      </c>
      <c r="I382" s="14">
        <f>72.1717 * CHOOSE(CONTROL!$C$9, $D$9, 100%, $F$9) + CHOOSE(CONTROL!$C$27, 0.0021, 0)</f>
        <v>72.1738</v>
      </c>
      <c r="J382" s="14">
        <f>72.1717 * CHOOSE(CONTROL!$C$9, $D$9, 100%, $F$9) + CHOOSE(CONTROL!$C$27, 0.0021, 0)</f>
        <v>72.1738</v>
      </c>
      <c r="K382" s="14">
        <f>72.1717 * CHOOSE(CONTROL!$C$9, $D$9, 100%, $F$9) + CHOOSE(CONTROL!$C$27, 0.0021, 0)</f>
        <v>72.1738</v>
      </c>
      <c r="L382" s="14"/>
    </row>
    <row r="383" spans="1:12" ht="15.75" x14ac:dyDescent="0.25">
      <c r="A383" s="32">
        <v>52596</v>
      </c>
      <c r="B383" s="14">
        <f>71.2253 * CHOOSE(CONTROL!$C$9, $D$9, 100%, $F$9) + CHOOSE(CONTROL!$C$27, 0.0021, 0)</f>
        <v>71.227400000000003</v>
      </c>
      <c r="C383" s="14">
        <f>70.7931 * CHOOSE(CONTROL!$C$9, $D$9, 100%, $F$9) + CHOOSE(CONTROL!$C$27, 0.0021, 0)</f>
        <v>70.795199999999994</v>
      </c>
      <c r="D383" s="14">
        <f>70.7931 * CHOOSE(CONTROL!$C$9, $D$9, 100%, $F$9) + CHOOSE(CONTROL!$C$27, 0.0021, 0)</f>
        <v>70.795199999999994</v>
      </c>
      <c r="E383" s="14">
        <f>70.6564 * CHOOSE(CONTROL!$C$9, $D$9, 100%, $F$9) + CHOOSE(CONTROL!$C$27, 0.0021, 0)</f>
        <v>70.658500000000004</v>
      </c>
      <c r="F383" s="14">
        <f>70.6564 * CHOOSE(CONTROL!$C$9, $D$9, 100%, $F$9) + CHOOSE(CONTROL!$C$27, 0.0021, 0)</f>
        <v>70.658500000000004</v>
      </c>
      <c r="G383" s="14">
        <f>70.9278 * CHOOSE(CONTROL!$C$9, $D$9, 100%, $F$9) + CHOOSE(CONTROL!$C$27, 0.0021, 0)</f>
        <v>70.929900000000004</v>
      </c>
      <c r="H383" s="14">
        <f>70.7931 * CHOOSE(CONTROL!$C$9, $D$9, 100%, $F$9) + CHOOSE(CONTROL!$C$27, 0.0021, 0)</f>
        <v>70.795199999999994</v>
      </c>
      <c r="I383" s="14">
        <f>70.7931 * CHOOSE(CONTROL!$C$9, $D$9, 100%, $F$9) + CHOOSE(CONTROL!$C$27, 0.0021, 0)</f>
        <v>70.795199999999994</v>
      </c>
      <c r="J383" s="14">
        <f>70.7931 * CHOOSE(CONTROL!$C$9, $D$9, 100%, $F$9) + CHOOSE(CONTROL!$C$27, 0.0021, 0)</f>
        <v>70.795199999999994</v>
      </c>
      <c r="K383" s="14">
        <f>70.7931 * CHOOSE(CONTROL!$C$9, $D$9, 100%, $F$9) + CHOOSE(CONTROL!$C$27, 0.0021, 0)</f>
        <v>70.795199999999994</v>
      </c>
      <c r="L383" s="14"/>
    </row>
    <row r="384" spans="1:12" ht="15.75" x14ac:dyDescent="0.25">
      <c r="A384" s="32">
        <v>52627</v>
      </c>
      <c r="B384" s="14">
        <f>70.3539 * CHOOSE(CONTROL!$C$9, $D$9, 100%, $F$9) + CHOOSE(CONTROL!$C$27, 0.0021, 0)</f>
        <v>70.355999999999995</v>
      </c>
      <c r="C384" s="14">
        <f>69.9217 * CHOOSE(CONTROL!$C$9, $D$9, 100%, $F$9) + CHOOSE(CONTROL!$C$27, 0.0021, 0)</f>
        <v>69.9238</v>
      </c>
      <c r="D384" s="14">
        <f>69.9217 * CHOOSE(CONTROL!$C$9, $D$9, 100%, $F$9) + CHOOSE(CONTROL!$C$27, 0.0021, 0)</f>
        <v>69.9238</v>
      </c>
      <c r="E384" s="14">
        <f>69.785 * CHOOSE(CONTROL!$C$9, $D$9, 100%, $F$9) + CHOOSE(CONTROL!$C$27, 0.0021, 0)</f>
        <v>69.787099999999995</v>
      </c>
      <c r="F384" s="14">
        <f>69.785 * CHOOSE(CONTROL!$C$9, $D$9, 100%, $F$9) + CHOOSE(CONTROL!$C$27, 0.0021, 0)</f>
        <v>69.787099999999995</v>
      </c>
      <c r="G384" s="14">
        <f>70.0564 * CHOOSE(CONTROL!$C$9, $D$9, 100%, $F$9) + CHOOSE(CONTROL!$C$27, 0.0021, 0)</f>
        <v>70.058499999999995</v>
      </c>
      <c r="H384" s="14">
        <f>69.9217 * CHOOSE(CONTROL!$C$9, $D$9, 100%, $F$9) + CHOOSE(CONTROL!$C$27, 0.0021, 0)</f>
        <v>69.9238</v>
      </c>
      <c r="I384" s="14">
        <f>69.9217 * CHOOSE(CONTROL!$C$9, $D$9, 100%, $F$9) + CHOOSE(CONTROL!$C$27, 0.0021, 0)</f>
        <v>69.9238</v>
      </c>
      <c r="J384" s="14">
        <f>69.9217 * CHOOSE(CONTROL!$C$9, $D$9, 100%, $F$9) + CHOOSE(CONTROL!$C$27, 0.0021, 0)</f>
        <v>69.9238</v>
      </c>
      <c r="K384" s="14">
        <f>69.9217 * CHOOSE(CONTROL!$C$9, $D$9, 100%, $F$9) + CHOOSE(CONTROL!$C$27, 0.0021, 0)</f>
        <v>69.9238</v>
      </c>
      <c r="L384" s="14"/>
    </row>
    <row r="385" spans="1:12" ht="15.75" x14ac:dyDescent="0.25">
      <c r="A385" s="32">
        <v>52655</v>
      </c>
      <c r="B385" s="14">
        <f>68.4288 * CHOOSE(CONTROL!$C$9, $D$9, 100%, $F$9) + CHOOSE(CONTROL!$C$27, 0.0021, 0)</f>
        <v>68.430899999999994</v>
      </c>
      <c r="C385" s="14">
        <f>67.9965 * CHOOSE(CONTROL!$C$9, $D$9, 100%, $F$9) + CHOOSE(CONTROL!$C$27, 0.0021, 0)</f>
        <v>67.998599999999996</v>
      </c>
      <c r="D385" s="14">
        <f>67.9965 * CHOOSE(CONTROL!$C$9, $D$9, 100%, $F$9) + CHOOSE(CONTROL!$C$27, 0.0021, 0)</f>
        <v>67.998599999999996</v>
      </c>
      <c r="E385" s="14">
        <f>67.8599 * CHOOSE(CONTROL!$C$9, $D$9, 100%, $F$9) + CHOOSE(CONTROL!$C$27, 0.0021, 0)</f>
        <v>67.861999999999995</v>
      </c>
      <c r="F385" s="14">
        <f>67.8599 * CHOOSE(CONTROL!$C$9, $D$9, 100%, $F$9) + CHOOSE(CONTROL!$C$27, 0.0021, 0)</f>
        <v>67.861999999999995</v>
      </c>
      <c r="G385" s="14">
        <f>68.1313 * CHOOSE(CONTROL!$C$9, $D$9, 100%, $F$9) + CHOOSE(CONTROL!$C$27, 0.0021, 0)</f>
        <v>68.133399999999995</v>
      </c>
      <c r="H385" s="14">
        <f>67.9965 * CHOOSE(CONTROL!$C$9, $D$9, 100%, $F$9) + CHOOSE(CONTROL!$C$27, 0.0021, 0)</f>
        <v>67.998599999999996</v>
      </c>
      <c r="I385" s="14">
        <f>67.9965 * CHOOSE(CONTROL!$C$9, $D$9, 100%, $F$9) + CHOOSE(CONTROL!$C$27, 0.0021, 0)</f>
        <v>67.998599999999996</v>
      </c>
      <c r="J385" s="14">
        <f>67.9965 * CHOOSE(CONTROL!$C$9, $D$9, 100%, $F$9) + CHOOSE(CONTROL!$C$27, 0.0021, 0)</f>
        <v>67.998599999999996</v>
      </c>
      <c r="K385" s="14">
        <f>67.9965 * CHOOSE(CONTROL!$C$9, $D$9, 100%, $F$9) + CHOOSE(CONTROL!$C$27, 0.0021, 0)</f>
        <v>67.998599999999996</v>
      </c>
      <c r="L385" s="14"/>
    </row>
    <row r="386" spans="1:12" ht="15.75" x14ac:dyDescent="0.25">
      <c r="A386" s="32">
        <v>52687</v>
      </c>
      <c r="B386" s="14">
        <f>67.6341 * CHOOSE(CONTROL!$C$9, $D$9, 100%, $F$9) + CHOOSE(CONTROL!$C$27, 0.0021, 0)</f>
        <v>67.636200000000002</v>
      </c>
      <c r="C386" s="14">
        <f>67.2018 * CHOOSE(CONTROL!$C$9, $D$9, 100%, $F$9) + CHOOSE(CONTROL!$C$27, 0.0021, 0)</f>
        <v>67.203900000000004</v>
      </c>
      <c r="D386" s="14">
        <f>67.2018 * CHOOSE(CONTROL!$C$9, $D$9, 100%, $F$9) + CHOOSE(CONTROL!$C$27, 0.0021, 0)</f>
        <v>67.203900000000004</v>
      </c>
      <c r="E386" s="14">
        <f>67.0652 * CHOOSE(CONTROL!$C$9, $D$9, 100%, $F$9) + CHOOSE(CONTROL!$C$27, 0.0021, 0)</f>
        <v>67.067300000000003</v>
      </c>
      <c r="F386" s="14">
        <f>67.0652 * CHOOSE(CONTROL!$C$9, $D$9, 100%, $F$9) + CHOOSE(CONTROL!$C$27, 0.0021, 0)</f>
        <v>67.067300000000003</v>
      </c>
      <c r="G386" s="14">
        <f>67.3366 * CHOOSE(CONTROL!$C$9, $D$9, 100%, $F$9) + CHOOSE(CONTROL!$C$27, 0.0021, 0)</f>
        <v>67.338700000000003</v>
      </c>
      <c r="H386" s="14">
        <f>67.2018 * CHOOSE(CONTROL!$C$9, $D$9, 100%, $F$9) + CHOOSE(CONTROL!$C$27, 0.0021, 0)</f>
        <v>67.203900000000004</v>
      </c>
      <c r="I386" s="14">
        <f>67.2018 * CHOOSE(CONTROL!$C$9, $D$9, 100%, $F$9) + CHOOSE(CONTROL!$C$27, 0.0021, 0)</f>
        <v>67.203900000000004</v>
      </c>
      <c r="J386" s="14">
        <f>67.2018 * CHOOSE(CONTROL!$C$9, $D$9, 100%, $F$9) + CHOOSE(CONTROL!$C$27, 0.0021, 0)</f>
        <v>67.203900000000004</v>
      </c>
      <c r="K386" s="14">
        <f>67.2018 * CHOOSE(CONTROL!$C$9, $D$9, 100%, $F$9) + CHOOSE(CONTROL!$C$27, 0.0021, 0)</f>
        <v>67.203900000000004</v>
      </c>
      <c r="L386" s="14"/>
    </row>
    <row r="387" spans="1:12" ht="15.75" x14ac:dyDescent="0.25">
      <c r="A387" s="32">
        <v>52717</v>
      </c>
      <c r="B387" s="14">
        <f>66.6852 * CHOOSE(CONTROL!$C$9, $D$9, 100%, $F$9) + CHOOSE(CONTROL!$C$27, 0.0021, 0)</f>
        <v>66.687299999999993</v>
      </c>
      <c r="C387" s="14">
        <f>66.253 * CHOOSE(CONTROL!$C$9, $D$9, 100%, $F$9) + CHOOSE(CONTROL!$C$27, 0.0021, 0)</f>
        <v>66.255099999999999</v>
      </c>
      <c r="D387" s="14">
        <f>66.253 * CHOOSE(CONTROL!$C$9, $D$9, 100%, $F$9) + CHOOSE(CONTROL!$C$27, 0.0021, 0)</f>
        <v>66.255099999999999</v>
      </c>
      <c r="E387" s="14">
        <f>66.1163 * CHOOSE(CONTROL!$C$9, $D$9, 100%, $F$9) + CHOOSE(CONTROL!$C$27, 0.0021, 0)</f>
        <v>66.118399999999994</v>
      </c>
      <c r="F387" s="14">
        <f>66.1163 * CHOOSE(CONTROL!$C$9, $D$9, 100%, $F$9) + CHOOSE(CONTROL!$C$27, 0.0021, 0)</f>
        <v>66.118399999999994</v>
      </c>
      <c r="G387" s="14">
        <f>66.3877 * CHOOSE(CONTROL!$C$9, $D$9, 100%, $F$9) + CHOOSE(CONTROL!$C$27, 0.0021, 0)</f>
        <v>66.389799999999994</v>
      </c>
      <c r="H387" s="14">
        <f>66.253 * CHOOSE(CONTROL!$C$9, $D$9, 100%, $F$9) + CHOOSE(CONTROL!$C$27, 0.0021, 0)</f>
        <v>66.255099999999999</v>
      </c>
      <c r="I387" s="14">
        <f>66.253 * CHOOSE(CONTROL!$C$9, $D$9, 100%, $F$9) + CHOOSE(CONTROL!$C$27, 0.0021, 0)</f>
        <v>66.255099999999999</v>
      </c>
      <c r="J387" s="14">
        <f>66.253 * CHOOSE(CONTROL!$C$9, $D$9, 100%, $F$9) + CHOOSE(CONTROL!$C$27, 0.0021, 0)</f>
        <v>66.255099999999999</v>
      </c>
      <c r="K387" s="14">
        <f>66.253 * CHOOSE(CONTROL!$C$9, $D$9, 100%, $F$9) + CHOOSE(CONTROL!$C$27, 0.0021, 0)</f>
        <v>66.255099999999999</v>
      </c>
      <c r="L387" s="14"/>
    </row>
    <row r="388" spans="1:12" ht="15.75" x14ac:dyDescent="0.25">
      <c r="A388" s="32">
        <v>52748</v>
      </c>
      <c r="B388" s="14">
        <f>68.0375 * CHOOSE(CONTROL!$C$9, $D$9, 100%, $F$9) + CHOOSE(CONTROL!$C$27, 0.0021, 0)</f>
        <v>68.039599999999993</v>
      </c>
      <c r="C388" s="14">
        <f>67.6052 * CHOOSE(CONTROL!$C$9, $D$9, 100%, $F$9) + CHOOSE(CONTROL!$C$27, 0.0021, 0)</f>
        <v>67.607299999999995</v>
      </c>
      <c r="D388" s="14">
        <f>67.6052 * CHOOSE(CONTROL!$C$9, $D$9, 100%, $F$9) + CHOOSE(CONTROL!$C$27, 0.0021, 0)</f>
        <v>67.607299999999995</v>
      </c>
      <c r="E388" s="14">
        <f>67.4686 * CHOOSE(CONTROL!$C$9, $D$9, 100%, $F$9) + CHOOSE(CONTROL!$C$27, 0.0021, 0)</f>
        <v>67.470699999999994</v>
      </c>
      <c r="F388" s="14">
        <f>67.4686 * CHOOSE(CONTROL!$C$9, $D$9, 100%, $F$9) + CHOOSE(CONTROL!$C$27, 0.0021, 0)</f>
        <v>67.470699999999994</v>
      </c>
      <c r="G388" s="14">
        <f>67.74 * CHOOSE(CONTROL!$C$9, $D$9, 100%, $F$9) + CHOOSE(CONTROL!$C$27, 0.0021, 0)</f>
        <v>67.742099999999994</v>
      </c>
      <c r="H388" s="14">
        <f>67.6052 * CHOOSE(CONTROL!$C$9, $D$9, 100%, $F$9) + CHOOSE(CONTROL!$C$27, 0.0021, 0)</f>
        <v>67.607299999999995</v>
      </c>
      <c r="I388" s="14">
        <f>67.6052 * CHOOSE(CONTROL!$C$9, $D$9, 100%, $F$9) + CHOOSE(CONTROL!$C$27, 0.0021, 0)</f>
        <v>67.607299999999995</v>
      </c>
      <c r="J388" s="14">
        <f>67.6052 * CHOOSE(CONTROL!$C$9, $D$9, 100%, $F$9) + CHOOSE(CONTROL!$C$27, 0.0021, 0)</f>
        <v>67.607299999999995</v>
      </c>
      <c r="K388" s="14">
        <f>67.6052 * CHOOSE(CONTROL!$C$9, $D$9, 100%, $F$9) + CHOOSE(CONTROL!$C$27, 0.0021, 0)</f>
        <v>67.607299999999995</v>
      </c>
      <c r="L388" s="14"/>
    </row>
    <row r="389" spans="1:12" ht="15.75" x14ac:dyDescent="0.25">
      <c r="A389" s="32">
        <v>52778</v>
      </c>
      <c r="B389" s="14">
        <f>68.8474 * CHOOSE(CONTROL!$C$9, $D$9, 100%, $F$9) + CHOOSE(CONTROL!$C$27, 0.0021, 0)</f>
        <v>68.849499999999992</v>
      </c>
      <c r="C389" s="14">
        <f>68.4152 * CHOOSE(CONTROL!$C$9, $D$9, 100%, $F$9) + CHOOSE(CONTROL!$C$27, 0.0021, 0)</f>
        <v>68.417299999999997</v>
      </c>
      <c r="D389" s="14">
        <f>68.4152 * CHOOSE(CONTROL!$C$9, $D$9, 100%, $F$9) + CHOOSE(CONTROL!$C$27, 0.0021, 0)</f>
        <v>68.417299999999997</v>
      </c>
      <c r="E389" s="14">
        <f>68.2785 * CHOOSE(CONTROL!$C$9, $D$9, 100%, $F$9) + CHOOSE(CONTROL!$C$27, 0.0021, 0)</f>
        <v>68.280599999999993</v>
      </c>
      <c r="F389" s="14">
        <f>68.2785 * CHOOSE(CONTROL!$C$9, $D$9, 100%, $F$9) + CHOOSE(CONTROL!$C$27, 0.0021, 0)</f>
        <v>68.280599999999993</v>
      </c>
      <c r="G389" s="14">
        <f>68.5499 * CHOOSE(CONTROL!$C$9, $D$9, 100%, $F$9) + CHOOSE(CONTROL!$C$27, 0.0021, 0)</f>
        <v>68.551999999999992</v>
      </c>
      <c r="H389" s="14">
        <f>68.4152 * CHOOSE(CONTROL!$C$9, $D$9, 100%, $F$9) + CHOOSE(CONTROL!$C$27, 0.0021, 0)</f>
        <v>68.417299999999997</v>
      </c>
      <c r="I389" s="14">
        <f>68.4152 * CHOOSE(CONTROL!$C$9, $D$9, 100%, $F$9) + CHOOSE(CONTROL!$C$27, 0.0021, 0)</f>
        <v>68.417299999999997</v>
      </c>
      <c r="J389" s="14">
        <f>68.4152 * CHOOSE(CONTROL!$C$9, $D$9, 100%, $F$9) + CHOOSE(CONTROL!$C$27, 0.0021, 0)</f>
        <v>68.417299999999997</v>
      </c>
      <c r="K389" s="14">
        <f>68.4152 * CHOOSE(CONTROL!$C$9, $D$9, 100%, $F$9) + CHOOSE(CONTROL!$C$27, 0.0021, 0)</f>
        <v>68.417299999999997</v>
      </c>
      <c r="L389" s="14"/>
    </row>
    <row r="390" spans="1:12" ht="15.75" x14ac:dyDescent="0.25">
      <c r="A390" s="32">
        <v>52809</v>
      </c>
      <c r="B390" s="14">
        <f>70.1836 * CHOOSE(CONTROL!$C$9, $D$9, 100%, $F$9) + CHOOSE(CONTROL!$C$27, 0.0021, 0)</f>
        <v>70.185699999999997</v>
      </c>
      <c r="C390" s="14">
        <f>69.7513 * CHOOSE(CONTROL!$C$9, $D$9, 100%, $F$9) + CHOOSE(CONTROL!$C$27, 0.0021, 0)</f>
        <v>69.753399999999999</v>
      </c>
      <c r="D390" s="14">
        <f>69.7513 * CHOOSE(CONTROL!$C$9, $D$9, 100%, $F$9) + CHOOSE(CONTROL!$C$27, 0.0021, 0)</f>
        <v>69.753399999999999</v>
      </c>
      <c r="E390" s="14">
        <f>69.6147 * CHOOSE(CONTROL!$C$9, $D$9, 100%, $F$9) + CHOOSE(CONTROL!$C$27, 0.0021, 0)</f>
        <v>69.616799999999998</v>
      </c>
      <c r="F390" s="14">
        <f>69.6147 * CHOOSE(CONTROL!$C$9, $D$9, 100%, $F$9) + CHOOSE(CONTROL!$C$27, 0.0021, 0)</f>
        <v>69.616799999999998</v>
      </c>
      <c r="G390" s="14">
        <f>69.8861 * CHOOSE(CONTROL!$C$9, $D$9, 100%, $F$9) + CHOOSE(CONTROL!$C$27, 0.0021, 0)</f>
        <v>69.888199999999998</v>
      </c>
      <c r="H390" s="14">
        <f>69.7513 * CHOOSE(CONTROL!$C$9, $D$9, 100%, $F$9) + CHOOSE(CONTROL!$C$27, 0.0021, 0)</f>
        <v>69.753399999999999</v>
      </c>
      <c r="I390" s="14">
        <f>69.7513 * CHOOSE(CONTROL!$C$9, $D$9, 100%, $F$9) + CHOOSE(CONTROL!$C$27, 0.0021, 0)</f>
        <v>69.753399999999999</v>
      </c>
      <c r="J390" s="14">
        <f>69.7513 * CHOOSE(CONTROL!$C$9, $D$9, 100%, $F$9) + CHOOSE(CONTROL!$C$27, 0.0021, 0)</f>
        <v>69.753399999999999</v>
      </c>
      <c r="K390" s="14">
        <f>69.7513 * CHOOSE(CONTROL!$C$9, $D$9, 100%, $F$9) + CHOOSE(CONTROL!$C$27, 0.0021, 0)</f>
        <v>69.753399999999999</v>
      </c>
      <c r="L390" s="14"/>
    </row>
    <row r="391" spans="1:12" ht="15.75" x14ac:dyDescent="0.25">
      <c r="A391" s="32">
        <v>52840</v>
      </c>
      <c r="B391" s="14">
        <f>70.5914 * CHOOSE(CONTROL!$C$9, $D$9, 100%, $F$9) + CHOOSE(CONTROL!$C$27, 0.0021, 0)</f>
        <v>70.593499999999992</v>
      </c>
      <c r="C391" s="14">
        <f>70.1592 * CHOOSE(CONTROL!$C$9, $D$9, 100%, $F$9) + CHOOSE(CONTROL!$C$27, 0.0021, 0)</f>
        <v>70.161299999999997</v>
      </c>
      <c r="D391" s="14">
        <f>70.1592 * CHOOSE(CONTROL!$C$9, $D$9, 100%, $F$9) + CHOOSE(CONTROL!$C$27, 0.0021, 0)</f>
        <v>70.161299999999997</v>
      </c>
      <c r="E391" s="14">
        <f>70.0225 * CHOOSE(CONTROL!$C$9, $D$9, 100%, $F$9) + CHOOSE(CONTROL!$C$27, 0.0021, 0)</f>
        <v>70.024599999999992</v>
      </c>
      <c r="F391" s="14">
        <f>70.0225 * CHOOSE(CONTROL!$C$9, $D$9, 100%, $F$9) + CHOOSE(CONTROL!$C$27, 0.0021, 0)</f>
        <v>70.024599999999992</v>
      </c>
      <c r="G391" s="14">
        <f>70.2939 * CHOOSE(CONTROL!$C$9, $D$9, 100%, $F$9) + CHOOSE(CONTROL!$C$27, 0.0021, 0)</f>
        <v>70.295999999999992</v>
      </c>
      <c r="H391" s="14">
        <f>70.1592 * CHOOSE(CONTROL!$C$9, $D$9, 100%, $F$9) + CHOOSE(CONTROL!$C$27, 0.0021, 0)</f>
        <v>70.161299999999997</v>
      </c>
      <c r="I391" s="14">
        <f>70.1592 * CHOOSE(CONTROL!$C$9, $D$9, 100%, $F$9) + CHOOSE(CONTROL!$C$27, 0.0021, 0)</f>
        <v>70.161299999999997</v>
      </c>
      <c r="J391" s="14">
        <f>70.1592 * CHOOSE(CONTROL!$C$9, $D$9, 100%, $F$9) + CHOOSE(CONTROL!$C$27, 0.0021, 0)</f>
        <v>70.161299999999997</v>
      </c>
      <c r="K391" s="14">
        <f>70.1592 * CHOOSE(CONTROL!$C$9, $D$9, 100%, $F$9) + CHOOSE(CONTROL!$C$27, 0.0021, 0)</f>
        <v>70.161299999999997</v>
      </c>
      <c r="L391" s="14"/>
    </row>
    <row r="392" spans="1:12" ht="15.75" x14ac:dyDescent="0.25">
      <c r="A392" s="32">
        <v>52870</v>
      </c>
      <c r="B392" s="14">
        <f>71.9803 * CHOOSE(CONTROL!$C$9, $D$9, 100%, $F$9) + CHOOSE(CONTROL!$C$27, 0.0021, 0)</f>
        <v>71.982399999999998</v>
      </c>
      <c r="C392" s="14">
        <f>71.548 * CHOOSE(CONTROL!$C$9, $D$9, 100%, $F$9) + CHOOSE(CONTROL!$C$27, 0.0021, 0)</f>
        <v>71.5501</v>
      </c>
      <c r="D392" s="14">
        <f>71.548 * CHOOSE(CONTROL!$C$9, $D$9, 100%, $F$9) + CHOOSE(CONTROL!$C$27, 0.0021, 0)</f>
        <v>71.5501</v>
      </c>
      <c r="E392" s="14">
        <f>71.4114 * CHOOSE(CONTROL!$C$9, $D$9, 100%, $F$9) + CHOOSE(CONTROL!$C$27, 0.0021, 0)</f>
        <v>71.413499999999999</v>
      </c>
      <c r="F392" s="14">
        <f>71.4114 * CHOOSE(CONTROL!$C$9, $D$9, 100%, $F$9) + CHOOSE(CONTROL!$C$27, 0.0021, 0)</f>
        <v>71.413499999999999</v>
      </c>
      <c r="G392" s="14">
        <f>71.6827 * CHOOSE(CONTROL!$C$9, $D$9, 100%, $F$9) + CHOOSE(CONTROL!$C$27, 0.0021, 0)</f>
        <v>71.684799999999996</v>
      </c>
      <c r="H392" s="14">
        <f>71.548 * CHOOSE(CONTROL!$C$9, $D$9, 100%, $F$9) + CHOOSE(CONTROL!$C$27, 0.0021, 0)</f>
        <v>71.5501</v>
      </c>
      <c r="I392" s="14">
        <f>71.548 * CHOOSE(CONTROL!$C$9, $D$9, 100%, $F$9) + CHOOSE(CONTROL!$C$27, 0.0021, 0)</f>
        <v>71.5501</v>
      </c>
      <c r="J392" s="14">
        <f>71.548 * CHOOSE(CONTROL!$C$9, $D$9, 100%, $F$9) + CHOOSE(CONTROL!$C$27, 0.0021, 0)</f>
        <v>71.5501</v>
      </c>
      <c r="K392" s="14">
        <f>71.548 * CHOOSE(CONTROL!$C$9, $D$9, 100%, $F$9) + CHOOSE(CONTROL!$C$27, 0.0021, 0)</f>
        <v>71.5501</v>
      </c>
      <c r="L392" s="14"/>
    </row>
    <row r="393" spans="1:12" ht="15.75" x14ac:dyDescent="0.25">
      <c r="A393" s="32">
        <v>52901</v>
      </c>
      <c r="B393" s="14">
        <f>73.7383 * CHOOSE(CONTROL!$C$9, $D$9, 100%, $F$9) + CHOOSE(CONTROL!$C$27, 0.0021, 0)</f>
        <v>73.740399999999994</v>
      </c>
      <c r="C393" s="14">
        <f>73.3061 * CHOOSE(CONTROL!$C$9, $D$9, 100%, $F$9) + CHOOSE(CONTROL!$C$27, 0.0021, 0)</f>
        <v>73.308199999999999</v>
      </c>
      <c r="D393" s="14">
        <f>73.3061 * CHOOSE(CONTROL!$C$9, $D$9, 100%, $F$9) + CHOOSE(CONTROL!$C$27, 0.0021, 0)</f>
        <v>73.308199999999999</v>
      </c>
      <c r="E393" s="14">
        <f>73.1694 * CHOOSE(CONTROL!$C$9, $D$9, 100%, $F$9) + CHOOSE(CONTROL!$C$27, 0.0021, 0)</f>
        <v>73.171499999999995</v>
      </c>
      <c r="F393" s="14">
        <f>73.1694 * CHOOSE(CONTROL!$C$9, $D$9, 100%, $F$9) + CHOOSE(CONTROL!$C$27, 0.0021, 0)</f>
        <v>73.171499999999995</v>
      </c>
      <c r="G393" s="14">
        <f>73.4408 * CHOOSE(CONTROL!$C$9, $D$9, 100%, $F$9) + CHOOSE(CONTROL!$C$27, 0.0021, 0)</f>
        <v>73.442899999999995</v>
      </c>
      <c r="H393" s="14">
        <f>73.3061 * CHOOSE(CONTROL!$C$9, $D$9, 100%, $F$9) + CHOOSE(CONTROL!$C$27, 0.0021, 0)</f>
        <v>73.308199999999999</v>
      </c>
      <c r="I393" s="14">
        <f>73.3061 * CHOOSE(CONTROL!$C$9, $D$9, 100%, $F$9) + CHOOSE(CONTROL!$C$27, 0.0021, 0)</f>
        <v>73.308199999999999</v>
      </c>
      <c r="J393" s="14">
        <f>73.3061 * CHOOSE(CONTROL!$C$9, $D$9, 100%, $F$9) + CHOOSE(CONTROL!$C$27, 0.0021, 0)</f>
        <v>73.308199999999999</v>
      </c>
      <c r="K393" s="14">
        <f>73.3061 * CHOOSE(CONTROL!$C$9, $D$9, 100%, $F$9) + CHOOSE(CONTROL!$C$27, 0.0021, 0)</f>
        <v>73.308199999999999</v>
      </c>
      <c r="L393" s="14"/>
    </row>
    <row r="394" spans="1:12" ht="15.75" x14ac:dyDescent="0.25">
      <c r="A394" s="32">
        <v>52931</v>
      </c>
      <c r="B394" s="14">
        <f>73.9034 * CHOOSE(CONTROL!$C$9, $D$9, 100%, $F$9) + CHOOSE(CONTROL!$C$27, 0.0021, 0)</f>
        <v>73.905500000000004</v>
      </c>
      <c r="C394" s="14">
        <f>73.4711 * CHOOSE(CONTROL!$C$9, $D$9, 100%, $F$9) + CHOOSE(CONTROL!$C$27, 0.0021, 0)</f>
        <v>73.473200000000006</v>
      </c>
      <c r="D394" s="14">
        <f>73.4711 * CHOOSE(CONTROL!$C$9, $D$9, 100%, $F$9) + CHOOSE(CONTROL!$C$27, 0.0021, 0)</f>
        <v>73.473200000000006</v>
      </c>
      <c r="E394" s="14">
        <f>73.3345 * CHOOSE(CONTROL!$C$9, $D$9, 100%, $F$9) + CHOOSE(CONTROL!$C$27, 0.0021, 0)</f>
        <v>73.336600000000004</v>
      </c>
      <c r="F394" s="14">
        <f>73.3345 * CHOOSE(CONTROL!$C$9, $D$9, 100%, $F$9) + CHOOSE(CONTROL!$C$27, 0.0021, 0)</f>
        <v>73.336600000000004</v>
      </c>
      <c r="G394" s="14">
        <f>73.6058 * CHOOSE(CONTROL!$C$9, $D$9, 100%, $F$9) + CHOOSE(CONTROL!$C$27, 0.0021, 0)</f>
        <v>73.607900000000001</v>
      </c>
      <c r="H394" s="14">
        <f>73.4711 * CHOOSE(CONTROL!$C$9, $D$9, 100%, $F$9) + CHOOSE(CONTROL!$C$27, 0.0021, 0)</f>
        <v>73.473200000000006</v>
      </c>
      <c r="I394" s="14">
        <f>73.4711 * CHOOSE(CONTROL!$C$9, $D$9, 100%, $F$9) + CHOOSE(CONTROL!$C$27, 0.0021, 0)</f>
        <v>73.473200000000006</v>
      </c>
      <c r="J394" s="14">
        <f>73.4711 * CHOOSE(CONTROL!$C$9, $D$9, 100%, $F$9) + CHOOSE(CONTROL!$C$27, 0.0021, 0)</f>
        <v>73.473200000000006</v>
      </c>
      <c r="K394" s="14">
        <f>73.4711 * CHOOSE(CONTROL!$C$9, $D$9, 100%, $F$9) + CHOOSE(CONTROL!$C$27, 0.0021, 0)</f>
        <v>73.473200000000006</v>
      </c>
      <c r="L394" s="14"/>
    </row>
    <row r="395" spans="1:12" ht="15.75" x14ac:dyDescent="0.25">
      <c r="A395" s="32">
        <v>52962</v>
      </c>
      <c r="B395" s="14">
        <f>72.4992 * CHOOSE(CONTROL!$C$9, $D$9, 100%, $F$9) + CHOOSE(CONTROL!$C$27, 0.0021, 0)</f>
        <v>72.501300000000001</v>
      </c>
      <c r="C395" s="14">
        <f>72.067 * CHOOSE(CONTROL!$C$9, $D$9, 100%, $F$9) + CHOOSE(CONTROL!$C$27, 0.0021, 0)</f>
        <v>72.069099999999992</v>
      </c>
      <c r="D395" s="14">
        <f>72.067 * CHOOSE(CONTROL!$C$9, $D$9, 100%, $F$9) + CHOOSE(CONTROL!$C$27, 0.0021, 0)</f>
        <v>72.069099999999992</v>
      </c>
      <c r="E395" s="14">
        <f>71.9303 * CHOOSE(CONTROL!$C$9, $D$9, 100%, $F$9) + CHOOSE(CONTROL!$C$27, 0.0021, 0)</f>
        <v>71.932400000000001</v>
      </c>
      <c r="F395" s="14">
        <f>71.9303 * CHOOSE(CONTROL!$C$9, $D$9, 100%, $F$9) + CHOOSE(CONTROL!$C$27, 0.0021, 0)</f>
        <v>71.932400000000001</v>
      </c>
      <c r="G395" s="14">
        <f>72.2017 * CHOOSE(CONTROL!$C$9, $D$9, 100%, $F$9) + CHOOSE(CONTROL!$C$27, 0.0021, 0)</f>
        <v>72.203800000000001</v>
      </c>
      <c r="H395" s="14">
        <f>72.067 * CHOOSE(CONTROL!$C$9, $D$9, 100%, $F$9) + CHOOSE(CONTROL!$C$27, 0.0021, 0)</f>
        <v>72.069099999999992</v>
      </c>
      <c r="I395" s="14">
        <f>72.067 * CHOOSE(CONTROL!$C$9, $D$9, 100%, $F$9) + CHOOSE(CONTROL!$C$27, 0.0021, 0)</f>
        <v>72.069099999999992</v>
      </c>
      <c r="J395" s="14">
        <f>72.067 * CHOOSE(CONTROL!$C$9, $D$9, 100%, $F$9) + CHOOSE(CONTROL!$C$27, 0.0021, 0)</f>
        <v>72.069099999999992</v>
      </c>
      <c r="K395" s="14">
        <f>72.067 * CHOOSE(CONTROL!$C$9, $D$9, 100%, $F$9) + CHOOSE(CONTROL!$C$27, 0.0021, 0)</f>
        <v>72.069099999999992</v>
      </c>
      <c r="L395" s="14"/>
    </row>
    <row r="396" spans="1:12" ht="15.75" x14ac:dyDescent="0.25">
      <c r="A396" s="32">
        <v>52993</v>
      </c>
      <c r="B396" s="14">
        <f>71.6118 * CHOOSE(CONTROL!$C$9, $D$9, 100%, $F$9) + CHOOSE(CONTROL!$C$27, 0.0021, 0)</f>
        <v>71.613900000000001</v>
      </c>
      <c r="C396" s="14">
        <f>71.1795 * CHOOSE(CONTROL!$C$9, $D$9, 100%, $F$9) + CHOOSE(CONTROL!$C$27, 0.0021, 0)</f>
        <v>71.181600000000003</v>
      </c>
      <c r="D396" s="14">
        <f>71.1795 * CHOOSE(CONTROL!$C$9, $D$9, 100%, $F$9) + CHOOSE(CONTROL!$C$27, 0.0021, 0)</f>
        <v>71.181600000000003</v>
      </c>
      <c r="E396" s="14">
        <f>71.0429 * CHOOSE(CONTROL!$C$9, $D$9, 100%, $F$9) + CHOOSE(CONTROL!$C$27, 0.0021, 0)</f>
        <v>71.045000000000002</v>
      </c>
      <c r="F396" s="14">
        <f>71.0429 * CHOOSE(CONTROL!$C$9, $D$9, 100%, $F$9) + CHOOSE(CONTROL!$C$27, 0.0021, 0)</f>
        <v>71.045000000000002</v>
      </c>
      <c r="G396" s="14">
        <f>71.3142 * CHOOSE(CONTROL!$C$9, $D$9, 100%, $F$9) + CHOOSE(CONTROL!$C$27, 0.0021, 0)</f>
        <v>71.316299999999998</v>
      </c>
      <c r="H396" s="14">
        <f>71.1795 * CHOOSE(CONTROL!$C$9, $D$9, 100%, $F$9) + CHOOSE(CONTROL!$C$27, 0.0021, 0)</f>
        <v>71.181600000000003</v>
      </c>
      <c r="I396" s="14">
        <f>71.1795 * CHOOSE(CONTROL!$C$9, $D$9, 100%, $F$9) + CHOOSE(CONTROL!$C$27, 0.0021, 0)</f>
        <v>71.181600000000003</v>
      </c>
      <c r="J396" s="14">
        <f>71.1795 * CHOOSE(CONTROL!$C$9, $D$9, 100%, $F$9) + CHOOSE(CONTROL!$C$27, 0.0021, 0)</f>
        <v>71.181600000000003</v>
      </c>
      <c r="K396" s="14">
        <f>71.1795 * CHOOSE(CONTROL!$C$9, $D$9, 100%, $F$9) + CHOOSE(CONTROL!$C$27, 0.0021, 0)</f>
        <v>71.181600000000003</v>
      </c>
      <c r="L396" s="14"/>
    </row>
    <row r="397" spans="1:12" ht="15.75" x14ac:dyDescent="0.25">
      <c r="A397" s="32">
        <v>53021</v>
      </c>
      <c r="B397" s="14">
        <f>69.651 * CHOOSE(CONTROL!$C$9, $D$9, 100%, $F$9) + CHOOSE(CONTROL!$C$27, 0.0021, 0)</f>
        <v>69.653099999999995</v>
      </c>
      <c r="C397" s="14">
        <f>69.2188 * CHOOSE(CONTROL!$C$9, $D$9, 100%, $F$9) + CHOOSE(CONTROL!$C$27, 0.0021, 0)</f>
        <v>69.2209</v>
      </c>
      <c r="D397" s="14">
        <f>69.2188 * CHOOSE(CONTROL!$C$9, $D$9, 100%, $F$9) + CHOOSE(CONTROL!$C$27, 0.0021, 0)</f>
        <v>69.2209</v>
      </c>
      <c r="E397" s="14">
        <f>69.0821 * CHOOSE(CONTROL!$C$9, $D$9, 100%, $F$9) + CHOOSE(CONTROL!$C$27, 0.0021, 0)</f>
        <v>69.084199999999996</v>
      </c>
      <c r="F397" s="14">
        <f>69.0821 * CHOOSE(CONTROL!$C$9, $D$9, 100%, $F$9) + CHOOSE(CONTROL!$C$27, 0.0021, 0)</f>
        <v>69.084199999999996</v>
      </c>
      <c r="G397" s="14">
        <f>69.3535 * CHOOSE(CONTROL!$C$9, $D$9, 100%, $F$9) + CHOOSE(CONTROL!$C$27, 0.0021, 0)</f>
        <v>69.355599999999995</v>
      </c>
      <c r="H397" s="14">
        <f>69.2188 * CHOOSE(CONTROL!$C$9, $D$9, 100%, $F$9) + CHOOSE(CONTROL!$C$27, 0.0021, 0)</f>
        <v>69.2209</v>
      </c>
      <c r="I397" s="14">
        <f>69.2188 * CHOOSE(CONTROL!$C$9, $D$9, 100%, $F$9) + CHOOSE(CONTROL!$C$27, 0.0021, 0)</f>
        <v>69.2209</v>
      </c>
      <c r="J397" s="14">
        <f>69.2188 * CHOOSE(CONTROL!$C$9, $D$9, 100%, $F$9) + CHOOSE(CONTROL!$C$27, 0.0021, 0)</f>
        <v>69.2209</v>
      </c>
      <c r="K397" s="14">
        <f>69.2188 * CHOOSE(CONTROL!$C$9, $D$9, 100%, $F$9) + CHOOSE(CONTROL!$C$27, 0.0021, 0)</f>
        <v>69.2209</v>
      </c>
      <c r="L397" s="14"/>
    </row>
    <row r="398" spans="1:12" ht="15.75" x14ac:dyDescent="0.25">
      <c r="A398" s="32">
        <v>53052</v>
      </c>
      <c r="B398" s="14">
        <f>68.8417 * CHOOSE(CONTROL!$C$9, $D$9, 100%, $F$9) + CHOOSE(CONTROL!$C$27, 0.0021, 0)</f>
        <v>68.843800000000002</v>
      </c>
      <c r="C398" s="14">
        <f>68.4094 * CHOOSE(CONTROL!$C$9, $D$9, 100%, $F$9) + CHOOSE(CONTROL!$C$27, 0.0021, 0)</f>
        <v>68.411500000000004</v>
      </c>
      <c r="D398" s="14">
        <f>68.4094 * CHOOSE(CONTROL!$C$9, $D$9, 100%, $F$9) + CHOOSE(CONTROL!$C$27, 0.0021, 0)</f>
        <v>68.411500000000004</v>
      </c>
      <c r="E398" s="14">
        <f>68.2728 * CHOOSE(CONTROL!$C$9, $D$9, 100%, $F$9) + CHOOSE(CONTROL!$C$27, 0.0021, 0)</f>
        <v>68.274900000000002</v>
      </c>
      <c r="F398" s="14">
        <f>68.2728 * CHOOSE(CONTROL!$C$9, $D$9, 100%, $F$9) + CHOOSE(CONTROL!$C$27, 0.0021, 0)</f>
        <v>68.274900000000002</v>
      </c>
      <c r="G398" s="14">
        <f>68.5441 * CHOOSE(CONTROL!$C$9, $D$9, 100%, $F$9) + CHOOSE(CONTROL!$C$27, 0.0021, 0)</f>
        <v>68.546199999999999</v>
      </c>
      <c r="H398" s="14">
        <f>68.4094 * CHOOSE(CONTROL!$C$9, $D$9, 100%, $F$9) + CHOOSE(CONTROL!$C$27, 0.0021, 0)</f>
        <v>68.411500000000004</v>
      </c>
      <c r="I398" s="14">
        <f>68.4094 * CHOOSE(CONTROL!$C$9, $D$9, 100%, $F$9) + CHOOSE(CONTROL!$C$27, 0.0021, 0)</f>
        <v>68.411500000000004</v>
      </c>
      <c r="J398" s="14">
        <f>68.4094 * CHOOSE(CONTROL!$C$9, $D$9, 100%, $F$9) + CHOOSE(CONTROL!$C$27, 0.0021, 0)</f>
        <v>68.411500000000004</v>
      </c>
      <c r="K398" s="14">
        <f>68.4094 * CHOOSE(CONTROL!$C$9, $D$9, 100%, $F$9) + CHOOSE(CONTROL!$C$27, 0.0021, 0)</f>
        <v>68.411500000000004</v>
      </c>
      <c r="L398" s="14"/>
    </row>
    <row r="399" spans="1:12" ht="15.75" x14ac:dyDescent="0.25">
      <c r="A399" s="32">
        <v>53082</v>
      </c>
      <c r="B399" s="14">
        <f>67.8752 * CHOOSE(CONTROL!$C$9, $D$9, 100%, $F$9) + CHOOSE(CONTROL!$C$27, 0.0021, 0)</f>
        <v>67.877300000000005</v>
      </c>
      <c r="C399" s="14">
        <f>67.443 * CHOOSE(CONTROL!$C$9, $D$9, 100%, $F$9) + CHOOSE(CONTROL!$C$27, 0.0021, 0)</f>
        <v>67.445099999999996</v>
      </c>
      <c r="D399" s="14">
        <f>67.443 * CHOOSE(CONTROL!$C$9, $D$9, 100%, $F$9) + CHOOSE(CONTROL!$C$27, 0.0021, 0)</f>
        <v>67.445099999999996</v>
      </c>
      <c r="E399" s="14">
        <f>67.3063 * CHOOSE(CONTROL!$C$9, $D$9, 100%, $F$9) + CHOOSE(CONTROL!$C$27, 0.0021, 0)</f>
        <v>67.308399999999992</v>
      </c>
      <c r="F399" s="14">
        <f>67.3063 * CHOOSE(CONTROL!$C$9, $D$9, 100%, $F$9) + CHOOSE(CONTROL!$C$27, 0.0021, 0)</f>
        <v>67.308399999999992</v>
      </c>
      <c r="G399" s="14">
        <f>67.5777 * CHOOSE(CONTROL!$C$9, $D$9, 100%, $F$9) + CHOOSE(CONTROL!$C$27, 0.0021, 0)</f>
        <v>67.579799999999992</v>
      </c>
      <c r="H399" s="14">
        <f>67.443 * CHOOSE(CONTROL!$C$9, $D$9, 100%, $F$9) + CHOOSE(CONTROL!$C$27, 0.0021, 0)</f>
        <v>67.445099999999996</v>
      </c>
      <c r="I399" s="14">
        <f>67.443 * CHOOSE(CONTROL!$C$9, $D$9, 100%, $F$9) + CHOOSE(CONTROL!$C$27, 0.0021, 0)</f>
        <v>67.445099999999996</v>
      </c>
      <c r="J399" s="14">
        <f>67.443 * CHOOSE(CONTROL!$C$9, $D$9, 100%, $F$9) + CHOOSE(CONTROL!$C$27, 0.0021, 0)</f>
        <v>67.445099999999996</v>
      </c>
      <c r="K399" s="14">
        <f>67.443 * CHOOSE(CONTROL!$C$9, $D$9, 100%, $F$9) + CHOOSE(CONTROL!$C$27, 0.0021, 0)</f>
        <v>67.445099999999996</v>
      </c>
      <c r="L399" s="14"/>
    </row>
    <row r="400" spans="1:12" ht="15.75" x14ac:dyDescent="0.25">
      <c r="A400" s="32">
        <v>53113</v>
      </c>
      <c r="B400" s="14">
        <f>69.2525 * CHOOSE(CONTROL!$C$9, $D$9, 100%, $F$9) + CHOOSE(CONTROL!$C$27, 0.0021, 0)</f>
        <v>69.254599999999996</v>
      </c>
      <c r="C400" s="14">
        <f>68.8203 * CHOOSE(CONTROL!$C$9, $D$9, 100%, $F$9) + CHOOSE(CONTROL!$C$27, 0.0021, 0)</f>
        <v>68.822400000000002</v>
      </c>
      <c r="D400" s="14">
        <f>68.8203 * CHOOSE(CONTROL!$C$9, $D$9, 100%, $F$9) + CHOOSE(CONTROL!$C$27, 0.0021, 0)</f>
        <v>68.822400000000002</v>
      </c>
      <c r="E400" s="14">
        <f>68.6836 * CHOOSE(CONTROL!$C$9, $D$9, 100%, $F$9) + CHOOSE(CONTROL!$C$27, 0.0021, 0)</f>
        <v>68.685699999999997</v>
      </c>
      <c r="F400" s="14">
        <f>68.6836 * CHOOSE(CONTROL!$C$9, $D$9, 100%, $F$9) + CHOOSE(CONTROL!$C$27, 0.0021, 0)</f>
        <v>68.685699999999997</v>
      </c>
      <c r="G400" s="14">
        <f>68.955 * CHOOSE(CONTROL!$C$9, $D$9, 100%, $F$9) + CHOOSE(CONTROL!$C$27, 0.0021, 0)</f>
        <v>68.957099999999997</v>
      </c>
      <c r="H400" s="14">
        <f>68.8203 * CHOOSE(CONTROL!$C$9, $D$9, 100%, $F$9) + CHOOSE(CONTROL!$C$27, 0.0021, 0)</f>
        <v>68.822400000000002</v>
      </c>
      <c r="I400" s="14">
        <f>68.8203 * CHOOSE(CONTROL!$C$9, $D$9, 100%, $F$9) + CHOOSE(CONTROL!$C$27, 0.0021, 0)</f>
        <v>68.822400000000002</v>
      </c>
      <c r="J400" s="14">
        <f>68.8203 * CHOOSE(CONTROL!$C$9, $D$9, 100%, $F$9) + CHOOSE(CONTROL!$C$27, 0.0021, 0)</f>
        <v>68.822400000000002</v>
      </c>
      <c r="K400" s="14">
        <f>68.8203 * CHOOSE(CONTROL!$C$9, $D$9, 100%, $F$9) + CHOOSE(CONTROL!$C$27, 0.0021, 0)</f>
        <v>68.822400000000002</v>
      </c>
      <c r="L400" s="14"/>
    </row>
    <row r="401" spans="1:12" ht="15.75" x14ac:dyDescent="0.25">
      <c r="A401" s="32">
        <v>53143</v>
      </c>
      <c r="B401" s="14">
        <f>70.0774 * CHOOSE(CONTROL!$C$9, $D$9, 100%, $F$9) + CHOOSE(CONTROL!$C$27, 0.0021, 0)</f>
        <v>70.079499999999996</v>
      </c>
      <c r="C401" s="14">
        <f>69.6452 * CHOOSE(CONTROL!$C$9, $D$9, 100%, $F$9) + CHOOSE(CONTROL!$C$27, 0.0021, 0)</f>
        <v>69.647300000000001</v>
      </c>
      <c r="D401" s="14">
        <f>69.6452 * CHOOSE(CONTROL!$C$9, $D$9, 100%, $F$9) + CHOOSE(CONTROL!$C$27, 0.0021, 0)</f>
        <v>69.647300000000001</v>
      </c>
      <c r="E401" s="14">
        <f>69.5085 * CHOOSE(CONTROL!$C$9, $D$9, 100%, $F$9) + CHOOSE(CONTROL!$C$27, 0.0021, 0)</f>
        <v>69.510599999999997</v>
      </c>
      <c r="F401" s="14">
        <f>69.5085 * CHOOSE(CONTROL!$C$9, $D$9, 100%, $F$9) + CHOOSE(CONTROL!$C$27, 0.0021, 0)</f>
        <v>69.510599999999997</v>
      </c>
      <c r="G401" s="14">
        <f>69.7799 * CHOOSE(CONTROL!$C$9, $D$9, 100%, $F$9) + CHOOSE(CONTROL!$C$27, 0.0021, 0)</f>
        <v>69.781999999999996</v>
      </c>
      <c r="H401" s="14">
        <f>69.6452 * CHOOSE(CONTROL!$C$9, $D$9, 100%, $F$9) + CHOOSE(CONTROL!$C$27, 0.0021, 0)</f>
        <v>69.647300000000001</v>
      </c>
      <c r="I401" s="14">
        <f>69.6452 * CHOOSE(CONTROL!$C$9, $D$9, 100%, $F$9) + CHOOSE(CONTROL!$C$27, 0.0021, 0)</f>
        <v>69.647300000000001</v>
      </c>
      <c r="J401" s="14">
        <f>69.6452 * CHOOSE(CONTROL!$C$9, $D$9, 100%, $F$9) + CHOOSE(CONTROL!$C$27, 0.0021, 0)</f>
        <v>69.647300000000001</v>
      </c>
      <c r="K401" s="14">
        <f>69.6452 * CHOOSE(CONTROL!$C$9, $D$9, 100%, $F$9) + CHOOSE(CONTROL!$C$27, 0.0021, 0)</f>
        <v>69.647300000000001</v>
      </c>
      <c r="L401" s="14"/>
    </row>
    <row r="402" spans="1:12" ht="15.75" x14ac:dyDescent="0.25">
      <c r="A402" s="32">
        <v>53174</v>
      </c>
      <c r="B402" s="14">
        <f>71.4383 * CHOOSE(CONTROL!$C$9, $D$9, 100%, $F$9) + CHOOSE(CONTROL!$C$27, 0.0021, 0)</f>
        <v>71.440399999999997</v>
      </c>
      <c r="C402" s="14">
        <f>71.006 * CHOOSE(CONTROL!$C$9, $D$9, 100%, $F$9) + CHOOSE(CONTROL!$C$27, 0.0021, 0)</f>
        <v>71.008099999999999</v>
      </c>
      <c r="D402" s="14">
        <f>71.006 * CHOOSE(CONTROL!$C$9, $D$9, 100%, $F$9) + CHOOSE(CONTROL!$C$27, 0.0021, 0)</f>
        <v>71.008099999999999</v>
      </c>
      <c r="E402" s="14">
        <f>70.8694 * CHOOSE(CONTROL!$C$9, $D$9, 100%, $F$9) + CHOOSE(CONTROL!$C$27, 0.0021, 0)</f>
        <v>70.871499999999997</v>
      </c>
      <c r="F402" s="14">
        <f>70.8694 * CHOOSE(CONTROL!$C$9, $D$9, 100%, $F$9) + CHOOSE(CONTROL!$C$27, 0.0021, 0)</f>
        <v>70.871499999999997</v>
      </c>
      <c r="G402" s="14">
        <f>71.1407 * CHOOSE(CONTROL!$C$9, $D$9, 100%, $F$9) + CHOOSE(CONTROL!$C$27, 0.0021, 0)</f>
        <v>71.142799999999994</v>
      </c>
      <c r="H402" s="14">
        <f>71.006 * CHOOSE(CONTROL!$C$9, $D$9, 100%, $F$9) + CHOOSE(CONTROL!$C$27, 0.0021, 0)</f>
        <v>71.008099999999999</v>
      </c>
      <c r="I402" s="14">
        <f>71.006 * CHOOSE(CONTROL!$C$9, $D$9, 100%, $F$9) + CHOOSE(CONTROL!$C$27, 0.0021, 0)</f>
        <v>71.008099999999999</v>
      </c>
      <c r="J402" s="14">
        <f>71.006 * CHOOSE(CONTROL!$C$9, $D$9, 100%, $F$9) + CHOOSE(CONTROL!$C$27, 0.0021, 0)</f>
        <v>71.008099999999999</v>
      </c>
      <c r="K402" s="14">
        <f>71.006 * CHOOSE(CONTROL!$C$9, $D$9, 100%, $F$9) + CHOOSE(CONTROL!$C$27, 0.0021, 0)</f>
        <v>71.008099999999999</v>
      </c>
      <c r="L402" s="14"/>
    </row>
    <row r="403" spans="1:12" ht="15.75" x14ac:dyDescent="0.25">
      <c r="A403" s="32">
        <v>53205</v>
      </c>
      <c r="B403" s="14">
        <f>71.8536 * CHOOSE(CONTROL!$C$9, $D$9, 100%, $F$9) + CHOOSE(CONTROL!$C$27, 0.0021, 0)</f>
        <v>71.855699999999999</v>
      </c>
      <c r="C403" s="14">
        <f>71.4214 * CHOOSE(CONTROL!$C$9, $D$9, 100%, $F$9) + CHOOSE(CONTROL!$C$27, 0.0021, 0)</f>
        <v>71.423500000000004</v>
      </c>
      <c r="D403" s="14">
        <f>71.4214 * CHOOSE(CONTROL!$C$9, $D$9, 100%, $F$9) + CHOOSE(CONTROL!$C$27, 0.0021, 0)</f>
        <v>71.423500000000004</v>
      </c>
      <c r="E403" s="14">
        <f>71.2847 * CHOOSE(CONTROL!$C$9, $D$9, 100%, $F$9) + CHOOSE(CONTROL!$C$27, 0.0021, 0)</f>
        <v>71.286799999999999</v>
      </c>
      <c r="F403" s="14">
        <f>71.2847 * CHOOSE(CONTROL!$C$9, $D$9, 100%, $F$9) + CHOOSE(CONTROL!$C$27, 0.0021, 0)</f>
        <v>71.286799999999999</v>
      </c>
      <c r="G403" s="14">
        <f>71.5561 * CHOOSE(CONTROL!$C$9, $D$9, 100%, $F$9) + CHOOSE(CONTROL!$C$27, 0.0021, 0)</f>
        <v>71.558199999999999</v>
      </c>
      <c r="H403" s="14">
        <f>71.4214 * CHOOSE(CONTROL!$C$9, $D$9, 100%, $F$9) + CHOOSE(CONTROL!$C$27, 0.0021, 0)</f>
        <v>71.423500000000004</v>
      </c>
      <c r="I403" s="14">
        <f>71.4214 * CHOOSE(CONTROL!$C$9, $D$9, 100%, $F$9) + CHOOSE(CONTROL!$C$27, 0.0021, 0)</f>
        <v>71.423500000000004</v>
      </c>
      <c r="J403" s="14">
        <f>71.4214 * CHOOSE(CONTROL!$C$9, $D$9, 100%, $F$9) + CHOOSE(CONTROL!$C$27, 0.0021, 0)</f>
        <v>71.423500000000004</v>
      </c>
      <c r="K403" s="14">
        <f>71.4214 * CHOOSE(CONTROL!$C$9, $D$9, 100%, $F$9) + CHOOSE(CONTROL!$C$27, 0.0021, 0)</f>
        <v>71.423500000000004</v>
      </c>
      <c r="L403" s="14"/>
    </row>
    <row r="404" spans="1:12" ht="15.75" x14ac:dyDescent="0.25">
      <c r="A404" s="32">
        <v>53235</v>
      </c>
      <c r="B404" s="14">
        <f>73.2682 * CHOOSE(CONTROL!$C$9, $D$9, 100%, $F$9) + CHOOSE(CONTROL!$C$27, 0.0021, 0)</f>
        <v>73.270299999999992</v>
      </c>
      <c r="C404" s="14">
        <f>72.8359 * CHOOSE(CONTROL!$C$9, $D$9, 100%, $F$9) + CHOOSE(CONTROL!$C$27, 0.0021, 0)</f>
        <v>72.837999999999994</v>
      </c>
      <c r="D404" s="14">
        <f>72.8359 * CHOOSE(CONTROL!$C$9, $D$9, 100%, $F$9) + CHOOSE(CONTROL!$C$27, 0.0021, 0)</f>
        <v>72.837999999999994</v>
      </c>
      <c r="E404" s="14">
        <f>72.6993 * CHOOSE(CONTROL!$C$9, $D$9, 100%, $F$9) + CHOOSE(CONTROL!$C$27, 0.0021, 0)</f>
        <v>72.701399999999992</v>
      </c>
      <c r="F404" s="14">
        <f>72.6993 * CHOOSE(CONTROL!$C$9, $D$9, 100%, $F$9) + CHOOSE(CONTROL!$C$27, 0.0021, 0)</f>
        <v>72.701399999999992</v>
      </c>
      <c r="G404" s="14">
        <f>72.9706 * CHOOSE(CONTROL!$C$9, $D$9, 100%, $F$9) + CHOOSE(CONTROL!$C$27, 0.0021, 0)</f>
        <v>72.972700000000003</v>
      </c>
      <c r="H404" s="14">
        <f>72.8359 * CHOOSE(CONTROL!$C$9, $D$9, 100%, $F$9) + CHOOSE(CONTROL!$C$27, 0.0021, 0)</f>
        <v>72.837999999999994</v>
      </c>
      <c r="I404" s="14">
        <f>72.8359 * CHOOSE(CONTROL!$C$9, $D$9, 100%, $F$9) + CHOOSE(CONTROL!$C$27, 0.0021, 0)</f>
        <v>72.837999999999994</v>
      </c>
      <c r="J404" s="14">
        <f>72.8359 * CHOOSE(CONTROL!$C$9, $D$9, 100%, $F$9) + CHOOSE(CONTROL!$C$27, 0.0021, 0)</f>
        <v>72.837999999999994</v>
      </c>
      <c r="K404" s="14">
        <f>72.8359 * CHOOSE(CONTROL!$C$9, $D$9, 100%, $F$9) + CHOOSE(CONTROL!$C$27, 0.0021, 0)</f>
        <v>72.837999999999994</v>
      </c>
      <c r="L404" s="14"/>
    </row>
    <row r="405" spans="1:12" ht="15.75" x14ac:dyDescent="0.25">
      <c r="A405" s="32">
        <v>53266</v>
      </c>
      <c r="B405" s="14">
        <f>75.0587 * CHOOSE(CONTROL!$C$9, $D$9, 100%, $F$9) + CHOOSE(CONTROL!$C$27, 0.0021, 0)</f>
        <v>75.0608</v>
      </c>
      <c r="C405" s="14">
        <f>74.6265 * CHOOSE(CONTROL!$C$9, $D$9, 100%, $F$9) + CHOOSE(CONTROL!$C$27, 0.0021, 0)</f>
        <v>74.628599999999992</v>
      </c>
      <c r="D405" s="14">
        <f>74.6265 * CHOOSE(CONTROL!$C$9, $D$9, 100%, $F$9) + CHOOSE(CONTROL!$C$27, 0.0021, 0)</f>
        <v>74.628599999999992</v>
      </c>
      <c r="E405" s="14">
        <f>74.4898 * CHOOSE(CONTROL!$C$9, $D$9, 100%, $F$9) + CHOOSE(CONTROL!$C$27, 0.0021, 0)</f>
        <v>74.491900000000001</v>
      </c>
      <c r="F405" s="14">
        <f>74.4898 * CHOOSE(CONTROL!$C$9, $D$9, 100%, $F$9) + CHOOSE(CONTROL!$C$27, 0.0021, 0)</f>
        <v>74.491900000000001</v>
      </c>
      <c r="G405" s="14">
        <f>74.7612 * CHOOSE(CONTROL!$C$9, $D$9, 100%, $F$9) + CHOOSE(CONTROL!$C$27, 0.0021, 0)</f>
        <v>74.763300000000001</v>
      </c>
      <c r="H405" s="14">
        <f>74.6265 * CHOOSE(CONTROL!$C$9, $D$9, 100%, $F$9) + CHOOSE(CONTROL!$C$27, 0.0021, 0)</f>
        <v>74.628599999999992</v>
      </c>
      <c r="I405" s="14">
        <f>74.6265 * CHOOSE(CONTROL!$C$9, $D$9, 100%, $F$9) + CHOOSE(CONTROL!$C$27, 0.0021, 0)</f>
        <v>74.628599999999992</v>
      </c>
      <c r="J405" s="14">
        <f>74.6265 * CHOOSE(CONTROL!$C$9, $D$9, 100%, $F$9) + CHOOSE(CONTROL!$C$27, 0.0021, 0)</f>
        <v>74.628599999999992</v>
      </c>
      <c r="K405" s="14">
        <f>74.6265 * CHOOSE(CONTROL!$C$9, $D$9, 100%, $F$9) + CHOOSE(CONTROL!$C$27, 0.0021, 0)</f>
        <v>74.628599999999992</v>
      </c>
      <c r="L405" s="14"/>
    </row>
    <row r="406" spans="1:12" ht="15.75" x14ac:dyDescent="0.25">
      <c r="A406" s="32">
        <v>53296</v>
      </c>
      <c r="B406" s="14">
        <f>75.2268 * CHOOSE(CONTROL!$C$9, $D$9, 100%, $F$9) + CHOOSE(CONTROL!$C$27, 0.0021, 0)</f>
        <v>75.228899999999996</v>
      </c>
      <c r="C406" s="14">
        <f>74.7946 * CHOOSE(CONTROL!$C$9, $D$9, 100%, $F$9) + CHOOSE(CONTROL!$C$27, 0.0021, 0)</f>
        <v>74.796700000000001</v>
      </c>
      <c r="D406" s="14">
        <f>74.7946 * CHOOSE(CONTROL!$C$9, $D$9, 100%, $F$9) + CHOOSE(CONTROL!$C$27, 0.0021, 0)</f>
        <v>74.796700000000001</v>
      </c>
      <c r="E406" s="14">
        <f>74.6579 * CHOOSE(CONTROL!$C$9, $D$9, 100%, $F$9) + CHOOSE(CONTROL!$C$27, 0.0021, 0)</f>
        <v>74.66</v>
      </c>
      <c r="F406" s="14">
        <f>74.6579 * CHOOSE(CONTROL!$C$9, $D$9, 100%, $F$9) + CHOOSE(CONTROL!$C$27, 0.0021, 0)</f>
        <v>74.66</v>
      </c>
      <c r="G406" s="14">
        <f>74.9293 * CHOOSE(CONTROL!$C$9, $D$9, 100%, $F$9) + CHOOSE(CONTROL!$C$27, 0.0021, 0)</f>
        <v>74.931399999999996</v>
      </c>
      <c r="H406" s="14">
        <f>74.7946 * CHOOSE(CONTROL!$C$9, $D$9, 100%, $F$9) + CHOOSE(CONTROL!$C$27, 0.0021, 0)</f>
        <v>74.796700000000001</v>
      </c>
      <c r="I406" s="14">
        <f>74.7946 * CHOOSE(CONTROL!$C$9, $D$9, 100%, $F$9) + CHOOSE(CONTROL!$C$27, 0.0021, 0)</f>
        <v>74.796700000000001</v>
      </c>
      <c r="J406" s="14">
        <f>74.7946 * CHOOSE(CONTROL!$C$9, $D$9, 100%, $F$9) + CHOOSE(CONTROL!$C$27, 0.0021, 0)</f>
        <v>74.796700000000001</v>
      </c>
      <c r="K406" s="14">
        <f>74.7946 * CHOOSE(CONTROL!$C$9, $D$9, 100%, $F$9) + CHOOSE(CONTROL!$C$27, 0.0021, 0)</f>
        <v>74.796700000000001</v>
      </c>
      <c r="L406" s="14"/>
    </row>
    <row r="407" spans="1:12" ht="15.75" x14ac:dyDescent="0.25">
      <c r="A407" s="32">
        <v>53327</v>
      </c>
      <c r="B407" s="14">
        <f>73.7967 * CHOOSE(CONTROL!$C$9, $D$9, 100%, $F$9) + CHOOSE(CONTROL!$C$27, 0.0021, 0)</f>
        <v>73.7988</v>
      </c>
      <c r="C407" s="14">
        <f>73.3645 * CHOOSE(CONTROL!$C$9, $D$9, 100%, $F$9) + CHOOSE(CONTROL!$C$27, 0.0021, 0)</f>
        <v>73.366600000000005</v>
      </c>
      <c r="D407" s="14">
        <f>73.3645 * CHOOSE(CONTROL!$C$9, $D$9, 100%, $F$9) + CHOOSE(CONTROL!$C$27, 0.0021, 0)</f>
        <v>73.366600000000005</v>
      </c>
      <c r="E407" s="14">
        <f>73.2278 * CHOOSE(CONTROL!$C$9, $D$9, 100%, $F$9) + CHOOSE(CONTROL!$C$27, 0.0021, 0)</f>
        <v>73.229900000000001</v>
      </c>
      <c r="F407" s="14">
        <f>73.2278 * CHOOSE(CONTROL!$C$9, $D$9, 100%, $F$9) + CHOOSE(CONTROL!$C$27, 0.0021, 0)</f>
        <v>73.229900000000001</v>
      </c>
      <c r="G407" s="14">
        <f>73.4992 * CHOOSE(CONTROL!$C$9, $D$9, 100%, $F$9) + CHOOSE(CONTROL!$C$27, 0.0021, 0)</f>
        <v>73.501300000000001</v>
      </c>
      <c r="H407" s="14">
        <f>73.3645 * CHOOSE(CONTROL!$C$9, $D$9, 100%, $F$9) + CHOOSE(CONTROL!$C$27, 0.0021, 0)</f>
        <v>73.366600000000005</v>
      </c>
      <c r="I407" s="14">
        <f>73.3645 * CHOOSE(CONTROL!$C$9, $D$9, 100%, $F$9) + CHOOSE(CONTROL!$C$27, 0.0021, 0)</f>
        <v>73.366600000000005</v>
      </c>
      <c r="J407" s="14">
        <f>73.3645 * CHOOSE(CONTROL!$C$9, $D$9, 100%, $F$9) + CHOOSE(CONTROL!$C$27, 0.0021, 0)</f>
        <v>73.366600000000005</v>
      </c>
      <c r="K407" s="14">
        <f>73.3645 * CHOOSE(CONTROL!$C$9, $D$9, 100%, $F$9) + CHOOSE(CONTROL!$C$27, 0.0021, 0)</f>
        <v>73.366600000000005</v>
      </c>
      <c r="L407" s="14"/>
    </row>
    <row r="408" spans="1:12" ht="15.75" x14ac:dyDescent="0.25">
      <c r="A408" s="32">
        <v>53358</v>
      </c>
      <c r="B408" s="14">
        <f>72.8928 * CHOOSE(CONTROL!$C$9, $D$9, 100%, $F$9) + CHOOSE(CONTROL!$C$27, 0.0021, 0)</f>
        <v>72.894899999999993</v>
      </c>
      <c r="C408" s="14">
        <f>72.4606 * CHOOSE(CONTROL!$C$9, $D$9, 100%, $F$9) + CHOOSE(CONTROL!$C$27, 0.0021, 0)</f>
        <v>72.462699999999998</v>
      </c>
      <c r="D408" s="14">
        <f>72.4606 * CHOOSE(CONTROL!$C$9, $D$9, 100%, $F$9) + CHOOSE(CONTROL!$C$27, 0.0021, 0)</f>
        <v>72.462699999999998</v>
      </c>
      <c r="E408" s="14">
        <f>72.3239 * CHOOSE(CONTROL!$C$9, $D$9, 100%, $F$9) + CHOOSE(CONTROL!$C$27, 0.0021, 0)</f>
        <v>72.325999999999993</v>
      </c>
      <c r="F408" s="14">
        <f>72.3239 * CHOOSE(CONTROL!$C$9, $D$9, 100%, $F$9) + CHOOSE(CONTROL!$C$27, 0.0021, 0)</f>
        <v>72.325999999999993</v>
      </c>
      <c r="G408" s="14">
        <f>72.5953 * CHOOSE(CONTROL!$C$9, $D$9, 100%, $F$9) + CHOOSE(CONTROL!$C$27, 0.0021, 0)</f>
        <v>72.597399999999993</v>
      </c>
      <c r="H408" s="14">
        <f>72.4606 * CHOOSE(CONTROL!$C$9, $D$9, 100%, $F$9) + CHOOSE(CONTROL!$C$27, 0.0021, 0)</f>
        <v>72.462699999999998</v>
      </c>
      <c r="I408" s="14">
        <f>72.4606 * CHOOSE(CONTROL!$C$9, $D$9, 100%, $F$9) + CHOOSE(CONTROL!$C$27, 0.0021, 0)</f>
        <v>72.462699999999998</v>
      </c>
      <c r="J408" s="14">
        <f>72.4606 * CHOOSE(CONTROL!$C$9, $D$9, 100%, $F$9) + CHOOSE(CONTROL!$C$27, 0.0021, 0)</f>
        <v>72.462699999999998</v>
      </c>
      <c r="K408" s="14">
        <f>72.4606 * CHOOSE(CONTROL!$C$9, $D$9, 100%, $F$9) + CHOOSE(CONTROL!$C$27, 0.0021, 0)</f>
        <v>72.462699999999998</v>
      </c>
      <c r="L408" s="14"/>
    </row>
    <row r="409" spans="1:12" ht="15.75" x14ac:dyDescent="0.25">
      <c r="A409" s="32">
        <v>53386</v>
      </c>
      <c r="B409" s="14">
        <f>70.8959 * CHOOSE(CONTROL!$C$9, $D$9, 100%, $F$9) + CHOOSE(CONTROL!$C$27, 0.0021, 0)</f>
        <v>70.897999999999996</v>
      </c>
      <c r="C409" s="14">
        <f>70.4636 * CHOOSE(CONTROL!$C$9, $D$9, 100%, $F$9) + CHOOSE(CONTROL!$C$27, 0.0021, 0)</f>
        <v>70.465699999999998</v>
      </c>
      <c r="D409" s="14">
        <f>70.4636 * CHOOSE(CONTROL!$C$9, $D$9, 100%, $F$9) + CHOOSE(CONTROL!$C$27, 0.0021, 0)</f>
        <v>70.465699999999998</v>
      </c>
      <c r="E409" s="14">
        <f>70.327 * CHOOSE(CONTROL!$C$9, $D$9, 100%, $F$9) + CHOOSE(CONTROL!$C$27, 0.0021, 0)</f>
        <v>70.329099999999997</v>
      </c>
      <c r="F409" s="14">
        <f>70.327 * CHOOSE(CONTROL!$C$9, $D$9, 100%, $F$9) + CHOOSE(CONTROL!$C$27, 0.0021, 0)</f>
        <v>70.329099999999997</v>
      </c>
      <c r="G409" s="14">
        <f>70.5984 * CHOOSE(CONTROL!$C$9, $D$9, 100%, $F$9) + CHOOSE(CONTROL!$C$27, 0.0021, 0)</f>
        <v>70.600499999999997</v>
      </c>
      <c r="H409" s="14">
        <f>70.4636 * CHOOSE(CONTROL!$C$9, $D$9, 100%, $F$9) + CHOOSE(CONTROL!$C$27, 0.0021, 0)</f>
        <v>70.465699999999998</v>
      </c>
      <c r="I409" s="14">
        <f>70.4636 * CHOOSE(CONTROL!$C$9, $D$9, 100%, $F$9) + CHOOSE(CONTROL!$C$27, 0.0021, 0)</f>
        <v>70.465699999999998</v>
      </c>
      <c r="J409" s="14">
        <f>70.4636 * CHOOSE(CONTROL!$C$9, $D$9, 100%, $F$9) + CHOOSE(CONTROL!$C$27, 0.0021, 0)</f>
        <v>70.465699999999998</v>
      </c>
      <c r="K409" s="14">
        <f>70.4636 * CHOOSE(CONTROL!$C$9, $D$9, 100%, $F$9) + CHOOSE(CONTROL!$C$27, 0.0021, 0)</f>
        <v>70.465699999999998</v>
      </c>
      <c r="L409" s="14"/>
    </row>
    <row r="410" spans="1:12" ht="15.75" x14ac:dyDescent="0.25">
      <c r="A410" s="32">
        <v>53417</v>
      </c>
      <c r="B410" s="14">
        <f>70.0715 * CHOOSE(CONTROL!$C$9, $D$9, 100%, $F$9) + CHOOSE(CONTROL!$C$27, 0.0021, 0)</f>
        <v>70.073599999999999</v>
      </c>
      <c r="C410" s="14">
        <f>69.6393 * CHOOSE(CONTROL!$C$9, $D$9, 100%, $F$9) + CHOOSE(CONTROL!$C$27, 0.0021, 0)</f>
        <v>69.641400000000004</v>
      </c>
      <c r="D410" s="14">
        <f>69.6393 * CHOOSE(CONTROL!$C$9, $D$9, 100%, $F$9) + CHOOSE(CONTROL!$C$27, 0.0021, 0)</f>
        <v>69.641400000000004</v>
      </c>
      <c r="E410" s="14">
        <f>69.5026 * CHOOSE(CONTROL!$C$9, $D$9, 100%, $F$9) + CHOOSE(CONTROL!$C$27, 0.0021, 0)</f>
        <v>69.5047</v>
      </c>
      <c r="F410" s="14">
        <f>69.5026 * CHOOSE(CONTROL!$C$9, $D$9, 100%, $F$9) + CHOOSE(CONTROL!$C$27, 0.0021, 0)</f>
        <v>69.5047</v>
      </c>
      <c r="G410" s="14">
        <f>69.774 * CHOOSE(CONTROL!$C$9, $D$9, 100%, $F$9) + CHOOSE(CONTROL!$C$27, 0.0021, 0)</f>
        <v>69.7761</v>
      </c>
      <c r="H410" s="14">
        <f>69.6393 * CHOOSE(CONTROL!$C$9, $D$9, 100%, $F$9) + CHOOSE(CONTROL!$C$27, 0.0021, 0)</f>
        <v>69.641400000000004</v>
      </c>
      <c r="I410" s="14">
        <f>69.6393 * CHOOSE(CONTROL!$C$9, $D$9, 100%, $F$9) + CHOOSE(CONTROL!$C$27, 0.0021, 0)</f>
        <v>69.641400000000004</v>
      </c>
      <c r="J410" s="14">
        <f>69.6393 * CHOOSE(CONTROL!$C$9, $D$9, 100%, $F$9) + CHOOSE(CONTROL!$C$27, 0.0021, 0)</f>
        <v>69.641400000000004</v>
      </c>
      <c r="K410" s="14">
        <f>69.6393 * CHOOSE(CONTROL!$C$9, $D$9, 100%, $F$9) + CHOOSE(CONTROL!$C$27, 0.0021, 0)</f>
        <v>69.641400000000004</v>
      </c>
      <c r="L410" s="14"/>
    </row>
    <row r="411" spans="1:12" ht="15.75" x14ac:dyDescent="0.25">
      <c r="A411" s="32">
        <v>53447</v>
      </c>
      <c r="B411" s="14">
        <f>69.0873 * CHOOSE(CONTROL!$C$9, $D$9, 100%, $F$9) + CHOOSE(CONTROL!$C$27, 0.0021, 0)</f>
        <v>69.089399999999998</v>
      </c>
      <c r="C411" s="14">
        <f>68.655 * CHOOSE(CONTROL!$C$9, $D$9, 100%, $F$9) + CHOOSE(CONTROL!$C$27, 0.0021, 0)</f>
        <v>68.6571</v>
      </c>
      <c r="D411" s="14">
        <f>68.655 * CHOOSE(CONTROL!$C$9, $D$9, 100%, $F$9) + CHOOSE(CONTROL!$C$27, 0.0021, 0)</f>
        <v>68.6571</v>
      </c>
      <c r="E411" s="14">
        <f>68.5184 * CHOOSE(CONTROL!$C$9, $D$9, 100%, $F$9) + CHOOSE(CONTROL!$C$27, 0.0021, 0)</f>
        <v>68.520499999999998</v>
      </c>
      <c r="F411" s="14">
        <f>68.5184 * CHOOSE(CONTROL!$C$9, $D$9, 100%, $F$9) + CHOOSE(CONTROL!$C$27, 0.0021, 0)</f>
        <v>68.520499999999998</v>
      </c>
      <c r="G411" s="14">
        <f>68.7897 * CHOOSE(CONTROL!$C$9, $D$9, 100%, $F$9) + CHOOSE(CONTROL!$C$27, 0.0021, 0)</f>
        <v>68.791799999999995</v>
      </c>
      <c r="H411" s="14">
        <f>68.655 * CHOOSE(CONTROL!$C$9, $D$9, 100%, $F$9) + CHOOSE(CONTROL!$C$27, 0.0021, 0)</f>
        <v>68.6571</v>
      </c>
      <c r="I411" s="14">
        <f>68.655 * CHOOSE(CONTROL!$C$9, $D$9, 100%, $F$9) + CHOOSE(CONTROL!$C$27, 0.0021, 0)</f>
        <v>68.6571</v>
      </c>
      <c r="J411" s="14">
        <f>68.655 * CHOOSE(CONTROL!$C$9, $D$9, 100%, $F$9) + CHOOSE(CONTROL!$C$27, 0.0021, 0)</f>
        <v>68.6571</v>
      </c>
      <c r="K411" s="14">
        <f>68.655 * CHOOSE(CONTROL!$C$9, $D$9, 100%, $F$9) + CHOOSE(CONTROL!$C$27, 0.0021, 0)</f>
        <v>68.6571</v>
      </c>
      <c r="L411" s="14"/>
    </row>
    <row r="412" spans="1:12" ht="15.75" x14ac:dyDescent="0.25">
      <c r="A412" s="32">
        <v>53478</v>
      </c>
      <c r="B412" s="14">
        <f>70.49 * CHOOSE(CONTROL!$C$9, $D$9, 100%, $F$9) + CHOOSE(CONTROL!$C$27, 0.0021, 0)</f>
        <v>70.492099999999994</v>
      </c>
      <c r="C412" s="14">
        <f>70.0577 * CHOOSE(CONTROL!$C$9, $D$9, 100%, $F$9) + CHOOSE(CONTROL!$C$27, 0.0021, 0)</f>
        <v>70.059799999999996</v>
      </c>
      <c r="D412" s="14">
        <f>70.0577 * CHOOSE(CONTROL!$C$9, $D$9, 100%, $F$9) + CHOOSE(CONTROL!$C$27, 0.0021, 0)</f>
        <v>70.059799999999996</v>
      </c>
      <c r="E412" s="14">
        <f>69.9211 * CHOOSE(CONTROL!$C$9, $D$9, 100%, $F$9) + CHOOSE(CONTROL!$C$27, 0.0021, 0)</f>
        <v>69.923199999999994</v>
      </c>
      <c r="F412" s="14">
        <f>69.9211 * CHOOSE(CONTROL!$C$9, $D$9, 100%, $F$9) + CHOOSE(CONTROL!$C$27, 0.0021, 0)</f>
        <v>69.923199999999994</v>
      </c>
      <c r="G412" s="14">
        <f>70.1924 * CHOOSE(CONTROL!$C$9, $D$9, 100%, $F$9) + CHOOSE(CONTROL!$C$27, 0.0021, 0)</f>
        <v>70.194500000000005</v>
      </c>
      <c r="H412" s="14">
        <f>70.0577 * CHOOSE(CONTROL!$C$9, $D$9, 100%, $F$9) + CHOOSE(CONTROL!$C$27, 0.0021, 0)</f>
        <v>70.059799999999996</v>
      </c>
      <c r="I412" s="14">
        <f>70.0577 * CHOOSE(CONTROL!$C$9, $D$9, 100%, $F$9) + CHOOSE(CONTROL!$C$27, 0.0021, 0)</f>
        <v>70.059799999999996</v>
      </c>
      <c r="J412" s="14">
        <f>70.0577 * CHOOSE(CONTROL!$C$9, $D$9, 100%, $F$9) + CHOOSE(CONTROL!$C$27, 0.0021, 0)</f>
        <v>70.059799999999996</v>
      </c>
      <c r="K412" s="14">
        <f>70.0577 * CHOOSE(CONTROL!$C$9, $D$9, 100%, $F$9) + CHOOSE(CONTROL!$C$27, 0.0021, 0)</f>
        <v>70.059799999999996</v>
      </c>
      <c r="L412" s="14"/>
    </row>
    <row r="413" spans="1:12" ht="15.75" x14ac:dyDescent="0.25">
      <c r="A413" s="32">
        <v>53508</v>
      </c>
      <c r="B413" s="14">
        <f>71.3302 * CHOOSE(CONTROL!$C$9, $D$9, 100%, $F$9) + CHOOSE(CONTROL!$C$27, 0.0021, 0)</f>
        <v>71.332300000000004</v>
      </c>
      <c r="C413" s="14">
        <f>70.8979 * CHOOSE(CONTROL!$C$9, $D$9, 100%, $F$9) + CHOOSE(CONTROL!$C$27, 0.0021, 0)</f>
        <v>70.900000000000006</v>
      </c>
      <c r="D413" s="14">
        <f>70.8979 * CHOOSE(CONTROL!$C$9, $D$9, 100%, $F$9) + CHOOSE(CONTROL!$C$27, 0.0021, 0)</f>
        <v>70.900000000000006</v>
      </c>
      <c r="E413" s="14">
        <f>70.7612 * CHOOSE(CONTROL!$C$9, $D$9, 100%, $F$9) + CHOOSE(CONTROL!$C$27, 0.0021, 0)</f>
        <v>70.763300000000001</v>
      </c>
      <c r="F413" s="14">
        <f>70.7612 * CHOOSE(CONTROL!$C$9, $D$9, 100%, $F$9) + CHOOSE(CONTROL!$C$27, 0.0021, 0)</f>
        <v>70.763300000000001</v>
      </c>
      <c r="G413" s="14">
        <f>71.0326 * CHOOSE(CONTROL!$C$9, $D$9, 100%, $F$9) + CHOOSE(CONTROL!$C$27, 0.0021, 0)</f>
        <v>71.034700000000001</v>
      </c>
      <c r="H413" s="14">
        <f>70.8979 * CHOOSE(CONTROL!$C$9, $D$9, 100%, $F$9) + CHOOSE(CONTROL!$C$27, 0.0021, 0)</f>
        <v>70.900000000000006</v>
      </c>
      <c r="I413" s="14">
        <f>70.8979 * CHOOSE(CONTROL!$C$9, $D$9, 100%, $F$9) + CHOOSE(CONTROL!$C$27, 0.0021, 0)</f>
        <v>70.900000000000006</v>
      </c>
      <c r="J413" s="14">
        <f>70.8979 * CHOOSE(CONTROL!$C$9, $D$9, 100%, $F$9) + CHOOSE(CONTROL!$C$27, 0.0021, 0)</f>
        <v>70.900000000000006</v>
      </c>
      <c r="K413" s="14">
        <f>70.8979 * CHOOSE(CONTROL!$C$9, $D$9, 100%, $F$9) + CHOOSE(CONTROL!$C$27, 0.0021, 0)</f>
        <v>70.900000000000006</v>
      </c>
      <c r="L413" s="14"/>
    </row>
    <row r="414" spans="1:12" ht="15.75" x14ac:dyDescent="0.25">
      <c r="A414" s="32">
        <v>53539</v>
      </c>
      <c r="B414" s="14">
        <f>72.7161 * CHOOSE(CONTROL!$C$9, $D$9, 100%, $F$9) + CHOOSE(CONTROL!$C$27, 0.0021, 0)</f>
        <v>72.718199999999996</v>
      </c>
      <c r="C414" s="14">
        <f>72.2839 * CHOOSE(CONTROL!$C$9, $D$9, 100%, $F$9) + CHOOSE(CONTROL!$C$27, 0.0021, 0)</f>
        <v>72.286000000000001</v>
      </c>
      <c r="D414" s="14">
        <f>72.2839 * CHOOSE(CONTROL!$C$9, $D$9, 100%, $F$9) + CHOOSE(CONTROL!$C$27, 0.0021, 0)</f>
        <v>72.286000000000001</v>
      </c>
      <c r="E414" s="14">
        <f>72.1472 * CHOOSE(CONTROL!$C$9, $D$9, 100%, $F$9) + CHOOSE(CONTROL!$C$27, 0.0021, 0)</f>
        <v>72.149299999999997</v>
      </c>
      <c r="F414" s="14">
        <f>72.1472 * CHOOSE(CONTROL!$C$9, $D$9, 100%, $F$9) + CHOOSE(CONTROL!$C$27, 0.0021, 0)</f>
        <v>72.149299999999997</v>
      </c>
      <c r="G414" s="14">
        <f>72.4186 * CHOOSE(CONTROL!$C$9, $D$9, 100%, $F$9) + CHOOSE(CONTROL!$C$27, 0.0021, 0)</f>
        <v>72.420699999999997</v>
      </c>
      <c r="H414" s="14">
        <f>72.2839 * CHOOSE(CONTROL!$C$9, $D$9, 100%, $F$9) + CHOOSE(CONTROL!$C$27, 0.0021, 0)</f>
        <v>72.286000000000001</v>
      </c>
      <c r="I414" s="14">
        <f>72.2839 * CHOOSE(CONTROL!$C$9, $D$9, 100%, $F$9) + CHOOSE(CONTROL!$C$27, 0.0021, 0)</f>
        <v>72.286000000000001</v>
      </c>
      <c r="J414" s="14">
        <f>72.2839 * CHOOSE(CONTROL!$C$9, $D$9, 100%, $F$9) + CHOOSE(CONTROL!$C$27, 0.0021, 0)</f>
        <v>72.286000000000001</v>
      </c>
      <c r="K414" s="14">
        <f>72.2839 * CHOOSE(CONTROL!$C$9, $D$9, 100%, $F$9) + CHOOSE(CONTROL!$C$27, 0.0021, 0)</f>
        <v>72.286000000000001</v>
      </c>
      <c r="L414" s="14"/>
    </row>
    <row r="415" spans="1:12" ht="15.75" x14ac:dyDescent="0.25">
      <c r="A415" s="32">
        <v>53570</v>
      </c>
      <c r="B415" s="14">
        <f>73.1392 * CHOOSE(CONTROL!$C$9, $D$9, 100%, $F$9) + CHOOSE(CONTROL!$C$27, 0.0021, 0)</f>
        <v>73.141300000000001</v>
      </c>
      <c r="C415" s="14">
        <f>72.7069 * CHOOSE(CONTROL!$C$9, $D$9, 100%, $F$9) + CHOOSE(CONTROL!$C$27, 0.0021, 0)</f>
        <v>72.709000000000003</v>
      </c>
      <c r="D415" s="14">
        <f>72.7069 * CHOOSE(CONTROL!$C$9, $D$9, 100%, $F$9) + CHOOSE(CONTROL!$C$27, 0.0021, 0)</f>
        <v>72.709000000000003</v>
      </c>
      <c r="E415" s="14">
        <f>72.5703 * CHOOSE(CONTROL!$C$9, $D$9, 100%, $F$9) + CHOOSE(CONTROL!$C$27, 0.0021, 0)</f>
        <v>72.572400000000002</v>
      </c>
      <c r="F415" s="14">
        <f>72.5703 * CHOOSE(CONTROL!$C$9, $D$9, 100%, $F$9) + CHOOSE(CONTROL!$C$27, 0.0021, 0)</f>
        <v>72.572400000000002</v>
      </c>
      <c r="G415" s="14">
        <f>72.8416 * CHOOSE(CONTROL!$C$9, $D$9, 100%, $F$9) + CHOOSE(CONTROL!$C$27, 0.0021, 0)</f>
        <v>72.843699999999998</v>
      </c>
      <c r="H415" s="14">
        <f>72.7069 * CHOOSE(CONTROL!$C$9, $D$9, 100%, $F$9) + CHOOSE(CONTROL!$C$27, 0.0021, 0)</f>
        <v>72.709000000000003</v>
      </c>
      <c r="I415" s="14">
        <f>72.7069 * CHOOSE(CONTROL!$C$9, $D$9, 100%, $F$9) + CHOOSE(CONTROL!$C$27, 0.0021, 0)</f>
        <v>72.709000000000003</v>
      </c>
      <c r="J415" s="14">
        <f>72.7069 * CHOOSE(CONTROL!$C$9, $D$9, 100%, $F$9) + CHOOSE(CONTROL!$C$27, 0.0021, 0)</f>
        <v>72.709000000000003</v>
      </c>
      <c r="K415" s="14">
        <f>72.7069 * CHOOSE(CONTROL!$C$9, $D$9, 100%, $F$9) + CHOOSE(CONTROL!$C$27, 0.0021, 0)</f>
        <v>72.709000000000003</v>
      </c>
      <c r="L415" s="14"/>
    </row>
    <row r="416" spans="1:12" ht="15.75" x14ac:dyDescent="0.25">
      <c r="A416" s="32">
        <v>53600</v>
      </c>
      <c r="B416" s="14">
        <f>74.5798 * CHOOSE(CONTROL!$C$9, $D$9, 100%, $F$9) + CHOOSE(CONTROL!$C$27, 0.0021, 0)</f>
        <v>74.581900000000005</v>
      </c>
      <c r="C416" s="14">
        <f>74.1476 * CHOOSE(CONTROL!$C$9, $D$9, 100%, $F$9) + CHOOSE(CONTROL!$C$27, 0.0021, 0)</f>
        <v>74.149699999999996</v>
      </c>
      <c r="D416" s="14">
        <f>74.1476 * CHOOSE(CONTROL!$C$9, $D$9, 100%, $F$9) + CHOOSE(CONTROL!$C$27, 0.0021, 0)</f>
        <v>74.149699999999996</v>
      </c>
      <c r="E416" s="14">
        <f>74.0109 * CHOOSE(CONTROL!$C$9, $D$9, 100%, $F$9) + CHOOSE(CONTROL!$C$27, 0.0021, 0)</f>
        <v>74.013000000000005</v>
      </c>
      <c r="F416" s="14">
        <f>74.0109 * CHOOSE(CONTROL!$C$9, $D$9, 100%, $F$9) + CHOOSE(CONTROL!$C$27, 0.0021, 0)</f>
        <v>74.013000000000005</v>
      </c>
      <c r="G416" s="14">
        <f>74.2823 * CHOOSE(CONTROL!$C$9, $D$9, 100%, $F$9) + CHOOSE(CONTROL!$C$27, 0.0021, 0)</f>
        <v>74.284400000000005</v>
      </c>
      <c r="H416" s="14">
        <f>74.1476 * CHOOSE(CONTROL!$C$9, $D$9, 100%, $F$9) + CHOOSE(CONTROL!$C$27, 0.0021, 0)</f>
        <v>74.149699999999996</v>
      </c>
      <c r="I416" s="14">
        <f>74.1476 * CHOOSE(CONTROL!$C$9, $D$9, 100%, $F$9) + CHOOSE(CONTROL!$C$27, 0.0021, 0)</f>
        <v>74.149699999999996</v>
      </c>
      <c r="J416" s="14">
        <f>74.1476 * CHOOSE(CONTROL!$C$9, $D$9, 100%, $F$9) + CHOOSE(CONTROL!$C$27, 0.0021, 0)</f>
        <v>74.149699999999996</v>
      </c>
      <c r="K416" s="14">
        <f>74.1476 * CHOOSE(CONTROL!$C$9, $D$9, 100%, $F$9) + CHOOSE(CONTROL!$C$27, 0.0021, 0)</f>
        <v>74.149699999999996</v>
      </c>
      <c r="L416" s="14"/>
    </row>
    <row r="417" spans="1:12" ht="15.75" x14ac:dyDescent="0.25">
      <c r="A417" s="32">
        <v>53631</v>
      </c>
      <c r="B417" s="14">
        <f>76.4035 * CHOOSE(CONTROL!$C$9, $D$9, 100%, $F$9) + CHOOSE(CONTROL!$C$27, 0.0021, 0)</f>
        <v>76.405599999999993</v>
      </c>
      <c r="C417" s="14">
        <f>75.9712 * CHOOSE(CONTROL!$C$9, $D$9, 100%, $F$9) + CHOOSE(CONTROL!$C$27, 0.0021, 0)</f>
        <v>75.973299999999995</v>
      </c>
      <c r="D417" s="14">
        <f>75.9712 * CHOOSE(CONTROL!$C$9, $D$9, 100%, $F$9) + CHOOSE(CONTROL!$C$27, 0.0021, 0)</f>
        <v>75.973299999999995</v>
      </c>
      <c r="E417" s="14">
        <f>75.8346 * CHOOSE(CONTROL!$C$9, $D$9, 100%, $F$9) + CHOOSE(CONTROL!$C$27, 0.0021, 0)</f>
        <v>75.836699999999993</v>
      </c>
      <c r="F417" s="14">
        <f>75.8346 * CHOOSE(CONTROL!$C$9, $D$9, 100%, $F$9) + CHOOSE(CONTROL!$C$27, 0.0021, 0)</f>
        <v>75.836699999999993</v>
      </c>
      <c r="G417" s="14">
        <f>76.106 * CHOOSE(CONTROL!$C$9, $D$9, 100%, $F$9) + CHOOSE(CONTROL!$C$27, 0.0021, 0)</f>
        <v>76.108099999999993</v>
      </c>
      <c r="H417" s="14">
        <f>75.9712 * CHOOSE(CONTROL!$C$9, $D$9, 100%, $F$9) + CHOOSE(CONTROL!$C$27, 0.0021, 0)</f>
        <v>75.973299999999995</v>
      </c>
      <c r="I417" s="14">
        <f>75.9712 * CHOOSE(CONTROL!$C$9, $D$9, 100%, $F$9) + CHOOSE(CONTROL!$C$27, 0.0021, 0)</f>
        <v>75.973299999999995</v>
      </c>
      <c r="J417" s="14">
        <f>75.9712 * CHOOSE(CONTROL!$C$9, $D$9, 100%, $F$9) + CHOOSE(CONTROL!$C$27, 0.0021, 0)</f>
        <v>75.973299999999995</v>
      </c>
      <c r="K417" s="14">
        <f>75.9712 * CHOOSE(CONTROL!$C$9, $D$9, 100%, $F$9) + CHOOSE(CONTROL!$C$27, 0.0021, 0)</f>
        <v>75.973299999999995</v>
      </c>
      <c r="L417" s="14"/>
    </row>
    <row r="418" spans="1:12" ht="15.75" x14ac:dyDescent="0.25">
      <c r="A418" s="32">
        <v>53661</v>
      </c>
      <c r="B418" s="14">
        <f>76.5747 * CHOOSE(CONTROL!$C$9, $D$9, 100%, $F$9) + CHOOSE(CONTROL!$C$27, 0.0021, 0)</f>
        <v>76.576800000000006</v>
      </c>
      <c r="C418" s="14">
        <f>76.1424 * CHOOSE(CONTROL!$C$9, $D$9, 100%, $F$9) + CHOOSE(CONTROL!$C$27, 0.0021, 0)</f>
        <v>76.144499999999994</v>
      </c>
      <c r="D418" s="14">
        <f>76.1424 * CHOOSE(CONTROL!$C$9, $D$9, 100%, $F$9) + CHOOSE(CONTROL!$C$27, 0.0021, 0)</f>
        <v>76.144499999999994</v>
      </c>
      <c r="E418" s="14">
        <f>76.0058 * CHOOSE(CONTROL!$C$9, $D$9, 100%, $F$9) + CHOOSE(CONTROL!$C$27, 0.0021, 0)</f>
        <v>76.007899999999992</v>
      </c>
      <c r="F418" s="14">
        <f>76.0058 * CHOOSE(CONTROL!$C$9, $D$9, 100%, $F$9) + CHOOSE(CONTROL!$C$27, 0.0021, 0)</f>
        <v>76.007899999999992</v>
      </c>
      <c r="G418" s="14">
        <f>76.2772 * CHOOSE(CONTROL!$C$9, $D$9, 100%, $F$9) + CHOOSE(CONTROL!$C$27, 0.0021, 0)</f>
        <v>76.279299999999992</v>
      </c>
      <c r="H418" s="14">
        <f>76.1424 * CHOOSE(CONTROL!$C$9, $D$9, 100%, $F$9) + CHOOSE(CONTROL!$C$27, 0.0021, 0)</f>
        <v>76.144499999999994</v>
      </c>
      <c r="I418" s="14">
        <f>76.1424 * CHOOSE(CONTROL!$C$9, $D$9, 100%, $F$9) + CHOOSE(CONTROL!$C$27, 0.0021, 0)</f>
        <v>76.144499999999994</v>
      </c>
      <c r="J418" s="14">
        <f>76.1424 * CHOOSE(CONTROL!$C$9, $D$9, 100%, $F$9) + CHOOSE(CONTROL!$C$27, 0.0021, 0)</f>
        <v>76.144499999999994</v>
      </c>
      <c r="K418" s="14">
        <f>76.1424 * CHOOSE(CONTROL!$C$9, $D$9, 100%, $F$9) + CHOOSE(CONTROL!$C$27, 0.0021, 0)</f>
        <v>76.144499999999994</v>
      </c>
      <c r="L418" s="14"/>
    </row>
    <row r="419" spans="1:12" ht="15.75" x14ac:dyDescent="0.25">
      <c r="A419" s="32">
        <v>53692</v>
      </c>
      <c r="B419" s="14">
        <f>75.1182 * CHOOSE(CONTROL!$C$9, $D$9, 100%, $F$9) + CHOOSE(CONTROL!$C$27, 0.0021, 0)</f>
        <v>75.1203</v>
      </c>
      <c r="C419" s="14">
        <f>74.6859 * CHOOSE(CONTROL!$C$9, $D$9, 100%, $F$9) + CHOOSE(CONTROL!$C$27, 0.0021, 0)</f>
        <v>74.688000000000002</v>
      </c>
      <c r="D419" s="14">
        <f>74.6859 * CHOOSE(CONTROL!$C$9, $D$9, 100%, $F$9) + CHOOSE(CONTROL!$C$27, 0.0021, 0)</f>
        <v>74.688000000000002</v>
      </c>
      <c r="E419" s="14">
        <f>74.5493 * CHOOSE(CONTROL!$C$9, $D$9, 100%, $F$9) + CHOOSE(CONTROL!$C$27, 0.0021, 0)</f>
        <v>74.551400000000001</v>
      </c>
      <c r="F419" s="14">
        <f>74.5493 * CHOOSE(CONTROL!$C$9, $D$9, 100%, $F$9) + CHOOSE(CONTROL!$C$27, 0.0021, 0)</f>
        <v>74.551400000000001</v>
      </c>
      <c r="G419" s="14">
        <f>74.8206 * CHOOSE(CONTROL!$C$9, $D$9, 100%, $F$9) + CHOOSE(CONTROL!$C$27, 0.0021, 0)</f>
        <v>74.822699999999998</v>
      </c>
      <c r="H419" s="14">
        <f>74.6859 * CHOOSE(CONTROL!$C$9, $D$9, 100%, $F$9) + CHOOSE(CONTROL!$C$27, 0.0021, 0)</f>
        <v>74.688000000000002</v>
      </c>
      <c r="I419" s="14">
        <f>74.6859 * CHOOSE(CONTROL!$C$9, $D$9, 100%, $F$9) + CHOOSE(CONTROL!$C$27, 0.0021, 0)</f>
        <v>74.688000000000002</v>
      </c>
      <c r="J419" s="14">
        <f>74.6859 * CHOOSE(CONTROL!$C$9, $D$9, 100%, $F$9) + CHOOSE(CONTROL!$C$27, 0.0021, 0)</f>
        <v>74.688000000000002</v>
      </c>
      <c r="K419" s="14">
        <f>74.6859 * CHOOSE(CONTROL!$C$9, $D$9, 100%, $F$9) + CHOOSE(CONTROL!$C$27, 0.0021, 0)</f>
        <v>74.688000000000002</v>
      </c>
      <c r="L419" s="14"/>
    </row>
    <row r="420" spans="1:12" ht="15.75" x14ac:dyDescent="0.25">
      <c r="A420" s="32">
        <v>53723</v>
      </c>
      <c r="B420" s="14">
        <f>74.1976 * CHOOSE(CONTROL!$C$9, $D$9, 100%, $F$9) + CHOOSE(CONTROL!$C$27, 0.0021, 0)</f>
        <v>74.199699999999993</v>
      </c>
      <c r="C420" s="14">
        <f>73.7654 * CHOOSE(CONTROL!$C$9, $D$9, 100%, $F$9) + CHOOSE(CONTROL!$C$27, 0.0021, 0)</f>
        <v>73.767499999999998</v>
      </c>
      <c r="D420" s="14">
        <f>73.7654 * CHOOSE(CONTROL!$C$9, $D$9, 100%, $F$9) + CHOOSE(CONTROL!$C$27, 0.0021, 0)</f>
        <v>73.767499999999998</v>
      </c>
      <c r="E420" s="14">
        <f>73.6287 * CHOOSE(CONTROL!$C$9, $D$9, 100%, $F$9) + CHOOSE(CONTROL!$C$27, 0.0021, 0)</f>
        <v>73.630799999999994</v>
      </c>
      <c r="F420" s="14">
        <f>73.6287 * CHOOSE(CONTROL!$C$9, $D$9, 100%, $F$9) + CHOOSE(CONTROL!$C$27, 0.0021, 0)</f>
        <v>73.630799999999994</v>
      </c>
      <c r="G420" s="14">
        <f>73.9001 * CHOOSE(CONTROL!$C$9, $D$9, 100%, $F$9) + CHOOSE(CONTROL!$C$27, 0.0021, 0)</f>
        <v>73.902199999999993</v>
      </c>
      <c r="H420" s="14">
        <f>73.7654 * CHOOSE(CONTROL!$C$9, $D$9, 100%, $F$9) + CHOOSE(CONTROL!$C$27, 0.0021, 0)</f>
        <v>73.767499999999998</v>
      </c>
      <c r="I420" s="14">
        <f>73.7654 * CHOOSE(CONTROL!$C$9, $D$9, 100%, $F$9) + CHOOSE(CONTROL!$C$27, 0.0021, 0)</f>
        <v>73.767499999999998</v>
      </c>
      <c r="J420" s="14">
        <f>73.7654 * CHOOSE(CONTROL!$C$9, $D$9, 100%, $F$9) + CHOOSE(CONTROL!$C$27, 0.0021, 0)</f>
        <v>73.767499999999998</v>
      </c>
      <c r="K420" s="14">
        <f>73.7654 * CHOOSE(CONTROL!$C$9, $D$9, 100%, $F$9) + CHOOSE(CONTROL!$C$27, 0.0021, 0)</f>
        <v>73.767499999999998</v>
      </c>
      <c r="L420" s="14"/>
    </row>
    <row r="421" spans="1:12" ht="15.75" x14ac:dyDescent="0.25">
      <c r="A421" s="32">
        <v>53751</v>
      </c>
      <c r="B421" s="14">
        <f>72.1637 * CHOOSE(CONTROL!$C$9, $D$9, 100%, $F$9) + CHOOSE(CONTROL!$C$27, 0.0021, 0)</f>
        <v>72.165800000000004</v>
      </c>
      <c r="C421" s="14">
        <f>71.7315 * CHOOSE(CONTROL!$C$9, $D$9, 100%, $F$9) + CHOOSE(CONTROL!$C$27, 0.0021, 0)</f>
        <v>71.733599999999996</v>
      </c>
      <c r="D421" s="14">
        <f>71.7315 * CHOOSE(CONTROL!$C$9, $D$9, 100%, $F$9) + CHOOSE(CONTROL!$C$27, 0.0021, 0)</f>
        <v>71.733599999999996</v>
      </c>
      <c r="E421" s="14">
        <f>71.5948 * CHOOSE(CONTROL!$C$9, $D$9, 100%, $F$9) + CHOOSE(CONTROL!$C$27, 0.0021, 0)</f>
        <v>71.596900000000005</v>
      </c>
      <c r="F421" s="14">
        <f>71.5948 * CHOOSE(CONTROL!$C$9, $D$9, 100%, $F$9) + CHOOSE(CONTROL!$C$27, 0.0021, 0)</f>
        <v>71.596900000000005</v>
      </c>
      <c r="G421" s="14">
        <f>71.8662 * CHOOSE(CONTROL!$C$9, $D$9, 100%, $F$9) + CHOOSE(CONTROL!$C$27, 0.0021, 0)</f>
        <v>71.868300000000005</v>
      </c>
      <c r="H421" s="14">
        <f>71.7315 * CHOOSE(CONTROL!$C$9, $D$9, 100%, $F$9) + CHOOSE(CONTROL!$C$27, 0.0021, 0)</f>
        <v>71.733599999999996</v>
      </c>
      <c r="I421" s="14">
        <f>71.7315 * CHOOSE(CONTROL!$C$9, $D$9, 100%, $F$9) + CHOOSE(CONTROL!$C$27, 0.0021, 0)</f>
        <v>71.733599999999996</v>
      </c>
      <c r="J421" s="14">
        <f>71.7315 * CHOOSE(CONTROL!$C$9, $D$9, 100%, $F$9) + CHOOSE(CONTROL!$C$27, 0.0021, 0)</f>
        <v>71.733599999999996</v>
      </c>
      <c r="K421" s="14">
        <f>71.7315 * CHOOSE(CONTROL!$C$9, $D$9, 100%, $F$9) + CHOOSE(CONTROL!$C$27, 0.0021, 0)</f>
        <v>71.733599999999996</v>
      </c>
      <c r="L421" s="14"/>
    </row>
    <row r="422" spans="1:12" ht="15.75" x14ac:dyDescent="0.25">
      <c r="A422" s="32">
        <v>53782</v>
      </c>
      <c r="B422" s="14">
        <f>71.3242 * CHOOSE(CONTROL!$C$9, $D$9, 100%, $F$9) + CHOOSE(CONTROL!$C$27, 0.0021, 0)</f>
        <v>71.326300000000003</v>
      </c>
      <c r="C422" s="14">
        <f>70.8919 * CHOOSE(CONTROL!$C$9, $D$9, 100%, $F$9) + CHOOSE(CONTROL!$C$27, 0.0021, 0)</f>
        <v>70.894000000000005</v>
      </c>
      <c r="D422" s="14">
        <f>70.8919 * CHOOSE(CONTROL!$C$9, $D$9, 100%, $F$9) + CHOOSE(CONTROL!$C$27, 0.0021, 0)</f>
        <v>70.894000000000005</v>
      </c>
      <c r="E422" s="14">
        <f>70.7552 * CHOOSE(CONTROL!$C$9, $D$9, 100%, $F$9) + CHOOSE(CONTROL!$C$27, 0.0021, 0)</f>
        <v>70.757300000000001</v>
      </c>
      <c r="F422" s="14">
        <f>70.7552 * CHOOSE(CONTROL!$C$9, $D$9, 100%, $F$9) + CHOOSE(CONTROL!$C$27, 0.0021, 0)</f>
        <v>70.757300000000001</v>
      </c>
      <c r="G422" s="14">
        <f>71.0266 * CHOOSE(CONTROL!$C$9, $D$9, 100%, $F$9) + CHOOSE(CONTROL!$C$27, 0.0021, 0)</f>
        <v>71.028700000000001</v>
      </c>
      <c r="H422" s="14">
        <f>70.8919 * CHOOSE(CONTROL!$C$9, $D$9, 100%, $F$9) + CHOOSE(CONTROL!$C$27, 0.0021, 0)</f>
        <v>70.894000000000005</v>
      </c>
      <c r="I422" s="14">
        <f>70.8919 * CHOOSE(CONTROL!$C$9, $D$9, 100%, $F$9) + CHOOSE(CONTROL!$C$27, 0.0021, 0)</f>
        <v>70.894000000000005</v>
      </c>
      <c r="J422" s="14">
        <f>70.8919 * CHOOSE(CONTROL!$C$9, $D$9, 100%, $F$9) + CHOOSE(CONTROL!$C$27, 0.0021, 0)</f>
        <v>70.894000000000005</v>
      </c>
      <c r="K422" s="14">
        <f>70.8919 * CHOOSE(CONTROL!$C$9, $D$9, 100%, $F$9) + CHOOSE(CONTROL!$C$27, 0.0021, 0)</f>
        <v>70.894000000000005</v>
      </c>
      <c r="L422" s="14"/>
    </row>
    <row r="423" spans="1:12" ht="15.75" x14ac:dyDescent="0.25">
      <c r="A423" s="32">
        <v>53812</v>
      </c>
      <c r="B423" s="14">
        <f>70.3217 * CHOOSE(CONTROL!$C$9, $D$9, 100%, $F$9) + CHOOSE(CONTROL!$C$27, 0.0021, 0)</f>
        <v>70.323800000000006</v>
      </c>
      <c r="C423" s="14">
        <f>69.8894 * CHOOSE(CONTROL!$C$9, $D$9, 100%, $F$9) + CHOOSE(CONTROL!$C$27, 0.0021, 0)</f>
        <v>69.891499999999994</v>
      </c>
      <c r="D423" s="14">
        <f>69.8894 * CHOOSE(CONTROL!$C$9, $D$9, 100%, $F$9) + CHOOSE(CONTROL!$C$27, 0.0021, 0)</f>
        <v>69.891499999999994</v>
      </c>
      <c r="E423" s="14">
        <f>69.7528 * CHOOSE(CONTROL!$C$9, $D$9, 100%, $F$9) + CHOOSE(CONTROL!$C$27, 0.0021, 0)</f>
        <v>69.754899999999992</v>
      </c>
      <c r="F423" s="14">
        <f>69.7528 * CHOOSE(CONTROL!$C$9, $D$9, 100%, $F$9) + CHOOSE(CONTROL!$C$27, 0.0021, 0)</f>
        <v>69.754899999999992</v>
      </c>
      <c r="G423" s="14">
        <f>70.0241 * CHOOSE(CONTROL!$C$9, $D$9, 100%, $F$9) + CHOOSE(CONTROL!$C$27, 0.0021, 0)</f>
        <v>70.026200000000003</v>
      </c>
      <c r="H423" s="14">
        <f>69.8894 * CHOOSE(CONTROL!$C$9, $D$9, 100%, $F$9) + CHOOSE(CONTROL!$C$27, 0.0021, 0)</f>
        <v>69.891499999999994</v>
      </c>
      <c r="I423" s="14">
        <f>69.8894 * CHOOSE(CONTROL!$C$9, $D$9, 100%, $F$9) + CHOOSE(CONTROL!$C$27, 0.0021, 0)</f>
        <v>69.891499999999994</v>
      </c>
      <c r="J423" s="14">
        <f>69.8894 * CHOOSE(CONTROL!$C$9, $D$9, 100%, $F$9) + CHOOSE(CONTROL!$C$27, 0.0021, 0)</f>
        <v>69.891499999999994</v>
      </c>
      <c r="K423" s="14">
        <f>69.8894 * CHOOSE(CONTROL!$C$9, $D$9, 100%, $F$9) + CHOOSE(CONTROL!$C$27, 0.0021, 0)</f>
        <v>69.891499999999994</v>
      </c>
      <c r="L423" s="14"/>
    </row>
    <row r="424" spans="1:12" ht="15.75" x14ac:dyDescent="0.25">
      <c r="A424" s="32">
        <v>53843</v>
      </c>
      <c r="B424" s="14">
        <f>71.7503 * CHOOSE(CONTROL!$C$9, $D$9, 100%, $F$9) + CHOOSE(CONTROL!$C$27, 0.0021, 0)</f>
        <v>71.752399999999994</v>
      </c>
      <c r="C424" s="14">
        <f>71.3181 * CHOOSE(CONTROL!$C$9, $D$9, 100%, $F$9) + CHOOSE(CONTROL!$C$27, 0.0021, 0)</f>
        <v>71.3202</v>
      </c>
      <c r="D424" s="14">
        <f>71.3181 * CHOOSE(CONTROL!$C$9, $D$9, 100%, $F$9) + CHOOSE(CONTROL!$C$27, 0.0021, 0)</f>
        <v>71.3202</v>
      </c>
      <c r="E424" s="14">
        <f>71.1814 * CHOOSE(CONTROL!$C$9, $D$9, 100%, $F$9) + CHOOSE(CONTROL!$C$27, 0.0021, 0)</f>
        <v>71.183499999999995</v>
      </c>
      <c r="F424" s="14">
        <f>71.1814 * CHOOSE(CONTROL!$C$9, $D$9, 100%, $F$9) + CHOOSE(CONTROL!$C$27, 0.0021, 0)</f>
        <v>71.183499999999995</v>
      </c>
      <c r="G424" s="14">
        <f>71.4528 * CHOOSE(CONTROL!$C$9, $D$9, 100%, $F$9) + CHOOSE(CONTROL!$C$27, 0.0021, 0)</f>
        <v>71.454899999999995</v>
      </c>
      <c r="H424" s="14">
        <f>71.3181 * CHOOSE(CONTROL!$C$9, $D$9, 100%, $F$9) + CHOOSE(CONTROL!$C$27, 0.0021, 0)</f>
        <v>71.3202</v>
      </c>
      <c r="I424" s="14">
        <f>71.3181 * CHOOSE(CONTROL!$C$9, $D$9, 100%, $F$9) + CHOOSE(CONTROL!$C$27, 0.0021, 0)</f>
        <v>71.3202</v>
      </c>
      <c r="J424" s="14">
        <f>71.3181 * CHOOSE(CONTROL!$C$9, $D$9, 100%, $F$9) + CHOOSE(CONTROL!$C$27, 0.0021, 0)</f>
        <v>71.3202</v>
      </c>
      <c r="K424" s="14">
        <f>71.3181 * CHOOSE(CONTROL!$C$9, $D$9, 100%, $F$9) + CHOOSE(CONTROL!$C$27, 0.0021, 0)</f>
        <v>71.3202</v>
      </c>
      <c r="L424" s="14"/>
    </row>
    <row r="425" spans="1:12" ht="15.75" x14ac:dyDescent="0.25">
      <c r="A425" s="32">
        <v>53873</v>
      </c>
      <c r="B425" s="14">
        <f>72.606 * CHOOSE(CONTROL!$C$9, $D$9, 100%, $F$9) + CHOOSE(CONTROL!$C$27, 0.0021, 0)</f>
        <v>72.608099999999993</v>
      </c>
      <c r="C425" s="14">
        <f>72.1738 * CHOOSE(CONTROL!$C$9, $D$9, 100%, $F$9) + CHOOSE(CONTROL!$C$27, 0.0021, 0)</f>
        <v>72.175899999999999</v>
      </c>
      <c r="D425" s="14">
        <f>72.1738 * CHOOSE(CONTROL!$C$9, $D$9, 100%, $F$9) + CHOOSE(CONTROL!$C$27, 0.0021, 0)</f>
        <v>72.175899999999999</v>
      </c>
      <c r="E425" s="14">
        <f>72.0371 * CHOOSE(CONTROL!$C$9, $D$9, 100%, $F$9) + CHOOSE(CONTROL!$C$27, 0.0021, 0)</f>
        <v>72.039199999999994</v>
      </c>
      <c r="F425" s="14">
        <f>72.0371 * CHOOSE(CONTROL!$C$9, $D$9, 100%, $F$9) + CHOOSE(CONTROL!$C$27, 0.0021, 0)</f>
        <v>72.039199999999994</v>
      </c>
      <c r="G425" s="14">
        <f>72.3085 * CHOOSE(CONTROL!$C$9, $D$9, 100%, $F$9) + CHOOSE(CONTROL!$C$27, 0.0021, 0)</f>
        <v>72.310599999999994</v>
      </c>
      <c r="H425" s="14">
        <f>72.1738 * CHOOSE(CONTROL!$C$9, $D$9, 100%, $F$9) + CHOOSE(CONTROL!$C$27, 0.0021, 0)</f>
        <v>72.175899999999999</v>
      </c>
      <c r="I425" s="14">
        <f>72.1738 * CHOOSE(CONTROL!$C$9, $D$9, 100%, $F$9) + CHOOSE(CONTROL!$C$27, 0.0021, 0)</f>
        <v>72.175899999999999</v>
      </c>
      <c r="J425" s="14">
        <f>72.1738 * CHOOSE(CONTROL!$C$9, $D$9, 100%, $F$9) + CHOOSE(CONTROL!$C$27, 0.0021, 0)</f>
        <v>72.175899999999999</v>
      </c>
      <c r="K425" s="14">
        <f>72.1738 * CHOOSE(CONTROL!$C$9, $D$9, 100%, $F$9) + CHOOSE(CONTROL!$C$27, 0.0021, 0)</f>
        <v>72.175899999999999</v>
      </c>
      <c r="L425" s="14"/>
    </row>
    <row r="426" spans="1:12" ht="15.75" x14ac:dyDescent="0.25">
      <c r="A426" s="32">
        <v>53904</v>
      </c>
      <c r="B426" s="14">
        <f>74.0176 * CHOOSE(CONTROL!$C$9, $D$9, 100%, $F$9) + CHOOSE(CONTROL!$C$27, 0.0021, 0)</f>
        <v>74.0197</v>
      </c>
      <c r="C426" s="14">
        <f>73.5854 * CHOOSE(CONTROL!$C$9, $D$9, 100%, $F$9) + CHOOSE(CONTROL!$C$27, 0.0021, 0)</f>
        <v>73.587500000000006</v>
      </c>
      <c r="D426" s="14">
        <f>73.5854 * CHOOSE(CONTROL!$C$9, $D$9, 100%, $F$9) + CHOOSE(CONTROL!$C$27, 0.0021, 0)</f>
        <v>73.587500000000006</v>
      </c>
      <c r="E426" s="14">
        <f>73.4487 * CHOOSE(CONTROL!$C$9, $D$9, 100%, $F$9) + CHOOSE(CONTROL!$C$27, 0.0021, 0)</f>
        <v>73.450800000000001</v>
      </c>
      <c r="F426" s="14">
        <f>73.4487 * CHOOSE(CONTROL!$C$9, $D$9, 100%, $F$9) + CHOOSE(CONTROL!$C$27, 0.0021, 0)</f>
        <v>73.450800000000001</v>
      </c>
      <c r="G426" s="14">
        <f>73.7201 * CHOOSE(CONTROL!$C$9, $D$9, 100%, $F$9) + CHOOSE(CONTROL!$C$27, 0.0021, 0)</f>
        <v>73.722200000000001</v>
      </c>
      <c r="H426" s="14">
        <f>73.5854 * CHOOSE(CONTROL!$C$9, $D$9, 100%, $F$9) + CHOOSE(CONTROL!$C$27, 0.0021, 0)</f>
        <v>73.587500000000006</v>
      </c>
      <c r="I426" s="14">
        <f>73.5854 * CHOOSE(CONTROL!$C$9, $D$9, 100%, $F$9) + CHOOSE(CONTROL!$C$27, 0.0021, 0)</f>
        <v>73.587500000000006</v>
      </c>
      <c r="J426" s="14">
        <f>73.5854 * CHOOSE(CONTROL!$C$9, $D$9, 100%, $F$9) + CHOOSE(CONTROL!$C$27, 0.0021, 0)</f>
        <v>73.587500000000006</v>
      </c>
      <c r="K426" s="14">
        <f>73.5854 * CHOOSE(CONTROL!$C$9, $D$9, 100%, $F$9) + CHOOSE(CONTROL!$C$27, 0.0021, 0)</f>
        <v>73.587500000000006</v>
      </c>
      <c r="L426" s="14"/>
    </row>
    <row r="427" spans="1:12" ht="15.75" x14ac:dyDescent="0.25">
      <c r="A427" s="32">
        <v>53935</v>
      </c>
      <c r="B427" s="14">
        <f>74.4485 * CHOOSE(CONTROL!$C$9, $D$9, 100%, $F$9) + CHOOSE(CONTROL!$C$27, 0.0021, 0)</f>
        <v>74.450599999999994</v>
      </c>
      <c r="C427" s="14">
        <f>74.0162 * CHOOSE(CONTROL!$C$9, $D$9, 100%, $F$9) + CHOOSE(CONTROL!$C$27, 0.0021, 0)</f>
        <v>74.018299999999996</v>
      </c>
      <c r="D427" s="14">
        <f>74.0162 * CHOOSE(CONTROL!$C$9, $D$9, 100%, $F$9) + CHOOSE(CONTROL!$C$27, 0.0021, 0)</f>
        <v>74.018299999999996</v>
      </c>
      <c r="E427" s="14">
        <f>73.8796 * CHOOSE(CONTROL!$C$9, $D$9, 100%, $F$9) + CHOOSE(CONTROL!$C$27, 0.0021, 0)</f>
        <v>73.881699999999995</v>
      </c>
      <c r="F427" s="14">
        <f>73.8796 * CHOOSE(CONTROL!$C$9, $D$9, 100%, $F$9) + CHOOSE(CONTROL!$C$27, 0.0021, 0)</f>
        <v>73.881699999999995</v>
      </c>
      <c r="G427" s="14">
        <f>74.1509 * CHOOSE(CONTROL!$C$9, $D$9, 100%, $F$9) + CHOOSE(CONTROL!$C$27, 0.0021, 0)</f>
        <v>74.152999999999992</v>
      </c>
      <c r="H427" s="14">
        <f>74.0162 * CHOOSE(CONTROL!$C$9, $D$9, 100%, $F$9) + CHOOSE(CONTROL!$C$27, 0.0021, 0)</f>
        <v>74.018299999999996</v>
      </c>
      <c r="I427" s="14">
        <f>74.0162 * CHOOSE(CONTROL!$C$9, $D$9, 100%, $F$9) + CHOOSE(CONTROL!$C$27, 0.0021, 0)</f>
        <v>74.018299999999996</v>
      </c>
      <c r="J427" s="14">
        <f>74.0162 * CHOOSE(CONTROL!$C$9, $D$9, 100%, $F$9) + CHOOSE(CONTROL!$C$27, 0.0021, 0)</f>
        <v>74.018299999999996</v>
      </c>
      <c r="K427" s="14">
        <f>74.0162 * CHOOSE(CONTROL!$C$9, $D$9, 100%, $F$9) + CHOOSE(CONTROL!$C$27, 0.0021, 0)</f>
        <v>74.018299999999996</v>
      </c>
      <c r="L427" s="14"/>
    </row>
    <row r="428" spans="1:12" ht="15.75" x14ac:dyDescent="0.25">
      <c r="A428" s="32">
        <v>53965</v>
      </c>
      <c r="B428" s="14">
        <f>75.9158 * CHOOSE(CONTROL!$C$9, $D$9, 100%, $F$9) + CHOOSE(CONTROL!$C$27, 0.0021, 0)</f>
        <v>75.917900000000003</v>
      </c>
      <c r="C428" s="14">
        <f>75.4835 * CHOOSE(CONTROL!$C$9, $D$9, 100%, $F$9) + CHOOSE(CONTROL!$C$27, 0.0021, 0)</f>
        <v>75.485600000000005</v>
      </c>
      <c r="D428" s="14">
        <f>75.4835 * CHOOSE(CONTROL!$C$9, $D$9, 100%, $F$9) + CHOOSE(CONTROL!$C$27, 0.0021, 0)</f>
        <v>75.485600000000005</v>
      </c>
      <c r="E428" s="14">
        <f>75.3469 * CHOOSE(CONTROL!$C$9, $D$9, 100%, $F$9) + CHOOSE(CONTROL!$C$27, 0.0021, 0)</f>
        <v>75.349000000000004</v>
      </c>
      <c r="F428" s="14">
        <f>75.3469 * CHOOSE(CONTROL!$C$9, $D$9, 100%, $F$9) + CHOOSE(CONTROL!$C$27, 0.0021, 0)</f>
        <v>75.349000000000004</v>
      </c>
      <c r="G428" s="14">
        <f>75.6182 * CHOOSE(CONTROL!$C$9, $D$9, 100%, $F$9) + CHOOSE(CONTROL!$C$27, 0.0021, 0)</f>
        <v>75.6203</v>
      </c>
      <c r="H428" s="14">
        <f>75.4835 * CHOOSE(CONTROL!$C$9, $D$9, 100%, $F$9) + CHOOSE(CONTROL!$C$27, 0.0021, 0)</f>
        <v>75.485600000000005</v>
      </c>
      <c r="I428" s="14">
        <f>75.4835 * CHOOSE(CONTROL!$C$9, $D$9, 100%, $F$9) + CHOOSE(CONTROL!$C$27, 0.0021, 0)</f>
        <v>75.485600000000005</v>
      </c>
      <c r="J428" s="14">
        <f>75.4835 * CHOOSE(CONTROL!$C$9, $D$9, 100%, $F$9) + CHOOSE(CONTROL!$C$27, 0.0021, 0)</f>
        <v>75.485600000000005</v>
      </c>
      <c r="K428" s="14">
        <f>75.4835 * CHOOSE(CONTROL!$C$9, $D$9, 100%, $F$9) + CHOOSE(CONTROL!$C$27, 0.0021, 0)</f>
        <v>75.485600000000005</v>
      </c>
      <c r="L428" s="14"/>
    </row>
    <row r="429" spans="1:12" ht="15.75" x14ac:dyDescent="0.25">
      <c r="A429" s="32">
        <v>53996</v>
      </c>
      <c r="B429" s="14">
        <f>77.7731 * CHOOSE(CONTROL!$C$9, $D$9, 100%, $F$9) + CHOOSE(CONTROL!$C$27, 0.0021, 0)</f>
        <v>77.775199999999998</v>
      </c>
      <c r="C429" s="14">
        <f>77.3409 * CHOOSE(CONTROL!$C$9, $D$9, 100%, $F$9) + CHOOSE(CONTROL!$C$27, 0.0021, 0)</f>
        <v>77.343000000000004</v>
      </c>
      <c r="D429" s="14">
        <f>77.3409 * CHOOSE(CONTROL!$C$9, $D$9, 100%, $F$9) + CHOOSE(CONTROL!$C$27, 0.0021, 0)</f>
        <v>77.343000000000004</v>
      </c>
      <c r="E429" s="14">
        <f>77.2042 * CHOOSE(CONTROL!$C$9, $D$9, 100%, $F$9) + CHOOSE(CONTROL!$C$27, 0.0021, 0)</f>
        <v>77.206299999999999</v>
      </c>
      <c r="F429" s="14">
        <f>77.2042 * CHOOSE(CONTROL!$C$9, $D$9, 100%, $F$9) + CHOOSE(CONTROL!$C$27, 0.0021, 0)</f>
        <v>77.206299999999999</v>
      </c>
      <c r="G429" s="14">
        <f>77.4756 * CHOOSE(CONTROL!$C$9, $D$9, 100%, $F$9) + CHOOSE(CONTROL!$C$27, 0.0021, 0)</f>
        <v>77.477699999999999</v>
      </c>
      <c r="H429" s="14">
        <f>77.3409 * CHOOSE(CONTROL!$C$9, $D$9, 100%, $F$9) + CHOOSE(CONTROL!$C$27, 0.0021, 0)</f>
        <v>77.343000000000004</v>
      </c>
      <c r="I429" s="14">
        <f>77.3409 * CHOOSE(CONTROL!$C$9, $D$9, 100%, $F$9) + CHOOSE(CONTROL!$C$27, 0.0021, 0)</f>
        <v>77.343000000000004</v>
      </c>
      <c r="J429" s="14">
        <f>77.3409 * CHOOSE(CONTROL!$C$9, $D$9, 100%, $F$9) + CHOOSE(CONTROL!$C$27, 0.0021, 0)</f>
        <v>77.343000000000004</v>
      </c>
      <c r="K429" s="14">
        <f>77.3409 * CHOOSE(CONTROL!$C$9, $D$9, 100%, $F$9) + CHOOSE(CONTROL!$C$27, 0.0021, 0)</f>
        <v>77.343000000000004</v>
      </c>
      <c r="L429" s="14"/>
    </row>
    <row r="430" spans="1:12" ht="15.75" x14ac:dyDescent="0.25">
      <c r="A430" s="32">
        <v>54026</v>
      </c>
      <c r="B430" s="14">
        <f>77.9475 * CHOOSE(CONTROL!$C$9, $D$9, 100%, $F$9) + CHOOSE(CONTROL!$C$27, 0.0021, 0)</f>
        <v>77.949600000000004</v>
      </c>
      <c r="C430" s="14">
        <f>77.5152 * CHOOSE(CONTROL!$C$9, $D$9, 100%, $F$9) + CHOOSE(CONTROL!$C$27, 0.0021, 0)</f>
        <v>77.517299999999992</v>
      </c>
      <c r="D430" s="14">
        <f>77.5152 * CHOOSE(CONTROL!$C$9, $D$9, 100%, $F$9) + CHOOSE(CONTROL!$C$27, 0.0021, 0)</f>
        <v>77.517299999999992</v>
      </c>
      <c r="E430" s="14">
        <f>77.3786 * CHOOSE(CONTROL!$C$9, $D$9, 100%, $F$9) + CHOOSE(CONTROL!$C$27, 0.0021, 0)</f>
        <v>77.380700000000004</v>
      </c>
      <c r="F430" s="14">
        <f>77.3786 * CHOOSE(CONTROL!$C$9, $D$9, 100%, $F$9) + CHOOSE(CONTROL!$C$27, 0.0021, 0)</f>
        <v>77.380700000000004</v>
      </c>
      <c r="G430" s="14">
        <f>77.6499 * CHOOSE(CONTROL!$C$9, $D$9, 100%, $F$9) + CHOOSE(CONTROL!$C$27, 0.0021, 0)</f>
        <v>77.652000000000001</v>
      </c>
      <c r="H430" s="14">
        <f>77.5152 * CHOOSE(CONTROL!$C$9, $D$9, 100%, $F$9) + CHOOSE(CONTROL!$C$27, 0.0021, 0)</f>
        <v>77.517299999999992</v>
      </c>
      <c r="I430" s="14">
        <f>77.5152 * CHOOSE(CONTROL!$C$9, $D$9, 100%, $F$9) + CHOOSE(CONTROL!$C$27, 0.0021, 0)</f>
        <v>77.517299999999992</v>
      </c>
      <c r="J430" s="14">
        <f>77.5152 * CHOOSE(CONTROL!$C$9, $D$9, 100%, $F$9) + CHOOSE(CONTROL!$C$27, 0.0021, 0)</f>
        <v>77.517299999999992</v>
      </c>
      <c r="K430" s="14">
        <f>77.5152 * CHOOSE(CONTROL!$C$9, $D$9, 100%, $F$9) + CHOOSE(CONTROL!$C$27, 0.0021, 0)</f>
        <v>77.517299999999992</v>
      </c>
      <c r="L430" s="14"/>
    </row>
    <row r="431" spans="1:12" ht="15.75" x14ac:dyDescent="0.25">
      <c r="A431" s="32">
        <v>54057</v>
      </c>
      <c r="B431" s="14">
        <f>76.4641 * CHOOSE(CONTROL!$C$9, $D$9, 100%, $F$9) + CHOOSE(CONTROL!$C$27, 0.0021, 0)</f>
        <v>76.466200000000001</v>
      </c>
      <c r="C431" s="14">
        <f>76.0318 * CHOOSE(CONTROL!$C$9, $D$9, 100%, $F$9) + CHOOSE(CONTROL!$C$27, 0.0021, 0)</f>
        <v>76.033900000000003</v>
      </c>
      <c r="D431" s="14">
        <f>76.0318 * CHOOSE(CONTROL!$C$9, $D$9, 100%, $F$9) + CHOOSE(CONTROL!$C$27, 0.0021, 0)</f>
        <v>76.033900000000003</v>
      </c>
      <c r="E431" s="14">
        <f>75.8951 * CHOOSE(CONTROL!$C$9, $D$9, 100%, $F$9) + CHOOSE(CONTROL!$C$27, 0.0021, 0)</f>
        <v>75.897199999999998</v>
      </c>
      <c r="F431" s="14">
        <f>75.8951 * CHOOSE(CONTROL!$C$9, $D$9, 100%, $F$9) + CHOOSE(CONTROL!$C$27, 0.0021, 0)</f>
        <v>75.897199999999998</v>
      </c>
      <c r="G431" s="14">
        <f>76.1665 * CHOOSE(CONTROL!$C$9, $D$9, 100%, $F$9) + CHOOSE(CONTROL!$C$27, 0.0021, 0)</f>
        <v>76.168599999999998</v>
      </c>
      <c r="H431" s="14">
        <f>76.0318 * CHOOSE(CONTROL!$C$9, $D$9, 100%, $F$9) + CHOOSE(CONTROL!$C$27, 0.0021, 0)</f>
        <v>76.033900000000003</v>
      </c>
      <c r="I431" s="14">
        <f>76.0318 * CHOOSE(CONTROL!$C$9, $D$9, 100%, $F$9) + CHOOSE(CONTROL!$C$27, 0.0021, 0)</f>
        <v>76.033900000000003</v>
      </c>
      <c r="J431" s="14">
        <f>76.0318 * CHOOSE(CONTROL!$C$9, $D$9, 100%, $F$9) + CHOOSE(CONTROL!$C$27, 0.0021, 0)</f>
        <v>76.033900000000003</v>
      </c>
      <c r="K431" s="14">
        <f>76.0318 * CHOOSE(CONTROL!$C$9, $D$9, 100%, $F$9) + CHOOSE(CONTROL!$C$27, 0.0021, 0)</f>
        <v>76.033900000000003</v>
      </c>
      <c r="L431" s="14"/>
    </row>
    <row r="432" spans="1:12" ht="15.75" x14ac:dyDescent="0.25">
      <c r="A432" s="32">
        <v>54088</v>
      </c>
      <c r="B432" s="14">
        <f>75.5265 * CHOOSE(CONTROL!$C$9, $D$9, 100%, $F$9) + CHOOSE(CONTROL!$C$27, 0.0021, 0)</f>
        <v>75.528599999999997</v>
      </c>
      <c r="C432" s="14">
        <f>75.0942 * CHOOSE(CONTROL!$C$9, $D$9, 100%, $F$9) + CHOOSE(CONTROL!$C$27, 0.0021, 0)</f>
        <v>75.096299999999999</v>
      </c>
      <c r="D432" s="14">
        <f>75.0942 * CHOOSE(CONTROL!$C$9, $D$9, 100%, $F$9) + CHOOSE(CONTROL!$C$27, 0.0021, 0)</f>
        <v>75.096299999999999</v>
      </c>
      <c r="E432" s="14">
        <f>74.9576 * CHOOSE(CONTROL!$C$9, $D$9, 100%, $F$9) + CHOOSE(CONTROL!$C$27, 0.0021, 0)</f>
        <v>74.959699999999998</v>
      </c>
      <c r="F432" s="14">
        <f>74.9576 * CHOOSE(CONTROL!$C$9, $D$9, 100%, $F$9) + CHOOSE(CONTROL!$C$27, 0.0021, 0)</f>
        <v>74.959699999999998</v>
      </c>
      <c r="G432" s="14">
        <f>75.2289 * CHOOSE(CONTROL!$C$9, $D$9, 100%, $F$9) + CHOOSE(CONTROL!$C$27, 0.0021, 0)</f>
        <v>75.230999999999995</v>
      </c>
      <c r="H432" s="14">
        <f>75.0942 * CHOOSE(CONTROL!$C$9, $D$9, 100%, $F$9) + CHOOSE(CONTROL!$C$27, 0.0021, 0)</f>
        <v>75.096299999999999</v>
      </c>
      <c r="I432" s="14">
        <f>75.0942 * CHOOSE(CONTROL!$C$9, $D$9, 100%, $F$9) + CHOOSE(CONTROL!$C$27, 0.0021, 0)</f>
        <v>75.096299999999999</v>
      </c>
      <c r="J432" s="14">
        <f>75.0942 * CHOOSE(CONTROL!$C$9, $D$9, 100%, $F$9) + CHOOSE(CONTROL!$C$27, 0.0021, 0)</f>
        <v>75.096299999999999</v>
      </c>
      <c r="K432" s="14">
        <f>75.0942 * CHOOSE(CONTROL!$C$9, $D$9, 100%, $F$9) + CHOOSE(CONTROL!$C$27, 0.0021, 0)</f>
        <v>75.096299999999999</v>
      </c>
      <c r="L432" s="14"/>
    </row>
    <row r="433" spans="1:12" ht="15.75" x14ac:dyDescent="0.25">
      <c r="A433" s="32">
        <v>54116</v>
      </c>
      <c r="B433" s="14">
        <f>73.455 * CHOOSE(CONTROL!$C$9, $D$9, 100%, $F$9) + CHOOSE(CONTROL!$C$27, 0.0021, 0)</f>
        <v>73.457099999999997</v>
      </c>
      <c r="C433" s="14">
        <f>73.0228 * CHOOSE(CONTROL!$C$9, $D$9, 100%, $F$9) + CHOOSE(CONTROL!$C$27, 0.0021, 0)</f>
        <v>73.024900000000002</v>
      </c>
      <c r="D433" s="14">
        <f>73.0228 * CHOOSE(CONTROL!$C$9, $D$9, 100%, $F$9) + CHOOSE(CONTROL!$C$27, 0.0021, 0)</f>
        <v>73.024900000000002</v>
      </c>
      <c r="E433" s="14">
        <f>72.8861 * CHOOSE(CONTROL!$C$9, $D$9, 100%, $F$9) + CHOOSE(CONTROL!$C$27, 0.0021, 0)</f>
        <v>72.888199999999998</v>
      </c>
      <c r="F433" s="14">
        <f>72.8861 * CHOOSE(CONTROL!$C$9, $D$9, 100%, $F$9) + CHOOSE(CONTROL!$C$27, 0.0021, 0)</f>
        <v>72.888199999999998</v>
      </c>
      <c r="G433" s="14">
        <f>73.1575 * CHOOSE(CONTROL!$C$9, $D$9, 100%, $F$9) + CHOOSE(CONTROL!$C$27, 0.0021, 0)</f>
        <v>73.159599999999998</v>
      </c>
      <c r="H433" s="14">
        <f>73.0228 * CHOOSE(CONTROL!$C$9, $D$9, 100%, $F$9) + CHOOSE(CONTROL!$C$27, 0.0021, 0)</f>
        <v>73.024900000000002</v>
      </c>
      <c r="I433" s="14">
        <f>73.0228 * CHOOSE(CONTROL!$C$9, $D$9, 100%, $F$9) + CHOOSE(CONTROL!$C$27, 0.0021, 0)</f>
        <v>73.024900000000002</v>
      </c>
      <c r="J433" s="14">
        <f>73.0228 * CHOOSE(CONTROL!$C$9, $D$9, 100%, $F$9) + CHOOSE(CONTROL!$C$27, 0.0021, 0)</f>
        <v>73.024900000000002</v>
      </c>
      <c r="K433" s="14">
        <f>73.0228 * CHOOSE(CONTROL!$C$9, $D$9, 100%, $F$9) + CHOOSE(CONTROL!$C$27, 0.0021, 0)</f>
        <v>73.024900000000002</v>
      </c>
      <c r="L433" s="14"/>
    </row>
    <row r="434" spans="1:12" ht="15.75" x14ac:dyDescent="0.25">
      <c r="A434" s="32">
        <v>54148</v>
      </c>
      <c r="B434" s="14">
        <f>72.5999 * CHOOSE(CONTROL!$C$9, $D$9, 100%, $F$9) + CHOOSE(CONTROL!$C$27, 0.0021, 0)</f>
        <v>72.602000000000004</v>
      </c>
      <c r="C434" s="14">
        <f>72.1677 * CHOOSE(CONTROL!$C$9, $D$9, 100%, $F$9) + CHOOSE(CONTROL!$C$27, 0.0021, 0)</f>
        <v>72.169799999999995</v>
      </c>
      <c r="D434" s="14">
        <f>72.1677 * CHOOSE(CONTROL!$C$9, $D$9, 100%, $F$9) + CHOOSE(CONTROL!$C$27, 0.0021, 0)</f>
        <v>72.169799999999995</v>
      </c>
      <c r="E434" s="14">
        <f>72.031 * CHOOSE(CONTROL!$C$9, $D$9, 100%, $F$9) + CHOOSE(CONTROL!$C$27, 0.0021, 0)</f>
        <v>72.033100000000005</v>
      </c>
      <c r="F434" s="14">
        <f>72.031 * CHOOSE(CONTROL!$C$9, $D$9, 100%, $F$9) + CHOOSE(CONTROL!$C$27, 0.0021, 0)</f>
        <v>72.033100000000005</v>
      </c>
      <c r="G434" s="14">
        <f>72.3024 * CHOOSE(CONTROL!$C$9, $D$9, 100%, $F$9) + CHOOSE(CONTROL!$C$27, 0.0021, 0)</f>
        <v>72.304500000000004</v>
      </c>
      <c r="H434" s="14">
        <f>72.1677 * CHOOSE(CONTROL!$C$9, $D$9, 100%, $F$9) + CHOOSE(CONTROL!$C$27, 0.0021, 0)</f>
        <v>72.169799999999995</v>
      </c>
      <c r="I434" s="14">
        <f>72.1677 * CHOOSE(CONTROL!$C$9, $D$9, 100%, $F$9) + CHOOSE(CONTROL!$C$27, 0.0021, 0)</f>
        <v>72.169799999999995</v>
      </c>
      <c r="J434" s="14">
        <f>72.1677 * CHOOSE(CONTROL!$C$9, $D$9, 100%, $F$9) + CHOOSE(CONTROL!$C$27, 0.0021, 0)</f>
        <v>72.169799999999995</v>
      </c>
      <c r="K434" s="14">
        <f>72.1677 * CHOOSE(CONTROL!$C$9, $D$9, 100%, $F$9) + CHOOSE(CONTROL!$C$27, 0.0021, 0)</f>
        <v>72.169799999999995</v>
      </c>
      <c r="L434" s="14"/>
    </row>
    <row r="435" spans="1:12" ht="15.75" x14ac:dyDescent="0.25">
      <c r="A435" s="32">
        <v>54178</v>
      </c>
      <c r="B435" s="14">
        <f>71.5789 * CHOOSE(CONTROL!$C$9, $D$9, 100%, $F$9) + CHOOSE(CONTROL!$C$27, 0.0021, 0)</f>
        <v>71.581000000000003</v>
      </c>
      <c r="C435" s="14">
        <f>71.1467 * CHOOSE(CONTROL!$C$9, $D$9, 100%, $F$9) + CHOOSE(CONTROL!$C$27, 0.0021, 0)</f>
        <v>71.148799999999994</v>
      </c>
      <c r="D435" s="14">
        <f>71.1467 * CHOOSE(CONTROL!$C$9, $D$9, 100%, $F$9) + CHOOSE(CONTROL!$C$27, 0.0021, 0)</f>
        <v>71.148799999999994</v>
      </c>
      <c r="E435" s="14">
        <f>71.01 * CHOOSE(CONTROL!$C$9, $D$9, 100%, $F$9) + CHOOSE(CONTROL!$C$27, 0.0021, 0)</f>
        <v>71.012100000000004</v>
      </c>
      <c r="F435" s="14">
        <f>71.01 * CHOOSE(CONTROL!$C$9, $D$9, 100%, $F$9) + CHOOSE(CONTROL!$C$27, 0.0021, 0)</f>
        <v>71.012100000000004</v>
      </c>
      <c r="G435" s="14">
        <f>71.2814 * CHOOSE(CONTROL!$C$9, $D$9, 100%, $F$9) + CHOOSE(CONTROL!$C$27, 0.0021, 0)</f>
        <v>71.283500000000004</v>
      </c>
      <c r="H435" s="14">
        <f>71.1467 * CHOOSE(CONTROL!$C$9, $D$9, 100%, $F$9) + CHOOSE(CONTROL!$C$27, 0.0021, 0)</f>
        <v>71.148799999999994</v>
      </c>
      <c r="I435" s="14">
        <f>71.1467 * CHOOSE(CONTROL!$C$9, $D$9, 100%, $F$9) + CHOOSE(CONTROL!$C$27, 0.0021, 0)</f>
        <v>71.148799999999994</v>
      </c>
      <c r="J435" s="14">
        <f>71.1467 * CHOOSE(CONTROL!$C$9, $D$9, 100%, $F$9) + CHOOSE(CONTROL!$C$27, 0.0021, 0)</f>
        <v>71.148799999999994</v>
      </c>
      <c r="K435" s="14">
        <f>71.1467 * CHOOSE(CONTROL!$C$9, $D$9, 100%, $F$9) + CHOOSE(CONTROL!$C$27, 0.0021, 0)</f>
        <v>71.148799999999994</v>
      </c>
      <c r="L435" s="14"/>
    </row>
    <row r="436" spans="1:12" ht="15.75" x14ac:dyDescent="0.25">
      <c r="A436" s="32">
        <v>54209</v>
      </c>
      <c r="B436" s="14">
        <f>73.034 * CHOOSE(CONTROL!$C$9, $D$9, 100%, $F$9) + CHOOSE(CONTROL!$C$27, 0.0021, 0)</f>
        <v>73.036100000000005</v>
      </c>
      <c r="C436" s="14">
        <f>72.6017 * CHOOSE(CONTROL!$C$9, $D$9, 100%, $F$9) + CHOOSE(CONTROL!$C$27, 0.0021, 0)</f>
        <v>72.603799999999993</v>
      </c>
      <c r="D436" s="14">
        <f>72.6017 * CHOOSE(CONTROL!$C$9, $D$9, 100%, $F$9) + CHOOSE(CONTROL!$C$27, 0.0021, 0)</f>
        <v>72.603799999999993</v>
      </c>
      <c r="E436" s="14">
        <f>72.4651 * CHOOSE(CONTROL!$C$9, $D$9, 100%, $F$9) + CHOOSE(CONTROL!$C$27, 0.0021, 0)</f>
        <v>72.467200000000005</v>
      </c>
      <c r="F436" s="14">
        <f>72.4651 * CHOOSE(CONTROL!$C$9, $D$9, 100%, $F$9) + CHOOSE(CONTROL!$C$27, 0.0021, 0)</f>
        <v>72.467200000000005</v>
      </c>
      <c r="G436" s="14">
        <f>72.7364 * CHOOSE(CONTROL!$C$9, $D$9, 100%, $F$9) + CHOOSE(CONTROL!$C$27, 0.0021, 0)</f>
        <v>72.738500000000002</v>
      </c>
      <c r="H436" s="14">
        <f>72.6017 * CHOOSE(CONTROL!$C$9, $D$9, 100%, $F$9) + CHOOSE(CONTROL!$C$27, 0.0021, 0)</f>
        <v>72.603799999999993</v>
      </c>
      <c r="I436" s="14">
        <f>72.6017 * CHOOSE(CONTROL!$C$9, $D$9, 100%, $F$9) + CHOOSE(CONTROL!$C$27, 0.0021, 0)</f>
        <v>72.603799999999993</v>
      </c>
      <c r="J436" s="14">
        <f>72.6017 * CHOOSE(CONTROL!$C$9, $D$9, 100%, $F$9) + CHOOSE(CONTROL!$C$27, 0.0021, 0)</f>
        <v>72.603799999999993</v>
      </c>
      <c r="K436" s="14">
        <f>72.6017 * CHOOSE(CONTROL!$C$9, $D$9, 100%, $F$9) + CHOOSE(CONTROL!$C$27, 0.0021, 0)</f>
        <v>72.603799999999993</v>
      </c>
      <c r="L436" s="14"/>
    </row>
    <row r="437" spans="1:12" ht="15.75" x14ac:dyDescent="0.25">
      <c r="A437" s="32">
        <v>54239</v>
      </c>
      <c r="B437" s="14">
        <f>73.9055 * CHOOSE(CONTROL!$C$9, $D$9, 100%, $F$9) + CHOOSE(CONTROL!$C$27, 0.0021, 0)</f>
        <v>73.907600000000002</v>
      </c>
      <c r="C437" s="14">
        <f>73.4732 * CHOOSE(CONTROL!$C$9, $D$9, 100%, $F$9) + CHOOSE(CONTROL!$C$27, 0.0021, 0)</f>
        <v>73.475300000000004</v>
      </c>
      <c r="D437" s="14">
        <f>73.4732 * CHOOSE(CONTROL!$C$9, $D$9, 100%, $F$9) + CHOOSE(CONTROL!$C$27, 0.0021, 0)</f>
        <v>73.475300000000004</v>
      </c>
      <c r="E437" s="14">
        <f>73.3366 * CHOOSE(CONTROL!$C$9, $D$9, 100%, $F$9) + CHOOSE(CONTROL!$C$27, 0.0021, 0)</f>
        <v>73.338700000000003</v>
      </c>
      <c r="F437" s="14">
        <f>73.3366 * CHOOSE(CONTROL!$C$9, $D$9, 100%, $F$9) + CHOOSE(CONTROL!$C$27, 0.0021, 0)</f>
        <v>73.338700000000003</v>
      </c>
      <c r="G437" s="14">
        <f>73.6079 * CHOOSE(CONTROL!$C$9, $D$9, 100%, $F$9) + CHOOSE(CONTROL!$C$27, 0.0021, 0)</f>
        <v>73.61</v>
      </c>
      <c r="H437" s="14">
        <f>73.4732 * CHOOSE(CONTROL!$C$9, $D$9, 100%, $F$9) + CHOOSE(CONTROL!$C$27, 0.0021, 0)</f>
        <v>73.475300000000004</v>
      </c>
      <c r="I437" s="14">
        <f>73.4732 * CHOOSE(CONTROL!$C$9, $D$9, 100%, $F$9) + CHOOSE(CONTROL!$C$27, 0.0021, 0)</f>
        <v>73.475300000000004</v>
      </c>
      <c r="J437" s="14">
        <f>73.4732 * CHOOSE(CONTROL!$C$9, $D$9, 100%, $F$9) + CHOOSE(CONTROL!$C$27, 0.0021, 0)</f>
        <v>73.475300000000004</v>
      </c>
      <c r="K437" s="14">
        <f>73.4732 * CHOOSE(CONTROL!$C$9, $D$9, 100%, $F$9) + CHOOSE(CONTROL!$C$27, 0.0021, 0)</f>
        <v>73.475300000000004</v>
      </c>
      <c r="L437" s="14"/>
    </row>
    <row r="438" spans="1:12" ht="15.75" x14ac:dyDescent="0.25">
      <c r="A438" s="32">
        <v>54270</v>
      </c>
      <c r="B438" s="14">
        <f>75.3432 * CHOOSE(CONTROL!$C$9, $D$9, 100%, $F$9) + CHOOSE(CONTROL!$C$27, 0.0021, 0)</f>
        <v>75.345299999999995</v>
      </c>
      <c r="C438" s="14">
        <f>74.9109 * CHOOSE(CONTROL!$C$9, $D$9, 100%, $F$9) + CHOOSE(CONTROL!$C$27, 0.0021, 0)</f>
        <v>74.912999999999997</v>
      </c>
      <c r="D438" s="14">
        <f>74.9109 * CHOOSE(CONTROL!$C$9, $D$9, 100%, $F$9) + CHOOSE(CONTROL!$C$27, 0.0021, 0)</f>
        <v>74.912999999999997</v>
      </c>
      <c r="E438" s="14">
        <f>74.7742 * CHOOSE(CONTROL!$C$9, $D$9, 100%, $F$9) + CHOOSE(CONTROL!$C$27, 0.0021, 0)</f>
        <v>74.776299999999992</v>
      </c>
      <c r="F438" s="14">
        <f>74.7742 * CHOOSE(CONTROL!$C$9, $D$9, 100%, $F$9) + CHOOSE(CONTROL!$C$27, 0.0021, 0)</f>
        <v>74.776299999999992</v>
      </c>
      <c r="G438" s="14">
        <f>75.0456 * CHOOSE(CONTROL!$C$9, $D$9, 100%, $F$9) + CHOOSE(CONTROL!$C$27, 0.0021, 0)</f>
        <v>75.047699999999992</v>
      </c>
      <c r="H438" s="14">
        <f>74.9109 * CHOOSE(CONTROL!$C$9, $D$9, 100%, $F$9) + CHOOSE(CONTROL!$C$27, 0.0021, 0)</f>
        <v>74.912999999999997</v>
      </c>
      <c r="I438" s="14">
        <f>74.9109 * CHOOSE(CONTROL!$C$9, $D$9, 100%, $F$9) + CHOOSE(CONTROL!$C$27, 0.0021, 0)</f>
        <v>74.912999999999997</v>
      </c>
      <c r="J438" s="14">
        <f>74.9109 * CHOOSE(CONTROL!$C$9, $D$9, 100%, $F$9) + CHOOSE(CONTROL!$C$27, 0.0021, 0)</f>
        <v>74.912999999999997</v>
      </c>
      <c r="K438" s="14">
        <f>74.9109 * CHOOSE(CONTROL!$C$9, $D$9, 100%, $F$9) + CHOOSE(CONTROL!$C$27, 0.0021, 0)</f>
        <v>74.912999999999997</v>
      </c>
      <c r="L438" s="14"/>
    </row>
    <row r="439" spans="1:12" ht="15.75" x14ac:dyDescent="0.25">
      <c r="A439" s="32">
        <v>54301</v>
      </c>
      <c r="B439" s="14">
        <f>75.782 * CHOOSE(CONTROL!$C$9, $D$9, 100%, $F$9) + CHOOSE(CONTROL!$C$27, 0.0021, 0)</f>
        <v>75.784099999999995</v>
      </c>
      <c r="C439" s="14">
        <f>75.3497 * CHOOSE(CONTROL!$C$9, $D$9, 100%, $F$9) + CHOOSE(CONTROL!$C$27, 0.0021, 0)</f>
        <v>75.351799999999997</v>
      </c>
      <c r="D439" s="14">
        <f>75.3497 * CHOOSE(CONTROL!$C$9, $D$9, 100%, $F$9) + CHOOSE(CONTROL!$C$27, 0.0021, 0)</f>
        <v>75.351799999999997</v>
      </c>
      <c r="E439" s="14">
        <f>75.2131 * CHOOSE(CONTROL!$C$9, $D$9, 100%, $F$9) + CHOOSE(CONTROL!$C$27, 0.0021, 0)</f>
        <v>75.215199999999996</v>
      </c>
      <c r="F439" s="14">
        <f>75.2131 * CHOOSE(CONTROL!$C$9, $D$9, 100%, $F$9) + CHOOSE(CONTROL!$C$27, 0.0021, 0)</f>
        <v>75.215199999999996</v>
      </c>
      <c r="G439" s="14">
        <f>75.4844 * CHOOSE(CONTROL!$C$9, $D$9, 100%, $F$9) + CHOOSE(CONTROL!$C$27, 0.0021, 0)</f>
        <v>75.486499999999992</v>
      </c>
      <c r="H439" s="14">
        <f>75.3497 * CHOOSE(CONTROL!$C$9, $D$9, 100%, $F$9) + CHOOSE(CONTROL!$C$27, 0.0021, 0)</f>
        <v>75.351799999999997</v>
      </c>
      <c r="I439" s="14">
        <f>75.3497 * CHOOSE(CONTROL!$C$9, $D$9, 100%, $F$9) + CHOOSE(CONTROL!$C$27, 0.0021, 0)</f>
        <v>75.351799999999997</v>
      </c>
      <c r="J439" s="14">
        <f>75.3497 * CHOOSE(CONTROL!$C$9, $D$9, 100%, $F$9) + CHOOSE(CONTROL!$C$27, 0.0021, 0)</f>
        <v>75.351799999999997</v>
      </c>
      <c r="K439" s="14">
        <f>75.3497 * CHOOSE(CONTROL!$C$9, $D$9, 100%, $F$9) + CHOOSE(CONTROL!$C$27, 0.0021, 0)</f>
        <v>75.351799999999997</v>
      </c>
      <c r="L439" s="14"/>
    </row>
    <row r="440" spans="1:12" ht="15.75" x14ac:dyDescent="0.25">
      <c r="A440" s="32">
        <v>54331</v>
      </c>
      <c r="B440" s="14">
        <f>77.2764 * CHOOSE(CONTROL!$C$9, $D$9, 100%, $F$9) + CHOOSE(CONTROL!$C$27, 0.0021, 0)</f>
        <v>77.278499999999994</v>
      </c>
      <c r="C440" s="14">
        <f>76.8441 * CHOOSE(CONTROL!$C$9, $D$9, 100%, $F$9) + CHOOSE(CONTROL!$C$27, 0.0021, 0)</f>
        <v>76.846199999999996</v>
      </c>
      <c r="D440" s="14">
        <f>76.8441 * CHOOSE(CONTROL!$C$9, $D$9, 100%, $F$9) + CHOOSE(CONTROL!$C$27, 0.0021, 0)</f>
        <v>76.846199999999996</v>
      </c>
      <c r="E440" s="14">
        <f>76.7075 * CHOOSE(CONTROL!$C$9, $D$9, 100%, $F$9) + CHOOSE(CONTROL!$C$27, 0.0021, 0)</f>
        <v>76.709599999999995</v>
      </c>
      <c r="F440" s="14">
        <f>76.7075 * CHOOSE(CONTROL!$C$9, $D$9, 100%, $F$9) + CHOOSE(CONTROL!$C$27, 0.0021, 0)</f>
        <v>76.709599999999995</v>
      </c>
      <c r="G440" s="14">
        <f>76.9789 * CHOOSE(CONTROL!$C$9, $D$9, 100%, $F$9) + CHOOSE(CONTROL!$C$27, 0.0021, 0)</f>
        <v>76.980999999999995</v>
      </c>
      <c r="H440" s="14">
        <f>76.8441 * CHOOSE(CONTROL!$C$9, $D$9, 100%, $F$9) + CHOOSE(CONTROL!$C$27, 0.0021, 0)</f>
        <v>76.846199999999996</v>
      </c>
      <c r="I440" s="14">
        <f>76.8441 * CHOOSE(CONTROL!$C$9, $D$9, 100%, $F$9) + CHOOSE(CONTROL!$C$27, 0.0021, 0)</f>
        <v>76.846199999999996</v>
      </c>
      <c r="J440" s="14">
        <f>76.8441 * CHOOSE(CONTROL!$C$9, $D$9, 100%, $F$9) + CHOOSE(CONTROL!$C$27, 0.0021, 0)</f>
        <v>76.846199999999996</v>
      </c>
      <c r="K440" s="14">
        <f>76.8441 * CHOOSE(CONTROL!$C$9, $D$9, 100%, $F$9) + CHOOSE(CONTROL!$C$27, 0.0021, 0)</f>
        <v>76.846199999999996</v>
      </c>
      <c r="L440" s="14"/>
    </row>
    <row r="441" spans="1:12" ht="15.75" x14ac:dyDescent="0.25">
      <c r="A441" s="32">
        <v>54362</v>
      </c>
      <c r="B441" s="14">
        <f>79.1681 * CHOOSE(CONTROL!$C$9, $D$9, 100%, $F$9) + CHOOSE(CONTROL!$C$27, 0.0021, 0)</f>
        <v>79.170199999999994</v>
      </c>
      <c r="C441" s="14">
        <f>78.7358 * CHOOSE(CONTROL!$C$9, $D$9, 100%, $F$9) + CHOOSE(CONTROL!$C$27, 0.0021, 0)</f>
        <v>78.737899999999996</v>
      </c>
      <c r="D441" s="14">
        <f>78.7358 * CHOOSE(CONTROL!$C$9, $D$9, 100%, $F$9) + CHOOSE(CONTROL!$C$27, 0.0021, 0)</f>
        <v>78.737899999999996</v>
      </c>
      <c r="E441" s="14">
        <f>78.5991 * CHOOSE(CONTROL!$C$9, $D$9, 100%, $F$9) + CHOOSE(CONTROL!$C$27, 0.0021, 0)</f>
        <v>78.601200000000006</v>
      </c>
      <c r="F441" s="14">
        <f>78.5991 * CHOOSE(CONTROL!$C$9, $D$9, 100%, $F$9) + CHOOSE(CONTROL!$C$27, 0.0021, 0)</f>
        <v>78.601200000000006</v>
      </c>
      <c r="G441" s="14">
        <f>78.8705 * CHOOSE(CONTROL!$C$9, $D$9, 100%, $F$9) + CHOOSE(CONTROL!$C$27, 0.0021, 0)</f>
        <v>78.872600000000006</v>
      </c>
      <c r="H441" s="14">
        <f>78.7358 * CHOOSE(CONTROL!$C$9, $D$9, 100%, $F$9) + CHOOSE(CONTROL!$C$27, 0.0021, 0)</f>
        <v>78.737899999999996</v>
      </c>
      <c r="I441" s="14">
        <f>78.7358 * CHOOSE(CONTROL!$C$9, $D$9, 100%, $F$9) + CHOOSE(CONTROL!$C$27, 0.0021, 0)</f>
        <v>78.737899999999996</v>
      </c>
      <c r="J441" s="14">
        <f>78.7358 * CHOOSE(CONTROL!$C$9, $D$9, 100%, $F$9) + CHOOSE(CONTROL!$C$27, 0.0021, 0)</f>
        <v>78.737899999999996</v>
      </c>
      <c r="K441" s="14">
        <f>78.7358 * CHOOSE(CONTROL!$C$9, $D$9, 100%, $F$9) + CHOOSE(CONTROL!$C$27, 0.0021, 0)</f>
        <v>78.737899999999996</v>
      </c>
      <c r="L441" s="14"/>
    </row>
    <row r="442" spans="1:12" ht="15.75" x14ac:dyDescent="0.25">
      <c r="A442" s="32">
        <v>54392</v>
      </c>
      <c r="B442" s="14">
        <f>79.3456 * CHOOSE(CONTROL!$C$9, $D$9, 100%, $F$9) + CHOOSE(CONTROL!$C$27, 0.0021, 0)</f>
        <v>79.347700000000003</v>
      </c>
      <c r="C442" s="14">
        <f>78.9134 * CHOOSE(CONTROL!$C$9, $D$9, 100%, $F$9) + CHOOSE(CONTROL!$C$27, 0.0021, 0)</f>
        <v>78.915499999999994</v>
      </c>
      <c r="D442" s="14">
        <f>78.9134 * CHOOSE(CONTROL!$C$9, $D$9, 100%, $F$9) + CHOOSE(CONTROL!$C$27, 0.0021, 0)</f>
        <v>78.915499999999994</v>
      </c>
      <c r="E442" s="14">
        <f>78.7767 * CHOOSE(CONTROL!$C$9, $D$9, 100%, $F$9) + CHOOSE(CONTROL!$C$27, 0.0021, 0)</f>
        <v>78.778800000000004</v>
      </c>
      <c r="F442" s="14">
        <f>78.7767 * CHOOSE(CONTROL!$C$9, $D$9, 100%, $F$9) + CHOOSE(CONTROL!$C$27, 0.0021, 0)</f>
        <v>78.778800000000004</v>
      </c>
      <c r="G442" s="14">
        <f>79.0481 * CHOOSE(CONTROL!$C$9, $D$9, 100%, $F$9) + CHOOSE(CONTROL!$C$27, 0.0021, 0)</f>
        <v>79.050200000000004</v>
      </c>
      <c r="H442" s="14">
        <f>78.9134 * CHOOSE(CONTROL!$C$9, $D$9, 100%, $F$9) + CHOOSE(CONTROL!$C$27, 0.0021, 0)</f>
        <v>78.915499999999994</v>
      </c>
      <c r="I442" s="14">
        <f>78.9134 * CHOOSE(CONTROL!$C$9, $D$9, 100%, $F$9) + CHOOSE(CONTROL!$C$27, 0.0021, 0)</f>
        <v>78.915499999999994</v>
      </c>
      <c r="J442" s="14">
        <f>78.9134 * CHOOSE(CONTROL!$C$9, $D$9, 100%, $F$9) + CHOOSE(CONTROL!$C$27, 0.0021, 0)</f>
        <v>78.915499999999994</v>
      </c>
      <c r="K442" s="14">
        <f>78.9134 * CHOOSE(CONTROL!$C$9, $D$9, 100%, $F$9) + CHOOSE(CONTROL!$C$27, 0.0021, 0)</f>
        <v>78.915499999999994</v>
      </c>
      <c r="L442" s="14"/>
    </row>
    <row r="443" spans="1:12" ht="15.75" x14ac:dyDescent="0.25">
      <c r="A443" s="32">
        <v>54423</v>
      </c>
      <c r="B443" s="14">
        <f>77.8348 * CHOOSE(CONTROL!$C$9, $D$9, 100%, $F$9) + CHOOSE(CONTROL!$C$27, 0.0021, 0)</f>
        <v>77.8369</v>
      </c>
      <c r="C443" s="14">
        <f>77.4026 * CHOOSE(CONTROL!$C$9, $D$9, 100%, $F$9) + CHOOSE(CONTROL!$C$27, 0.0021, 0)</f>
        <v>77.404700000000005</v>
      </c>
      <c r="D443" s="14">
        <f>77.4026 * CHOOSE(CONTROL!$C$9, $D$9, 100%, $F$9) + CHOOSE(CONTROL!$C$27, 0.0021, 0)</f>
        <v>77.404700000000005</v>
      </c>
      <c r="E443" s="14">
        <f>77.2659 * CHOOSE(CONTROL!$C$9, $D$9, 100%, $F$9) + CHOOSE(CONTROL!$C$27, 0.0021, 0)</f>
        <v>77.268000000000001</v>
      </c>
      <c r="F443" s="14">
        <f>77.2659 * CHOOSE(CONTROL!$C$9, $D$9, 100%, $F$9) + CHOOSE(CONTROL!$C$27, 0.0021, 0)</f>
        <v>77.268000000000001</v>
      </c>
      <c r="G443" s="14">
        <f>77.5373 * CHOOSE(CONTROL!$C$9, $D$9, 100%, $F$9) + CHOOSE(CONTROL!$C$27, 0.0021, 0)</f>
        <v>77.539400000000001</v>
      </c>
      <c r="H443" s="14">
        <f>77.4026 * CHOOSE(CONTROL!$C$9, $D$9, 100%, $F$9) + CHOOSE(CONTROL!$C$27, 0.0021, 0)</f>
        <v>77.404700000000005</v>
      </c>
      <c r="I443" s="14">
        <f>77.4026 * CHOOSE(CONTROL!$C$9, $D$9, 100%, $F$9) + CHOOSE(CONTROL!$C$27, 0.0021, 0)</f>
        <v>77.404700000000005</v>
      </c>
      <c r="J443" s="14">
        <f>77.4026 * CHOOSE(CONTROL!$C$9, $D$9, 100%, $F$9) + CHOOSE(CONTROL!$C$27, 0.0021, 0)</f>
        <v>77.404700000000005</v>
      </c>
      <c r="K443" s="14">
        <f>77.4026 * CHOOSE(CONTROL!$C$9, $D$9, 100%, $F$9) + CHOOSE(CONTROL!$C$27, 0.0021, 0)</f>
        <v>77.404700000000005</v>
      </c>
      <c r="L443" s="14"/>
    </row>
    <row r="444" spans="1:12" ht="15.75" x14ac:dyDescent="0.25">
      <c r="A444" s="32">
        <v>54454</v>
      </c>
      <c r="B444" s="14">
        <f>76.8799 * CHOOSE(CONTROL!$C$9, $D$9, 100%, $F$9) + CHOOSE(CONTROL!$C$27, 0.0021, 0)</f>
        <v>76.882000000000005</v>
      </c>
      <c r="C444" s="14">
        <f>76.4476 * CHOOSE(CONTROL!$C$9, $D$9, 100%, $F$9) + CHOOSE(CONTROL!$C$27, 0.0021, 0)</f>
        <v>76.449699999999993</v>
      </c>
      <c r="D444" s="14">
        <f>76.4476 * CHOOSE(CONTROL!$C$9, $D$9, 100%, $F$9) + CHOOSE(CONTROL!$C$27, 0.0021, 0)</f>
        <v>76.449699999999993</v>
      </c>
      <c r="E444" s="14">
        <f>76.311 * CHOOSE(CONTROL!$C$9, $D$9, 100%, $F$9) + CHOOSE(CONTROL!$C$27, 0.0021, 0)</f>
        <v>76.313100000000006</v>
      </c>
      <c r="F444" s="14">
        <f>76.311 * CHOOSE(CONTROL!$C$9, $D$9, 100%, $F$9) + CHOOSE(CONTROL!$C$27, 0.0021, 0)</f>
        <v>76.313100000000006</v>
      </c>
      <c r="G444" s="14">
        <f>76.5824 * CHOOSE(CONTROL!$C$9, $D$9, 100%, $F$9) + CHOOSE(CONTROL!$C$27, 0.0021, 0)</f>
        <v>76.584500000000006</v>
      </c>
      <c r="H444" s="14">
        <f>76.4476 * CHOOSE(CONTROL!$C$9, $D$9, 100%, $F$9) + CHOOSE(CONTROL!$C$27, 0.0021, 0)</f>
        <v>76.449699999999993</v>
      </c>
      <c r="I444" s="14">
        <f>76.4476 * CHOOSE(CONTROL!$C$9, $D$9, 100%, $F$9) + CHOOSE(CONTROL!$C$27, 0.0021, 0)</f>
        <v>76.449699999999993</v>
      </c>
      <c r="J444" s="14">
        <f>76.4476 * CHOOSE(CONTROL!$C$9, $D$9, 100%, $F$9) + CHOOSE(CONTROL!$C$27, 0.0021, 0)</f>
        <v>76.449699999999993</v>
      </c>
      <c r="K444" s="14">
        <f>76.4476 * CHOOSE(CONTROL!$C$9, $D$9, 100%, $F$9) + CHOOSE(CONTROL!$C$27, 0.0021, 0)</f>
        <v>76.449699999999993</v>
      </c>
      <c r="L444" s="14"/>
    </row>
    <row r="445" spans="1:12" ht="15.75" x14ac:dyDescent="0.25">
      <c r="A445" s="32">
        <v>54482</v>
      </c>
      <c r="B445" s="14">
        <f>74.7701 * CHOOSE(CONTROL!$C$9, $D$9, 100%, $F$9) + CHOOSE(CONTROL!$C$27, 0.0021, 0)</f>
        <v>74.772199999999998</v>
      </c>
      <c r="C445" s="14">
        <f>74.3379 * CHOOSE(CONTROL!$C$9, $D$9, 100%, $F$9) + CHOOSE(CONTROL!$C$27, 0.0021, 0)</f>
        <v>74.34</v>
      </c>
      <c r="D445" s="14">
        <f>74.3379 * CHOOSE(CONTROL!$C$9, $D$9, 100%, $F$9) + CHOOSE(CONTROL!$C$27, 0.0021, 0)</f>
        <v>74.34</v>
      </c>
      <c r="E445" s="14">
        <f>74.2012 * CHOOSE(CONTROL!$C$9, $D$9, 100%, $F$9) + CHOOSE(CONTROL!$C$27, 0.0021, 0)</f>
        <v>74.203299999999999</v>
      </c>
      <c r="F445" s="14">
        <f>74.2012 * CHOOSE(CONTROL!$C$9, $D$9, 100%, $F$9) + CHOOSE(CONTROL!$C$27, 0.0021, 0)</f>
        <v>74.203299999999999</v>
      </c>
      <c r="G445" s="14">
        <f>74.4726 * CHOOSE(CONTROL!$C$9, $D$9, 100%, $F$9) + CHOOSE(CONTROL!$C$27, 0.0021, 0)</f>
        <v>74.474699999999999</v>
      </c>
      <c r="H445" s="14">
        <f>74.3379 * CHOOSE(CONTROL!$C$9, $D$9, 100%, $F$9) + CHOOSE(CONTROL!$C$27, 0.0021, 0)</f>
        <v>74.34</v>
      </c>
      <c r="I445" s="14">
        <f>74.3379 * CHOOSE(CONTROL!$C$9, $D$9, 100%, $F$9) + CHOOSE(CONTROL!$C$27, 0.0021, 0)</f>
        <v>74.34</v>
      </c>
      <c r="J445" s="14">
        <f>74.3379 * CHOOSE(CONTROL!$C$9, $D$9, 100%, $F$9) + CHOOSE(CONTROL!$C$27, 0.0021, 0)</f>
        <v>74.34</v>
      </c>
      <c r="K445" s="14">
        <f>74.3379 * CHOOSE(CONTROL!$C$9, $D$9, 100%, $F$9) + CHOOSE(CONTROL!$C$27, 0.0021, 0)</f>
        <v>74.34</v>
      </c>
      <c r="L445" s="14"/>
    </row>
    <row r="446" spans="1:12" ht="15.75" x14ac:dyDescent="0.25">
      <c r="A446" s="32">
        <v>54513</v>
      </c>
      <c r="B446" s="14">
        <f>73.8992 * CHOOSE(CONTROL!$C$9, $D$9, 100%, $F$9) + CHOOSE(CONTROL!$C$27, 0.0021, 0)</f>
        <v>73.901299999999992</v>
      </c>
      <c r="C446" s="14">
        <f>73.467 * CHOOSE(CONTROL!$C$9, $D$9, 100%, $F$9) + CHOOSE(CONTROL!$C$27, 0.0021, 0)</f>
        <v>73.469099999999997</v>
      </c>
      <c r="D446" s="14">
        <f>73.467 * CHOOSE(CONTROL!$C$9, $D$9, 100%, $F$9) + CHOOSE(CONTROL!$C$27, 0.0021, 0)</f>
        <v>73.469099999999997</v>
      </c>
      <c r="E446" s="14">
        <f>73.3303 * CHOOSE(CONTROL!$C$9, $D$9, 100%, $F$9) + CHOOSE(CONTROL!$C$27, 0.0021, 0)</f>
        <v>73.332399999999993</v>
      </c>
      <c r="F446" s="14">
        <f>73.3303 * CHOOSE(CONTROL!$C$9, $D$9, 100%, $F$9) + CHOOSE(CONTROL!$C$27, 0.0021, 0)</f>
        <v>73.332399999999993</v>
      </c>
      <c r="G446" s="14">
        <f>73.6017 * CHOOSE(CONTROL!$C$9, $D$9, 100%, $F$9) + CHOOSE(CONTROL!$C$27, 0.0021, 0)</f>
        <v>73.603799999999993</v>
      </c>
      <c r="H446" s="14">
        <f>73.467 * CHOOSE(CONTROL!$C$9, $D$9, 100%, $F$9) + CHOOSE(CONTROL!$C$27, 0.0021, 0)</f>
        <v>73.469099999999997</v>
      </c>
      <c r="I446" s="14">
        <f>73.467 * CHOOSE(CONTROL!$C$9, $D$9, 100%, $F$9) + CHOOSE(CONTROL!$C$27, 0.0021, 0)</f>
        <v>73.469099999999997</v>
      </c>
      <c r="J446" s="14">
        <f>73.467 * CHOOSE(CONTROL!$C$9, $D$9, 100%, $F$9) + CHOOSE(CONTROL!$C$27, 0.0021, 0)</f>
        <v>73.469099999999997</v>
      </c>
      <c r="K446" s="14">
        <f>73.467 * CHOOSE(CONTROL!$C$9, $D$9, 100%, $F$9) + CHOOSE(CONTROL!$C$27, 0.0021, 0)</f>
        <v>73.469099999999997</v>
      </c>
      <c r="L446" s="14"/>
    </row>
    <row r="447" spans="1:12" ht="15.75" x14ac:dyDescent="0.25">
      <c r="A447" s="32">
        <v>54543</v>
      </c>
      <c r="B447" s="14">
        <f>72.8594 * CHOOSE(CONTROL!$C$9, $D$9, 100%, $F$9) + CHOOSE(CONTROL!$C$27, 0.0021, 0)</f>
        <v>72.861499999999992</v>
      </c>
      <c r="C447" s="14">
        <f>72.4271 * CHOOSE(CONTROL!$C$9, $D$9, 100%, $F$9) + CHOOSE(CONTROL!$C$27, 0.0021, 0)</f>
        <v>72.429199999999994</v>
      </c>
      <c r="D447" s="14">
        <f>72.4271 * CHOOSE(CONTROL!$C$9, $D$9, 100%, $F$9) + CHOOSE(CONTROL!$C$27, 0.0021, 0)</f>
        <v>72.429199999999994</v>
      </c>
      <c r="E447" s="14">
        <f>72.2905 * CHOOSE(CONTROL!$C$9, $D$9, 100%, $F$9) + CHOOSE(CONTROL!$C$27, 0.0021, 0)</f>
        <v>72.292599999999993</v>
      </c>
      <c r="F447" s="14">
        <f>72.2905 * CHOOSE(CONTROL!$C$9, $D$9, 100%, $F$9) + CHOOSE(CONTROL!$C$27, 0.0021, 0)</f>
        <v>72.292599999999993</v>
      </c>
      <c r="G447" s="14">
        <f>72.5618 * CHOOSE(CONTROL!$C$9, $D$9, 100%, $F$9) + CHOOSE(CONTROL!$C$27, 0.0021, 0)</f>
        <v>72.563900000000004</v>
      </c>
      <c r="H447" s="14">
        <f>72.4271 * CHOOSE(CONTROL!$C$9, $D$9, 100%, $F$9) + CHOOSE(CONTROL!$C$27, 0.0021, 0)</f>
        <v>72.429199999999994</v>
      </c>
      <c r="I447" s="14">
        <f>72.4271 * CHOOSE(CONTROL!$C$9, $D$9, 100%, $F$9) + CHOOSE(CONTROL!$C$27, 0.0021, 0)</f>
        <v>72.429199999999994</v>
      </c>
      <c r="J447" s="14">
        <f>72.4271 * CHOOSE(CONTROL!$C$9, $D$9, 100%, $F$9) + CHOOSE(CONTROL!$C$27, 0.0021, 0)</f>
        <v>72.429199999999994</v>
      </c>
      <c r="K447" s="14">
        <f>72.4271 * CHOOSE(CONTROL!$C$9, $D$9, 100%, $F$9) + CHOOSE(CONTROL!$C$27, 0.0021, 0)</f>
        <v>72.429199999999994</v>
      </c>
      <c r="L447" s="14"/>
    </row>
    <row r="448" spans="1:12" ht="15.75" x14ac:dyDescent="0.25">
      <c r="A448" s="32">
        <v>54574</v>
      </c>
      <c r="B448" s="14">
        <f>74.3413 * CHOOSE(CONTROL!$C$9, $D$9, 100%, $F$9) + CHOOSE(CONTROL!$C$27, 0.0021, 0)</f>
        <v>74.343400000000003</v>
      </c>
      <c r="C448" s="14">
        <f>73.9091 * CHOOSE(CONTROL!$C$9, $D$9, 100%, $F$9) + CHOOSE(CONTROL!$C$27, 0.0021, 0)</f>
        <v>73.911199999999994</v>
      </c>
      <c r="D448" s="14">
        <f>73.9091 * CHOOSE(CONTROL!$C$9, $D$9, 100%, $F$9) + CHOOSE(CONTROL!$C$27, 0.0021, 0)</f>
        <v>73.911199999999994</v>
      </c>
      <c r="E448" s="14">
        <f>73.7724 * CHOOSE(CONTROL!$C$9, $D$9, 100%, $F$9) + CHOOSE(CONTROL!$C$27, 0.0021, 0)</f>
        <v>73.774500000000003</v>
      </c>
      <c r="F448" s="14">
        <f>73.7724 * CHOOSE(CONTROL!$C$9, $D$9, 100%, $F$9) + CHOOSE(CONTROL!$C$27, 0.0021, 0)</f>
        <v>73.774500000000003</v>
      </c>
      <c r="G448" s="14">
        <f>74.0438 * CHOOSE(CONTROL!$C$9, $D$9, 100%, $F$9) + CHOOSE(CONTROL!$C$27, 0.0021, 0)</f>
        <v>74.045900000000003</v>
      </c>
      <c r="H448" s="14">
        <f>73.9091 * CHOOSE(CONTROL!$C$9, $D$9, 100%, $F$9) + CHOOSE(CONTROL!$C$27, 0.0021, 0)</f>
        <v>73.911199999999994</v>
      </c>
      <c r="I448" s="14">
        <f>73.9091 * CHOOSE(CONTROL!$C$9, $D$9, 100%, $F$9) + CHOOSE(CONTROL!$C$27, 0.0021, 0)</f>
        <v>73.911199999999994</v>
      </c>
      <c r="J448" s="14">
        <f>73.9091 * CHOOSE(CONTROL!$C$9, $D$9, 100%, $F$9) + CHOOSE(CONTROL!$C$27, 0.0021, 0)</f>
        <v>73.911199999999994</v>
      </c>
      <c r="K448" s="14">
        <f>73.9091 * CHOOSE(CONTROL!$C$9, $D$9, 100%, $F$9) + CHOOSE(CONTROL!$C$27, 0.0021, 0)</f>
        <v>73.911199999999994</v>
      </c>
      <c r="L448" s="14"/>
    </row>
    <row r="449" spans="1:12" ht="15.75" x14ac:dyDescent="0.25">
      <c r="A449" s="32">
        <v>54604</v>
      </c>
      <c r="B449" s="14">
        <f>75.2289 * CHOOSE(CONTROL!$C$9, $D$9, 100%, $F$9) + CHOOSE(CONTROL!$C$27, 0.0021, 0)</f>
        <v>75.230999999999995</v>
      </c>
      <c r="C449" s="14">
        <f>74.7967 * CHOOSE(CONTROL!$C$9, $D$9, 100%, $F$9) + CHOOSE(CONTROL!$C$27, 0.0021, 0)</f>
        <v>74.7988</v>
      </c>
      <c r="D449" s="14">
        <f>74.7967 * CHOOSE(CONTROL!$C$9, $D$9, 100%, $F$9) + CHOOSE(CONTROL!$C$27, 0.0021, 0)</f>
        <v>74.7988</v>
      </c>
      <c r="E449" s="14">
        <f>74.66 * CHOOSE(CONTROL!$C$9, $D$9, 100%, $F$9) + CHOOSE(CONTROL!$C$27, 0.0021, 0)</f>
        <v>74.662099999999995</v>
      </c>
      <c r="F449" s="14">
        <f>74.66 * CHOOSE(CONTROL!$C$9, $D$9, 100%, $F$9) + CHOOSE(CONTROL!$C$27, 0.0021, 0)</f>
        <v>74.662099999999995</v>
      </c>
      <c r="G449" s="14">
        <f>74.9314 * CHOOSE(CONTROL!$C$9, $D$9, 100%, $F$9) + CHOOSE(CONTROL!$C$27, 0.0021, 0)</f>
        <v>74.933499999999995</v>
      </c>
      <c r="H449" s="14">
        <f>74.7967 * CHOOSE(CONTROL!$C$9, $D$9, 100%, $F$9) + CHOOSE(CONTROL!$C$27, 0.0021, 0)</f>
        <v>74.7988</v>
      </c>
      <c r="I449" s="14">
        <f>74.7967 * CHOOSE(CONTROL!$C$9, $D$9, 100%, $F$9) + CHOOSE(CONTROL!$C$27, 0.0021, 0)</f>
        <v>74.7988</v>
      </c>
      <c r="J449" s="14">
        <f>74.7967 * CHOOSE(CONTROL!$C$9, $D$9, 100%, $F$9) + CHOOSE(CONTROL!$C$27, 0.0021, 0)</f>
        <v>74.7988</v>
      </c>
      <c r="K449" s="14">
        <f>74.7967 * CHOOSE(CONTROL!$C$9, $D$9, 100%, $F$9) + CHOOSE(CONTROL!$C$27, 0.0021, 0)</f>
        <v>74.7988</v>
      </c>
      <c r="L449" s="14"/>
    </row>
    <row r="450" spans="1:12" ht="15.75" x14ac:dyDescent="0.25">
      <c r="A450" s="32">
        <v>54635</v>
      </c>
      <c r="B450" s="14">
        <f>76.6932 * CHOOSE(CONTROL!$C$9, $D$9, 100%, $F$9) + CHOOSE(CONTROL!$C$27, 0.0021, 0)</f>
        <v>76.695300000000003</v>
      </c>
      <c r="C450" s="14">
        <f>76.2609 * CHOOSE(CONTROL!$C$9, $D$9, 100%, $F$9) + CHOOSE(CONTROL!$C$27, 0.0021, 0)</f>
        <v>76.263000000000005</v>
      </c>
      <c r="D450" s="14">
        <f>76.2609 * CHOOSE(CONTROL!$C$9, $D$9, 100%, $F$9) + CHOOSE(CONTROL!$C$27, 0.0021, 0)</f>
        <v>76.263000000000005</v>
      </c>
      <c r="E450" s="14">
        <f>76.1243 * CHOOSE(CONTROL!$C$9, $D$9, 100%, $F$9) + CHOOSE(CONTROL!$C$27, 0.0021, 0)</f>
        <v>76.126400000000004</v>
      </c>
      <c r="F450" s="14">
        <f>76.1243 * CHOOSE(CONTROL!$C$9, $D$9, 100%, $F$9) + CHOOSE(CONTROL!$C$27, 0.0021, 0)</f>
        <v>76.126400000000004</v>
      </c>
      <c r="G450" s="14">
        <f>76.3957 * CHOOSE(CONTROL!$C$9, $D$9, 100%, $F$9) + CHOOSE(CONTROL!$C$27, 0.0021, 0)</f>
        <v>76.397800000000004</v>
      </c>
      <c r="H450" s="14">
        <f>76.2609 * CHOOSE(CONTROL!$C$9, $D$9, 100%, $F$9) + CHOOSE(CONTROL!$C$27, 0.0021, 0)</f>
        <v>76.263000000000005</v>
      </c>
      <c r="I450" s="14">
        <f>76.2609 * CHOOSE(CONTROL!$C$9, $D$9, 100%, $F$9) + CHOOSE(CONTROL!$C$27, 0.0021, 0)</f>
        <v>76.263000000000005</v>
      </c>
      <c r="J450" s="14">
        <f>76.2609 * CHOOSE(CONTROL!$C$9, $D$9, 100%, $F$9) + CHOOSE(CONTROL!$C$27, 0.0021, 0)</f>
        <v>76.263000000000005</v>
      </c>
      <c r="K450" s="14">
        <f>76.2609 * CHOOSE(CONTROL!$C$9, $D$9, 100%, $F$9) + CHOOSE(CONTROL!$C$27, 0.0021, 0)</f>
        <v>76.263000000000005</v>
      </c>
      <c r="L450" s="14"/>
    </row>
    <row r="451" spans="1:12" ht="15.75" x14ac:dyDescent="0.25">
      <c r="A451" s="32">
        <v>54666</v>
      </c>
      <c r="B451" s="14">
        <f>77.1401 * CHOOSE(CONTROL!$C$9, $D$9, 100%, $F$9) + CHOOSE(CONTROL!$C$27, 0.0021, 0)</f>
        <v>77.142200000000003</v>
      </c>
      <c r="C451" s="14">
        <f>76.7079 * CHOOSE(CONTROL!$C$9, $D$9, 100%, $F$9) + CHOOSE(CONTROL!$C$27, 0.0021, 0)</f>
        <v>76.709999999999994</v>
      </c>
      <c r="D451" s="14">
        <f>76.7079 * CHOOSE(CONTROL!$C$9, $D$9, 100%, $F$9) + CHOOSE(CONTROL!$C$27, 0.0021, 0)</f>
        <v>76.709999999999994</v>
      </c>
      <c r="E451" s="14">
        <f>76.5712 * CHOOSE(CONTROL!$C$9, $D$9, 100%, $F$9) + CHOOSE(CONTROL!$C$27, 0.0021, 0)</f>
        <v>76.573300000000003</v>
      </c>
      <c r="F451" s="14">
        <f>76.5712 * CHOOSE(CONTROL!$C$9, $D$9, 100%, $F$9) + CHOOSE(CONTROL!$C$27, 0.0021, 0)</f>
        <v>76.573300000000003</v>
      </c>
      <c r="G451" s="14">
        <f>76.8426 * CHOOSE(CONTROL!$C$9, $D$9, 100%, $F$9) + CHOOSE(CONTROL!$C$27, 0.0021, 0)</f>
        <v>76.844700000000003</v>
      </c>
      <c r="H451" s="14">
        <f>76.7079 * CHOOSE(CONTROL!$C$9, $D$9, 100%, $F$9) + CHOOSE(CONTROL!$C$27, 0.0021, 0)</f>
        <v>76.709999999999994</v>
      </c>
      <c r="I451" s="14">
        <f>76.7079 * CHOOSE(CONTROL!$C$9, $D$9, 100%, $F$9) + CHOOSE(CONTROL!$C$27, 0.0021, 0)</f>
        <v>76.709999999999994</v>
      </c>
      <c r="J451" s="14">
        <f>76.7079 * CHOOSE(CONTROL!$C$9, $D$9, 100%, $F$9) + CHOOSE(CONTROL!$C$27, 0.0021, 0)</f>
        <v>76.709999999999994</v>
      </c>
      <c r="K451" s="14">
        <f>76.7079 * CHOOSE(CONTROL!$C$9, $D$9, 100%, $F$9) + CHOOSE(CONTROL!$C$27, 0.0021, 0)</f>
        <v>76.709999999999994</v>
      </c>
      <c r="L451" s="14"/>
    </row>
    <row r="452" spans="1:12" ht="15.75" x14ac:dyDescent="0.25">
      <c r="A452" s="32">
        <v>54696</v>
      </c>
      <c r="B452" s="14">
        <f>78.6622 * CHOOSE(CONTROL!$C$9, $D$9, 100%, $F$9) + CHOOSE(CONTROL!$C$27, 0.0021, 0)</f>
        <v>78.664299999999997</v>
      </c>
      <c r="C452" s="14">
        <f>78.2299 * CHOOSE(CONTROL!$C$9, $D$9, 100%, $F$9) + CHOOSE(CONTROL!$C$27, 0.0021, 0)</f>
        <v>78.231999999999999</v>
      </c>
      <c r="D452" s="14">
        <f>78.2299 * CHOOSE(CONTROL!$C$9, $D$9, 100%, $F$9) + CHOOSE(CONTROL!$C$27, 0.0021, 0)</f>
        <v>78.231999999999999</v>
      </c>
      <c r="E452" s="14">
        <f>78.0932 * CHOOSE(CONTROL!$C$9, $D$9, 100%, $F$9) + CHOOSE(CONTROL!$C$27, 0.0021, 0)</f>
        <v>78.095299999999995</v>
      </c>
      <c r="F452" s="14">
        <f>78.0932 * CHOOSE(CONTROL!$C$9, $D$9, 100%, $F$9) + CHOOSE(CONTROL!$C$27, 0.0021, 0)</f>
        <v>78.095299999999995</v>
      </c>
      <c r="G452" s="14">
        <f>78.3646 * CHOOSE(CONTROL!$C$9, $D$9, 100%, $F$9) + CHOOSE(CONTROL!$C$27, 0.0021, 0)</f>
        <v>78.366699999999994</v>
      </c>
      <c r="H452" s="14">
        <f>78.2299 * CHOOSE(CONTROL!$C$9, $D$9, 100%, $F$9) + CHOOSE(CONTROL!$C$27, 0.0021, 0)</f>
        <v>78.231999999999999</v>
      </c>
      <c r="I452" s="14">
        <f>78.2299 * CHOOSE(CONTROL!$C$9, $D$9, 100%, $F$9) + CHOOSE(CONTROL!$C$27, 0.0021, 0)</f>
        <v>78.231999999999999</v>
      </c>
      <c r="J452" s="14">
        <f>78.2299 * CHOOSE(CONTROL!$C$9, $D$9, 100%, $F$9) + CHOOSE(CONTROL!$C$27, 0.0021, 0)</f>
        <v>78.231999999999999</v>
      </c>
      <c r="K452" s="14">
        <f>78.2299 * CHOOSE(CONTROL!$C$9, $D$9, 100%, $F$9) + CHOOSE(CONTROL!$C$27, 0.0021, 0)</f>
        <v>78.231999999999999</v>
      </c>
      <c r="L452" s="14"/>
    </row>
    <row r="453" spans="1:12" ht="15.75" x14ac:dyDescent="0.25">
      <c r="A453" s="32">
        <v>54727</v>
      </c>
      <c r="B453" s="14">
        <f>80.5888 * CHOOSE(CONTROL!$C$9, $D$9, 100%, $F$9) + CHOOSE(CONTROL!$C$27, 0.0021, 0)</f>
        <v>80.590900000000005</v>
      </c>
      <c r="C453" s="14">
        <f>80.1565 * CHOOSE(CONTROL!$C$9, $D$9, 100%, $F$9) + CHOOSE(CONTROL!$C$27, 0.0021, 0)</f>
        <v>80.158599999999993</v>
      </c>
      <c r="D453" s="14">
        <f>80.1565 * CHOOSE(CONTROL!$C$9, $D$9, 100%, $F$9) + CHOOSE(CONTROL!$C$27, 0.0021, 0)</f>
        <v>80.158599999999993</v>
      </c>
      <c r="E453" s="14">
        <f>80.0199 * CHOOSE(CONTROL!$C$9, $D$9, 100%, $F$9) + CHOOSE(CONTROL!$C$27, 0.0021, 0)</f>
        <v>80.022000000000006</v>
      </c>
      <c r="F453" s="14">
        <f>80.0199 * CHOOSE(CONTROL!$C$9, $D$9, 100%, $F$9) + CHOOSE(CONTROL!$C$27, 0.0021, 0)</f>
        <v>80.022000000000006</v>
      </c>
      <c r="G453" s="14">
        <f>80.2912 * CHOOSE(CONTROL!$C$9, $D$9, 100%, $F$9) + CHOOSE(CONTROL!$C$27, 0.0021, 0)</f>
        <v>80.293300000000002</v>
      </c>
      <c r="H453" s="14">
        <f>80.1565 * CHOOSE(CONTROL!$C$9, $D$9, 100%, $F$9) + CHOOSE(CONTROL!$C$27, 0.0021, 0)</f>
        <v>80.158599999999993</v>
      </c>
      <c r="I453" s="14">
        <f>80.1565 * CHOOSE(CONTROL!$C$9, $D$9, 100%, $F$9) + CHOOSE(CONTROL!$C$27, 0.0021, 0)</f>
        <v>80.158599999999993</v>
      </c>
      <c r="J453" s="14">
        <f>80.1565 * CHOOSE(CONTROL!$C$9, $D$9, 100%, $F$9) + CHOOSE(CONTROL!$C$27, 0.0021, 0)</f>
        <v>80.158599999999993</v>
      </c>
      <c r="K453" s="14">
        <f>80.1565 * CHOOSE(CONTROL!$C$9, $D$9, 100%, $F$9) + CHOOSE(CONTROL!$C$27, 0.0021, 0)</f>
        <v>80.158599999999993</v>
      </c>
      <c r="L453" s="14"/>
    </row>
    <row r="454" spans="1:12" ht="15.75" x14ac:dyDescent="0.25">
      <c r="A454" s="32">
        <v>54757</v>
      </c>
      <c r="B454" s="14">
        <f>80.7696 * CHOOSE(CONTROL!$C$9, $D$9, 100%, $F$9) + CHOOSE(CONTROL!$C$27, 0.0021, 0)</f>
        <v>80.771699999999996</v>
      </c>
      <c r="C454" s="14">
        <f>80.3374 * CHOOSE(CONTROL!$C$9, $D$9, 100%, $F$9) + CHOOSE(CONTROL!$C$27, 0.0021, 0)</f>
        <v>80.339500000000001</v>
      </c>
      <c r="D454" s="14">
        <f>80.3374 * CHOOSE(CONTROL!$C$9, $D$9, 100%, $F$9) + CHOOSE(CONTROL!$C$27, 0.0021, 0)</f>
        <v>80.339500000000001</v>
      </c>
      <c r="E454" s="14">
        <f>80.2007 * CHOOSE(CONTROL!$C$9, $D$9, 100%, $F$9) + CHOOSE(CONTROL!$C$27, 0.0021, 0)</f>
        <v>80.202799999999996</v>
      </c>
      <c r="F454" s="14">
        <f>80.2007 * CHOOSE(CONTROL!$C$9, $D$9, 100%, $F$9) + CHOOSE(CONTROL!$C$27, 0.0021, 0)</f>
        <v>80.202799999999996</v>
      </c>
      <c r="G454" s="14">
        <f>80.4721 * CHOOSE(CONTROL!$C$9, $D$9, 100%, $F$9) + CHOOSE(CONTROL!$C$27, 0.0021, 0)</f>
        <v>80.474199999999996</v>
      </c>
      <c r="H454" s="14">
        <f>80.3374 * CHOOSE(CONTROL!$C$9, $D$9, 100%, $F$9) + CHOOSE(CONTROL!$C$27, 0.0021, 0)</f>
        <v>80.339500000000001</v>
      </c>
      <c r="I454" s="14">
        <f>80.3374 * CHOOSE(CONTROL!$C$9, $D$9, 100%, $F$9) + CHOOSE(CONTROL!$C$27, 0.0021, 0)</f>
        <v>80.339500000000001</v>
      </c>
      <c r="J454" s="14">
        <f>80.3374 * CHOOSE(CONTROL!$C$9, $D$9, 100%, $F$9) + CHOOSE(CONTROL!$C$27, 0.0021, 0)</f>
        <v>80.339500000000001</v>
      </c>
      <c r="K454" s="14">
        <f>80.3374 * CHOOSE(CONTROL!$C$9, $D$9, 100%, $F$9) + CHOOSE(CONTROL!$C$27, 0.0021, 0)</f>
        <v>80.339500000000001</v>
      </c>
      <c r="L454" s="14"/>
    </row>
    <row r="455" spans="1:12" ht="15.75" x14ac:dyDescent="0.25">
      <c r="A455" s="32">
        <v>54788</v>
      </c>
      <c r="B455" s="14">
        <f>79.2309 * CHOOSE(CONTROL!$C$9, $D$9, 100%, $F$9) + CHOOSE(CONTROL!$C$27, 0.0021, 0)</f>
        <v>79.233000000000004</v>
      </c>
      <c r="C455" s="14">
        <f>78.7986 * CHOOSE(CONTROL!$C$9, $D$9, 100%, $F$9) + CHOOSE(CONTROL!$C$27, 0.0021, 0)</f>
        <v>78.800699999999992</v>
      </c>
      <c r="D455" s="14">
        <f>78.7986 * CHOOSE(CONTROL!$C$9, $D$9, 100%, $F$9) + CHOOSE(CONTROL!$C$27, 0.0021, 0)</f>
        <v>78.800699999999992</v>
      </c>
      <c r="E455" s="14">
        <f>78.662 * CHOOSE(CONTROL!$C$9, $D$9, 100%, $F$9) + CHOOSE(CONTROL!$C$27, 0.0021, 0)</f>
        <v>78.664100000000005</v>
      </c>
      <c r="F455" s="14">
        <f>78.662 * CHOOSE(CONTROL!$C$9, $D$9, 100%, $F$9) + CHOOSE(CONTROL!$C$27, 0.0021, 0)</f>
        <v>78.664100000000005</v>
      </c>
      <c r="G455" s="14">
        <f>78.9334 * CHOOSE(CONTROL!$C$9, $D$9, 100%, $F$9) + CHOOSE(CONTROL!$C$27, 0.0021, 0)</f>
        <v>78.935500000000005</v>
      </c>
      <c r="H455" s="14">
        <f>78.7986 * CHOOSE(CONTROL!$C$9, $D$9, 100%, $F$9) + CHOOSE(CONTROL!$C$27, 0.0021, 0)</f>
        <v>78.800699999999992</v>
      </c>
      <c r="I455" s="14">
        <f>78.7986 * CHOOSE(CONTROL!$C$9, $D$9, 100%, $F$9) + CHOOSE(CONTROL!$C$27, 0.0021, 0)</f>
        <v>78.800699999999992</v>
      </c>
      <c r="J455" s="14">
        <f>78.7986 * CHOOSE(CONTROL!$C$9, $D$9, 100%, $F$9) + CHOOSE(CONTROL!$C$27, 0.0021, 0)</f>
        <v>78.800699999999992</v>
      </c>
      <c r="K455" s="14">
        <f>78.7986 * CHOOSE(CONTROL!$C$9, $D$9, 100%, $F$9) + CHOOSE(CONTROL!$C$27, 0.0021, 0)</f>
        <v>78.800699999999992</v>
      </c>
      <c r="L455" s="14"/>
    </row>
    <row r="456" spans="1:12" ht="15.75" x14ac:dyDescent="0.25">
      <c r="A456" s="32">
        <v>54819</v>
      </c>
      <c r="B456" s="14">
        <f>78.2583 * CHOOSE(CONTROL!$C$9, $D$9, 100%, $F$9) + CHOOSE(CONTROL!$C$27, 0.0021, 0)</f>
        <v>78.260400000000004</v>
      </c>
      <c r="C456" s="14">
        <f>77.8261 * CHOOSE(CONTROL!$C$9, $D$9, 100%, $F$9) + CHOOSE(CONTROL!$C$27, 0.0021, 0)</f>
        <v>77.828199999999995</v>
      </c>
      <c r="D456" s="14">
        <f>77.8261 * CHOOSE(CONTROL!$C$9, $D$9, 100%, $F$9) + CHOOSE(CONTROL!$C$27, 0.0021, 0)</f>
        <v>77.828199999999995</v>
      </c>
      <c r="E456" s="14">
        <f>77.6894 * CHOOSE(CONTROL!$C$9, $D$9, 100%, $F$9) + CHOOSE(CONTROL!$C$27, 0.0021, 0)</f>
        <v>77.691500000000005</v>
      </c>
      <c r="F456" s="14">
        <f>77.6894 * CHOOSE(CONTROL!$C$9, $D$9, 100%, $F$9) + CHOOSE(CONTROL!$C$27, 0.0021, 0)</f>
        <v>77.691500000000005</v>
      </c>
      <c r="G456" s="14">
        <f>77.9608 * CHOOSE(CONTROL!$C$9, $D$9, 100%, $F$9) + CHOOSE(CONTROL!$C$27, 0.0021, 0)</f>
        <v>77.962900000000005</v>
      </c>
      <c r="H456" s="14">
        <f>77.8261 * CHOOSE(CONTROL!$C$9, $D$9, 100%, $F$9) + CHOOSE(CONTROL!$C$27, 0.0021, 0)</f>
        <v>77.828199999999995</v>
      </c>
      <c r="I456" s="14">
        <f>77.8261 * CHOOSE(CONTROL!$C$9, $D$9, 100%, $F$9) + CHOOSE(CONTROL!$C$27, 0.0021, 0)</f>
        <v>77.828199999999995</v>
      </c>
      <c r="J456" s="14">
        <f>77.8261 * CHOOSE(CONTROL!$C$9, $D$9, 100%, $F$9) + CHOOSE(CONTROL!$C$27, 0.0021, 0)</f>
        <v>77.828199999999995</v>
      </c>
      <c r="K456" s="14">
        <f>77.8261 * CHOOSE(CONTROL!$C$9, $D$9, 100%, $F$9) + CHOOSE(CONTROL!$C$27, 0.0021, 0)</f>
        <v>77.828199999999995</v>
      </c>
      <c r="L456" s="14"/>
    </row>
    <row r="457" spans="1:12" ht="15.75" x14ac:dyDescent="0.25">
      <c r="A457" s="32">
        <v>54847</v>
      </c>
      <c r="B457" s="14">
        <f>76.1096 * CHOOSE(CONTROL!$C$9, $D$9, 100%, $F$9) + CHOOSE(CONTROL!$C$27, 0.0021, 0)</f>
        <v>76.111699999999999</v>
      </c>
      <c r="C457" s="14">
        <f>75.6773 * CHOOSE(CONTROL!$C$9, $D$9, 100%, $F$9) + CHOOSE(CONTROL!$C$27, 0.0021, 0)</f>
        <v>75.679400000000001</v>
      </c>
      <c r="D457" s="14">
        <f>75.6773 * CHOOSE(CONTROL!$C$9, $D$9, 100%, $F$9) + CHOOSE(CONTROL!$C$27, 0.0021, 0)</f>
        <v>75.679400000000001</v>
      </c>
      <c r="E457" s="14">
        <f>75.5407 * CHOOSE(CONTROL!$C$9, $D$9, 100%, $F$9) + CHOOSE(CONTROL!$C$27, 0.0021, 0)</f>
        <v>75.5428</v>
      </c>
      <c r="F457" s="14">
        <f>75.5407 * CHOOSE(CONTROL!$C$9, $D$9, 100%, $F$9) + CHOOSE(CONTROL!$C$27, 0.0021, 0)</f>
        <v>75.5428</v>
      </c>
      <c r="G457" s="14">
        <f>75.8121 * CHOOSE(CONTROL!$C$9, $D$9, 100%, $F$9) + CHOOSE(CONTROL!$C$27, 0.0021, 0)</f>
        <v>75.8142</v>
      </c>
      <c r="H457" s="14">
        <f>75.6773 * CHOOSE(CONTROL!$C$9, $D$9, 100%, $F$9) + CHOOSE(CONTROL!$C$27, 0.0021, 0)</f>
        <v>75.679400000000001</v>
      </c>
      <c r="I457" s="14">
        <f>75.6773 * CHOOSE(CONTROL!$C$9, $D$9, 100%, $F$9) + CHOOSE(CONTROL!$C$27, 0.0021, 0)</f>
        <v>75.679400000000001</v>
      </c>
      <c r="J457" s="14">
        <f>75.6773 * CHOOSE(CONTROL!$C$9, $D$9, 100%, $F$9) + CHOOSE(CONTROL!$C$27, 0.0021, 0)</f>
        <v>75.679400000000001</v>
      </c>
      <c r="K457" s="14">
        <f>75.6773 * CHOOSE(CONTROL!$C$9, $D$9, 100%, $F$9) + CHOOSE(CONTROL!$C$27, 0.0021, 0)</f>
        <v>75.679400000000001</v>
      </c>
      <c r="L457" s="14"/>
    </row>
    <row r="458" spans="1:12" ht="15.75" x14ac:dyDescent="0.25">
      <c r="A458" s="32">
        <v>54878</v>
      </c>
      <c r="B458" s="14">
        <f>75.2226 * CHOOSE(CONTROL!$C$9, $D$9, 100%, $F$9) + CHOOSE(CONTROL!$C$27, 0.0021, 0)</f>
        <v>75.224699999999999</v>
      </c>
      <c r="C458" s="14">
        <f>74.7903 * CHOOSE(CONTROL!$C$9, $D$9, 100%, $F$9) + CHOOSE(CONTROL!$C$27, 0.0021, 0)</f>
        <v>74.792400000000001</v>
      </c>
      <c r="D458" s="14">
        <f>74.7903 * CHOOSE(CONTROL!$C$9, $D$9, 100%, $F$9) + CHOOSE(CONTROL!$C$27, 0.0021, 0)</f>
        <v>74.792400000000001</v>
      </c>
      <c r="E458" s="14">
        <f>74.6537 * CHOOSE(CONTROL!$C$9, $D$9, 100%, $F$9) + CHOOSE(CONTROL!$C$27, 0.0021, 0)</f>
        <v>74.655799999999999</v>
      </c>
      <c r="F458" s="14">
        <f>74.6537 * CHOOSE(CONTROL!$C$9, $D$9, 100%, $F$9) + CHOOSE(CONTROL!$C$27, 0.0021, 0)</f>
        <v>74.655799999999999</v>
      </c>
      <c r="G458" s="14">
        <f>74.9251 * CHOOSE(CONTROL!$C$9, $D$9, 100%, $F$9) + CHOOSE(CONTROL!$C$27, 0.0021, 0)</f>
        <v>74.927199999999999</v>
      </c>
      <c r="H458" s="14">
        <f>74.7903 * CHOOSE(CONTROL!$C$9, $D$9, 100%, $F$9) + CHOOSE(CONTROL!$C$27, 0.0021, 0)</f>
        <v>74.792400000000001</v>
      </c>
      <c r="I458" s="14">
        <f>74.7903 * CHOOSE(CONTROL!$C$9, $D$9, 100%, $F$9) + CHOOSE(CONTROL!$C$27, 0.0021, 0)</f>
        <v>74.792400000000001</v>
      </c>
      <c r="J458" s="14">
        <f>74.7903 * CHOOSE(CONTROL!$C$9, $D$9, 100%, $F$9) + CHOOSE(CONTROL!$C$27, 0.0021, 0)</f>
        <v>74.792400000000001</v>
      </c>
      <c r="K458" s="14">
        <f>74.7903 * CHOOSE(CONTROL!$C$9, $D$9, 100%, $F$9) + CHOOSE(CONTROL!$C$27, 0.0021, 0)</f>
        <v>74.792400000000001</v>
      </c>
      <c r="L458" s="14"/>
    </row>
    <row r="459" spans="1:12" ht="15.75" x14ac:dyDescent="0.25">
      <c r="A459" s="32">
        <v>54908</v>
      </c>
      <c r="B459" s="14">
        <f>74.1635 * CHOOSE(CONTROL!$C$9, $D$9, 100%, $F$9) + CHOOSE(CONTROL!$C$27, 0.0021, 0)</f>
        <v>74.165599999999998</v>
      </c>
      <c r="C459" s="14">
        <f>73.7313 * CHOOSE(CONTROL!$C$9, $D$9, 100%, $F$9) + CHOOSE(CONTROL!$C$27, 0.0021, 0)</f>
        <v>73.733400000000003</v>
      </c>
      <c r="D459" s="14">
        <f>73.7313 * CHOOSE(CONTROL!$C$9, $D$9, 100%, $F$9) + CHOOSE(CONTROL!$C$27, 0.0021, 0)</f>
        <v>73.733400000000003</v>
      </c>
      <c r="E459" s="14">
        <f>73.5946 * CHOOSE(CONTROL!$C$9, $D$9, 100%, $F$9) + CHOOSE(CONTROL!$C$27, 0.0021, 0)</f>
        <v>73.596699999999998</v>
      </c>
      <c r="F459" s="14">
        <f>73.5946 * CHOOSE(CONTROL!$C$9, $D$9, 100%, $F$9) + CHOOSE(CONTROL!$C$27, 0.0021, 0)</f>
        <v>73.596699999999998</v>
      </c>
      <c r="G459" s="14">
        <f>73.866 * CHOOSE(CONTROL!$C$9, $D$9, 100%, $F$9) + CHOOSE(CONTROL!$C$27, 0.0021, 0)</f>
        <v>73.868099999999998</v>
      </c>
      <c r="H459" s="14">
        <f>73.7313 * CHOOSE(CONTROL!$C$9, $D$9, 100%, $F$9) + CHOOSE(CONTROL!$C$27, 0.0021, 0)</f>
        <v>73.733400000000003</v>
      </c>
      <c r="I459" s="14">
        <f>73.7313 * CHOOSE(CONTROL!$C$9, $D$9, 100%, $F$9) + CHOOSE(CONTROL!$C$27, 0.0021, 0)</f>
        <v>73.733400000000003</v>
      </c>
      <c r="J459" s="14">
        <f>73.7313 * CHOOSE(CONTROL!$C$9, $D$9, 100%, $F$9) + CHOOSE(CONTROL!$C$27, 0.0021, 0)</f>
        <v>73.733400000000003</v>
      </c>
      <c r="K459" s="14">
        <f>73.7313 * CHOOSE(CONTROL!$C$9, $D$9, 100%, $F$9) + CHOOSE(CONTROL!$C$27, 0.0021, 0)</f>
        <v>73.733400000000003</v>
      </c>
      <c r="L459" s="14"/>
    </row>
    <row r="460" spans="1:12" ht="15.75" x14ac:dyDescent="0.25">
      <c r="A460" s="32">
        <v>54939</v>
      </c>
      <c r="B460" s="14">
        <f>75.6728 * CHOOSE(CONTROL!$C$9, $D$9, 100%, $F$9) + CHOOSE(CONTROL!$C$27, 0.0021, 0)</f>
        <v>75.674899999999994</v>
      </c>
      <c r="C460" s="14">
        <f>75.2406 * CHOOSE(CONTROL!$C$9, $D$9, 100%, $F$9) + CHOOSE(CONTROL!$C$27, 0.0021, 0)</f>
        <v>75.242699999999999</v>
      </c>
      <c r="D460" s="14">
        <f>75.2406 * CHOOSE(CONTROL!$C$9, $D$9, 100%, $F$9) + CHOOSE(CONTROL!$C$27, 0.0021, 0)</f>
        <v>75.242699999999999</v>
      </c>
      <c r="E460" s="14">
        <f>75.1039 * CHOOSE(CONTROL!$C$9, $D$9, 100%, $F$9) + CHOOSE(CONTROL!$C$27, 0.0021, 0)</f>
        <v>75.105999999999995</v>
      </c>
      <c r="F460" s="14">
        <f>75.1039 * CHOOSE(CONTROL!$C$9, $D$9, 100%, $F$9) + CHOOSE(CONTROL!$C$27, 0.0021, 0)</f>
        <v>75.105999999999995</v>
      </c>
      <c r="G460" s="14">
        <f>75.3753 * CHOOSE(CONTROL!$C$9, $D$9, 100%, $F$9) + CHOOSE(CONTROL!$C$27, 0.0021, 0)</f>
        <v>75.377399999999994</v>
      </c>
      <c r="H460" s="14">
        <f>75.2406 * CHOOSE(CONTROL!$C$9, $D$9, 100%, $F$9) + CHOOSE(CONTROL!$C$27, 0.0021, 0)</f>
        <v>75.242699999999999</v>
      </c>
      <c r="I460" s="14">
        <f>75.2406 * CHOOSE(CONTROL!$C$9, $D$9, 100%, $F$9) + CHOOSE(CONTROL!$C$27, 0.0021, 0)</f>
        <v>75.242699999999999</v>
      </c>
      <c r="J460" s="14">
        <f>75.2406 * CHOOSE(CONTROL!$C$9, $D$9, 100%, $F$9) + CHOOSE(CONTROL!$C$27, 0.0021, 0)</f>
        <v>75.242699999999999</v>
      </c>
      <c r="K460" s="14">
        <f>75.2406 * CHOOSE(CONTROL!$C$9, $D$9, 100%, $F$9) + CHOOSE(CONTROL!$C$27, 0.0021, 0)</f>
        <v>75.242699999999999</v>
      </c>
      <c r="L460" s="14"/>
    </row>
    <row r="461" spans="1:12" ht="15.75" x14ac:dyDescent="0.25">
      <c r="A461" s="32">
        <v>54969</v>
      </c>
      <c r="B461" s="14">
        <f>76.5769 * CHOOSE(CONTROL!$C$9, $D$9, 100%, $F$9) + CHOOSE(CONTROL!$C$27, 0.0021, 0)</f>
        <v>76.578999999999994</v>
      </c>
      <c r="C461" s="14">
        <f>76.1446 * CHOOSE(CONTROL!$C$9, $D$9, 100%, $F$9) + CHOOSE(CONTROL!$C$27, 0.0021, 0)</f>
        <v>76.146699999999996</v>
      </c>
      <c r="D461" s="14">
        <f>76.1446 * CHOOSE(CONTROL!$C$9, $D$9, 100%, $F$9) + CHOOSE(CONTROL!$C$27, 0.0021, 0)</f>
        <v>76.146699999999996</v>
      </c>
      <c r="E461" s="14">
        <f>76.008 * CHOOSE(CONTROL!$C$9, $D$9, 100%, $F$9) + CHOOSE(CONTROL!$C$27, 0.0021, 0)</f>
        <v>76.010099999999994</v>
      </c>
      <c r="F461" s="14">
        <f>76.008 * CHOOSE(CONTROL!$C$9, $D$9, 100%, $F$9) + CHOOSE(CONTROL!$C$27, 0.0021, 0)</f>
        <v>76.010099999999994</v>
      </c>
      <c r="G461" s="14">
        <f>76.2793 * CHOOSE(CONTROL!$C$9, $D$9, 100%, $F$9) + CHOOSE(CONTROL!$C$27, 0.0021, 0)</f>
        <v>76.281400000000005</v>
      </c>
      <c r="H461" s="14">
        <f>76.1446 * CHOOSE(CONTROL!$C$9, $D$9, 100%, $F$9) + CHOOSE(CONTROL!$C$27, 0.0021, 0)</f>
        <v>76.146699999999996</v>
      </c>
      <c r="I461" s="14">
        <f>76.1446 * CHOOSE(CONTROL!$C$9, $D$9, 100%, $F$9) + CHOOSE(CONTROL!$C$27, 0.0021, 0)</f>
        <v>76.146699999999996</v>
      </c>
      <c r="J461" s="14">
        <f>76.1446 * CHOOSE(CONTROL!$C$9, $D$9, 100%, $F$9) + CHOOSE(CONTROL!$C$27, 0.0021, 0)</f>
        <v>76.146699999999996</v>
      </c>
      <c r="K461" s="14">
        <f>76.1446 * CHOOSE(CONTROL!$C$9, $D$9, 100%, $F$9) + CHOOSE(CONTROL!$C$27, 0.0021, 0)</f>
        <v>76.146699999999996</v>
      </c>
      <c r="L461" s="14"/>
    </row>
    <row r="462" spans="1:12" ht="15.75" x14ac:dyDescent="0.25">
      <c r="A462" s="32">
        <v>55000</v>
      </c>
      <c r="B462" s="14">
        <f>78.0682 * CHOOSE(CONTROL!$C$9, $D$9, 100%, $F$9) + CHOOSE(CONTROL!$C$27, 0.0021, 0)</f>
        <v>78.070300000000003</v>
      </c>
      <c r="C462" s="14">
        <f>77.6359 * CHOOSE(CONTROL!$C$9, $D$9, 100%, $F$9) + CHOOSE(CONTROL!$C$27, 0.0021, 0)</f>
        <v>77.638000000000005</v>
      </c>
      <c r="D462" s="14">
        <f>77.6359 * CHOOSE(CONTROL!$C$9, $D$9, 100%, $F$9) + CHOOSE(CONTROL!$C$27, 0.0021, 0)</f>
        <v>77.638000000000005</v>
      </c>
      <c r="E462" s="14">
        <f>77.4993 * CHOOSE(CONTROL!$C$9, $D$9, 100%, $F$9) + CHOOSE(CONTROL!$C$27, 0.0021, 0)</f>
        <v>77.501400000000004</v>
      </c>
      <c r="F462" s="14">
        <f>77.4993 * CHOOSE(CONTROL!$C$9, $D$9, 100%, $F$9) + CHOOSE(CONTROL!$C$27, 0.0021, 0)</f>
        <v>77.501400000000004</v>
      </c>
      <c r="G462" s="14">
        <f>77.7706 * CHOOSE(CONTROL!$C$9, $D$9, 100%, $F$9) + CHOOSE(CONTROL!$C$27, 0.0021, 0)</f>
        <v>77.7727</v>
      </c>
      <c r="H462" s="14">
        <f>77.6359 * CHOOSE(CONTROL!$C$9, $D$9, 100%, $F$9) + CHOOSE(CONTROL!$C$27, 0.0021, 0)</f>
        <v>77.638000000000005</v>
      </c>
      <c r="I462" s="14">
        <f>77.6359 * CHOOSE(CONTROL!$C$9, $D$9, 100%, $F$9) + CHOOSE(CONTROL!$C$27, 0.0021, 0)</f>
        <v>77.638000000000005</v>
      </c>
      <c r="J462" s="14">
        <f>77.6359 * CHOOSE(CONTROL!$C$9, $D$9, 100%, $F$9) + CHOOSE(CONTROL!$C$27, 0.0021, 0)</f>
        <v>77.638000000000005</v>
      </c>
      <c r="K462" s="14">
        <f>77.6359 * CHOOSE(CONTROL!$C$9, $D$9, 100%, $F$9) + CHOOSE(CONTROL!$C$27, 0.0021, 0)</f>
        <v>77.638000000000005</v>
      </c>
      <c r="L462" s="14"/>
    </row>
    <row r="463" spans="1:12" ht="15.75" x14ac:dyDescent="0.25">
      <c r="A463" s="32">
        <v>55031</v>
      </c>
      <c r="B463" s="14">
        <f>78.5234 * CHOOSE(CONTROL!$C$9, $D$9, 100%, $F$9) + CHOOSE(CONTROL!$C$27, 0.0021, 0)</f>
        <v>78.525499999999994</v>
      </c>
      <c r="C463" s="14">
        <f>78.0911 * CHOOSE(CONTROL!$C$9, $D$9, 100%, $F$9) + CHOOSE(CONTROL!$C$27, 0.0021, 0)</f>
        <v>78.093199999999996</v>
      </c>
      <c r="D463" s="14">
        <f>78.0911 * CHOOSE(CONTROL!$C$9, $D$9, 100%, $F$9) + CHOOSE(CONTROL!$C$27, 0.0021, 0)</f>
        <v>78.093199999999996</v>
      </c>
      <c r="E463" s="14">
        <f>77.9545 * CHOOSE(CONTROL!$C$9, $D$9, 100%, $F$9) + CHOOSE(CONTROL!$C$27, 0.0021, 0)</f>
        <v>77.956599999999995</v>
      </c>
      <c r="F463" s="14">
        <f>77.9545 * CHOOSE(CONTROL!$C$9, $D$9, 100%, $F$9) + CHOOSE(CONTROL!$C$27, 0.0021, 0)</f>
        <v>77.956599999999995</v>
      </c>
      <c r="G463" s="14">
        <f>78.2258 * CHOOSE(CONTROL!$C$9, $D$9, 100%, $F$9) + CHOOSE(CONTROL!$C$27, 0.0021, 0)</f>
        <v>78.227900000000005</v>
      </c>
      <c r="H463" s="14">
        <f>78.0911 * CHOOSE(CONTROL!$C$9, $D$9, 100%, $F$9) + CHOOSE(CONTROL!$C$27, 0.0021, 0)</f>
        <v>78.093199999999996</v>
      </c>
      <c r="I463" s="14">
        <f>78.0911 * CHOOSE(CONTROL!$C$9, $D$9, 100%, $F$9) + CHOOSE(CONTROL!$C$27, 0.0021, 0)</f>
        <v>78.093199999999996</v>
      </c>
      <c r="J463" s="14">
        <f>78.0911 * CHOOSE(CONTROL!$C$9, $D$9, 100%, $F$9) + CHOOSE(CONTROL!$C$27, 0.0021, 0)</f>
        <v>78.093199999999996</v>
      </c>
      <c r="K463" s="14">
        <f>78.0911 * CHOOSE(CONTROL!$C$9, $D$9, 100%, $F$9) + CHOOSE(CONTROL!$C$27, 0.0021, 0)</f>
        <v>78.093199999999996</v>
      </c>
      <c r="L463" s="14"/>
    </row>
    <row r="464" spans="1:12" ht="15.75" x14ac:dyDescent="0.25">
      <c r="A464" s="32">
        <v>55061</v>
      </c>
      <c r="B464" s="14">
        <f>80.0735 * CHOOSE(CONTROL!$C$9, $D$9, 100%, $F$9) + CHOOSE(CONTROL!$C$27, 0.0021, 0)</f>
        <v>80.075599999999994</v>
      </c>
      <c r="C464" s="14">
        <f>79.6413 * CHOOSE(CONTROL!$C$9, $D$9, 100%, $F$9) + CHOOSE(CONTROL!$C$27, 0.0021, 0)</f>
        <v>79.6434</v>
      </c>
      <c r="D464" s="14">
        <f>79.6413 * CHOOSE(CONTROL!$C$9, $D$9, 100%, $F$9) + CHOOSE(CONTROL!$C$27, 0.0021, 0)</f>
        <v>79.6434</v>
      </c>
      <c r="E464" s="14">
        <f>79.5046 * CHOOSE(CONTROL!$C$9, $D$9, 100%, $F$9) + CHOOSE(CONTROL!$C$27, 0.0021, 0)</f>
        <v>79.506699999999995</v>
      </c>
      <c r="F464" s="14">
        <f>79.5046 * CHOOSE(CONTROL!$C$9, $D$9, 100%, $F$9) + CHOOSE(CONTROL!$C$27, 0.0021, 0)</f>
        <v>79.506699999999995</v>
      </c>
      <c r="G464" s="14">
        <f>79.776 * CHOOSE(CONTROL!$C$9, $D$9, 100%, $F$9) + CHOOSE(CONTROL!$C$27, 0.0021, 0)</f>
        <v>79.778099999999995</v>
      </c>
      <c r="H464" s="14">
        <f>79.6413 * CHOOSE(CONTROL!$C$9, $D$9, 100%, $F$9) + CHOOSE(CONTROL!$C$27, 0.0021, 0)</f>
        <v>79.6434</v>
      </c>
      <c r="I464" s="14">
        <f>79.6413 * CHOOSE(CONTROL!$C$9, $D$9, 100%, $F$9) + CHOOSE(CONTROL!$C$27, 0.0021, 0)</f>
        <v>79.6434</v>
      </c>
      <c r="J464" s="14">
        <f>79.6413 * CHOOSE(CONTROL!$C$9, $D$9, 100%, $F$9) + CHOOSE(CONTROL!$C$27, 0.0021, 0)</f>
        <v>79.6434</v>
      </c>
      <c r="K464" s="14">
        <f>79.6413 * CHOOSE(CONTROL!$C$9, $D$9, 100%, $F$9) + CHOOSE(CONTROL!$C$27, 0.0021, 0)</f>
        <v>79.6434</v>
      </c>
      <c r="L464" s="14"/>
    </row>
    <row r="465" spans="1:12" ht="15.75" x14ac:dyDescent="0.25">
      <c r="A465" s="32">
        <v>55092</v>
      </c>
      <c r="B465" s="14">
        <f>82.0358 * CHOOSE(CONTROL!$C$9, $D$9, 100%, $F$9) + CHOOSE(CONTROL!$C$27, 0.0021, 0)</f>
        <v>82.037899999999993</v>
      </c>
      <c r="C465" s="14">
        <f>81.6035 * CHOOSE(CONTROL!$C$9, $D$9, 100%, $F$9) + CHOOSE(CONTROL!$C$27, 0.0021, 0)</f>
        <v>81.605599999999995</v>
      </c>
      <c r="D465" s="14">
        <f>81.6035 * CHOOSE(CONTROL!$C$9, $D$9, 100%, $F$9) + CHOOSE(CONTROL!$C$27, 0.0021, 0)</f>
        <v>81.605599999999995</v>
      </c>
      <c r="E465" s="14">
        <f>81.4668 * CHOOSE(CONTROL!$C$9, $D$9, 100%, $F$9) + CHOOSE(CONTROL!$C$27, 0.0021, 0)</f>
        <v>81.468900000000005</v>
      </c>
      <c r="F465" s="14">
        <f>81.4668 * CHOOSE(CONTROL!$C$9, $D$9, 100%, $F$9) + CHOOSE(CONTROL!$C$27, 0.0021, 0)</f>
        <v>81.468900000000005</v>
      </c>
      <c r="G465" s="14">
        <f>81.7382 * CHOOSE(CONTROL!$C$9, $D$9, 100%, $F$9) + CHOOSE(CONTROL!$C$27, 0.0021, 0)</f>
        <v>81.740300000000005</v>
      </c>
      <c r="H465" s="14">
        <f>81.6035 * CHOOSE(CONTROL!$C$9, $D$9, 100%, $F$9) + CHOOSE(CONTROL!$C$27, 0.0021, 0)</f>
        <v>81.605599999999995</v>
      </c>
      <c r="I465" s="14">
        <f>81.6035 * CHOOSE(CONTROL!$C$9, $D$9, 100%, $F$9) + CHOOSE(CONTROL!$C$27, 0.0021, 0)</f>
        <v>81.605599999999995</v>
      </c>
      <c r="J465" s="14">
        <f>81.6035 * CHOOSE(CONTROL!$C$9, $D$9, 100%, $F$9) + CHOOSE(CONTROL!$C$27, 0.0021, 0)</f>
        <v>81.605599999999995</v>
      </c>
      <c r="K465" s="14">
        <f>81.6035 * CHOOSE(CONTROL!$C$9, $D$9, 100%, $F$9) + CHOOSE(CONTROL!$C$27, 0.0021, 0)</f>
        <v>81.605599999999995</v>
      </c>
      <c r="L465" s="14"/>
    </row>
    <row r="466" spans="1:12" ht="15.75" x14ac:dyDescent="0.25">
      <c r="A466" s="32">
        <v>55122</v>
      </c>
      <c r="B466" s="14">
        <f>82.22 * CHOOSE(CONTROL!$C$9, $D$9, 100%, $F$9) + CHOOSE(CONTROL!$C$27, 0.0021, 0)</f>
        <v>82.222099999999998</v>
      </c>
      <c r="C466" s="14">
        <f>81.7877 * CHOOSE(CONTROL!$C$9, $D$9, 100%, $F$9) + CHOOSE(CONTROL!$C$27, 0.0021, 0)</f>
        <v>81.7898</v>
      </c>
      <c r="D466" s="14">
        <f>81.7877 * CHOOSE(CONTROL!$C$9, $D$9, 100%, $F$9) + CHOOSE(CONTROL!$C$27, 0.0021, 0)</f>
        <v>81.7898</v>
      </c>
      <c r="E466" s="14">
        <f>81.6511 * CHOOSE(CONTROL!$C$9, $D$9, 100%, $F$9) + CHOOSE(CONTROL!$C$27, 0.0021, 0)</f>
        <v>81.653199999999998</v>
      </c>
      <c r="F466" s="14">
        <f>81.6511 * CHOOSE(CONTROL!$C$9, $D$9, 100%, $F$9) + CHOOSE(CONTROL!$C$27, 0.0021, 0)</f>
        <v>81.653199999999998</v>
      </c>
      <c r="G466" s="14">
        <f>81.9224 * CHOOSE(CONTROL!$C$9, $D$9, 100%, $F$9) + CHOOSE(CONTROL!$C$27, 0.0021, 0)</f>
        <v>81.924499999999995</v>
      </c>
      <c r="H466" s="14">
        <f>81.7877 * CHOOSE(CONTROL!$C$9, $D$9, 100%, $F$9) + CHOOSE(CONTROL!$C$27, 0.0021, 0)</f>
        <v>81.7898</v>
      </c>
      <c r="I466" s="14">
        <f>81.7877 * CHOOSE(CONTROL!$C$9, $D$9, 100%, $F$9) + CHOOSE(CONTROL!$C$27, 0.0021, 0)</f>
        <v>81.7898</v>
      </c>
      <c r="J466" s="14">
        <f>81.7877 * CHOOSE(CONTROL!$C$9, $D$9, 100%, $F$9) + CHOOSE(CONTROL!$C$27, 0.0021, 0)</f>
        <v>81.7898</v>
      </c>
      <c r="K466" s="14">
        <f>81.7877 * CHOOSE(CONTROL!$C$9, $D$9, 100%, $F$9) + CHOOSE(CONTROL!$C$27, 0.0021, 0)</f>
        <v>81.7898</v>
      </c>
      <c r="L466" s="14"/>
    </row>
    <row r="467" spans="1:12" ht="15.75" x14ac:dyDescent="0.25">
      <c r="A467" s="32">
        <v>55153</v>
      </c>
      <c r="B467" s="14">
        <f>80.6528 * CHOOSE(CONTROL!$C$9, $D$9, 100%, $F$9) + CHOOSE(CONTROL!$C$27, 0.0021, 0)</f>
        <v>80.654899999999998</v>
      </c>
      <c r="C467" s="14">
        <f>80.2205 * CHOOSE(CONTROL!$C$9, $D$9, 100%, $F$9) + CHOOSE(CONTROL!$C$27, 0.0021, 0)</f>
        <v>80.2226</v>
      </c>
      <c r="D467" s="14">
        <f>80.2205 * CHOOSE(CONTROL!$C$9, $D$9, 100%, $F$9) + CHOOSE(CONTROL!$C$27, 0.0021, 0)</f>
        <v>80.2226</v>
      </c>
      <c r="E467" s="14">
        <f>80.0839 * CHOOSE(CONTROL!$C$9, $D$9, 100%, $F$9) + CHOOSE(CONTROL!$C$27, 0.0021, 0)</f>
        <v>80.085999999999999</v>
      </c>
      <c r="F467" s="14">
        <f>80.0839 * CHOOSE(CONTROL!$C$9, $D$9, 100%, $F$9) + CHOOSE(CONTROL!$C$27, 0.0021, 0)</f>
        <v>80.085999999999999</v>
      </c>
      <c r="G467" s="14">
        <f>80.3552 * CHOOSE(CONTROL!$C$9, $D$9, 100%, $F$9) + CHOOSE(CONTROL!$C$27, 0.0021, 0)</f>
        <v>80.357299999999995</v>
      </c>
      <c r="H467" s="14">
        <f>80.2205 * CHOOSE(CONTROL!$C$9, $D$9, 100%, $F$9) + CHOOSE(CONTROL!$C$27, 0.0021, 0)</f>
        <v>80.2226</v>
      </c>
      <c r="I467" s="14">
        <f>80.2205 * CHOOSE(CONTROL!$C$9, $D$9, 100%, $F$9) + CHOOSE(CONTROL!$C$27, 0.0021, 0)</f>
        <v>80.2226</v>
      </c>
      <c r="J467" s="14">
        <f>80.2205 * CHOOSE(CONTROL!$C$9, $D$9, 100%, $F$9) + CHOOSE(CONTROL!$C$27, 0.0021, 0)</f>
        <v>80.2226</v>
      </c>
      <c r="K467" s="14">
        <f>80.2205 * CHOOSE(CONTROL!$C$9, $D$9, 100%, $F$9) + CHOOSE(CONTROL!$C$27, 0.0021, 0)</f>
        <v>80.2226</v>
      </c>
      <c r="L467" s="14"/>
    </row>
    <row r="468" spans="1:12" ht="15.75" x14ac:dyDescent="0.25">
      <c r="A468" s="32">
        <v>55184</v>
      </c>
      <c r="B468" s="14">
        <f>79.6622 * CHOOSE(CONTROL!$C$9, $D$9, 100%, $F$9) + CHOOSE(CONTROL!$C$27, 0.0021, 0)</f>
        <v>79.664299999999997</v>
      </c>
      <c r="C468" s="14">
        <f>79.23 * CHOOSE(CONTROL!$C$9, $D$9, 100%, $F$9) + CHOOSE(CONTROL!$C$27, 0.0021, 0)</f>
        <v>79.232100000000003</v>
      </c>
      <c r="D468" s="14">
        <f>79.23 * CHOOSE(CONTROL!$C$9, $D$9, 100%, $F$9) + CHOOSE(CONTROL!$C$27, 0.0021, 0)</f>
        <v>79.232100000000003</v>
      </c>
      <c r="E468" s="14">
        <f>79.0933 * CHOOSE(CONTROL!$C$9, $D$9, 100%, $F$9) + CHOOSE(CONTROL!$C$27, 0.0021, 0)</f>
        <v>79.095399999999998</v>
      </c>
      <c r="F468" s="14">
        <f>79.0933 * CHOOSE(CONTROL!$C$9, $D$9, 100%, $F$9) + CHOOSE(CONTROL!$C$27, 0.0021, 0)</f>
        <v>79.095399999999998</v>
      </c>
      <c r="G468" s="14">
        <f>79.3647 * CHOOSE(CONTROL!$C$9, $D$9, 100%, $F$9) + CHOOSE(CONTROL!$C$27, 0.0021, 0)</f>
        <v>79.366799999999998</v>
      </c>
      <c r="H468" s="14">
        <f>79.23 * CHOOSE(CONTROL!$C$9, $D$9, 100%, $F$9) + CHOOSE(CONTROL!$C$27, 0.0021, 0)</f>
        <v>79.232100000000003</v>
      </c>
      <c r="I468" s="14">
        <f>79.23 * CHOOSE(CONTROL!$C$9, $D$9, 100%, $F$9) + CHOOSE(CONTROL!$C$27, 0.0021, 0)</f>
        <v>79.232100000000003</v>
      </c>
      <c r="J468" s="14">
        <f>79.23 * CHOOSE(CONTROL!$C$9, $D$9, 100%, $F$9) + CHOOSE(CONTROL!$C$27, 0.0021, 0)</f>
        <v>79.232100000000003</v>
      </c>
      <c r="K468" s="14">
        <f>79.23 * CHOOSE(CONTROL!$C$9, $D$9, 100%, $F$9) + CHOOSE(CONTROL!$C$27, 0.0021, 0)</f>
        <v>79.232100000000003</v>
      </c>
      <c r="L468" s="14"/>
    </row>
    <row r="469" spans="1:12" ht="15.75" x14ac:dyDescent="0.25">
      <c r="A469" s="32">
        <v>55212</v>
      </c>
      <c r="B469" s="14">
        <f>77.4738 * CHOOSE(CONTROL!$C$9, $D$9, 100%, $F$9) + CHOOSE(CONTROL!$C$27, 0.0021, 0)</f>
        <v>77.475899999999996</v>
      </c>
      <c r="C469" s="14">
        <f>77.0415 * CHOOSE(CONTROL!$C$9, $D$9, 100%, $F$9) + CHOOSE(CONTROL!$C$27, 0.0021, 0)</f>
        <v>77.043599999999998</v>
      </c>
      <c r="D469" s="14">
        <f>77.0415 * CHOOSE(CONTROL!$C$9, $D$9, 100%, $F$9) + CHOOSE(CONTROL!$C$27, 0.0021, 0)</f>
        <v>77.043599999999998</v>
      </c>
      <c r="E469" s="14">
        <f>76.9049 * CHOOSE(CONTROL!$C$9, $D$9, 100%, $F$9) + CHOOSE(CONTROL!$C$27, 0.0021, 0)</f>
        <v>76.906999999999996</v>
      </c>
      <c r="F469" s="14">
        <f>76.9049 * CHOOSE(CONTROL!$C$9, $D$9, 100%, $F$9) + CHOOSE(CONTROL!$C$27, 0.0021, 0)</f>
        <v>76.906999999999996</v>
      </c>
      <c r="G469" s="14">
        <f>77.1763 * CHOOSE(CONTROL!$C$9, $D$9, 100%, $F$9) + CHOOSE(CONTROL!$C$27, 0.0021, 0)</f>
        <v>77.178399999999996</v>
      </c>
      <c r="H469" s="14">
        <f>77.0415 * CHOOSE(CONTROL!$C$9, $D$9, 100%, $F$9) + CHOOSE(CONTROL!$C$27, 0.0021, 0)</f>
        <v>77.043599999999998</v>
      </c>
      <c r="I469" s="14">
        <f>77.0415 * CHOOSE(CONTROL!$C$9, $D$9, 100%, $F$9) + CHOOSE(CONTROL!$C$27, 0.0021, 0)</f>
        <v>77.043599999999998</v>
      </c>
      <c r="J469" s="14">
        <f>77.0415 * CHOOSE(CONTROL!$C$9, $D$9, 100%, $F$9) + CHOOSE(CONTROL!$C$27, 0.0021, 0)</f>
        <v>77.043599999999998</v>
      </c>
      <c r="K469" s="14">
        <f>77.0415 * CHOOSE(CONTROL!$C$9, $D$9, 100%, $F$9) + CHOOSE(CONTROL!$C$27, 0.0021, 0)</f>
        <v>77.043599999999998</v>
      </c>
      <c r="L469" s="14"/>
    </row>
    <row r="470" spans="1:12" ht="15.75" x14ac:dyDescent="0.25">
      <c r="A470" s="32">
        <v>55243</v>
      </c>
      <c r="B470" s="14">
        <f>76.5704 * CHOOSE(CONTROL!$C$9, $D$9, 100%, $F$9) + CHOOSE(CONTROL!$C$27, 0.0021, 0)</f>
        <v>76.572500000000005</v>
      </c>
      <c r="C470" s="14">
        <f>76.1382 * CHOOSE(CONTROL!$C$9, $D$9, 100%, $F$9) + CHOOSE(CONTROL!$C$27, 0.0021, 0)</f>
        <v>76.140299999999996</v>
      </c>
      <c r="D470" s="14">
        <f>76.1382 * CHOOSE(CONTROL!$C$9, $D$9, 100%, $F$9) + CHOOSE(CONTROL!$C$27, 0.0021, 0)</f>
        <v>76.140299999999996</v>
      </c>
      <c r="E470" s="14">
        <f>76.0015 * CHOOSE(CONTROL!$C$9, $D$9, 100%, $F$9) + CHOOSE(CONTROL!$C$27, 0.0021, 0)</f>
        <v>76.003599999999992</v>
      </c>
      <c r="F470" s="14">
        <f>76.0015 * CHOOSE(CONTROL!$C$9, $D$9, 100%, $F$9) + CHOOSE(CONTROL!$C$27, 0.0021, 0)</f>
        <v>76.003599999999992</v>
      </c>
      <c r="G470" s="14">
        <f>76.2729 * CHOOSE(CONTROL!$C$9, $D$9, 100%, $F$9) + CHOOSE(CONTROL!$C$27, 0.0021, 0)</f>
        <v>76.275000000000006</v>
      </c>
      <c r="H470" s="14">
        <f>76.1382 * CHOOSE(CONTROL!$C$9, $D$9, 100%, $F$9) + CHOOSE(CONTROL!$C$27, 0.0021, 0)</f>
        <v>76.140299999999996</v>
      </c>
      <c r="I470" s="14">
        <f>76.1382 * CHOOSE(CONTROL!$C$9, $D$9, 100%, $F$9) + CHOOSE(CONTROL!$C$27, 0.0021, 0)</f>
        <v>76.140299999999996</v>
      </c>
      <c r="J470" s="14">
        <f>76.1382 * CHOOSE(CONTROL!$C$9, $D$9, 100%, $F$9) + CHOOSE(CONTROL!$C$27, 0.0021, 0)</f>
        <v>76.140299999999996</v>
      </c>
      <c r="K470" s="14">
        <f>76.1382 * CHOOSE(CONTROL!$C$9, $D$9, 100%, $F$9) + CHOOSE(CONTROL!$C$27, 0.0021, 0)</f>
        <v>76.140299999999996</v>
      </c>
      <c r="L470" s="14"/>
    </row>
    <row r="471" spans="1:12" ht="15.75" x14ac:dyDescent="0.25">
      <c r="A471" s="32">
        <v>55273</v>
      </c>
      <c r="B471" s="14">
        <f>75.4917 * CHOOSE(CONTROL!$C$9, $D$9, 100%, $F$9) + CHOOSE(CONTROL!$C$27, 0.0021, 0)</f>
        <v>75.493799999999993</v>
      </c>
      <c r="C471" s="14">
        <f>75.0595 * CHOOSE(CONTROL!$C$9, $D$9, 100%, $F$9) + CHOOSE(CONTROL!$C$27, 0.0021, 0)</f>
        <v>75.061599999999999</v>
      </c>
      <c r="D471" s="14">
        <f>75.0595 * CHOOSE(CONTROL!$C$9, $D$9, 100%, $F$9) + CHOOSE(CONTROL!$C$27, 0.0021, 0)</f>
        <v>75.061599999999999</v>
      </c>
      <c r="E471" s="14">
        <f>74.9228 * CHOOSE(CONTROL!$C$9, $D$9, 100%, $F$9) + CHOOSE(CONTROL!$C$27, 0.0021, 0)</f>
        <v>74.924899999999994</v>
      </c>
      <c r="F471" s="14">
        <f>74.9228 * CHOOSE(CONTROL!$C$9, $D$9, 100%, $F$9) + CHOOSE(CONTROL!$C$27, 0.0021, 0)</f>
        <v>74.924899999999994</v>
      </c>
      <c r="G471" s="14">
        <f>75.1942 * CHOOSE(CONTROL!$C$9, $D$9, 100%, $F$9) + CHOOSE(CONTROL!$C$27, 0.0021, 0)</f>
        <v>75.196299999999994</v>
      </c>
      <c r="H471" s="14">
        <f>75.0595 * CHOOSE(CONTROL!$C$9, $D$9, 100%, $F$9) + CHOOSE(CONTROL!$C$27, 0.0021, 0)</f>
        <v>75.061599999999999</v>
      </c>
      <c r="I471" s="14">
        <f>75.0595 * CHOOSE(CONTROL!$C$9, $D$9, 100%, $F$9) + CHOOSE(CONTROL!$C$27, 0.0021, 0)</f>
        <v>75.061599999999999</v>
      </c>
      <c r="J471" s="14">
        <f>75.0595 * CHOOSE(CONTROL!$C$9, $D$9, 100%, $F$9) + CHOOSE(CONTROL!$C$27, 0.0021, 0)</f>
        <v>75.061599999999999</v>
      </c>
      <c r="K471" s="14">
        <f>75.0595 * CHOOSE(CONTROL!$C$9, $D$9, 100%, $F$9) + CHOOSE(CONTROL!$C$27, 0.0021, 0)</f>
        <v>75.061599999999999</v>
      </c>
      <c r="L471" s="14"/>
    </row>
    <row r="472" spans="1:12" ht="15.75" x14ac:dyDescent="0.25">
      <c r="A472" s="32">
        <v>55304</v>
      </c>
      <c r="B472" s="14">
        <f>77.029 * CHOOSE(CONTROL!$C$9, $D$9, 100%, $F$9) + CHOOSE(CONTROL!$C$27, 0.0021, 0)</f>
        <v>77.031099999999995</v>
      </c>
      <c r="C472" s="14">
        <f>76.5967 * CHOOSE(CONTROL!$C$9, $D$9, 100%, $F$9) + CHOOSE(CONTROL!$C$27, 0.0021, 0)</f>
        <v>76.598799999999997</v>
      </c>
      <c r="D472" s="14">
        <f>76.5967 * CHOOSE(CONTROL!$C$9, $D$9, 100%, $F$9) + CHOOSE(CONTROL!$C$27, 0.0021, 0)</f>
        <v>76.598799999999997</v>
      </c>
      <c r="E472" s="14">
        <f>76.4601 * CHOOSE(CONTROL!$C$9, $D$9, 100%, $F$9) + CHOOSE(CONTROL!$C$27, 0.0021, 0)</f>
        <v>76.462199999999996</v>
      </c>
      <c r="F472" s="14">
        <f>76.4601 * CHOOSE(CONTROL!$C$9, $D$9, 100%, $F$9) + CHOOSE(CONTROL!$C$27, 0.0021, 0)</f>
        <v>76.462199999999996</v>
      </c>
      <c r="G472" s="14">
        <f>76.7314 * CHOOSE(CONTROL!$C$9, $D$9, 100%, $F$9) + CHOOSE(CONTROL!$C$27, 0.0021, 0)</f>
        <v>76.733499999999992</v>
      </c>
      <c r="H472" s="14">
        <f>76.5967 * CHOOSE(CONTROL!$C$9, $D$9, 100%, $F$9) + CHOOSE(CONTROL!$C$27, 0.0021, 0)</f>
        <v>76.598799999999997</v>
      </c>
      <c r="I472" s="14">
        <f>76.5967 * CHOOSE(CONTROL!$C$9, $D$9, 100%, $F$9) + CHOOSE(CONTROL!$C$27, 0.0021, 0)</f>
        <v>76.598799999999997</v>
      </c>
      <c r="J472" s="14">
        <f>76.5967 * CHOOSE(CONTROL!$C$9, $D$9, 100%, $F$9) + CHOOSE(CONTROL!$C$27, 0.0021, 0)</f>
        <v>76.598799999999997</v>
      </c>
      <c r="K472" s="14">
        <f>76.5967 * CHOOSE(CONTROL!$C$9, $D$9, 100%, $F$9) + CHOOSE(CONTROL!$C$27, 0.0021, 0)</f>
        <v>76.598799999999997</v>
      </c>
      <c r="L472" s="14"/>
    </row>
    <row r="473" spans="1:12" ht="15.75" x14ac:dyDescent="0.25">
      <c r="A473" s="32">
        <v>55334</v>
      </c>
      <c r="B473" s="14">
        <f>77.9497 * CHOOSE(CONTROL!$C$9, $D$9, 100%, $F$9) + CHOOSE(CONTROL!$C$27, 0.0021, 0)</f>
        <v>77.951800000000006</v>
      </c>
      <c r="C473" s="14">
        <f>77.5174 * CHOOSE(CONTROL!$C$9, $D$9, 100%, $F$9) + CHOOSE(CONTROL!$C$27, 0.0021, 0)</f>
        <v>77.519499999999994</v>
      </c>
      <c r="D473" s="14">
        <f>77.5174 * CHOOSE(CONTROL!$C$9, $D$9, 100%, $F$9) + CHOOSE(CONTROL!$C$27, 0.0021, 0)</f>
        <v>77.519499999999994</v>
      </c>
      <c r="E473" s="14">
        <f>77.3808 * CHOOSE(CONTROL!$C$9, $D$9, 100%, $F$9) + CHOOSE(CONTROL!$C$27, 0.0021, 0)</f>
        <v>77.382899999999992</v>
      </c>
      <c r="F473" s="14">
        <f>77.3808 * CHOOSE(CONTROL!$C$9, $D$9, 100%, $F$9) + CHOOSE(CONTROL!$C$27, 0.0021, 0)</f>
        <v>77.382899999999992</v>
      </c>
      <c r="G473" s="14">
        <f>77.6522 * CHOOSE(CONTROL!$C$9, $D$9, 100%, $F$9) + CHOOSE(CONTROL!$C$27, 0.0021, 0)</f>
        <v>77.654299999999992</v>
      </c>
      <c r="H473" s="14">
        <f>77.5174 * CHOOSE(CONTROL!$C$9, $D$9, 100%, $F$9) + CHOOSE(CONTROL!$C$27, 0.0021, 0)</f>
        <v>77.519499999999994</v>
      </c>
      <c r="I473" s="14">
        <f>77.5174 * CHOOSE(CONTROL!$C$9, $D$9, 100%, $F$9) + CHOOSE(CONTROL!$C$27, 0.0021, 0)</f>
        <v>77.519499999999994</v>
      </c>
      <c r="J473" s="14">
        <f>77.5174 * CHOOSE(CONTROL!$C$9, $D$9, 100%, $F$9) + CHOOSE(CONTROL!$C$27, 0.0021, 0)</f>
        <v>77.519499999999994</v>
      </c>
      <c r="K473" s="14">
        <f>77.5174 * CHOOSE(CONTROL!$C$9, $D$9, 100%, $F$9) + CHOOSE(CONTROL!$C$27, 0.0021, 0)</f>
        <v>77.519499999999994</v>
      </c>
      <c r="L473" s="14"/>
    </row>
    <row r="474" spans="1:12" ht="15.75" x14ac:dyDescent="0.25">
      <c r="A474" s="32">
        <v>55365</v>
      </c>
      <c r="B474" s="14">
        <f>79.4686 * CHOOSE(CONTROL!$C$9, $D$9, 100%, $F$9) + CHOOSE(CONTROL!$C$27, 0.0021, 0)</f>
        <v>79.470699999999994</v>
      </c>
      <c r="C474" s="14">
        <f>79.0363 * CHOOSE(CONTROL!$C$9, $D$9, 100%, $F$9) + CHOOSE(CONTROL!$C$27, 0.0021, 0)</f>
        <v>79.038399999999996</v>
      </c>
      <c r="D474" s="14">
        <f>79.0363 * CHOOSE(CONTROL!$C$9, $D$9, 100%, $F$9) + CHOOSE(CONTROL!$C$27, 0.0021, 0)</f>
        <v>79.038399999999996</v>
      </c>
      <c r="E474" s="14">
        <f>78.8997 * CHOOSE(CONTROL!$C$9, $D$9, 100%, $F$9) + CHOOSE(CONTROL!$C$27, 0.0021, 0)</f>
        <v>78.901799999999994</v>
      </c>
      <c r="F474" s="14">
        <f>78.8997 * CHOOSE(CONTROL!$C$9, $D$9, 100%, $F$9) + CHOOSE(CONTROL!$C$27, 0.0021, 0)</f>
        <v>78.901799999999994</v>
      </c>
      <c r="G474" s="14">
        <f>79.171 * CHOOSE(CONTROL!$C$9, $D$9, 100%, $F$9) + CHOOSE(CONTROL!$C$27, 0.0021, 0)</f>
        <v>79.173100000000005</v>
      </c>
      <c r="H474" s="14">
        <f>79.0363 * CHOOSE(CONTROL!$C$9, $D$9, 100%, $F$9) + CHOOSE(CONTROL!$C$27, 0.0021, 0)</f>
        <v>79.038399999999996</v>
      </c>
      <c r="I474" s="14">
        <f>79.0363 * CHOOSE(CONTROL!$C$9, $D$9, 100%, $F$9) + CHOOSE(CONTROL!$C$27, 0.0021, 0)</f>
        <v>79.038399999999996</v>
      </c>
      <c r="J474" s="14">
        <f>79.0363 * CHOOSE(CONTROL!$C$9, $D$9, 100%, $F$9) + CHOOSE(CONTROL!$C$27, 0.0021, 0)</f>
        <v>79.038399999999996</v>
      </c>
      <c r="K474" s="14">
        <f>79.0363 * CHOOSE(CONTROL!$C$9, $D$9, 100%, $F$9) + CHOOSE(CONTROL!$C$27, 0.0021, 0)</f>
        <v>79.038399999999996</v>
      </c>
      <c r="L474" s="14"/>
    </row>
    <row r="475" spans="1:12" ht="15.75" x14ac:dyDescent="0.25">
      <c r="A475" s="32">
        <v>55396</v>
      </c>
      <c r="B475" s="14">
        <f>79.9322 * CHOOSE(CONTROL!$C$9, $D$9, 100%, $F$9) + CHOOSE(CONTROL!$C$27, 0.0021, 0)</f>
        <v>79.934299999999993</v>
      </c>
      <c r="C475" s="14">
        <f>79.4999 * CHOOSE(CONTROL!$C$9, $D$9, 100%, $F$9) + CHOOSE(CONTROL!$C$27, 0.0021, 0)</f>
        <v>79.501999999999995</v>
      </c>
      <c r="D475" s="14">
        <f>79.4999 * CHOOSE(CONTROL!$C$9, $D$9, 100%, $F$9) + CHOOSE(CONTROL!$C$27, 0.0021, 0)</f>
        <v>79.501999999999995</v>
      </c>
      <c r="E475" s="14">
        <f>79.3633 * CHOOSE(CONTROL!$C$9, $D$9, 100%, $F$9) + CHOOSE(CONTROL!$C$27, 0.0021, 0)</f>
        <v>79.365399999999994</v>
      </c>
      <c r="F475" s="14">
        <f>79.3633 * CHOOSE(CONTROL!$C$9, $D$9, 100%, $F$9) + CHOOSE(CONTROL!$C$27, 0.0021, 0)</f>
        <v>79.365399999999994</v>
      </c>
      <c r="G475" s="14">
        <f>79.6346 * CHOOSE(CONTROL!$C$9, $D$9, 100%, $F$9) + CHOOSE(CONTROL!$C$27, 0.0021, 0)</f>
        <v>79.636700000000005</v>
      </c>
      <c r="H475" s="14">
        <f>79.4999 * CHOOSE(CONTROL!$C$9, $D$9, 100%, $F$9) + CHOOSE(CONTROL!$C$27, 0.0021, 0)</f>
        <v>79.501999999999995</v>
      </c>
      <c r="I475" s="14">
        <f>79.4999 * CHOOSE(CONTROL!$C$9, $D$9, 100%, $F$9) + CHOOSE(CONTROL!$C$27, 0.0021, 0)</f>
        <v>79.501999999999995</v>
      </c>
      <c r="J475" s="14">
        <f>79.4999 * CHOOSE(CONTROL!$C$9, $D$9, 100%, $F$9) + CHOOSE(CONTROL!$C$27, 0.0021, 0)</f>
        <v>79.501999999999995</v>
      </c>
      <c r="K475" s="14">
        <f>79.4999 * CHOOSE(CONTROL!$C$9, $D$9, 100%, $F$9) + CHOOSE(CONTROL!$C$27, 0.0021, 0)</f>
        <v>79.501999999999995</v>
      </c>
      <c r="L475" s="14"/>
    </row>
    <row r="476" spans="1:12" ht="15.75" x14ac:dyDescent="0.25">
      <c r="A476" s="32">
        <v>55426</v>
      </c>
      <c r="B476" s="14">
        <f>81.511 * CHOOSE(CONTROL!$C$9, $D$9, 100%, $F$9) + CHOOSE(CONTROL!$C$27, 0.0021, 0)</f>
        <v>81.513099999999994</v>
      </c>
      <c r="C476" s="14">
        <f>81.0787 * CHOOSE(CONTROL!$C$9, $D$9, 100%, $F$9) + CHOOSE(CONTROL!$C$27, 0.0021, 0)</f>
        <v>81.080799999999996</v>
      </c>
      <c r="D476" s="14">
        <f>81.0787 * CHOOSE(CONTROL!$C$9, $D$9, 100%, $F$9) + CHOOSE(CONTROL!$C$27, 0.0021, 0)</f>
        <v>81.080799999999996</v>
      </c>
      <c r="E476" s="14">
        <f>80.9421 * CHOOSE(CONTROL!$C$9, $D$9, 100%, $F$9) + CHOOSE(CONTROL!$C$27, 0.0021, 0)</f>
        <v>80.944199999999995</v>
      </c>
      <c r="F476" s="14">
        <f>80.9421 * CHOOSE(CONTROL!$C$9, $D$9, 100%, $F$9) + CHOOSE(CONTROL!$C$27, 0.0021, 0)</f>
        <v>80.944199999999995</v>
      </c>
      <c r="G476" s="14">
        <f>81.2134 * CHOOSE(CONTROL!$C$9, $D$9, 100%, $F$9) + CHOOSE(CONTROL!$C$27, 0.0021, 0)</f>
        <v>81.215499999999992</v>
      </c>
      <c r="H476" s="14">
        <f>81.0787 * CHOOSE(CONTROL!$C$9, $D$9, 100%, $F$9) + CHOOSE(CONTROL!$C$27, 0.0021, 0)</f>
        <v>81.080799999999996</v>
      </c>
      <c r="I476" s="14">
        <f>81.0787 * CHOOSE(CONTROL!$C$9, $D$9, 100%, $F$9) + CHOOSE(CONTROL!$C$27, 0.0021, 0)</f>
        <v>81.080799999999996</v>
      </c>
      <c r="J476" s="14">
        <f>81.0787 * CHOOSE(CONTROL!$C$9, $D$9, 100%, $F$9) + CHOOSE(CONTROL!$C$27, 0.0021, 0)</f>
        <v>81.080799999999996</v>
      </c>
      <c r="K476" s="14">
        <f>81.0787 * CHOOSE(CONTROL!$C$9, $D$9, 100%, $F$9) + CHOOSE(CONTROL!$C$27, 0.0021, 0)</f>
        <v>81.080799999999996</v>
      </c>
      <c r="L476" s="14"/>
    </row>
    <row r="477" spans="1:12" ht="15.75" x14ac:dyDescent="0.25">
      <c r="A477" s="32">
        <v>55457</v>
      </c>
      <c r="B477" s="14">
        <f>83.5095 * CHOOSE(CONTROL!$C$9, $D$9, 100%, $F$9) + CHOOSE(CONTROL!$C$27, 0.0021, 0)</f>
        <v>83.511600000000001</v>
      </c>
      <c r="C477" s="14">
        <f>83.0772 * CHOOSE(CONTROL!$C$9, $D$9, 100%, $F$9) + CHOOSE(CONTROL!$C$27, 0.0021, 0)</f>
        <v>83.079300000000003</v>
      </c>
      <c r="D477" s="14">
        <f>83.0772 * CHOOSE(CONTROL!$C$9, $D$9, 100%, $F$9) + CHOOSE(CONTROL!$C$27, 0.0021, 0)</f>
        <v>83.079300000000003</v>
      </c>
      <c r="E477" s="14">
        <f>82.9406 * CHOOSE(CONTROL!$C$9, $D$9, 100%, $F$9) + CHOOSE(CONTROL!$C$27, 0.0021, 0)</f>
        <v>82.942700000000002</v>
      </c>
      <c r="F477" s="14">
        <f>82.9406 * CHOOSE(CONTROL!$C$9, $D$9, 100%, $F$9) + CHOOSE(CONTROL!$C$27, 0.0021, 0)</f>
        <v>82.942700000000002</v>
      </c>
      <c r="G477" s="14">
        <f>83.2119 * CHOOSE(CONTROL!$C$9, $D$9, 100%, $F$9) + CHOOSE(CONTROL!$C$27, 0.0021, 0)</f>
        <v>83.213999999999999</v>
      </c>
      <c r="H477" s="14">
        <f>83.0772 * CHOOSE(CONTROL!$C$9, $D$9, 100%, $F$9) + CHOOSE(CONTROL!$C$27, 0.0021, 0)</f>
        <v>83.079300000000003</v>
      </c>
      <c r="I477" s="14">
        <f>83.0772 * CHOOSE(CONTROL!$C$9, $D$9, 100%, $F$9) + CHOOSE(CONTROL!$C$27, 0.0021, 0)</f>
        <v>83.079300000000003</v>
      </c>
      <c r="J477" s="14">
        <f>83.0772 * CHOOSE(CONTROL!$C$9, $D$9, 100%, $F$9) + CHOOSE(CONTROL!$C$27, 0.0021, 0)</f>
        <v>83.079300000000003</v>
      </c>
      <c r="K477" s="14">
        <f>83.0772 * CHOOSE(CONTROL!$C$9, $D$9, 100%, $F$9) + CHOOSE(CONTROL!$C$27, 0.0021, 0)</f>
        <v>83.079300000000003</v>
      </c>
      <c r="L477" s="14"/>
    </row>
    <row r="478" spans="1:12" ht="15.75" x14ac:dyDescent="0.25">
      <c r="A478" s="32">
        <v>55487</v>
      </c>
      <c r="B478" s="14">
        <f>83.6971 * CHOOSE(CONTROL!$C$9, $D$9, 100%, $F$9) + CHOOSE(CONTROL!$C$27, 0.0021, 0)</f>
        <v>83.699200000000005</v>
      </c>
      <c r="C478" s="14">
        <f>83.2648 * CHOOSE(CONTROL!$C$9, $D$9, 100%, $F$9) + CHOOSE(CONTROL!$C$27, 0.0021, 0)</f>
        <v>83.266899999999993</v>
      </c>
      <c r="D478" s="14">
        <f>83.2648 * CHOOSE(CONTROL!$C$9, $D$9, 100%, $F$9) + CHOOSE(CONTROL!$C$27, 0.0021, 0)</f>
        <v>83.266899999999993</v>
      </c>
      <c r="E478" s="14">
        <f>83.1282 * CHOOSE(CONTROL!$C$9, $D$9, 100%, $F$9) + CHOOSE(CONTROL!$C$27, 0.0021, 0)</f>
        <v>83.130300000000005</v>
      </c>
      <c r="F478" s="14">
        <f>83.1282 * CHOOSE(CONTROL!$C$9, $D$9, 100%, $F$9) + CHOOSE(CONTROL!$C$27, 0.0021, 0)</f>
        <v>83.130300000000005</v>
      </c>
      <c r="G478" s="14">
        <f>83.3996 * CHOOSE(CONTROL!$C$9, $D$9, 100%, $F$9) + CHOOSE(CONTROL!$C$27, 0.0021, 0)</f>
        <v>83.401700000000005</v>
      </c>
      <c r="H478" s="14">
        <f>83.2648 * CHOOSE(CONTROL!$C$9, $D$9, 100%, $F$9) + CHOOSE(CONTROL!$C$27, 0.0021, 0)</f>
        <v>83.266899999999993</v>
      </c>
      <c r="I478" s="14">
        <f>83.2648 * CHOOSE(CONTROL!$C$9, $D$9, 100%, $F$9) + CHOOSE(CONTROL!$C$27, 0.0021, 0)</f>
        <v>83.266899999999993</v>
      </c>
      <c r="J478" s="14">
        <f>83.2648 * CHOOSE(CONTROL!$C$9, $D$9, 100%, $F$9) + CHOOSE(CONTROL!$C$27, 0.0021, 0)</f>
        <v>83.266899999999993</v>
      </c>
      <c r="K478" s="14">
        <f>83.2648 * CHOOSE(CONTROL!$C$9, $D$9, 100%, $F$9) + CHOOSE(CONTROL!$C$27, 0.0021, 0)</f>
        <v>83.266899999999993</v>
      </c>
      <c r="L478" s="14"/>
    </row>
    <row r="479" spans="1:12" ht="15.75" x14ac:dyDescent="0.25">
      <c r="A479" s="32">
        <v>55518</v>
      </c>
      <c r="B479" s="14">
        <f>82.1009 * CHOOSE(CONTROL!$C$9, $D$9, 100%, $F$9) + CHOOSE(CONTROL!$C$27, 0.0021, 0)</f>
        <v>82.102999999999994</v>
      </c>
      <c r="C479" s="14">
        <f>81.6687 * CHOOSE(CONTROL!$C$9, $D$9, 100%, $F$9) + CHOOSE(CONTROL!$C$27, 0.0021, 0)</f>
        <v>81.6708</v>
      </c>
      <c r="D479" s="14">
        <f>81.6687 * CHOOSE(CONTROL!$C$9, $D$9, 100%, $F$9) + CHOOSE(CONTROL!$C$27, 0.0021, 0)</f>
        <v>81.6708</v>
      </c>
      <c r="E479" s="14">
        <f>81.532 * CHOOSE(CONTROL!$C$9, $D$9, 100%, $F$9) + CHOOSE(CONTROL!$C$27, 0.0021, 0)</f>
        <v>81.534099999999995</v>
      </c>
      <c r="F479" s="14">
        <f>81.532 * CHOOSE(CONTROL!$C$9, $D$9, 100%, $F$9) + CHOOSE(CONTROL!$C$27, 0.0021, 0)</f>
        <v>81.534099999999995</v>
      </c>
      <c r="G479" s="14">
        <f>81.8034 * CHOOSE(CONTROL!$C$9, $D$9, 100%, $F$9) + CHOOSE(CONTROL!$C$27, 0.0021, 0)</f>
        <v>81.805499999999995</v>
      </c>
      <c r="H479" s="14">
        <f>81.6687 * CHOOSE(CONTROL!$C$9, $D$9, 100%, $F$9) + CHOOSE(CONTROL!$C$27, 0.0021, 0)</f>
        <v>81.6708</v>
      </c>
      <c r="I479" s="14">
        <f>81.6687 * CHOOSE(CONTROL!$C$9, $D$9, 100%, $F$9) + CHOOSE(CONTROL!$C$27, 0.0021, 0)</f>
        <v>81.6708</v>
      </c>
      <c r="J479" s="14">
        <f>81.6687 * CHOOSE(CONTROL!$C$9, $D$9, 100%, $F$9) + CHOOSE(CONTROL!$C$27, 0.0021, 0)</f>
        <v>81.6708</v>
      </c>
      <c r="K479" s="14">
        <f>81.6687 * CHOOSE(CONTROL!$C$9, $D$9, 100%, $F$9) + CHOOSE(CONTROL!$C$27, 0.0021, 0)</f>
        <v>81.6708</v>
      </c>
      <c r="L479" s="14"/>
    </row>
    <row r="480" spans="1:12" ht="15.75" x14ac:dyDescent="0.25">
      <c r="A480" s="32">
        <v>55549</v>
      </c>
      <c r="B480" s="14">
        <f>81.0921 * CHOOSE(CONTROL!$C$9, $D$9, 100%, $F$9) + CHOOSE(CONTROL!$C$27, 0.0021, 0)</f>
        <v>81.094200000000001</v>
      </c>
      <c r="C480" s="14">
        <f>80.6598 * CHOOSE(CONTROL!$C$9, $D$9, 100%, $F$9) + CHOOSE(CONTROL!$C$27, 0.0021, 0)</f>
        <v>80.661900000000003</v>
      </c>
      <c r="D480" s="14">
        <f>80.6598 * CHOOSE(CONTROL!$C$9, $D$9, 100%, $F$9) + CHOOSE(CONTROL!$C$27, 0.0021, 0)</f>
        <v>80.661900000000003</v>
      </c>
      <c r="E480" s="14">
        <f>80.5232 * CHOOSE(CONTROL!$C$9, $D$9, 100%, $F$9) + CHOOSE(CONTROL!$C$27, 0.0021, 0)</f>
        <v>80.525300000000001</v>
      </c>
      <c r="F480" s="14">
        <f>80.5232 * CHOOSE(CONTROL!$C$9, $D$9, 100%, $F$9) + CHOOSE(CONTROL!$C$27, 0.0021, 0)</f>
        <v>80.525300000000001</v>
      </c>
      <c r="G480" s="14">
        <f>80.7945 * CHOOSE(CONTROL!$C$9, $D$9, 100%, $F$9) + CHOOSE(CONTROL!$C$27, 0.0021, 0)</f>
        <v>80.796599999999998</v>
      </c>
      <c r="H480" s="14">
        <f>80.6598 * CHOOSE(CONTROL!$C$9, $D$9, 100%, $F$9) + CHOOSE(CONTROL!$C$27, 0.0021, 0)</f>
        <v>80.661900000000003</v>
      </c>
      <c r="I480" s="14">
        <f>80.6598 * CHOOSE(CONTROL!$C$9, $D$9, 100%, $F$9) + CHOOSE(CONTROL!$C$27, 0.0021, 0)</f>
        <v>80.661900000000003</v>
      </c>
      <c r="J480" s="14">
        <f>80.6598 * CHOOSE(CONTROL!$C$9, $D$9, 100%, $F$9) + CHOOSE(CONTROL!$C$27, 0.0021, 0)</f>
        <v>80.661900000000003</v>
      </c>
      <c r="K480" s="14">
        <f>80.6598 * CHOOSE(CONTROL!$C$9, $D$9, 100%, $F$9) + CHOOSE(CONTROL!$C$27, 0.0021, 0)</f>
        <v>80.661900000000003</v>
      </c>
      <c r="L480" s="14"/>
    </row>
    <row r="481" spans="1:12" ht="15.75" x14ac:dyDescent="0.25">
      <c r="A481" s="32">
        <v>55577</v>
      </c>
      <c r="B481" s="14">
        <f>78.8632 * CHOOSE(CONTROL!$C$9, $D$9, 100%, $F$9) + CHOOSE(CONTROL!$C$27, 0.0021, 0)</f>
        <v>78.865300000000005</v>
      </c>
      <c r="C481" s="14">
        <f>78.4309 * CHOOSE(CONTROL!$C$9, $D$9, 100%, $F$9) + CHOOSE(CONTROL!$C$27, 0.0021, 0)</f>
        <v>78.432999999999993</v>
      </c>
      <c r="D481" s="14">
        <f>78.4309 * CHOOSE(CONTROL!$C$9, $D$9, 100%, $F$9) + CHOOSE(CONTROL!$C$27, 0.0021, 0)</f>
        <v>78.432999999999993</v>
      </c>
      <c r="E481" s="14">
        <f>78.2943 * CHOOSE(CONTROL!$C$9, $D$9, 100%, $F$9) + CHOOSE(CONTROL!$C$27, 0.0021, 0)</f>
        <v>78.296400000000006</v>
      </c>
      <c r="F481" s="14">
        <f>78.2943 * CHOOSE(CONTROL!$C$9, $D$9, 100%, $F$9) + CHOOSE(CONTROL!$C$27, 0.0021, 0)</f>
        <v>78.296400000000006</v>
      </c>
      <c r="G481" s="14">
        <f>78.5657 * CHOOSE(CONTROL!$C$9, $D$9, 100%, $F$9) + CHOOSE(CONTROL!$C$27, 0.0021, 0)</f>
        <v>78.567800000000005</v>
      </c>
      <c r="H481" s="14">
        <f>78.4309 * CHOOSE(CONTROL!$C$9, $D$9, 100%, $F$9) + CHOOSE(CONTROL!$C$27, 0.0021, 0)</f>
        <v>78.432999999999993</v>
      </c>
      <c r="I481" s="14">
        <f>78.4309 * CHOOSE(CONTROL!$C$9, $D$9, 100%, $F$9) + CHOOSE(CONTROL!$C$27, 0.0021, 0)</f>
        <v>78.432999999999993</v>
      </c>
      <c r="J481" s="14">
        <f>78.4309 * CHOOSE(CONTROL!$C$9, $D$9, 100%, $F$9) + CHOOSE(CONTROL!$C$27, 0.0021, 0)</f>
        <v>78.432999999999993</v>
      </c>
      <c r="K481" s="14">
        <f>78.4309 * CHOOSE(CONTROL!$C$9, $D$9, 100%, $F$9) + CHOOSE(CONTROL!$C$27, 0.0021, 0)</f>
        <v>78.432999999999993</v>
      </c>
      <c r="L481" s="14"/>
    </row>
    <row r="482" spans="1:12" ht="15.75" x14ac:dyDescent="0.25">
      <c r="A482" s="32">
        <v>55609</v>
      </c>
      <c r="B482" s="14">
        <f>77.9431 * CHOOSE(CONTROL!$C$9, $D$9, 100%, $F$9) + CHOOSE(CONTROL!$C$27, 0.0021, 0)</f>
        <v>77.9452</v>
      </c>
      <c r="C482" s="14">
        <f>77.5109 * CHOOSE(CONTROL!$C$9, $D$9, 100%, $F$9) + CHOOSE(CONTROL!$C$27, 0.0021, 0)</f>
        <v>77.513000000000005</v>
      </c>
      <c r="D482" s="14">
        <f>77.5109 * CHOOSE(CONTROL!$C$9, $D$9, 100%, $F$9) + CHOOSE(CONTROL!$C$27, 0.0021, 0)</f>
        <v>77.513000000000005</v>
      </c>
      <c r="E482" s="14">
        <f>77.3742 * CHOOSE(CONTROL!$C$9, $D$9, 100%, $F$9) + CHOOSE(CONTROL!$C$27, 0.0021, 0)</f>
        <v>77.376300000000001</v>
      </c>
      <c r="F482" s="14">
        <f>77.3742 * CHOOSE(CONTROL!$C$9, $D$9, 100%, $F$9) + CHOOSE(CONTROL!$C$27, 0.0021, 0)</f>
        <v>77.376300000000001</v>
      </c>
      <c r="G482" s="14">
        <f>77.6456 * CHOOSE(CONTROL!$C$9, $D$9, 100%, $F$9) + CHOOSE(CONTROL!$C$27, 0.0021, 0)</f>
        <v>77.6477</v>
      </c>
      <c r="H482" s="14">
        <f>77.5109 * CHOOSE(CONTROL!$C$9, $D$9, 100%, $F$9) + CHOOSE(CONTROL!$C$27, 0.0021, 0)</f>
        <v>77.513000000000005</v>
      </c>
      <c r="I482" s="14">
        <f>77.5109 * CHOOSE(CONTROL!$C$9, $D$9, 100%, $F$9) + CHOOSE(CONTROL!$C$27, 0.0021, 0)</f>
        <v>77.513000000000005</v>
      </c>
      <c r="J482" s="14">
        <f>77.5109 * CHOOSE(CONTROL!$C$9, $D$9, 100%, $F$9) + CHOOSE(CONTROL!$C$27, 0.0021, 0)</f>
        <v>77.513000000000005</v>
      </c>
      <c r="K482" s="14">
        <f>77.5109 * CHOOSE(CONTROL!$C$9, $D$9, 100%, $F$9) + CHOOSE(CONTROL!$C$27, 0.0021, 0)</f>
        <v>77.513000000000005</v>
      </c>
      <c r="L482" s="14"/>
    </row>
    <row r="483" spans="1:12" ht="15.75" x14ac:dyDescent="0.25">
      <c r="A483" s="32">
        <v>55639</v>
      </c>
      <c r="B483" s="14">
        <f>76.8445 * CHOOSE(CONTROL!$C$9, $D$9, 100%, $F$9) + CHOOSE(CONTROL!$C$27, 0.0021, 0)</f>
        <v>76.846599999999995</v>
      </c>
      <c r="C483" s="14">
        <f>76.4123 * CHOOSE(CONTROL!$C$9, $D$9, 100%, $F$9) + CHOOSE(CONTROL!$C$27, 0.0021, 0)</f>
        <v>76.414400000000001</v>
      </c>
      <c r="D483" s="14">
        <f>76.4123 * CHOOSE(CONTROL!$C$9, $D$9, 100%, $F$9) + CHOOSE(CONTROL!$C$27, 0.0021, 0)</f>
        <v>76.414400000000001</v>
      </c>
      <c r="E483" s="14">
        <f>76.2756 * CHOOSE(CONTROL!$C$9, $D$9, 100%, $F$9) + CHOOSE(CONTROL!$C$27, 0.0021, 0)</f>
        <v>76.277699999999996</v>
      </c>
      <c r="F483" s="14">
        <f>76.2756 * CHOOSE(CONTROL!$C$9, $D$9, 100%, $F$9) + CHOOSE(CONTROL!$C$27, 0.0021, 0)</f>
        <v>76.277699999999996</v>
      </c>
      <c r="G483" s="14">
        <f>76.547 * CHOOSE(CONTROL!$C$9, $D$9, 100%, $F$9) + CHOOSE(CONTROL!$C$27, 0.0021, 0)</f>
        <v>76.549099999999996</v>
      </c>
      <c r="H483" s="14">
        <f>76.4123 * CHOOSE(CONTROL!$C$9, $D$9, 100%, $F$9) + CHOOSE(CONTROL!$C$27, 0.0021, 0)</f>
        <v>76.414400000000001</v>
      </c>
      <c r="I483" s="14">
        <f>76.4123 * CHOOSE(CONTROL!$C$9, $D$9, 100%, $F$9) + CHOOSE(CONTROL!$C$27, 0.0021, 0)</f>
        <v>76.414400000000001</v>
      </c>
      <c r="J483" s="14">
        <f>76.4123 * CHOOSE(CONTROL!$C$9, $D$9, 100%, $F$9) + CHOOSE(CONTROL!$C$27, 0.0021, 0)</f>
        <v>76.414400000000001</v>
      </c>
      <c r="K483" s="14">
        <f>76.4123 * CHOOSE(CONTROL!$C$9, $D$9, 100%, $F$9) + CHOOSE(CONTROL!$C$27, 0.0021, 0)</f>
        <v>76.414400000000001</v>
      </c>
      <c r="L483" s="14"/>
    </row>
    <row r="484" spans="1:12" ht="15.75" x14ac:dyDescent="0.25">
      <c r="A484" s="32">
        <v>55670</v>
      </c>
      <c r="B484" s="14">
        <f>78.4101 * CHOOSE(CONTROL!$C$9, $D$9, 100%, $F$9) + CHOOSE(CONTROL!$C$27, 0.0021, 0)</f>
        <v>78.412199999999999</v>
      </c>
      <c r="C484" s="14">
        <f>77.9779 * CHOOSE(CONTROL!$C$9, $D$9, 100%, $F$9) + CHOOSE(CONTROL!$C$27, 0.0021, 0)</f>
        <v>77.98</v>
      </c>
      <c r="D484" s="14">
        <f>77.9779 * CHOOSE(CONTROL!$C$9, $D$9, 100%, $F$9) + CHOOSE(CONTROL!$C$27, 0.0021, 0)</f>
        <v>77.98</v>
      </c>
      <c r="E484" s="14">
        <f>77.8412 * CHOOSE(CONTROL!$C$9, $D$9, 100%, $F$9) + CHOOSE(CONTROL!$C$27, 0.0021, 0)</f>
        <v>77.843299999999999</v>
      </c>
      <c r="F484" s="14">
        <f>77.8412 * CHOOSE(CONTROL!$C$9, $D$9, 100%, $F$9) + CHOOSE(CONTROL!$C$27, 0.0021, 0)</f>
        <v>77.843299999999999</v>
      </c>
      <c r="G484" s="14">
        <f>78.1126 * CHOOSE(CONTROL!$C$9, $D$9, 100%, $F$9) + CHOOSE(CONTROL!$C$27, 0.0021, 0)</f>
        <v>78.114699999999999</v>
      </c>
      <c r="H484" s="14">
        <f>77.9779 * CHOOSE(CONTROL!$C$9, $D$9, 100%, $F$9) + CHOOSE(CONTROL!$C$27, 0.0021, 0)</f>
        <v>77.98</v>
      </c>
      <c r="I484" s="14">
        <f>77.9779 * CHOOSE(CONTROL!$C$9, $D$9, 100%, $F$9) + CHOOSE(CONTROL!$C$27, 0.0021, 0)</f>
        <v>77.98</v>
      </c>
      <c r="J484" s="14">
        <f>77.9779 * CHOOSE(CONTROL!$C$9, $D$9, 100%, $F$9) + CHOOSE(CONTROL!$C$27, 0.0021, 0)</f>
        <v>77.98</v>
      </c>
      <c r="K484" s="14">
        <f>77.9779 * CHOOSE(CONTROL!$C$9, $D$9, 100%, $F$9) + CHOOSE(CONTROL!$C$27, 0.0021, 0)</f>
        <v>77.98</v>
      </c>
      <c r="L484" s="14"/>
    </row>
    <row r="485" spans="1:12" ht="15.75" x14ac:dyDescent="0.25">
      <c r="A485" s="32">
        <v>55700</v>
      </c>
      <c r="B485" s="14">
        <f>79.3479 * CHOOSE(CONTROL!$C$9, $D$9, 100%, $F$9) + CHOOSE(CONTROL!$C$27, 0.0021, 0)</f>
        <v>79.349999999999994</v>
      </c>
      <c r="C485" s="14">
        <f>78.9157 * CHOOSE(CONTROL!$C$9, $D$9, 100%, $F$9) + CHOOSE(CONTROL!$C$27, 0.0021, 0)</f>
        <v>78.9178</v>
      </c>
      <c r="D485" s="14">
        <f>78.9157 * CHOOSE(CONTROL!$C$9, $D$9, 100%, $F$9) + CHOOSE(CONTROL!$C$27, 0.0021, 0)</f>
        <v>78.9178</v>
      </c>
      <c r="E485" s="14">
        <f>78.779 * CHOOSE(CONTROL!$C$9, $D$9, 100%, $F$9) + CHOOSE(CONTROL!$C$27, 0.0021, 0)</f>
        <v>78.781099999999995</v>
      </c>
      <c r="F485" s="14">
        <f>78.779 * CHOOSE(CONTROL!$C$9, $D$9, 100%, $F$9) + CHOOSE(CONTROL!$C$27, 0.0021, 0)</f>
        <v>78.781099999999995</v>
      </c>
      <c r="G485" s="14">
        <f>79.0504 * CHOOSE(CONTROL!$C$9, $D$9, 100%, $F$9) + CHOOSE(CONTROL!$C$27, 0.0021, 0)</f>
        <v>79.052499999999995</v>
      </c>
      <c r="H485" s="14">
        <f>78.9157 * CHOOSE(CONTROL!$C$9, $D$9, 100%, $F$9) + CHOOSE(CONTROL!$C$27, 0.0021, 0)</f>
        <v>78.9178</v>
      </c>
      <c r="I485" s="14">
        <f>78.9157 * CHOOSE(CONTROL!$C$9, $D$9, 100%, $F$9) + CHOOSE(CONTROL!$C$27, 0.0021, 0)</f>
        <v>78.9178</v>
      </c>
      <c r="J485" s="14">
        <f>78.9157 * CHOOSE(CONTROL!$C$9, $D$9, 100%, $F$9) + CHOOSE(CONTROL!$C$27, 0.0021, 0)</f>
        <v>78.9178</v>
      </c>
      <c r="K485" s="14">
        <f>78.9157 * CHOOSE(CONTROL!$C$9, $D$9, 100%, $F$9) + CHOOSE(CONTROL!$C$27, 0.0021, 0)</f>
        <v>78.9178</v>
      </c>
      <c r="L485" s="14"/>
    </row>
    <row r="486" spans="1:12" ht="15.75" x14ac:dyDescent="0.25">
      <c r="A486" s="32">
        <v>55731</v>
      </c>
      <c r="B486" s="14">
        <f>80.8948 * CHOOSE(CONTROL!$C$9, $D$9, 100%, $F$9) + CHOOSE(CONTROL!$C$27, 0.0021, 0)</f>
        <v>80.896900000000002</v>
      </c>
      <c r="C486" s="14">
        <f>80.4626 * CHOOSE(CONTROL!$C$9, $D$9, 100%, $F$9) + CHOOSE(CONTROL!$C$27, 0.0021, 0)</f>
        <v>80.464699999999993</v>
      </c>
      <c r="D486" s="14">
        <f>80.4626 * CHOOSE(CONTROL!$C$9, $D$9, 100%, $F$9) + CHOOSE(CONTROL!$C$27, 0.0021, 0)</f>
        <v>80.464699999999993</v>
      </c>
      <c r="E486" s="14">
        <f>80.3259 * CHOOSE(CONTROL!$C$9, $D$9, 100%, $F$9) + CHOOSE(CONTROL!$C$27, 0.0021, 0)</f>
        <v>80.328000000000003</v>
      </c>
      <c r="F486" s="14">
        <f>80.3259 * CHOOSE(CONTROL!$C$9, $D$9, 100%, $F$9) + CHOOSE(CONTROL!$C$27, 0.0021, 0)</f>
        <v>80.328000000000003</v>
      </c>
      <c r="G486" s="14">
        <f>80.5973 * CHOOSE(CONTROL!$C$9, $D$9, 100%, $F$9) + CHOOSE(CONTROL!$C$27, 0.0021, 0)</f>
        <v>80.599400000000003</v>
      </c>
      <c r="H486" s="14">
        <f>80.4626 * CHOOSE(CONTROL!$C$9, $D$9, 100%, $F$9) + CHOOSE(CONTROL!$C$27, 0.0021, 0)</f>
        <v>80.464699999999993</v>
      </c>
      <c r="I486" s="14">
        <f>80.4626 * CHOOSE(CONTROL!$C$9, $D$9, 100%, $F$9) + CHOOSE(CONTROL!$C$27, 0.0021, 0)</f>
        <v>80.464699999999993</v>
      </c>
      <c r="J486" s="14">
        <f>80.4626 * CHOOSE(CONTROL!$C$9, $D$9, 100%, $F$9) + CHOOSE(CONTROL!$C$27, 0.0021, 0)</f>
        <v>80.464699999999993</v>
      </c>
      <c r="K486" s="14">
        <f>80.4626 * CHOOSE(CONTROL!$C$9, $D$9, 100%, $F$9) + CHOOSE(CONTROL!$C$27, 0.0021, 0)</f>
        <v>80.464699999999993</v>
      </c>
      <c r="L486" s="14"/>
    </row>
    <row r="487" spans="1:12" ht="15.75" x14ac:dyDescent="0.25">
      <c r="A487" s="32">
        <v>55762</v>
      </c>
      <c r="B487" s="14">
        <f>81.367 * CHOOSE(CONTROL!$C$9, $D$9, 100%, $F$9) + CHOOSE(CONTROL!$C$27, 0.0021, 0)</f>
        <v>81.369100000000003</v>
      </c>
      <c r="C487" s="14">
        <f>80.9348 * CHOOSE(CONTROL!$C$9, $D$9, 100%, $F$9) + CHOOSE(CONTROL!$C$27, 0.0021, 0)</f>
        <v>80.936899999999994</v>
      </c>
      <c r="D487" s="14">
        <f>80.9348 * CHOOSE(CONTROL!$C$9, $D$9, 100%, $F$9) + CHOOSE(CONTROL!$C$27, 0.0021, 0)</f>
        <v>80.936899999999994</v>
      </c>
      <c r="E487" s="14">
        <f>80.7981 * CHOOSE(CONTROL!$C$9, $D$9, 100%, $F$9) + CHOOSE(CONTROL!$C$27, 0.0021, 0)</f>
        <v>80.800200000000004</v>
      </c>
      <c r="F487" s="14">
        <f>80.7981 * CHOOSE(CONTROL!$C$9, $D$9, 100%, $F$9) + CHOOSE(CONTROL!$C$27, 0.0021, 0)</f>
        <v>80.800200000000004</v>
      </c>
      <c r="G487" s="14">
        <f>81.0695 * CHOOSE(CONTROL!$C$9, $D$9, 100%, $F$9) + CHOOSE(CONTROL!$C$27, 0.0021, 0)</f>
        <v>81.071600000000004</v>
      </c>
      <c r="H487" s="14">
        <f>80.9348 * CHOOSE(CONTROL!$C$9, $D$9, 100%, $F$9) + CHOOSE(CONTROL!$C$27, 0.0021, 0)</f>
        <v>80.936899999999994</v>
      </c>
      <c r="I487" s="14">
        <f>80.9348 * CHOOSE(CONTROL!$C$9, $D$9, 100%, $F$9) + CHOOSE(CONTROL!$C$27, 0.0021, 0)</f>
        <v>80.936899999999994</v>
      </c>
      <c r="J487" s="14">
        <f>80.9348 * CHOOSE(CONTROL!$C$9, $D$9, 100%, $F$9) + CHOOSE(CONTROL!$C$27, 0.0021, 0)</f>
        <v>80.936899999999994</v>
      </c>
      <c r="K487" s="14">
        <f>80.9348 * CHOOSE(CONTROL!$C$9, $D$9, 100%, $F$9) + CHOOSE(CONTROL!$C$27, 0.0021, 0)</f>
        <v>80.936899999999994</v>
      </c>
      <c r="L487" s="14"/>
    </row>
    <row r="488" spans="1:12" ht="15.75" x14ac:dyDescent="0.25">
      <c r="A488" s="32">
        <v>55792</v>
      </c>
      <c r="B488" s="14">
        <f>82.975 * CHOOSE(CONTROL!$C$9, $D$9, 100%, $F$9) + CHOOSE(CONTROL!$C$27, 0.0021, 0)</f>
        <v>82.977099999999993</v>
      </c>
      <c r="C488" s="14">
        <f>82.5427 * CHOOSE(CONTROL!$C$9, $D$9, 100%, $F$9) + CHOOSE(CONTROL!$C$27, 0.0021, 0)</f>
        <v>82.544799999999995</v>
      </c>
      <c r="D488" s="14">
        <f>82.5427 * CHOOSE(CONTROL!$C$9, $D$9, 100%, $F$9) + CHOOSE(CONTROL!$C$27, 0.0021, 0)</f>
        <v>82.544799999999995</v>
      </c>
      <c r="E488" s="14">
        <f>82.4061 * CHOOSE(CONTROL!$C$9, $D$9, 100%, $F$9) + CHOOSE(CONTROL!$C$27, 0.0021, 0)</f>
        <v>82.408199999999994</v>
      </c>
      <c r="F488" s="14">
        <f>82.4061 * CHOOSE(CONTROL!$C$9, $D$9, 100%, $F$9) + CHOOSE(CONTROL!$C$27, 0.0021, 0)</f>
        <v>82.408199999999994</v>
      </c>
      <c r="G488" s="14">
        <f>82.6775 * CHOOSE(CONTROL!$C$9, $D$9, 100%, $F$9) + CHOOSE(CONTROL!$C$27, 0.0021, 0)</f>
        <v>82.679599999999994</v>
      </c>
      <c r="H488" s="14">
        <f>82.5427 * CHOOSE(CONTROL!$C$9, $D$9, 100%, $F$9) + CHOOSE(CONTROL!$C$27, 0.0021, 0)</f>
        <v>82.544799999999995</v>
      </c>
      <c r="I488" s="14">
        <f>82.5427 * CHOOSE(CONTROL!$C$9, $D$9, 100%, $F$9) + CHOOSE(CONTROL!$C$27, 0.0021, 0)</f>
        <v>82.544799999999995</v>
      </c>
      <c r="J488" s="14">
        <f>82.5427 * CHOOSE(CONTROL!$C$9, $D$9, 100%, $F$9) + CHOOSE(CONTROL!$C$27, 0.0021, 0)</f>
        <v>82.544799999999995</v>
      </c>
      <c r="K488" s="14">
        <f>82.5427 * CHOOSE(CONTROL!$C$9, $D$9, 100%, $F$9) + CHOOSE(CONTROL!$C$27, 0.0021, 0)</f>
        <v>82.544799999999995</v>
      </c>
      <c r="L488" s="14"/>
    </row>
    <row r="489" spans="1:12" ht="15.75" x14ac:dyDescent="0.25">
      <c r="A489" s="32">
        <v>55823</v>
      </c>
      <c r="B489" s="14">
        <f>85.0104 * CHOOSE(CONTROL!$C$9, $D$9, 100%, $F$9) + CHOOSE(CONTROL!$C$27, 0.0021, 0)</f>
        <v>85.012500000000003</v>
      </c>
      <c r="C489" s="14">
        <f>84.5782 * CHOOSE(CONTROL!$C$9, $D$9, 100%, $F$9) + CHOOSE(CONTROL!$C$27, 0.0021, 0)</f>
        <v>84.580299999999994</v>
      </c>
      <c r="D489" s="14">
        <f>84.5782 * CHOOSE(CONTROL!$C$9, $D$9, 100%, $F$9) + CHOOSE(CONTROL!$C$27, 0.0021, 0)</f>
        <v>84.580299999999994</v>
      </c>
      <c r="E489" s="14">
        <f>84.4415 * CHOOSE(CONTROL!$C$9, $D$9, 100%, $F$9) + CHOOSE(CONTROL!$C$27, 0.0021, 0)</f>
        <v>84.443600000000004</v>
      </c>
      <c r="F489" s="14">
        <f>84.4415 * CHOOSE(CONTROL!$C$9, $D$9, 100%, $F$9) + CHOOSE(CONTROL!$C$27, 0.0021, 0)</f>
        <v>84.443600000000004</v>
      </c>
      <c r="G489" s="14">
        <f>84.7129 * CHOOSE(CONTROL!$C$9, $D$9, 100%, $F$9) + CHOOSE(CONTROL!$C$27, 0.0021, 0)</f>
        <v>84.715000000000003</v>
      </c>
      <c r="H489" s="14">
        <f>84.5782 * CHOOSE(CONTROL!$C$9, $D$9, 100%, $F$9) + CHOOSE(CONTROL!$C$27, 0.0021, 0)</f>
        <v>84.580299999999994</v>
      </c>
      <c r="I489" s="14">
        <f>84.5782 * CHOOSE(CONTROL!$C$9, $D$9, 100%, $F$9) + CHOOSE(CONTROL!$C$27, 0.0021, 0)</f>
        <v>84.580299999999994</v>
      </c>
      <c r="J489" s="14">
        <f>84.5782 * CHOOSE(CONTROL!$C$9, $D$9, 100%, $F$9) + CHOOSE(CONTROL!$C$27, 0.0021, 0)</f>
        <v>84.580299999999994</v>
      </c>
      <c r="K489" s="14">
        <f>84.5782 * CHOOSE(CONTROL!$C$9, $D$9, 100%, $F$9) + CHOOSE(CONTROL!$C$27, 0.0021, 0)</f>
        <v>84.580299999999994</v>
      </c>
      <c r="L489" s="14"/>
    </row>
    <row r="490" spans="1:12" ht="15.75" x14ac:dyDescent="0.25">
      <c r="A490" s="32">
        <v>55853</v>
      </c>
      <c r="B490" s="14">
        <f>85.2015 * CHOOSE(CONTROL!$C$9, $D$9, 100%, $F$9) + CHOOSE(CONTROL!$C$27, 0.0021, 0)</f>
        <v>85.203599999999994</v>
      </c>
      <c r="C490" s="14">
        <f>84.7693 * CHOOSE(CONTROL!$C$9, $D$9, 100%, $F$9) + CHOOSE(CONTROL!$C$27, 0.0021, 0)</f>
        <v>84.7714</v>
      </c>
      <c r="D490" s="14">
        <f>84.7693 * CHOOSE(CONTROL!$C$9, $D$9, 100%, $F$9) + CHOOSE(CONTROL!$C$27, 0.0021, 0)</f>
        <v>84.7714</v>
      </c>
      <c r="E490" s="14">
        <f>84.6326 * CHOOSE(CONTROL!$C$9, $D$9, 100%, $F$9) + CHOOSE(CONTROL!$C$27, 0.0021, 0)</f>
        <v>84.634699999999995</v>
      </c>
      <c r="F490" s="14">
        <f>84.6326 * CHOOSE(CONTROL!$C$9, $D$9, 100%, $F$9) + CHOOSE(CONTROL!$C$27, 0.0021, 0)</f>
        <v>84.634699999999995</v>
      </c>
      <c r="G490" s="14">
        <f>84.904 * CHOOSE(CONTROL!$C$9, $D$9, 100%, $F$9) + CHOOSE(CONTROL!$C$27, 0.0021, 0)</f>
        <v>84.906099999999995</v>
      </c>
      <c r="H490" s="14">
        <f>84.7693 * CHOOSE(CONTROL!$C$9, $D$9, 100%, $F$9) + CHOOSE(CONTROL!$C$27, 0.0021, 0)</f>
        <v>84.7714</v>
      </c>
      <c r="I490" s="14">
        <f>84.7693 * CHOOSE(CONTROL!$C$9, $D$9, 100%, $F$9) + CHOOSE(CONTROL!$C$27, 0.0021, 0)</f>
        <v>84.7714</v>
      </c>
      <c r="J490" s="14">
        <f>84.7693 * CHOOSE(CONTROL!$C$9, $D$9, 100%, $F$9) + CHOOSE(CONTROL!$C$27, 0.0021, 0)</f>
        <v>84.7714</v>
      </c>
      <c r="K490" s="14">
        <f>84.7693 * CHOOSE(CONTROL!$C$9, $D$9, 100%, $F$9) + CHOOSE(CONTROL!$C$27, 0.0021, 0)</f>
        <v>84.7714</v>
      </c>
      <c r="L490" s="14"/>
    </row>
    <row r="491" spans="1:12" ht="15.75" x14ac:dyDescent="0.25">
      <c r="A491" s="32">
        <v>55884</v>
      </c>
      <c r="B491" s="14">
        <f>83.5758 * CHOOSE(CONTROL!$C$9, $D$9, 100%, $F$9) + CHOOSE(CONTROL!$C$27, 0.0021, 0)</f>
        <v>83.5779</v>
      </c>
      <c r="C491" s="14">
        <f>83.1436 * CHOOSE(CONTROL!$C$9, $D$9, 100%, $F$9) + CHOOSE(CONTROL!$C$27, 0.0021, 0)</f>
        <v>83.145700000000005</v>
      </c>
      <c r="D491" s="14">
        <f>83.1436 * CHOOSE(CONTROL!$C$9, $D$9, 100%, $F$9) + CHOOSE(CONTROL!$C$27, 0.0021, 0)</f>
        <v>83.145700000000005</v>
      </c>
      <c r="E491" s="14">
        <f>83.0069 * CHOOSE(CONTROL!$C$9, $D$9, 100%, $F$9) + CHOOSE(CONTROL!$C$27, 0.0021, 0)</f>
        <v>83.009</v>
      </c>
      <c r="F491" s="14">
        <f>83.0069 * CHOOSE(CONTROL!$C$9, $D$9, 100%, $F$9) + CHOOSE(CONTROL!$C$27, 0.0021, 0)</f>
        <v>83.009</v>
      </c>
      <c r="G491" s="14">
        <f>83.2783 * CHOOSE(CONTROL!$C$9, $D$9, 100%, $F$9) + CHOOSE(CONTROL!$C$27, 0.0021, 0)</f>
        <v>83.2804</v>
      </c>
      <c r="H491" s="14">
        <f>83.1436 * CHOOSE(CONTROL!$C$9, $D$9, 100%, $F$9) + CHOOSE(CONTROL!$C$27, 0.0021, 0)</f>
        <v>83.145700000000005</v>
      </c>
      <c r="I491" s="14">
        <f>83.1436 * CHOOSE(CONTROL!$C$9, $D$9, 100%, $F$9) + CHOOSE(CONTROL!$C$27, 0.0021, 0)</f>
        <v>83.145700000000005</v>
      </c>
      <c r="J491" s="14">
        <f>83.1436 * CHOOSE(CONTROL!$C$9, $D$9, 100%, $F$9) + CHOOSE(CONTROL!$C$27, 0.0021, 0)</f>
        <v>83.145700000000005</v>
      </c>
      <c r="K491" s="14">
        <f>83.1436 * CHOOSE(CONTROL!$C$9, $D$9, 100%, $F$9) + CHOOSE(CONTROL!$C$27, 0.0021, 0)</f>
        <v>83.145700000000005</v>
      </c>
      <c r="L491" s="14"/>
    </row>
    <row r="492" spans="1:12" ht="15.75" x14ac:dyDescent="0.25">
      <c r="A492" s="32">
        <v>55915</v>
      </c>
      <c r="B492" s="14">
        <f>82.5484 * CHOOSE(CONTROL!$C$9, $D$9, 100%, $F$9) + CHOOSE(CONTROL!$C$27, 0.0021, 0)</f>
        <v>82.5505</v>
      </c>
      <c r="C492" s="14">
        <f>82.1161 * CHOOSE(CONTROL!$C$9, $D$9, 100%, $F$9) + CHOOSE(CONTROL!$C$27, 0.0021, 0)</f>
        <v>82.118200000000002</v>
      </c>
      <c r="D492" s="14">
        <f>82.1161 * CHOOSE(CONTROL!$C$9, $D$9, 100%, $F$9) + CHOOSE(CONTROL!$C$27, 0.0021, 0)</f>
        <v>82.118200000000002</v>
      </c>
      <c r="E492" s="14">
        <f>81.9794 * CHOOSE(CONTROL!$C$9, $D$9, 100%, $F$9) + CHOOSE(CONTROL!$C$27, 0.0021, 0)</f>
        <v>81.981499999999997</v>
      </c>
      <c r="F492" s="14">
        <f>81.9794 * CHOOSE(CONTROL!$C$9, $D$9, 100%, $F$9) + CHOOSE(CONTROL!$C$27, 0.0021, 0)</f>
        <v>81.981499999999997</v>
      </c>
      <c r="G492" s="14">
        <f>82.2508 * CHOOSE(CONTROL!$C$9, $D$9, 100%, $F$9) + CHOOSE(CONTROL!$C$27, 0.0021, 0)</f>
        <v>82.252899999999997</v>
      </c>
      <c r="H492" s="14">
        <f>82.1161 * CHOOSE(CONTROL!$C$9, $D$9, 100%, $F$9) + CHOOSE(CONTROL!$C$27, 0.0021, 0)</f>
        <v>82.118200000000002</v>
      </c>
      <c r="I492" s="14">
        <f>82.1161 * CHOOSE(CONTROL!$C$9, $D$9, 100%, $F$9) + CHOOSE(CONTROL!$C$27, 0.0021, 0)</f>
        <v>82.118200000000002</v>
      </c>
      <c r="J492" s="14">
        <f>82.1161 * CHOOSE(CONTROL!$C$9, $D$9, 100%, $F$9) + CHOOSE(CONTROL!$C$27, 0.0021, 0)</f>
        <v>82.118200000000002</v>
      </c>
      <c r="K492" s="14">
        <f>82.1161 * CHOOSE(CONTROL!$C$9, $D$9, 100%, $F$9) + CHOOSE(CONTROL!$C$27, 0.0021, 0)</f>
        <v>82.118200000000002</v>
      </c>
      <c r="L492" s="14"/>
    </row>
    <row r="493" spans="1:12" ht="15.75" x14ac:dyDescent="0.25">
      <c r="A493" s="32">
        <v>55943</v>
      </c>
      <c r="B493" s="14">
        <f>80.2783 * CHOOSE(CONTROL!$C$9, $D$9, 100%, $F$9) + CHOOSE(CONTROL!$C$27, 0.0021, 0)</f>
        <v>80.2804</v>
      </c>
      <c r="C493" s="14">
        <f>79.846 * CHOOSE(CONTROL!$C$9, $D$9, 100%, $F$9) + CHOOSE(CONTROL!$C$27, 0.0021, 0)</f>
        <v>79.848100000000002</v>
      </c>
      <c r="D493" s="14">
        <f>79.846 * CHOOSE(CONTROL!$C$9, $D$9, 100%, $F$9) + CHOOSE(CONTROL!$C$27, 0.0021, 0)</f>
        <v>79.848100000000002</v>
      </c>
      <c r="E493" s="14">
        <f>79.7094 * CHOOSE(CONTROL!$C$9, $D$9, 100%, $F$9) + CHOOSE(CONTROL!$C$27, 0.0021, 0)</f>
        <v>79.711500000000001</v>
      </c>
      <c r="F493" s="14">
        <f>79.7094 * CHOOSE(CONTROL!$C$9, $D$9, 100%, $F$9) + CHOOSE(CONTROL!$C$27, 0.0021, 0)</f>
        <v>79.711500000000001</v>
      </c>
      <c r="G493" s="14">
        <f>79.9807 * CHOOSE(CONTROL!$C$9, $D$9, 100%, $F$9) + CHOOSE(CONTROL!$C$27, 0.0021, 0)</f>
        <v>79.982799999999997</v>
      </c>
      <c r="H493" s="14">
        <f>79.846 * CHOOSE(CONTROL!$C$9, $D$9, 100%, $F$9) + CHOOSE(CONTROL!$C$27, 0.0021, 0)</f>
        <v>79.848100000000002</v>
      </c>
      <c r="I493" s="14">
        <f>79.846 * CHOOSE(CONTROL!$C$9, $D$9, 100%, $F$9) + CHOOSE(CONTROL!$C$27, 0.0021, 0)</f>
        <v>79.848100000000002</v>
      </c>
      <c r="J493" s="14">
        <f>79.846 * CHOOSE(CONTROL!$C$9, $D$9, 100%, $F$9) + CHOOSE(CONTROL!$C$27, 0.0021, 0)</f>
        <v>79.848100000000002</v>
      </c>
      <c r="K493" s="14">
        <f>79.846 * CHOOSE(CONTROL!$C$9, $D$9, 100%, $F$9) + CHOOSE(CONTROL!$C$27, 0.0021, 0)</f>
        <v>79.848100000000002</v>
      </c>
      <c r="L493" s="14"/>
    </row>
    <row r="494" spans="1:12" ht="15.75" x14ac:dyDescent="0.25">
      <c r="A494" s="32">
        <v>55974</v>
      </c>
      <c r="B494" s="14">
        <f>79.3412 * CHOOSE(CONTROL!$C$9, $D$9, 100%, $F$9) + CHOOSE(CONTROL!$C$27, 0.0021, 0)</f>
        <v>79.343299999999999</v>
      </c>
      <c r="C494" s="14">
        <f>78.909 * CHOOSE(CONTROL!$C$9, $D$9, 100%, $F$9) + CHOOSE(CONTROL!$C$27, 0.0021, 0)</f>
        <v>78.911100000000005</v>
      </c>
      <c r="D494" s="14">
        <f>78.909 * CHOOSE(CONTROL!$C$9, $D$9, 100%, $F$9) + CHOOSE(CONTROL!$C$27, 0.0021, 0)</f>
        <v>78.911100000000005</v>
      </c>
      <c r="E494" s="14">
        <f>78.7723 * CHOOSE(CONTROL!$C$9, $D$9, 100%, $F$9) + CHOOSE(CONTROL!$C$27, 0.0021, 0)</f>
        <v>78.7744</v>
      </c>
      <c r="F494" s="14">
        <f>78.7723 * CHOOSE(CONTROL!$C$9, $D$9, 100%, $F$9) + CHOOSE(CONTROL!$C$27, 0.0021, 0)</f>
        <v>78.7744</v>
      </c>
      <c r="G494" s="14">
        <f>79.0437 * CHOOSE(CONTROL!$C$9, $D$9, 100%, $F$9) + CHOOSE(CONTROL!$C$27, 0.0021, 0)</f>
        <v>79.0458</v>
      </c>
      <c r="H494" s="14">
        <f>78.909 * CHOOSE(CONTROL!$C$9, $D$9, 100%, $F$9) + CHOOSE(CONTROL!$C$27, 0.0021, 0)</f>
        <v>78.911100000000005</v>
      </c>
      <c r="I494" s="14">
        <f>78.909 * CHOOSE(CONTROL!$C$9, $D$9, 100%, $F$9) + CHOOSE(CONTROL!$C$27, 0.0021, 0)</f>
        <v>78.911100000000005</v>
      </c>
      <c r="J494" s="14">
        <f>78.909 * CHOOSE(CONTROL!$C$9, $D$9, 100%, $F$9) + CHOOSE(CONTROL!$C$27, 0.0021, 0)</f>
        <v>78.911100000000005</v>
      </c>
      <c r="K494" s="14">
        <f>78.909 * CHOOSE(CONTROL!$C$9, $D$9, 100%, $F$9) + CHOOSE(CONTROL!$C$27, 0.0021, 0)</f>
        <v>78.911100000000005</v>
      </c>
      <c r="L494" s="14"/>
    </row>
    <row r="495" spans="1:12" ht="15.75" x14ac:dyDescent="0.25">
      <c r="A495" s="32">
        <v>56004</v>
      </c>
      <c r="B495" s="14">
        <f>78.2223 * CHOOSE(CONTROL!$C$9, $D$9, 100%, $F$9) + CHOOSE(CONTROL!$C$27, 0.0021, 0)</f>
        <v>78.224400000000003</v>
      </c>
      <c r="C495" s="14">
        <f>77.7901 * CHOOSE(CONTROL!$C$9, $D$9, 100%, $F$9) + CHOOSE(CONTROL!$C$27, 0.0021, 0)</f>
        <v>77.792199999999994</v>
      </c>
      <c r="D495" s="14">
        <f>77.7901 * CHOOSE(CONTROL!$C$9, $D$9, 100%, $F$9) + CHOOSE(CONTROL!$C$27, 0.0021, 0)</f>
        <v>77.792199999999994</v>
      </c>
      <c r="E495" s="14">
        <f>77.6534 * CHOOSE(CONTROL!$C$9, $D$9, 100%, $F$9) + CHOOSE(CONTROL!$C$27, 0.0021, 0)</f>
        <v>77.655500000000004</v>
      </c>
      <c r="F495" s="14">
        <f>77.6534 * CHOOSE(CONTROL!$C$9, $D$9, 100%, $F$9) + CHOOSE(CONTROL!$C$27, 0.0021, 0)</f>
        <v>77.655500000000004</v>
      </c>
      <c r="G495" s="14">
        <f>77.9248 * CHOOSE(CONTROL!$C$9, $D$9, 100%, $F$9) + CHOOSE(CONTROL!$C$27, 0.0021, 0)</f>
        <v>77.926900000000003</v>
      </c>
      <c r="H495" s="14">
        <f>77.7901 * CHOOSE(CONTROL!$C$9, $D$9, 100%, $F$9) + CHOOSE(CONTROL!$C$27, 0.0021, 0)</f>
        <v>77.792199999999994</v>
      </c>
      <c r="I495" s="14">
        <f>77.7901 * CHOOSE(CONTROL!$C$9, $D$9, 100%, $F$9) + CHOOSE(CONTROL!$C$27, 0.0021, 0)</f>
        <v>77.792199999999994</v>
      </c>
      <c r="J495" s="14">
        <f>77.7901 * CHOOSE(CONTROL!$C$9, $D$9, 100%, $F$9) + CHOOSE(CONTROL!$C$27, 0.0021, 0)</f>
        <v>77.792199999999994</v>
      </c>
      <c r="K495" s="14">
        <f>77.7901 * CHOOSE(CONTROL!$C$9, $D$9, 100%, $F$9) + CHOOSE(CONTROL!$C$27, 0.0021, 0)</f>
        <v>77.792199999999994</v>
      </c>
      <c r="L495" s="14"/>
    </row>
    <row r="496" spans="1:12" ht="15.75" x14ac:dyDescent="0.25">
      <c r="A496" s="32">
        <v>56035</v>
      </c>
      <c r="B496" s="14">
        <f>79.8169 * CHOOSE(CONTROL!$C$9, $D$9, 100%, $F$9) + CHOOSE(CONTROL!$C$27, 0.0021, 0)</f>
        <v>79.819000000000003</v>
      </c>
      <c r="C496" s="14">
        <f>79.3846 * CHOOSE(CONTROL!$C$9, $D$9, 100%, $F$9) + CHOOSE(CONTROL!$C$27, 0.0021, 0)</f>
        <v>79.386700000000005</v>
      </c>
      <c r="D496" s="14">
        <f>79.3846 * CHOOSE(CONTROL!$C$9, $D$9, 100%, $F$9) + CHOOSE(CONTROL!$C$27, 0.0021, 0)</f>
        <v>79.386700000000005</v>
      </c>
      <c r="E496" s="14">
        <f>79.248 * CHOOSE(CONTROL!$C$9, $D$9, 100%, $F$9) + CHOOSE(CONTROL!$C$27, 0.0021, 0)</f>
        <v>79.250100000000003</v>
      </c>
      <c r="F496" s="14">
        <f>79.248 * CHOOSE(CONTROL!$C$9, $D$9, 100%, $F$9) + CHOOSE(CONTROL!$C$27, 0.0021, 0)</f>
        <v>79.250100000000003</v>
      </c>
      <c r="G496" s="14">
        <f>79.5193 * CHOOSE(CONTROL!$C$9, $D$9, 100%, $F$9) + CHOOSE(CONTROL!$C$27, 0.0021, 0)</f>
        <v>79.5214</v>
      </c>
      <c r="H496" s="14">
        <f>79.3846 * CHOOSE(CONTROL!$C$9, $D$9, 100%, $F$9) + CHOOSE(CONTROL!$C$27, 0.0021, 0)</f>
        <v>79.386700000000005</v>
      </c>
      <c r="I496" s="14">
        <f>79.3846 * CHOOSE(CONTROL!$C$9, $D$9, 100%, $F$9) + CHOOSE(CONTROL!$C$27, 0.0021, 0)</f>
        <v>79.386700000000005</v>
      </c>
      <c r="J496" s="14">
        <f>79.3846 * CHOOSE(CONTROL!$C$9, $D$9, 100%, $F$9) + CHOOSE(CONTROL!$C$27, 0.0021, 0)</f>
        <v>79.386700000000005</v>
      </c>
      <c r="K496" s="14">
        <f>79.3846 * CHOOSE(CONTROL!$C$9, $D$9, 100%, $F$9) + CHOOSE(CONTROL!$C$27, 0.0021, 0)</f>
        <v>79.386700000000005</v>
      </c>
      <c r="L496" s="14"/>
    </row>
    <row r="497" spans="1:12" ht="15.75" x14ac:dyDescent="0.25">
      <c r="A497" s="32">
        <v>56065</v>
      </c>
      <c r="B497" s="14">
        <f>80.7719 * CHOOSE(CONTROL!$C$9, $D$9, 100%, $F$9) + CHOOSE(CONTROL!$C$27, 0.0021, 0)</f>
        <v>80.774000000000001</v>
      </c>
      <c r="C497" s="14">
        <f>80.3397 * CHOOSE(CONTROL!$C$9, $D$9, 100%, $F$9) + CHOOSE(CONTROL!$C$27, 0.0021, 0)</f>
        <v>80.341799999999992</v>
      </c>
      <c r="D497" s="14">
        <f>80.3397 * CHOOSE(CONTROL!$C$9, $D$9, 100%, $F$9) + CHOOSE(CONTROL!$C$27, 0.0021, 0)</f>
        <v>80.341799999999992</v>
      </c>
      <c r="E497" s="14">
        <f>80.203 * CHOOSE(CONTROL!$C$9, $D$9, 100%, $F$9) + CHOOSE(CONTROL!$C$27, 0.0021, 0)</f>
        <v>80.205100000000002</v>
      </c>
      <c r="F497" s="14">
        <f>80.203 * CHOOSE(CONTROL!$C$9, $D$9, 100%, $F$9) + CHOOSE(CONTROL!$C$27, 0.0021, 0)</f>
        <v>80.205100000000002</v>
      </c>
      <c r="G497" s="14">
        <f>80.4744 * CHOOSE(CONTROL!$C$9, $D$9, 100%, $F$9) + CHOOSE(CONTROL!$C$27, 0.0021, 0)</f>
        <v>80.476500000000001</v>
      </c>
      <c r="H497" s="14">
        <f>80.3397 * CHOOSE(CONTROL!$C$9, $D$9, 100%, $F$9) + CHOOSE(CONTROL!$C$27, 0.0021, 0)</f>
        <v>80.341799999999992</v>
      </c>
      <c r="I497" s="14">
        <f>80.3397 * CHOOSE(CONTROL!$C$9, $D$9, 100%, $F$9) + CHOOSE(CONTROL!$C$27, 0.0021, 0)</f>
        <v>80.341799999999992</v>
      </c>
      <c r="J497" s="14">
        <f>80.3397 * CHOOSE(CONTROL!$C$9, $D$9, 100%, $F$9) + CHOOSE(CONTROL!$C$27, 0.0021, 0)</f>
        <v>80.341799999999992</v>
      </c>
      <c r="K497" s="14">
        <f>80.3397 * CHOOSE(CONTROL!$C$9, $D$9, 100%, $F$9) + CHOOSE(CONTROL!$C$27, 0.0021, 0)</f>
        <v>80.341799999999992</v>
      </c>
      <c r="L497" s="14"/>
    </row>
    <row r="498" spans="1:12" ht="15.75" x14ac:dyDescent="0.25">
      <c r="A498" s="32">
        <v>56096</v>
      </c>
      <c r="B498" s="14">
        <f>82.3475 * CHOOSE(CONTROL!$C$9, $D$9, 100%, $F$9) + CHOOSE(CONTROL!$C$27, 0.0021, 0)</f>
        <v>82.349599999999995</v>
      </c>
      <c r="C498" s="14">
        <f>81.9152 * CHOOSE(CONTROL!$C$9, $D$9, 100%, $F$9) + CHOOSE(CONTROL!$C$27, 0.0021, 0)</f>
        <v>81.917299999999997</v>
      </c>
      <c r="D498" s="14">
        <f>81.9152 * CHOOSE(CONTROL!$C$9, $D$9, 100%, $F$9) + CHOOSE(CONTROL!$C$27, 0.0021, 0)</f>
        <v>81.917299999999997</v>
      </c>
      <c r="E498" s="14">
        <f>81.7786 * CHOOSE(CONTROL!$C$9, $D$9, 100%, $F$9) + CHOOSE(CONTROL!$C$27, 0.0021, 0)</f>
        <v>81.780699999999996</v>
      </c>
      <c r="F498" s="14">
        <f>81.7786 * CHOOSE(CONTROL!$C$9, $D$9, 100%, $F$9) + CHOOSE(CONTROL!$C$27, 0.0021, 0)</f>
        <v>81.780699999999996</v>
      </c>
      <c r="G498" s="14">
        <f>82.0499 * CHOOSE(CONTROL!$C$9, $D$9, 100%, $F$9) + CHOOSE(CONTROL!$C$27, 0.0021, 0)</f>
        <v>82.051999999999992</v>
      </c>
      <c r="H498" s="14">
        <f>81.9152 * CHOOSE(CONTROL!$C$9, $D$9, 100%, $F$9) + CHOOSE(CONTROL!$C$27, 0.0021, 0)</f>
        <v>81.917299999999997</v>
      </c>
      <c r="I498" s="14">
        <f>81.9152 * CHOOSE(CONTROL!$C$9, $D$9, 100%, $F$9) + CHOOSE(CONTROL!$C$27, 0.0021, 0)</f>
        <v>81.917299999999997</v>
      </c>
      <c r="J498" s="14">
        <f>81.9152 * CHOOSE(CONTROL!$C$9, $D$9, 100%, $F$9) + CHOOSE(CONTROL!$C$27, 0.0021, 0)</f>
        <v>81.917299999999997</v>
      </c>
      <c r="K498" s="14">
        <f>81.9152 * CHOOSE(CONTROL!$C$9, $D$9, 100%, $F$9) + CHOOSE(CONTROL!$C$27, 0.0021, 0)</f>
        <v>81.917299999999997</v>
      </c>
      <c r="L498" s="14"/>
    </row>
    <row r="499" spans="1:12" ht="15.75" x14ac:dyDescent="0.25">
      <c r="A499" s="32">
        <v>56127</v>
      </c>
      <c r="B499" s="14">
        <f>82.8284 * CHOOSE(CONTROL!$C$9, $D$9, 100%, $F$9) + CHOOSE(CONTROL!$C$27, 0.0021, 0)</f>
        <v>82.830500000000001</v>
      </c>
      <c r="C499" s="14">
        <f>82.3961 * CHOOSE(CONTROL!$C$9, $D$9, 100%, $F$9) + CHOOSE(CONTROL!$C$27, 0.0021, 0)</f>
        <v>82.398200000000003</v>
      </c>
      <c r="D499" s="14">
        <f>82.3961 * CHOOSE(CONTROL!$C$9, $D$9, 100%, $F$9) + CHOOSE(CONTROL!$C$27, 0.0021, 0)</f>
        <v>82.398200000000003</v>
      </c>
      <c r="E499" s="14">
        <f>82.2595 * CHOOSE(CONTROL!$C$9, $D$9, 100%, $F$9) + CHOOSE(CONTROL!$C$27, 0.0021, 0)</f>
        <v>82.261600000000001</v>
      </c>
      <c r="F499" s="14">
        <f>82.2595 * CHOOSE(CONTROL!$C$9, $D$9, 100%, $F$9) + CHOOSE(CONTROL!$C$27, 0.0021, 0)</f>
        <v>82.261600000000001</v>
      </c>
      <c r="G499" s="14">
        <f>82.5308 * CHOOSE(CONTROL!$C$9, $D$9, 100%, $F$9) + CHOOSE(CONTROL!$C$27, 0.0021, 0)</f>
        <v>82.532899999999998</v>
      </c>
      <c r="H499" s="14">
        <f>82.3961 * CHOOSE(CONTROL!$C$9, $D$9, 100%, $F$9) + CHOOSE(CONTROL!$C$27, 0.0021, 0)</f>
        <v>82.398200000000003</v>
      </c>
      <c r="I499" s="14">
        <f>82.3961 * CHOOSE(CONTROL!$C$9, $D$9, 100%, $F$9) + CHOOSE(CONTROL!$C$27, 0.0021, 0)</f>
        <v>82.398200000000003</v>
      </c>
      <c r="J499" s="14">
        <f>82.3961 * CHOOSE(CONTROL!$C$9, $D$9, 100%, $F$9) + CHOOSE(CONTROL!$C$27, 0.0021, 0)</f>
        <v>82.398200000000003</v>
      </c>
      <c r="K499" s="14">
        <f>82.3961 * CHOOSE(CONTROL!$C$9, $D$9, 100%, $F$9) + CHOOSE(CONTROL!$C$27, 0.0021, 0)</f>
        <v>82.398200000000003</v>
      </c>
      <c r="L499" s="14"/>
    </row>
    <row r="500" spans="1:12" ht="15.75" x14ac:dyDescent="0.25">
      <c r="A500" s="32">
        <v>56157</v>
      </c>
      <c r="B500" s="14">
        <f>84.4661 * CHOOSE(CONTROL!$C$9, $D$9, 100%, $F$9) + CHOOSE(CONTROL!$C$27, 0.0021, 0)</f>
        <v>84.468199999999996</v>
      </c>
      <c r="C500" s="14">
        <f>84.0338 * CHOOSE(CONTROL!$C$9, $D$9, 100%, $F$9) + CHOOSE(CONTROL!$C$27, 0.0021, 0)</f>
        <v>84.035899999999998</v>
      </c>
      <c r="D500" s="14">
        <f>84.0338 * CHOOSE(CONTROL!$C$9, $D$9, 100%, $F$9) + CHOOSE(CONTROL!$C$27, 0.0021, 0)</f>
        <v>84.035899999999998</v>
      </c>
      <c r="E500" s="14">
        <f>83.8972 * CHOOSE(CONTROL!$C$9, $D$9, 100%, $F$9) + CHOOSE(CONTROL!$C$27, 0.0021, 0)</f>
        <v>83.899299999999997</v>
      </c>
      <c r="F500" s="14">
        <f>83.8972 * CHOOSE(CONTROL!$C$9, $D$9, 100%, $F$9) + CHOOSE(CONTROL!$C$27, 0.0021, 0)</f>
        <v>83.899299999999997</v>
      </c>
      <c r="G500" s="14">
        <f>84.1685 * CHOOSE(CONTROL!$C$9, $D$9, 100%, $F$9) + CHOOSE(CONTROL!$C$27, 0.0021, 0)</f>
        <v>84.170599999999993</v>
      </c>
      <c r="H500" s="14">
        <f>84.0338 * CHOOSE(CONTROL!$C$9, $D$9, 100%, $F$9) + CHOOSE(CONTROL!$C$27, 0.0021, 0)</f>
        <v>84.035899999999998</v>
      </c>
      <c r="I500" s="14">
        <f>84.0338 * CHOOSE(CONTROL!$C$9, $D$9, 100%, $F$9) + CHOOSE(CONTROL!$C$27, 0.0021, 0)</f>
        <v>84.035899999999998</v>
      </c>
      <c r="J500" s="14">
        <f>84.0338 * CHOOSE(CONTROL!$C$9, $D$9, 100%, $F$9) + CHOOSE(CONTROL!$C$27, 0.0021, 0)</f>
        <v>84.035899999999998</v>
      </c>
      <c r="K500" s="14">
        <f>84.0338 * CHOOSE(CONTROL!$C$9, $D$9, 100%, $F$9) + CHOOSE(CONTROL!$C$27, 0.0021, 0)</f>
        <v>84.035899999999998</v>
      </c>
      <c r="L500" s="14"/>
    </row>
    <row r="501" spans="1:12" ht="15.75" x14ac:dyDescent="0.25">
      <c r="A501" s="32">
        <v>56188</v>
      </c>
      <c r="B501" s="14">
        <f>86.5391 * CHOOSE(CONTROL!$C$9, $D$9, 100%, $F$9) + CHOOSE(CONTROL!$C$27, 0.0021, 0)</f>
        <v>86.541200000000003</v>
      </c>
      <c r="C501" s="14">
        <f>86.1069 * CHOOSE(CONTROL!$C$9, $D$9, 100%, $F$9) + CHOOSE(CONTROL!$C$27, 0.0021, 0)</f>
        <v>86.108999999999995</v>
      </c>
      <c r="D501" s="14">
        <f>86.1069 * CHOOSE(CONTROL!$C$9, $D$9, 100%, $F$9) + CHOOSE(CONTROL!$C$27, 0.0021, 0)</f>
        <v>86.108999999999995</v>
      </c>
      <c r="E501" s="14">
        <f>85.9702 * CHOOSE(CONTROL!$C$9, $D$9, 100%, $F$9) + CHOOSE(CONTROL!$C$27, 0.0021, 0)</f>
        <v>85.972300000000004</v>
      </c>
      <c r="F501" s="14">
        <f>85.9702 * CHOOSE(CONTROL!$C$9, $D$9, 100%, $F$9) + CHOOSE(CONTROL!$C$27, 0.0021, 0)</f>
        <v>85.972300000000004</v>
      </c>
      <c r="G501" s="14">
        <f>86.2416 * CHOOSE(CONTROL!$C$9, $D$9, 100%, $F$9) + CHOOSE(CONTROL!$C$27, 0.0021, 0)</f>
        <v>86.243700000000004</v>
      </c>
      <c r="H501" s="14">
        <f>86.1069 * CHOOSE(CONTROL!$C$9, $D$9, 100%, $F$9) + CHOOSE(CONTROL!$C$27, 0.0021, 0)</f>
        <v>86.108999999999995</v>
      </c>
      <c r="I501" s="14">
        <f>86.1069 * CHOOSE(CONTROL!$C$9, $D$9, 100%, $F$9) + CHOOSE(CONTROL!$C$27, 0.0021, 0)</f>
        <v>86.108999999999995</v>
      </c>
      <c r="J501" s="14">
        <f>86.1069 * CHOOSE(CONTROL!$C$9, $D$9, 100%, $F$9) + CHOOSE(CONTROL!$C$27, 0.0021, 0)</f>
        <v>86.108999999999995</v>
      </c>
      <c r="K501" s="14">
        <f>86.1069 * CHOOSE(CONTROL!$C$9, $D$9, 100%, $F$9) + CHOOSE(CONTROL!$C$27, 0.0021, 0)</f>
        <v>86.108999999999995</v>
      </c>
      <c r="L501" s="14"/>
    </row>
    <row r="502" spans="1:12" ht="15.75" x14ac:dyDescent="0.25">
      <c r="A502" s="32">
        <v>56218</v>
      </c>
      <c r="B502" s="14">
        <f>86.7337 * CHOOSE(CONTROL!$C$9, $D$9, 100%, $F$9) + CHOOSE(CONTROL!$C$27, 0.0021, 0)</f>
        <v>86.735799999999998</v>
      </c>
      <c r="C502" s="14">
        <f>86.3015 * CHOOSE(CONTROL!$C$9, $D$9, 100%, $F$9) + CHOOSE(CONTROL!$C$27, 0.0021, 0)</f>
        <v>86.303600000000003</v>
      </c>
      <c r="D502" s="14">
        <f>86.3015 * CHOOSE(CONTROL!$C$9, $D$9, 100%, $F$9) + CHOOSE(CONTROL!$C$27, 0.0021, 0)</f>
        <v>86.303600000000003</v>
      </c>
      <c r="E502" s="14">
        <f>86.1648 * CHOOSE(CONTROL!$C$9, $D$9, 100%, $F$9) + CHOOSE(CONTROL!$C$27, 0.0021, 0)</f>
        <v>86.166899999999998</v>
      </c>
      <c r="F502" s="14">
        <f>86.1648 * CHOOSE(CONTROL!$C$9, $D$9, 100%, $F$9) + CHOOSE(CONTROL!$C$27, 0.0021, 0)</f>
        <v>86.166899999999998</v>
      </c>
      <c r="G502" s="14">
        <f>86.4362 * CHOOSE(CONTROL!$C$9, $D$9, 100%, $F$9) + CHOOSE(CONTROL!$C$27, 0.0021, 0)</f>
        <v>86.438299999999998</v>
      </c>
      <c r="H502" s="14">
        <f>86.3015 * CHOOSE(CONTROL!$C$9, $D$9, 100%, $F$9) + CHOOSE(CONTROL!$C$27, 0.0021, 0)</f>
        <v>86.303600000000003</v>
      </c>
      <c r="I502" s="14">
        <f>86.3015 * CHOOSE(CONTROL!$C$9, $D$9, 100%, $F$9) + CHOOSE(CONTROL!$C$27, 0.0021, 0)</f>
        <v>86.303600000000003</v>
      </c>
      <c r="J502" s="14">
        <f>86.3015 * CHOOSE(CONTROL!$C$9, $D$9, 100%, $F$9) + CHOOSE(CONTROL!$C$27, 0.0021, 0)</f>
        <v>86.303600000000003</v>
      </c>
      <c r="K502" s="14">
        <f>86.3015 * CHOOSE(CONTROL!$C$9, $D$9, 100%, $F$9) + CHOOSE(CONTROL!$C$27, 0.0021, 0)</f>
        <v>86.303600000000003</v>
      </c>
      <c r="L502" s="14"/>
    </row>
    <row r="503" spans="1:12" ht="15.75" x14ac:dyDescent="0.25">
      <c r="A503" s="32">
        <v>56249</v>
      </c>
      <c r="B503" s="14">
        <f>85.078 * CHOOSE(CONTROL!$C$9, $D$9, 100%, $F$9) + CHOOSE(CONTROL!$C$27, 0.0021, 0)</f>
        <v>85.080100000000002</v>
      </c>
      <c r="C503" s="14">
        <f>84.6458 * CHOOSE(CONTROL!$C$9, $D$9, 100%, $F$9) + CHOOSE(CONTROL!$C$27, 0.0021, 0)</f>
        <v>84.647899999999993</v>
      </c>
      <c r="D503" s="14">
        <f>84.6458 * CHOOSE(CONTROL!$C$9, $D$9, 100%, $F$9) + CHOOSE(CONTROL!$C$27, 0.0021, 0)</f>
        <v>84.647899999999993</v>
      </c>
      <c r="E503" s="14">
        <f>84.5091 * CHOOSE(CONTROL!$C$9, $D$9, 100%, $F$9) + CHOOSE(CONTROL!$C$27, 0.0021, 0)</f>
        <v>84.511200000000002</v>
      </c>
      <c r="F503" s="14">
        <f>84.5091 * CHOOSE(CONTROL!$C$9, $D$9, 100%, $F$9) + CHOOSE(CONTROL!$C$27, 0.0021, 0)</f>
        <v>84.511200000000002</v>
      </c>
      <c r="G503" s="14">
        <f>84.7805 * CHOOSE(CONTROL!$C$9, $D$9, 100%, $F$9) + CHOOSE(CONTROL!$C$27, 0.0021, 0)</f>
        <v>84.782600000000002</v>
      </c>
      <c r="H503" s="14">
        <f>84.6458 * CHOOSE(CONTROL!$C$9, $D$9, 100%, $F$9) + CHOOSE(CONTROL!$C$27, 0.0021, 0)</f>
        <v>84.647899999999993</v>
      </c>
      <c r="I503" s="14">
        <f>84.6458 * CHOOSE(CONTROL!$C$9, $D$9, 100%, $F$9) + CHOOSE(CONTROL!$C$27, 0.0021, 0)</f>
        <v>84.647899999999993</v>
      </c>
      <c r="J503" s="14">
        <f>84.6458 * CHOOSE(CONTROL!$C$9, $D$9, 100%, $F$9) + CHOOSE(CONTROL!$C$27, 0.0021, 0)</f>
        <v>84.647899999999993</v>
      </c>
      <c r="K503" s="14">
        <f>84.6458 * CHOOSE(CONTROL!$C$9, $D$9, 100%, $F$9) + CHOOSE(CONTROL!$C$27, 0.0021, 0)</f>
        <v>84.647899999999993</v>
      </c>
      <c r="L503" s="14"/>
    </row>
    <row r="504" spans="1:12" ht="15.75" x14ac:dyDescent="0.25">
      <c r="A504" s="32">
        <v>56280</v>
      </c>
      <c r="B504" s="14">
        <f>84.0315 * CHOOSE(CONTROL!$C$9, $D$9, 100%, $F$9) + CHOOSE(CONTROL!$C$27, 0.0021, 0)</f>
        <v>84.033599999999993</v>
      </c>
      <c r="C504" s="14">
        <f>83.5993 * CHOOSE(CONTROL!$C$9, $D$9, 100%, $F$9) + CHOOSE(CONTROL!$C$27, 0.0021, 0)</f>
        <v>83.601399999999998</v>
      </c>
      <c r="D504" s="14">
        <f>83.5993 * CHOOSE(CONTROL!$C$9, $D$9, 100%, $F$9) + CHOOSE(CONTROL!$C$27, 0.0021, 0)</f>
        <v>83.601399999999998</v>
      </c>
      <c r="E504" s="14">
        <f>83.4626 * CHOOSE(CONTROL!$C$9, $D$9, 100%, $F$9) + CHOOSE(CONTROL!$C$27, 0.0021, 0)</f>
        <v>83.464699999999993</v>
      </c>
      <c r="F504" s="14">
        <f>83.4626 * CHOOSE(CONTROL!$C$9, $D$9, 100%, $F$9) + CHOOSE(CONTROL!$C$27, 0.0021, 0)</f>
        <v>83.464699999999993</v>
      </c>
      <c r="G504" s="14">
        <f>83.734 * CHOOSE(CONTROL!$C$9, $D$9, 100%, $F$9) + CHOOSE(CONTROL!$C$27, 0.0021, 0)</f>
        <v>83.736099999999993</v>
      </c>
      <c r="H504" s="14">
        <f>83.5993 * CHOOSE(CONTROL!$C$9, $D$9, 100%, $F$9) + CHOOSE(CONTROL!$C$27, 0.0021, 0)</f>
        <v>83.601399999999998</v>
      </c>
      <c r="I504" s="14">
        <f>83.5993 * CHOOSE(CONTROL!$C$9, $D$9, 100%, $F$9) + CHOOSE(CONTROL!$C$27, 0.0021, 0)</f>
        <v>83.601399999999998</v>
      </c>
      <c r="J504" s="14">
        <f>83.5993 * CHOOSE(CONTROL!$C$9, $D$9, 100%, $F$9) + CHOOSE(CONTROL!$C$27, 0.0021, 0)</f>
        <v>83.601399999999998</v>
      </c>
      <c r="K504" s="14">
        <f>83.5993 * CHOOSE(CONTROL!$C$9, $D$9, 100%, $F$9) + CHOOSE(CONTROL!$C$27, 0.0021, 0)</f>
        <v>83.601399999999998</v>
      </c>
      <c r="L504" s="14"/>
    </row>
    <row r="505" spans="1:12" ht="15.75" x14ac:dyDescent="0.25">
      <c r="A505" s="32">
        <v>56308</v>
      </c>
      <c r="B505" s="14">
        <f>81.7195 * CHOOSE(CONTROL!$C$9, $D$9, 100%, $F$9) + CHOOSE(CONTROL!$C$27, 0.0021, 0)</f>
        <v>81.721599999999995</v>
      </c>
      <c r="C505" s="14">
        <f>81.2873 * CHOOSE(CONTROL!$C$9, $D$9, 100%, $F$9) + CHOOSE(CONTROL!$C$27, 0.0021, 0)</f>
        <v>81.289400000000001</v>
      </c>
      <c r="D505" s="14">
        <f>81.2873 * CHOOSE(CONTROL!$C$9, $D$9, 100%, $F$9) + CHOOSE(CONTROL!$C$27, 0.0021, 0)</f>
        <v>81.289400000000001</v>
      </c>
      <c r="E505" s="14">
        <f>81.1506 * CHOOSE(CONTROL!$C$9, $D$9, 100%, $F$9) + CHOOSE(CONTROL!$C$27, 0.0021, 0)</f>
        <v>81.152699999999996</v>
      </c>
      <c r="F505" s="14">
        <f>81.1506 * CHOOSE(CONTROL!$C$9, $D$9, 100%, $F$9) + CHOOSE(CONTROL!$C$27, 0.0021, 0)</f>
        <v>81.152699999999996</v>
      </c>
      <c r="G505" s="14">
        <f>81.422 * CHOOSE(CONTROL!$C$9, $D$9, 100%, $F$9) + CHOOSE(CONTROL!$C$27, 0.0021, 0)</f>
        <v>81.424099999999996</v>
      </c>
      <c r="H505" s="14">
        <f>81.2873 * CHOOSE(CONTROL!$C$9, $D$9, 100%, $F$9) + CHOOSE(CONTROL!$C$27, 0.0021, 0)</f>
        <v>81.289400000000001</v>
      </c>
      <c r="I505" s="14">
        <f>81.2873 * CHOOSE(CONTROL!$C$9, $D$9, 100%, $F$9) + CHOOSE(CONTROL!$C$27, 0.0021, 0)</f>
        <v>81.289400000000001</v>
      </c>
      <c r="J505" s="14">
        <f>81.2873 * CHOOSE(CONTROL!$C$9, $D$9, 100%, $F$9) + CHOOSE(CONTROL!$C$27, 0.0021, 0)</f>
        <v>81.289400000000001</v>
      </c>
      <c r="K505" s="14">
        <f>81.2873 * CHOOSE(CONTROL!$C$9, $D$9, 100%, $F$9) + CHOOSE(CONTROL!$C$27, 0.0021, 0)</f>
        <v>81.289400000000001</v>
      </c>
      <c r="L505" s="14"/>
    </row>
    <row r="506" spans="1:12" ht="15.75" x14ac:dyDescent="0.25">
      <c r="A506" s="32">
        <v>56339</v>
      </c>
      <c r="B506" s="14">
        <f>80.7651 * CHOOSE(CONTROL!$C$9, $D$9, 100%, $F$9) + CHOOSE(CONTROL!$C$27, 0.0021, 0)</f>
        <v>80.767200000000003</v>
      </c>
      <c r="C506" s="14">
        <f>80.3329 * CHOOSE(CONTROL!$C$9, $D$9, 100%, $F$9) + CHOOSE(CONTROL!$C$27, 0.0021, 0)</f>
        <v>80.334999999999994</v>
      </c>
      <c r="D506" s="14">
        <f>80.3329 * CHOOSE(CONTROL!$C$9, $D$9, 100%, $F$9) + CHOOSE(CONTROL!$C$27, 0.0021, 0)</f>
        <v>80.334999999999994</v>
      </c>
      <c r="E506" s="14">
        <f>80.1962 * CHOOSE(CONTROL!$C$9, $D$9, 100%, $F$9) + CHOOSE(CONTROL!$C$27, 0.0021, 0)</f>
        <v>80.198300000000003</v>
      </c>
      <c r="F506" s="14">
        <f>80.1962 * CHOOSE(CONTROL!$C$9, $D$9, 100%, $F$9) + CHOOSE(CONTROL!$C$27, 0.0021, 0)</f>
        <v>80.198300000000003</v>
      </c>
      <c r="G506" s="14">
        <f>80.4676 * CHOOSE(CONTROL!$C$9, $D$9, 100%, $F$9) + CHOOSE(CONTROL!$C$27, 0.0021, 0)</f>
        <v>80.469700000000003</v>
      </c>
      <c r="H506" s="14">
        <f>80.3329 * CHOOSE(CONTROL!$C$9, $D$9, 100%, $F$9) + CHOOSE(CONTROL!$C$27, 0.0021, 0)</f>
        <v>80.334999999999994</v>
      </c>
      <c r="I506" s="14">
        <f>80.3329 * CHOOSE(CONTROL!$C$9, $D$9, 100%, $F$9) + CHOOSE(CONTROL!$C$27, 0.0021, 0)</f>
        <v>80.334999999999994</v>
      </c>
      <c r="J506" s="14">
        <f>80.3329 * CHOOSE(CONTROL!$C$9, $D$9, 100%, $F$9) + CHOOSE(CONTROL!$C$27, 0.0021, 0)</f>
        <v>80.334999999999994</v>
      </c>
      <c r="K506" s="14">
        <f>80.3329 * CHOOSE(CONTROL!$C$9, $D$9, 100%, $F$9) + CHOOSE(CONTROL!$C$27, 0.0021, 0)</f>
        <v>80.334999999999994</v>
      </c>
      <c r="L506" s="14"/>
    </row>
    <row r="507" spans="1:12" ht="15.75" x14ac:dyDescent="0.25">
      <c r="A507" s="32">
        <v>56369</v>
      </c>
      <c r="B507" s="14">
        <f>79.6255 * CHOOSE(CONTROL!$C$9, $D$9, 100%, $F$9) + CHOOSE(CONTROL!$C$27, 0.0021, 0)</f>
        <v>79.627600000000001</v>
      </c>
      <c r="C507" s="14">
        <f>79.1933 * CHOOSE(CONTROL!$C$9, $D$9, 100%, $F$9) + CHOOSE(CONTROL!$C$27, 0.0021, 0)</f>
        <v>79.195399999999992</v>
      </c>
      <c r="D507" s="14">
        <f>79.1933 * CHOOSE(CONTROL!$C$9, $D$9, 100%, $F$9) + CHOOSE(CONTROL!$C$27, 0.0021, 0)</f>
        <v>79.195399999999992</v>
      </c>
      <c r="E507" s="14">
        <f>79.0566 * CHOOSE(CONTROL!$C$9, $D$9, 100%, $F$9) + CHOOSE(CONTROL!$C$27, 0.0021, 0)</f>
        <v>79.058700000000002</v>
      </c>
      <c r="F507" s="14">
        <f>79.0566 * CHOOSE(CONTROL!$C$9, $D$9, 100%, $F$9) + CHOOSE(CONTROL!$C$27, 0.0021, 0)</f>
        <v>79.058700000000002</v>
      </c>
      <c r="G507" s="14">
        <f>79.328 * CHOOSE(CONTROL!$C$9, $D$9, 100%, $F$9) + CHOOSE(CONTROL!$C$27, 0.0021, 0)</f>
        <v>79.330100000000002</v>
      </c>
      <c r="H507" s="14">
        <f>79.1933 * CHOOSE(CONTROL!$C$9, $D$9, 100%, $F$9) + CHOOSE(CONTROL!$C$27, 0.0021, 0)</f>
        <v>79.195399999999992</v>
      </c>
      <c r="I507" s="14">
        <f>79.1933 * CHOOSE(CONTROL!$C$9, $D$9, 100%, $F$9) + CHOOSE(CONTROL!$C$27, 0.0021, 0)</f>
        <v>79.195399999999992</v>
      </c>
      <c r="J507" s="14">
        <f>79.1933 * CHOOSE(CONTROL!$C$9, $D$9, 100%, $F$9) + CHOOSE(CONTROL!$C$27, 0.0021, 0)</f>
        <v>79.195399999999992</v>
      </c>
      <c r="K507" s="14">
        <f>79.1933 * CHOOSE(CONTROL!$C$9, $D$9, 100%, $F$9) + CHOOSE(CONTROL!$C$27, 0.0021, 0)</f>
        <v>79.195399999999992</v>
      </c>
      <c r="L507" s="14"/>
    </row>
    <row r="508" spans="1:12" ht="15.75" x14ac:dyDescent="0.25">
      <c r="A508" s="32">
        <v>56400</v>
      </c>
      <c r="B508" s="14">
        <f>81.2496 * CHOOSE(CONTROL!$C$9, $D$9, 100%, $F$9) + CHOOSE(CONTROL!$C$27, 0.0021, 0)</f>
        <v>81.2517</v>
      </c>
      <c r="C508" s="14">
        <f>80.8173 * CHOOSE(CONTROL!$C$9, $D$9, 100%, $F$9) + CHOOSE(CONTROL!$C$27, 0.0021, 0)</f>
        <v>80.819400000000002</v>
      </c>
      <c r="D508" s="14">
        <f>80.8173 * CHOOSE(CONTROL!$C$9, $D$9, 100%, $F$9) + CHOOSE(CONTROL!$C$27, 0.0021, 0)</f>
        <v>80.819400000000002</v>
      </c>
      <c r="E508" s="14">
        <f>80.6807 * CHOOSE(CONTROL!$C$9, $D$9, 100%, $F$9) + CHOOSE(CONTROL!$C$27, 0.0021, 0)</f>
        <v>80.6828</v>
      </c>
      <c r="F508" s="14">
        <f>80.6807 * CHOOSE(CONTROL!$C$9, $D$9, 100%, $F$9) + CHOOSE(CONTROL!$C$27, 0.0021, 0)</f>
        <v>80.6828</v>
      </c>
      <c r="G508" s="14">
        <f>80.952 * CHOOSE(CONTROL!$C$9, $D$9, 100%, $F$9) + CHOOSE(CONTROL!$C$27, 0.0021, 0)</f>
        <v>80.954099999999997</v>
      </c>
      <c r="H508" s="14">
        <f>80.8173 * CHOOSE(CONTROL!$C$9, $D$9, 100%, $F$9) + CHOOSE(CONTROL!$C$27, 0.0021, 0)</f>
        <v>80.819400000000002</v>
      </c>
      <c r="I508" s="14">
        <f>80.8173 * CHOOSE(CONTROL!$C$9, $D$9, 100%, $F$9) + CHOOSE(CONTROL!$C$27, 0.0021, 0)</f>
        <v>80.819400000000002</v>
      </c>
      <c r="J508" s="14">
        <f>80.8173 * CHOOSE(CONTROL!$C$9, $D$9, 100%, $F$9) + CHOOSE(CONTROL!$C$27, 0.0021, 0)</f>
        <v>80.819400000000002</v>
      </c>
      <c r="K508" s="14">
        <f>80.8173 * CHOOSE(CONTROL!$C$9, $D$9, 100%, $F$9) + CHOOSE(CONTROL!$C$27, 0.0021, 0)</f>
        <v>80.819400000000002</v>
      </c>
      <c r="L508" s="14"/>
    </row>
    <row r="509" spans="1:12" ht="15.75" x14ac:dyDescent="0.25">
      <c r="A509" s="32">
        <v>56430</v>
      </c>
      <c r="B509" s="14">
        <f>82.2223 * CHOOSE(CONTROL!$C$9, $D$9, 100%, $F$9) + CHOOSE(CONTROL!$C$27, 0.0021, 0)</f>
        <v>82.224400000000003</v>
      </c>
      <c r="C509" s="14">
        <f>81.7901 * CHOOSE(CONTROL!$C$9, $D$9, 100%, $F$9) + CHOOSE(CONTROL!$C$27, 0.0021, 0)</f>
        <v>81.792199999999994</v>
      </c>
      <c r="D509" s="14">
        <f>81.7901 * CHOOSE(CONTROL!$C$9, $D$9, 100%, $F$9) + CHOOSE(CONTROL!$C$27, 0.0021, 0)</f>
        <v>81.792199999999994</v>
      </c>
      <c r="E509" s="14">
        <f>81.6534 * CHOOSE(CONTROL!$C$9, $D$9, 100%, $F$9) + CHOOSE(CONTROL!$C$27, 0.0021, 0)</f>
        <v>81.655500000000004</v>
      </c>
      <c r="F509" s="14">
        <f>81.6534 * CHOOSE(CONTROL!$C$9, $D$9, 100%, $F$9) + CHOOSE(CONTROL!$C$27, 0.0021, 0)</f>
        <v>81.655500000000004</v>
      </c>
      <c r="G509" s="14">
        <f>81.9248 * CHOOSE(CONTROL!$C$9, $D$9, 100%, $F$9) + CHOOSE(CONTROL!$C$27, 0.0021, 0)</f>
        <v>81.926900000000003</v>
      </c>
      <c r="H509" s="14">
        <f>81.7901 * CHOOSE(CONTROL!$C$9, $D$9, 100%, $F$9) + CHOOSE(CONTROL!$C$27, 0.0021, 0)</f>
        <v>81.792199999999994</v>
      </c>
      <c r="I509" s="14">
        <f>81.7901 * CHOOSE(CONTROL!$C$9, $D$9, 100%, $F$9) + CHOOSE(CONTROL!$C$27, 0.0021, 0)</f>
        <v>81.792199999999994</v>
      </c>
      <c r="J509" s="14">
        <f>81.7901 * CHOOSE(CONTROL!$C$9, $D$9, 100%, $F$9) + CHOOSE(CONTROL!$C$27, 0.0021, 0)</f>
        <v>81.792199999999994</v>
      </c>
      <c r="K509" s="14">
        <f>81.7901 * CHOOSE(CONTROL!$C$9, $D$9, 100%, $F$9) + CHOOSE(CONTROL!$C$27, 0.0021, 0)</f>
        <v>81.792199999999994</v>
      </c>
      <c r="L509" s="14"/>
    </row>
    <row r="510" spans="1:12" ht="15.75" x14ac:dyDescent="0.25">
      <c r="A510" s="32">
        <v>56461</v>
      </c>
      <c r="B510" s="14">
        <f>83.827 * CHOOSE(CONTROL!$C$9, $D$9, 100%, $F$9) + CHOOSE(CONTROL!$C$27, 0.0021, 0)</f>
        <v>83.829099999999997</v>
      </c>
      <c r="C510" s="14">
        <f>83.3947 * CHOOSE(CONTROL!$C$9, $D$9, 100%, $F$9) + CHOOSE(CONTROL!$C$27, 0.0021, 0)</f>
        <v>83.396799999999999</v>
      </c>
      <c r="D510" s="14">
        <f>83.3947 * CHOOSE(CONTROL!$C$9, $D$9, 100%, $F$9) + CHOOSE(CONTROL!$C$27, 0.0021, 0)</f>
        <v>83.396799999999999</v>
      </c>
      <c r="E510" s="14">
        <f>83.258 * CHOOSE(CONTROL!$C$9, $D$9, 100%, $F$9) + CHOOSE(CONTROL!$C$27, 0.0021, 0)</f>
        <v>83.260099999999994</v>
      </c>
      <c r="F510" s="14">
        <f>83.258 * CHOOSE(CONTROL!$C$9, $D$9, 100%, $F$9) + CHOOSE(CONTROL!$C$27, 0.0021, 0)</f>
        <v>83.260099999999994</v>
      </c>
      <c r="G510" s="14">
        <f>83.5294 * CHOOSE(CONTROL!$C$9, $D$9, 100%, $F$9) + CHOOSE(CONTROL!$C$27, 0.0021, 0)</f>
        <v>83.531499999999994</v>
      </c>
      <c r="H510" s="14">
        <f>83.3947 * CHOOSE(CONTROL!$C$9, $D$9, 100%, $F$9) + CHOOSE(CONTROL!$C$27, 0.0021, 0)</f>
        <v>83.396799999999999</v>
      </c>
      <c r="I510" s="14">
        <f>83.3947 * CHOOSE(CONTROL!$C$9, $D$9, 100%, $F$9) + CHOOSE(CONTROL!$C$27, 0.0021, 0)</f>
        <v>83.396799999999999</v>
      </c>
      <c r="J510" s="14">
        <f>83.3947 * CHOOSE(CONTROL!$C$9, $D$9, 100%, $F$9) + CHOOSE(CONTROL!$C$27, 0.0021, 0)</f>
        <v>83.396799999999999</v>
      </c>
      <c r="K510" s="14">
        <f>83.3947 * CHOOSE(CONTROL!$C$9, $D$9, 100%, $F$9) + CHOOSE(CONTROL!$C$27, 0.0021, 0)</f>
        <v>83.396799999999999</v>
      </c>
      <c r="L510" s="14"/>
    </row>
    <row r="511" spans="1:12" ht="15.75" x14ac:dyDescent="0.25">
      <c r="A511" s="32">
        <v>56492</v>
      </c>
      <c r="B511" s="14">
        <f>84.3167 * CHOOSE(CONTROL!$C$9, $D$9, 100%, $F$9) + CHOOSE(CONTROL!$C$27, 0.0021, 0)</f>
        <v>84.318799999999996</v>
      </c>
      <c r="C511" s="14">
        <f>83.8845 * CHOOSE(CONTROL!$C$9, $D$9, 100%, $F$9) + CHOOSE(CONTROL!$C$27, 0.0021, 0)</f>
        <v>83.886600000000001</v>
      </c>
      <c r="D511" s="14">
        <f>83.8845 * CHOOSE(CONTROL!$C$9, $D$9, 100%, $F$9) + CHOOSE(CONTROL!$C$27, 0.0021, 0)</f>
        <v>83.886600000000001</v>
      </c>
      <c r="E511" s="14">
        <f>83.7478 * CHOOSE(CONTROL!$C$9, $D$9, 100%, $F$9) + CHOOSE(CONTROL!$C$27, 0.0021, 0)</f>
        <v>83.749899999999997</v>
      </c>
      <c r="F511" s="14">
        <f>83.7478 * CHOOSE(CONTROL!$C$9, $D$9, 100%, $F$9) + CHOOSE(CONTROL!$C$27, 0.0021, 0)</f>
        <v>83.749899999999997</v>
      </c>
      <c r="G511" s="14">
        <f>84.0192 * CHOOSE(CONTROL!$C$9, $D$9, 100%, $F$9) + CHOOSE(CONTROL!$C$27, 0.0021, 0)</f>
        <v>84.021299999999997</v>
      </c>
      <c r="H511" s="14">
        <f>83.8845 * CHOOSE(CONTROL!$C$9, $D$9, 100%, $F$9) + CHOOSE(CONTROL!$C$27, 0.0021, 0)</f>
        <v>83.886600000000001</v>
      </c>
      <c r="I511" s="14">
        <f>83.8845 * CHOOSE(CONTROL!$C$9, $D$9, 100%, $F$9) + CHOOSE(CONTROL!$C$27, 0.0021, 0)</f>
        <v>83.886600000000001</v>
      </c>
      <c r="J511" s="14">
        <f>83.8845 * CHOOSE(CONTROL!$C$9, $D$9, 100%, $F$9) + CHOOSE(CONTROL!$C$27, 0.0021, 0)</f>
        <v>83.886600000000001</v>
      </c>
      <c r="K511" s="14">
        <f>83.8845 * CHOOSE(CONTROL!$C$9, $D$9, 100%, $F$9) + CHOOSE(CONTROL!$C$27, 0.0021, 0)</f>
        <v>83.886600000000001</v>
      </c>
      <c r="L511" s="14"/>
    </row>
    <row r="512" spans="1:12" ht="15.75" x14ac:dyDescent="0.25">
      <c r="A512" s="32">
        <v>56522</v>
      </c>
      <c r="B512" s="14">
        <f>85.9847 * CHOOSE(CONTROL!$C$9, $D$9, 100%, $F$9) + CHOOSE(CONTROL!$C$27, 0.0021, 0)</f>
        <v>85.986800000000002</v>
      </c>
      <c r="C512" s="14">
        <f>85.5525 * CHOOSE(CONTROL!$C$9, $D$9, 100%, $F$9) + CHOOSE(CONTROL!$C$27, 0.0021, 0)</f>
        <v>85.554599999999994</v>
      </c>
      <c r="D512" s="14">
        <f>85.5525 * CHOOSE(CONTROL!$C$9, $D$9, 100%, $F$9) + CHOOSE(CONTROL!$C$27, 0.0021, 0)</f>
        <v>85.554599999999994</v>
      </c>
      <c r="E512" s="14">
        <f>85.4158 * CHOOSE(CONTROL!$C$9, $D$9, 100%, $F$9) + CHOOSE(CONTROL!$C$27, 0.0021, 0)</f>
        <v>85.417900000000003</v>
      </c>
      <c r="F512" s="14">
        <f>85.4158 * CHOOSE(CONTROL!$C$9, $D$9, 100%, $F$9) + CHOOSE(CONTROL!$C$27, 0.0021, 0)</f>
        <v>85.417900000000003</v>
      </c>
      <c r="G512" s="14">
        <f>85.6872 * CHOOSE(CONTROL!$C$9, $D$9, 100%, $F$9) + CHOOSE(CONTROL!$C$27, 0.0021, 0)</f>
        <v>85.689300000000003</v>
      </c>
      <c r="H512" s="14">
        <f>85.5525 * CHOOSE(CONTROL!$C$9, $D$9, 100%, $F$9) + CHOOSE(CONTROL!$C$27, 0.0021, 0)</f>
        <v>85.554599999999994</v>
      </c>
      <c r="I512" s="14">
        <f>85.5525 * CHOOSE(CONTROL!$C$9, $D$9, 100%, $F$9) + CHOOSE(CONTROL!$C$27, 0.0021, 0)</f>
        <v>85.554599999999994</v>
      </c>
      <c r="J512" s="14">
        <f>85.5525 * CHOOSE(CONTROL!$C$9, $D$9, 100%, $F$9) + CHOOSE(CONTROL!$C$27, 0.0021, 0)</f>
        <v>85.554599999999994</v>
      </c>
      <c r="K512" s="14">
        <f>85.5525 * CHOOSE(CONTROL!$C$9, $D$9, 100%, $F$9) + CHOOSE(CONTROL!$C$27, 0.0021, 0)</f>
        <v>85.554599999999994</v>
      </c>
      <c r="L512" s="14"/>
    </row>
    <row r="513" spans="1:12" ht="15.75" x14ac:dyDescent="0.25">
      <c r="A513" s="32">
        <v>56553</v>
      </c>
      <c r="B513" s="14">
        <f>88.0961 * CHOOSE(CONTROL!$C$9, $D$9, 100%, $F$9) + CHOOSE(CONTROL!$C$27, 0.0021, 0)</f>
        <v>88.098200000000006</v>
      </c>
      <c r="C513" s="14">
        <f>87.6638 * CHOOSE(CONTROL!$C$9, $D$9, 100%, $F$9) + CHOOSE(CONTROL!$C$27, 0.0021, 0)</f>
        <v>87.665899999999993</v>
      </c>
      <c r="D513" s="14">
        <f>87.6638 * CHOOSE(CONTROL!$C$9, $D$9, 100%, $F$9) + CHOOSE(CONTROL!$C$27, 0.0021, 0)</f>
        <v>87.665899999999993</v>
      </c>
      <c r="E513" s="14">
        <f>87.5272 * CHOOSE(CONTROL!$C$9, $D$9, 100%, $F$9) + CHOOSE(CONTROL!$C$27, 0.0021, 0)</f>
        <v>87.529299999999992</v>
      </c>
      <c r="F513" s="14">
        <f>87.5272 * CHOOSE(CONTROL!$C$9, $D$9, 100%, $F$9) + CHOOSE(CONTROL!$C$27, 0.0021, 0)</f>
        <v>87.529299999999992</v>
      </c>
      <c r="G513" s="14">
        <f>87.7985 * CHOOSE(CONTROL!$C$9, $D$9, 100%, $F$9) + CHOOSE(CONTROL!$C$27, 0.0021, 0)</f>
        <v>87.800600000000003</v>
      </c>
      <c r="H513" s="14">
        <f>87.6638 * CHOOSE(CONTROL!$C$9, $D$9, 100%, $F$9) + CHOOSE(CONTROL!$C$27, 0.0021, 0)</f>
        <v>87.665899999999993</v>
      </c>
      <c r="I513" s="14">
        <f>87.6638 * CHOOSE(CONTROL!$C$9, $D$9, 100%, $F$9) + CHOOSE(CONTROL!$C$27, 0.0021, 0)</f>
        <v>87.665899999999993</v>
      </c>
      <c r="J513" s="14">
        <f>87.6638 * CHOOSE(CONTROL!$C$9, $D$9, 100%, $F$9) + CHOOSE(CONTROL!$C$27, 0.0021, 0)</f>
        <v>87.665899999999993</v>
      </c>
      <c r="K513" s="14">
        <f>87.6638 * CHOOSE(CONTROL!$C$9, $D$9, 100%, $F$9) + CHOOSE(CONTROL!$C$27, 0.0021, 0)</f>
        <v>87.665899999999993</v>
      </c>
      <c r="L513" s="14"/>
    </row>
    <row r="514" spans="1:12" ht="15.75" x14ac:dyDescent="0.25">
      <c r="A514" s="32">
        <v>56583</v>
      </c>
      <c r="B514" s="14">
        <f>88.2943 * CHOOSE(CONTROL!$C$9, $D$9, 100%, $F$9) + CHOOSE(CONTROL!$C$27, 0.0021, 0)</f>
        <v>88.296400000000006</v>
      </c>
      <c r="C514" s="14">
        <f>87.862 * CHOOSE(CONTROL!$C$9, $D$9, 100%, $F$9) + CHOOSE(CONTROL!$C$27, 0.0021, 0)</f>
        <v>87.864099999999993</v>
      </c>
      <c r="D514" s="14">
        <f>87.862 * CHOOSE(CONTROL!$C$9, $D$9, 100%, $F$9) + CHOOSE(CONTROL!$C$27, 0.0021, 0)</f>
        <v>87.864099999999993</v>
      </c>
      <c r="E514" s="14">
        <f>87.7254 * CHOOSE(CONTROL!$C$9, $D$9, 100%, $F$9) + CHOOSE(CONTROL!$C$27, 0.0021, 0)</f>
        <v>87.727499999999992</v>
      </c>
      <c r="F514" s="14">
        <f>87.7254 * CHOOSE(CONTROL!$C$9, $D$9, 100%, $F$9) + CHOOSE(CONTROL!$C$27, 0.0021, 0)</f>
        <v>87.727499999999992</v>
      </c>
      <c r="G514" s="14">
        <f>87.9967 * CHOOSE(CONTROL!$C$9, $D$9, 100%, $F$9) + CHOOSE(CONTROL!$C$27, 0.0021, 0)</f>
        <v>87.998800000000003</v>
      </c>
      <c r="H514" s="14">
        <f>87.862 * CHOOSE(CONTROL!$C$9, $D$9, 100%, $F$9) + CHOOSE(CONTROL!$C$27, 0.0021, 0)</f>
        <v>87.864099999999993</v>
      </c>
      <c r="I514" s="14">
        <f>87.862 * CHOOSE(CONTROL!$C$9, $D$9, 100%, $F$9) + CHOOSE(CONTROL!$C$27, 0.0021, 0)</f>
        <v>87.864099999999993</v>
      </c>
      <c r="J514" s="14">
        <f>87.862 * CHOOSE(CONTROL!$C$9, $D$9, 100%, $F$9) + CHOOSE(CONTROL!$C$27, 0.0021, 0)</f>
        <v>87.864099999999993</v>
      </c>
      <c r="K514" s="14">
        <f>87.862 * CHOOSE(CONTROL!$C$9, $D$9, 100%, $F$9) + CHOOSE(CONTROL!$C$27, 0.0021, 0)</f>
        <v>87.864099999999993</v>
      </c>
      <c r="L514" s="14"/>
    </row>
    <row r="515" spans="1:12" ht="15.75" x14ac:dyDescent="0.25">
      <c r="A515" s="32">
        <v>56614</v>
      </c>
      <c r="B515" s="14">
        <f>86.608 * CHOOSE(CONTROL!$C$9, $D$9, 100%, $F$9) + CHOOSE(CONTROL!$C$27, 0.0021, 0)</f>
        <v>86.610100000000003</v>
      </c>
      <c r="C515" s="14">
        <f>86.1757 * CHOOSE(CONTROL!$C$9, $D$9, 100%, $F$9) + CHOOSE(CONTROL!$C$27, 0.0021, 0)</f>
        <v>86.177800000000005</v>
      </c>
      <c r="D515" s="14">
        <f>86.1757 * CHOOSE(CONTROL!$C$9, $D$9, 100%, $F$9) + CHOOSE(CONTROL!$C$27, 0.0021, 0)</f>
        <v>86.177800000000005</v>
      </c>
      <c r="E515" s="14">
        <f>86.0391 * CHOOSE(CONTROL!$C$9, $D$9, 100%, $F$9) + CHOOSE(CONTROL!$C$27, 0.0021, 0)</f>
        <v>86.041200000000003</v>
      </c>
      <c r="F515" s="14">
        <f>86.0391 * CHOOSE(CONTROL!$C$9, $D$9, 100%, $F$9) + CHOOSE(CONTROL!$C$27, 0.0021, 0)</f>
        <v>86.041200000000003</v>
      </c>
      <c r="G515" s="14">
        <f>86.3104 * CHOOSE(CONTROL!$C$9, $D$9, 100%, $F$9) + CHOOSE(CONTROL!$C$27, 0.0021, 0)</f>
        <v>86.3125</v>
      </c>
      <c r="H515" s="14">
        <f>86.1757 * CHOOSE(CONTROL!$C$9, $D$9, 100%, $F$9) + CHOOSE(CONTROL!$C$27, 0.0021, 0)</f>
        <v>86.177800000000005</v>
      </c>
      <c r="I515" s="14">
        <f>86.1757 * CHOOSE(CONTROL!$C$9, $D$9, 100%, $F$9) + CHOOSE(CONTROL!$C$27, 0.0021, 0)</f>
        <v>86.177800000000005</v>
      </c>
      <c r="J515" s="14">
        <f>86.1757 * CHOOSE(CONTROL!$C$9, $D$9, 100%, $F$9) + CHOOSE(CONTROL!$C$27, 0.0021, 0)</f>
        <v>86.177800000000005</v>
      </c>
      <c r="K515" s="14">
        <f>86.1757 * CHOOSE(CONTROL!$C$9, $D$9, 100%, $F$9) + CHOOSE(CONTROL!$C$27, 0.0021, 0)</f>
        <v>86.177800000000005</v>
      </c>
      <c r="L515" s="14"/>
    </row>
    <row r="516" spans="1:12" ht="15.75" x14ac:dyDescent="0.25">
      <c r="A516" s="31">
        <v>56645</v>
      </c>
      <c r="B516" s="14">
        <f>85.5421 * CHOOSE(CONTROL!$C$9, $D$9, 100%, $F$9) + CHOOSE(CONTROL!$C$27, 0.0021, 0)</f>
        <v>85.544200000000004</v>
      </c>
      <c r="C516" s="14">
        <f>85.1099 * CHOOSE(CONTROL!$C$9, $D$9, 100%, $F$9) + CHOOSE(CONTROL!$C$27, 0.0021, 0)</f>
        <v>85.111999999999995</v>
      </c>
      <c r="D516" s="14">
        <f>85.1099 * CHOOSE(CONTROL!$C$9, $D$9, 100%, $F$9) + CHOOSE(CONTROL!$C$27, 0.0021, 0)</f>
        <v>85.111999999999995</v>
      </c>
      <c r="E516" s="14">
        <f>84.9732 * CHOOSE(CONTROL!$C$9, $D$9, 100%, $F$9) + CHOOSE(CONTROL!$C$27, 0.0021, 0)</f>
        <v>84.975300000000004</v>
      </c>
      <c r="F516" s="14">
        <f>84.9732 * CHOOSE(CONTROL!$C$9, $D$9, 100%, $F$9) + CHOOSE(CONTROL!$C$27, 0.0021, 0)</f>
        <v>84.975300000000004</v>
      </c>
      <c r="G516" s="14">
        <f>85.2446 * CHOOSE(CONTROL!$C$9, $D$9, 100%, $F$9) + CHOOSE(CONTROL!$C$27, 0.0021, 0)</f>
        <v>85.246700000000004</v>
      </c>
      <c r="H516" s="14">
        <f>85.1099 * CHOOSE(CONTROL!$C$9, $D$9, 100%, $F$9) + CHOOSE(CONTROL!$C$27, 0.0021, 0)</f>
        <v>85.111999999999995</v>
      </c>
      <c r="I516" s="14">
        <f>85.1099 * CHOOSE(CONTROL!$C$9, $D$9, 100%, $F$9) + CHOOSE(CONTROL!$C$27, 0.0021, 0)</f>
        <v>85.111999999999995</v>
      </c>
      <c r="J516" s="14">
        <f>85.1099 * CHOOSE(CONTROL!$C$9, $D$9, 100%, $F$9) + CHOOSE(CONTROL!$C$27, 0.0021, 0)</f>
        <v>85.111999999999995</v>
      </c>
      <c r="K516" s="14">
        <f>85.1099 * CHOOSE(CONTROL!$C$9, $D$9, 100%, $F$9) + CHOOSE(CONTROL!$C$27, 0.0021, 0)</f>
        <v>85.111999999999995</v>
      </c>
      <c r="L516" s="14"/>
    </row>
    <row r="517" spans="1:12" ht="15.75" x14ac:dyDescent="0.25">
      <c r="A517" s="31">
        <v>56673</v>
      </c>
      <c r="B517" s="14">
        <f>83.1874 * CHOOSE(CONTROL!$C$9, $D$9, 100%, $F$9) + CHOOSE(CONTROL!$C$27, 0.0021, 0)</f>
        <v>83.189499999999995</v>
      </c>
      <c r="C517" s="14">
        <f>82.7551 * CHOOSE(CONTROL!$C$9, $D$9, 100%, $F$9) + CHOOSE(CONTROL!$C$27, 0.0021, 0)</f>
        <v>82.757199999999997</v>
      </c>
      <c r="D517" s="14">
        <f>82.7551 * CHOOSE(CONTROL!$C$9, $D$9, 100%, $F$9) + CHOOSE(CONTROL!$C$27, 0.0021, 0)</f>
        <v>82.757199999999997</v>
      </c>
      <c r="E517" s="14">
        <f>82.6185 * CHOOSE(CONTROL!$C$9, $D$9, 100%, $F$9) + CHOOSE(CONTROL!$C$27, 0.0021, 0)</f>
        <v>82.620599999999996</v>
      </c>
      <c r="F517" s="14">
        <f>82.6185 * CHOOSE(CONTROL!$C$9, $D$9, 100%, $F$9) + CHOOSE(CONTROL!$C$27, 0.0021, 0)</f>
        <v>82.620599999999996</v>
      </c>
      <c r="G517" s="14">
        <f>82.8899 * CHOOSE(CONTROL!$C$9, $D$9, 100%, $F$9) + CHOOSE(CONTROL!$C$27, 0.0021, 0)</f>
        <v>82.891999999999996</v>
      </c>
      <c r="H517" s="14">
        <f>82.7551 * CHOOSE(CONTROL!$C$9, $D$9, 100%, $F$9) + CHOOSE(CONTROL!$C$27, 0.0021, 0)</f>
        <v>82.757199999999997</v>
      </c>
      <c r="I517" s="14">
        <f>82.7551 * CHOOSE(CONTROL!$C$9, $D$9, 100%, $F$9) + CHOOSE(CONTROL!$C$27, 0.0021, 0)</f>
        <v>82.757199999999997</v>
      </c>
      <c r="J517" s="14">
        <f>82.7551 * CHOOSE(CONTROL!$C$9, $D$9, 100%, $F$9) + CHOOSE(CONTROL!$C$27, 0.0021, 0)</f>
        <v>82.757199999999997</v>
      </c>
      <c r="K517" s="14">
        <f>82.7551 * CHOOSE(CONTROL!$C$9, $D$9, 100%, $F$9) + CHOOSE(CONTROL!$C$27, 0.0021, 0)</f>
        <v>82.757199999999997</v>
      </c>
      <c r="L517" s="14"/>
    </row>
    <row r="518" spans="1:12" ht="15.75" x14ac:dyDescent="0.25">
      <c r="A518" s="31">
        <v>56704</v>
      </c>
      <c r="B518" s="14">
        <f>82.2154 * CHOOSE(CONTROL!$C$9, $D$9, 100%, $F$9) + CHOOSE(CONTROL!$C$27, 0.0021, 0)</f>
        <v>82.217500000000001</v>
      </c>
      <c r="C518" s="14">
        <f>81.7831 * CHOOSE(CONTROL!$C$9, $D$9, 100%, $F$9) + CHOOSE(CONTROL!$C$27, 0.0021, 0)</f>
        <v>81.785200000000003</v>
      </c>
      <c r="D518" s="14">
        <f>81.7831 * CHOOSE(CONTROL!$C$9, $D$9, 100%, $F$9) + CHOOSE(CONTROL!$C$27, 0.0021, 0)</f>
        <v>81.785200000000003</v>
      </c>
      <c r="E518" s="14">
        <f>81.6464 * CHOOSE(CONTROL!$C$9, $D$9, 100%, $F$9) + CHOOSE(CONTROL!$C$27, 0.0021, 0)</f>
        <v>81.648499999999999</v>
      </c>
      <c r="F518" s="14">
        <f>81.6464 * CHOOSE(CONTROL!$C$9, $D$9, 100%, $F$9) + CHOOSE(CONTROL!$C$27, 0.0021, 0)</f>
        <v>81.648499999999999</v>
      </c>
      <c r="G518" s="14">
        <f>81.9178 * CHOOSE(CONTROL!$C$9, $D$9, 100%, $F$9) + CHOOSE(CONTROL!$C$27, 0.0021, 0)</f>
        <v>81.919899999999998</v>
      </c>
      <c r="H518" s="14">
        <f>81.7831 * CHOOSE(CONTROL!$C$9, $D$9, 100%, $F$9) + CHOOSE(CONTROL!$C$27, 0.0021, 0)</f>
        <v>81.785200000000003</v>
      </c>
      <c r="I518" s="14">
        <f>81.7831 * CHOOSE(CONTROL!$C$9, $D$9, 100%, $F$9) + CHOOSE(CONTROL!$C$27, 0.0021, 0)</f>
        <v>81.785200000000003</v>
      </c>
      <c r="J518" s="14">
        <f>81.7831 * CHOOSE(CONTROL!$C$9, $D$9, 100%, $F$9) + CHOOSE(CONTROL!$C$27, 0.0021, 0)</f>
        <v>81.785200000000003</v>
      </c>
      <c r="K518" s="14">
        <f>81.7831 * CHOOSE(CONTROL!$C$9, $D$9, 100%, $F$9) + CHOOSE(CONTROL!$C$27, 0.0021, 0)</f>
        <v>81.785200000000003</v>
      </c>
      <c r="L518" s="14"/>
    </row>
    <row r="519" spans="1:12" ht="15.75" x14ac:dyDescent="0.25">
      <c r="A519" s="31">
        <v>56734</v>
      </c>
      <c r="B519" s="14">
        <f>81.0547 * CHOOSE(CONTROL!$C$9, $D$9, 100%, $F$9) + CHOOSE(CONTROL!$C$27, 0.0021, 0)</f>
        <v>81.056799999999996</v>
      </c>
      <c r="C519" s="14">
        <f>80.6225 * CHOOSE(CONTROL!$C$9, $D$9, 100%, $F$9) + CHOOSE(CONTROL!$C$27, 0.0021, 0)</f>
        <v>80.624600000000001</v>
      </c>
      <c r="D519" s="14">
        <f>80.6225 * CHOOSE(CONTROL!$C$9, $D$9, 100%, $F$9) + CHOOSE(CONTROL!$C$27, 0.0021, 0)</f>
        <v>80.624600000000001</v>
      </c>
      <c r="E519" s="14">
        <f>80.4858 * CHOOSE(CONTROL!$C$9, $D$9, 100%, $F$9) + CHOOSE(CONTROL!$C$27, 0.0021, 0)</f>
        <v>80.487899999999996</v>
      </c>
      <c r="F519" s="14">
        <f>80.4858 * CHOOSE(CONTROL!$C$9, $D$9, 100%, $F$9) + CHOOSE(CONTROL!$C$27, 0.0021, 0)</f>
        <v>80.487899999999996</v>
      </c>
      <c r="G519" s="14">
        <f>80.7572 * CHOOSE(CONTROL!$C$9, $D$9, 100%, $F$9) + CHOOSE(CONTROL!$C$27, 0.0021, 0)</f>
        <v>80.759299999999996</v>
      </c>
      <c r="H519" s="14">
        <f>80.6225 * CHOOSE(CONTROL!$C$9, $D$9, 100%, $F$9) + CHOOSE(CONTROL!$C$27, 0.0021, 0)</f>
        <v>80.624600000000001</v>
      </c>
      <c r="I519" s="14">
        <f>80.6225 * CHOOSE(CONTROL!$C$9, $D$9, 100%, $F$9) + CHOOSE(CONTROL!$C$27, 0.0021, 0)</f>
        <v>80.624600000000001</v>
      </c>
      <c r="J519" s="14">
        <f>80.6225 * CHOOSE(CONTROL!$C$9, $D$9, 100%, $F$9) + CHOOSE(CONTROL!$C$27, 0.0021, 0)</f>
        <v>80.624600000000001</v>
      </c>
      <c r="K519" s="14">
        <f>80.6225 * CHOOSE(CONTROL!$C$9, $D$9, 100%, $F$9) + CHOOSE(CONTROL!$C$27, 0.0021, 0)</f>
        <v>80.624600000000001</v>
      </c>
      <c r="L519" s="14"/>
    </row>
    <row r="520" spans="1:12" ht="15.75" x14ac:dyDescent="0.25">
      <c r="A520" s="31">
        <v>56765</v>
      </c>
      <c r="B520" s="14">
        <f>82.7088 * CHOOSE(CONTROL!$C$9, $D$9, 100%, $F$9) + CHOOSE(CONTROL!$C$27, 0.0021, 0)</f>
        <v>82.710899999999995</v>
      </c>
      <c r="C520" s="14">
        <f>82.2765 * CHOOSE(CONTROL!$C$9, $D$9, 100%, $F$9) + CHOOSE(CONTROL!$C$27, 0.0021, 0)</f>
        <v>82.278599999999997</v>
      </c>
      <c r="D520" s="14">
        <f>82.2765 * CHOOSE(CONTROL!$C$9, $D$9, 100%, $F$9) + CHOOSE(CONTROL!$C$27, 0.0021, 0)</f>
        <v>82.278599999999997</v>
      </c>
      <c r="E520" s="14">
        <f>82.1399 * CHOOSE(CONTROL!$C$9, $D$9, 100%, $F$9) + CHOOSE(CONTROL!$C$27, 0.0021, 0)</f>
        <v>82.141999999999996</v>
      </c>
      <c r="F520" s="14">
        <f>82.1399 * CHOOSE(CONTROL!$C$9, $D$9, 100%, $F$9) + CHOOSE(CONTROL!$C$27, 0.0021, 0)</f>
        <v>82.141999999999996</v>
      </c>
      <c r="G520" s="14">
        <f>82.4112 * CHOOSE(CONTROL!$C$9, $D$9, 100%, $F$9) + CHOOSE(CONTROL!$C$27, 0.0021, 0)</f>
        <v>82.413299999999992</v>
      </c>
      <c r="H520" s="14">
        <f>82.2765 * CHOOSE(CONTROL!$C$9, $D$9, 100%, $F$9) + CHOOSE(CONTROL!$C$27, 0.0021, 0)</f>
        <v>82.278599999999997</v>
      </c>
      <c r="I520" s="14">
        <f>82.2765 * CHOOSE(CONTROL!$C$9, $D$9, 100%, $F$9) + CHOOSE(CONTROL!$C$27, 0.0021, 0)</f>
        <v>82.278599999999997</v>
      </c>
      <c r="J520" s="14">
        <f>82.2765 * CHOOSE(CONTROL!$C$9, $D$9, 100%, $F$9) + CHOOSE(CONTROL!$C$27, 0.0021, 0)</f>
        <v>82.278599999999997</v>
      </c>
      <c r="K520" s="14">
        <f>82.2765 * CHOOSE(CONTROL!$C$9, $D$9, 100%, $F$9) + CHOOSE(CONTROL!$C$27, 0.0021, 0)</f>
        <v>82.278599999999997</v>
      </c>
      <c r="L520" s="14"/>
    </row>
    <row r="521" spans="1:12" ht="15.75" x14ac:dyDescent="0.25">
      <c r="A521" s="31">
        <v>56795</v>
      </c>
      <c r="B521" s="14">
        <f>83.6995 * CHOOSE(CONTROL!$C$9, $D$9, 100%, $F$9) + CHOOSE(CONTROL!$C$27, 0.0021, 0)</f>
        <v>83.701599999999999</v>
      </c>
      <c r="C521" s="14">
        <f>83.2672 * CHOOSE(CONTROL!$C$9, $D$9, 100%, $F$9) + CHOOSE(CONTROL!$C$27, 0.0021, 0)</f>
        <v>83.269300000000001</v>
      </c>
      <c r="D521" s="14">
        <f>83.2672 * CHOOSE(CONTROL!$C$9, $D$9, 100%, $F$9) + CHOOSE(CONTROL!$C$27, 0.0021, 0)</f>
        <v>83.269300000000001</v>
      </c>
      <c r="E521" s="14">
        <f>83.1306 * CHOOSE(CONTROL!$C$9, $D$9, 100%, $F$9) + CHOOSE(CONTROL!$C$27, 0.0021, 0)</f>
        <v>83.1327</v>
      </c>
      <c r="F521" s="14">
        <f>83.1306 * CHOOSE(CONTROL!$C$9, $D$9, 100%, $F$9) + CHOOSE(CONTROL!$C$27, 0.0021, 0)</f>
        <v>83.1327</v>
      </c>
      <c r="G521" s="14">
        <f>83.4019 * CHOOSE(CONTROL!$C$9, $D$9, 100%, $F$9) + CHOOSE(CONTROL!$C$27, 0.0021, 0)</f>
        <v>83.403999999999996</v>
      </c>
      <c r="H521" s="14">
        <f>83.2672 * CHOOSE(CONTROL!$C$9, $D$9, 100%, $F$9) + CHOOSE(CONTROL!$C$27, 0.0021, 0)</f>
        <v>83.269300000000001</v>
      </c>
      <c r="I521" s="14">
        <f>83.2672 * CHOOSE(CONTROL!$C$9, $D$9, 100%, $F$9) + CHOOSE(CONTROL!$C$27, 0.0021, 0)</f>
        <v>83.269300000000001</v>
      </c>
      <c r="J521" s="14">
        <f>83.2672 * CHOOSE(CONTROL!$C$9, $D$9, 100%, $F$9) + CHOOSE(CONTROL!$C$27, 0.0021, 0)</f>
        <v>83.269300000000001</v>
      </c>
      <c r="K521" s="14">
        <f>83.2672 * CHOOSE(CONTROL!$C$9, $D$9, 100%, $F$9) + CHOOSE(CONTROL!$C$27, 0.0021, 0)</f>
        <v>83.269300000000001</v>
      </c>
      <c r="L521" s="14"/>
    </row>
    <row r="522" spans="1:12" ht="15.75" x14ac:dyDescent="0.25">
      <c r="A522" s="31">
        <v>56826</v>
      </c>
      <c r="B522" s="14">
        <f>85.3338 * CHOOSE(CONTROL!$C$9, $D$9, 100%, $F$9) + CHOOSE(CONTROL!$C$27, 0.0021, 0)</f>
        <v>85.335899999999995</v>
      </c>
      <c r="C522" s="14">
        <f>84.9015 * CHOOSE(CONTROL!$C$9, $D$9, 100%, $F$9) + CHOOSE(CONTROL!$C$27, 0.0021, 0)</f>
        <v>84.903599999999997</v>
      </c>
      <c r="D522" s="14">
        <f>84.9015 * CHOOSE(CONTROL!$C$9, $D$9, 100%, $F$9) + CHOOSE(CONTROL!$C$27, 0.0021, 0)</f>
        <v>84.903599999999997</v>
      </c>
      <c r="E522" s="14">
        <f>84.7649 * CHOOSE(CONTROL!$C$9, $D$9, 100%, $F$9) + CHOOSE(CONTROL!$C$27, 0.0021, 0)</f>
        <v>84.766999999999996</v>
      </c>
      <c r="F522" s="14">
        <f>84.7649 * CHOOSE(CONTROL!$C$9, $D$9, 100%, $F$9) + CHOOSE(CONTROL!$C$27, 0.0021, 0)</f>
        <v>84.766999999999996</v>
      </c>
      <c r="G522" s="14">
        <f>85.0362 * CHOOSE(CONTROL!$C$9, $D$9, 100%, $F$9) + CHOOSE(CONTROL!$C$27, 0.0021, 0)</f>
        <v>85.038299999999992</v>
      </c>
      <c r="H522" s="14">
        <f>84.9015 * CHOOSE(CONTROL!$C$9, $D$9, 100%, $F$9) + CHOOSE(CONTROL!$C$27, 0.0021, 0)</f>
        <v>84.903599999999997</v>
      </c>
      <c r="I522" s="14">
        <f>84.9015 * CHOOSE(CONTROL!$C$9, $D$9, 100%, $F$9) + CHOOSE(CONTROL!$C$27, 0.0021, 0)</f>
        <v>84.903599999999997</v>
      </c>
      <c r="J522" s="14">
        <f>84.9015 * CHOOSE(CONTROL!$C$9, $D$9, 100%, $F$9) + CHOOSE(CONTROL!$C$27, 0.0021, 0)</f>
        <v>84.903599999999997</v>
      </c>
      <c r="K522" s="14">
        <f>84.9015 * CHOOSE(CONTROL!$C$9, $D$9, 100%, $F$9) + CHOOSE(CONTROL!$C$27, 0.0021, 0)</f>
        <v>84.903599999999997</v>
      </c>
      <c r="L522" s="14"/>
    </row>
    <row r="523" spans="1:12" ht="15.75" x14ac:dyDescent="0.25">
      <c r="A523" s="31">
        <v>56857</v>
      </c>
      <c r="B523" s="14">
        <f>85.8326 * CHOOSE(CONTROL!$C$9, $D$9, 100%, $F$9) + CHOOSE(CONTROL!$C$27, 0.0021, 0)</f>
        <v>85.834699999999998</v>
      </c>
      <c r="C523" s="14">
        <f>85.4004 * CHOOSE(CONTROL!$C$9, $D$9, 100%, $F$9) + CHOOSE(CONTROL!$C$27, 0.0021, 0)</f>
        <v>85.402500000000003</v>
      </c>
      <c r="D523" s="14">
        <f>85.4004 * CHOOSE(CONTROL!$C$9, $D$9, 100%, $F$9) + CHOOSE(CONTROL!$C$27, 0.0021, 0)</f>
        <v>85.402500000000003</v>
      </c>
      <c r="E523" s="14">
        <f>85.2637 * CHOOSE(CONTROL!$C$9, $D$9, 100%, $F$9) + CHOOSE(CONTROL!$C$27, 0.0021, 0)</f>
        <v>85.265799999999999</v>
      </c>
      <c r="F523" s="14">
        <f>85.2637 * CHOOSE(CONTROL!$C$9, $D$9, 100%, $F$9) + CHOOSE(CONTROL!$C$27, 0.0021, 0)</f>
        <v>85.265799999999999</v>
      </c>
      <c r="G523" s="14">
        <f>85.5351 * CHOOSE(CONTROL!$C$9, $D$9, 100%, $F$9) + CHOOSE(CONTROL!$C$27, 0.0021, 0)</f>
        <v>85.537199999999999</v>
      </c>
      <c r="H523" s="14">
        <f>85.4004 * CHOOSE(CONTROL!$C$9, $D$9, 100%, $F$9) + CHOOSE(CONTROL!$C$27, 0.0021, 0)</f>
        <v>85.402500000000003</v>
      </c>
      <c r="I523" s="14">
        <f>85.4004 * CHOOSE(CONTROL!$C$9, $D$9, 100%, $F$9) + CHOOSE(CONTROL!$C$27, 0.0021, 0)</f>
        <v>85.402500000000003</v>
      </c>
      <c r="J523" s="14">
        <f>85.4004 * CHOOSE(CONTROL!$C$9, $D$9, 100%, $F$9) + CHOOSE(CONTROL!$C$27, 0.0021, 0)</f>
        <v>85.402500000000003</v>
      </c>
      <c r="K523" s="14">
        <f>85.4004 * CHOOSE(CONTROL!$C$9, $D$9, 100%, $F$9) + CHOOSE(CONTROL!$C$27, 0.0021, 0)</f>
        <v>85.402500000000003</v>
      </c>
      <c r="L523" s="14"/>
    </row>
    <row r="524" spans="1:12" ht="15.75" x14ac:dyDescent="0.25">
      <c r="A524" s="31">
        <v>56887</v>
      </c>
      <c r="B524" s="14">
        <f>87.5314 * CHOOSE(CONTROL!$C$9, $D$9, 100%, $F$9) + CHOOSE(CONTROL!$C$27, 0.0021, 0)</f>
        <v>87.533500000000004</v>
      </c>
      <c r="C524" s="14">
        <f>87.0992 * CHOOSE(CONTROL!$C$9, $D$9, 100%, $F$9) + CHOOSE(CONTROL!$C$27, 0.0021, 0)</f>
        <v>87.101299999999995</v>
      </c>
      <c r="D524" s="14">
        <f>87.0992 * CHOOSE(CONTROL!$C$9, $D$9, 100%, $F$9) + CHOOSE(CONTROL!$C$27, 0.0021, 0)</f>
        <v>87.101299999999995</v>
      </c>
      <c r="E524" s="14">
        <f>86.9625 * CHOOSE(CONTROL!$C$9, $D$9, 100%, $F$9) + CHOOSE(CONTROL!$C$27, 0.0021, 0)</f>
        <v>86.964600000000004</v>
      </c>
      <c r="F524" s="14">
        <f>86.9625 * CHOOSE(CONTROL!$C$9, $D$9, 100%, $F$9) + CHOOSE(CONTROL!$C$27, 0.0021, 0)</f>
        <v>86.964600000000004</v>
      </c>
      <c r="G524" s="14">
        <f>87.2339 * CHOOSE(CONTROL!$C$9, $D$9, 100%, $F$9) + CHOOSE(CONTROL!$C$27, 0.0021, 0)</f>
        <v>87.236000000000004</v>
      </c>
      <c r="H524" s="14">
        <f>87.0992 * CHOOSE(CONTROL!$C$9, $D$9, 100%, $F$9) + CHOOSE(CONTROL!$C$27, 0.0021, 0)</f>
        <v>87.101299999999995</v>
      </c>
      <c r="I524" s="14">
        <f>87.0992 * CHOOSE(CONTROL!$C$9, $D$9, 100%, $F$9) + CHOOSE(CONTROL!$C$27, 0.0021, 0)</f>
        <v>87.101299999999995</v>
      </c>
      <c r="J524" s="14">
        <f>87.0992 * CHOOSE(CONTROL!$C$9, $D$9, 100%, $F$9) + CHOOSE(CONTROL!$C$27, 0.0021, 0)</f>
        <v>87.101299999999995</v>
      </c>
      <c r="K524" s="14">
        <f>87.0992 * CHOOSE(CONTROL!$C$9, $D$9, 100%, $F$9) + CHOOSE(CONTROL!$C$27, 0.0021, 0)</f>
        <v>87.101299999999995</v>
      </c>
      <c r="L524" s="14"/>
    </row>
    <row r="525" spans="1:12" ht="15.75" x14ac:dyDescent="0.25">
      <c r="A525" s="31">
        <v>56918</v>
      </c>
      <c r="B525" s="14">
        <f>89.6818 * CHOOSE(CONTROL!$C$9, $D$9, 100%, $F$9) + CHOOSE(CONTROL!$C$27, 0.0021, 0)</f>
        <v>89.683899999999994</v>
      </c>
      <c r="C525" s="14">
        <f>89.2495 * CHOOSE(CONTROL!$C$9, $D$9, 100%, $F$9) + CHOOSE(CONTROL!$C$27, 0.0021, 0)</f>
        <v>89.251599999999996</v>
      </c>
      <c r="D525" s="14">
        <f>89.2495 * CHOOSE(CONTROL!$C$9, $D$9, 100%, $F$9) + CHOOSE(CONTROL!$C$27, 0.0021, 0)</f>
        <v>89.251599999999996</v>
      </c>
      <c r="E525" s="14">
        <f>89.1129 * CHOOSE(CONTROL!$C$9, $D$9, 100%, $F$9) + CHOOSE(CONTROL!$C$27, 0.0021, 0)</f>
        <v>89.114999999999995</v>
      </c>
      <c r="F525" s="14">
        <f>89.1129 * CHOOSE(CONTROL!$C$9, $D$9, 100%, $F$9) + CHOOSE(CONTROL!$C$27, 0.0021, 0)</f>
        <v>89.114999999999995</v>
      </c>
      <c r="G525" s="14">
        <f>89.3842 * CHOOSE(CONTROL!$C$9, $D$9, 100%, $F$9) + CHOOSE(CONTROL!$C$27, 0.0021, 0)</f>
        <v>89.386300000000006</v>
      </c>
      <c r="H525" s="14">
        <f>89.2495 * CHOOSE(CONTROL!$C$9, $D$9, 100%, $F$9) + CHOOSE(CONTROL!$C$27, 0.0021, 0)</f>
        <v>89.251599999999996</v>
      </c>
      <c r="I525" s="14">
        <f>89.2495 * CHOOSE(CONTROL!$C$9, $D$9, 100%, $F$9) + CHOOSE(CONTROL!$C$27, 0.0021, 0)</f>
        <v>89.251599999999996</v>
      </c>
      <c r="J525" s="14">
        <f>89.2495 * CHOOSE(CONTROL!$C$9, $D$9, 100%, $F$9) + CHOOSE(CONTROL!$C$27, 0.0021, 0)</f>
        <v>89.251599999999996</v>
      </c>
      <c r="K525" s="14">
        <f>89.2495 * CHOOSE(CONTROL!$C$9, $D$9, 100%, $F$9) + CHOOSE(CONTROL!$C$27, 0.0021, 0)</f>
        <v>89.251599999999996</v>
      </c>
      <c r="L525" s="14"/>
    </row>
    <row r="526" spans="1:12" ht="15.75" x14ac:dyDescent="0.25">
      <c r="A526" s="31">
        <v>56948</v>
      </c>
      <c r="B526" s="14">
        <f>89.8836 * CHOOSE(CONTROL!$C$9, $D$9, 100%, $F$9) + CHOOSE(CONTROL!$C$27, 0.0021, 0)</f>
        <v>89.8857</v>
      </c>
      <c r="C526" s="14">
        <f>89.4514 * CHOOSE(CONTROL!$C$9, $D$9, 100%, $F$9) + CHOOSE(CONTROL!$C$27, 0.0021, 0)</f>
        <v>89.453500000000005</v>
      </c>
      <c r="D526" s="14">
        <f>89.4514 * CHOOSE(CONTROL!$C$9, $D$9, 100%, $F$9) + CHOOSE(CONTROL!$C$27, 0.0021, 0)</f>
        <v>89.453500000000005</v>
      </c>
      <c r="E526" s="14">
        <f>89.3147 * CHOOSE(CONTROL!$C$9, $D$9, 100%, $F$9) + CHOOSE(CONTROL!$C$27, 0.0021, 0)</f>
        <v>89.316800000000001</v>
      </c>
      <c r="F526" s="14">
        <f>89.3147 * CHOOSE(CONTROL!$C$9, $D$9, 100%, $F$9) + CHOOSE(CONTROL!$C$27, 0.0021, 0)</f>
        <v>89.316800000000001</v>
      </c>
      <c r="G526" s="14">
        <f>89.5861 * CHOOSE(CONTROL!$C$9, $D$9, 100%, $F$9) + CHOOSE(CONTROL!$C$27, 0.0021, 0)</f>
        <v>89.588200000000001</v>
      </c>
      <c r="H526" s="14">
        <f>89.4514 * CHOOSE(CONTROL!$C$9, $D$9, 100%, $F$9) + CHOOSE(CONTROL!$C$27, 0.0021, 0)</f>
        <v>89.453500000000005</v>
      </c>
      <c r="I526" s="14">
        <f>89.4514 * CHOOSE(CONTROL!$C$9, $D$9, 100%, $F$9) + CHOOSE(CONTROL!$C$27, 0.0021, 0)</f>
        <v>89.453500000000005</v>
      </c>
      <c r="J526" s="14">
        <f>89.4514 * CHOOSE(CONTROL!$C$9, $D$9, 100%, $F$9) + CHOOSE(CONTROL!$C$27, 0.0021, 0)</f>
        <v>89.453500000000005</v>
      </c>
      <c r="K526" s="14">
        <f>89.4514 * CHOOSE(CONTROL!$C$9, $D$9, 100%, $F$9) + CHOOSE(CONTROL!$C$27, 0.0021, 0)</f>
        <v>89.453500000000005</v>
      </c>
      <c r="L526" s="14"/>
    </row>
    <row r="527" spans="1:12" ht="15.75" x14ac:dyDescent="0.25">
      <c r="A527" s="31">
        <v>56979</v>
      </c>
      <c r="B527" s="14">
        <f>88.1662 * CHOOSE(CONTROL!$C$9, $D$9, 100%, $F$9) + CHOOSE(CONTROL!$C$27, 0.0021, 0)</f>
        <v>88.168300000000002</v>
      </c>
      <c r="C527" s="14">
        <f>87.7339 * CHOOSE(CONTROL!$C$9, $D$9, 100%, $F$9) + CHOOSE(CONTROL!$C$27, 0.0021, 0)</f>
        <v>87.736000000000004</v>
      </c>
      <c r="D527" s="14">
        <f>87.7339 * CHOOSE(CONTROL!$C$9, $D$9, 100%, $F$9) + CHOOSE(CONTROL!$C$27, 0.0021, 0)</f>
        <v>87.736000000000004</v>
      </c>
      <c r="E527" s="14">
        <f>87.5973 * CHOOSE(CONTROL!$C$9, $D$9, 100%, $F$9) + CHOOSE(CONTROL!$C$27, 0.0021, 0)</f>
        <v>87.599400000000003</v>
      </c>
      <c r="F527" s="14">
        <f>87.5973 * CHOOSE(CONTROL!$C$9, $D$9, 100%, $F$9) + CHOOSE(CONTROL!$C$27, 0.0021, 0)</f>
        <v>87.599400000000003</v>
      </c>
      <c r="G527" s="14">
        <f>87.8687 * CHOOSE(CONTROL!$C$9, $D$9, 100%, $F$9) + CHOOSE(CONTROL!$C$27, 0.0021, 0)</f>
        <v>87.870800000000003</v>
      </c>
      <c r="H527" s="14">
        <f>87.7339 * CHOOSE(CONTROL!$C$9, $D$9, 100%, $F$9) + CHOOSE(CONTROL!$C$27, 0.0021, 0)</f>
        <v>87.736000000000004</v>
      </c>
      <c r="I527" s="14">
        <f>87.7339 * CHOOSE(CONTROL!$C$9, $D$9, 100%, $F$9) + CHOOSE(CONTROL!$C$27, 0.0021, 0)</f>
        <v>87.736000000000004</v>
      </c>
      <c r="J527" s="14">
        <f>87.7339 * CHOOSE(CONTROL!$C$9, $D$9, 100%, $F$9) + CHOOSE(CONTROL!$C$27, 0.0021, 0)</f>
        <v>87.736000000000004</v>
      </c>
      <c r="K527" s="14">
        <f>87.7339 * CHOOSE(CONTROL!$C$9, $D$9, 100%, $F$9) + CHOOSE(CONTROL!$C$27, 0.0021, 0)</f>
        <v>87.736000000000004</v>
      </c>
      <c r="L527" s="14"/>
    </row>
    <row r="528" spans="1:12" ht="15.75" x14ac:dyDescent="0.25">
      <c r="A528" s="31">
        <v>57010</v>
      </c>
      <c r="B528" s="14">
        <f>87.0807 * CHOOSE(CONTROL!$C$9, $D$9, 100%, $F$9) + CHOOSE(CONTROL!$C$27, 0.0021, 0)</f>
        <v>87.082799999999992</v>
      </c>
      <c r="C528" s="14">
        <f>86.6484 * CHOOSE(CONTROL!$C$9, $D$9, 100%, $F$9) + CHOOSE(CONTROL!$C$27, 0.0021, 0)</f>
        <v>86.650499999999994</v>
      </c>
      <c r="D528" s="14">
        <f>86.6484 * CHOOSE(CONTROL!$C$9, $D$9, 100%, $F$9) + CHOOSE(CONTROL!$C$27, 0.0021, 0)</f>
        <v>86.650499999999994</v>
      </c>
      <c r="E528" s="14">
        <f>86.5118 * CHOOSE(CONTROL!$C$9, $D$9, 100%, $F$9) + CHOOSE(CONTROL!$C$27, 0.0021, 0)</f>
        <v>86.513899999999992</v>
      </c>
      <c r="F528" s="14">
        <f>86.5118 * CHOOSE(CONTROL!$C$9, $D$9, 100%, $F$9) + CHOOSE(CONTROL!$C$27, 0.0021, 0)</f>
        <v>86.513899999999992</v>
      </c>
      <c r="G528" s="14">
        <f>86.7831 * CHOOSE(CONTROL!$C$9, $D$9, 100%, $F$9) + CHOOSE(CONTROL!$C$27, 0.0021, 0)</f>
        <v>86.785200000000003</v>
      </c>
      <c r="H528" s="14">
        <f>86.6484 * CHOOSE(CONTROL!$C$9, $D$9, 100%, $F$9) + CHOOSE(CONTROL!$C$27, 0.0021, 0)</f>
        <v>86.650499999999994</v>
      </c>
      <c r="I528" s="14">
        <f>86.6484 * CHOOSE(CONTROL!$C$9, $D$9, 100%, $F$9) + CHOOSE(CONTROL!$C$27, 0.0021, 0)</f>
        <v>86.650499999999994</v>
      </c>
      <c r="J528" s="14">
        <f>86.6484 * CHOOSE(CONTROL!$C$9, $D$9, 100%, $F$9) + CHOOSE(CONTROL!$C$27, 0.0021, 0)</f>
        <v>86.650499999999994</v>
      </c>
      <c r="K528" s="14">
        <f>86.6484 * CHOOSE(CONTROL!$C$9, $D$9, 100%, $F$9) + CHOOSE(CONTROL!$C$27, 0.0021, 0)</f>
        <v>86.650499999999994</v>
      </c>
      <c r="L528" s="14"/>
    </row>
    <row r="529" spans="1:12" ht="15.75" x14ac:dyDescent="0.25">
      <c r="A529" s="31">
        <v>57038</v>
      </c>
      <c r="B529" s="14">
        <f>84.6824 * CHOOSE(CONTROL!$C$9, $D$9, 100%, $F$9) + CHOOSE(CONTROL!$C$27, 0.0021, 0)</f>
        <v>84.6845</v>
      </c>
      <c r="C529" s="14">
        <f>84.2501 * CHOOSE(CONTROL!$C$9, $D$9, 100%, $F$9) + CHOOSE(CONTROL!$C$27, 0.0021, 0)</f>
        <v>84.252200000000002</v>
      </c>
      <c r="D529" s="14">
        <f>84.2501 * CHOOSE(CONTROL!$C$9, $D$9, 100%, $F$9) + CHOOSE(CONTROL!$C$27, 0.0021, 0)</f>
        <v>84.252200000000002</v>
      </c>
      <c r="E529" s="14">
        <f>84.1135 * CHOOSE(CONTROL!$C$9, $D$9, 100%, $F$9) + CHOOSE(CONTROL!$C$27, 0.0021, 0)</f>
        <v>84.115600000000001</v>
      </c>
      <c r="F529" s="14">
        <f>84.1135 * CHOOSE(CONTROL!$C$9, $D$9, 100%, $F$9) + CHOOSE(CONTROL!$C$27, 0.0021, 0)</f>
        <v>84.115600000000001</v>
      </c>
      <c r="G529" s="14">
        <f>84.3849 * CHOOSE(CONTROL!$C$9, $D$9, 100%, $F$9) + CHOOSE(CONTROL!$C$27, 0.0021, 0)</f>
        <v>84.387</v>
      </c>
      <c r="H529" s="14">
        <f>84.2501 * CHOOSE(CONTROL!$C$9, $D$9, 100%, $F$9) + CHOOSE(CONTROL!$C$27, 0.0021, 0)</f>
        <v>84.252200000000002</v>
      </c>
      <c r="I529" s="14">
        <f>84.2501 * CHOOSE(CONTROL!$C$9, $D$9, 100%, $F$9) + CHOOSE(CONTROL!$C$27, 0.0021, 0)</f>
        <v>84.252200000000002</v>
      </c>
      <c r="J529" s="14">
        <f>84.2501 * CHOOSE(CONTROL!$C$9, $D$9, 100%, $F$9) + CHOOSE(CONTROL!$C$27, 0.0021, 0)</f>
        <v>84.252200000000002</v>
      </c>
      <c r="K529" s="14">
        <f>84.2501 * CHOOSE(CONTROL!$C$9, $D$9, 100%, $F$9) + CHOOSE(CONTROL!$C$27, 0.0021, 0)</f>
        <v>84.252200000000002</v>
      </c>
      <c r="L529" s="14"/>
    </row>
    <row r="530" spans="1:12" ht="15.75" x14ac:dyDescent="0.25">
      <c r="A530" s="31">
        <v>57070</v>
      </c>
      <c r="B530" s="14">
        <f>83.6924 * CHOOSE(CONTROL!$C$9, $D$9, 100%, $F$9) + CHOOSE(CONTROL!$C$27, 0.0021, 0)</f>
        <v>83.694500000000005</v>
      </c>
      <c r="C530" s="14">
        <f>83.2601 * CHOOSE(CONTROL!$C$9, $D$9, 100%, $F$9) + CHOOSE(CONTROL!$C$27, 0.0021, 0)</f>
        <v>83.262199999999993</v>
      </c>
      <c r="D530" s="14">
        <f>83.2601 * CHOOSE(CONTROL!$C$9, $D$9, 100%, $F$9) + CHOOSE(CONTROL!$C$27, 0.0021, 0)</f>
        <v>83.262199999999993</v>
      </c>
      <c r="E530" s="14">
        <f>83.1235 * CHOOSE(CONTROL!$C$9, $D$9, 100%, $F$9) + CHOOSE(CONTROL!$C$27, 0.0021, 0)</f>
        <v>83.125600000000006</v>
      </c>
      <c r="F530" s="14">
        <f>83.1235 * CHOOSE(CONTROL!$C$9, $D$9, 100%, $F$9) + CHOOSE(CONTROL!$C$27, 0.0021, 0)</f>
        <v>83.125600000000006</v>
      </c>
      <c r="G530" s="14">
        <f>83.3949 * CHOOSE(CONTROL!$C$9, $D$9, 100%, $F$9) + CHOOSE(CONTROL!$C$27, 0.0021, 0)</f>
        <v>83.397000000000006</v>
      </c>
      <c r="H530" s="14">
        <f>83.2601 * CHOOSE(CONTROL!$C$9, $D$9, 100%, $F$9) + CHOOSE(CONTROL!$C$27, 0.0021, 0)</f>
        <v>83.262199999999993</v>
      </c>
      <c r="I530" s="14">
        <f>83.2601 * CHOOSE(CONTROL!$C$9, $D$9, 100%, $F$9) + CHOOSE(CONTROL!$C$27, 0.0021, 0)</f>
        <v>83.262199999999993</v>
      </c>
      <c r="J530" s="14">
        <f>83.2601 * CHOOSE(CONTROL!$C$9, $D$9, 100%, $F$9) + CHOOSE(CONTROL!$C$27, 0.0021, 0)</f>
        <v>83.262199999999993</v>
      </c>
      <c r="K530" s="14">
        <f>83.2601 * CHOOSE(CONTROL!$C$9, $D$9, 100%, $F$9) + CHOOSE(CONTROL!$C$27, 0.0021, 0)</f>
        <v>83.262199999999993</v>
      </c>
      <c r="L530" s="14"/>
    </row>
    <row r="531" spans="1:12" ht="15.75" x14ac:dyDescent="0.25">
      <c r="A531" s="31">
        <v>57100</v>
      </c>
      <c r="B531" s="14">
        <f>82.5103 * CHOOSE(CONTROL!$C$9, $D$9, 100%, $F$9) + CHOOSE(CONTROL!$C$27, 0.0021, 0)</f>
        <v>82.5124</v>
      </c>
      <c r="C531" s="14">
        <f>82.0781 * CHOOSE(CONTROL!$C$9, $D$9, 100%, $F$9) + CHOOSE(CONTROL!$C$27, 0.0021, 0)</f>
        <v>82.080200000000005</v>
      </c>
      <c r="D531" s="14">
        <f>82.0781 * CHOOSE(CONTROL!$C$9, $D$9, 100%, $F$9) + CHOOSE(CONTROL!$C$27, 0.0021, 0)</f>
        <v>82.080200000000005</v>
      </c>
      <c r="E531" s="14">
        <f>81.9414 * CHOOSE(CONTROL!$C$9, $D$9, 100%, $F$9) + CHOOSE(CONTROL!$C$27, 0.0021, 0)</f>
        <v>81.9435</v>
      </c>
      <c r="F531" s="14">
        <f>81.9414 * CHOOSE(CONTROL!$C$9, $D$9, 100%, $F$9) + CHOOSE(CONTROL!$C$27, 0.0021, 0)</f>
        <v>81.9435</v>
      </c>
      <c r="G531" s="14">
        <f>82.2128 * CHOOSE(CONTROL!$C$9, $D$9, 100%, $F$9) + CHOOSE(CONTROL!$C$27, 0.0021, 0)</f>
        <v>82.2149</v>
      </c>
      <c r="H531" s="14">
        <f>82.0781 * CHOOSE(CONTROL!$C$9, $D$9, 100%, $F$9) + CHOOSE(CONTROL!$C$27, 0.0021, 0)</f>
        <v>82.080200000000005</v>
      </c>
      <c r="I531" s="14">
        <f>82.0781 * CHOOSE(CONTROL!$C$9, $D$9, 100%, $F$9) + CHOOSE(CONTROL!$C$27, 0.0021, 0)</f>
        <v>82.080200000000005</v>
      </c>
      <c r="J531" s="14">
        <f>82.0781 * CHOOSE(CONTROL!$C$9, $D$9, 100%, $F$9) + CHOOSE(CONTROL!$C$27, 0.0021, 0)</f>
        <v>82.080200000000005</v>
      </c>
      <c r="K531" s="14">
        <f>82.0781 * CHOOSE(CONTROL!$C$9, $D$9, 100%, $F$9) + CHOOSE(CONTROL!$C$27, 0.0021, 0)</f>
        <v>82.080200000000005</v>
      </c>
      <c r="L531" s="14"/>
    </row>
    <row r="532" spans="1:12" ht="15.75" x14ac:dyDescent="0.25">
      <c r="A532" s="31">
        <v>57131</v>
      </c>
      <c r="B532" s="14">
        <f>84.1949 * CHOOSE(CONTROL!$C$9, $D$9, 100%, $F$9) + CHOOSE(CONTROL!$C$27, 0.0021, 0)</f>
        <v>84.197000000000003</v>
      </c>
      <c r="C532" s="14">
        <f>83.7627 * CHOOSE(CONTROL!$C$9, $D$9, 100%, $F$9) + CHOOSE(CONTROL!$C$27, 0.0021, 0)</f>
        <v>83.764799999999994</v>
      </c>
      <c r="D532" s="14">
        <f>83.7627 * CHOOSE(CONTROL!$C$9, $D$9, 100%, $F$9) + CHOOSE(CONTROL!$C$27, 0.0021, 0)</f>
        <v>83.764799999999994</v>
      </c>
      <c r="E532" s="14">
        <f>83.626 * CHOOSE(CONTROL!$C$9, $D$9, 100%, $F$9) + CHOOSE(CONTROL!$C$27, 0.0021, 0)</f>
        <v>83.628100000000003</v>
      </c>
      <c r="F532" s="14">
        <f>83.626 * CHOOSE(CONTROL!$C$9, $D$9, 100%, $F$9) + CHOOSE(CONTROL!$C$27, 0.0021, 0)</f>
        <v>83.628100000000003</v>
      </c>
      <c r="G532" s="14">
        <f>83.8974 * CHOOSE(CONTROL!$C$9, $D$9, 100%, $F$9) + CHOOSE(CONTROL!$C$27, 0.0021, 0)</f>
        <v>83.899500000000003</v>
      </c>
      <c r="H532" s="14">
        <f>83.7627 * CHOOSE(CONTROL!$C$9, $D$9, 100%, $F$9) + CHOOSE(CONTROL!$C$27, 0.0021, 0)</f>
        <v>83.764799999999994</v>
      </c>
      <c r="I532" s="14">
        <f>83.7627 * CHOOSE(CONTROL!$C$9, $D$9, 100%, $F$9) + CHOOSE(CONTROL!$C$27, 0.0021, 0)</f>
        <v>83.764799999999994</v>
      </c>
      <c r="J532" s="14">
        <f>83.7627 * CHOOSE(CONTROL!$C$9, $D$9, 100%, $F$9) + CHOOSE(CONTROL!$C$27, 0.0021, 0)</f>
        <v>83.764799999999994</v>
      </c>
      <c r="K532" s="14">
        <f>83.7627 * CHOOSE(CONTROL!$C$9, $D$9, 100%, $F$9) + CHOOSE(CONTROL!$C$27, 0.0021, 0)</f>
        <v>83.764799999999994</v>
      </c>
      <c r="L532" s="14"/>
    </row>
    <row r="533" spans="1:12" ht="15.75" x14ac:dyDescent="0.25">
      <c r="A533" s="31">
        <v>57161</v>
      </c>
      <c r="B533" s="14">
        <f>85.2039 * CHOOSE(CONTROL!$C$9, $D$9, 100%, $F$9) + CHOOSE(CONTROL!$C$27, 0.0021, 0)</f>
        <v>85.206000000000003</v>
      </c>
      <c r="C533" s="14">
        <f>84.7717 * CHOOSE(CONTROL!$C$9, $D$9, 100%, $F$9) + CHOOSE(CONTROL!$C$27, 0.0021, 0)</f>
        <v>84.773799999999994</v>
      </c>
      <c r="D533" s="14">
        <f>84.7717 * CHOOSE(CONTROL!$C$9, $D$9, 100%, $F$9) + CHOOSE(CONTROL!$C$27, 0.0021, 0)</f>
        <v>84.773799999999994</v>
      </c>
      <c r="E533" s="14">
        <f>84.635 * CHOOSE(CONTROL!$C$9, $D$9, 100%, $F$9) + CHOOSE(CONTROL!$C$27, 0.0021, 0)</f>
        <v>84.637100000000004</v>
      </c>
      <c r="F533" s="14">
        <f>84.635 * CHOOSE(CONTROL!$C$9, $D$9, 100%, $F$9) + CHOOSE(CONTROL!$C$27, 0.0021, 0)</f>
        <v>84.637100000000004</v>
      </c>
      <c r="G533" s="14">
        <f>84.9064 * CHOOSE(CONTROL!$C$9, $D$9, 100%, $F$9) + CHOOSE(CONTROL!$C$27, 0.0021, 0)</f>
        <v>84.908500000000004</v>
      </c>
      <c r="H533" s="14">
        <f>84.7717 * CHOOSE(CONTROL!$C$9, $D$9, 100%, $F$9) + CHOOSE(CONTROL!$C$27, 0.0021, 0)</f>
        <v>84.773799999999994</v>
      </c>
      <c r="I533" s="14">
        <f>84.7717 * CHOOSE(CONTROL!$C$9, $D$9, 100%, $F$9) + CHOOSE(CONTROL!$C$27, 0.0021, 0)</f>
        <v>84.773799999999994</v>
      </c>
      <c r="J533" s="14">
        <f>84.7717 * CHOOSE(CONTROL!$C$9, $D$9, 100%, $F$9) + CHOOSE(CONTROL!$C$27, 0.0021, 0)</f>
        <v>84.773799999999994</v>
      </c>
      <c r="K533" s="14">
        <f>84.7717 * CHOOSE(CONTROL!$C$9, $D$9, 100%, $F$9) + CHOOSE(CONTROL!$C$27, 0.0021, 0)</f>
        <v>84.773799999999994</v>
      </c>
      <c r="L533" s="14"/>
    </row>
    <row r="534" spans="1:12" ht="15.75" x14ac:dyDescent="0.25">
      <c r="A534" s="31">
        <v>57192</v>
      </c>
      <c r="B534" s="14">
        <f>86.8684 * CHOOSE(CONTROL!$C$9, $D$9, 100%, $F$9) + CHOOSE(CONTROL!$C$27, 0.0021, 0)</f>
        <v>86.870499999999993</v>
      </c>
      <c r="C534" s="14">
        <f>86.4362 * CHOOSE(CONTROL!$C$9, $D$9, 100%, $F$9) + CHOOSE(CONTROL!$C$27, 0.0021, 0)</f>
        <v>86.438299999999998</v>
      </c>
      <c r="D534" s="14">
        <f>86.4362 * CHOOSE(CONTROL!$C$9, $D$9, 100%, $F$9) + CHOOSE(CONTROL!$C$27, 0.0021, 0)</f>
        <v>86.438299999999998</v>
      </c>
      <c r="E534" s="14">
        <f>86.2995 * CHOOSE(CONTROL!$C$9, $D$9, 100%, $F$9) + CHOOSE(CONTROL!$C$27, 0.0021, 0)</f>
        <v>86.301599999999993</v>
      </c>
      <c r="F534" s="14">
        <f>86.2995 * CHOOSE(CONTROL!$C$9, $D$9, 100%, $F$9) + CHOOSE(CONTROL!$C$27, 0.0021, 0)</f>
        <v>86.301599999999993</v>
      </c>
      <c r="G534" s="14">
        <f>86.5709 * CHOOSE(CONTROL!$C$9, $D$9, 100%, $F$9) + CHOOSE(CONTROL!$C$27, 0.0021, 0)</f>
        <v>86.572999999999993</v>
      </c>
      <c r="H534" s="14">
        <f>86.4362 * CHOOSE(CONTROL!$C$9, $D$9, 100%, $F$9) + CHOOSE(CONTROL!$C$27, 0.0021, 0)</f>
        <v>86.438299999999998</v>
      </c>
      <c r="I534" s="14">
        <f>86.4362 * CHOOSE(CONTROL!$C$9, $D$9, 100%, $F$9) + CHOOSE(CONTROL!$C$27, 0.0021, 0)</f>
        <v>86.438299999999998</v>
      </c>
      <c r="J534" s="14">
        <f>86.4362 * CHOOSE(CONTROL!$C$9, $D$9, 100%, $F$9) + CHOOSE(CONTROL!$C$27, 0.0021, 0)</f>
        <v>86.438299999999998</v>
      </c>
      <c r="K534" s="14">
        <f>86.4362 * CHOOSE(CONTROL!$C$9, $D$9, 100%, $F$9) + CHOOSE(CONTROL!$C$27, 0.0021, 0)</f>
        <v>86.438299999999998</v>
      </c>
      <c r="L534" s="14"/>
    </row>
    <row r="535" spans="1:12" ht="15.75" x14ac:dyDescent="0.25">
      <c r="A535" s="31">
        <v>57223</v>
      </c>
      <c r="B535" s="14">
        <f>87.3765 * CHOOSE(CONTROL!$C$9, $D$9, 100%, $F$9) + CHOOSE(CONTROL!$C$27, 0.0021, 0)</f>
        <v>87.378599999999992</v>
      </c>
      <c r="C535" s="14">
        <f>86.9442 * CHOOSE(CONTROL!$C$9, $D$9, 100%, $F$9) + CHOOSE(CONTROL!$C$27, 0.0021, 0)</f>
        <v>86.946299999999994</v>
      </c>
      <c r="D535" s="14">
        <f>86.9442 * CHOOSE(CONTROL!$C$9, $D$9, 100%, $F$9) + CHOOSE(CONTROL!$C$27, 0.0021, 0)</f>
        <v>86.946299999999994</v>
      </c>
      <c r="E535" s="14">
        <f>86.8076 * CHOOSE(CONTROL!$C$9, $D$9, 100%, $F$9) + CHOOSE(CONTROL!$C$27, 0.0021, 0)</f>
        <v>86.809699999999992</v>
      </c>
      <c r="F535" s="14">
        <f>86.8076 * CHOOSE(CONTROL!$C$9, $D$9, 100%, $F$9) + CHOOSE(CONTROL!$C$27, 0.0021, 0)</f>
        <v>86.809699999999992</v>
      </c>
      <c r="G535" s="14">
        <f>87.079 * CHOOSE(CONTROL!$C$9, $D$9, 100%, $F$9) + CHOOSE(CONTROL!$C$27, 0.0021, 0)</f>
        <v>87.081099999999992</v>
      </c>
      <c r="H535" s="14">
        <f>86.9442 * CHOOSE(CONTROL!$C$9, $D$9, 100%, $F$9) + CHOOSE(CONTROL!$C$27, 0.0021, 0)</f>
        <v>86.946299999999994</v>
      </c>
      <c r="I535" s="14">
        <f>86.9442 * CHOOSE(CONTROL!$C$9, $D$9, 100%, $F$9) + CHOOSE(CONTROL!$C$27, 0.0021, 0)</f>
        <v>86.946299999999994</v>
      </c>
      <c r="J535" s="14">
        <f>86.9442 * CHOOSE(CONTROL!$C$9, $D$9, 100%, $F$9) + CHOOSE(CONTROL!$C$27, 0.0021, 0)</f>
        <v>86.946299999999994</v>
      </c>
      <c r="K535" s="14">
        <f>86.9442 * CHOOSE(CONTROL!$C$9, $D$9, 100%, $F$9) + CHOOSE(CONTROL!$C$27, 0.0021, 0)</f>
        <v>86.946299999999994</v>
      </c>
      <c r="L535" s="14"/>
    </row>
    <row r="536" spans="1:12" ht="15.75" x14ac:dyDescent="0.25">
      <c r="A536" s="31">
        <v>57253</v>
      </c>
      <c r="B536" s="14">
        <f>89.1067 * CHOOSE(CONTROL!$C$9, $D$9, 100%, $F$9) + CHOOSE(CONTROL!$C$27, 0.0021, 0)</f>
        <v>89.108800000000002</v>
      </c>
      <c r="C536" s="14">
        <f>88.6744 * CHOOSE(CONTROL!$C$9, $D$9, 100%, $F$9) + CHOOSE(CONTROL!$C$27, 0.0021, 0)</f>
        <v>88.676500000000004</v>
      </c>
      <c r="D536" s="14">
        <f>88.6744 * CHOOSE(CONTROL!$C$9, $D$9, 100%, $F$9) + CHOOSE(CONTROL!$C$27, 0.0021, 0)</f>
        <v>88.676500000000004</v>
      </c>
      <c r="E536" s="14">
        <f>88.5378 * CHOOSE(CONTROL!$C$9, $D$9, 100%, $F$9) + CHOOSE(CONTROL!$C$27, 0.0021, 0)</f>
        <v>88.539900000000003</v>
      </c>
      <c r="F536" s="14">
        <f>88.5378 * CHOOSE(CONTROL!$C$9, $D$9, 100%, $F$9) + CHOOSE(CONTROL!$C$27, 0.0021, 0)</f>
        <v>88.539900000000003</v>
      </c>
      <c r="G536" s="14">
        <f>88.8092 * CHOOSE(CONTROL!$C$9, $D$9, 100%, $F$9) + CHOOSE(CONTROL!$C$27, 0.0021, 0)</f>
        <v>88.811300000000003</v>
      </c>
      <c r="H536" s="14">
        <f>88.6744 * CHOOSE(CONTROL!$C$9, $D$9, 100%, $F$9) + CHOOSE(CONTROL!$C$27, 0.0021, 0)</f>
        <v>88.676500000000004</v>
      </c>
      <c r="I536" s="14">
        <f>88.6744 * CHOOSE(CONTROL!$C$9, $D$9, 100%, $F$9) + CHOOSE(CONTROL!$C$27, 0.0021, 0)</f>
        <v>88.676500000000004</v>
      </c>
      <c r="J536" s="14">
        <f>88.6744 * CHOOSE(CONTROL!$C$9, $D$9, 100%, $F$9) + CHOOSE(CONTROL!$C$27, 0.0021, 0)</f>
        <v>88.676500000000004</v>
      </c>
      <c r="K536" s="14">
        <f>88.6744 * CHOOSE(CONTROL!$C$9, $D$9, 100%, $F$9) + CHOOSE(CONTROL!$C$27, 0.0021, 0)</f>
        <v>88.676500000000004</v>
      </c>
      <c r="L536" s="14"/>
    </row>
    <row r="537" spans="1:12" ht="15.75" x14ac:dyDescent="0.25">
      <c r="A537" s="31">
        <v>57284</v>
      </c>
      <c r="B537" s="14">
        <f>91.2968 * CHOOSE(CONTROL!$C$9, $D$9, 100%, $F$9) + CHOOSE(CONTROL!$C$27, 0.0021, 0)</f>
        <v>91.298900000000003</v>
      </c>
      <c r="C537" s="14">
        <f>90.8645 * CHOOSE(CONTROL!$C$9, $D$9, 100%, $F$9) + CHOOSE(CONTROL!$C$27, 0.0021, 0)</f>
        <v>90.866600000000005</v>
      </c>
      <c r="D537" s="14">
        <f>90.8645 * CHOOSE(CONTROL!$C$9, $D$9, 100%, $F$9) + CHOOSE(CONTROL!$C$27, 0.0021, 0)</f>
        <v>90.866600000000005</v>
      </c>
      <c r="E537" s="14">
        <f>90.7279 * CHOOSE(CONTROL!$C$9, $D$9, 100%, $F$9) + CHOOSE(CONTROL!$C$27, 0.0021, 0)</f>
        <v>90.73</v>
      </c>
      <c r="F537" s="14">
        <f>90.7279 * CHOOSE(CONTROL!$C$9, $D$9, 100%, $F$9) + CHOOSE(CONTROL!$C$27, 0.0021, 0)</f>
        <v>90.73</v>
      </c>
      <c r="G537" s="14">
        <f>90.9993 * CHOOSE(CONTROL!$C$9, $D$9, 100%, $F$9) + CHOOSE(CONTROL!$C$27, 0.0021, 0)</f>
        <v>91.001400000000004</v>
      </c>
      <c r="H537" s="14">
        <f>90.8645 * CHOOSE(CONTROL!$C$9, $D$9, 100%, $F$9) + CHOOSE(CONTROL!$C$27, 0.0021, 0)</f>
        <v>90.866600000000005</v>
      </c>
      <c r="I537" s="14">
        <f>90.8645 * CHOOSE(CONTROL!$C$9, $D$9, 100%, $F$9) + CHOOSE(CONTROL!$C$27, 0.0021, 0)</f>
        <v>90.866600000000005</v>
      </c>
      <c r="J537" s="14">
        <f>90.8645 * CHOOSE(CONTROL!$C$9, $D$9, 100%, $F$9) + CHOOSE(CONTROL!$C$27, 0.0021, 0)</f>
        <v>90.866600000000005</v>
      </c>
      <c r="K537" s="14">
        <f>90.8645 * CHOOSE(CONTROL!$C$9, $D$9, 100%, $F$9) + CHOOSE(CONTROL!$C$27, 0.0021, 0)</f>
        <v>90.866600000000005</v>
      </c>
      <c r="L537" s="14"/>
    </row>
    <row r="538" spans="1:12" ht="15.75" x14ac:dyDescent="0.25">
      <c r="A538" s="31">
        <v>57314</v>
      </c>
      <c r="B538" s="14">
        <f>91.5024 * CHOOSE(CONTROL!$C$9, $D$9, 100%, $F$9) + CHOOSE(CONTROL!$C$27, 0.0021, 0)</f>
        <v>91.504499999999993</v>
      </c>
      <c r="C538" s="14">
        <f>91.0702 * CHOOSE(CONTROL!$C$9, $D$9, 100%, $F$9) + CHOOSE(CONTROL!$C$27, 0.0021, 0)</f>
        <v>91.072299999999998</v>
      </c>
      <c r="D538" s="14">
        <f>91.0702 * CHOOSE(CONTROL!$C$9, $D$9, 100%, $F$9) + CHOOSE(CONTROL!$C$27, 0.0021, 0)</f>
        <v>91.072299999999998</v>
      </c>
      <c r="E538" s="14">
        <f>90.9335 * CHOOSE(CONTROL!$C$9, $D$9, 100%, $F$9) + CHOOSE(CONTROL!$C$27, 0.0021, 0)</f>
        <v>90.935599999999994</v>
      </c>
      <c r="F538" s="14">
        <f>90.9335 * CHOOSE(CONTROL!$C$9, $D$9, 100%, $F$9) + CHOOSE(CONTROL!$C$27, 0.0021, 0)</f>
        <v>90.935599999999994</v>
      </c>
      <c r="G538" s="14">
        <f>91.2049 * CHOOSE(CONTROL!$C$9, $D$9, 100%, $F$9) + CHOOSE(CONTROL!$C$27, 0.0021, 0)</f>
        <v>91.206999999999994</v>
      </c>
      <c r="H538" s="14">
        <f>91.0702 * CHOOSE(CONTROL!$C$9, $D$9, 100%, $F$9) + CHOOSE(CONTROL!$C$27, 0.0021, 0)</f>
        <v>91.072299999999998</v>
      </c>
      <c r="I538" s="14">
        <f>91.0702 * CHOOSE(CONTROL!$C$9, $D$9, 100%, $F$9) + CHOOSE(CONTROL!$C$27, 0.0021, 0)</f>
        <v>91.072299999999998</v>
      </c>
      <c r="J538" s="14">
        <f>91.0702 * CHOOSE(CONTROL!$C$9, $D$9, 100%, $F$9) + CHOOSE(CONTROL!$C$27, 0.0021, 0)</f>
        <v>91.072299999999998</v>
      </c>
      <c r="K538" s="14">
        <f>91.0702 * CHOOSE(CONTROL!$C$9, $D$9, 100%, $F$9) + CHOOSE(CONTROL!$C$27, 0.0021, 0)</f>
        <v>91.072299999999998</v>
      </c>
      <c r="L538" s="14"/>
    </row>
    <row r="539" spans="1:12" ht="15.75" x14ac:dyDescent="0.25">
      <c r="A539" s="31">
        <v>57345</v>
      </c>
      <c r="B539" s="14">
        <f>89.7532 * CHOOSE(CONTROL!$C$9, $D$9, 100%, $F$9) + CHOOSE(CONTROL!$C$27, 0.0021, 0)</f>
        <v>89.755300000000005</v>
      </c>
      <c r="C539" s="14">
        <f>89.321 * CHOOSE(CONTROL!$C$9, $D$9, 100%, $F$9) + CHOOSE(CONTROL!$C$27, 0.0021, 0)</f>
        <v>89.323099999999997</v>
      </c>
      <c r="D539" s="14">
        <f>89.321 * CHOOSE(CONTROL!$C$9, $D$9, 100%, $F$9) + CHOOSE(CONTROL!$C$27, 0.0021, 0)</f>
        <v>89.323099999999997</v>
      </c>
      <c r="E539" s="14">
        <f>89.1843 * CHOOSE(CONTROL!$C$9, $D$9, 100%, $F$9) + CHOOSE(CONTROL!$C$27, 0.0021, 0)</f>
        <v>89.186399999999992</v>
      </c>
      <c r="F539" s="14">
        <f>89.1843 * CHOOSE(CONTROL!$C$9, $D$9, 100%, $F$9) + CHOOSE(CONTROL!$C$27, 0.0021, 0)</f>
        <v>89.186399999999992</v>
      </c>
      <c r="G539" s="14">
        <f>89.4557 * CHOOSE(CONTROL!$C$9, $D$9, 100%, $F$9) + CHOOSE(CONTROL!$C$27, 0.0021, 0)</f>
        <v>89.457799999999992</v>
      </c>
      <c r="H539" s="14">
        <f>89.321 * CHOOSE(CONTROL!$C$9, $D$9, 100%, $F$9) + CHOOSE(CONTROL!$C$27, 0.0021, 0)</f>
        <v>89.323099999999997</v>
      </c>
      <c r="I539" s="14">
        <f>89.321 * CHOOSE(CONTROL!$C$9, $D$9, 100%, $F$9) + CHOOSE(CONTROL!$C$27, 0.0021, 0)</f>
        <v>89.323099999999997</v>
      </c>
      <c r="J539" s="14">
        <f>89.321 * CHOOSE(CONTROL!$C$9, $D$9, 100%, $F$9) + CHOOSE(CONTROL!$C$27, 0.0021, 0)</f>
        <v>89.323099999999997</v>
      </c>
      <c r="K539" s="14">
        <f>89.321 * CHOOSE(CONTROL!$C$9, $D$9, 100%, $F$9) + CHOOSE(CONTROL!$C$27, 0.0021, 0)</f>
        <v>89.323099999999997</v>
      </c>
      <c r="L539" s="14"/>
    </row>
    <row r="540" spans="1:12" ht="15.75" x14ac:dyDescent="0.25">
      <c r="A540" s="31">
        <v>57376</v>
      </c>
      <c r="B540" s="14">
        <f>88.6476 * CHOOSE(CONTROL!$C$9, $D$9, 100%, $F$9) + CHOOSE(CONTROL!$C$27, 0.0021, 0)</f>
        <v>88.649699999999996</v>
      </c>
      <c r="C540" s="14">
        <f>88.2154 * CHOOSE(CONTROL!$C$9, $D$9, 100%, $F$9) + CHOOSE(CONTROL!$C$27, 0.0021, 0)</f>
        <v>88.217500000000001</v>
      </c>
      <c r="D540" s="14">
        <f>88.2154 * CHOOSE(CONTROL!$C$9, $D$9, 100%, $F$9) + CHOOSE(CONTROL!$C$27, 0.0021, 0)</f>
        <v>88.217500000000001</v>
      </c>
      <c r="E540" s="14">
        <f>88.0787 * CHOOSE(CONTROL!$C$9, $D$9, 100%, $F$9) + CHOOSE(CONTROL!$C$27, 0.0021, 0)</f>
        <v>88.080799999999996</v>
      </c>
      <c r="F540" s="14">
        <f>88.0787 * CHOOSE(CONTROL!$C$9, $D$9, 100%, $F$9) + CHOOSE(CONTROL!$C$27, 0.0021, 0)</f>
        <v>88.080799999999996</v>
      </c>
      <c r="G540" s="14">
        <f>88.3501 * CHOOSE(CONTROL!$C$9, $D$9, 100%, $F$9) + CHOOSE(CONTROL!$C$27, 0.0021, 0)</f>
        <v>88.352199999999996</v>
      </c>
      <c r="H540" s="14">
        <f>88.2154 * CHOOSE(CONTROL!$C$9, $D$9, 100%, $F$9) + CHOOSE(CONTROL!$C$27, 0.0021, 0)</f>
        <v>88.217500000000001</v>
      </c>
      <c r="I540" s="14">
        <f>88.2154 * CHOOSE(CONTROL!$C$9, $D$9, 100%, $F$9) + CHOOSE(CONTROL!$C$27, 0.0021, 0)</f>
        <v>88.217500000000001</v>
      </c>
      <c r="J540" s="14">
        <f>88.2154 * CHOOSE(CONTROL!$C$9, $D$9, 100%, $F$9) + CHOOSE(CONTROL!$C$27, 0.0021, 0)</f>
        <v>88.217500000000001</v>
      </c>
      <c r="K540" s="14">
        <f>88.2154 * CHOOSE(CONTROL!$C$9, $D$9, 100%, $F$9) + CHOOSE(CONTROL!$C$27, 0.0021, 0)</f>
        <v>88.217500000000001</v>
      </c>
      <c r="L540" s="14"/>
    </row>
    <row r="541" spans="1:12" ht="15.75" x14ac:dyDescent="0.25">
      <c r="A541" s="31">
        <v>57404</v>
      </c>
      <c r="B541" s="14">
        <f>86.205 * CHOOSE(CONTROL!$C$9, $D$9, 100%, $F$9) + CHOOSE(CONTROL!$C$27, 0.0021, 0)</f>
        <v>86.207099999999997</v>
      </c>
      <c r="C541" s="14">
        <f>85.7728 * CHOOSE(CONTROL!$C$9, $D$9, 100%, $F$9) + CHOOSE(CONTROL!$C$27, 0.0021, 0)</f>
        <v>85.774900000000002</v>
      </c>
      <c r="D541" s="14">
        <f>85.7728 * CHOOSE(CONTROL!$C$9, $D$9, 100%, $F$9) + CHOOSE(CONTROL!$C$27, 0.0021, 0)</f>
        <v>85.774900000000002</v>
      </c>
      <c r="E541" s="14">
        <f>85.6361 * CHOOSE(CONTROL!$C$9, $D$9, 100%, $F$9) + CHOOSE(CONTROL!$C$27, 0.0021, 0)</f>
        <v>85.638199999999998</v>
      </c>
      <c r="F541" s="14">
        <f>85.6361 * CHOOSE(CONTROL!$C$9, $D$9, 100%, $F$9) + CHOOSE(CONTROL!$C$27, 0.0021, 0)</f>
        <v>85.638199999999998</v>
      </c>
      <c r="G541" s="14">
        <f>85.9075 * CHOOSE(CONTROL!$C$9, $D$9, 100%, $F$9) + CHOOSE(CONTROL!$C$27, 0.0021, 0)</f>
        <v>85.909599999999998</v>
      </c>
      <c r="H541" s="14">
        <f>85.7728 * CHOOSE(CONTROL!$C$9, $D$9, 100%, $F$9) + CHOOSE(CONTROL!$C$27, 0.0021, 0)</f>
        <v>85.774900000000002</v>
      </c>
      <c r="I541" s="14">
        <f>85.7728 * CHOOSE(CONTROL!$C$9, $D$9, 100%, $F$9) + CHOOSE(CONTROL!$C$27, 0.0021, 0)</f>
        <v>85.774900000000002</v>
      </c>
      <c r="J541" s="14">
        <f>85.7728 * CHOOSE(CONTROL!$C$9, $D$9, 100%, $F$9) + CHOOSE(CONTROL!$C$27, 0.0021, 0)</f>
        <v>85.774900000000002</v>
      </c>
      <c r="K541" s="14">
        <f>85.7728 * CHOOSE(CONTROL!$C$9, $D$9, 100%, $F$9) + CHOOSE(CONTROL!$C$27, 0.0021, 0)</f>
        <v>85.774900000000002</v>
      </c>
      <c r="L541" s="14"/>
    </row>
    <row r="542" spans="1:12" ht="15.75" x14ac:dyDescent="0.25">
      <c r="A542" s="31">
        <v>57435</v>
      </c>
      <c r="B542" s="14">
        <f>85.1967 * CHOOSE(CONTROL!$C$9, $D$9, 100%, $F$9) + CHOOSE(CONTROL!$C$27, 0.0021, 0)</f>
        <v>85.198800000000006</v>
      </c>
      <c r="C542" s="14">
        <f>84.7645 * CHOOSE(CONTROL!$C$9, $D$9, 100%, $F$9) + CHOOSE(CONTROL!$C$27, 0.0021, 0)</f>
        <v>84.766599999999997</v>
      </c>
      <c r="D542" s="14">
        <f>84.7645 * CHOOSE(CONTROL!$C$9, $D$9, 100%, $F$9) + CHOOSE(CONTROL!$C$27, 0.0021, 0)</f>
        <v>84.766599999999997</v>
      </c>
      <c r="E542" s="14">
        <f>84.6278 * CHOOSE(CONTROL!$C$9, $D$9, 100%, $F$9) + CHOOSE(CONTROL!$C$27, 0.0021, 0)</f>
        <v>84.629899999999992</v>
      </c>
      <c r="F542" s="14">
        <f>84.6278 * CHOOSE(CONTROL!$C$9, $D$9, 100%, $F$9) + CHOOSE(CONTROL!$C$27, 0.0021, 0)</f>
        <v>84.629899999999992</v>
      </c>
      <c r="G542" s="14">
        <f>84.8992 * CHOOSE(CONTROL!$C$9, $D$9, 100%, $F$9) + CHOOSE(CONTROL!$C$27, 0.0021, 0)</f>
        <v>84.901299999999992</v>
      </c>
      <c r="H542" s="14">
        <f>84.7645 * CHOOSE(CONTROL!$C$9, $D$9, 100%, $F$9) + CHOOSE(CONTROL!$C$27, 0.0021, 0)</f>
        <v>84.766599999999997</v>
      </c>
      <c r="I542" s="14">
        <f>84.7645 * CHOOSE(CONTROL!$C$9, $D$9, 100%, $F$9) + CHOOSE(CONTROL!$C$27, 0.0021, 0)</f>
        <v>84.766599999999997</v>
      </c>
      <c r="J542" s="14">
        <f>84.7645 * CHOOSE(CONTROL!$C$9, $D$9, 100%, $F$9) + CHOOSE(CONTROL!$C$27, 0.0021, 0)</f>
        <v>84.766599999999997</v>
      </c>
      <c r="K542" s="14">
        <f>84.7645 * CHOOSE(CONTROL!$C$9, $D$9, 100%, $F$9) + CHOOSE(CONTROL!$C$27, 0.0021, 0)</f>
        <v>84.766599999999997</v>
      </c>
      <c r="L542" s="14"/>
    </row>
    <row r="543" spans="1:12" ht="15.75" x14ac:dyDescent="0.25">
      <c r="A543" s="31">
        <v>57465</v>
      </c>
      <c r="B543" s="14">
        <f>83.9928 * CHOOSE(CONTROL!$C$9, $D$9, 100%, $F$9) + CHOOSE(CONTROL!$C$27, 0.0021, 0)</f>
        <v>83.994900000000001</v>
      </c>
      <c r="C543" s="14">
        <f>83.5605 * CHOOSE(CONTROL!$C$9, $D$9, 100%, $F$9) + CHOOSE(CONTROL!$C$27, 0.0021, 0)</f>
        <v>83.562600000000003</v>
      </c>
      <c r="D543" s="14">
        <f>83.5605 * CHOOSE(CONTROL!$C$9, $D$9, 100%, $F$9) + CHOOSE(CONTROL!$C$27, 0.0021, 0)</f>
        <v>83.562600000000003</v>
      </c>
      <c r="E543" s="14">
        <f>83.4239 * CHOOSE(CONTROL!$C$9, $D$9, 100%, $F$9) + CHOOSE(CONTROL!$C$27, 0.0021, 0)</f>
        <v>83.426000000000002</v>
      </c>
      <c r="F543" s="14">
        <f>83.4239 * CHOOSE(CONTROL!$C$9, $D$9, 100%, $F$9) + CHOOSE(CONTROL!$C$27, 0.0021, 0)</f>
        <v>83.426000000000002</v>
      </c>
      <c r="G543" s="14">
        <f>83.6953 * CHOOSE(CONTROL!$C$9, $D$9, 100%, $F$9) + CHOOSE(CONTROL!$C$27, 0.0021, 0)</f>
        <v>83.697400000000002</v>
      </c>
      <c r="H543" s="14">
        <f>83.5605 * CHOOSE(CONTROL!$C$9, $D$9, 100%, $F$9) + CHOOSE(CONTROL!$C$27, 0.0021, 0)</f>
        <v>83.562600000000003</v>
      </c>
      <c r="I543" s="14">
        <f>83.5605 * CHOOSE(CONTROL!$C$9, $D$9, 100%, $F$9) + CHOOSE(CONTROL!$C$27, 0.0021, 0)</f>
        <v>83.562600000000003</v>
      </c>
      <c r="J543" s="14">
        <f>83.5605 * CHOOSE(CONTROL!$C$9, $D$9, 100%, $F$9) + CHOOSE(CONTROL!$C$27, 0.0021, 0)</f>
        <v>83.562600000000003</v>
      </c>
      <c r="K543" s="14">
        <f>83.5605 * CHOOSE(CONTROL!$C$9, $D$9, 100%, $F$9) + CHOOSE(CONTROL!$C$27, 0.0021, 0)</f>
        <v>83.562600000000003</v>
      </c>
      <c r="L543" s="14"/>
    </row>
    <row r="544" spans="1:12" ht="15.75" x14ac:dyDescent="0.25">
      <c r="A544" s="31">
        <v>57496</v>
      </c>
      <c r="B544" s="14">
        <f>85.7085 * CHOOSE(CONTROL!$C$9, $D$9, 100%, $F$9) + CHOOSE(CONTROL!$C$27, 0.0021, 0)</f>
        <v>85.710599999999999</v>
      </c>
      <c r="C544" s="14">
        <f>85.2763 * CHOOSE(CONTROL!$C$9, $D$9, 100%, $F$9) + CHOOSE(CONTROL!$C$27, 0.0021, 0)</f>
        <v>85.278400000000005</v>
      </c>
      <c r="D544" s="14">
        <f>85.2763 * CHOOSE(CONTROL!$C$9, $D$9, 100%, $F$9) + CHOOSE(CONTROL!$C$27, 0.0021, 0)</f>
        <v>85.278400000000005</v>
      </c>
      <c r="E544" s="14">
        <f>85.1396 * CHOOSE(CONTROL!$C$9, $D$9, 100%, $F$9) + CHOOSE(CONTROL!$C$27, 0.0021, 0)</f>
        <v>85.1417</v>
      </c>
      <c r="F544" s="14">
        <f>85.1396 * CHOOSE(CONTROL!$C$9, $D$9, 100%, $F$9) + CHOOSE(CONTROL!$C$27, 0.0021, 0)</f>
        <v>85.1417</v>
      </c>
      <c r="G544" s="14">
        <f>85.411 * CHOOSE(CONTROL!$C$9, $D$9, 100%, $F$9) + CHOOSE(CONTROL!$C$27, 0.0021, 0)</f>
        <v>85.4131</v>
      </c>
      <c r="H544" s="14">
        <f>85.2763 * CHOOSE(CONTROL!$C$9, $D$9, 100%, $F$9) + CHOOSE(CONTROL!$C$27, 0.0021, 0)</f>
        <v>85.278400000000005</v>
      </c>
      <c r="I544" s="14">
        <f>85.2763 * CHOOSE(CONTROL!$C$9, $D$9, 100%, $F$9) + CHOOSE(CONTROL!$C$27, 0.0021, 0)</f>
        <v>85.278400000000005</v>
      </c>
      <c r="J544" s="14">
        <f>85.2763 * CHOOSE(CONTROL!$C$9, $D$9, 100%, $F$9) + CHOOSE(CONTROL!$C$27, 0.0021, 0)</f>
        <v>85.278400000000005</v>
      </c>
      <c r="K544" s="14">
        <f>85.2763 * CHOOSE(CONTROL!$C$9, $D$9, 100%, $F$9) + CHOOSE(CONTROL!$C$27, 0.0021, 0)</f>
        <v>85.278400000000005</v>
      </c>
      <c r="L544" s="14"/>
    </row>
    <row r="545" spans="1:12" ht="15.75" x14ac:dyDescent="0.25">
      <c r="A545" s="31">
        <v>57526</v>
      </c>
      <c r="B545" s="14">
        <f>86.7362 * CHOOSE(CONTROL!$C$9, $D$9, 100%, $F$9) + CHOOSE(CONTROL!$C$27, 0.0021, 0)</f>
        <v>86.738299999999995</v>
      </c>
      <c r="C545" s="14">
        <f>86.304 * CHOOSE(CONTROL!$C$9, $D$9, 100%, $F$9) + CHOOSE(CONTROL!$C$27, 0.0021, 0)</f>
        <v>86.306100000000001</v>
      </c>
      <c r="D545" s="14">
        <f>86.304 * CHOOSE(CONTROL!$C$9, $D$9, 100%, $F$9) + CHOOSE(CONTROL!$C$27, 0.0021, 0)</f>
        <v>86.306100000000001</v>
      </c>
      <c r="E545" s="14">
        <f>86.1673 * CHOOSE(CONTROL!$C$9, $D$9, 100%, $F$9) + CHOOSE(CONTROL!$C$27, 0.0021, 0)</f>
        <v>86.169399999999996</v>
      </c>
      <c r="F545" s="14">
        <f>86.1673 * CHOOSE(CONTROL!$C$9, $D$9, 100%, $F$9) + CHOOSE(CONTROL!$C$27, 0.0021, 0)</f>
        <v>86.169399999999996</v>
      </c>
      <c r="G545" s="14">
        <f>86.4387 * CHOOSE(CONTROL!$C$9, $D$9, 100%, $F$9) + CHOOSE(CONTROL!$C$27, 0.0021, 0)</f>
        <v>86.440799999999996</v>
      </c>
      <c r="H545" s="14">
        <f>86.304 * CHOOSE(CONTROL!$C$9, $D$9, 100%, $F$9) + CHOOSE(CONTROL!$C$27, 0.0021, 0)</f>
        <v>86.306100000000001</v>
      </c>
      <c r="I545" s="14">
        <f>86.304 * CHOOSE(CONTROL!$C$9, $D$9, 100%, $F$9) + CHOOSE(CONTROL!$C$27, 0.0021, 0)</f>
        <v>86.306100000000001</v>
      </c>
      <c r="J545" s="14">
        <f>86.304 * CHOOSE(CONTROL!$C$9, $D$9, 100%, $F$9) + CHOOSE(CONTROL!$C$27, 0.0021, 0)</f>
        <v>86.306100000000001</v>
      </c>
      <c r="K545" s="14">
        <f>86.304 * CHOOSE(CONTROL!$C$9, $D$9, 100%, $F$9) + CHOOSE(CONTROL!$C$27, 0.0021, 0)</f>
        <v>86.306100000000001</v>
      </c>
      <c r="L545" s="14"/>
    </row>
    <row r="546" spans="1:12" ht="15.75" x14ac:dyDescent="0.25">
      <c r="A546" s="31">
        <v>57557</v>
      </c>
      <c r="B546" s="14">
        <f>88.4315 * CHOOSE(CONTROL!$C$9, $D$9, 100%, $F$9) + CHOOSE(CONTROL!$C$27, 0.0021, 0)</f>
        <v>88.433599999999998</v>
      </c>
      <c r="C546" s="14">
        <f>87.9992 * CHOOSE(CONTROL!$C$9, $D$9, 100%, $F$9) + CHOOSE(CONTROL!$C$27, 0.0021, 0)</f>
        <v>88.001300000000001</v>
      </c>
      <c r="D546" s="14">
        <f>87.9992 * CHOOSE(CONTROL!$C$9, $D$9, 100%, $F$9) + CHOOSE(CONTROL!$C$27, 0.0021, 0)</f>
        <v>88.001300000000001</v>
      </c>
      <c r="E546" s="14">
        <f>87.8626 * CHOOSE(CONTROL!$C$9, $D$9, 100%, $F$9) + CHOOSE(CONTROL!$C$27, 0.0021, 0)</f>
        <v>87.864699999999999</v>
      </c>
      <c r="F546" s="14">
        <f>87.8626 * CHOOSE(CONTROL!$C$9, $D$9, 100%, $F$9) + CHOOSE(CONTROL!$C$27, 0.0021, 0)</f>
        <v>87.864699999999999</v>
      </c>
      <c r="G546" s="14">
        <f>88.1339 * CHOOSE(CONTROL!$C$9, $D$9, 100%, $F$9) + CHOOSE(CONTROL!$C$27, 0.0021, 0)</f>
        <v>88.135999999999996</v>
      </c>
      <c r="H546" s="14">
        <f>87.9992 * CHOOSE(CONTROL!$C$9, $D$9, 100%, $F$9) + CHOOSE(CONTROL!$C$27, 0.0021, 0)</f>
        <v>88.001300000000001</v>
      </c>
      <c r="I546" s="14">
        <f>87.9992 * CHOOSE(CONTROL!$C$9, $D$9, 100%, $F$9) + CHOOSE(CONTROL!$C$27, 0.0021, 0)</f>
        <v>88.001300000000001</v>
      </c>
      <c r="J546" s="14">
        <f>87.9992 * CHOOSE(CONTROL!$C$9, $D$9, 100%, $F$9) + CHOOSE(CONTROL!$C$27, 0.0021, 0)</f>
        <v>88.001300000000001</v>
      </c>
      <c r="K546" s="14">
        <f>87.9992 * CHOOSE(CONTROL!$C$9, $D$9, 100%, $F$9) + CHOOSE(CONTROL!$C$27, 0.0021, 0)</f>
        <v>88.001300000000001</v>
      </c>
      <c r="L546" s="14"/>
    </row>
    <row r="547" spans="1:12" ht="15.75" x14ac:dyDescent="0.25">
      <c r="A547" s="31">
        <v>57588</v>
      </c>
      <c r="B547" s="14">
        <f>88.9489 * CHOOSE(CONTROL!$C$9, $D$9, 100%, $F$9) + CHOOSE(CONTROL!$C$27, 0.0021, 0)</f>
        <v>88.950999999999993</v>
      </c>
      <c r="C547" s="14">
        <f>88.5167 * CHOOSE(CONTROL!$C$9, $D$9, 100%, $F$9) + CHOOSE(CONTROL!$C$27, 0.0021, 0)</f>
        <v>88.518799999999999</v>
      </c>
      <c r="D547" s="14">
        <f>88.5167 * CHOOSE(CONTROL!$C$9, $D$9, 100%, $F$9) + CHOOSE(CONTROL!$C$27, 0.0021, 0)</f>
        <v>88.518799999999999</v>
      </c>
      <c r="E547" s="14">
        <f>88.38 * CHOOSE(CONTROL!$C$9, $D$9, 100%, $F$9) + CHOOSE(CONTROL!$C$27, 0.0021, 0)</f>
        <v>88.382099999999994</v>
      </c>
      <c r="F547" s="14">
        <f>88.38 * CHOOSE(CONTROL!$C$9, $D$9, 100%, $F$9) + CHOOSE(CONTROL!$C$27, 0.0021, 0)</f>
        <v>88.382099999999994</v>
      </c>
      <c r="G547" s="14">
        <f>88.6514 * CHOOSE(CONTROL!$C$9, $D$9, 100%, $F$9) + CHOOSE(CONTROL!$C$27, 0.0021, 0)</f>
        <v>88.653499999999994</v>
      </c>
      <c r="H547" s="14">
        <f>88.5167 * CHOOSE(CONTROL!$C$9, $D$9, 100%, $F$9) + CHOOSE(CONTROL!$C$27, 0.0021, 0)</f>
        <v>88.518799999999999</v>
      </c>
      <c r="I547" s="14">
        <f>88.5167 * CHOOSE(CONTROL!$C$9, $D$9, 100%, $F$9) + CHOOSE(CONTROL!$C$27, 0.0021, 0)</f>
        <v>88.518799999999999</v>
      </c>
      <c r="J547" s="14">
        <f>88.5167 * CHOOSE(CONTROL!$C$9, $D$9, 100%, $F$9) + CHOOSE(CONTROL!$C$27, 0.0021, 0)</f>
        <v>88.518799999999999</v>
      </c>
      <c r="K547" s="14">
        <f>88.5167 * CHOOSE(CONTROL!$C$9, $D$9, 100%, $F$9) + CHOOSE(CONTROL!$C$27, 0.0021, 0)</f>
        <v>88.518799999999999</v>
      </c>
      <c r="L547" s="14"/>
    </row>
    <row r="548" spans="1:12" ht="15.75" x14ac:dyDescent="0.25">
      <c r="A548" s="31">
        <v>57618</v>
      </c>
      <c r="B548" s="14">
        <f>90.7111 * CHOOSE(CONTROL!$C$9, $D$9, 100%, $F$9) + CHOOSE(CONTROL!$C$27, 0.0021, 0)</f>
        <v>90.713200000000001</v>
      </c>
      <c r="C548" s="14">
        <f>90.2788 * CHOOSE(CONTROL!$C$9, $D$9, 100%, $F$9) + CHOOSE(CONTROL!$C$27, 0.0021, 0)</f>
        <v>90.280900000000003</v>
      </c>
      <c r="D548" s="14">
        <f>90.2788 * CHOOSE(CONTROL!$C$9, $D$9, 100%, $F$9) + CHOOSE(CONTROL!$C$27, 0.0021, 0)</f>
        <v>90.280900000000003</v>
      </c>
      <c r="E548" s="14">
        <f>90.1422 * CHOOSE(CONTROL!$C$9, $D$9, 100%, $F$9) + CHOOSE(CONTROL!$C$27, 0.0021, 0)</f>
        <v>90.144300000000001</v>
      </c>
      <c r="F548" s="14">
        <f>90.1422 * CHOOSE(CONTROL!$C$9, $D$9, 100%, $F$9) + CHOOSE(CONTROL!$C$27, 0.0021, 0)</f>
        <v>90.144300000000001</v>
      </c>
      <c r="G548" s="14">
        <f>90.4135 * CHOOSE(CONTROL!$C$9, $D$9, 100%, $F$9) + CHOOSE(CONTROL!$C$27, 0.0021, 0)</f>
        <v>90.415599999999998</v>
      </c>
      <c r="H548" s="14">
        <f>90.2788 * CHOOSE(CONTROL!$C$9, $D$9, 100%, $F$9) + CHOOSE(CONTROL!$C$27, 0.0021, 0)</f>
        <v>90.280900000000003</v>
      </c>
      <c r="I548" s="14">
        <f>90.2788 * CHOOSE(CONTROL!$C$9, $D$9, 100%, $F$9) + CHOOSE(CONTROL!$C$27, 0.0021, 0)</f>
        <v>90.280900000000003</v>
      </c>
      <c r="J548" s="14">
        <f>90.2788 * CHOOSE(CONTROL!$C$9, $D$9, 100%, $F$9) + CHOOSE(CONTROL!$C$27, 0.0021, 0)</f>
        <v>90.280900000000003</v>
      </c>
      <c r="K548" s="14">
        <f>90.2788 * CHOOSE(CONTROL!$C$9, $D$9, 100%, $F$9) + CHOOSE(CONTROL!$C$27, 0.0021, 0)</f>
        <v>90.280900000000003</v>
      </c>
      <c r="L548" s="14"/>
    </row>
    <row r="549" spans="1:12" ht="15.75" x14ac:dyDescent="0.25">
      <c r="A549" s="31">
        <v>57649</v>
      </c>
      <c r="B549" s="14">
        <f>92.9417 * CHOOSE(CONTROL!$C$9, $D$9, 100%, $F$9) + CHOOSE(CONTROL!$C$27, 0.0021, 0)</f>
        <v>92.943799999999996</v>
      </c>
      <c r="C549" s="14">
        <f>92.5094 * CHOOSE(CONTROL!$C$9, $D$9, 100%, $F$9) + CHOOSE(CONTROL!$C$27, 0.0021, 0)</f>
        <v>92.511499999999998</v>
      </c>
      <c r="D549" s="14">
        <f>92.5094 * CHOOSE(CONTROL!$C$9, $D$9, 100%, $F$9) + CHOOSE(CONTROL!$C$27, 0.0021, 0)</f>
        <v>92.511499999999998</v>
      </c>
      <c r="E549" s="14">
        <f>92.3728 * CHOOSE(CONTROL!$C$9, $D$9, 100%, $F$9) + CHOOSE(CONTROL!$C$27, 0.0021, 0)</f>
        <v>92.374899999999997</v>
      </c>
      <c r="F549" s="14">
        <f>92.3728 * CHOOSE(CONTROL!$C$9, $D$9, 100%, $F$9) + CHOOSE(CONTROL!$C$27, 0.0021, 0)</f>
        <v>92.374899999999997</v>
      </c>
      <c r="G549" s="14">
        <f>92.6441 * CHOOSE(CONTROL!$C$9, $D$9, 100%, $F$9) + CHOOSE(CONTROL!$C$27, 0.0021, 0)</f>
        <v>92.646199999999993</v>
      </c>
      <c r="H549" s="14">
        <f>92.5094 * CHOOSE(CONTROL!$C$9, $D$9, 100%, $F$9) + CHOOSE(CONTROL!$C$27, 0.0021, 0)</f>
        <v>92.511499999999998</v>
      </c>
      <c r="I549" s="14">
        <f>92.5094 * CHOOSE(CONTROL!$C$9, $D$9, 100%, $F$9) + CHOOSE(CONTROL!$C$27, 0.0021, 0)</f>
        <v>92.511499999999998</v>
      </c>
      <c r="J549" s="14">
        <f>92.5094 * CHOOSE(CONTROL!$C$9, $D$9, 100%, $F$9) + CHOOSE(CONTROL!$C$27, 0.0021, 0)</f>
        <v>92.511499999999998</v>
      </c>
      <c r="K549" s="14">
        <f>92.5094 * CHOOSE(CONTROL!$C$9, $D$9, 100%, $F$9) + CHOOSE(CONTROL!$C$27, 0.0021, 0)</f>
        <v>92.511499999999998</v>
      </c>
      <c r="L549" s="14"/>
    </row>
    <row r="550" spans="1:12" ht="15.75" x14ac:dyDescent="0.25">
      <c r="A550" s="31">
        <v>57679</v>
      </c>
      <c r="B550" s="14">
        <f>93.1511 * CHOOSE(CONTROL!$C$9, $D$9, 100%, $F$9) + CHOOSE(CONTROL!$C$27, 0.0021, 0)</f>
        <v>93.153199999999998</v>
      </c>
      <c r="C550" s="14">
        <f>92.7188 * CHOOSE(CONTROL!$C$9, $D$9, 100%, $F$9) + CHOOSE(CONTROL!$C$27, 0.0021, 0)</f>
        <v>92.7209</v>
      </c>
      <c r="D550" s="14">
        <f>92.7188 * CHOOSE(CONTROL!$C$9, $D$9, 100%, $F$9) + CHOOSE(CONTROL!$C$27, 0.0021, 0)</f>
        <v>92.7209</v>
      </c>
      <c r="E550" s="14">
        <f>92.5822 * CHOOSE(CONTROL!$C$9, $D$9, 100%, $F$9) + CHOOSE(CONTROL!$C$27, 0.0021, 0)</f>
        <v>92.584299999999999</v>
      </c>
      <c r="F550" s="14">
        <f>92.5822 * CHOOSE(CONTROL!$C$9, $D$9, 100%, $F$9) + CHOOSE(CONTROL!$C$27, 0.0021, 0)</f>
        <v>92.584299999999999</v>
      </c>
      <c r="G550" s="14">
        <f>92.8535 * CHOOSE(CONTROL!$C$9, $D$9, 100%, $F$9) + CHOOSE(CONTROL!$C$27, 0.0021, 0)</f>
        <v>92.855599999999995</v>
      </c>
      <c r="H550" s="14">
        <f>92.7188 * CHOOSE(CONTROL!$C$9, $D$9, 100%, $F$9) + CHOOSE(CONTROL!$C$27, 0.0021, 0)</f>
        <v>92.7209</v>
      </c>
      <c r="I550" s="14">
        <f>92.7188 * CHOOSE(CONTROL!$C$9, $D$9, 100%, $F$9) + CHOOSE(CONTROL!$C$27, 0.0021, 0)</f>
        <v>92.7209</v>
      </c>
      <c r="J550" s="14">
        <f>92.7188 * CHOOSE(CONTROL!$C$9, $D$9, 100%, $F$9) + CHOOSE(CONTROL!$C$27, 0.0021, 0)</f>
        <v>92.7209</v>
      </c>
      <c r="K550" s="14">
        <f>92.7188 * CHOOSE(CONTROL!$C$9, $D$9, 100%, $F$9) + CHOOSE(CONTROL!$C$27, 0.0021, 0)</f>
        <v>92.7209</v>
      </c>
      <c r="L550" s="14"/>
    </row>
    <row r="551" spans="1:12" ht="15.75" x14ac:dyDescent="0.25">
      <c r="A551" s="31">
        <v>57710</v>
      </c>
      <c r="B551" s="14">
        <f>91.3695 * CHOOSE(CONTROL!$C$9, $D$9, 100%, $F$9) + CHOOSE(CONTROL!$C$27, 0.0021, 0)</f>
        <v>91.371600000000001</v>
      </c>
      <c r="C551" s="14">
        <f>90.9373 * CHOOSE(CONTROL!$C$9, $D$9, 100%, $F$9) + CHOOSE(CONTROL!$C$27, 0.0021, 0)</f>
        <v>90.939399999999992</v>
      </c>
      <c r="D551" s="14">
        <f>90.9373 * CHOOSE(CONTROL!$C$9, $D$9, 100%, $F$9) + CHOOSE(CONTROL!$C$27, 0.0021, 0)</f>
        <v>90.939399999999992</v>
      </c>
      <c r="E551" s="14">
        <f>90.8006 * CHOOSE(CONTROL!$C$9, $D$9, 100%, $F$9) + CHOOSE(CONTROL!$C$27, 0.0021, 0)</f>
        <v>90.802700000000002</v>
      </c>
      <c r="F551" s="14">
        <f>90.8006 * CHOOSE(CONTROL!$C$9, $D$9, 100%, $F$9) + CHOOSE(CONTROL!$C$27, 0.0021, 0)</f>
        <v>90.802700000000002</v>
      </c>
      <c r="G551" s="14">
        <f>91.072 * CHOOSE(CONTROL!$C$9, $D$9, 100%, $F$9) + CHOOSE(CONTROL!$C$27, 0.0021, 0)</f>
        <v>91.074100000000001</v>
      </c>
      <c r="H551" s="14">
        <f>90.9373 * CHOOSE(CONTROL!$C$9, $D$9, 100%, $F$9) + CHOOSE(CONTROL!$C$27, 0.0021, 0)</f>
        <v>90.939399999999992</v>
      </c>
      <c r="I551" s="14">
        <f>90.9373 * CHOOSE(CONTROL!$C$9, $D$9, 100%, $F$9) + CHOOSE(CONTROL!$C$27, 0.0021, 0)</f>
        <v>90.939399999999992</v>
      </c>
      <c r="J551" s="14">
        <f>90.9373 * CHOOSE(CONTROL!$C$9, $D$9, 100%, $F$9) + CHOOSE(CONTROL!$C$27, 0.0021, 0)</f>
        <v>90.939399999999992</v>
      </c>
      <c r="K551" s="14">
        <f>90.9373 * CHOOSE(CONTROL!$C$9, $D$9, 100%, $F$9) + CHOOSE(CONTROL!$C$27, 0.0021, 0)</f>
        <v>90.939399999999992</v>
      </c>
      <c r="L551" s="14"/>
    </row>
    <row r="552" spans="1:12" ht="15.75" x14ac:dyDescent="0.25">
      <c r="A552" s="31">
        <v>57741</v>
      </c>
      <c r="B552" s="14">
        <f>90.2435 * CHOOSE(CONTROL!$C$9, $D$9, 100%, $F$9) + CHOOSE(CONTROL!$C$27, 0.0021, 0)</f>
        <v>90.245599999999996</v>
      </c>
      <c r="C552" s="14">
        <f>89.8113 * CHOOSE(CONTROL!$C$9, $D$9, 100%, $F$9) + CHOOSE(CONTROL!$C$27, 0.0021, 0)</f>
        <v>89.813400000000001</v>
      </c>
      <c r="D552" s="14">
        <f>89.8113 * CHOOSE(CONTROL!$C$9, $D$9, 100%, $F$9) + CHOOSE(CONTROL!$C$27, 0.0021, 0)</f>
        <v>89.813400000000001</v>
      </c>
      <c r="E552" s="14">
        <f>89.6746 * CHOOSE(CONTROL!$C$9, $D$9, 100%, $F$9) + CHOOSE(CONTROL!$C$27, 0.0021, 0)</f>
        <v>89.676699999999997</v>
      </c>
      <c r="F552" s="14">
        <f>89.6746 * CHOOSE(CONTROL!$C$9, $D$9, 100%, $F$9) + CHOOSE(CONTROL!$C$27, 0.0021, 0)</f>
        <v>89.676699999999997</v>
      </c>
      <c r="G552" s="14">
        <f>89.946 * CHOOSE(CONTROL!$C$9, $D$9, 100%, $F$9) + CHOOSE(CONTROL!$C$27, 0.0021, 0)</f>
        <v>89.948099999999997</v>
      </c>
      <c r="H552" s="14">
        <f>89.8113 * CHOOSE(CONTROL!$C$9, $D$9, 100%, $F$9) + CHOOSE(CONTROL!$C$27, 0.0021, 0)</f>
        <v>89.813400000000001</v>
      </c>
      <c r="I552" s="14">
        <f>89.8113 * CHOOSE(CONTROL!$C$9, $D$9, 100%, $F$9) + CHOOSE(CONTROL!$C$27, 0.0021, 0)</f>
        <v>89.813400000000001</v>
      </c>
      <c r="J552" s="14">
        <f>89.8113 * CHOOSE(CONTROL!$C$9, $D$9, 100%, $F$9) + CHOOSE(CONTROL!$C$27, 0.0021, 0)</f>
        <v>89.813400000000001</v>
      </c>
      <c r="K552" s="14">
        <f>89.8113 * CHOOSE(CONTROL!$C$9, $D$9, 100%, $F$9) + CHOOSE(CONTROL!$C$27, 0.0021, 0)</f>
        <v>89.813400000000001</v>
      </c>
      <c r="L552" s="14"/>
    </row>
    <row r="553" spans="1:12" ht="15.75" x14ac:dyDescent="0.25">
      <c r="A553" s="31">
        <v>57769</v>
      </c>
      <c r="B553" s="14">
        <f>87.7558 * CHOOSE(CONTROL!$C$9, $D$9, 100%, $F$9) + CHOOSE(CONTROL!$C$27, 0.0021, 0)</f>
        <v>87.757899999999992</v>
      </c>
      <c r="C553" s="14">
        <f>87.3235 * CHOOSE(CONTROL!$C$9, $D$9, 100%, $F$9) + CHOOSE(CONTROL!$C$27, 0.0021, 0)</f>
        <v>87.325599999999994</v>
      </c>
      <c r="D553" s="14">
        <f>87.3235 * CHOOSE(CONTROL!$C$9, $D$9, 100%, $F$9) + CHOOSE(CONTROL!$C$27, 0.0021, 0)</f>
        <v>87.325599999999994</v>
      </c>
      <c r="E553" s="14">
        <f>87.1869 * CHOOSE(CONTROL!$C$9, $D$9, 100%, $F$9) + CHOOSE(CONTROL!$C$27, 0.0021, 0)</f>
        <v>87.188999999999993</v>
      </c>
      <c r="F553" s="14">
        <f>87.1869 * CHOOSE(CONTROL!$C$9, $D$9, 100%, $F$9) + CHOOSE(CONTROL!$C$27, 0.0021, 0)</f>
        <v>87.188999999999993</v>
      </c>
      <c r="G553" s="14">
        <f>87.4583 * CHOOSE(CONTROL!$C$9, $D$9, 100%, $F$9) + CHOOSE(CONTROL!$C$27, 0.0021, 0)</f>
        <v>87.460399999999993</v>
      </c>
      <c r="H553" s="14">
        <f>87.3235 * CHOOSE(CONTROL!$C$9, $D$9, 100%, $F$9) + CHOOSE(CONTROL!$C$27, 0.0021, 0)</f>
        <v>87.325599999999994</v>
      </c>
      <c r="I553" s="14">
        <f>87.3235 * CHOOSE(CONTROL!$C$9, $D$9, 100%, $F$9) + CHOOSE(CONTROL!$C$27, 0.0021, 0)</f>
        <v>87.325599999999994</v>
      </c>
      <c r="J553" s="14">
        <f>87.3235 * CHOOSE(CONTROL!$C$9, $D$9, 100%, $F$9) + CHOOSE(CONTROL!$C$27, 0.0021, 0)</f>
        <v>87.325599999999994</v>
      </c>
      <c r="K553" s="14">
        <f>87.3235 * CHOOSE(CONTROL!$C$9, $D$9, 100%, $F$9) + CHOOSE(CONTROL!$C$27, 0.0021, 0)</f>
        <v>87.325599999999994</v>
      </c>
      <c r="L553" s="14"/>
    </row>
    <row r="554" spans="1:12" ht="15.75" x14ac:dyDescent="0.25">
      <c r="A554" s="31">
        <v>57800</v>
      </c>
      <c r="B554" s="14">
        <f>86.7289 * CHOOSE(CONTROL!$C$9, $D$9, 100%, $F$9) + CHOOSE(CONTROL!$C$27, 0.0021, 0)</f>
        <v>86.730999999999995</v>
      </c>
      <c r="C554" s="14">
        <f>86.2966 * CHOOSE(CONTROL!$C$9, $D$9, 100%, $F$9) + CHOOSE(CONTROL!$C$27, 0.0021, 0)</f>
        <v>86.298699999999997</v>
      </c>
      <c r="D554" s="14">
        <f>86.2966 * CHOOSE(CONTROL!$C$9, $D$9, 100%, $F$9) + CHOOSE(CONTROL!$C$27, 0.0021, 0)</f>
        <v>86.298699999999997</v>
      </c>
      <c r="E554" s="14">
        <f>86.16 * CHOOSE(CONTROL!$C$9, $D$9, 100%, $F$9) + CHOOSE(CONTROL!$C$27, 0.0021, 0)</f>
        <v>86.162099999999995</v>
      </c>
      <c r="F554" s="14">
        <f>86.16 * CHOOSE(CONTROL!$C$9, $D$9, 100%, $F$9) + CHOOSE(CONTROL!$C$27, 0.0021, 0)</f>
        <v>86.162099999999995</v>
      </c>
      <c r="G554" s="14">
        <f>86.4313 * CHOOSE(CONTROL!$C$9, $D$9, 100%, $F$9) + CHOOSE(CONTROL!$C$27, 0.0021, 0)</f>
        <v>86.433399999999992</v>
      </c>
      <c r="H554" s="14">
        <f>86.2966 * CHOOSE(CONTROL!$C$9, $D$9, 100%, $F$9) + CHOOSE(CONTROL!$C$27, 0.0021, 0)</f>
        <v>86.298699999999997</v>
      </c>
      <c r="I554" s="14">
        <f>86.2966 * CHOOSE(CONTROL!$C$9, $D$9, 100%, $F$9) + CHOOSE(CONTROL!$C$27, 0.0021, 0)</f>
        <v>86.298699999999997</v>
      </c>
      <c r="J554" s="14">
        <f>86.2966 * CHOOSE(CONTROL!$C$9, $D$9, 100%, $F$9) + CHOOSE(CONTROL!$C$27, 0.0021, 0)</f>
        <v>86.298699999999997</v>
      </c>
      <c r="K554" s="14">
        <f>86.2966 * CHOOSE(CONTROL!$C$9, $D$9, 100%, $F$9) + CHOOSE(CONTROL!$C$27, 0.0021, 0)</f>
        <v>86.298699999999997</v>
      </c>
      <c r="L554" s="14"/>
    </row>
    <row r="555" spans="1:12" ht="15.75" x14ac:dyDescent="0.25">
      <c r="A555" s="31">
        <v>57830</v>
      </c>
      <c r="B555" s="14">
        <f>85.5027 * CHOOSE(CONTROL!$C$9, $D$9, 100%, $F$9) + CHOOSE(CONTROL!$C$27, 0.0021, 0)</f>
        <v>85.504800000000003</v>
      </c>
      <c r="C555" s="14">
        <f>85.0704 * CHOOSE(CONTROL!$C$9, $D$9, 100%, $F$9) + CHOOSE(CONTROL!$C$27, 0.0021, 0)</f>
        <v>85.072500000000005</v>
      </c>
      <c r="D555" s="14">
        <f>85.0704 * CHOOSE(CONTROL!$C$9, $D$9, 100%, $F$9) + CHOOSE(CONTROL!$C$27, 0.0021, 0)</f>
        <v>85.072500000000005</v>
      </c>
      <c r="E555" s="14">
        <f>84.9338 * CHOOSE(CONTROL!$C$9, $D$9, 100%, $F$9) + CHOOSE(CONTROL!$C$27, 0.0021, 0)</f>
        <v>84.935900000000004</v>
      </c>
      <c r="F555" s="14">
        <f>84.9338 * CHOOSE(CONTROL!$C$9, $D$9, 100%, $F$9) + CHOOSE(CONTROL!$C$27, 0.0021, 0)</f>
        <v>84.935900000000004</v>
      </c>
      <c r="G555" s="14">
        <f>85.2051 * CHOOSE(CONTROL!$C$9, $D$9, 100%, $F$9) + CHOOSE(CONTROL!$C$27, 0.0021, 0)</f>
        <v>85.2072</v>
      </c>
      <c r="H555" s="14">
        <f>85.0704 * CHOOSE(CONTROL!$C$9, $D$9, 100%, $F$9) + CHOOSE(CONTROL!$C$27, 0.0021, 0)</f>
        <v>85.072500000000005</v>
      </c>
      <c r="I555" s="14">
        <f>85.0704 * CHOOSE(CONTROL!$C$9, $D$9, 100%, $F$9) + CHOOSE(CONTROL!$C$27, 0.0021, 0)</f>
        <v>85.072500000000005</v>
      </c>
      <c r="J555" s="14">
        <f>85.0704 * CHOOSE(CONTROL!$C$9, $D$9, 100%, $F$9) + CHOOSE(CONTROL!$C$27, 0.0021, 0)</f>
        <v>85.072500000000005</v>
      </c>
      <c r="K555" s="14">
        <f>85.0704 * CHOOSE(CONTROL!$C$9, $D$9, 100%, $F$9) + CHOOSE(CONTROL!$C$27, 0.0021, 0)</f>
        <v>85.072500000000005</v>
      </c>
      <c r="L555" s="14"/>
    </row>
    <row r="556" spans="1:12" ht="15.75" x14ac:dyDescent="0.25">
      <c r="A556" s="31">
        <v>57861</v>
      </c>
      <c r="B556" s="14">
        <f>87.2501 * CHOOSE(CONTROL!$C$9, $D$9, 100%, $F$9) + CHOOSE(CONTROL!$C$27, 0.0021, 0)</f>
        <v>87.252200000000002</v>
      </c>
      <c r="C556" s="14">
        <f>86.8179 * CHOOSE(CONTROL!$C$9, $D$9, 100%, $F$9) + CHOOSE(CONTROL!$C$27, 0.0021, 0)</f>
        <v>86.82</v>
      </c>
      <c r="D556" s="14">
        <f>86.8179 * CHOOSE(CONTROL!$C$9, $D$9, 100%, $F$9) + CHOOSE(CONTROL!$C$27, 0.0021, 0)</f>
        <v>86.82</v>
      </c>
      <c r="E556" s="14">
        <f>86.6812 * CHOOSE(CONTROL!$C$9, $D$9, 100%, $F$9) + CHOOSE(CONTROL!$C$27, 0.0021, 0)</f>
        <v>86.683300000000003</v>
      </c>
      <c r="F556" s="14">
        <f>86.6812 * CHOOSE(CONTROL!$C$9, $D$9, 100%, $F$9) + CHOOSE(CONTROL!$C$27, 0.0021, 0)</f>
        <v>86.683300000000003</v>
      </c>
      <c r="G556" s="14">
        <f>86.9526 * CHOOSE(CONTROL!$C$9, $D$9, 100%, $F$9) + CHOOSE(CONTROL!$C$27, 0.0021, 0)</f>
        <v>86.954700000000003</v>
      </c>
      <c r="H556" s="14">
        <f>86.8179 * CHOOSE(CONTROL!$C$9, $D$9, 100%, $F$9) + CHOOSE(CONTROL!$C$27, 0.0021, 0)</f>
        <v>86.82</v>
      </c>
      <c r="I556" s="14">
        <f>86.8179 * CHOOSE(CONTROL!$C$9, $D$9, 100%, $F$9) + CHOOSE(CONTROL!$C$27, 0.0021, 0)</f>
        <v>86.82</v>
      </c>
      <c r="J556" s="14">
        <f>86.8179 * CHOOSE(CONTROL!$C$9, $D$9, 100%, $F$9) + CHOOSE(CONTROL!$C$27, 0.0021, 0)</f>
        <v>86.82</v>
      </c>
      <c r="K556" s="14">
        <f>86.8179 * CHOOSE(CONTROL!$C$9, $D$9, 100%, $F$9) + CHOOSE(CONTROL!$C$27, 0.0021, 0)</f>
        <v>86.82</v>
      </c>
      <c r="L556" s="14"/>
    </row>
    <row r="557" spans="1:12" ht="15.75" x14ac:dyDescent="0.25">
      <c r="A557" s="31">
        <v>57891</v>
      </c>
      <c r="B557" s="14">
        <f>88.2968 * CHOOSE(CONTROL!$C$9, $D$9, 100%, $F$9) + CHOOSE(CONTROL!$C$27, 0.0021, 0)</f>
        <v>88.298900000000003</v>
      </c>
      <c r="C557" s="14">
        <f>87.8645 * CHOOSE(CONTROL!$C$9, $D$9, 100%, $F$9) + CHOOSE(CONTROL!$C$27, 0.0021, 0)</f>
        <v>87.866600000000005</v>
      </c>
      <c r="D557" s="14">
        <f>87.8645 * CHOOSE(CONTROL!$C$9, $D$9, 100%, $F$9) + CHOOSE(CONTROL!$C$27, 0.0021, 0)</f>
        <v>87.866600000000005</v>
      </c>
      <c r="E557" s="14">
        <f>87.7279 * CHOOSE(CONTROL!$C$9, $D$9, 100%, $F$9) + CHOOSE(CONTROL!$C$27, 0.0021, 0)</f>
        <v>87.73</v>
      </c>
      <c r="F557" s="14">
        <f>87.7279 * CHOOSE(CONTROL!$C$9, $D$9, 100%, $F$9) + CHOOSE(CONTROL!$C$27, 0.0021, 0)</f>
        <v>87.73</v>
      </c>
      <c r="G557" s="14">
        <f>87.9993 * CHOOSE(CONTROL!$C$9, $D$9, 100%, $F$9) + CHOOSE(CONTROL!$C$27, 0.0021, 0)</f>
        <v>88.001400000000004</v>
      </c>
      <c r="H557" s="14">
        <f>87.8645 * CHOOSE(CONTROL!$C$9, $D$9, 100%, $F$9) + CHOOSE(CONTROL!$C$27, 0.0021, 0)</f>
        <v>87.866600000000005</v>
      </c>
      <c r="I557" s="14">
        <f>87.8645 * CHOOSE(CONTROL!$C$9, $D$9, 100%, $F$9) + CHOOSE(CONTROL!$C$27, 0.0021, 0)</f>
        <v>87.866600000000005</v>
      </c>
      <c r="J557" s="14">
        <f>87.8645 * CHOOSE(CONTROL!$C$9, $D$9, 100%, $F$9) + CHOOSE(CONTROL!$C$27, 0.0021, 0)</f>
        <v>87.866600000000005</v>
      </c>
      <c r="K557" s="14">
        <f>87.8645 * CHOOSE(CONTROL!$C$9, $D$9, 100%, $F$9) + CHOOSE(CONTROL!$C$27, 0.0021, 0)</f>
        <v>87.866600000000005</v>
      </c>
      <c r="L557" s="14"/>
    </row>
    <row r="558" spans="1:12" ht="15.75" x14ac:dyDescent="0.25">
      <c r="A558" s="31">
        <v>57922</v>
      </c>
      <c r="B558" s="14">
        <f>90.0234 * CHOOSE(CONTROL!$C$9, $D$9, 100%, $F$9) + CHOOSE(CONTROL!$C$27, 0.0021, 0)</f>
        <v>90.025499999999994</v>
      </c>
      <c r="C558" s="14">
        <f>89.5911 * CHOOSE(CONTROL!$C$9, $D$9, 100%, $F$9) + CHOOSE(CONTROL!$C$27, 0.0021, 0)</f>
        <v>89.593199999999996</v>
      </c>
      <c r="D558" s="14">
        <f>89.5911 * CHOOSE(CONTROL!$C$9, $D$9, 100%, $F$9) + CHOOSE(CONTROL!$C$27, 0.0021, 0)</f>
        <v>89.593199999999996</v>
      </c>
      <c r="E558" s="14">
        <f>89.4545 * CHOOSE(CONTROL!$C$9, $D$9, 100%, $F$9) + CHOOSE(CONTROL!$C$27, 0.0021, 0)</f>
        <v>89.456599999999995</v>
      </c>
      <c r="F558" s="14">
        <f>89.4545 * CHOOSE(CONTROL!$C$9, $D$9, 100%, $F$9) + CHOOSE(CONTROL!$C$27, 0.0021, 0)</f>
        <v>89.456599999999995</v>
      </c>
      <c r="G558" s="14">
        <f>89.7259 * CHOOSE(CONTROL!$C$9, $D$9, 100%, $F$9) + CHOOSE(CONTROL!$C$27, 0.0021, 0)</f>
        <v>89.727999999999994</v>
      </c>
      <c r="H558" s="14">
        <f>89.5911 * CHOOSE(CONTROL!$C$9, $D$9, 100%, $F$9) + CHOOSE(CONTROL!$C$27, 0.0021, 0)</f>
        <v>89.593199999999996</v>
      </c>
      <c r="I558" s="14">
        <f>89.5911 * CHOOSE(CONTROL!$C$9, $D$9, 100%, $F$9) + CHOOSE(CONTROL!$C$27, 0.0021, 0)</f>
        <v>89.593199999999996</v>
      </c>
      <c r="J558" s="14">
        <f>89.5911 * CHOOSE(CONTROL!$C$9, $D$9, 100%, $F$9) + CHOOSE(CONTROL!$C$27, 0.0021, 0)</f>
        <v>89.593199999999996</v>
      </c>
      <c r="K558" s="14">
        <f>89.5911 * CHOOSE(CONTROL!$C$9, $D$9, 100%, $F$9) + CHOOSE(CONTROL!$C$27, 0.0021, 0)</f>
        <v>89.593199999999996</v>
      </c>
      <c r="L558" s="14"/>
    </row>
    <row r="559" spans="1:12" ht="15.75" x14ac:dyDescent="0.25">
      <c r="A559" s="31">
        <v>57953</v>
      </c>
      <c r="B559" s="14">
        <f>90.5504 * CHOOSE(CONTROL!$C$9, $D$9, 100%, $F$9) + CHOOSE(CONTROL!$C$27, 0.0021, 0)</f>
        <v>90.552499999999995</v>
      </c>
      <c r="C559" s="14">
        <f>90.1181 * CHOOSE(CONTROL!$C$9, $D$9, 100%, $F$9) + CHOOSE(CONTROL!$C$27, 0.0021, 0)</f>
        <v>90.120199999999997</v>
      </c>
      <c r="D559" s="14">
        <f>90.1181 * CHOOSE(CONTROL!$C$9, $D$9, 100%, $F$9) + CHOOSE(CONTROL!$C$27, 0.0021, 0)</f>
        <v>90.120199999999997</v>
      </c>
      <c r="E559" s="14">
        <f>89.9815 * CHOOSE(CONTROL!$C$9, $D$9, 100%, $F$9) + CHOOSE(CONTROL!$C$27, 0.0021, 0)</f>
        <v>89.983599999999996</v>
      </c>
      <c r="F559" s="14">
        <f>89.9815 * CHOOSE(CONTROL!$C$9, $D$9, 100%, $F$9) + CHOOSE(CONTROL!$C$27, 0.0021, 0)</f>
        <v>89.983599999999996</v>
      </c>
      <c r="G559" s="14">
        <f>90.2529 * CHOOSE(CONTROL!$C$9, $D$9, 100%, $F$9) + CHOOSE(CONTROL!$C$27, 0.0021, 0)</f>
        <v>90.254999999999995</v>
      </c>
      <c r="H559" s="14">
        <f>90.1181 * CHOOSE(CONTROL!$C$9, $D$9, 100%, $F$9) + CHOOSE(CONTROL!$C$27, 0.0021, 0)</f>
        <v>90.120199999999997</v>
      </c>
      <c r="I559" s="14">
        <f>90.1181 * CHOOSE(CONTROL!$C$9, $D$9, 100%, $F$9) + CHOOSE(CONTROL!$C$27, 0.0021, 0)</f>
        <v>90.120199999999997</v>
      </c>
      <c r="J559" s="14">
        <f>90.1181 * CHOOSE(CONTROL!$C$9, $D$9, 100%, $F$9) + CHOOSE(CONTROL!$C$27, 0.0021, 0)</f>
        <v>90.120199999999997</v>
      </c>
      <c r="K559" s="14">
        <f>90.1181 * CHOOSE(CONTROL!$C$9, $D$9, 100%, $F$9) + CHOOSE(CONTROL!$C$27, 0.0021, 0)</f>
        <v>90.120199999999997</v>
      </c>
      <c r="L559" s="14"/>
    </row>
    <row r="560" spans="1:12" ht="15.75" x14ac:dyDescent="0.25">
      <c r="A560" s="31">
        <v>57983</v>
      </c>
      <c r="B560" s="14">
        <f>92.3451 * CHOOSE(CONTROL!$C$9, $D$9, 100%, $F$9) + CHOOSE(CONTROL!$C$27, 0.0021, 0)</f>
        <v>92.347200000000001</v>
      </c>
      <c r="C560" s="14">
        <f>91.9129 * CHOOSE(CONTROL!$C$9, $D$9, 100%, $F$9) + CHOOSE(CONTROL!$C$27, 0.0021, 0)</f>
        <v>91.914999999999992</v>
      </c>
      <c r="D560" s="14">
        <f>91.9129 * CHOOSE(CONTROL!$C$9, $D$9, 100%, $F$9) + CHOOSE(CONTROL!$C$27, 0.0021, 0)</f>
        <v>91.914999999999992</v>
      </c>
      <c r="E560" s="14">
        <f>91.7762 * CHOOSE(CONTROL!$C$9, $D$9, 100%, $F$9) + CHOOSE(CONTROL!$C$27, 0.0021, 0)</f>
        <v>91.778300000000002</v>
      </c>
      <c r="F560" s="14">
        <f>91.7762 * CHOOSE(CONTROL!$C$9, $D$9, 100%, $F$9) + CHOOSE(CONTROL!$C$27, 0.0021, 0)</f>
        <v>91.778300000000002</v>
      </c>
      <c r="G560" s="14">
        <f>92.0476 * CHOOSE(CONTROL!$C$9, $D$9, 100%, $F$9) + CHOOSE(CONTROL!$C$27, 0.0021, 0)</f>
        <v>92.049700000000001</v>
      </c>
      <c r="H560" s="14">
        <f>91.9129 * CHOOSE(CONTROL!$C$9, $D$9, 100%, $F$9) + CHOOSE(CONTROL!$C$27, 0.0021, 0)</f>
        <v>91.914999999999992</v>
      </c>
      <c r="I560" s="14">
        <f>91.9129 * CHOOSE(CONTROL!$C$9, $D$9, 100%, $F$9) + CHOOSE(CONTROL!$C$27, 0.0021, 0)</f>
        <v>91.914999999999992</v>
      </c>
      <c r="J560" s="14">
        <f>91.9129 * CHOOSE(CONTROL!$C$9, $D$9, 100%, $F$9) + CHOOSE(CONTROL!$C$27, 0.0021, 0)</f>
        <v>91.914999999999992</v>
      </c>
      <c r="K560" s="14">
        <f>91.9129 * CHOOSE(CONTROL!$C$9, $D$9, 100%, $F$9) + CHOOSE(CONTROL!$C$27, 0.0021, 0)</f>
        <v>91.914999999999992</v>
      </c>
      <c r="L560" s="14"/>
    </row>
    <row r="561" spans="1:12" ht="15.75" x14ac:dyDescent="0.25">
      <c r="A561" s="31">
        <v>58014</v>
      </c>
      <c r="B561" s="14">
        <f>94.6169 * CHOOSE(CONTROL!$C$9, $D$9, 100%, $F$9) + CHOOSE(CONTROL!$C$27, 0.0021, 0)</f>
        <v>94.619</v>
      </c>
      <c r="C561" s="14">
        <f>94.1847 * CHOOSE(CONTROL!$C$9, $D$9, 100%, $F$9) + CHOOSE(CONTROL!$C$27, 0.0021, 0)</f>
        <v>94.186800000000005</v>
      </c>
      <c r="D561" s="14">
        <f>94.1847 * CHOOSE(CONTROL!$C$9, $D$9, 100%, $F$9) + CHOOSE(CONTROL!$C$27, 0.0021, 0)</f>
        <v>94.186800000000005</v>
      </c>
      <c r="E561" s="14">
        <f>94.048 * CHOOSE(CONTROL!$C$9, $D$9, 100%, $F$9) + CHOOSE(CONTROL!$C$27, 0.0021, 0)</f>
        <v>94.0501</v>
      </c>
      <c r="F561" s="14">
        <f>94.048 * CHOOSE(CONTROL!$C$9, $D$9, 100%, $F$9) + CHOOSE(CONTROL!$C$27, 0.0021, 0)</f>
        <v>94.0501</v>
      </c>
      <c r="G561" s="14">
        <f>94.3194 * CHOOSE(CONTROL!$C$9, $D$9, 100%, $F$9) + CHOOSE(CONTROL!$C$27, 0.0021, 0)</f>
        <v>94.3215</v>
      </c>
      <c r="H561" s="14">
        <f>94.1847 * CHOOSE(CONTROL!$C$9, $D$9, 100%, $F$9) + CHOOSE(CONTROL!$C$27, 0.0021, 0)</f>
        <v>94.186800000000005</v>
      </c>
      <c r="I561" s="14">
        <f>94.1847 * CHOOSE(CONTROL!$C$9, $D$9, 100%, $F$9) + CHOOSE(CONTROL!$C$27, 0.0021, 0)</f>
        <v>94.186800000000005</v>
      </c>
      <c r="J561" s="14">
        <f>94.1847 * CHOOSE(CONTROL!$C$9, $D$9, 100%, $F$9) + CHOOSE(CONTROL!$C$27, 0.0021, 0)</f>
        <v>94.186800000000005</v>
      </c>
      <c r="K561" s="14">
        <f>94.1847 * CHOOSE(CONTROL!$C$9, $D$9, 100%, $F$9) + CHOOSE(CONTROL!$C$27, 0.0021, 0)</f>
        <v>94.186800000000005</v>
      </c>
      <c r="L561" s="14"/>
    </row>
    <row r="562" spans="1:12" ht="15.75" x14ac:dyDescent="0.25">
      <c r="A562" s="31">
        <v>58044</v>
      </c>
      <c r="B562" s="14">
        <f>94.8302 * CHOOSE(CONTROL!$C$9, $D$9, 100%, $F$9) + CHOOSE(CONTROL!$C$27, 0.0021, 0)</f>
        <v>94.832300000000004</v>
      </c>
      <c r="C562" s="14">
        <f>94.398 * CHOOSE(CONTROL!$C$9, $D$9, 100%, $F$9) + CHOOSE(CONTROL!$C$27, 0.0021, 0)</f>
        <v>94.400099999999995</v>
      </c>
      <c r="D562" s="14">
        <f>94.398 * CHOOSE(CONTROL!$C$9, $D$9, 100%, $F$9) + CHOOSE(CONTROL!$C$27, 0.0021, 0)</f>
        <v>94.400099999999995</v>
      </c>
      <c r="E562" s="14">
        <f>94.2613 * CHOOSE(CONTROL!$C$9, $D$9, 100%, $F$9) + CHOOSE(CONTROL!$C$27, 0.0021, 0)</f>
        <v>94.263400000000004</v>
      </c>
      <c r="F562" s="14">
        <f>94.2613 * CHOOSE(CONTROL!$C$9, $D$9, 100%, $F$9) + CHOOSE(CONTROL!$C$27, 0.0021, 0)</f>
        <v>94.263400000000004</v>
      </c>
      <c r="G562" s="14">
        <f>94.5327 * CHOOSE(CONTROL!$C$9, $D$9, 100%, $F$9) + CHOOSE(CONTROL!$C$27, 0.0021, 0)</f>
        <v>94.534800000000004</v>
      </c>
      <c r="H562" s="14">
        <f>94.398 * CHOOSE(CONTROL!$C$9, $D$9, 100%, $F$9) + CHOOSE(CONTROL!$C$27, 0.0021, 0)</f>
        <v>94.400099999999995</v>
      </c>
      <c r="I562" s="14">
        <f>94.398 * CHOOSE(CONTROL!$C$9, $D$9, 100%, $F$9) + CHOOSE(CONTROL!$C$27, 0.0021, 0)</f>
        <v>94.400099999999995</v>
      </c>
      <c r="J562" s="14">
        <f>94.398 * CHOOSE(CONTROL!$C$9, $D$9, 100%, $F$9) + CHOOSE(CONTROL!$C$27, 0.0021, 0)</f>
        <v>94.400099999999995</v>
      </c>
      <c r="K562" s="14">
        <f>94.398 * CHOOSE(CONTROL!$C$9, $D$9, 100%, $F$9) + CHOOSE(CONTROL!$C$27, 0.0021, 0)</f>
        <v>94.400099999999995</v>
      </c>
      <c r="L562" s="14"/>
    </row>
    <row r="563" spans="1:12" ht="15.75" x14ac:dyDescent="0.25">
      <c r="A563" s="31">
        <v>58075</v>
      </c>
      <c r="B563" s="14">
        <f>93.0158 * CHOOSE(CONTROL!$C$9, $D$9, 100%, $F$9) + CHOOSE(CONTROL!$C$27, 0.0021, 0)</f>
        <v>93.017899999999997</v>
      </c>
      <c r="C563" s="14">
        <f>92.5835 * CHOOSE(CONTROL!$C$9, $D$9, 100%, $F$9) + CHOOSE(CONTROL!$C$27, 0.0021, 0)</f>
        <v>92.585599999999999</v>
      </c>
      <c r="D563" s="14">
        <f>92.5835 * CHOOSE(CONTROL!$C$9, $D$9, 100%, $F$9) + CHOOSE(CONTROL!$C$27, 0.0021, 0)</f>
        <v>92.585599999999999</v>
      </c>
      <c r="E563" s="14">
        <f>92.4468 * CHOOSE(CONTROL!$C$9, $D$9, 100%, $F$9) + CHOOSE(CONTROL!$C$27, 0.0021, 0)</f>
        <v>92.448899999999995</v>
      </c>
      <c r="F563" s="14">
        <f>92.4468 * CHOOSE(CONTROL!$C$9, $D$9, 100%, $F$9) + CHOOSE(CONTROL!$C$27, 0.0021, 0)</f>
        <v>92.448899999999995</v>
      </c>
      <c r="G563" s="14">
        <f>92.7182 * CHOOSE(CONTROL!$C$9, $D$9, 100%, $F$9) + CHOOSE(CONTROL!$C$27, 0.0021, 0)</f>
        <v>92.720299999999995</v>
      </c>
      <c r="H563" s="14">
        <f>92.5835 * CHOOSE(CONTROL!$C$9, $D$9, 100%, $F$9) + CHOOSE(CONTROL!$C$27, 0.0021, 0)</f>
        <v>92.585599999999999</v>
      </c>
      <c r="I563" s="14">
        <f>92.5835 * CHOOSE(CONTROL!$C$9, $D$9, 100%, $F$9) + CHOOSE(CONTROL!$C$27, 0.0021, 0)</f>
        <v>92.585599999999999</v>
      </c>
      <c r="J563" s="14">
        <f>92.5835 * CHOOSE(CONTROL!$C$9, $D$9, 100%, $F$9) + CHOOSE(CONTROL!$C$27, 0.0021, 0)</f>
        <v>92.585599999999999</v>
      </c>
      <c r="K563" s="14">
        <f>92.5835 * CHOOSE(CONTROL!$C$9, $D$9, 100%, $F$9) + CHOOSE(CONTROL!$C$27, 0.0021, 0)</f>
        <v>92.585599999999999</v>
      </c>
      <c r="L563" s="14"/>
    </row>
    <row r="564" spans="1:12" ht="15.75" x14ac:dyDescent="0.25">
      <c r="A564" s="31">
        <v>58106</v>
      </c>
      <c r="B564" s="14">
        <f>91.8689 * CHOOSE(CONTROL!$C$9, $D$9, 100%, $F$9) + CHOOSE(CONTROL!$C$27, 0.0021, 0)</f>
        <v>91.870999999999995</v>
      </c>
      <c r="C564" s="14">
        <f>91.4367 * CHOOSE(CONTROL!$C$9, $D$9, 100%, $F$9) + CHOOSE(CONTROL!$C$27, 0.0021, 0)</f>
        <v>91.438800000000001</v>
      </c>
      <c r="D564" s="14">
        <f>91.4367 * CHOOSE(CONTROL!$C$9, $D$9, 100%, $F$9) + CHOOSE(CONTROL!$C$27, 0.0021, 0)</f>
        <v>91.438800000000001</v>
      </c>
      <c r="E564" s="14">
        <f>91.3 * CHOOSE(CONTROL!$C$9, $D$9, 100%, $F$9) + CHOOSE(CONTROL!$C$27, 0.0021, 0)</f>
        <v>91.302099999999996</v>
      </c>
      <c r="F564" s="14">
        <f>91.3 * CHOOSE(CONTROL!$C$9, $D$9, 100%, $F$9) + CHOOSE(CONTROL!$C$27, 0.0021, 0)</f>
        <v>91.302099999999996</v>
      </c>
      <c r="G564" s="14">
        <f>91.5714 * CHOOSE(CONTROL!$C$9, $D$9, 100%, $F$9) + CHOOSE(CONTROL!$C$27, 0.0021, 0)</f>
        <v>91.573499999999996</v>
      </c>
      <c r="H564" s="14">
        <f>91.4367 * CHOOSE(CONTROL!$C$9, $D$9, 100%, $F$9) + CHOOSE(CONTROL!$C$27, 0.0021, 0)</f>
        <v>91.438800000000001</v>
      </c>
      <c r="I564" s="14">
        <f>91.4367 * CHOOSE(CONTROL!$C$9, $D$9, 100%, $F$9) + CHOOSE(CONTROL!$C$27, 0.0021, 0)</f>
        <v>91.438800000000001</v>
      </c>
      <c r="J564" s="14">
        <f>91.4367 * CHOOSE(CONTROL!$C$9, $D$9, 100%, $F$9) + CHOOSE(CONTROL!$C$27, 0.0021, 0)</f>
        <v>91.438800000000001</v>
      </c>
      <c r="K564" s="14">
        <f>91.4367 * CHOOSE(CONTROL!$C$9, $D$9, 100%, $F$9) + CHOOSE(CONTROL!$C$27, 0.0021, 0)</f>
        <v>91.438800000000001</v>
      </c>
      <c r="L564" s="14"/>
    </row>
    <row r="565" spans="1:12" ht="15.75" x14ac:dyDescent="0.25">
      <c r="A565" s="31">
        <v>58134</v>
      </c>
      <c r="B565" s="14">
        <f>89.3352 * CHOOSE(CONTROL!$C$9, $D$9, 100%, $F$9) + CHOOSE(CONTROL!$C$27, 0.0021, 0)</f>
        <v>89.337299999999999</v>
      </c>
      <c r="C565" s="14">
        <f>88.903 * CHOOSE(CONTROL!$C$9, $D$9, 100%, $F$9) + CHOOSE(CONTROL!$C$27, 0.0021, 0)</f>
        <v>88.905100000000004</v>
      </c>
      <c r="D565" s="14">
        <f>88.903 * CHOOSE(CONTROL!$C$9, $D$9, 100%, $F$9) + CHOOSE(CONTROL!$C$27, 0.0021, 0)</f>
        <v>88.905100000000004</v>
      </c>
      <c r="E565" s="14">
        <f>88.7663 * CHOOSE(CONTROL!$C$9, $D$9, 100%, $F$9) + CHOOSE(CONTROL!$C$27, 0.0021, 0)</f>
        <v>88.7684</v>
      </c>
      <c r="F565" s="14">
        <f>88.7663 * CHOOSE(CONTROL!$C$9, $D$9, 100%, $F$9) + CHOOSE(CONTROL!$C$27, 0.0021, 0)</f>
        <v>88.7684</v>
      </c>
      <c r="G565" s="14">
        <f>89.0377 * CHOOSE(CONTROL!$C$9, $D$9, 100%, $F$9) + CHOOSE(CONTROL!$C$27, 0.0021, 0)</f>
        <v>89.0398</v>
      </c>
      <c r="H565" s="14">
        <f>88.903 * CHOOSE(CONTROL!$C$9, $D$9, 100%, $F$9) + CHOOSE(CONTROL!$C$27, 0.0021, 0)</f>
        <v>88.905100000000004</v>
      </c>
      <c r="I565" s="14">
        <f>88.903 * CHOOSE(CONTROL!$C$9, $D$9, 100%, $F$9) + CHOOSE(CONTROL!$C$27, 0.0021, 0)</f>
        <v>88.905100000000004</v>
      </c>
      <c r="J565" s="14">
        <f>88.903 * CHOOSE(CONTROL!$C$9, $D$9, 100%, $F$9) + CHOOSE(CONTROL!$C$27, 0.0021, 0)</f>
        <v>88.905100000000004</v>
      </c>
      <c r="K565" s="14">
        <f>88.903 * CHOOSE(CONTROL!$C$9, $D$9, 100%, $F$9) + CHOOSE(CONTROL!$C$27, 0.0021, 0)</f>
        <v>88.905100000000004</v>
      </c>
      <c r="L565" s="14"/>
    </row>
    <row r="566" spans="1:12" ht="15.75" x14ac:dyDescent="0.25">
      <c r="A566" s="31">
        <v>58165</v>
      </c>
      <c r="B566" s="14">
        <f>88.2893 * CHOOSE(CONTROL!$C$9, $D$9, 100%, $F$9) + CHOOSE(CONTROL!$C$27, 0.0021, 0)</f>
        <v>88.291399999999996</v>
      </c>
      <c r="C566" s="14">
        <f>87.8571 * CHOOSE(CONTROL!$C$9, $D$9, 100%, $F$9) + CHOOSE(CONTROL!$C$27, 0.0021, 0)</f>
        <v>87.859200000000001</v>
      </c>
      <c r="D566" s="14">
        <f>87.8571 * CHOOSE(CONTROL!$C$9, $D$9, 100%, $F$9) + CHOOSE(CONTROL!$C$27, 0.0021, 0)</f>
        <v>87.859200000000001</v>
      </c>
      <c r="E566" s="14">
        <f>87.7204 * CHOOSE(CONTROL!$C$9, $D$9, 100%, $F$9) + CHOOSE(CONTROL!$C$27, 0.0021, 0)</f>
        <v>87.722499999999997</v>
      </c>
      <c r="F566" s="14">
        <f>87.7204 * CHOOSE(CONTROL!$C$9, $D$9, 100%, $F$9) + CHOOSE(CONTROL!$C$27, 0.0021, 0)</f>
        <v>87.722499999999997</v>
      </c>
      <c r="G566" s="14">
        <f>87.9918 * CHOOSE(CONTROL!$C$9, $D$9, 100%, $F$9) + CHOOSE(CONTROL!$C$27, 0.0021, 0)</f>
        <v>87.993899999999996</v>
      </c>
      <c r="H566" s="14">
        <f>87.8571 * CHOOSE(CONTROL!$C$9, $D$9, 100%, $F$9) + CHOOSE(CONTROL!$C$27, 0.0021, 0)</f>
        <v>87.859200000000001</v>
      </c>
      <c r="I566" s="14">
        <f>87.8571 * CHOOSE(CONTROL!$C$9, $D$9, 100%, $F$9) + CHOOSE(CONTROL!$C$27, 0.0021, 0)</f>
        <v>87.859200000000001</v>
      </c>
      <c r="J566" s="14">
        <f>87.8571 * CHOOSE(CONTROL!$C$9, $D$9, 100%, $F$9) + CHOOSE(CONTROL!$C$27, 0.0021, 0)</f>
        <v>87.859200000000001</v>
      </c>
      <c r="K566" s="14">
        <f>87.8571 * CHOOSE(CONTROL!$C$9, $D$9, 100%, $F$9) + CHOOSE(CONTROL!$C$27, 0.0021, 0)</f>
        <v>87.859200000000001</v>
      </c>
      <c r="L566" s="14"/>
    </row>
    <row r="567" spans="1:12" ht="15.75" x14ac:dyDescent="0.25">
      <c r="A567" s="31">
        <v>58195</v>
      </c>
      <c r="B567" s="14">
        <f>87.0405 * CHOOSE(CONTROL!$C$9, $D$9, 100%, $F$9) + CHOOSE(CONTROL!$C$27, 0.0021, 0)</f>
        <v>87.042599999999993</v>
      </c>
      <c r="C567" s="14">
        <f>86.6082 * CHOOSE(CONTROL!$C$9, $D$9, 100%, $F$9) + CHOOSE(CONTROL!$C$27, 0.0021, 0)</f>
        <v>86.610299999999995</v>
      </c>
      <c r="D567" s="14">
        <f>86.6082 * CHOOSE(CONTROL!$C$9, $D$9, 100%, $F$9) + CHOOSE(CONTROL!$C$27, 0.0021, 0)</f>
        <v>86.610299999999995</v>
      </c>
      <c r="E567" s="14">
        <f>86.4716 * CHOOSE(CONTROL!$C$9, $D$9, 100%, $F$9) + CHOOSE(CONTROL!$C$27, 0.0021, 0)</f>
        <v>86.473699999999994</v>
      </c>
      <c r="F567" s="14">
        <f>86.4716 * CHOOSE(CONTROL!$C$9, $D$9, 100%, $F$9) + CHOOSE(CONTROL!$C$27, 0.0021, 0)</f>
        <v>86.473699999999994</v>
      </c>
      <c r="G567" s="14">
        <f>86.7429 * CHOOSE(CONTROL!$C$9, $D$9, 100%, $F$9) + CHOOSE(CONTROL!$C$27, 0.0021, 0)</f>
        <v>86.745000000000005</v>
      </c>
      <c r="H567" s="14">
        <f>86.6082 * CHOOSE(CONTROL!$C$9, $D$9, 100%, $F$9) + CHOOSE(CONTROL!$C$27, 0.0021, 0)</f>
        <v>86.610299999999995</v>
      </c>
      <c r="I567" s="14">
        <f>86.6082 * CHOOSE(CONTROL!$C$9, $D$9, 100%, $F$9) + CHOOSE(CONTROL!$C$27, 0.0021, 0)</f>
        <v>86.610299999999995</v>
      </c>
      <c r="J567" s="14">
        <f>86.6082 * CHOOSE(CONTROL!$C$9, $D$9, 100%, $F$9) + CHOOSE(CONTROL!$C$27, 0.0021, 0)</f>
        <v>86.610299999999995</v>
      </c>
      <c r="K567" s="14">
        <f>86.6082 * CHOOSE(CONTROL!$C$9, $D$9, 100%, $F$9) + CHOOSE(CONTROL!$C$27, 0.0021, 0)</f>
        <v>86.610299999999995</v>
      </c>
      <c r="L567" s="14"/>
    </row>
    <row r="568" spans="1:12" ht="15.75" x14ac:dyDescent="0.25">
      <c r="A568" s="31">
        <v>58226</v>
      </c>
      <c r="B568" s="14">
        <f>88.8202 * CHOOSE(CONTROL!$C$9, $D$9, 100%, $F$9) + CHOOSE(CONTROL!$C$27, 0.0021, 0)</f>
        <v>88.822299999999998</v>
      </c>
      <c r="C568" s="14">
        <f>88.388 * CHOOSE(CONTROL!$C$9, $D$9, 100%, $F$9) + CHOOSE(CONTROL!$C$27, 0.0021, 0)</f>
        <v>88.390100000000004</v>
      </c>
      <c r="D568" s="14">
        <f>88.388 * CHOOSE(CONTROL!$C$9, $D$9, 100%, $F$9) + CHOOSE(CONTROL!$C$27, 0.0021, 0)</f>
        <v>88.390100000000004</v>
      </c>
      <c r="E568" s="14">
        <f>88.2513 * CHOOSE(CONTROL!$C$9, $D$9, 100%, $F$9) + CHOOSE(CONTROL!$C$27, 0.0021, 0)</f>
        <v>88.253399999999999</v>
      </c>
      <c r="F568" s="14">
        <f>88.2513 * CHOOSE(CONTROL!$C$9, $D$9, 100%, $F$9) + CHOOSE(CONTROL!$C$27, 0.0021, 0)</f>
        <v>88.253399999999999</v>
      </c>
      <c r="G568" s="14">
        <f>88.5227 * CHOOSE(CONTROL!$C$9, $D$9, 100%, $F$9) + CHOOSE(CONTROL!$C$27, 0.0021, 0)</f>
        <v>88.524799999999999</v>
      </c>
      <c r="H568" s="14">
        <f>88.388 * CHOOSE(CONTROL!$C$9, $D$9, 100%, $F$9) + CHOOSE(CONTROL!$C$27, 0.0021, 0)</f>
        <v>88.390100000000004</v>
      </c>
      <c r="I568" s="14">
        <f>88.388 * CHOOSE(CONTROL!$C$9, $D$9, 100%, $F$9) + CHOOSE(CONTROL!$C$27, 0.0021, 0)</f>
        <v>88.390100000000004</v>
      </c>
      <c r="J568" s="14">
        <f>88.388 * CHOOSE(CONTROL!$C$9, $D$9, 100%, $F$9) + CHOOSE(CONTROL!$C$27, 0.0021, 0)</f>
        <v>88.390100000000004</v>
      </c>
      <c r="K568" s="14">
        <f>88.388 * CHOOSE(CONTROL!$C$9, $D$9, 100%, $F$9) + CHOOSE(CONTROL!$C$27, 0.0021, 0)</f>
        <v>88.390100000000004</v>
      </c>
      <c r="L568" s="14"/>
    </row>
    <row r="569" spans="1:12" ht="15.75" x14ac:dyDescent="0.25">
      <c r="A569" s="31">
        <v>58256</v>
      </c>
      <c r="B569" s="14">
        <f>89.8862 * CHOOSE(CONTROL!$C$9, $D$9, 100%, $F$9) + CHOOSE(CONTROL!$C$27, 0.0021, 0)</f>
        <v>89.888300000000001</v>
      </c>
      <c r="C569" s="14">
        <f>89.454 * CHOOSE(CONTROL!$C$9, $D$9, 100%, $F$9) + CHOOSE(CONTROL!$C$27, 0.0021, 0)</f>
        <v>89.456099999999992</v>
      </c>
      <c r="D569" s="14">
        <f>89.454 * CHOOSE(CONTROL!$C$9, $D$9, 100%, $F$9) + CHOOSE(CONTROL!$C$27, 0.0021, 0)</f>
        <v>89.456099999999992</v>
      </c>
      <c r="E569" s="14">
        <f>89.3173 * CHOOSE(CONTROL!$C$9, $D$9, 100%, $F$9) + CHOOSE(CONTROL!$C$27, 0.0021, 0)</f>
        <v>89.319400000000002</v>
      </c>
      <c r="F569" s="14">
        <f>89.3173 * CHOOSE(CONTROL!$C$9, $D$9, 100%, $F$9) + CHOOSE(CONTROL!$C$27, 0.0021, 0)</f>
        <v>89.319400000000002</v>
      </c>
      <c r="G569" s="14">
        <f>89.5887 * CHOOSE(CONTROL!$C$9, $D$9, 100%, $F$9) + CHOOSE(CONTROL!$C$27, 0.0021, 0)</f>
        <v>89.590800000000002</v>
      </c>
      <c r="H569" s="14">
        <f>89.454 * CHOOSE(CONTROL!$C$9, $D$9, 100%, $F$9) + CHOOSE(CONTROL!$C$27, 0.0021, 0)</f>
        <v>89.456099999999992</v>
      </c>
      <c r="I569" s="14">
        <f>89.454 * CHOOSE(CONTROL!$C$9, $D$9, 100%, $F$9) + CHOOSE(CONTROL!$C$27, 0.0021, 0)</f>
        <v>89.456099999999992</v>
      </c>
      <c r="J569" s="14">
        <f>89.454 * CHOOSE(CONTROL!$C$9, $D$9, 100%, $F$9) + CHOOSE(CONTROL!$C$27, 0.0021, 0)</f>
        <v>89.456099999999992</v>
      </c>
      <c r="K569" s="14">
        <f>89.454 * CHOOSE(CONTROL!$C$9, $D$9, 100%, $F$9) + CHOOSE(CONTROL!$C$27, 0.0021, 0)</f>
        <v>89.456099999999992</v>
      </c>
      <c r="L569" s="14"/>
    </row>
    <row r="570" spans="1:12" ht="15.75" x14ac:dyDescent="0.25">
      <c r="A570" s="31">
        <v>58287</v>
      </c>
      <c r="B570" s="14">
        <f>91.6447 * CHOOSE(CONTROL!$C$9, $D$9, 100%, $F$9) + CHOOSE(CONTROL!$C$27, 0.0021, 0)</f>
        <v>91.646799999999999</v>
      </c>
      <c r="C570" s="14">
        <f>91.2125 * CHOOSE(CONTROL!$C$9, $D$9, 100%, $F$9) + CHOOSE(CONTROL!$C$27, 0.0021, 0)</f>
        <v>91.214600000000004</v>
      </c>
      <c r="D570" s="14">
        <f>91.2125 * CHOOSE(CONTROL!$C$9, $D$9, 100%, $F$9) + CHOOSE(CONTROL!$C$27, 0.0021, 0)</f>
        <v>91.214600000000004</v>
      </c>
      <c r="E570" s="14">
        <f>91.0758 * CHOOSE(CONTROL!$C$9, $D$9, 100%, $F$9) + CHOOSE(CONTROL!$C$27, 0.0021, 0)</f>
        <v>91.0779</v>
      </c>
      <c r="F570" s="14">
        <f>91.0758 * CHOOSE(CONTROL!$C$9, $D$9, 100%, $F$9) + CHOOSE(CONTROL!$C$27, 0.0021, 0)</f>
        <v>91.0779</v>
      </c>
      <c r="G570" s="14">
        <f>91.3472 * CHOOSE(CONTROL!$C$9, $D$9, 100%, $F$9) + CHOOSE(CONTROL!$C$27, 0.0021, 0)</f>
        <v>91.349299999999999</v>
      </c>
      <c r="H570" s="14">
        <f>91.2125 * CHOOSE(CONTROL!$C$9, $D$9, 100%, $F$9) + CHOOSE(CONTROL!$C$27, 0.0021, 0)</f>
        <v>91.214600000000004</v>
      </c>
      <c r="I570" s="14">
        <f>91.2125 * CHOOSE(CONTROL!$C$9, $D$9, 100%, $F$9) + CHOOSE(CONTROL!$C$27, 0.0021, 0)</f>
        <v>91.214600000000004</v>
      </c>
      <c r="J570" s="14">
        <f>91.2125 * CHOOSE(CONTROL!$C$9, $D$9, 100%, $F$9) + CHOOSE(CONTROL!$C$27, 0.0021, 0)</f>
        <v>91.214600000000004</v>
      </c>
      <c r="K570" s="14">
        <f>91.2125 * CHOOSE(CONTROL!$C$9, $D$9, 100%, $F$9) + CHOOSE(CONTROL!$C$27, 0.0021, 0)</f>
        <v>91.214600000000004</v>
      </c>
      <c r="L570" s="14"/>
    </row>
    <row r="571" spans="1:12" ht="15.75" x14ac:dyDescent="0.25">
      <c r="A571" s="31">
        <v>58318</v>
      </c>
      <c r="B571" s="14">
        <f>92.1815 * CHOOSE(CONTROL!$C$9, $D$9, 100%, $F$9) + CHOOSE(CONTROL!$C$27, 0.0021, 0)</f>
        <v>92.183599999999998</v>
      </c>
      <c r="C571" s="14">
        <f>91.7492 * CHOOSE(CONTROL!$C$9, $D$9, 100%, $F$9) + CHOOSE(CONTROL!$C$27, 0.0021, 0)</f>
        <v>91.751300000000001</v>
      </c>
      <c r="D571" s="14">
        <f>91.7492 * CHOOSE(CONTROL!$C$9, $D$9, 100%, $F$9) + CHOOSE(CONTROL!$C$27, 0.0021, 0)</f>
        <v>91.751300000000001</v>
      </c>
      <c r="E571" s="14">
        <f>91.6126 * CHOOSE(CONTROL!$C$9, $D$9, 100%, $F$9) + CHOOSE(CONTROL!$C$27, 0.0021, 0)</f>
        <v>91.614699999999999</v>
      </c>
      <c r="F571" s="14">
        <f>91.6126 * CHOOSE(CONTROL!$C$9, $D$9, 100%, $F$9) + CHOOSE(CONTROL!$C$27, 0.0021, 0)</f>
        <v>91.614699999999999</v>
      </c>
      <c r="G571" s="14">
        <f>91.8839 * CHOOSE(CONTROL!$C$9, $D$9, 100%, $F$9) + CHOOSE(CONTROL!$C$27, 0.0021, 0)</f>
        <v>91.885999999999996</v>
      </c>
      <c r="H571" s="14">
        <f>91.7492 * CHOOSE(CONTROL!$C$9, $D$9, 100%, $F$9) + CHOOSE(CONTROL!$C$27, 0.0021, 0)</f>
        <v>91.751300000000001</v>
      </c>
      <c r="I571" s="14">
        <f>91.7492 * CHOOSE(CONTROL!$C$9, $D$9, 100%, $F$9) + CHOOSE(CONTROL!$C$27, 0.0021, 0)</f>
        <v>91.751300000000001</v>
      </c>
      <c r="J571" s="14">
        <f>91.7492 * CHOOSE(CONTROL!$C$9, $D$9, 100%, $F$9) + CHOOSE(CONTROL!$C$27, 0.0021, 0)</f>
        <v>91.751300000000001</v>
      </c>
      <c r="K571" s="14">
        <f>91.7492 * CHOOSE(CONTROL!$C$9, $D$9, 100%, $F$9) + CHOOSE(CONTROL!$C$27, 0.0021, 0)</f>
        <v>91.751300000000001</v>
      </c>
      <c r="L571" s="14"/>
    </row>
    <row r="572" spans="1:12" ht="15.75" x14ac:dyDescent="0.25">
      <c r="A572" s="31">
        <v>58348</v>
      </c>
      <c r="B572" s="14">
        <f>94.0094 * CHOOSE(CONTROL!$C$9, $D$9, 100%, $F$9) + CHOOSE(CONTROL!$C$27, 0.0021, 0)</f>
        <v>94.011499999999998</v>
      </c>
      <c r="C572" s="14">
        <f>93.5771 * CHOOSE(CONTROL!$C$9, $D$9, 100%, $F$9) + CHOOSE(CONTROL!$C$27, 0.0021, 0)</f>
        <v>93.5792</v>
      </c>
      <c r="D572" s="14">
        <f>93.5771 * CHOOSE(CONTROL!$C$9, $D$9, 100%, $F$9) + CHOOSE(CONTROL!$C$27, 0.0021, 0)</f>
        <v>93.5792</v>
      </c>
      <c r="E572" s="14">
        <f>93.4405 * CHOOSE(CONTROL!$C$9, $D$9, 100%, $F$9) + CHOOSE(CONTROL!$C$27, 0.0021, 0)</f>
        <v>93.442599999999999</v>
      </c>
      <c r="F572" s="14">
        <f>93.4405 * CHOOSE(CONTROL!$C$9, $D$9, 100%, $F$9) + CHOOSE(CONTROL!$C$27, 0.0021, 0)</f>
        <v>93.442599999999999</v>
      </c>
      <c r="G572" s="14">
        <f>93.7118 * CHOOSE(CONTROL!$C$9, $D$9, 100%, $F$9) + CHOOSE(CONTROL!$C$27, 0.0021, 0)</f>
        <v>93.713899999999995</v>
      </c>
      <c r="H572" s="14">
        <f>93.5771 * CHOOSE(CONTROL!$C$9, $D$9, 100%, $F$9) + CHOOSE(CONTROL!$C$27, 0.0021, 0)</f>
        <v>93.5792</v>
      </c>
      <c r="I572" s="14">
        <f>93.5771 * CHOOSE(CONTROL!$C$9, $D$9, 100%, $F$9) + CHOOSE(CONTROL!$C$27, 0.0021, 0)</f>
        <v>93.5792</v>
      </c>
      <c r="J572" s="14">
        <f>93.5771 * CHOOSE(CONTROL!$C$9, $D$9, 100%, $F$9) + CHOOSE(CONTROL!$C$27, 0.0021, 0)</f>
        <v>93.5792</v>
      </c>
      <c r="K572" s="14">
        <f>93.5771 * CHOOSE(CONTROL!$C$9, $D$9, 100%, $F$9) + CHOOSE(CONTROL!$C$27, 0.0021, 0)</f>
        <v>93.5792</v>
      </c>
      <c r="L572" s="14"/>
    </row>
    <row r="573" spans="1:12" ht="15.75" x14ac:dyDescent="0.25">
      <c r="A573" s="31">
        <v>58379</v>
      </c>
      <c r="B573" s="14">
        <f>96.3232 * CHOOSE(CONTROL!$C$9, $D$9, 100%, $F$9) + CHOOSE(CONTROL!$C$27, 0.0021, 0)</f>
        <v>96.325299999999999</v>
      </c>
      <c r="C573" s="14">
        <f>95.8909 * CHOOSE(CONTROL!$C$9, $D$9, 100%, $F$9) + CHOOSE(CONTROL!$C$27, 0.0021, 0)</f>
        <v>95.893000000000001</v>
      </c>
      <c r="D573" s="14">
        <f>95.8909 * CHOOSE(CONTROL!$C$9, $D$9, 100%, $F$9) + CHOOSE(CONTROL!$C$27, 0.0021, 0)</f>
        <v>95.893000000000001</v>
      </c>
      <c r="E573" s="14">
        <f>95.7543 * CHOOSE(CONTROL!$C$9, $D$9, 100%, $F$9) + CHOOSE(CONTROL!$C$27, 0.0021, 0)</f>
        <v>95.756399999999999</v>
      </c>
      <c r="F573" s="14">
        <f>95.7543 * CHOOSE(CONTROL!$C$9, $D$9, 100%, $F$9) + CHOOSE(CONTROL!$C$27, 0.0021, 0)</f>
        <v>95.756399999999999</v>
      </c>
      <c r="G573" s="14">
        <f>96.0256 * CHOOSE(CONTROL!$C$9, $D$9, 100%, $F$9) + CHOOSE(CONTROL!$C$27, 0.0021, 0)</f>
        <v>96.027699999999996</v>
      </c>
      <c r="H573" s="14">
        <f>95.8909 * CHOOSE(CONTROL!$C$9, $D$9, 100%, $F$9) + CHOOSE(CONTROL!$C$27, 0.0021, 0)</f>
        <v>95.893000000000001</v>
      </c>
      <c r="I573" s="14">
        <f>95.8909 * CHOOSE(CONTROL!$C$9, $D$9, 100%, $F$9) + CHOOSE(CONTROL!$C$27, 0.0021, 0)</f>
        <v>95.893000000000001</v>
      </c>
      <c r="J573" s="14">
        <f>95.8909 * CHOOSE(CONTROL!$C$9, $D$9, 100%, $F$9) + CHOOSE(CONTROL!$C$27, 0.0021, 0)</f>
        <v>95.893000000000001</v>
      </c>
      <c r="K573" s="14">
        <f>95.8909 * CHOOSE(CONTROL!$C$9, $D$9, 100%, $F$9) + CHOOSE(CONTROL!$C$27, 0.0021, 0)</f>
        <v>95.893000000000001</v>
      </c>
      <c r="L573" s="14"/>
    </row>
    <row r="574" spans="1:12" ht="15.75" x14ac:dyDescent="0.25">
      <c r="A574" s="31">
        <v>58409</v>
      </c>
      <c r="B574" s="14">
        <f>96.5404 * CHOOSE(CONTROL!$C$9, $D$9, 100%, $F$9) + CHOOSE(CONTROL!$C$27, 0.0021, 0)</f>
        <v>96.542500000000004</v>
      </c>
      <c r="C574" s="14">
        <f>96.1081 * CHOOSE(CONTROL!$C$9, $D$9, 100%, $F$9) + CHOOSE(CONTROL!$C$27, 0.0021, 0)</f>
        <v>96.110199999999992</v>
      </c>
      <c r="D574" s="14">
        <f>96.1081 * CHOOSE(CONTROL!$C$9, $D$9, 100%, $F$9) + CHOOSE(CONTROL!$C$27, 0.0021, 0)</f>
        <v>96.110199999999992</v>
      </c>
      <c r="E574" s="14">
        <f>95.9715 * CHOOSE(CONTROL!$C$9, $D$9, 100%, $F$9) + CHOOSE(CONTROL!$C$27, 0.0021, 0)</f>
        <v>95.973600000000005</v>
      </c>
      <c r="F574" s="14">
        <f>95.9715 * CHOOSE(CONTROL!$C$9, $D$9, 100%, $F$9) + CHOOSE(CONTROL!$C$27, 0.0021, 0)</f>
        <v>95.973600000000005</v>
      </c>
      <c r="G574" s="14">
        <f>96.2428 * CHOOSE(CONTROL!$C$9, $D$9, 100%, $F$9) + CHOOSE(CONTROL!$C$27, 0.0021, 0)</f>
        <v>96.244900000000001</v>
      </c>
      <c r="H574" s="14">
        <f>96.1081 * CHOOSE(CONTROL!$C$9, $D$9, 100%, $F$9) + CHOOSE(CONTROL!$C$27, 0.0021, 0)</f>
        <v>96.110199999999992</v>
      </c>
      <c r="I574" s="14">
        <f>96.1081 * CHOOSE(CONTROL!$C$9, $D$9, 100%, $F$9) + CHOOSE(CONTROL!$C$27, 0.0021, 0)</f>
        <v>96.110199999999992</v>
      </c>
      <c r="J574" s="14">
        <f>96.1081 * CHOOSE(CONTROL!$C$9, $D$9, 100%, $F$9) + CHOOSE(CONTROL!$C$27, 0.0021, 0)</f>
        <v>96.110199999999992</v>
      </c>
      <c r="K574" s="14">
        <f>96.1081 * CHOOSE(CONTROL!$C$9, $D$9, 100%, $F$9) + CHOOSE(CONTROL!$C$27, 0.0021, 0)</f>
        <v>96.110199999999992</v>
      </c>
      <c r="L574" s="14"/>
    </row>
    <row r="575" spans="1:12" ht="15.75" x14ac:dyDescent="0.25">
      <c r="A575" s="31">
        <v>58440</v>
      </c>
      <c r="B575" s="14">
        <f>94.6924 * CHOOSE(CONTROL!$C$9, $D$9, 100%, $F$9) + CHOOSE(CONTROL!$C$27, 0.0021, 0)</f>
        <v>94.694500000000005</v>
      </c>
      <c r="C575" s="14">
        <f>94.2601 * CHOOSE(CONTROL!$C$9, $D$9, 100%, $F$9) + CHOOSE(CONTROL!$C$27, 0.0021, 0)</f>
        <v>94.262199999999993</v>
      </c>
      <c r="D575" s="14">
        <f>94.2601 * CHOOSE(CONTROL!$C$9, $D$9, 100%, $F$9) + CHOOSE(CONTROL!$C$27, 0.0021, 0)</f>
        <v>94.262199999999993</v>
      </c>
      <c r="E575" s="14">
        <f>94.1235 * CHOOSE(CONTROL!$C$9, $D$9, 100%, $F$9) + CHOOSE(CONTROL!$C$27, 0.0021, 0)</f>
        <v>94.125600000000006</v>
      </c>
      <c r="F575" s="14">
        <f>94.1235 * CHOOSE(CONTROL!$C$9, $D$9, 100%, $F$9) + CHOOSE(CONTROL!$C$27, 0.0021, 0)</f>
        <v>94.125600000000006</v>
      </c>
      <c r="G575" s="14">
        <f>94.3949 * CHOOSE(CONTROL!$C$9, $D$9, 100%, $F$9) + CHOOSE(CONTROL!$C$27, 0.0021, 0)</f>
        <v>94.397000000000006</v>
      </c>
      <c r="H575" s="14">
        <f>94.2601 * CHOOSE(CONTROL!$C$9, $D$9, 100%, $F$9) + CHOOSE(CONTROL!$C$27, 0.0021, 0)</f>
        <v>94.262199999999993</v>
      </c>
      <c r="I575" s="14">
        <f>94.2601 * CHOOSE(CONTROL!$C$9, $D$9, 100%, $F$9) + CHOOSE(CONTROL!$C$27, 0.0021, 0)</f>
        <v>94.262199999999993</v>
      </c>
      <c r="J575" s="14">
        <f>94.2601 * CHOOSE(CONTROL!$C$9, $D$9, 100%, $F$9) + CHOOSE(CONTROL!$C$27, 0.0021, 0)</f>
        <v>94.262199999999993</v>
      </c>
      <c r="K575" s="14">
        <f>94.2601 * CHOOSE(CONTROL!$C$9, $D$9, 100%, $F$9) + CHOOSE(CONTROL!$C$27, 0.0021, 0)</f>
        <v>94.262199999999993</v>
      </c>
      <c r="L575" s="14"/>
    </row>
    <row r="576" spans="1:12" ht="15.75" x14ac:dyDescent="0.25">
      <c r="A576" s="31">
        <v>58471</v>
      </c>
      <c r="B576" s="14">
        <f>93.5244 * CHOOSE(CONTROL!$C$9, $D$9, 100%, $F$9) + CHOOSE(CONTROL!$C$27, 0.0021, 0)</f>
        <v>93.526499999999999</v>
      </c>
      <c r="C576" s="14">
        <f>93.0921 * CHOOSE(CONTROL!$C$9, $D$9, 100%, $F$9) + CHOOSE(CONTROL!$C$27, 0.0021, 0)</f>
        <v>93.094200000000001</v>
      </c>
      <c r="D576" s="14">
        <f>93.0921 * CHOOSE(CONTROL!$C$9, $D$9, 100%, $F$9) + CHOOSE(CONTROL!$C$27, 0.0021, 0)</f>
        <v>93.094200000000001</v>
      </c>
      <c r="E576" s="14">
        <f>92.9555 * CHOOSE(CONTROL!$C$9, $D$9, 100%, $F$9) + CHOOSE(CONTROL!$C$27, 0.0021, 0)</f>
        <v>92.957599999999999</v>
      </c>
      <c r="F576" s="14">
        <f>92.9555 * CHOOSE(CONTROL!$C$9, $D$9, 100%, $F$9) + CHOOSE(CONTROL!$C$27, 0.0021, 0)</f>
        <v>92.957599999999999</v>
      </c>
      <c r="G576" s="14">
        <f>93.2268 * CHOOSE(CONTROL!$C$9, $D$9, 100%, $F$9) + CHOOSE(CONTROL!$C$27, 0.0021, 0)</f>
        <v>93.228899999999996</v>
      </c>
      <c r="H576" s="14">
        <f>93.0921 * CHOOSE(CONTROL!$C$9, $D$9, 100%, $F$9) + CHOOSE(CONTROL!$C$27, 0.0021, 0)</f>
        <v>93.094200000000001</v>
      </c>
      <c r="I576" s="14">
        <f>93.0921 * CHOOSE(CONTROL!$C$9, $D$9, 100%, $F$9) + CHOOSE(CONTROL!$C$27, 0.0021, 0)</f>
        <v>93.094200000000001</v>
      </c>
      <c r="J576" s="14">
        <f>93.0921 * CHOOSE(CONTROL!$C$9, $D$9, 100%, $F$9) + CHOOSE(CONTROL!$C$27, 0.0021, 0)</f>
        <v>93.094200000000001</v>
      </c>
      <c r="K576" s="14">
        <f>93.0921 * CHOOSE(CONTROL!$C$9, $D$9, 100%, $F$9) + CHOOSE(CONTROL!$C$27, 0.0021, 0)</f>
        <v>93.094200000000001</v>
      </c>
      <c r="L576" s="14"/>
    </row>
    <row r="577" spans="1:12" ht="15.75" x14ac:dyDescent="0.25">
      <c r="A577" s="31">
        <v>58499</v>
      </c>
      <c r="B577" s="14">
        <f>90.9438 * CHOOSE(CONTROL!$C$9, $D$9, 100%, $F$9) + CHOOSE(CONTROL!$C$27, 0.0021, 0)</f>
        <v>90.945899999999995</v>
      </c>
      <c r="C577" s="14">
        <f>90.5116 * CHOOSE(CONTROL!$C$9, $D$9, 100%, $F$9) + CHOOSE(CONTROL!$C$27, 0.0021, 0)</f>
        <v>90.5137</v>
      </c>
      <c r="D577" s="14">
        <f>90.5116 * CHOOSE(CONTROL!$C$9, $D$9, 100%, $F$9) + CHOOSE(CONTROL!$C$27, 0.0021, 0)</f>
        <v>90.5137</v>
      </c>
      <c r="E577" s="14">
        <f>90.3749 * CHOOSE(CONTROL!$C$9, $D$9, 100%, $F$9) + CHOOSE(CONTROL!$C$27, 0.0021, 0)</f>
        <v>90.376999999999995</v>
      </c>
      <c r="F577" s="14">
        <f>90.3749 * CHOOSE(CONTROL!$C$9, $D$9, 100%, $F$9) + CHOOSE(CONTROL!$C$27, 0.0021, 0)</f>
        <v>90.376999999999995</v>
      </c>
      <c r="G577" s="14">
        <f>90.6463 * CHOOSE(CONTROL!$C$9, $D$9, 100%, $F$9) + CHOOSE(CONTROL!$C$27, 0.0021, 0)</f>
        <v>90.648399999999995</v>
      </c>
      <c r="H577" s="14">
        <f>90.5116 * CHOOSE(CONTROL!$C$9, $D$9, 100%, $F$9) + CHOOSE(CONTROL!$C$27, 0.0021, 0)</f>
        <v>90.5137</v>
      </c>
      <c r="I577" s="14">
        <f>90.5116 * CHOOSE(CONTROL!$C$9, $D$9, 100%, $F$9) + CHOOSE(CONTROL!$C$27, 0.0021, 0)</f>
        <v>90.5137</v>
      </c>
      <c r="J577" s="14">
        <f>90.5116 * CHOOSE(CONTROL!$C$9, $D$9, 100%, $F$9) + CHOOSE(CONTROL!$C$27, 0.0021, 0)</f>
        <v>90.5137</v>
      </c>
      <c r="K577" s="14">
        <f>90.5116 * CHOOSE(CONTROL!$C$9, $D$9, 100%, $F$9) + CHOOSE(CONTROL!$C$27, 0.0021, 0)</f>
        <v>90.5137</v>
      </c>
      <c r="L577" s="14"/>
    </row>
    <row r="578" spans="1:12" ht="15.75" x14ac:dyDescent="0.25">
      <c r="A578" s="31">
        <v>58531</v>
      </c>
      <c r="B578" s="14">
        <f>89.8786 * CHOOSE(CONTROL!$C$9, $D$9, 100%, $F$9) + CHOOSE(CONTROL!$C$27, 0.0021, 0)</f>
        <v>89.880700000000004</v>
      </c>
      <c r="C578" s="14">
        <f>89.4464 * CHOOSE(CONTROL!$C$9, $D$9, 100%, $F$9) + CHOOSE(CONTROL!$C$27, 0.0021, 0)</f>
        <v>89.448499999999996</v>
      </c>
      <c r="D578" s="14">
        <f>89.4464 * CHOOSE(CONTROL!$C$9, $D$9, 100%, $F$9) + CHOOSE(CONTROL!$C$27, 0.0021, 0)</f>
        <v>89.448499999999996</v>
      </c>
      <c r="E578" s="14">
        <f>89.3097 * CHOOSE(CONTROL!$C$9, $D$9, 100%, $F$9) + CHOOSE(CONTROL!$C$27, 0.0021, 0)</f>
        <v>89.311800000000005</v>
      </c>
      <c r="F578" s="14">
        <f>89.3097 * CHOOSE(CONTROL!$C$9, $D$9, 100%, $F$9) + CHOOSE(CONTROL!$C$27, 0.0021, 0)</f>
        <v>89.311800000000005</v>
      </c>
      <c r="G578" s="14">
        <f>89.5811 * CHOOSE(CONTROL!$C$9, $D$9, 100%, $F$9) + CHOOSE(CONTROL!$C$27, 0.0021, 0)</f>
        <v>89.583200000000005</v>
      </c>
      <c r="H578" s="14">
        <f>89.4464 * CHOOSE(CONTROL!$C$9, $D$9, 100%, $F$9) + CHOOSE(CONTROL!$C$27, 0.0021, 0)</f>
        <v>89.448499999999996</v>
      </c>
      <c r="I578" s="14">
        <f>89.4464 * CHOOSE(CONTROL!$C$9, $D$9, 100%, $F$9) + CHOOSE(CONTROL!$C$27, 0.0021, 0)</f>
        <v>89.448499999999996</v>
      </c>
      <c r="J578" s="14">
        <f>89.4464 * CHOOSE(CONTROL!$C$9, $D$9, 100%, $F$9) + CHOOSE(CONTROL!$C$27, 0.0021, 0)</f>
        <v>89.448499999999996</v>
      </c>
      <c r="K578" s="14">
        <f>89.4464 * CHOOSE(CONTROL!$C$9, $D$9, 100%, $F$9) + CHOOSE(CONTROL!$C$27, 0.0021, 0)</f>
        <v>89.448499999999996</v>
      </c>
      <c r="L578" s="14"/>
    </row>
    <row r="579" spans="1:12" ht="15.75" x14ac:dyDescent="0.25">
      <c r="A579" s="31">
        <v>58561</v>
      </c>
      <c r="B579" s="14">
        <f>88.6067 * CHOOSE(CONTROL!$C$9, $D$9, 100%, $F$9) + CHOOSE(CONTROL!$C$27, 0.0021, 0)</f>
        <v>88.608800000000002</v>
      </c>
      <c r="C579" s="14">
        <f>88.1744 * CHOOSE(CONTROL!$C$9, $D$9, 100%, $F$9) + CHOOSE(CONTROL!$C$27, 0.0021, 0)</f>
        <v>88.176500000000004</v>
      </c>
      <c r="D579" s="14">
        <f>88.1744 * CHOOSE(CONTROL!$C$9, $D$9, 100%, $F$9) + CHOOSE(CONTROL!$C$27, 0.0021, 0)</f>
        <v>88.176500000000004</v>
      </c>
      <c r="E579" s="14">
        <f>88.0378 * CHOOSE(CONTROL!$C$9, $D$9, 100%, $F$9) + CHOOSE(CONTROL!$C$27, 0.0021, 0)</f>
        <v>88.039900000000003</v>
      </c>
      <c r="F579" s="14">
        <f>88.0378 * CHOOSE(CONTROL!$C$9, $D$9, 100%, $F$9) + CHOOSE(CONTROL!$C$27, 0.0021, 0)</f>
        <v>88.039900000000003</v>
      </c>
      <c r="G579" s="14">
        <f>88.3091 * CHOOSE(CONTROL!$C$9, $D$9, 100%, $F$9) + CHOOSE(CONTROL!$C$27, 0.0021, 0)</f>
        <v>88.311199999999999</v>
      </c>
      <c r="H579" s="14">
        <f>88.1744 * CHOOSE(CONTROL!$C$9, $D$9, 100%, $F$9) + CHOOSE(CONTROL!$C$27, 0.0021, 0)</f>
        <v>88.176500000000004</v>
      </c>
      <c r="I579" s="14">
        <f>88.1744 * CHOOSE(CONTROL!$C$9, $D$9, 100%, $F$9) + CHOOSE(CONTROL!$C$27, 0.0021, 0)</f>
        <v>88.176500000000004</v>
      </c>
      <c r="J579" s="14">
        <f>88.1744 * CHOOSE(CONTROL!$C$9, $D$9, 100%, $F$9) + CHOOSE(CONTROL!$C$27, 0.0021, 0)</f>
        <v>88.176500000000004</v>
      </c>
      <c r="K579" s="14">
        <f>88.1744 * CHOOSE(CONTROL!$C$9, $D$9, 100%, $F$9) + CHOOSE(CONTROL!$C$27, 0.0021, 0)</f>
        <v>88.176500000000004</v>
      </c>
      <c r="L579" s="14"/>
    </row>
    <row r="580" spans="1:12" ht="15.75" x14ac:dyDescent="0.25">
      <c r="A580" s="31">
        <v>58592</v>
      </c>
      <c r="B580" s="14">
        <f>90.4193 * CHOOSE(CONTROL!$C$9, $D$9, 100%, $F$9) + CHOOSE(CONTROL!$C$27, 0.0021, 0)</f>
        <v>90.421400000000006</v>
      </c>
      <c r="C580" s="14">
        <f>89.9871 * CHOOSE(CONTROL!$C$9, $D$9, 100%, $F$9) + CHOOSE(CONTROL!$C$27, 0.0021, 0)</f>
        <v>89.989199999999997</v>
      </c>
      <c r="D580" s="14">
        <f>89.9871 * CHOOSE(CONTROL!$C$9, $D$9, 100%, $F$9) + CHOOSE(CONTROL!$C$27, 0.0021, 0)</f>
        <v>89.989199999999997</v>
      </c>
      <c r="E580" s="14">
        <f>89.8504 * CHOOSE(CONTROL!$C$9, $D$9, 100%, $F$9) + CHOOSE(CONTROL!$C$27, 0.0021, 0)</f>
        <v>89.852499999999992</v>
      </c>
      <c r="F580" s="14">
        <f>89.8504 * CHOOSE(CONTROL!$C$9, $D$9, 100%, $F$9) + CHOOSE(CONTROL!$C$27, 0.0021, 0)</f>
        <v>89.852499999999992</v>
      </c>
      <c r="G580" s="14">
        <f>90.1218 * CHOOSE(CONTROL!$C$9, $D$9, 100%, $F$9) + CHOOSE(CONTROL!$C$27, 0.0021, 0)</f>
        <v>90.123899999999992</v>
      </c>
      <c r="H580" s="14">
        <f>89.9871 * CHOOSE(CONTROL!$C$9, $D$9, 100%, $F$9) + CHOOSE(CONTROL!$C$27, 0.0021, 0)</f>
        <v>89.989199999999997</v>
      </c>
      <c r="I580" s="14">
        <f>89.9871 * CHOOSE(CONTROL!$C$9, $D$9, 100%, $F$9) + CHOOSE(CONTROL!$C$27, 0.0021, 0)</f>
        <v>89.989199999999997</v>
      </c>
      <c r="J580" s="14">
        <f>89.9871 * CHOOSE(CONTROL!$C$9, $D$9, 100%, $F$9) + CHOOSE(CONTROL!$C$27, 0.0021, 0)</f>
        <v>89.989199999999997</v>
      </c>
      <c r="K580" s="14">
        <f>89.9871 * CHOOSE(CONTROL!$C$9, $D$9, 100%, $F$9) + CHOOSE(CONTROL!$C$27, 0.0021, 0)</f>
        <v>89.989199999999997</v>
      </c>
      <c r="L580" s="14"/>
    </row>
    <row r="581" spans="1:12" ht="15.75" x14ac:dyDescent="0.25">
      <c r="A581" s="31">
        <v>58622</v>
      </c>
      <c r="B581" s="14">
        <f>91.505 * CHOOSE(CONTROL!$C$9, $D$9, 100%, $F$9) + CHOOSE(CONTROL!$C$27, 0.0021, 0)</f>
        <v>91.507099999999994</v>
      </c>
      <c r="C581" s="14">
        <f>91.0728 * CHOOSE(CONTROL!$C$9, $D$9, 100%, $F$9) + CHOOSE(CONTROL!$C$27, 0.0021, 0)</f>
        <v>91.0749</v>
      </c>
      <c r="D581" s="14">
        <f>91.0728 * CHOOSE(CONTROL!$C$9, $D$9, 100%, $F$9) + CHOOSE(CONTROL!$C$27, 0.0021, 0)</f>
        <v>91.0749</v>
      </c>
      <c r="E581" s="14">
        <f>90.9361 * CHOOSE(CONTROL!$C$9, $D$9, 100%, $F$9) + CHOOSE(CONTROL!$C$27, 0.0021, 0)</f>
        <v>90.938199999999995</v>
      </c>
      <c r="F581" s="14">
        <f>90.9361 * CHOOSE(CONTROL!$C$9, $D$9, 100%, $F$9) + CHOOSE(CONTROL!$C$27, 0.0021, 0)</f>
        <v>90.938199999999995</v>
      </c>
      <c r="G581" s="14">
        <f>91.2075 * CHOOSE(CONTROL!$C$9, $D$9, 100%, $F$9) + CHOOSE(CONTROL!$C$27, 0.0021, 0)</f>
        <v>91.209599999999995</v>
      </c>
      <c r="H581" s="14">
        <f>91.0728 * CHOOSE(CONTROL!$C$9, $D$9, 100%, $F$9) + CHOOSE(CONTROL!$C$27, 0.0021, 0)</f>
        <v>91.0749</v>
      </c>
      <c r="I581" s="14">
        <f>91.0728 * CHOOSE(CONTROL!$C$9, $D$9, 100%, $F$9) + CHOOSE(CONTROL!$C$27, 0.0021, 0)</f>
        <v>91.0749</v>
      </c>
      <c r="J581" s="14">
        <f>91.0728 * CHOOSE(CONTROL!$C$9, $D$9, 100%, $F$9) + CHOOSE(CONTROL!$C$27, 0.0021, 0)</f>
        <v>91.0749</v>
      </c>
      <c r="K581" s="14">
        <f>91.0728 * CHOOSE(CONTROL!$C$9, $D$9, 100%, $F$9) + CHOOSE(CONTROL!$C$27, 0.0021, 0)</f>
        <v>91.0749</v>
      </c>
      <c r="L581" s="14"/>
    </row>
    <row r="582" spans="1:12" ht="15.75" x14ac:dyDescent="0.25">
      <c r="A582" s="31">
        <v>58653</v>
      </c>
      <c r="B582" s="14">
        <f>93.296 * CHOOSE(CONTROL!$C$9, $D$9, 100%, $F$9) + CHOOSE(CONTROL!$C$27, 0.0021, 0)</f>
        <v>93.298100000000005</v>
      </c>
      <c r="C582" s="14">
        <f>92.8638 * CHOOSE(CONTROL!$C$9, $D$9, 100%, $F$9) + CHOOSE(CONTROL!$C$27, 0.0021, 0)</f>
        <v>92.865899999999996</v>
      </c>
      <c r="D582" s="14">
        <f>92.8638 * CHOOSE(CONTROL!$C$9, $D$9, 100%, $F$9) + CHOOSE(CONTROL!$C$27, 0.0021, 0)</f>
        <v>92.865899999999996</v>
      </c>
      <c r="E582" s="14">
        <f>92.7271 * CHOOSE(CONTROL!$C$9, $D$9, 100%, $F$9) + CHOOSE(CONTROL!$C$27, 0.0021, 0)</f>
        <v>92.729199999999992</v>
      </c>
      <c r="F582" s="14">
        <f>92.7271 * CHOOSE(CONTROL!$C$9, $D$9, 100%, $F$9) + CHOOSE(CONTROL!$C$27, 0.0021, 0)</f>
        <v>92.729199999999992</v>
      </c>
      <c r="G582" s="14">
        <f>92.9985 * CHOOSE(CONTROL!$C$9, $D$9, 100%, $F$9) + CHOOSE(CONTROL!$C$27, 0.0021, 0)</f>
        <v>93.000600000000006</v>
      </c>
      <c r="H582" s="14">
        <f>92.8638 * CHOOSE(CONTROL!$C$9, $D$9, 100%, $F$9) + CHOOSE(CONTROL!$C$27, 0.0021, 0)</f>
        <v>92.865899999999996</v>
      </c>
      <c r="I582" s="14">
        <f>92.8638 * CHOOSE(CONTROL!$C$9, $D$9, 100%, $F$9) + CHOOSE(CONTROL!$C$27, 0.0021, 0)</f>
        <v>92.865899999999996</v>
      </c>
      <c r="J582" s="14">
        <f>92.8638 * CHOOSE(CONTROL!$C$9, $D$9, 100%, $F$9) + CHOOSE(CONTROL!$C$27, 0.0021, 0)</f>
        <v>92.865899999999996</v>
      </c>
      <c r="K582" s="14">
        <f>92.8638 * CHOOSE(CONTROL!$C$9, $D$9, 100%, $F$9) + CHOOSE(CONTROL!$C$27, 0.0021, 0)</f>
        <v>92.865899999999996</v>
      </c>
      <c r="L582" s="14"/>
    </row>
    <row r="583" spans="1:12" ht="15.75" x14ac:dyDescent="0.25">
      <c r="A583" s="31">
        <v>58684</v>
      </c>
      <c r="B583" s="14">
        <f>93.8427 * CHOOSE(CONTROL!$C$9, $D$9, 100%, $F$9) + CHOOSE(CONTROL!$C$27, 0.0021, 0)</f>
        <v>93.844799999999992</v>
      </c>
      <c r="C583" s="14">
        <f>93.4104 * CHOOSE(CONTROL!$C$9, $D$9, 100%, $F$9) + CHOOSE(CONTROL!$C$27, 0.0021, 0)</f>
        <v>93.412499999999994</v>
      </c>
      <c r="D583" s="14">
        <f>93.4104 * CHOOSE(CONTROL!$C$9, $D$9, 100%, $F$9) + CHOOSE(CONTROL!$C$27, 0.0021, 0)</f>
        <v>93.412499999999994</v>
      </c>
      <c r="E583" s="14">
        <f>93.2738 * CHOOSE(CONTROL!$C$9, $D$9, 100%, $F$9) + CHOOSE(CONTROL!$C$27, 0.0021, 0)</f>
        <v>93.275899999999993</v>
      </c>
      <c r="F583" s="14">
        <f>93.2738 * CHOOSE(CONTROL!$C$9, $D$9, 100%, $F$9) + CHOOSE(CONTROL!$C$27, 0.0021, 0)</f>
        <v>93.275899999999993</v>
      </c>
      <c r="G583" s="14">
        <f>93.5452 * CHOOSE(CONTROL!$C$9, $D$9, 100%, $F$9) + CHOOSE(CONTROL!$C$27, 0.0021, 0)</f>
        <v>93.547299999999993</v>
      </c>
      <c r="H583" s="14">
        <f>93.4104 * CHOOSE(CONTROL!$C$9, $D$9, 100%, $F$9) + CHOOSE(CONTROL!$C$27, 0.0021, 0)</f>
        <v>93.412499999999994</v>
      </c>
      <c r="I583" s="14">
        <f>93.4104 * CHOOSE(CONTROL!$C$9, $D$9, 100%, $F$9) + CHOOSE(CONTROL!$C$27, 0.0021, 0)</f>
        <v>93.412499999999994</v>
      </c>
      <c r="J583" s="14">
        <f>93.4104 * CHOOSE(CONTROL!$C$9, $D$9, 100%, $F$9) + CHOOSE(CONTROL!$C$27, 0.0021, 0)</f>
        <v>93.412499999999994</v>
      </c>
      <c r="K583" s="14">
        <f>93.4104 * CHOOSE(CONTROL!$C$9, $D$9, 100%, $F$9) + CHOOSE(CONTROL!$C$27, 0.0021, 0)</f>
        <v>93.412499999999994</v>
      </c>
      <c r="L583" s="14"/>
    </row>
    <row r="584" spans="1:12" ht="15.75" x14ac:dyDescent="0.25">
      <c r="A584" s="31">
        <v>58714</v>
      </c>
      <c r="B584" s="14">
        <f>95.7044 * CHOOSE(CONTROL!$C$9, $D$9, 100%, $F$9) + CHOOSE(CONTROL!$C$27, 0.0021, 0)</f>
        <v>95.706500000000005</v>
      </c>
      <c r="C584" s="14">
        <f>95.2721 * CHOOSE(CONTROL!$C$9, $D$9, 100%, $F$9) + CHOOSE(CONTROL!$C$27, 0.0021, 0)</f>
        <v>95.274199999999993</v>
      </c>
      <c r="D584" s="14">
        <f>95.2721 * CHOOSE(CONTROL!$C$9, $D$9, 100%, $F$9) + CHOOSE(CONTROL!$C$27, 0.0021, 0)</f>
        <v>95.274199999999993</v>
      </c>
      <c r="E584" s="14">
        <f>95.1355 * CHOOSE(CONTROL!$C$9, $D$9, 100%, $F$9) + CHOOSE(CONTROL!$C$27, 0.0021, 0)</f>
        <v>95.137599999999992</v>
      </c>
      <c r="F584" s="14">
        <f>95.1355 * CHOOSE(CONTROL!$C$9, $D$9, 100%, $F$9) + CHOOSE(CONTROL!$C$27, 0.0021, 0)</f>
        <v>95.137599999999992</v>
      </c>
      <c r="G584" s="14">
        <f>95.4068 * CHOOSE(CONTROL!$C$9, $D$9, 100%, $F$9) + CHOOSE(CONTROL!$C$27, 0.0021, 0)</f>
        <v>95.408900000000003</v>
      </c>
      <c r="H584" s="14">
        <f>95.2721 * CHOOSE(CONTROL!$C$9, $D$9, 100%, $F$9) + CHOOSE(CONTROL!$C$27, 0.0021, 0)</f>
        <v>95.274199999999993</v>
      </c>
      <c r="I584" s="14">
        <f>95.2721 * CHOOSE(CONTROL!$C$9, $D$9, 100%, $F$9) + CHOOSE(CONTROL!$C$27, 0.0021, 0)</f>
        <v>95.274199999999993</v>
      </c>
      <c r="J584" s="14">
        <f>95.2721 * CHOOSE(CONTROL!$C$9, $D$9, 100%, $F$9) + CHOOSE(CONTROL!$C$27, 0.0021, 0)</f>
        <v>95.274199999999993</v>
      </c>
      <c r="K584" s="14">
        <f>95.2721 * CHOOSE(CONTROL!$C$9, $D$9, 100%, $F$9) + CHOOSE(CONTROL!$C$27, 0.0021, 0)</f>
        <v>95.274199999999993</v>
      </c>
      <c r="L584" s="14"/>
    </row>
    <row r="585" spans="1:12" ht="15.75" x14ac:dyDescent="0.25">
      <c r="A585" s="31">
        <v>58745</v>
      </c>
      <c r="B585" s="14">
        <f>98.0609 * CHOOSE(CONTROL!$C$9, $D$9, 100%, $F$9) + CHOOSE(CONTROL!$C$27, 0.0021, 0)</f>
        <v>98.063000000000002</v>
      </c>
      <c r="C585" s="14">
        <f>97.6287 * CHOOSE(CONTROL!$C$9, $D$9, 100%, $F$9) + CHOOSE(CONTROL!$C$27, 0.0021, 0)</f>
        <v>97.630799999999994</v>
      </c>
      <c r="D585" s="14">
        <f>97.6287 * CHOOSE(CONTROL!$C$9, $D$9, 100%, $F$9) + CHOOSE(CONTROL!$C$27, 0.0021, 0)</f>
        <v>97.630799999999994</v>
      </c>
      <c r="E585" s="14">
        <f>97.492 * CHOOSE(CONTROL!$C$9, $D$9, 100%, $F$9) + CHOOSE(CONTROL!$C$27, 0.0021, 0)</f>
        <v>97.494100000000003</v>
      </c>
      <c r="F585" s="14">
        <f>97.492 * CHOOSE(CONTROL!$C$9, $D$9, 100%, $F$9) + CHOOSE(CONTROL!$C$27, 0.0021, 0)</f>
        <v>97.494100000000003</v>
      </c>
      <c r="G585" s="14">
        <f>97.7634 * CHOOSE(CONTROL!$C$9, $D$9, 100%, $F$9) + CHOOSE(CONTROL!$C$27, 0.0021, 0)</f>
        <v>97.765500000000003</v>
      </c>
      <c r="H585" s="14">
        <f>97.6287 * CHOOSE(CONTROL!$C$9, $D$9, 100%, $F$9) + CHOOSE(CONTROL!$C$27, 0.0021, 0)</f>
        <v>97.630799999999994</v>
      </c>
      <c r="I585" s="14">
        <f>97.6287 * CHOOSE(CONTROL!$C$9, $D$9, 100%, $F$9) + CHOOSE(CONTROL!$C$27, 0.0021, 0)</f>
        <v>97.630799999999994</v>
      </c>
      <c r="J585" s="14">
        <f>97.6287 * CHOOSE(CONTROL!$C$9, $D$9, 100%, $F$9) + CHOOSE(CONTROL!$C$27, 0.0021, 0)</f>
        <v>97.630799999999994</v>
      </c>
      <c r="K585" s="14">
        <f>97.6287 * CHOOSE(CONTROL!$C$9, $D$9, 100%, $F$9) + CHOOSE(CONTROL!$C$27, 0.0021, 0)</f>
        <v>97.630799999999994</v>
      </c>
      <c r="L585" s="14"/>
    </row>
    <row r="586" spans="1:12" ht="15.75" x14ac:dyDescent="0.25">
      <c r="A586" s="31">
        <v>58775</v>
      </c>
      <c r="B586" s="14">
        <f>98.2821 * CHOOSE(CONTROL!$C$9, $D$9, 100%, $F$9) + CHOOSE(CONTROL!$C$27, 0.0021, 0)</f>
        <v>98.284199999999998</v>
      </c>
      <c r="C586" s="14">
        <f>97.8499 * CHOOSE(CONTROL!$C$9, $D$9, 100%, $F$9) + CHOOSE(CONTROL!$C$27, 0.0021, 0)</f>
        <v>97.852000000000004</v>
      </c>
      <c r="D586" s="14">
        <f>97.8499 * CHOOSE(CONTROL!$C$9, $D$9, 100%, $F$9) + CHOOSE(CONTROL!$C$27, 0.0021, 0)</f>
        <v>97.852000000000004</v>
      </c>
      <c r="E586" s="14">
        <f>97.7132 * CHOOSE(CONTROL!$C$9, $D$9, 100%, $F$9) + CHOOSE(CONTROL!$C$27, 0.0021, 0)</f>
        <v>97.715299999999999</v>
      </c>
      <c r="F586" s="14">
        <f>97.7132 * CHOOSE(CONTROL!$C$9, $D$9, 100%, $F$9) + CHOOSE(CONTROL!$C$27, 0.0021, 0)</f>
        <v>97.715299999999999</v>
      </c>
      <c r="G586" s="14">
        <f>97.9846 * CHOOSE(CONTROL!$C$9, $D$9, 100%, $F$9) + CHOOSE(CONTROL!$C$27, 0.0021, 0)</f>
        <v>97.986699999999999</v>
      </c>
      <c r="H586" s="14">
        <f>97.8499 * CHOOSE(CONTROL!$C$9, $D$9, 100%, $F$9) + CHOOSE(CONTROL!$C$27, 0.0021, 0)</f>
        <v>97.852000000000004</v>
      </c>
      <c r="I586" s="14">
        <f>97.8499 * CHOOSE(CONTROL!$C$9, $D$9, 100%, $F$9) + CHOOSE(CONTROL!$C$27, 0.0021, 0)</f>
        <v>97.852000000000004</v>
      </c>
      <c r="J586" s="14">
        <f>97.8499 * CHOOSE(CONTROL!$C$9, $D$9, 100%, $F$9) + CHOOSE(CONTROL!$C$27, 0.0021, 0)</f>
        <v>97.852000000000004</v>
      </c>
      <c r="K586" s="14">
        <f>97.8499 * CHOOSE(CONTROL!$C$9, $D$9, 100%, $F$9) + CHOOSE(CONTROL!$C$27, 0.0021, 0)</f>
        <v>97.852000000000004</v>
      </c>
      <c r="L586" s="14"/>
    </row>
    <row r="587" spans="1:12" ht="15.75" x14ac:dyDescent="0.25">
      <c r="A587" s="31">
        <v>58806</v>
      </c>
      <c r="B587" s="14">
        <f>96.4 * CHOOSE(CONTROL!$C$9, $D$9, 100%, $F$9) + CHOOSE(CONTROL!$C$27, 0.0021, 0)</f>
        <v>96.402100000000004</v>
      </c>
      <c r="C587" s="14">
        <f>95.9678 * CHOOSE(CONTROL!$C$9, $D$9, 100%, $F$9) + CHOOSE(CONTROL!$C$27, 0.0021, 0)</f>
        <v>95.969899999999996</v>
      </c>
      <c r="D587" s="14">
        <f>95.9678 * CHOOSE(CONTROL!$C$9, $D$9, 100%, $F$9) + CHOOSE(CONTROL!$C$27, 0.0021, 0)</f>
        <v>95.969899999999996</v>
      </c>
      <c r="E587" s="14">
        <f>95.8311 * CHOOSE(CONTROL!$C$9, $D$9, 100%, $F$9) + CHOOSE(CONTROL!$C$27, 0.0021, 0)</f>
        <v>95.833200000000005</v>
      </c>
      <c r="F587" s="14">
        <f>95.8311 * CHOOSE(CONTROL!$C$9, $D$9, 100%, $F$9) + CHOOSE(CONTROL!$C$27, 0.0021, 0)</f>
        <v>95.833200000000005</v>
      </c>
      <c r="G587" s="14">
        <f>96.1025 * CHOOSE(CONTROL!$C$9, $D$9, 100%, $F$9) + CHOOSE(CONTROL!$C$27, 0.0021, 0)</f>
        <v>96.104600000000005</v>
      </c>
      <c r="H587" s="14">
        <f>95.9678 * CHOOSE(CONTROL!$C$9, $D$9, 100%, $F$9) + CHOOSE(CONTROL!$C$27, 0.0021, 0)</f>
        <v>95.969899999999996</v>
      </c>
      <c r="I587" s="14">
        <f>95.9678 * CHOOSE(CONTROL!$C$9, $D$9, 100%, $F$9) + CHOOSE(CONTROL!$C$27, 0.0021, 0)</f>
        <v>95.969899999999996</v>
      </c>
      <c r="J587" s="14">
        <f>95.9678 * CHOOSE(CONTROL!$C$9, $D$9, 100%, $F$9) + CHOOSE(CONTROL!$C$27, 0.0021, 0)</f>
        <v>95.969899999999996</v>
      </c>
      <c r="K587" s="14">
        <f>95.9678 * CHOOSE(CONTROL!$C$9, $D$9, 100%, $F$9) + CHOOSE(CONTROL!$C$27, 0.0021, 0)</f>
        <v>95.969899999999996</v>
      </c>
      <c r="L587" s="14"/>
    </row>
    <row r="588" spans="1:12" ht="15.75" x14ac:dyDescent="0.25">
      <c r="A588" s="31">
        <v>58837</v>
      </c>
      <c r="B588" s="14">
        <f>95.2104 * CHOOSE(CONTROL!$C$9, $D$9, 100%, $F$9) + CHOOSE(CONTROL!$C$27, 0.0021, 0)</f>
        <v>95.212500000000006</v>
      </c>
      <c r="C588" s="14">
        <f>94.7782 * CHOOSE(CONTROL!$C$9, $D$9, 100%, $F$9) + CHOOSE(CONTROL!$C$27, 0.0021, 0)</f>
        <v>94.780299999999997</v>
      </c>
      <c r="D588" s="14">
        <f>94.7782 * CHOOSE(CONTROL!$C$9, $D$9, 100%, $F$9) + CHOOSE(CONTROL!$C$27, 0.0021, 0)</f>
        <v>94.780299999999997</v>
      </c>
      <c r="E588" s="14">
        <f>94.6415 * CHOOSE(CONTROL!$C$9, $D$9, 100%, $F$9) + CHOOSE(CONTROL!$C$27, 0.0021, 0)</f>
        <v>94.643599999999992</v>
      </c>
      <c r="F588" s="14">
        <f>94.6415 * CHOOSE(CONTROL!$C$9, $D$9, 100%, $F$9) + CHOOSE(CONTROL!$C$27, 0.0021, 0)</f>
        <v>94.643599999999992</v>
      </c>
      <c r="G588" s="14">
        <f>94.9129 * CHOOSE(CONTROL!$C$9, $D$9, 100%, $F$9) + CHOOSE(CONTROL!$C$27, 0.0021, 0)</f>
        <v>94.914999999999992</v>
      </c>
      <c r="H588" s="14">
        <f>94.7782 * CHOOSE(CONTROL!$C$9, $D$9, 100%, $F$9) + CHOOSE(CONTROL!$C$27, 0.0021, 0)</f>
        <v>94.780299999999997</v>
      </c>
      <c r="I588" s="14">
        <f>94.7782 * CHOOSE(CONTROL!$C$9, $D$9, 100%, $F$9) + CHOOSE(CONTROL!$C$27, 0.0021, 0)</f>
        <v>94.780299999999997</v>
      </c>
      <c r="J588" s="14">
        <f>94.7782 * CHOOSE(CONTROL!$C$9, $D$9, 100%, $F$9) + CHOOSE(CONTROL!$C$27, 0.0021, 0)</f>
        <v>94.780299999999997</v>
      </c>
      <c r="K588" s="14">
        <f>94.7782 * CHOOSE(CONTROL!$C$9, $D$9, 100%, $F$9) + CHOOSE(CONTROL!$C$27, 0.0021, 0)</f>
        <v>94.780299999999997</v>
      </c>
      <c r="L588" s="14"/>
    </row>
    <row r="589" spans="1:12" ht="15.75" x14ac:dyDescent="0.25">
      <c r="A589" s="31">
        <v>58865</v>
      </c>
      <c r="B589" s="14">
        <f>92.5822 * CHOOSE(CONTROL!$C$9, $D$9, 100%, $F$9) + CHOOSE(CONTROL!$C$27, 0.0021, 0)</f>
        <v>92.584299999999999</v>
      </c>
      <c r="C589" s="14">
        <f>92.1499 * CHOOSE(CONTROL!$C$9, $D$9, 100%, $F$9) + CHOOSE(CONTROL!$C$27, 0.0021, 0)</f>
        <v>92.152000000000001</v>
      </c>
      <c r="D589" s="14">
        <f>92.1499 * CHOOSE(CONTROL!$C$9, $D$9, 100%, $F$9) + CHOOSE(CONTROL!$C$27, 0.0021, 0)</f>
        <v>92.152000000000001</v>
      </c>
      <c r="E589" s="14">
        <f>92.0133 * CHOOSE(CONTROL!$C$9, $D$9, 100%, $F$9) + CHOOSE(CONTROL!$C$27, 0.0021, 0)</f>
        <v>92.0154</v>
      </c>
      <c r="F589" s="14">
        <f>92.0133 * CHOOSE(CONTROL!$C$9, $D$9, 100%, $F$9) + CHOOSE(CONTROL!$C$27, 0.0021, 0)</f>
        <v>92.0154</v>
      </c>
      <c r="G589" s="14">
        <f>92.2847 * CHOOSE(CONTROL!$C$9, $D$9, 100%, $F$9) + CHOOSE(CONTROL!$C$27, 0.0021, 0)</f>
        <v>92.286799999999999</v>
      </c>
      <c r="H589" s="14">
        <f>92.1499 * CHOOSE(CONTROL!$C$9, $D$9, 100%, $F$9) + CHOOSE(CONTROL!$C$27, 0.0021, 0)</f>
        <v>92.152000000000001</v>
      </c>
      <c r="I589" s="14">
        <f>92.1499 * CHOOSE(CONTROL!$C$9, $D$9, 100%, $F$9) + CHOOSE(CONTROL!$C$27, 0.0021, 0)</f>
        <v>92.152000000000001</v>
      </c>
      <c r="J589" s="14">
        <f>92.1499 * CHOOSE(CONTROL!$C$9, $D$9, 100%, $F$9) + CHOOSE(CONTROL!$C$27, 0.0021, 0)</f>
        <v>92.152000000000001</v>
      </c>
      <c r="K589" s="14">
        <f>92.1499 * CHOOSE(CONTROL!$C$9, $D$9, 100%, $F$9) + CHOOSE(CONTROL!$C$27, 0.0021, 0)</f>
        <v>92.152000000000001</v>
      </c>
      <c r="L589" s="14"/>
    </row>
    <row r="590" spans="1:12" ht="15.75" x14ac:dyDescent="0.25">
      <c r="A590" s="31">
        <v>58893</v>
      </c>
      <c r="B590" s="14">
        <f>91.4973 * CHOOSE(CONTROL!$C$9, $D$9, 100%, $F$9) + CHOOSE(CONTROL!$C$27, 0.0021, 0)</f>
        <v>91.499399999999994</v>
      </c>
      <c r="C590" s="14">
        <f>91.065 * CHOOSE(CONTROL!$C$9, $D$9, 100%, $F$9) + CHOOSE(CONTROL!$C$27, 0.0021, 0)</f>
        <v>91.067099999999996</v>
      </c>
      <c r="D590" s="14">
        <f>91.065 * CHOOSE(CONTROL!$C$9, $D$9, 100%, $F$9) + CHOOSE(CONTROL!$C$27, 0.0021, 0)</f>
        <v>91.067099999999996</v>
      </c>
      <c r="E590" s="14">
        <f>90.9284 * CHOOSE(CONTROL!$C$9, $D$9, 100%, $F$9) + CHOOSE(CONTROL!$C$27, 0.0021, 0)</f>
        <v>90.930499999999995</v>
      </c>
      <c r="F590" s="14">
        <f>90.9284 * CHOOSE(CONTROL!$C$9, $D$9, 100%, $F$9) + CHOOSE(CONTROL!$C$27, 0.0021, 0)</f>
        <v>90.930499999999995</v>
      </c>
      <c r="G590" s="14">
        <f>91.1997 * CHOOSE(CONTROL!$C$9, $D$9, 100%, $F$9) + CHOOSE(CONTROL!$C$27, 0.0021, 0)</f>
        <v>91.201800000000006</v>
      </c>
      <c r="H590" s="14">
        <f>91.065 * CHOOSE(CONTROL!$C$9, $D$9, 100%, $F$9) + CHOOSE(CONTROL!$C$27, 0.0021, 0)</f>
        <v>91.067099999999996</v>
      </c>
      <c r="I590" s="14">
        <f>91.065 * CHOOSE(CONTROL!$C$9, $D$9, 100%, $F$9) + CHOOSE(CONTROL!$C$27, 0.0021, 0)</f>
        <v>91.067099999999996</v>
      </c>
      <c r="J590" s="14">
        <f>91.065 * CHOOSE(CONTROL!$C$9, $D$9, 100%, $F$9) + CHOOSE(CONTROL!$C$27, 0.0021, 0)</f>
        <v>91.067099999999996</v>
      </c>
      <c r="K590" s="14">
        <f>91.065 * CHOOSE(CONTROL!$C$9, $D$9, 100%, $F$9) + CHOOSE(CONTROL!$C$27, 0.0021, 0)</f>
        <v>91.067099999999996</v>
      </c>
      <c r="L590" s="14"/>
    </row>
    <row r="591" spans="1:12" ht="15.75" x14ac:dyDescent="0.25">
      <c r="A591" s="31">
        <v>58926</v>
      </c>
      <c r="B591" s="14">
        <f>90.2018 * CHOOSE(CONTROL!$C$9, $D$9, 100%, $F$9) + CHOOSE(CONTROL!$C$27, 0.0021, 0)</f>
        <v>90.203900000000004</v>
      </c>
      <c r="C591" s="14">
        <f>89.7696 * CHOOSE(CONTROL!$C$9, $D$9, 100%, $F$9) + CHOOSE(CONTROL!$C$27, 0.0021, 0)</f>
        <v>89.771699999999996</v>
      </c>
      <c r="D591" s="14">
        <f>89.7696 * CHOOSE(CONTROL!$C$9, $D$9, 100%, $F$9) + CHOOSE(CONTROL!$C$27, 0.0021, 0)</f>
        <v>89.771699999999996</v>
      </c>
      <c r="E591" s="14">
        <f>89.6329 * CHOOSE(CONTROL!$C$9, $D$9, 100%, $F$9) + CHOOSE(CONTROL!$C$27, 0.0021, 0)</f>
        <v>89.635000000000005</v>
      </c>
      <c r="F591" s="14">
        <f>89.6329 * CHOOSE(CONTROL!$C$9, $D$9, 100%, $F$9) + CHOOSE(CONTROL!$C$27, 0.0021, 0)</f>
        <v>89.635000000000005</v>
      </c>
      <c r="G591" s="14">
        <f>89.9043 * CHOOSE(CONTROL!$C$9, $D$9, 100%, $F$9) + CHOOSE(CONTROL!$C$27, 0.0021, 0)</f>
        <v>89.906400000000005</v>
      </c>
      <c r="H591" s="14">
        <f>89.7696 * CHOOSE(CONTROL!$C$9, $D$9, 100%, $F$9) + CHOOSE(CONTROL!$C$27, 0.0021, 0)</f>
        <v>89.771699999999996</v>
      </c>
      <c r="I591" s="14">
        <f>89.7696 * CHOOSE(CONTROL!$C$9, $D$9, 100%, $F$9) + CHOOSE(CONTROL!$C$27, 0.0021, 0)</f>
        <v>89.771699999999996</v>
      </c>
      <c r="J591" s="14">
        <f>89.7696 * CHOOSE(CONTROL!$C$9, $D$9, 100%, $F$9) + CHOOSE(CONTROL!$C$27, 0.0021, 0)</f>
        <v>89.771699999999996</v>
      </c>
      <c r="K591" s="14">
        <f>89.7696 * CHOOSE(CONTROL!$C$9, $D$9, 100%, $F$9) + CHOOSE(CONTROL!$C$27, 0.0021, 0)</f>
        <v>89.771699999999996</v>
      </c>
      <c r="L591" s="14"/>
    </row>
    <row r="592" spans="1:12" ht="15.75" x14ac:dyDescent="0.25">
      <c r="A592" s="31">
        <v>58957</v>
      </c>
      <c r="B592" s="14">
        <f>92.048 * CHOOSE(CONTROL!$C$9, $D$9, 100%, $F$9) + CHOOSE(CONTROL!$C$27, 0.0021, 0)</f>
        <v>92.0501</v>
      </c>
      <c r="C592" s="14">
        <f>91.6157 * CHOOSE(CONTROL!$C$9, $D$9, 100%, $F$9) + CHOOSE(CONTROL!$C$27, 0.0021, 0)</f>
        <v>91.617800000000003</v>
      </c>
      <c r="D592" s="14">
        <f>91.6157 * CHOOSE(CONTROL!$C$9, $D$9, 100%, $F$9) + CHOOSE(CONTROL!$C$27, 0.0021, 0)</f>
        <v>91.617800000000003</v>
      </c>
      <c r="E592" s="14">
        <f>91.4791 * CHOOSE(CONTROL!$C$9, $D$9, 100%, $F$9) + CHOOSE(CONTROL!$C$27, 0.0021, 0)</f>
        <v>91.481200000000001</v>
      </c>
      <c r="F592" s="14">
        <f>91.4791 * CHOOSE(CONTROL!$C$9, $D$9, 100%, $F$9) + CHOOSE(CONTROL!$C$27, 0.0021, 0)</f>
        <v>91.481200000000001</v>
      </c>
      <c r="G592" s="14">
        <f>91.7504 * CHOOSE(CONTROL!$C$9, $D$9, 100%, $F$9) + CHOOSE(CONTROL!$C$27, 0.0021, 0)</f>
        <v>91.752499999999998</v>
      </c>
      <c r="H592" s="14">
        <f>91.6157 * CHOOSE(CONTROL!$C$9, $D$9, 100%, $F$9) + CHOOSE(CONTROL!$C$27, 0.0021, 0)</f>
        <v>91.617800000000003</v>
      </c>
      <c r="I592" s="14">
        <f>91.6157 * CHOOSE(CONTROL!$C$9, $D$9, 100%, $F$9) + CHOOSE(CONTROL!$C$27, 0.0021, 0)</f>
        <v>91.617800000000003</v>
      </c>
      <c r="J592" s="14">
        <f>91.6157 * CHOOSE(CONTROL!$C$9, $D$9, 100%, $F$9) + CHOOSE(CONTROL!$C$27, 0.0021, 0)</f>
        <v>91.617800000000003</v>
      </c>
      <c r="K592" s="14">
        <f>91.6157 * CHOOSE(CONTROL!$C$9, $D$9, 100%, $F$9) + CHOOSE(CONTROL!$C$27, 0.0021, 0)</f>
        <v>91.617800000000003</v>
      </c>
      <c r="L592" s="14"/>
    </row>
    <row r="593" spans="1:12" ht="15.75" x14ac:dyDescent="0.25">
      <c r="A593" s="31">
        <v>58987</v>
      </c>
      <c r="B593" s="14">
        <f>93.1537 * CHOOSE(CONTROL!$C$9, $D$9, 100%, $F$9) + CHOOSE(CONTROL!$C$27, 0.0021, 0)</f>
        <v>93.155799999999999</v>
      </c>
      <c r="C593" s="14">
        <f>92.7215 * CHOOSE(CONTROL!$C$9, $D$9, 100%, $F$9) + CHOOSE(CONTROL!$C$27, 0.0021, 0)</f>
        <v>92.723600000000005</v>
      </c>
      <c r="D593" s="14">
        <f>92.7215 * CHOOSE(CONTROL!$C$9, $D$9, 100%, $F$9) + CHOOSE(CONTROL!$C$27, 0.0021, 0)</f>
        <v>92.723600000000005</v>
      </c>
      <c r="E593" s="14">
        <f>92.5848 * CHOOSE(CONTROL!$C$9, $D$9, 100%, $F$9) + CHOOSE(CONTROL!$C$27, 0.0021, 0)</f>
        <v>92.5869</v>
      </c>
      <c r="F593" s="14">
        <f>92.5848 * CHOOSE(CONTROL!$C$9, $D$9, 100%, $F$9) + CHOOSE(CONTROL!$C$27, 0.0021, 0)</f>
        <v>92.5869</v>
      </c>
      <c r="G593" s="14">
        <f>92.8562 * CHOOSE(CONTROL!$C$9, $D$9, 100%, $F$9) + CHOOSE(CONTROL!$C$27, 0.0021, 0)</f>
        <v>92.8583</v>
      </c>
      <c r="H593" s="14">
        <f>92.7215 * CHOOSE(CONTROL!$C$9, $D$9, 100%, $F$9) + CHOOSE(CONTROL!$C$27, 0.0021, 0)</f>
        <v>92.723600000000005</v>
      </c>
      <c r="I593" s="14">
        <f>92.7215 * CHOOSE(CONTROL!$C$9, $D$9, 100%, $F$9) + CHOOSE(CONTROL!$C$27, 0.0021, 0)</f>
        <v>92.723600000000005</v>
      </c>
      <c r="J593" s="14">
        <f>92.7215 * CHOOSE(CONTROL!$C$9, $D$9, 100%, $F$9) + CHOOSE(CONTROL!$C$27, 0.0021, 0)</f>
        <v>92.723600000000005</v>
      </c>
      <c r="K593" s="14">
        <f>92.7215 * CHOOSE(CONTROL!$C$9, $D$9, 100%, $F$9) + CHOOSE(CONTROL!$C$27, 0.0021, 0)</f>
        <v>92.723600000000005</v>
      </c>
      <c r="L593" s="14"/>
    </row>
    <row r="594" spans="1:12" ht="15.75" x14ac:dyDescent="0.25">
      <c r="A594" s="31">
        <v>59018</v>
      </c>
      <c r="B594" s="14">
        <f>94.9778 * CHOOSE(CONTROL!$C$9, $D$9, 100%, $F$9) + CHOOSE(CONTROL!$C$27, 0.0021, 0)</f>
        <v>94.979900000000001</v>
      </c>
      <c r="C594" s="14">
        <f>94.5456 * CHOOSE(CONTROL!$C$9, $D$9, 100%, $F$9) + CHOOSE(CONTROL!$C$27, 0.0021, 0)</f>
        <v>94.547699999999992</v>
      </c>
      <c r="D594" s="14">
        <f>94.5456 * CHOOSE(CONTROL!$C$9, $D$9, 100%, $F$9) + CHOOSE(CONTROL!$C$27, 0.0021, 0)</f>
        <v>94.547699999999992</v>
      </c>
      <c r="E594" s="14">
        <f>94.4089 * CHOOSE(CONTROL!$C$9, $D$9, 100%, $F$9) + CHOOSE(CONTROL!$C$27, 0.0021, 0)</f>
        <v>94.411000000000001</v>
      </c>
      <c r="F594" s="14">
        <f>94.4089 * CHOOSE(CONTROL!$C$9, $D$9, 100%, $F$9) + CHOOSE(CONTROL!$C$27, 0.0021, 0)</f>
        <v>94.411000000000001</v>
      </c>
      <c r="G594" s="14">
        <f>94.6803 * CHOOSE(CONTROL!$C$9, $D$9, 100%, $F$9) + CHOOSE(CONTROL!$C$27, 0.0021, 0)</f>
        <v>94.682400000000001</v>
      </c>
      <c r="H594" s="14">
        <f>94.5456 * CHOOSE(CONTROL!$C$9, $D$9, 100%, $F$9) + CHOOSE(CONTROL!$C$27, 0.0021, 0)</f>
        <v>94.547699999999992</v>
      </c>
      <c r="I594" s="14">
        <f>94.5456 * CHOOSE(CONTROL!$C$9, $D$9, 100%, $F$9) + CHOOSE(CONTROL!$C$27, 0.0021, 0)</f>
        <v>94.547699999999992</v>
      </c>
      <c r="J594" s="14">
        <f>94.5456 * CHOOSE(CONTROL!$C$9, $D$9, 100%, $F$9) + CHOOSE(CONTROL!$C$27, 0.0021, 0)</f>
        <v>94.547699999999992</v>
      </c>
      <c r="K594" s="14">
        <f>94.5456 * CHOOSE(CONTROL!$C$9, $D$9, 100%, $F$9) + CHOOSE(CONTROL!$C$27, 0.0021, 0)</f>
        <v>94.547699999999992</v>
      </c>
      <c r="L594" s="14"/>
    </row>
    <row r="595" spans="1:12" ht="15.75" x14ac:dyDescent="0.25">
      <c r="A595" s="31">
        <v>59049</v>
      </c>
      <c r="B595" s="14">
        <f>95.5346 * CHOOSE(CONTROL!$C$9, $D$9, 100%, $F$9) + CHOOSE(CONTROL!$C$27, 0.0021, 0)</f>
        <v>95.536699999999996</v>
      </c>
      <c r="C595" s="14">
        <f>95.1024 * CHOOSE(CONTROL!$C$9, $D$9, 100%, $F$9) + CHOOSE(CONTROL!$C$27, 0.0021, 0)</f>
        <v>95.104500000000002</v>
      </c>
      <c r="D595" s="14">
        <f>95.1024 * CHOOSE(CONTROL!$C$9, $D$9, 100%, $F$9) + CHOOSE(CONTROL!$C$27, 0.0021, 0)</f>
        <v>95.104500000000002</v>
      </c>
      <c r="E595" s="14">
        <f>94.9657 * CHOOSE(CONTROL!$C$9, $D$9, 100%, $F$9) + CHOOSE(CONTROL!$C$27, 0.0021, 0)</f>
        <v>94.967799999999997</v>
      </c>
      <c r="F595" s="14">
        <f>94.9657 * CHOOSE(CONTROL!$C$9, $D$9, 100%, $F$9) + CHOOSE(CONTROL!$C$27, 0.0021, 0)</f>
        <v>94.967799999999997</v>
      </c>
      <c r="G595" s="14">
        <f>95.2371 * CHOOSE(CONTROL!$C$9, $D$9, 100%, $F$9) + CHOOSE(CONTROL!$C$27, 0.0021, 0)</f>
        <v>95.239199999999997</v>
      </c>
      <c r="H595" s="14">
        <f>95.1024 * CHOOSE(CONTROL!$C$9, $D$9, 100%, $F$9) + CHOOSE(CONTROL!$C$27, 0.0021, 0)</f>
        <v>95.104500000000002</v>
      </c>
      <c r="I595" s="14">
        <f>95.1024 * CHOOSE(CONTROL!$C$9, $D$9, 100%, $F$9) + CHOOSE(CONTROL!$C$27, 0.0021, 0)</f>
        <v>95.104500000000002</v>
      </c>
      <c r="J595" s="14">
        <f>95.1024 * CHOOSE(CONTROL!$C$9, $D$9, 100%, $F$9) + CHOOSE(CONTROL!$C$27, 0.0021, 0)</f>
        <v>95.104500000000002</v>
      </c>
      <c r="K595" s="14">
        <f>95.1024 * CHOOSE(CONTROL!$C$9, $D$9, 100%, $F$9) + CHOOSE(CONTROL!$C$27, 0.0021, 0)</f>
        <v>95.104500000000002</v>
      </c>
      <c r="L595" s="14"/>
    </row>
    <row r="596" spans="1:12" ht="15.75" x14ac:dyDescent="0.25">
      <c r="A596" s="31">
        <v>59079</v>
      </c>
      <c r="B596" s="14">
        <f>97.4307 * CHOOSE(CONTROL!$C$9, $D$9, 100%, $F$9) + CHOOSE(CONTROL!$C$27, 0.0021, 0)</f>
        <v>97.4328</v>
      </c>
      <c r="C596" s="14">
        <f>96.9984 * CHOOSE(CONTROL!$C$9, $D$9, 100%, $F$9) + CHOOSE(CONTROL!$C$27, 0.0021, 0)</f>
        <v>97.000500000000002</v>
      </c>
      <c r="D596" s="14">
        <f>96.9984 * CHOOSE(CONTROL!$C$9, $D$9, 100%, $F$9) + CHOOSE(CONTROL!$C$27, 0.0021, 0)</f>
        <v>97.000500000000002</v>
      </c>
      <c r="E596" s="14">
        <f>96.8618 * CHOOSE(CONTROL!$C$9, $D$9, 100%, $F$9) + CHOOSE(CONTROL!$C$27, 0.0021, 0)</f>
        <v>96.863900000000001</v>
      </c>
      <c r="F596" s="14">
        <f>96.8618 * CHOOSE(CONTROL!$C$9, $D$9, 100%, $F$9) + CHOOSE(CONTROL!$C$27, 0.0021, 0)</f>
        <v>96.863900000000001</v>
      </c>
      <c r="G596" s="14">
        <f>97.1332 * CHOOSE(CONTROL!$C$9, $D$9, 100%, $F$9) + CHOOSE(CONTROL!$C$27, 0.0021, 0)</f>
        <v>97.135300000000001</v>
      </c>
      <c r="H596" s="14">
        <f>96.9984 * CHOOSE(CONTROL!$C$9, $D$9, 100%, $F$9) + CHOOSE(CONTROL!$C$27, 0.0021, 0)</f>
        <v>97.000500000000002</v>
      </c>
      <c r="I596" s="14">
        <f>96.9984 * CHOOSE(CONTROL!$C$9, $D$9, 100%, $F$9) + CHOOSE(CONTROL!$C$27, 0.0021, 0)</f>
        <v>97.000500000000002</v>
      </c>
      <c r="J596" s="14">
        <f>96.9984 * CHOOSE(CONTROL!$C$9, $D$9, 100%, $F$9) + CHOOSE(CONTROL!$C$27, 0.0021, 0)</f>
        <v>97.000500000000002</v>
      </c>
      <c r="K596" s="14">
        <f>96.9984 * CHOOSE(CONTROL!$C$9, $D$9, 100%, $F$9) + CHOOSE(CONTROL!$C$27, 0.0021, 0)</f>
        <v>97.000500000000002</v>
      </c>
      <c r="L596" s="14"/>
    </row>
    <row r="597" spans="1:12" ht="15.75" x14ac:dyDescent="0.25">
      <c r="A597" s="31">
        <v>59110</v>
      </c>
      <c r="B597" s="14">
        <f>99.8308 * CHOOSE(CONTROL!$C$9, $D$9, 100%, $F$9) + CHOOSE(CONTROL!$C$27, 0.0021, 0)</f>
        <v>99.832899999999995</v>
      </c>
      <c r="C597" s="14">
        <f>99.3985 * CHOOSE(CONTROL!$C$9, $D$9, 100%, $F$9) + CHOOSE(CONTROL!$C$27, 0.0021, 0)</f>
        <v>99.400599999999997</v>
      </c>
      <c r="D597" s="14">
        <f>99.3985 * CHOOSE(CONTROL!$C$9, $D$9, 100%, $F$9) + CHOOSE(CONTROL!$C$27, 0.0021, 0)</f>
        <v>99.400599999999997</v>
      </c>
      <c r="E597" s="14">
        <f>99.2619 * CHOOSE(CONTROL!$C$9, $D$9, 100%, $F$9) + CHOOSE(CONTROL!$C$27, 0.0021, 0)</f>
        <v>99.263999999999996</v>
      </c>
      <c r="F597" s="14">
        <f>99.2619 * CHOOSE(CONTROL!$C$9, $D$9, 100%, $F$9) + CHOOSE(CONTROL!$C$27, 0.0021, 0)</f>
        <v>99.263999999999996</v>
      </c>
      <c r="G597" s="14">
        <f>99.5333 * CHOOSE(CONTROL!$C$9, $D$9, 100%, $F$9) + CHOOSE(CONTROL!$C$27, 0.0021, 0)</f>
        <v>99.535399999999996</v>
      </c>
      <c r="H597" s="14">
        <f>99.3985 * CHOOSE(CONTROL!$C$9, $D$9, 100%, $F$9) + CHOOSE(CONTROL!$C$27, 0.0021, 0)</f>
        <v>99.400599999999997</v>
      </c>
      <c r="I597" s="14">
        <f>99.3985 * CHOOSE(CONTROL!$C$9, $D$9, 100%, $F$9) + CHOOSE(CONTROL!$C$27, 0.0021, 0)</f>
        <v>99.400599999999997</v>
      </c>
      <c r="J597" s="14">
        <f>99.3985 * CHOOSE(CONTROL!$C$9, $D$9, 100%, $F$9) + CHOOSE(CONTROL!$C$27, 0.0021, 0)</f>
        <v>99.400599999999997</v>
      </c>
      <c r="K597" s="14">
        <f>99.3985 * CHOOSE(CONTROL!$C$9, $D$9, 100%, $F$9) + CHOOSE(CONTROL!$C$27, 0.0021, 0)</f>
        <v>99.400599999999997</v>
      </c>
      <c r="L597" s="14"/>
    </row>
    <row r="598" spans="1:12" ht="15.75" x14ac:dyDescent="0.25">
      <c r="A598" s="31">
        <v>59140</v>
      </c>
      <c r="B598" s="14">
        <f>100.0561 * CHOOSE(CONTROL!$C$9, $D$9, 100%, $F$9) + CHOOSE(CONTROL!$C$27, 0.0021, 0)</f>
        <v>100.0582</v>
      </c>
      <c r="C598" s="14">
        <f>99.6239 * CHOOSE(CONTROL!$C$9, $D$9, 100%, $F$9) + CHOOSE(CONTROL!$C$27, 0.0021, 0)</f>
        <v>99.626000000000005</v>
      </c>
      <c r="D598" s="14">
        <f>99.6239 * CHOOSE(CONTROL!$C$9, $D$9, 100%, $F$9) + CHOOSE(CONTROL!$C$27, 0.0021, 0)</f>
        <v>99.626000000000005</v>
      </c>
      <c r="E598" s="14">
        <f>99.4872 * CHOOSE(CONTROL!$C$9, $D$9, 100%, $F$9) + CHOOSE(CONTROL!$C$27, 0.0021, 0)</f>
        <v>99.4893</v>
      </c>
      <c r="F598" s="14">
        <f>99.4872 * CHOOSE(CONTROL!$C$9, $D$9, 100%, $F$9) + CHOOSE(CONTROL!$C$27, 0.0021, 0)</f>
        <v>99.4893</v>
      </c>
      <c r="G598" s="14">
        <f>99.7586 * CHOOSE(CONTROL!$C$9, $D$9, 100%, $F$9) + CHOOSE(CONTROL!$C$27, 0.0021, 0)</f>
        <v>99.7607</v>
      </c>
      <c r="H598" s="14">
        <f>99.6239 * CHOOSE(CONTROL!$C$9, $D$9, 100%, $F$9) + CHOOSE(CONTROL!$C$27, 0.0021, 0)</f>
        <v>99.626000000000005</v>
      </c>
      <c r="I598" s="14">
        <f>99.6239 * CHOOSE(CONTROL!$C$9, $D$9, 100%, $F$9) + CHOOSE(CONTROL!$C$27, 0.0021, 0)</f>
        <v>99.626000000000005</v>
      </c>
      <c r="J598" s="14">
        <f>99.6239 * CHOOSE(CONTROL!$C$9, $D$9, 100%, $F$9) + CHOOSE(CONTROL!$C$27, 0.0021, 0)</f>
        <v>99.626000000000005</v>
      </c>
      <c r="K598" s="14">
        <f>99.6239 * CHOOSE(CONTROL!$C$9, $D$9, 100%, $F$9) + CHOOSE(CONTROL!$C$27, 0.0021, 0)</f>
        <v>99.626000000000005</v>
      </c>
      <c r="L598" s="14"/>
    </row>
    <row r="599" spans="1:12" ht="15.75" x14ac:dyDescent="0.25">
      <c r="A599" s="31">
        <v>59171</v>
      </c>
      <c r="B599" s="14">
        <f>98.1392 * CHOOSE(CONTROL!$C$9, $D$9, 100%, $F$9) + CHOOSE(CONTROL!$C$27, 0.0021, 0)</f>
        <v>98.141300000000001</v>
      </c>
      <c r="C599" s="14">
        <f>97.7069 * CHOOSE(CONTROL!$C$9, $D$9, 100%, $F$9) + CHOOSE(CONTROL!$C$27, 0.0021, 0)</f>
        <v>97.709000000000003</v>
      </c>
      <c r="D599" s="14">
        <f>97.7069 * CHOOSE(CONTROL!$C$9, $D$9, 100%, $F$9) + CHOOSE(CONTROL!$C$27, 0.0021, 0)</f>
        <v>97.709000000000003</v>
      </c>
      <c r="E599" s="14">
        <f>97.5703 * CHOOSE(CONTROL!$C$9, $D$9, 100%, $F$9) + CHOOSE(CONTROL!$C$27, 0.0021, 0)</f>
        <v>97.572400000000002</v>
      </c>
      <c r="F599" s="14">
        <f>97.5703 * CHOOSE(CONTROL!$C$9, $D$9, 100%, $F$9) + CHOOSE(CONTROL!$C$27, 0.0021, 0)</f>
        <v>97.572400000000002</v>
      </c>
      <c r="G599" s="14">
        <f>97.8417 * CHOOSE(CONTROL!$C$9, $D$9, 100%, $F$9) + CHOOSE(CONTROL!$C$27, 0.0021, 0)</f>
        <v>97.843800000000002</v>
      </c>
      <c r="H599" s="14">
        <f>97.7069 * CHOOSE(CONTROL!$C$9, $D$9, 100%, $F$9) + CHOOSE(CONTROL!$C$27, 0.0021, 0)</f>
        <v>97.709000000000003</v>
      </c>
      <c r="I599" s="14">
        <f>97.7069 * CHOOSE(CONTROL!$C$9, $D$9, 100%, $F$9) + CHOOSE(CONTROL!$C$27, 0.0021, 0)</f>
        <v>97.709000000000003</v>
      </c>
      <c r="J599" s="14">
        <f>97.7069 * CHOOSE(CONTROL!$C$9, $D$9, 100%, $F$9) + CHOOSE(CONTROL!$C$27, 0.0021, 0)</f>
        <v>97.709000000000003</v>
      </c>
      <c r="K599" s="14">
        <f>97.7069 * CHOOSE(CONTROL!$C$9, $D$9, 100%, $F$9) + CHOOSE(CONTROL!$C$27, 0.0021, 0)</f>
        <v>97.709000000000003</v>
      </c>
      <c r="L599" s="14"/>
    </row>
    <row r="600" spans="1:12" ht="15.75" x14ac:dyDescent="0.25">
      <c r="A600" s="31">
        <v>59202</v>
      </c>
      <c r="B600" s="14">
        <f>89.2069 * CHOOSE(CONTROL!$C$9, $D$9, 100%, $F$9) + CHOOSE(CONTROL!$C$27, 0.0021, 0)</f>
        <v>89.209000000000003</v>
      </c>
      <c r="C600" s="14">
        <f>88.7747 * CHOOSE(CONTROL!$C$9, $D$9, 100%, $F$9) + CHOOSE(CONTROL!$C$27, 0.0021, 0)</f>
        <v>88.776799999999994</v>
      </c>
      <c r="D600" s="14">
        <f>88.7747 * CHOOSE(CONTROL!$C$9, $D$9, 100%, $F$9) + CHOOSE(CONTROL!$C$27, 0.0021, 0)</f>
        <v>88.776799999999994</v>
      </c>
      <c r="E600" s="14">
        <f>88.638 * CHOOSE(CONTROL!$C$9, $D$9, 100%, $F$9) + CHOOSE(CONTROL!$C$27, 0.0021, 0)</f>
        <v>88.640100000000004</v>
      </c>
      <c r="F600" s="14">
        <f>88.638 * CHOOSE(CONTROL!$C$9, $D$9, 100%, $F$9) + CHOOSE(CONTROL!$C$27, 0.0021, 0)</f>
        <v>88.640100000000004</v>
      </c>
      <c r="G600" s="14">
        <f>88.9094 * CHOOSE(CONTROL!$C$9, $D$9, 100%, $F$9) + CHOOSE(CONTROL!$C$27, 0.0021, 0)</f>
        <v>88.911500000000004</v>
      </c>
      <c r="H600" s="14">
        <f>88.7747 * CHOOSE(CONTROL!$C$9, $D$9, 100%, $F$9) + CHOOSE(CONTROL!$C$27, 0.0021, 0)</f>
        <v>88.776799999999994</v>
      </c>
      <c r="I600" s="14">
        <f>88.7747 * CHOOSE(CONTROL!$C$9, $D$9, 100%, $F$9) + CHOOSE(CONTROL!$C$27, 0.0021, 0)</f>
        <v>88.776799999999994</v>
      </c>
      <c r="J600" s="14">
        <f>88.7747 * CHOOSE(CONTROL!$C$9, $D$9, 100%, $F$9) + CHOOSE(CONTROL!$C$27, 0.0021, 0)</f>
        <v>88.776799999999994</v>
      </c>
      <c r="K600" s="14">
        <f>88.7747 * CHOOSE(CONTROL!$C$9, $D$9, 100%, $F$9) + CHOOSE(CONTROL!$C$27, 0.0021, 0)</f>
        <v>88.776799999999994</v>
      </c>
      <c r="L600" s="14"/>
    </row>
    <row r="601" spans="1:12" ht="15.75" x14ac:dyDescent="0.25">
      <c r="A601" s="31">
        <v>59230</v>
      </c>
      <c r="B601" s="14">
        <f>88.9653 * CHOOSE(CONTROL!$C$9, $D$9, 100%, $F$9) + CHOOSE(CONTROL!$C$27, 0.0021, 0)</f>
        <v>88.967399999999998</v>
      </c>
      <c r="C601" s="14">
        <f>88.5331 * CHOOSE(CONTROL!$C$9, $D$9, 100%, $F$9) + CHOOSE(CONTROL!$C$27, 0.0021, 0)</f>
        <v>88.535200000000003</v>
      </c>
      <c r="D601" s="14">
        <f>88.5331 * CHOOSE(CONTROL!$C$9, $D$9, 100%, $F$9) + CHOOSE(CONTROL!$C$27, 0.0021, 0)</f>
        <v>88.535200000000003</v>
      </c>
      <c r="E601" s="14">
        <f>88.3964 * CHOOSE(CONTROL!$C$9, $D$9, 100%, $F$9) + CHOOSE(CONTROL!$C$27, 0.0021, 0)</f>
        <v>88.398499999999999</v>
      </c>
      <c r="F601" s="14">
        <f>88.3964 * CHOOSE(CONTROL!$C$9, $D$9, 100%, $F$9) + CHOOSE(CONTROL!$C$27, 0.0021, 0)</f>
        <v>88.398499999999999</v>
      </c>
      <c r="G601" s="14">
        <f>88.6678 * CHOOSE(CONTROL!$C$9, $D$9, 100%, $F$9) + CHOOSE(CONTROL!$C$27, 0.0021, 0)</f>
        <v>88.669899999999998</v>
      </c>
      <c r="H601" s="14">
        <f>88.5331 * CHOOSE(CONTROL!$C$9, $D$9, 100%, $F$9) + CHOOSE(CONTROL!$C$27, 0.0021, 0)</f>
        <v>88.535200000000003</v>
      </c>
      <c r="I601" s="14">
        <f>88.5331 * CHOOSE(CONTROL!$C$9, $D$9, 100%, $F$9) + CHOOSE(CONTROL!$C$27, 0.0021, 0)</f>
        <v>88.535200000000003</v>
      </c>
      <c r="J601" s="14">
        <f>88.5331 * CHOOSE(CONTROL!$C$9, $D$9, 100%, $F$9) + CHOOSE(CONTROL!$C$27, 0.0021, 0)</f>
        <v>88.535200000000003</v>
      </c>
      <c r="K601" s="14">
        <f>88.5331 * CHOOSE(CONTROL!$C$9, $D$9, 100%, $F$9) + CHOOSE(CONTROL!$C$27, 0.0021, 0)</f>
        <v>88.535200000000003</v>
      </c>
      <c r="L601" s="14"/>
    </row>
    <row r="602" spans="1:12" ht="15.75" x14ac:dyDescent="0.25">
      <c r="A602" s="31">
        <v>59261</v>
      </c>
      <c r="B602" s="14">
        <f>93.5335 * CHOOSE(CONTROL!$C$9, $D$9, 100%, $F$9) + CHOOSE(CONTROL!$C$27, 0.0021, 0)</f>
        <v>93.535600000000002</v>
      </c>
      <c r="C602" s="14">
        <f>93.1012 * CHOOSE(CONTROL!$C$9, $D$9, 100%, $F$9) + CHOOSE(CONTROL!$C$27, 0.0021, 0)</f>
        <v>93.103300000000004</v>
      </c>
      <c r="D602" s="14">
        <f>93.1012 * CHOOSE(CONTROL!$C$9, $D$9, 100%, $F$9) + CHOOSE(CONTROL!$C$27, 0.0021, 0)</f>
        <v>93.103300000000004</v>
      </c>
      <c r="E602" s="14">
        <f>92.9646 * CHOOSE(CONTROL!$C$9, $D$9, 100%, $F$9) + CHOOSE(CONTROL!$C$27, 0.0021, 0)</f>
        <v>92.966700000000003</v>
      </c>
      <c r="F602" s="14">
        <f>92.9646 * CHOOSE(CONTROL!$C$9, $D$9, 100%, $F$9) + CHOOSE(CONTROL!$C$27, 0.0021, 0)</f>
        <v>92.966700000000003</v>
      </c>
      <c r="G602" s="14">
        <f>93.236 * CHOOSE(CONTROL!$C$9, $D$9, 100%, $F$9) + CHOOSE(CONTROL!$C$27, 0.0021, 0)</f>
        <v>93.238100000000003</v>
      </c>
      <c r="H602" s="14">
        <f>93.1012 * CHOOSE(CONTROL!$C$9, $D$9, 100%, $F$9) + CHOOSE(CONTROL!$C$27, 0.0021, 0)</f>
        <v>93.103300000000004</v>
      </c>
      <c r="I602" s="14">
        <f>93.1012 * CHOOSE(CONTROL!$C$9, $D$9, 100%, $F$9) + CHOOSE(CONTROL!$C$27, 0.0021, 0)</f>
        <v>93.103300000000004</v>
      </c>
      <c r="J602" s="14">
        <f>93.1012 * CHOOSE(CONTROL!$C$9, $D$9, 100%, $F$9) + CHOOSE(CONTROL!$C$27, 0.0021, 0)</f>
        <v>93.103300000000004</v>
      </c>
      <c r="K602" s="14">
        <f>93.1012 * CHOOSE(CONTROL!$C$9, $D$9, 100%, $F$9) + CHOOSE(CONTROL!$C$27, 0.0021, 0)</f>
        <v>93.103300000000004</v>
      </c>
      <c r="L602" s="14"/>
    </row>
    <row r="603" spans="1:12" ht="15.75" x14ac:dyDescent="0.25">
      <c r="A603" s="31">
        <v>59291</v>
      </c>
      <c r="B603" s="14">
        <f>99.4573 * CHOOSE(CONTROL!$C$9, $D$9, 100%, $F$9) + CHOOSE(CONTROL!$C$27, 0.0021, 0)</f>
        <v>99.459400000000002</v>
      </c>
      <c r="C603" s="14">
        <f>99.0251 * CHOOSE(CONTROL!$C$9, $D$9, 100%, $F$9) + CHOOSE(CONTROL!$C$27, 0.0021, 0)</f>
        <v>99.027199999999993</v>
      </c>
      <c r="D603" s="14">
        <f>99.0251 * CHOOSE(CONTROL!$C$9, $D$9, 100%, $F$9) + CHOOSE(CONTROL!$C$27, 0.0021, 0)</f>
        <v>99.027199999999993</v>
      </c>
      <c r="E603" s="14">
        <f>98.8884 * CHOOSE(CONTROL!$C$9, $D$9, 100%, $F$9) + CHOOSE(CONTROL!$C$27, 0.0021, 0)</f>
        <v>98.890500000000003</v>
      </c>
      <c r="F603" s="14">
        <f>98.8884 * CHOOSE(CONTROL!$C$9, $D$9, 100%, $F$9) + CHOOSE(CONTROL!$C$27, 0.0021, 0)</f>
        <v>98.890500000000003</v>
      </c>
      <c r="G603" s="14">
        <f>99.1598 * CHOOSE(CONTROL!$C$9, $D$9, 100%, $F$9) + CHOOSE(CONTROL!$C$27, 0.0021, 0)</f>
        <v>99.161900000000003</v>
      </c>
      <c r="H603" s="14">
        <f>99.0251 * CHOOSE(CONTROL!$C$9, $D$9, 100%, $F$9) + CHOOSE(CONTROL!$C$27, 0.0021, 0)</f>
        <v>99.027199999999993</v>
      </c>
      <c r="I603" s="14">
        <f>99.0251 * CHOOSE(CONTROL!$C$9, $D$9, 100%, $F$9) + CHOOSE(CONTROL!$C$27, 0.0021, 0)</f>
        <v>99.027199999999993</v>
      </c>
      <c r="J603" s="14">
        <f>99.0251 * CHOOSE(CONTROL!$C$9, $D$9, 100%, $F$9) + CHOOSE(CONTROL!$C$27, 0.0021, 0)</f>
        <v>99.027199999999993</v>
      </c>
      <c r="K603" s="14">
        <f>99.0251 * CHOOSE(CONTROL!$C$9, $D$9, 100%, $F$9) + CHOOSE(CONTROL!$C$27, 0.0021, 0)</f>
        <v>99.027199999999993</v>
      </c>
      <c r="L603" s="14"/>
    </row>
    <row r="604" spans="1:12" ht="15.75" x14ac:dyDescent="0.25">
      <c r="A604" s="31">
        <v>59322</v>
      </c>
      <c r="B604" s="14">
        <f>102.718 * CHOOSE(CONTROL!$C$9, $D$9, 100%, $F$9) + CHOOSE(CONTROL!$C$27, 0.0021, 0)</f>
        <v>102.7201</v>
      </c>
      <c r="C604" s="14">
        <f>102.2857 * CHOOSE(CONTROL!$C$9, $D$9, 100%, $F$9) + CHOOSE(CONTROL!$C$27, 0.0021, 0)</f>
        <v>102.2878</v>
      </c>
      <c r="D604" s="14">
        <f>102.2857 * CHOOSE(CONTROL!$C$9, $D$9, 100%, $F$9) + CHOOSE(CONTROL!$C$27, 0.0021, 0)</f>
        <v>102.2878</v>
      </c>
      <c r="E604" s="14">
        <f>102.1491 * CHOOSE(CONTROL!$C$9, $D$9, 100%, $F$9) + CHOOSE(CONTROL!$C$27, 0.0021, 0)</f>
        <v>102.1512</v>
      </c>
      <c r="F604" s="14">
        <f>102.1491 * CHOOSE(CONTROL!$C$9, $D$9, 100%, $F$9) + CHOOSE(CONTROL!$C$27, 0.0021, 0)</f>
        <v>102.1512</v>
      </c>
      <c r="G604" s="14">
        <f>102.4204 * CHOOSE(CONTROL!$C$9, $D$9, 100%, $F$9) + CHOOSE(CONTROL!$C$27, 0.0021, 0)</f>
        <v>102.4225</v>
      </c>
      <c r="H604" s="14">
        <f>102.2857 * CHOOSE(CONTROL!$C$9, $D$9, 100%, $F$9) + CHOOSE(CONTROL!$C$27, 0.0021, 0)</f>
        <v>102.2878</v>
      </c>
      <c r="I604" s="14">
        <f>102.2857 * CHOOSE(CONTROL!$C$9, $D$9, 100%, $F$9) + CHOOSE(CONTROL!$C$27, 0.0021, 0)</f>
        <v>102.2878</v>
      </c>
      <c r="J604" s="14">
        <f>102.2857 * CHOOSE(CONTROL!$C$9, $D$9, 100%, $F$9) + CHOOSE(CONTROL!$C$27, 0.0021, 0)</f>
        <v>102.2878</v>
      </c>
      <c r="K604" s="14">
        <f>102.2857 * CHOOSE(CONTROL!$C$9, $D$9, 100%, $F$9) + CHOOSE(CONTROL!$C$27, 0.0021, 0)</f>
        <v>102.2878</v>
      </c>
      <c r="L604" s="14"/>
    </row>
    <row r="605" spans="1:12" ht="15.75" x14ac:dyDescent="0.25">
      <c r="A605" s="31">
        <v>59352</v>
      </c>
      <c r="B605" s="14">
        <f>104.165 * CHOOSE(CONTROL!$C$9, $D$9, 100%, $F$9) + CHOOSE(CONTROL!$C$27, 0.0021, 0)</f>
        <v>104.1671</v>
      </c>
      <c r="C605" s="14">
        <f>103.7327 * CHOOSE(CONTROL!$C$9, $D$9, 100%, $F$9) + CHOOSE(CONTROL!$C$27, 0.0021, 0)</f>
        <v>103.73479999999999</v>
      </c>
      <c r="D605" s="14">
        <f>103.7327 * CHOOSE(CONTROL!$C$9, $D$9, 100%, $F$9) + CHOOSE(CONTROL!$C$27, 0.0021, 0)</f>
        <v>103.73479999999999</v>
      </c>
      <c r="E605" s="14">
        <f>103.5961 * CHOOSE(CONTROL!$C$9, $D$9, 100%, $F$9) + CHOOSE(CONTROL!$C$27, 0.0021, 0)</f>
        <v>103.59820000000001</v>
      </c>
      <c r="F605" s="14">
        <f>103.5961 * CHOOSE(CONTROL!$C$9, $D$9, 100%, $F$9) + CHOOSE(CONTROL!$C$27, 0.0021, 0)</f>
        <v>103.59820000000001</v>
      </c>
      <c r="G605" s="14">
        <f>103.8675 * CHOOSE(CONTROL!$C$9, $D$9, 100%, $F$9) + CHOOSE(CONTROL!$C$27, 0.0021, 0)</f>
        <v>103.86960000000001</v>
      </c>
      <c r="H605" s="14">
        <f>103.7327 * CHOOSE(CONTROL!$C$9, $D$9, 100%, $F$9) + CHOOSE(CONTROL!$C$27, 0.0021, 0)</f>
        <v>103.73479999999999</v>
      </c>
      <c r="I605" s="14">
        <f>103.7327 * CHOOSE(CONTROL!$C$9, $D$9, 100%, $F$9) + CHOOSE(CONTROL!$C$27, 0.0021, 0)</f>
        <v>103.73479999999999</v>
      </c>
      <c r="J605" s="14">
        <f>103.7327 * CHOOSE(CONTROL!$C$9, $D$9, 100%, $F$9) + CHOOSE(CONTROL!$C$27, 0.0021, 0)</f>
        <v>103.73479999999999</v>
      </c>
      <c r="K605" s="14">
        <f>103.7327 * CHOOSE(CONTROL!$C$9, $D$9, 100%, $F$9) + CHOOSE(CONTROL!$C$27, 0.0021, 0)</f>
        <v>103.73479999999999</v>
      </c>
      <c r="L605" s="14"/>
    </row>
    <row r="606" spans="1:12" ht="15.75" x14ac:dyDescent="0.25">
      <c r="A606" s="31">
        <v>59383</v>
      </c>
      <c r="B606" s="14">
        <f>103.6886 * CHOOSE(CONTROL!$C$9, $D$9, 100%, $F$9) + CHOOSE(CONTROL!$C$27, 0.0021, 0)</f>
        <v>103.69069999999999</v>
      </c>
      <c r="C606" s="14">
        <f>103.2563 * CHOOSE(CONTROL!$C$9, $D$9, 100%, $F$9) + CHOOSE(CONTROL!$C$27, 0.0021, 0)</f>
        <v>103.25839999999999</v>
      </c>
      <c r="D606" s="14">
        <f>103.2563 * CHOOSE(CONTROL!$C$9, $D$9, 100%, $F$9) + CHOOSE(CONTROL!$C$27, 0.0021, 0)</f>
        <v>103.25839999999999</v>
      </c>
      <c r="E606" s="14">
        <f>103.1197 * CHOOSE(CONTROL!$C$9, $D$9, 100%, $F$9) + CHOOSE(CONTROL!$C$27, 0.0021, 0)</f>
        <v>103.12179999999999</v>
      </c>
      <c r="F606" s="14">
        <f>103.1197 * CHOOSE(CONTROL!$C$9, $D$9, 100%, $F$9) + CHOOSE(CONTROL!$C$27, 0.0021, 0)</f>
        <v>103.12179999999999</v>
      </c>
      <c r="G606" s="14">
        <f>103.391 * CHOOSE(CONTROL!$C$9, $D$9, 100%, $F$9) + CHOOSE(CONTROL!$C$27, 0.0021, 0)</f>
        <v>103.3931</v>
      </c>
      <c r="H606" s="14">
        <f>103.2563 * CHOOSE(CONTROL!$C$9, $D$9, 100%, $F$9) + CHOOSE(CONTROL!$C$27, 0.0021, 0)</f>
        <v>103.25839999999999</v>
      </c>
      <c r="I606" s="14">
        <f>103.2563 * CHOOSE(CONTROL!$C$9, $D$9, 100%, $F$9) + CHOOSE(CONTROL!$C$27, 0.0021, 0)</f>
        <v>103.25839999999999</v>
      </c>
      <c r="J606" s="14">
        <f>103.2563 * CHOOSE(CONTROL!$C$9, $D$9, 100%, $F$9) + CHOOSE(CONTROL!$C$27, 0.0021, 0)</f>
        <v>103.25839999999999</v>
      </c>
      <c r="K606" s="14">
        <f>103.2563 * CHOOSE(CONTROL!$C$9, $D$9, 100%, $F$9) + CHOOSE(CONTROL!$C$27, 0.0021, 0)</f>
        <v>103.25839999999999</v>
      </c>
      <c r="L606" s="14"/>
    </row>
    <row r="607" spans="1:12" ht="15.75" x14ac:dyDescent="0.25">
      <c r="A607" s="31">
        <v>59414</v>
      </c>
      <c r="B607" s="14">
        <f>101.3281 * CHOOSE(CONTROL!$C$9, $D$9, 100%, $F$9) + CHOOSE(CONTROL!$C$27, 0.0021, 0)</f>
        <v>101.3302</v>
      </c>
      <c r="C607" s="14">
        <f>100.8959 * CHOOSE(CONTROL!$C$9, $D$9, 100%, $F$9) + CHOOSE(CONTROL!$C$27, 0.0021, 0)</f>
        <v>100.898</v>
      </c>
      <c r="D607" s="14">
        <f>100.8959 * CHOOSE(CONTROL!$C$9, $D$9, 100%, $F$9) + CHOOSE(CONTROL!$C$27, 0.0021, 0)</f>
        <v>100.898</v>
      </c>
      <c r="E607" s="14">
        <f>100.7592 * CHOOSE(CONTROL!$C$9, $D$9, 100%, $F$9) + CHOOSE(CONTROL!$C$27, 0.0021, 0)</f>
        <v>100.76130000000001</v>
      </c>
      <c r="F607" s="14">
        <f>100.7592 * CHOOSE(CONTROL!$C$9, $D$9, 100%, $F$9) + CHOOSE(CONTROL!$C$27, 0.0021, 0)</f>
        <v>100.76130000000001</v>
      </c>
      <c r="G607" s="14">
        <f>101.0306 * CHOOSE(CONTROL!$C$9, $D$9, 100%, $F$9) + CHOOSE(CONTROL!$C$27, 0.0021, 0)</f>
        <v>101.03270000000001</v>
      </c>
      <c r="H607" s="14">
        <f>100.8959 * CHOOSE(CONTROL!$C$9, $D$9, 100%, $F$9) + CHOOSE(CONTROL!$C$27, 0.0021, 0)</f>
        <v>100.898</v>
      </c>
      <c r="I607" s="14">
        <f>100.8959 * CHOOSE(CONTROL!$C$9, $D$9, 100%, $F$9) + CHOOSE(CONTROL!$C$27, 0.0021, 0)</f>
        <v>100.898</v>
      </c>
      <c r="J607" s="14">
        <f>100.8959 * CHOOSE(CONTROL!$C$9, $D$9, 100%, $F$9) + CHOOSE(CONTROL!$C$27, 0.0021, 0)</f>
        <v>100.898</v>
      </c>
      <c r="K607" s="14">
        <f>100.8959 * CHOOSE(CONTROL!$C$9, $D$9, 100%, $F$9) + CHOOSE(CONTROL!$C$27, 0.0021, 0)</f>
        <v>100.898</v>
      </c>
      <c r="L607" s="14"/>
    </row>
    <row r="608" spans="1:12" ht="15.75" x14ac:dyDescent="0.25">
      <c r="A608" s="31">
        <v>59444</v>
      </c>
      <c r="B608" s="14">
        <f>98.0363 * CHOOSE(CONTROL!$C$9, $D$9, 100%, $F$9) + CHOOSE(CONTROL!$C$27, 0.0021, 0)</f>
        <v>98.038399999999996</v>
      </c>
      <c r="C608" s="14">
        <f>97.6041 * CHOOSE(CONTROL!$C$9, $D$9, 100%, $F$9) + CHOOSE(CONTROL!$C$27, 0.0021, 0)</f>
        <v>97.606200000000001</v>
      </c>
      <c r="D608" s="14">
        <f>97.6041 * CHOOSE(CONTROL!$C$9, $D$9, 100%, $F$9) + CHOOSE(CONTROL!$C$27, 0.0021, 0)</f>
        <v>97.606200000000001</v>
      </c>
      <c r="E608" s="14">
        <f>97.4674 * CHOOSE(CONTROL!$C$9, $D$9, 100%, $F$9) + CHOOSE(CONTROL!$C$27, 0.0021, 0)</f>
        <v>97.469499999999996</v>
      </c>
      <c r="F608" s="14">
        <f>97.4674 * CHOOSE(CONTROL!$C$9, $D$9, 100%, $F$9) + CHOOSE(CONTROL!$C$27, 0.0021, 0)</f>
        <v>97.469499999999996</v>
      </c>
      <c r="G608" s="14">
        <f>97.7388 * CHOOSE(CONTROL!$C$9, $D$9, 100%, $F$9) + CHOOSE(CONTROL!$C$27, 0.0021, 0)</f>
        <v>97.740899999999996</v>
      </c>
      <c r="H608" s="14">
        <f>97.6041 * CHOOSE(CONTROL!$C$9, $D$9, 100%, $F$9) + CHOOSE(CONTROL!$C$27, 0.0021, 0)</f>
        <v>97.606200000000001</v>
      </c>
      <c r="I608" s="14">
        <f>97.6041 * CHOOSE(CONTROL!$C$9, $D$9, 100%, $F$9) + CHOOSE(CONTROL!$C$27, 0.0021, 0)</f>
        <v>97.606200000000001</v>
      </c>
      <c r="J608" s="14">
        <f>97.6041 * CHOOSE(CONTROL!$C$9, $D$9, 100%, $F$9) + CHOOSE(CONTROL!$C$27, 0.0021, 0)</f>
        <v>97.606200000000001</v>
      </c>
      <c r="K608" s="14">
        <f>97.6041 * CHOOSE(CONTROL!$C$9, $D$9, 100%, $F$9) + CHOOSE(CONTROL!$C$27, 0.0021, 0)</f>
        <v>97.606200000000001</v>
      </c>
      <c r="L608" s="14"/>
    </row>
    <row r="609" spans="1:12" ht="15.75" x14ac:dyDescent="0.25">
      <c r="A609" s="31">
        <v>59475</v>
      </c>
      <c r="B609" s="14">
        <f>94.7254 * CHOOSE(CONTROL!$C$9, $D$9, 100%, $F$9) + CHOOSE(CONTROL!$C$27, 0.0021, 0)</f>
        <v>94.727499999999992</v>
      </c>
      <c r="C609" s="14">
        <f>94.2932 * CHOOSE(CONTROL!$C$9, $D$9, 100%, $F$9) + CHOOSE(CONTROL!$C$27, 0.0021, 0)</f>
        <v>94.295299999999997</v>
      </c>
      <c r="D609" s="14">
        <f>94.2932 * CHOOSE(CONTROL!$C$9, $D$9, 100%, $F$9) + CHOOSE(CONTROL!$C$27, 0.0021, 0)</f>
        <v>94.295299999999997</v>
      </c>
      <c r="E609" s="14">
        <f>94.1565 * CHOOSE(CONTROL!$C$9, $D$9, 100%, $F$9) + CHOOSE(CONTROL!$C$27, 0.0021, 0)</f>
        <v>94.158599999999993</v>
      </c>
      <c r="F609" s="14">
        <f>94.1565 * CHOOSE(CONTROL!$C$9, $D$9, 100%, $F$9) + CHOOSE(CONTROL!$C$27, 0.0021, 0)</f>
        <v>94.158599999999993</v>
      </c>
      <c r="G609" s="14">
        <f>94.4279 * CHOOSE(CONTROL!$C$9, $D$9, 100%, $F$9) + CHOOSE(CONTROL!$C$27, 0.0021, 0)</f>
        <v>94.429999999999993</v>
      </c>
      <c r="H609" s="14">
        <f>94.2932 * CHOOSE(CONTROL!$C$9, $D$9, 100%, $F$9) + CHOOSE(CONTROL!$C$27, 0.0021, 0)</f>
        <v>94.295299999999997</v>
      </c>
      <c r="I609" s="14">
        <f>94.2932 * CHOOSE(CONTROL!$C$9, $D$9, 100%, $F$9) + CHOOSE(CONTROL!$C$27, 0.0021, 0)</f>
        <v>94.295299999999997</v>
      </c>
      <c r="J609" s="14">
        <f>94.2932 * CHOOSE(CONTROL!$C$9, $D$9, 100%, $F$9) + CHOOSE(CONTROL!$C$27, 0.0021, 0)</f>
        <v>94.295299999999997</v>
      </c>
      <c r="K609" s="14">
        <f>94.2932 * CHOOSE(CONTROL!$C$9, $D$9, 100%, $F$9) + CHOOSE(CONTROL!$C$27, 0.0021, 0)</f>
        <v>94.295299999999997</v>
      </c>
      <c r="L609" s="14"/>
    </row>
    <row r="610" spans="1:12" ht="15.75" x14ac:dyDescent="0.25">
      <c r="A610" s="31">
        <v>59505</v>
      </c>
      <c r="B610" s="14">
        <f>94.0668 * CHOOSE(CONTROL!$C$9, $D$9, 100%, $F$9) + CHOOSE(CONTROL!$C$27, 0.0021, 0)</f>
        <v>94.068899999999999</v>
      </c>
      <c r="C610" s="14">
        <f>93.6345 * CHOOSE(CONTROL!$C$9, $D$9, 100%, $F$9) + CHOOSE(CONTROL!$C$27, 0.0021, 0)</f>
        <v>93.636600000000001</v>
      </c>
      <c r="D610" s="14">
        <f>93.6345 * CHOOSE(CONTROL!$C$9, $D$9, 100%, $F$9) + CHOOSE(CONTROL!$C$27, 0.0021, 0)</f>
        <v>93.636600000000001</v>
      </c>
      <c r="E610" s="14">
        <f>93.4979 * CHOOSE(CONTROL!$C$9, $D$9, 100%, $F$9) + CHOOSE(CONTROL!$C$27, 0.0021, 0)</f>
        <v>93.5</v>
      </c>
      <c r="F610" s="14">
        <f>93.4979 * CHOOSE(CONTROL!$C$9, $D$9, 100%, $F$9) + CHOOSE(CONTROL!$C$27, 0.0021, 0)</f>
        <v>93.5</v>
      </c>
      <c r="G610" s="14">
        <f>93.7693 * CHOOSE(CONTROL!$C$9, $D$9, 100%, $F$9) + CHOOSE(CONTROL!$C$27, 0.0021, 0)</f>
        <v>93.7714</v>
      </c>
      <c r="H610" s="14">
        <f>93.6345 * CHOOSE(CONTROL!$C$9, $D$9, 100%, $F$9) + CHOOSE(CONTROL!$C$27, 0.0021, 0)</f>
        <v>93.636600000000001</v>
      </c>
      <c r="I610" s="14">
        <f>93.6345 * CHOOSE(CONTROL!$C$9, $D$9, 100%, $F$9) + CHOOSE(CONTROL!$C$27, 0.0021, 0)</f>
        <v>93.636600000000001</v>
      </c>
      <c r="J610" s="14">
        <f>93.6345 * CHOOSE(CONTROL!$C$9, $D$9, 100%, $F$9) + CHOOSE(CONTROL!$C$27, 0.0021, 0)</f>
        <v>93.636600000000001</v>
      </c>
      <c r="K610" s="14">
        <f>93.6345 * CHOOSE(CONTROL!$C$9, $D$9, 100%, $F$9) + CHOOSE(CONTROL!$C$27, 0.0021, 0)</f>
        <v>93.636600000000001</v>
      </c>
      <c r="L610" s="14"/>
    </row>
    <row r="611" spans="1:12" ht="15.75" x14ac:dyDescent="0.25">
      <c r="A611" s="31">
        <v>59536</v>
      </c>
      <c r="B611" s="14">
        <f>91.3434 * CHOOSE(CONTROL!$C$9, $D$9, 100%, $F$9) + CHOOSE(CONTROL!$C$27, 0.0021, 0)</f>
        <v>91.345500000000001</v>
      </c>
      <c r="C611" s="14">
        <f>90.9111 * CHOOSE(CONTROL!$C$9, $D$9, 100%, $F$9) + CHOOSE(CONTROL!$C$27, 0.0021, 0)</f>
        <v>90.913200000000003</v>
      </c>
      <c r="D611" s="14">
        <f>90.9111 * CHOOSE(CONTROL!$C$9, $D$9, 100%, $F$9) + CHOOSE(CONTROL!$C$27, 0.0021, 0)</f>
        <v>90.913200000000003</v>
      </c>
      <c r="E611" s="14">
        <f>90.7745 * CHOOSE(CONTROL!$C$9, $D$9, 100%, $F$9) + CHOOSE(CONTROL!$C$27, 0.0021, 0)</f>
        <v>90.776600000000002</v>
      </c>
      <c r="F611" s="14">
        <f>90.7745 * CHOOSE(CONTROL!$C$9, $D$9, 100%, $F$9) + CHOOSE(CONTROL!$C$27, 0.0021, 0)</f>
        <v>90.776600000000002</v>
      </c>
      <c r="G611" s="14">
        <f>91.0458 * CHOOSE(CONTROL!$C$9, $D$9, 100%, $F$9) + CHOOSE(CONTROL!$C$27, 0.0021, 0)</f>
        <v>91.047899999999998</v>
      </c>
      <c r="H611" s="14">
        <f>90.9111 * CHOOSE(CONTROL!$C$9, $D$9, 100%, $F$9) + CHOOSE(CONTROL!$C$27, 0.0021, 0)</f>
        <v>90.913200000000003</v>
      </c>
      <c r="I611" s="14">
        <f>90.9111 * CHOOSE(CONTROL!$C$9, $D$9, 100%, $F$9) + CHOOSE(CONTROL!$C$27, 0.0021, 0)</f>
        <v>90.913200000000003</v>
      </c>
      <c r="J611" s="14">
        <f>90.9111 * CHOOSE(CONTROL!$C$9, $D$9, 100%, $F$9) + CHOOSE(CONTROL!$C$27, 0.0021, 0)</f>
        <v>90.913200000000003</v>
      </c>
      <c r="K611" s="14">
        <f>90.9111 * CHOOSE(CONTROL!$C$9, $D$9, 100%, $F$9) + CHOOSE(CONTROL!$C$27, 0.0021, 0)</f>
        <v>90.913200000000003</v>
      </c>
      <c r="L611" s="14"/>
    </row>
    <row r="612" spans="1:12" ht="15.75" x14ac:dyDescent="0.25">
      <c r="A612" s="31">
        <v>59567</v>
      </c>
      <c r="B612" s="14">
        <f>90.8132 * CHOOSE(CONTROL!$C$9, $D$9, 100%, $F$9) + CHOOSE(CONTROL!$C$27, 0.0021, 0)</f>
        <v>90.815299999999993</v>
      </c>
      <c r="C612" s="14">
        <f>90.3809 * CHOOSE(CONTROL!$C$9, $D$9, 100%, $F$9) + CHOOSE(CONTROL!$C$27, 0.0021, 0)</f>
        <v>90.382999999999996</v>
      </c>
      <c r="D612" s="14">
        <f>90.3809 * CHOOSE(CONTROL!$C$9, $D$9, 100%, $F$9) + CHOOSE(CONTROL!$C$27, 0.0021, 0)</f>
        <v>90.382999999999996</v>
      </c>
      <c r="E612" s="14">
        <f>90.2443 * CHOOSE(CONTROL!$C$9, $D$9, 100%, $F$9) + CHOOSE(CONTROL!$C$27, 0.0021, 0)</f>
        <v>90.246399999999994</v>
      </c>
      <c r="F612" s="14">
        <f>90.2443 * CHOOSE(CONTROL!$C$9, $D$9, 100%, $F$9) + CHOOSE(CONTROL!$C$27, 0.0021, 0)</f>
        <v>90.246399999999994</v>
      </c>
      <c r="G612" s="14">
        <f>90.5156 * CHOOSE(CONTROL!$C$9, $D$9, 100%, $F$9) + CHOOSE(CONTROL!$C$27, 0.0021, 0)</f>
        <v>90.517700000000005</v>
      </c>
      <c r="H612" s="14">
        <f>90.3809 * CHOOSE(CONTROL!$C$9, $D$9, 100%, $F$9) + CHOOSE(CONTROL!$C$27, 0.0021, 0)</f>
        <v>90.382999999999996</v>
      </c>
      <c r="I612" s="14">
        <f>90.3809 * CHOOSE(CONTROL!$C$9, $D$9, 100%, $F$9) + CHOOSE(CONTROL!$C$27, 0.0021, 0)</f>
        <v>90.382999999999996</v>
      </c>
      <c r="J612" s="14">
        <f>90.3809 * CHOOSE(CONTROL!$C$9, $D$9, 100%, $F$9) + CHOOSE(CONTROL!$C$27, 0.0021, 0)</f>
        <v>90.382999999999996</v>
      </c>
      <c r="K612" s="14">
        <f>90.3809 * CHOOSE(CONTROL!$C$9, $D$9, 100%, $F$9) + CHOOSE(CONTROL!$C$27, 0.0021, 0)</f>
        <v>90.382999999999996</v>
      </c>
      <c r="L612" s="14"/>
    </row>
    <row r="613" spans="1:12" ht="15.75" x14ac:dyDescent="0.25">
      <c r="A613" s="31">
        <v>59595</v>
      </c>
      <c r="B613" s="14">
        <f>90.5671 * CHOOSE(CONTROL!$C$9, $D$9, 100%, $F$9) + CHOOSE(CONTROL!$C$27, 0.0021, 0)</f>
        <v>90.569199999999995</v>
      </c>
      <c r="C613" s="14">
        <f>90.1349 * CHOOSE(CONTROL!$C$9, $D$9, 100%, $F$9) + CHOOSE(CONTROL!$C$27, 0.0021, 0)</f>
        <v>90.137</v>
      </c>
      <c r="D613" s="14">
        <f>90.1349 * CHOOSE(CONTROL!$C$9, $D$9, 100%, $F$9) + CHOOSE(CONTROL!$C$27, 0.0021, 0)</f>
        <v>90.137</v>
      </c>
      <c r="E613" s="14">
        <f>89.9982 * CHOOSE(CONTROL!$C$9, $D$9, 100%, $F$9) + CHOOSE(CONTROL!$C$27, 0.0021, 0)</f>
        <v>90.000299999999996</v>
      </c>
      <c r="F613" s="14">
        <f>89.9982 * CHOOSE(CONTROL!$C$9, $D$9, 100%, $F$9) + CHOOSE(CONTROL!$C$27, 0.0021, 0)</f>
        <v>90.000299999999996</v>
      </c>
      <c r="G613" s="14">
        <f>90.2696 * CHOOSE(CONTROL!$C$9, $D$9, 100%, $F$9) + CHOOSE(CONTROL!$C$27, 0.0021, 0)</f>
        <v>90.271699999999996</v>
      </c>
      <c r="H613" s="14">
        <f>90.1349 * CHOOSE(CONTROL!$C$9, $D$9, 100%, $F$9) + CHOOSE(CONTROL!$C$27, 0.0021, 0)</f>
        <v>90.137</v>
      </c>
      <c r="I613" s="14">
        <f>90.1349 * CHOOSE(CONTROL!$C$9, $D$9, 100%, $F$9) + CHOOSE(CONTROL!$C$27, 0.0021, 0)</f>
        <v>90.137</v>
      </c>
      <c r="J613" s="14">
        <f>90.1349 * CHOOSE(CONTROL!$C$9, $D$9, 100%, $F$9) + CHOOSE(CONTROL!$C$27, 0.0021, 0)</f>
        <v>90.137</v>
      </c>
      <c r="K613" s="14">
        <f>90.1349 * CHOOSE(CONTROL!$C$9, $D$9, 100%, $F$9) + CHOOSE(CONTROL!$C$27, 0.0021, 0)</f>
        <v>90.137</v>
      </c>
      <c r="L613" s="14"/>
    </row>
    <row r="614" spans="1:12" ht="15.75" x14ac:dyDescent="0.25">
      <c r="A614" s="31">
        <v>59626</v>
      </c>
      <c r="B614" s="14">
        <f>95.2197 * CHOOSE(CONTROL!$C$9, $D$9, 100%, $F$9) + CHOOSE(CONTROL!$C$27, 0.0021, 0)</f>
        <v>95.221800000000002</v>
      </c>
      <c r="C614" s="14">
        <f>94.7874 * CHOOSE(CONTROL!$C$9, $D$9, 100%, $F$9) + CHOOSE(CONTROL!$C$27, 0.0021, 0)</f>
        <v>94.789500000000004</v>
      </c>
      <c r="D614" s="14">
        <f>94.7874 * CHOOSE(CONTROL!$C$9, $D$9, 100%, $F$9) + CHOOSE(CONTROL!$C$27, 0.0021, 0)</f>
        <v>94.789500000000004</v>
      </c>
      <c r="E614" s="14">
        <f>94.6508 * CHOOSE(CONTROL!$C$9, $D$9, 100%, $F$9) + CHOOSE(CONTROL!$C$27, 0.0021, 0)</f>
        <v>94.652900000000002</v>
      </c>
      <c r="F614" s="14">
        <f>94.6508 * CHOOSE(CONTROL!$C$9, $D$9, 100%, $F$9) + CHOOSE(CONTROL!$C$27, 0.0021, 0)</f>
        <v>94.652900000000002</v>
      </c>
      <c r="G614" s="14">
        <f>94.9222 * CHOOSE(CONTROL!$C$9, $D$9, 100%, $F$9) + CHOOSE(CONTROL!$C$27, 0.0021, 0)</f>
        <v>94.924300000000002</v>
      </c>
      <c r="H614" s="14">
        <f>94.7874 * CHOOSE(CONTROL!$C$9, $D$9, 100%, $F$9) + CHOOSE(CONTROL!$C$27, 0.0021, 0)</f>
        <v>94.789500000000004</v>
      </c>
      <c r="I614" s="14">
        <f>94.7874 * CHOOSE(CONTROL!$C$9, $D$9, 100%, $F$9) + CHOOSE(CONTROL!$C$27, 0.0021, 0)</f>
        <v>94.789500000000004</v>
      </c>
      <c r="J614" s="14">
        <f>94.7874 * CHOOSE(CONTROL!$C$9, $D$9, 100%, $F$9) + CHOOSE(CONTROL!$C$27, 0.0021, 0)</f>
        <v>94.789500000000004</v>
      </c>
      <c r="K614" s="14">
        <f>94.7874 * CHOOSE(CONTROL!$C$9, $D$9, 100%, $F$9) + CHOOSE(CONTROL!$C$27, 0.0021, 0)</f>
        <v>94.789500000000004</v>
      </c>
      <c r="L614" s="14"/>
    </row>
    <row r="615" spans="1:12" ht="15.75" x14ac:dyDescent="0.25">
      <c r="A615" s="31">
        <v>59656</v>
      </c>
      <c r="B615" s="14">
        <f>101.253 * CHOOSE(CONTROL!$C$9, $D$9, 100%, $F$9) + CHOOSE(CONTROL!$C$27, 0.0021, 0)</f>
        <v>101.2551</v>
      </c>
      <c r="C615" s="14">
        <f>100.8207 * CHOOSE(CONTROL!$C$9, $D$9, 100%, $F$9) + CHOOSE(CONTROL!$C$27, 0.0021, 0)</f>
        <v>100.8228</v>
      </c>
      <c r="D615" s="14">
        <f>100.8207 * CHOOSE(CONTROL!$C$9, $D$9, 100%, $F$9) + CHOOSE(CONTROL!$C$27, 0.0021, 0)</f>
        <v>100.8228</v>
      </c>
      <c r="E615" s="14">
        <f>100.6841 * CHOOSE(CONTROL!$C$9, $D$9, 100%, $F$9) + CHOOSE(CONTROL!$C$27, 0.0021, 0)</f>
        <v>100.6862</v>
      </c>
      <c r="F615" s="14">
        <f>100.6841 * CHOOSE(CONTROL!$C$9, $D$9, 100%, $F$9) + CHOOSE(CONTROL!$C$27, 0.0021, 0)</f>
        <v>100.6862</v>
      </c>
      <c r="G615" s="14">
        <f>100.9555 * CHOOSE(CONTROL!$C$9, $D$9, 100%, $F$9) + CHOOSE(CONTROL!$C$27, 0.0021, 0)</f>
        <v>100.9576</v>
      </c>
      <c r="H615" s="14">
        <f>100.8207 * CHOOSE(CONTROL!$C$9, $D$9, 100%, $F$9) + CHOOSE(CONTROL!$C$27, 0.0021, 0)</f>
        <v>100.8228</v>
      </c>
      <c r="I615" s="14">
        <f>100.8207 * CHOOSE(CONTROL!$C$9, $D$9, 100%, $F$9) + CHOOSE(CONTROL!$C$27, 0.0021, 0)</f>
        <v>100.8228</v>
      </c>
      <c r="J615" s="14">
        <f>100.8207 * CHOOSE(CONTROL!$C$9, $D$9, 100%, $F$9) + CHOOSE(CONTROL!$C$27, 0.0021, 0)</f>
        <v>100.8228</v>
      </c>
      <c r="K615" s="14">
        <f>100.8207 * CHOOSE(CONTROL!$C$9, $D$9, 100%, $F$9) + CHOOSE(CONTROL!$C$27, 0.0021, 0)</f>
        <v>100.8228</v>
      </c>
      <c r="L615" s="14"/>
    </row>
    <row r="616" spans="1:12" ht="15.75" x14ac:dyDescent="0.25">
      <c r="A616" s="31">
        <v>59687</v>
      </c>
      <c r="B616" s="14">
        <f>104.5739 * CHOOSE(CONTROL!$C$9, $D$9, 100%, $F$9) + CHOOSE(CONTROL!$C$27, 0.0021, 0)</f>
        <v>104.57599999999999</v>
      </c>
      <c r="C616" s="14">
        <f>104.1417 * CHOOSE(CONTROL!$C$9, $D$9, 100%, $F$9) + CHOOSE(CONTROL!$C$27, 0.0021, 0)</f>
        <v>104.1438</v>
      </c>
      <c r="D616" s="14">
        <f>104.1417 * CHOOSE(CONTROL!$C$9, $D$9, 100%, $F$9) + CHOOSE(CONTROL!$C$27, 0.0021, 0)</f>
        <v>104.1438</v>
      </c>
      <c r="E616" s="14">
        <f>104.005 * CHOOSE(CONTROL!$C$9, $D$9, 100%, $F$9) + CHOOSE(CONTROL!$C$27, 0.0021, 0)</f>
        <v>104.00709999999999</v>
      </c>
      <c r="F616" s="14">
        <f>104.005 * CHOOSE(CONTROL!$C$9, $D$9, 100%, $F$9) + CHOOSE(CONTROL!$C$27, 0.0021, 0)</f>
        <v>104.00709999999999</v>
      </c>
      <c r="G616" s="14">
        <f>104.2764 * CHOOSE(CONTROL!$C$9, $D$9, 100%, $F$9) + CHOOSE(CONTROL!$C$27, 0.0021, 0)</f>
        <v>104.27849999999999</v>
      </c>
      <c r="H616" s="14">
        <f>104.1417 * CHOOSE(CONTROL!$C$9, $D$9, 100%, $F$9) + CHOOSE(CONTROL!$C$27, 0.0021, 0)</f>
        <v>104.1438</v>
      </c>
      <c r="I616" s="14">
        <f>104.1417 * CHOOSE(CONTROL!$C$9, $D$9, 100%, $F$9) + CHOOSE(CONTROL!$C$27, 0.0021, 0)</f>
        <v>104.1438</v>
      </c>
      <c r="J616" s="14">
        <f>104.1417 * CHOOSE(CONTROL!$C$9, $D$9, 100%, $F$9) + CHOOSE(CONTROL!$C$27, 0.0021, 0)</f>
        <v>104.1438</v>
      </c>
      <c r="K616" s="14">
        <f>104.1417 * CHOOSE(CONTROL!$C$9, $D$9, 100%, $F$9) + CHOOSE(CONTROL!$C$27, 0.0021, 0)</f>
        <v>104.1438</v>
      </c>
      <c r="L616" s="14"/>
    </row>
    <row r="617" spans="1:12" ht="15.75" x14ac:dyDescent="0.25">
      <c r="A617" s="31">
        <v>59717</v>
      </c>
      <c r="B617" s="14">
        <f>106.0477 * CHOOSE(CONTROL!$C$9, $D$9, 100%, $F$9) + CHOOSE(CONTROL!$C$27, 0.0021, 0)</f>
        <v>106.0498</v>
      </c>
      <c r="C617" s="14">
        <f>105.6154 * CHOOSE(CONTROL!$C$9, $D$9, 100%, $F$9) + CHOOSE(CONTROL!$C$27, 0.0021, 0)</f>
        <v>105.61749999999999</v>
      </c>
      <c r="D617" s="14">
        <f>105.6154 * CHOOSE(CONTROL!$C$9, $D$9, 100%, $F$9) + CHOOSE(CONTROL!$C$27, 0.0021, 0)</f>
        <v>105.61749999999999</v>
      </c>
      <c r="E617" s="14">
        <f>105.4788 * CHOOSE(CONTROL!$C$9, $D$9, 100%, $F$9) + CHOOSE(CONTROL!$C$27, 0.0021, 0)</f>
        <v>105.48090000000001</v>
      </c>
      <c r="F617" s="14">
        <f>105.4788 * CHOOSE(CONTROL!$C$9, $D$9, 100%, $F$9) + CHOOSE(CONTROL!$C$27, 0.0021, 0)</f>
        <v>105.48090000000001</v>
      </c>
      <c r="G617" s="14">
        <f>105.7501 * CHOOSE(CONTROL!$C$9, $D$9, 100%, $F$9) + CHOOSE(CONTROL!$C$27, 0.0021, 0)</f>
        <v>105.7522</v>
      </c>
      <c r="H617" s="14">
        <f>105.6154 * CHOOSE(CONTROL!$C$9, $D$9, 100%, $F$9) + CHOOSE(CONTROL!$C$27, 0.0021, 0)</f>
        <v>105.61749999999999</v>
      </c>
      <c r="I617" s="14">
        <f>105.6154 * CHOOSE(CONTROL!$C$9, $D$9, 100%, $F$9) + CHOOSE(CONTROL!$C$27, 0.0021, 0)</f>
        <v>105.61749999999999</v>
      </c>
      <c r="J617" s="14">
        <f>105.6154 * CHOOSE(CONTROL!$C$9, $D$9, 100%, $F$9) + CHOOSE(CONTROL!$C$27, 0.0021, 0)</f>
        <v>105.61749999999999</v>
      </c>
      <c r="K617" s="14">
        <f>105.6154 * CHOOSE(CONTROL!$C$9, $D$9, 100%, $F$9) + CHOOSE(CONTROL!$C$27, 0.0021, 0)</f>
        <v>105.61749999999999</v>
      </c>
      <c r="L617" s="14"/>
    </row>
    <row r="618" spans="1:12" ht="15.75" x14ac:dyDescent="0.25">
      <c r="A618" s="31">
        <v>59748</v>
      </c>
      <c r="B618" s="14">
        <f>105.5624 * CHOOSE(CONTROL!$C$9, $D$9, 100%, $F$9) + CHOOSE(CONTROL!$C$27, 0.0021, 0)</f>
        <v>105.5645</v>
      </c>
      <c r="C618" s="14">
        <f>105.1302 * CHOOSE(CONTROL!$C$9, $D$9, 100%, $F$9) + CHOOSE(CONTROL!$C$27, 0.0021, 0)</f>
        <v>105.1323</v>
      </c>
      <c r="D618" s="14">
        <f>105.1302 * CHOOSE(CONTROL!$C$9, $D$9, 100%, $F$9) + CHOOSE(CONTROL!$C$27, 0.0021, 0)</f>
        <v>105.1323</v>
      </c>
      <c r="E618" s="14">
        <f>104.9935 * CHOOSE(CONTROL!$C$9, $D$9, 100%, $F$9) + CHOOSE(CONTROL!$C$27, 0.0021, 0)</f>
        <v>104.9956</v>
      </c>
      <c r="F618" s="14">
        <f>104.9935 * CHOOSE(CONTROL!$C$9, $D$9, 100%, $F$9) + CHOOSE(CONTROL!$C$27, 0.0021, 0)</f>
        <v>104.9956</v>
      </c>
      <c r="G618" s="14">
        <f>105.2649 * CHOOSE(CONTROL!$C$9, $D$9, 100%, $F$9) + CHOOSE(CONTROL!$C$27, 0.0021, 0)</f>
        <v>105.267</v>
      </c>
      <c r="H618" s="14">
        <f>105.1302 * CHOOSE(CONTROL!$C$9, $D$9, 100%, $F$9) + CHOOSE(CONTROL!$C$27, 0.0021, 0)</f>
        <v>105.1323</v>
      </c>
      <c r="I618" s="14">
        <f>105.1302 * CHOOSE(CONTROL!$C$9, $D$9, 100%, $F$9) + CHOOSE(CONTROL!$C$27, 0.0021, 0)</f>
        <v>105.1323</v>
      </c>
      <c r="J618" s="14">
        <f>105.1302 * CHOOSE(CONTROL!$C$9, $D$9, 100%, $F$9) + CHOOSE(CONTROL!$C$27, 0.0021, 0)</f>
        <v>105.1323</v>
      </c>
      <c r="K618" s="14">
        <f>105.1302 * CHOOSE(CONTROL!$C$9, $D$9, 100%, $F$9) + CHOOSE(CONTROL!$C$27, 0.0021, 0)</f>
        <v>105.1323</v>
      </c>
      <c r="L618" s="14"/>
    </row>
    <row r="619" spans="1:12" ht="15.75" x14ac:dyDescent="0.25">
      <c r="A619" s="31">
        <v>59779</v>
      </c>
      <c r="B619" s="14">
        <f>103.1584 * CHOOSE(CONTROL!$C$9, $D$9, 100%, $F$9) + CHOOSE(CONTROL!$C$27, 0.0021, 0)</f>
        <v>103.1605</v>
      </c>
      <c r="C619" s="14">
        <f>102.7261 * CHOOSE(CONTROL!$C$9, $D$9, 100%, $F$9) + CHOOSE(CONTROL!$C$27, 0.0021, 0)</f>
        <v>102.7282</v>
      </c>
      <c r="D619" s="14">
        <f>102.7261 * CHOOSE(CONTROL!$C$9, $D$9, 100%, $F$9) + CHOOSE(CONTROL!$C$27, 0.0021, 0)</f>
        <v>102.7282</v>
      </c>
      <c r="E619" s="14">
        <f>102.5895 * CHOOSE(CONTROL!$C$9, $D$9, 100%, $F$9) + CHOOSE(CONTROL!$C$27, 0.0021, 0)</f>
        <v>102.5916</v>
      </c>
      <c r="F619" s="14">
        <f>102.5895 * CHOOSE(CONTROL!$C$9, $D$9, 100%, $F$9) + CHOOSE(CONTROL!$C$27, 0.0021, 0)</f>
        <v>102.5916</v>
      </c>
      <c r="G619" s="14">
        <f>102.8608 * CHOOSE(CONTROL!$C$9, $D$9, 100%, $F$9) + CHOOSE(CONTROL!$C$27, 0.0021, 0)</f>
        <v>102.8629</v>
      </c>
      <c r="H619" s="14">
        <f>102.7261 * CHOOSE(CONTROL!$C$9, $D$9, 100%, $F$9) + CHOOSE(CONTROL!$C$27, 0.0021, 0)</f>
        <v>102.7282</v>
      </c>
      <c r="I619" s="14">
        <f>102.7261 * CHOOSE(CONTROL!$C$9, $D$9, 100%, $F$9) + CHOOSE(CONTROL!$C$27, 0.0021, 0)</f>
        <v>102.7282</v>
      </c>
      <c r="J619" s="14">
        <f>102.7261 * CHOOSE(CONTROL!$C$9, $D$9, 100%, $F$9) + CHOOSE(CONTROL!$C$27, 0.0021, 0)</f>
        <v>102.7282</v>
      </c>
      <c r="K619" s="14">
        <f>102.7261 * CHOOSE(CONTROL!$C$9, $D$9, 100%, $F$9) + CHOOSE(CONTROL!$C$27, 0.0021, 0)</f>
        <v>102.7282</v>
      </c>
      <c r="L619" s="14"/>
    </row>
    <row r="620" spans="1:12" ht="15.75" x14ac:dyDescent="0.25">
      <c r="A620" s="31">
        <v>59809</v>
      </c>
      <c r="B620" s="14">
        <f>99.8057 * CHOOSE(CONTROL!$C$9, $D$9, 100%, $F$9) + CHOOSE(CONTROL!$C$27, 0.0021, 0)</f>
        <v>99.8078</v>
      </c>
      <c r="C620" s="14">
        <f>99.3735 * CHOOSE(CONTROL!$C$9, $D$9, 100%, $F$9) + CHOOSE(CONTROL!$C$27, 0.0021, 0)</f>
        <v>99.375600000000006</v>
      </c>
      <c r="D620" s="14">
        <f>99.3735 * CHOOSE(CONTROL!$C$9, $D$9, 100%, $F$9) + CHOOSE(CONTROL!$C$27, 0.0021, 0)</f>
        <v>99.375600000000006</v>
      </c>
      <c r="E620" s="14">
        <f>99.2368 * CHOOSE(CONTROL!$C$9, $D$9, 100%, $F$9) + CHOOSE(CONTROL!$C$27, 0.0021, 0)</f>
        <v>99.238900000000001</v>
      </c>
      <c r="F620" s="14">
        <f>99.2368 * CHOOSE(CONTROL!$C$9, $D$9, 100%, $F$9) + CHOOSE(CONTROL!$C$27, 0.0021, 0)</f>
        <v>99.238900000000001</v>
      </c>
      <c r="G620" s="14">
        <f>99.5082 * CHOOSE(CONTROL!$C$9, $D$9, 100%, $F$9) + CHOOSE(CONTROL!$C$27, 0.0021, 0)</f>
        <v>99.510300000000001</v>
      </c>
      <c r="H620" s="14">
        <f>99.3735 * CHOOSE(CONTROL!$C$9, $D$9, 100%, $F$9) + CHOOSE(CONTROL!$C$27, 0.0021, 0)</f>
        <v>99.375600000000006</v>
      </c>
      <c r="I620" s="14">
        <f>99.3735 * CHOOSE(CONTROL!$C$9, $D$9, 100%, $F$9) + CHOOSE(CONTROL!$C$27, 0.0021, 0)</f>
        <v>99.375600000000006</v>
      </c>
      <c r="J620" s="14">
        <f>99.3735 * CHOOSE(CONTROL!$C$9, $D$9, 100%, $F$9) + CHOOSE(CONTROL!$C$27, 0.0021, 0)</f>
        <v>99.375600000000006</v>
      </c>
      <c r="K620" s="14">
        <f>99.3735 * CHOOSE(CONTROL!$C$9, $D$9, 100%, $F$9) + CHOOSE(CONTROL!$C$27, 0.0021, 0)</f>
        <v>99.375600000000006</v>
      </c>
      <c r="L620" s="14"/>
    </row>
    <row r="621" spans="1:12" ht="15.75" x14ac:dyDescent="0.25">
      <c r="A621" s="31">
        <v>59840</v>
      </c>
      <c r="B621" s="14">
        <f>96.4336 * CHOOSE(CONTROL!$C$9, $D$9, 100%, $F$9) + CHOOSE(CONTROL!$C$27, 0.0021, 0)</f>
        <v>96.435699999999997</v>
      </c>
      <c r="C621" s="14">
        <f>96.0014 * CHOOSE(CONTROL!$C$9, $D$9, 100%, $F$9) + CHOOSE(CONTROL!$C$27, 0.0021, 0)</f>
        <v>96.003500000000003</v>
      </c>
      <c r="D621" s="14">
        <f>96.0014 * CHOOSE(CONTROL!$C$9, $D$9, 100%, $F$9) + CHOOSE(CONTROL!$C$27, 0.0021, 0)</f>
        <v>96.003500000000003</v>
      </c>
      <c r="E621" s="14">
        <f>95.8647 * CHOOSE(CONTROL!$C$9, $D$9, 100%, $F$9) + CHOOSE(CONTROL!$C$27, 0.0021, 0)</f>
        <v>95.866799999999998</v>
      </c>
      <c r="F621" s="14">
        <f>95.8647 * CHOOSE(CONTROL!$C$9, $D$9, 100%, $F$9) + CHOOSE(CONTROL!$C$27, 0.0021, 0)</f>
        <v>95.866799999999998</v>
      </c>
      <c r="G621" s="14">
        <f>96.1361 * CHOOSE(CONTROL!$C$9, $D$9, 100%, $F$9) + CHOOSE(CONTROL!$C$27, 0.0021, 0)</f>
        <v>96.138199999999998</v>
      </c>
      <c r="H621" s="14">
        <f>96.0014 * CHOOSE(CONTROL!$C$9, $D$9, 100%, $F$9) + CHOOSE(CONTROL!$C$27, 0.0021, 0)</f>
        <v>96.003500000000003</v>
      </c>
      <c r="I621" s="14">
        <f>96.0014 * CHOOSE(CONTROL!$C$9, $D$9, 100%, $F$9) + CHOOSE(CONTROL!$C$27, 0.0021, 0)</f>
        <v>96.003500000000003</v>
      </c>
      <c r="J621" s="14">
        <f>96.0014 * CHOOSE(CONTROL!$C$9, $D$9, 100%, $F$9) + CHOOSE(CONTROL!$C$27, 0.0021, 0)</f>
        <v>96.003500000000003</v>
      </c>
      <c r="K621" s="14">
        <f>96.0014 * CHOOSE(CONTROL!$C$9, $D$9, 100%, $F$9) + CHOOSE(CONTROL!$C$27, 0.0021, 0)</f>
        <v>96.003500000000003</v>
      </c>
      <c r="L621" s="14"/>
    </row>
    <row r="622" spans="1:12" ht="15.75" x14ac:dyDescent="0.25">
      <c r="A622" s="31">
        <v>59870</v>
      </c>
      <c r="B622" s="14">
        <f>95.7629 * CHOOSE(CONTROL!$C$9, $D$9, 100%, $F$9) + CHOOSE(CONTROL!$C$27, 0.0021, 0)</f>
        <v>95.765000000000001</v>
      </c>
      <c r="C622" s="14">
        <f>95.3306 * CHOOSE(CONTROL!$C$9, $D$9, 100%, $F$9) + CHOOSE(CONTROL!$C$27, 0.0021, 0)</f>
        <v>95.332700000000003</v>
      </c>
      <c r="D622" s="14">
        <f>95.3306 * CHOOSE(CONTROL!$C$9, $D$9, 100%, $F$9) + CHOOSE(CONTROL!$C$27, 0.0021, 0)</f>
        <v>95.332700000000003</v>
      </c>
      <c r="E622" s="14">
        <f>95.1939 * CHOOSE(CONTROL!$C$9, $D$9, 100%, $F$9) + CHOOSE(CONTROL!$C$27, 0.0021, 0)</f>
        <v>95.195999999999998</v>
      </c>
      <c r="F622" s="14">
        <f>95.1939 * CHOOSE(CONTROL!$C$9, $D$9, 100%, $F$9) + CHOOSE(CONTROL!$C$27, 0.0021, 0)</f>
        <v>95.195999999999998</v>
      </c>
      <c r="G622" s="14">
        <f>95.4653 * CHOOSE(CONTROL!$C$9, $D$9, 100%, $F$9) + CHOOSE(CONTROL!$C$27, 0.0021, 0)</f>
        <v>95.467399999999998</v>
      </c>
      <c r="H622" s="14">
        <f>95.3306 * CHOOSE(CONTROL!$C$9, $D$9, 100%, $F$9) + CHOOSE(CONTROL!$C$27, 0.0021, 0)</f>
        <v>95.332700000000003</v>
      </c>
      <c r="I622" s="14">
        <f>95.3306 * CHOOSE(CONTROL!$C$9, $D$9, 100%, $F$9) + CHOOSE(CONTROL!$C$27, 0.0021, 0)</f>
        <v>95.332700000000003</v>
      </c>
      <c r="J622" s="14">
        <f>95.3306 * CHOOSE(CONTROL!$C$9, $D$9, 100%, $F$9) + CHOOSE(CONTROL!$C$27, 0.0021, 0)</f>
        <v>95.332700000000003</v>
      </c>
      <c r="K622" s="14">
        <f>95.3306 * CHOOSE(CONTROL!$C$9, $D$9, 100%, $F$9) + CHOOSE(CONTROL!$C$27, 0.0021, 0)</f>
        <v>95.332700000000003</v>
      </c>
      <c r="L622" s="14"/>
    </row>
    <row r="623" spans="1:12" ht="15.75" x14ac:dyDescent="0.25">
      <c r="A623" s="31">
        <v>59901</v>
      </c>
      <c r="B623" s="14">
        <f>92.9891 * CHOOSE(CONTROL!$C$9, $D$9, 100%, $F$9) + CHOOSE(CONTROL!$C$27, 0.0021, 0)</f>
        <v>92.991199999999992</v>
      </c>
      <c r="C623" s="14">
        <f>92.5569 * CHOOSE(CONTROL!$C$9, $D$9, 100%, $F$9) + CHOOSE(CONTROL!$C$27, 0.0021, 0)</f>
        <v>92.558999999999997</v>
      </c>
      <c r="D623" s="14">
        <f>92.5569 * CHOOSE(CONTROL!$C$9, $D$9, 100%, $F$9) + CHOOSE(CONTROL!$C$27, 0.0021, 0)</f>
        <v>92.558999999999997</v>
      </c>
      <c r="E623" s="14">
        <f>92.4202 * CHOOSE(CONTROL!$C$9, $D$9, 100%, $F$9) + CHOOSE(CONTROL!$C$27, 0.0021, 0)</f>
        <v>92.422299999999993</v>
      </c>
      <c r="F623" s="14">
        <f>92.4202 * CHOOSE(CONTROL!$C$9, $D$9, 100%, $F$9) + CHOOSE(CONTROL!$C$27, 0.0021, 0)</f>
        <v>92.422299999999993</v>
      </c>
      <c r="G623" s="14">
        <f>92.6916 * CHOOSE(CONTROL!$C$9, $D$9, 100%, $F$9) + CHOOSE(CONTROL!$C$27, 0.0021, 0)</f>
        <v>92.693699999999993</v>
      </c>
      <c r="H623" s="14">
        <f>92.5569 * CHOOSE(CONTROL!$C$9, $D$9, 100%, $F$9) + CHOOSE(CONTROL!$C$27, 0.0021, 0)</f>
        <v>92.558999999999997</v>
      </c>
      <c r="I623" s="14">
        <f>92.5569 * CHOOSE(CONTROL!$C$9, $D$9, 100%, $F$9) + CHOOSE(CONTROL!$C$27, 0.0021, 0)</f>
        <v>92.558999999999997</v>
      </c>
      <c r="J623" s="14">
        <f>92.5569 * CHOOSE(CONTROL!$C$9, $D$9, 100%, $F$9) + CHOOSE(CONTROL!$C$27, 0.0021, 0)</f>
        <v>92.558999999999997</v>
      </c>
      <c r="K623" s="14">
        <f>92.5569 * CHOOSE(CONTROL!$C$9, $D$9, 100%, $F$9) + CHOOSE(CONTROL!$C$27, 0.0021, 0)</f>
        <v>92.558999999999997</v>
      </c>
      <c r="L623" s="14"/>
    </row>
    <row r="624" spans="1:12" ht="15.75" x14ac:dyDescent="0.25">
      <c r="A624" s="31">
        <v>59932</v>
      </c>
      <c r="B624" s="14">
        <f>92.4491 * CHOOSE(CONTROL!$C$9, $D$9, 100%, $F$9) + CHOOSE(CONTROL!$C$27, 0.0021, 0)</f>
        <v>92.4512</v>
      </c>
      <c r="C624" s="14">
        <f>92.0168 * CHOOSE(CONTROL!$C$9, $D$9, 100%, $F$9) + CHOOSE(CONTROL!$C$27, 0.0021, 0)</f>
        <v>92.018900000000002</v>
      </c>
      <c r="D624" s="14">
        <f>92.0168 * CHOOSE(CONTROL!$C$9, $D$9, 100%, $F$9) + CHOOSE(CONTROL!$C$27, 0.0021, 0)</f>
        <v>92.018900000000002</v>
      </c>
      <c r="E624" s="14">
        <f>91.8802 * CHOOSE(CONTROL!$C$9, $D$9, 100%, $F$9) + CHOOSE(CONTROL!$C$27, 0.0021, 0)</f>
        <v>91.882300000000001</v>
      </c>
      <c r="F624" s="14">
        <f>91.8802 * CHOOSE(CONTROL!$C$9, $D$9, 100%, $F$9) + CHOOSE(CONTROL!$C$27, 0.0021, 0)</f>
        <v>91.882300000000001</v>
      </c>
      <c r="G624" s="14">
        <f>92.1516 * CHOOSE(CONTROL!$C$9, $D$9, 100%, $F$9) + CHOOSE(CONTROL!$C$27, 0.0021, 0)</f>
        <v>92.153700000000001</v>
      </c>
      <c r="H624" s="14">
        <f>92.0168 * CHOOSE(CONTROL!$C$9, $D$9, 100%, $F$9) + CHOOSE(CONTROL!$C$27, 0.0021, 0)</f>
        <v>92.018900000000002</v>
      </c>
      <c r="I624" s="14">
        <f>92.0168 * CHOOSE(CONTROL!$C$9, $D$9, 100%, $F$9) + CHOOSE(CONTROL!$C$27, 0.0021, 0)</f>
        <v>92.018900000000002</v>
      </c>
      <c r="J624" s="14">
        <f>92.0168 * CHOOSE(CONTROL!$C$9, $D$9, 100%, $F$9) + CHOOSE(CONTROL!$C$27, 0.0021, 0)</f>
        <v>92.018900000000002</v>
      </c>
      <c r="K624" s="14">
        <f>92.0168 * CHOOSE(CONTROL!$C$9, $D$9, 100%, $F$9) + CHOOSE(CONTROL!$C$27, 0.0021, 0)</f>
        <v>92.018900000000002</v>
      </c>
      <c r="L624" s="14"/>
    </row>
    <row r="625" spans="1:12" ht="15.75" x14ac:dyDescent="0.25">
      <c r="A625" s="31">
        <v>59961</v>
      </c>
      <c r="B625" s="14">
        <f>92.1985 * CHOOSE(CONTROL!$C$9, $D$9, 100%, $F$9) + CHOOSE(CONTROL!$C$27, 0.0021, 0)</f>
        <v>92.200599999999994</v>
      </c>
      <c r="C625" s="14">
        <f>91.7662 * CHOOSE(CONTROL!$C$9, $D$9, 100%, $F$9) + CHOOSE(CONTROL!$C$27, 0.0021, 0)</f>
        <v>91.768299999999996</v>
      </c>
      <c r="D625" s="14">
        <f>91.7662 * CHOOSE(CONTROL!$C$9, $D$9, 100%, $F$9) + CHOOSE(CONTROL!$C$27, 0.0021, 0)</f>
        <v>91.768299999999996</v>
      </c>
      <c r="E625" s="14">
        <f>91.6296 * CHOOSE(CONTROL!$C$9, $D$9, 100%, $F$9) + CHOOSE(CONTROL!$C$27, 0.0021, 0)</f>
        <v>91.631699999999995</v>
      </c>
      <c r="F625" s="14">
        <f>91.6296 * CHOOSE(CONTROL!$C$9, $D$9, 100%, $F$9) + CHOOSE(CONTROL!$C$27, 0.0021, 0)</f>
        <v>91.631699999999995</v>
      </c>
      <c r="G625" s="14">
        <f>91.901 * CHOOSE(CONTROL!$C$9, $D$9, 100%, $F$9) + CHOOSE(CONTROL!$C$27, 0.0021, 0)</f>
        <v>91.903099999999995</v>
      </c>
      <c r="H625" s="14">
        <f>91.7662 * CHOOSE(CONTROL!$C$9, $D$9, 100%, $F$9) + CHOOSE(CONTROL!$C$27, 0.0021, 0)</f>
        <v>91.768299999999996</v>
      </c>
      <c r="I625" s="14">
        <f>91.7662 * CHOOSE(CONTROL!$C$9, $D$9, 100%, $F$9) + CHOOSE(CONTROL!$C$27, 0.0021, 0)</f>
        <v>91.768299999999996</v>
      </c>
      <c r="J625" s="14">
        <f>91.7662 * CHOOSE(CONTROL!$C$9, $D$9, 100%, $F$9) + CHOOSE(CONTROL!$C$27, 0.0021, 0)</f>
        <v>91.768299999999996</v>
      </c>
      <c r="K625" s="14">
        <f>91.7662 * CHOOSE(CONTROL!$C$9, $D$9, 100%, $F$9) + CHOOSE(CONTROL!$C$27, 0.0021, 0)</f>
        <v>91.768299999999996</v>
      </c>
      <c r="L625" s="14"/>
    </row>
    <row r="626" spans="1:12" ht="15.75" x14ac:dyDescent="0.25">
      <c r="A626" s="31">
        <v>59992</v>
      </c>
      <c r="B626" s="14">
        <f>96.9371 * CHOOSE(CONTROL!$C$9, $D$9, 100%, $F$9) + CHOOSE(CONTROL!$C$27, 0.0021, 0)</f>
        <v>96.9392</v>
      </c>
      <c r="C626" s="14">
        <f>96.5048 * CHOOSE(CONTROL!$C$9, $D$9, 100%, $F$9) + CHOOSE(CONTROL!$C$27, 0.0021, 0)</f>
        <v>96.506900000000002</v>
      </c>
      <c r="D626" s="14">
        <f>96.5048 * CHOOSE(CONTROL!$C$9, $D$9, 100%, $F$9) + CHOOSE(CONTROL!$C$27, 0.0021, 0)</f>
        <v>96.506900000000002</v>
      </c>
      <c r="E626" s="14">
        <f>96.3682 * CHOOSE(CONTROL!$C$9, $D$9, 100%, $F$9) + CHOOSE(CONTROL!$C$27, 0.0021, 0)</f>
        <v>96.3703</v>
      </c>
      <c r="F626" s="14">
        <f>96.3682 * CHOOSE(CONTROL!$C$9, $D$9, 100%, $F$9) + CHOOSE(CONTROL!$C$27, 0.0021, 0)</f>
        <v>96.3703</v>
      </c>
      <c r="G626" s="14">
        <f>96.6395 * CHOOSE(CONTROL!$C$9, $D$9, 100%, $F$9) + CHOOSE(CONTROL!$C$27, 0.0021, 0)</f>
        <v>96.641599999999997</v>
      </c>
      <c r="H626" s="14">
        <f>96.5048 * CHOOSE(CONTROL!$C$9, $D$9, 100%, $F$9) + CHOOSE(CONTROL!$C$27, 0.0021, 0)</f>
        <v>96.506900000000002</v>
      </c>
      <c r="I626" s="14">
        <f>96.5048 * CHOOSE(CONTROL!$C$9, $D$9, 100%, $F$9) + CHOOSE(CONTROL!$C$27, 0.0021, 0)</f>
        <v>96.506900000000002</v>
      </c>
      <c r="J626" s="14">
        <f>96.5048 * CHOOSE(CONTROL!$C$9, $D$9, 100%, $F$9) + CHOOSE(CONTROL!$C$27, 0.0021, 0)</f>
        <v>96.506900000000002</v>
      </c>
      <c r="K626" s="14">
        <f>96.5048 * CHOOSE(CONTROL!$C$9, $D$9, 100%, $F$9) + CHOOSE(CONTROL!$C$27, 0.0021, 0)</f>
        <v>96.506900000000002</v>
      </c>
      <c r="L626" s="14"/>
    </row>
    <row r="627" spans="1:12" ht="15.75" x14ac:dyDescent="0.25">
      <c r="A627" s="31">
        <v>60022</v>
      </c>
      <c r="B627" s="14">
        <f>103.0819 * CHOOSE(CONTROL!$C$9, $D$9, 100%, $F$9) + CHOOSE(CONTROL!$C$27, 0.0021, 0)</f>
        <v>103.084</v>
      </c>
      <c r="C627" s="14">
        <f>102.6496 * CHOOSE(CONTROL!$C$9, $D$9, 100%, $F$9) + CHOOSE(CONTROL!$C$27, 0.0021, 0)</f>
        <v>102.65170000000001</v>
      </c>
      <c r="D627" s="14">
        <f>102.6496 * CHOOSE(CONTROL!$C$9, $D$9, 100%, $F$9) + CHOOSE(CONTROL!$C$27, 0.0021, 0)</f>
        <v>102.65170000000001</v>
      </c>
      <c r="E627" s="14">
        <f>102.5129 * CHOOSE(CONTROL!$C$9, $D$9, 100%, $F$9) + CHOOSE(CONTROL!$C$27, 0.0021, 0)</f>
        <v>102.515</v>
      </c>
      <c r="F627" s="14">
        <f>102.5129 * CHOOSE(CONTROL!$C$9, $D$9, 100%, $F$9) + CHOOSE(CONTROL!$C$27, 0.0021, 0)</f>
        <v>102.515</v>
      </c>
      <c r="G627" s="14">
        <f>102.7843 * CHOOSE(CONTROL!$C$9, $D$9, 100%, $F$9) + CHOOSE(CONTROL!$C$27, 0.0021, 0)</f>
        <v>102.7864</v>
      </c>
      <c r="H627" s="14">
        <f>102.6496 * CHOOSE(CONTROL!$C$9, $D$9, 100%, $F$9) + CHOOSE(CONTROL!$C$27, 0.0021, 0)</f>
        <v>102.65170000000001</v>
      </c>
      <c r="I627" s="14">
        <f>102.6496 * CHOOSE(CONTROL!$C$9, $D$9, 100%, $F$9) + CHOOSE(CONTROL!$C$27, 0.0021, 0)</f>
        <v>102.65170000000001</v>
      </c>
      <c r="J627" s="14">
        <f>102.6496 * CHOOSE(CONTROL!$C$9, $D$9, 100%, $F$9) + CHOOSE(CONTROL!$C$27, 0.0021, 0)</f>
        <v>102.65170000000001</v>
      </c>
      <c r="K627" s="14">
        <f>102.6496 * CHOOSE(CONTROL!$C$9, $D$9, 100%, $F$9) + CHOOSE(CONTROL!$C$27, 0.0021, 0)</f>
        <v>102.65170000000001</v>
      </c>
      <c r="L627" s="14"/>
    </row>
    <row r="628" spans="1:12" ht="15.75" x14ac:dyDescent="0.25">
      <c r="A628" s="31">
        <v>60053</v>
      </c>
      <c r="B628" s="14">
        <f>106.4641 * CHOOSE(CONTROL!$C$9, $D$9, 100%, $F$9) + CHOOSE(CONTROL!$C$27, 0.0021, 0)</f>
        <v>106.4662</v>
      </c>
      <c r="C628" s="14">
        <f>106.0319 * CHOOSE(CONTROL!$C$9, $D$9, 100%, $F$9) + CHOOSE(CONTROL!$C$27, 0.0021, 0)</f>
        <v>106.03399999999999</v>
      </c>
      <c r="D628" s="14">
        <f>106.0319 * CHOOSE(CONTROL!$C$9, $D$9, 100%, $F$9) + CHOOSE(CONTROL!$C$27, 0.0021, 0)</f>
        <v>106.03399999999999</v>
      </c>
      <c r="E628" s="14">
        <f>105.8952 * CHOOSE(CONTROL!$C$9, $D$9, 100%, $F$9) + CHOOSE(CONTROL!$C$27, 0.0021, 0)</f>
        <v>105.8973</v>
      </c>
      <c r="F628" s="14">
        <f>105.8952 * CHOOSE(CONTROL!$C$9, $D$9, 100%, $F$9) + CHOOSE(CONTROL!$C$27, 0.0021, 0)</f>
        <v>105.8973</v>
      </c>
      <c r="G628" s="14">
        <f>106.1666 * CHOOSE(CONTROL!$C$9, $D$9, 100%, $F$9) + CHOOSE(CONTROL!$C$27, 0.0021, 0)</f>
        <v>106.1687</v>
      </c>
      <c r="H628" s="14">
        <f>106.0319 * CHOOSE(CONTROL!$C$9, $D$9, 100%, $F$9) + CHOOSE(CONTROL!$C$27, 0.0021, 0)</f>
        <v>106.03399999999999</v>
      </c>
      <c r="I628" s="14">
        <f>106.0319 * CHOOSE(CONTROL!$C$9, $D$9, 100%, $F$9) + CHOOSE(CONTROL!$C$27, 0.0021, 0)</f>
        <v>106.03399999999999</v>
      </c>
      <c r="J628" s="14">
        <f>106.0319 * CHOOSE(CONTROL!$C$9, $D$9, 100%, $F$9) + CHOOSE(CONTROL!$C$27, 0.0021, 0)</f>
        <v>106.03399999999999</v>
      </c>
      <c r="K628" s="14">
        <f>106.0319 * CHOOSE(CONTROL!$C$9, $D$9, 100%, $F$9) + CHOOSE(CONTROL!$C$27, 0.0021, 0)</f>
        <v>106.03399999999999</v>
      </c>
      <c r="L628" s="14"/>
    </row>
    <row r="629" spans="1:12" ht="15.75" x14ac:dyDescent="0.25">
      <c r="A629" s="31">
        <v>60083</v>
      </c>
      <c r="B629" s="14">
        <f>107.9652 * CHOOSE(CONTROL!$C$9, $D$9, 100%, $F$9) + CHOOSE(CONTROL!$C$27, 0.0021, 0)</f>
        <v>107.96729999999999</v>
      </c>
      <c r="C629" s="14">
        <f>107.5329 * CHOOSE(CONTROL!$C$9, $D$9, 100%, $F$9) + CHOOSE(CONTROL!$C$27, 0.0021, 0)</f>
        <v>107.535</v>
      </c>
      <c r="D629" s="14">
        <f>107.5329 * CHOOSE(CONTROL!$C$9, $D$9, 100%, $F$9) + CHOOSE(CONTROL!$C$27, 0.0021, 0)</f>
        <v>107.535</v>
      </c>
      <c r="E629" s="14">
        <f>107.3962 * CHOOSE(CONTROL!$C$9, $D$9, 100%, $F$9) + CHOOSE(CONTROL!$C$27, 0.0021, 0)</f>
        <v>107.39829999999999</v>
      </c>
      <c r="F629" s="14">
        <f>107.3962 * CHOOSE(CONTROL!$C$9, $D$9, 100%, $F$9) + CHOOSE(CONTROL!$C$27, 0.0021, 0)</f>
        <v>107.39829999999999</v>
      </c>
      <c r="G629" s="14">
        <f>107.6676 * CHOOSE(CONTROL!$C$9, $D$9, 100%, $F$9) + CHOOSE(CONTROL!$C$27, 0.0021, 0)</f>
        <v>107.66969999999999</v>
      </c>
      <c r="H629" s="14">
        <f>107.5329 * CHOOSE(CONTROL!$C$9, $D$9, 100%, $F$9) + CHOOSE(CONTROL!$C$27, 0.0021, 0)</f>
        <v>107.535</v>
      </c>
      <c r="I629" s="14">
        <f>107.5329 * CHOOSE(CONTROL!$C$9, $D$9, 100%, $F$9) + CHOOSE(CONTROL!$C$27, 0.0021, 0)</f>
        <v>107.535</v>
      </c>
      <c r="J629" s="14">
        <f>107.5329 * CHOOSE(CONTROL!$C$9, $D$9, 100%, $F$9) + CHOOSE(CONTROL!$C$27, 0.0021, 0)</f>
        <v>107.535</v>
      </c>
      <c r="K629" s="14">
        <f>107.5329 * CHOOSE(CONTROL!$C$9, $D$9, 100%, $F$9) + CHOOSE(CONTROL!$C$27, 0.0021, 0)</f>
        <v>107.535</v>
      </c>
      <c r="L629" s="14"/>
    </row>
    <row r="630" spans="1:12" ht="15.75" x14ac:dyDescent="0.25">
      <c r="A630" s="31">
        <v>60114</v>
      </c>
      <c r="B630" s="14">
        <f>107.471 * CHOOSE(CONTROL!$C$9, $D$9, 100%, $F$9) + CHOOSE(CONTROL!$C$27, 0.0021, 0)</f>
        <v>107.4731</v>
      </c>
      <c r="C630" s="14">
        <f>107.0387 * CHOOSE(CONTROL!$C$9, $D$9, 100%, $F$9) + CHOOSE(CONTROL!$C$27, 0.0021, 0)</f>
        <v>107.0408</v>
      </c>
      <c r="D630" s="14">
        <f>107.0387 * CHOOSE(CONTROL!$C$9, $D$9, 100%, $F$9) + CHOOSE(CONTROL!$C$27, 0.0021, 0)</f>
        <v>107.0408</v>
      </c>
      <c r="E630" s="14">
        <f>106.902 * CHOOSE(CONTROL!$C$9, $D$9, 100%, $F$9) + CHOOSE(CONTROL!$C$27, 0.0021, 0)</f>
        <v>106.9041</v>
      </c>
      <c r="F630" s="14">
        <f>106.902 * CHOOSE(CONTROL!$C$9, $D$9, 100%, $F$9) + CHOOSE(CONTROL!$C$27, 0.0021, 0)</f>
        <v>106.9041</v>
      </c>
      <c r="G630" s="14">
        <f>107.1734 * CHOOSE(CONTROL!$C$9, $D$9, 100%, $F$9) + CHOOSE(CONTROL!$C$27, 0.0021, 0)</f>
        <v>107.1755</v>
      </c>
      <c r="H630" s="14">
        <f>107.0387 * CHOOSE(CONTROL!$C$9, $D$9, 100%, $F$9) + CHOOSE(CONTROL!$C$27, 0.0021, 0)</f>
        <v>107.0408</v>
      </c>
      <c r="I630" s="14">
        <f>107.0387 * CHOOSE(CONTROL!$C$9, $D$9, 100%, $F$9) + CHOOSE(CONTROL!$C$27, 0.0021, 0)</f>
        <v>107.0408</v>
      </c>
      <c r="J630" s="14">
        <f>107.0387 * CHOOSE(CONTROL!$C$9, $D$9, 100%, $F$9) + CHOOSE(CONTROL!$C$27, 0.0021, 0)</f>
        <v>107.0408</v>
      </c>
      <c r="K630" s="14">
        <f>107.0387 * CHOOSE(CONTROL!$C$9, $D$9, 100%, $F$9) + CHOOSE(CONTROL!$C$27, 0.0021, 0)</f>
        <v>107.0408</v>
      </c>
      <c r="L630" s="14"/>
    </row>
    <row r="631" spans="1:12" ht="15.75" x14ac:dyDescent="0.25">
      <c r="A631" s="31">
        <v>60145</v>
      </c>
      <c r="B631" s="14">
        <f>105.0224 * CHOOSE(CONTROL!$C$9, $D$9, 100%, $F$9) + CHOOSE(CONTROL!$C$27, 0.0021, 0)</f>
        <v>105.0245</v>
      </c>
      <c r="C631" s="14">
        <f>104.5902 * CHOOSE(CONTROL!$C$9, $D$9, 100%, $F$9) + CHOOSE(CONTROL!$C$27, 0.0021, 0)</f>
        <v>104.59229999999999</v>
      </c>
      <c r="D631" s="14">
        <f>104.5902 * CHOOSE(CONTROL!$C$9, $D$9, 100%, $F$9) + CHOOSE(CONTROL!$C$27, 0.0021, 0)</f>
        <v>104.59229999999999</v>
      </c>
      <c r="E631" s="14">
        <f>104.4535 * CHOOSE(CONTROL!$C$9, $D$9, 100%, $F$9) + CHOOSE(CONTROL!$C$27, 0.0021, 0)</f>
        <v>104.4556</v>
      </c>
      <c r="F631" s="14">
        <f>104.4535 * CHOOSE(CONTROL!$C$9, $D$9, 100%, $F$9) + CHOOSE(CONTROL!$C$27, 0.0021, 0)</f>
        <v>104.4556</v>
      </c>
      <c r="G631" s="14">
        <f>104.7249 * CHOOSE(CONTROL!$C$9, $D$9, 100%, $F$9) + CHOOSE(CONTROL!$C$27, 0.0021, 0)</f>
        <v>104.727</v>
      </c>
      <c r="H631" s="14">
        <f>104.5902 * CHOOSE(CONTROL!$C$9, $D$9, 100%, $F$9) + CHOOSE(CONTROL!$C$27, 0.0021, 0)</f>
        <v>104.59229999999999</v>
      </c>
      <c r="I631" s="14">
        <f>104.5902 * CHOOSE(CONTROL!$C$9, $D$9, 100%, $F$9) + CHOOSE(CONTROL!$C$27, 0.0021, 0)</f>
        <v>104.59229999999999</v>
      </c>
      <c r="J631" s="14">
        <f>104.5902 * CHOOSE(CONTROL!$C$9, $D$9, 100%, $F$9) + CHOOSE(CONTROL!$C$27, 0.0021, 0)</f>
        <v>104.59229999999999</v>
      </c>
      <c r="K631" s="14">
        <f>104.5902 * CHOOSE(CONTROL!$C$9, $D$9, 100%, $F$9) + CHOOSE(CONTROL!$C$27, 0.0021, 0)</f>
        <v>104.59229999999999</v>
      </c>
      <c r="L631" s="14"/>
    </row>
    <row r="632" spans="1:12" ht="15.75" x14ac:dyDescent="0.25">
      <c r="A632" s="31">
        <v>60175</v>
      </c>
      <c r="B632" s="14">
        <f>101.6079 * CHOOSE(CONTROL!$C$9, $D$9, 100%, $F$9) + CHOOSE(CONTROL!$C$27, 0.0021, 0)</f>
        <v>101.61</v>
      </c>
      <c r="C632" s="14">
        <f>101.1756 * CHOOSE(CONTROL!$C$9, $D$9, 100%, $F$9) + CHOOSE(CONTROL!$C$27, 0.0021, 0)</f>
        <v>101.1777</v>
      </c>
      <c r="D632" s="14">
        <f>101.1756 * CHOOSE(CONTROL!$C$9, $D$9, 100%, $F$9) + CHOOSE(CONTROL!$C$27, 0.0021, 0)</f>
        <v>101.1777</v>
      </c>
      <c r="E632" s="14">
        <f>101.039 * CHOOSE(CONTROL!$C$9, $D$9, 100%, $F$9) + CHOOSE(CONTROL!$C$27, 0.0021, 0)</f>
        <v>101.0411</v>
      </c>
      <c r="F632" s="14">
        <f>101.039 * CHOOSE(CONTROL!$C$9, $D$9, 100%, $F$9) + CHOOSE(CONTROL!$C$27, 0.0021, 0)</f>
        <v>101.0411</v>
      </c>
      <c r="G632" s="14">
        <f>101.3103 * CHOOSE(CONTROL!$C$9, $D$9, 100%, $F$9) + CHOOSE(CONTROL!$C$27, 0.0021, 0)</f>
        <v>101.3124</v>
      </c>
      <c r="H632" s="14">
        <f>101.1756 * CHOOSE(CONTROL!$C$9, $D$9, 100%, $F$9) + CHOOSE(CONTROL!$C$27, 0.0021, 0)</f>
        <v>101.1777</v>
      </c>
      <c r="I632" s="14">
        <f>101.1756 * CHOOSE(CONTROL!$C$9, $D$9, 100%, $F$9) + CHOOSE(CONTROL!$C$27, 0.0021, 0)</f>
        <v>101.1777</v>
      </c>
      <c r="J632" s="14">
        <f>101.1756 * CHOOSE(CONTROL!$C$9, $D$9, 100%, $F$9) + CHOOSE(CONTROL!$C$27, 0.0021, 0)</f>
        <v>101.1777</v>
      </c>
      <c r="K632" s="14">
        <f>101.1756 * CHOOSE(CONTROL!$C$9, $D$9, 100%, $F$9) + CHOOSE(CONTROL!$C$27, 0.0021, 0)</f>
        <v>101.1777</v>
      </c>
      <c r="L632" s="14"/>
    </row>
    <row r="633" spans="1:12" ht="15.75" x14ac:dyDescent="0.25">
      <c r="A633" s="31">
        <v>60206</v>
      </c>
      <c r="B633" s="14">
        <f>98.1734 * CHOOSE(CONTROL!$C$9, $D$9, 100%, $F$9) + CHOOSE(CONTROL!$C$27, 0.0021, 0)</f>
        <v>98.1755</v>
      </c>
      <c r="C633" s="14">
        <f>97.7412 * CHOOSE(CONTROL!$C$9, $D$9, 100%, $F$9) + CHOOSE(CONTROL!$C$27, 0.0021, 0)</f>
        <v>97.743300000000005</v>
      </c>
      <c r="D633" s="14">
        <f>97.7412 * CHOOSE(CONTROL!$C$9, $D$9, 100%, $F$9) + CHOOSE(CONTROL!$C$27, 0.0021, 0)</f>
        <v>97.743300000000005</v>
      </c>
      <c r="E633" s="14">
        <f>97.6045 * CHOOSE(CONTROL!$C$9, $D$9, 100%, $F$9) + CHOOSE(CONTROL!$C$27, 0.0021, 0)</f>
        <v>97.6066</v>
      </c>
      <c r="F633" s="14">
        <f>97.6045 * CHOOSE(CONTROL!$C$9, $D$9, 100%, $F$9) + CHOOSE(CONTROL!$C$27, 0.0021, 0)</f>
        <v>97.6066</v>
      </c>
      <c r="G633" s="14">
        <f>97.8759 * CHOOSE(CONTROL!$C$9, $D$9, 100%, $F$9) + CHOOSE(CONTROL!$C$27, 0.0021, 0)</f>
        <v>97.878</v>
      </c>
      <c r="H633" s="14">
        <f>97.7412 * CHOOSE(CONTROL!$C$9, $D$9, 100%, $F$9) + CHOOSE(CONTROL!$C$27, 0.0021, 0)</f>
        <v>97.743300000000005</v>
      </c>
      <c r="I633" s="14">
        <f>97.7412 * CHOOSE(CONTROL!$C$9, $D$9, 100%, $F$9) + CHOOSE(CONTROL!$C$27, 0.0021, 0)</f>
        <v>97.743300000000005</v>
      </c>
      <c r="J633" s="14">
        <f>97.7412 * CHOOSE(CONTROL!$C$9, $D$9, 100%, $F$9) + CHOOSE(CONTROL!$C$27, 0.0021, 0)</f>
        <v>97.743300000000005</v>
      </c>
      <c r="K633" s="14">
        <f>97.7412 * CHOOSE(CONTROL!$C$9, $D$9, 100%, $F$9) + CHOOSE(CONTROL!$C$27, 0.0021, 0)</f>
        <v>97.743300000000005</v>
      </c>
      <c r="L633" s="14"/>
    </row>
    <row r="634" spans="1:12" ht="15.75" x14ac:dyDescent="0.25">
      <c r="A634" s="31">
        <v>60236</v>
      </c>
      <c r="B634" s="14">
        <f>97.4903 * CHOOSE(CONTROL!$C$9, $D$9, 100%, $F$9) + CHOOSE(CONTROL!$C$27, 0.0021, 0)</f>
        <v>97.492400000000004</v>
      </c>
      <c r="C634" s="14">
        <f>97.058 * CHOOSE(CONTROL!$C$9, $D$9, 100%, $F$9) + CHOOSE(CONTROL!$C$27, 0.0021, 0)</f>
        <v>97.060100000000006</v>
      </c>
      <c r="D634" s="14">
        <f>97.058 * CHOOSE(CONTROL!$C$9, $D$9, 100%, $F$9) + CHOOSE(CONTROL!$C$27, 0.0021, 0)</f>
        <v>97.060100000000006</v>
      </c>
      <c r="E634" s="14">
        <f>96.9214 * CHOOSE(CONTROL!$C$9, $D$9, 100%, $F$9) + CHOOSE(CONTROL!$C$27, 0.0021, 0)</f>
        <v>96.923500000000004</v>
      </c>
      <c r="F634" s="14">
        <f>96.9214 * CHOOSE(CONTROL!$C$9, $D$9, 100%, $F$9) + CHOOSE(CONTROL!$C$27, 0.0021, 0)</f>
        <v>96.923500000000004</v>
      </c>
      <c r="G634" s="14">
        <f>97.1927 * CHOOSE(CONTROL!$C$9, $D$9, 100%, $F$9) + CHOOSE(CONTROL!$C$27, 0.0021, 0)</f>
        <v>97.194800000000001</v>
      </c>
      <c r="H634" s="14">
        <f>97.058 * CHOOSE(CONTROL!$C$9, $D$9, 100%, $F$9) + CHOOSE(CONTROL!$C$27, 0.0021, 0)</f>
        <v>97.060100000000006</v>
      </c>
      <c r="I634" s="14">
        <f>97.058 * CHOOSE(CONTROL!$C$9, $D$9, 100%, $F$9) + CHOOSE(CONTROL!$C$27, 0.0021, 0)</f>
        <v>97.060100000000006</v>
      </c>
      <c r="J634" s="14">
        <f>97.058 * CHOOSE(CONTROL!$C$9, $D$9, 100%, $F$9) + CHOOSE(CONTROL!$C$27, 0.0021, 0)</f>
        <v>97.060100000000006</v>
      </c>
      <c r="K634" s="14">
        <f>97.058 * CHOOSE(CONTROL!$C$9, $D$9, 100%, $F$9) + CHOOSE(CONTROL!$C$27, 0.0021, 0)</f>
        <v>97.060100000000006</v>
      </c>
      <c r="L634" s="14"/>
    </row>
    <row r="635" spans="1:12" ht="15.75" x14ac:dyDescent="0.25">
      <c r="A635" s="31">
        <v>60267</v>
      </c>
      <c r="B635" s="14">
        <f>94.6653 * CHOOSE(CONTROL!$C$9, $D$9, 100%, $F$9) + CHOOSE(CONTROL!$C$27, 0.0021, 0)</f>
        <v>94.667400000000001</v>
      </c>
      <c r="C635" s="14">
        <f>94.233 * CHOOSE(CONTROL!$C$9, $D$9, 100%, $F$9) + CHOOSE(CONTROL!$C$27, 0.0021, 0)</f>
        <v>94.235100000000003</v>
      </c>
      <c r="D635" s="14">
        <f>94.233 * CHOOSE(CONTROL!$C$9, $D$9, 100%, $F$9) + CHOOSE(CONTROL!$C$27, 0.0021, 0)</f>
        <v>94.235100000000003</v>
      </c>
      <c r="E635" s="14">
        <f>94.0963 * CHOOSE(CONTROL!$C$9, $D$9, 100%, $F$9) + CHOOSE(CONTROL!$C$27, 0.0021, 0)</f>
        <v>94.098399999999998</v>
      </c>
      <c r="F635" s="14">
        <f>94.0963 * CHOOSE(CONTROL!$C$9, $D$9, 100%, $F$9) + CHOOSE(CONTROL!$C$27, 0.0021, 0)</f>
        <v>94.098399999999998</v>
      </c>
      <c r="G635" s="14">
        <f>94.3677 * CHOOSE(CONTROL!$C$9, $D$9, 100%, $F$9) + CHOOSE(CONTROL!$C$27, 0.0021, 0)</f>
        <v>94.369799999999998</v>
      </c>
      <c r="H635" s="14">
        <f>94.233 * CHOOSE(CONTROL!$C$9, $D$9, 100%, $F$9) + CHOOSE(CONTROL!$C$27, 0.0021, 0)</f>
        <v>94.235100000000003</v>
      </c>
      <c r="I635" s="14">
        <f>94.233 * CHOOSE(CONTROL!$C$9, $D$9, 100%, $F$9) + CHOOSE(CONTROL!$C$27, 0.0021, 0)</f>
        <v>94.235100000000003</v>
      </c>
      <c r="J635" s="14">
        <f>94.233 * CHOOSE(CONTROL!$C$9, $D$9, 100%, $F$9) + CHOOSE(CONTROL!$C$27, 0.0021, 0)</f>
        <v>94.235100000000003</v>
      </c>
      <c r="K635" s="14">
        <f>94.233 * CHOOSE(CONTROL!$C$9, $D$9, 100%, $F$9) + CHOOSE(CONTROL!$C$27, 0.0021, 0)</f>
        <v>94.235100000000003</v>
      </c>
      <c r="L635" s="14"/>
    </row>
    <row r="636" spans="1:12" ht="15.75" x14ac:dyDescent="0.25">
      <c r="A636" s="31">
        <v>60298</v>
      </c>
      <c r="B636" s="14">
        <f>94.1153 * CHOOSE(CONTROL!$C$9, $D$9, 100%, $F$9) + CHOOSE(CONTROL!$C$27, 0.0021, 0)</f>
        <v>94.117400000000004</v>
      </c>
      <c r="C636" s="14">
        <f>93.683 * CHOOSE(CONTROL!$C$9, $D$9, 100%, $F$9) + CHOOSE(CONTROL!$C$27, 0.0021, 0)</f>
        <v>93.685100000000006</v>
      </c>
      <c r="D636" s="14">
        <f>93.683 * CHOOSE(CONTROL!$C$9, $D$9, 100%, $F$9) + CHOOSE(CONTROL!$C$27, 0.0021, 0)</f>
        <v>93.685100000000006</v>
      </c>
      <c r="E636" s="14">
        <f>93.5463 * CHOOSE(CONTROL!$C$9, $D$9, 100%, $F$9) + CHOOSE(CONTROL!$C$27, 0.0021, 0)</f>
        <v>93.548400000000001</v>
      </c>
      <c r="F636" s="14">
        <f>93.5463 * CHOOSE(CONTROL!$C$9, $D$9, 100%, $F$9) + CHOOSE(CONTROL!$C$27, 0.0021, 0)</f>
        <v>93.548400000000001</v>
      </c>
      <c r="G636" s="14">
        <f>93.8177 * CHOOSE(CONTROL!$C$9, $D$9, 100%, $F$9) + CHOOSE(CONTROL!$C$27, 0.0021, 0)</f>
        <v>93.819800000000001</v>
      </c>
      <c r="H636" s="14">
        <f>93.683 * CHOOSE(CONTROL!$C$9, $D$9, 100%, $F$9) + CHOOSE(CONTROL!$C$27, 0.0021, 0)</f>
        <v>93.685100000000006</v>
      </c>
      <c r="I636" s="14">
        <f>93.683 * CHOOSE(CONTROL!$C$9, $D$9, 100%, $F$9) + CHOOSE(CONTROL!$C$27, 0.0021, 0)</f>
        <v>93.685100000000006</v>
      </c>
      <c r="J636" s="14">
        <f>93.683 * CHOOSE(CONTROL!$C$9, $D$9, 100%, $F$9) + CHOOSE(CONTROL!$C$27, 0.0021, 0)</f>
        <v>93.685100000000006</v>
      </c>
      <c r="K636" s="14">
        <f>93.683 * CHOOSE(CONTROL!$C$9, $D$9, 100%, $F$9) + CHOOSE(CONTROL!$C$27, 0.0021, 0)</f>
        <v>93.685100000000006</v>
      </c>
      <c r="L636" s="14"/>
    </row>
    <row r="637" spans="1:12" ht="15.75" x14ac:dyDescent="0.25">
      <c r="A637" s="31">
        <v>60326</v>
      </c>
      <c r="B637" s="14">
        <f>93.86 * CHOOSE(CONTROL!$C$9, $D$9, 100%, $F$9) + CHOOSE(CONTROL!$C$27, 0.0021, 0)</f>
        <v>93.862099999999998</v>
      </c>
      <c r="C637" s="14">
        <f>93.4278 * CHOOSE(CONTROL!$C$9, $D$9, 100%, $F$9) + CHOOSE(CONTROL!$C$27, 0.0021, 0)</f>
        <v>93.429900000000004</v>
      </c>
      <c r="D637" s="14">
        <f>93.4278 * CHOOSE(CONTROL!$C$9, $D$9, 100%, $F$9) + CHOOSE(CONTROL!$C$27, 0.0021, 0)</f>
        <v>93.429900000000004</v>
      </c>
      <c r="E637" s="14">
        <f>93.2911 * CHOOSE(CONTROL!$C$9, $D$9, 100%, $F$9) + CHOOSE(CONTROL!$C$27, 0.0021, 0)</f>
        <v>93.293199999999999</v>
      </c>
      <c r="F637" s="14">
        <f>93.2911 * CHOOSE(CONTROL!$C$9, $D$9, 100%, $F$9) + CHOOSE(CONTROL!$C$27, 0.0021, 0)</f>
        <v>93.293199999999999</v>
      </c>
      <c r="G637" s="14">
        <f>93.5625 * CHOOSE(CONTROL!$C$9, $D$9, 100%, $F$9) + CHOOSE(CONTROL!$C$27, 0.0021, 0)</f>
        <v>93.564599999999999</v>
      </c>
      <c r="H637" s="14">
        <f>93.4278 * CHOOSE(CONTROL!$C$9, $D$9, 100%, $F$9) + CHOOSE(CONTROL!$C$27, 0.0021, 0)</f>
        <v>93.429900000000004</v>
      </c>
      <c r="I637" s="14">
        <f>93.4278 * CHOOSE(CONTROL!$C$9, $D$9, 100%, $F$9) + CHOOSE(CONTROL!$C$27, 0.0021, 0)</f>
        <v>93.429900000000004</v>
      </c>
      <c r="J637" s="14">
        <f>93.4278 * CHOOSE(CONTROL!$C$9, $D$9, 100%, $F$9) + CHOOSE(CONTROL!$C$27, 0.0021, 0)</f>
        <v>93.429900000000004</v>
      </c>
      <c r="K637" s="14">
        <f>93.4278 * CHOOSE(CONTROL!$C$9, $D$9, 100%, $F$9) + CHOOSE(CONTROL!$C$27, 0.0021, 0)</f>
        <v>93.429900000000004</v>
      </c>
      <c r="L637" s="14"/>
    </row>
    <row r="638" spans="1:12" ht="15.75" x14ac:dyDescent="0.25">
      <c r="A638" s="31">
        <v>60357</v>
      </c>
      <c r="B638" s="14">
        <f>98.6862 * CHOOSE(CONTROL!$C$9, $D$9, 100%, $F$9) + CHOOSE(CONTROL!$C$27, 0.0021, 0)</f>
        <v>98.688299999999998</v>
      </c>
      <c r="C638" s="14">
        <f>98.2539 * CHOOSE(CONTROL!$C$9, $D$9, 100%, $F$9) + CHOOSE(CONTROL!$C$27, 0.0021, 0)</f>
        <v>98.256</v>
      </c>
      <c r="D638" s="14">
        <f>98.2539 * CHOOSE(CONTROL!$C$9, $D$9, 100%, $F$9) + CHOOSE(CONTROL!$C$27, 0.0021, 0)</f>
        <v>98.256</v>
      </c>
      <c r="E638" s="14">
        <f>98.1173 * CHOOSE(CONTROL!$C$9, $D$9, 100%, $F$9) + CHOOSE(CONTROL!$C$27, 0.0021, 0)</f>
        <v>98.119399999999999</v>
      </c>
      <c r="F638" s="14">
        <f>98.1173 * CHOOSE(CONTROL!$C$9, $D$9, 100%, $F$9) + CHOOSE(CONTROL!$C$27, 0.0021, 0)</f>
        <v>98.119399999999999</v>
      </c>
      <c r="G638" s="14">
        <f>98.3886 * CHOOSE(CONTROL!$C$9, $D$9, 100%, $F$9) + CHOOSE(CONTROL!$C$27, 0.0021, 0)</f>
        <v>98.390699999999995</v>
      </c>
      <c r="H638" s="14">
        <f>98.2539 * CHOOSE(CONTROL!$C$9, $D$9, 100%, $F$9) + CHOOSE(CONTROL!$C$27, 0.0021, 0)</f>
        <v>98.256</v>
      </c>
      <c r="I638" s="14">
        <f>98.2539 * CHOOSE(CONTROL!$C$9, $D$9, 100%, $F$9) + CHOOSE(CONTROL!$C$27, 0.0021, 0)</f>
        <v>98.256</v>
      </c>
      <c r="J638" s="14">
        <f>98.2539 * CHOOSE(CONTROL!$C$9, $D$9, 100%, $F$9) + CHOOSE(CONTROL!$C$27, 0.0021, 0)</f>
        <v>98.256</v>
      </c>
      <c r="K638" s="14">
        <f>98.2539 * CHOOSE(CONTROL!$C$9, $D$9, 100%, $F$9) + CHOOSE(CONTROL!$C$27, 0.0021, 0)</f>
        <v>98.256</v>
      </c>
      <c r="L638" s="14"/>
    </row>
    <row r="639" spans="1:12" ht="15.75" x14ac:dyDescent="0.25">
      <c r="A639" s="31">
        <v>60387</v>
      </c>
      <c r="B639" s="14">
        <f>104.9445 * CHOOSE(CONTROL!$C$9, $D$9, 100%, $F$9) + CHOOSE(CONTROL!$C$27, 0.0021, 0)</f>
        <v>104.9466</v>
      </c>
      <c r="C639" s="14">
        <f>104.5123 * CHOOSE(CONTROL!$C$9, $D$9, 100%, $F$9) + CHOOSE(CONTROL!$C$27, 0.0021, 0)</f>
        <v>104.51439999999999</v>
      </c>
      <c r="D639" s="14">
        <f>104.5123 * CHOOSE(CONTROL!$C$9, $D$9, 100%, $F$9) + CHOOSE(CONTROL!$C$27, 0.0021, 0)</f>
        <v>104.51439999999999</v>
      </c>
      <c r="E639" s="14">
        <f>104.3756 * CHOOSE(CONTROL!$C$9, $D$9, 100%, $F$9) + CHOOSE(CONTROL!$C$27, 0.0021, 0)</f>
        <v>104.3777</v>
      </c>
      <c r="F639" s="14">
        <f>104.3756 * CHOOSE(CONTROL!$C$9, $D$9, 100%, $F$9) + CHOOSE(CONTROL!$C$27, 0.0021, 0)</f>
        <v>104.3777</v>
      </c>
      <c r="G639" s="14">
        <f>104.647 * CHOOSE(CONTROL!$C$9, $D$9, 100%, $F$9) + CHOOSE(CONTROL!$C$27, 0.0021, 0)</f>
        <v>104.6491</v>
      </c>
      <c r="H639" s="14">
        <f>104.5123 * CHOOSE(CONTROL!$C$9, $D$9, 100%, $F$9) + CHOOSE(CONTROL!$C$27, 0.0021, 0)</f>
        <v>104.51439999999999</v>
      </c>
      <c r="I639" s="14">
        <f>104.5123 * CHOOSE(CONTROL!$C$9, $D$9, 100%, $F$9) + CHOOSE(CONTROL!$C$27, 0.0021, 0)</f>
        <v>104.51439999999999</v>
      </c>
      <c r="J639" s="14">
        <f>104.5123 * CHOOSE(CONTROL!$C$9, $D$9, 100%, $F$9) + CHOOSE(CONTROL!$C$27, 0.0021, 0)</f>
        <v>104.51439999999999</v>
      </c>
      <c r="K639" s="14">
        <f>104.5123 * CHOOSE(CONTROL!$C$9, $D$9, 100%, $F$9) + CHOOSE(CONTROL!$C$27, 0.0021, 0)</f>
        <v>104.51439999999999</v>
      </c>
      <c r="L639" s="14"/>
    </row>
    <row r="640" spans="1:12" ht="15.75" x14ac:dyDescent="0.25">
      <c r="A640" s="31">
        <v>60418</v>
      </c>
      <c r="B640" s="14">
        <f>108.3893 * CHOOSE(CONTROL!$C$9, $D$9, 100%, $F$9) + CHOOSE(CONTROL!$C$27, 0.0021, 0)</f>
        <v>108.3914</v>
      </c>
      <c r="C640" s="14">
        <f>107.9571 * CHOOSE(CONTROL!$C$9, $D$9, 100%, $F$9) + CHOOSE(CONTROL!$C$27, 0.0021, 0)</f>
        <v>107.9592</v>
      </c>
      <c r="D640" s="14">
        <f>107.9571 * CHOOSE(CONTROL!$C$9, $D$9, 100%, $F$9) + CHOOSE(CONTROL!$C$27, 0.0021, 0)</f>
        <v>107.9592</v>
      </c>
      <c r="E640" s="14">
        <f>107.8204 * CHOOSE(CONTROL!$C$9, $D$9, 100%, $F$9) + CHOOSE(CONTROL!$C$27, 0.0021, 0)</f>
        <v>107.82250000000001</v>
      </c>
      <c r="F640" s="14">
        <f>107.8204 * CHOOSE(CONTROL!$C$9, $D$9, 100%, $F$9) + CHOOSE(CONTROL!$C$27, 0.0021, 0)</f>
        <v>107.82250000000001</v>
      </c>
      <c r="G640" s="14">
        <f>108.0918 * CHOOSE(CONTROL!$C$9, $D$9, 100%, $F$9) + CHOOSE(CONTROL!$C$27, 0.0021, 0)</f>
        <v>108.0939</v>
      </c>
      <c r="H640" s="14">
        <f>107.9571 * CHOOSE(CONTROL!$C$9, $D$9, 100%, $F$9) + CHOOSE(CONTROL!$C$27, 0.0021, 0)</f>
        <v>107.9592</v>
      </c>
      <c r="I640" s="14">
        <f>107.9571 * CHOOSE(CONTROL!$C$9, $D$9, 100%, $F$9) + CHOOSE(CONTROL!$C$27, 0.0021, 0)</f>
        <v>107.9592</v>
      </c>
      <c r="J640" s="14">
        <f>107.9571 * CHOOSE(CONTROL!$C$9, $D$9, 100%, $F$9) + CHOOSE(CONTROL!$C$27, 0.0021, 0)</f>
        <v>107.9592</v>
      </c>
      <c r="K640" s="14">
        <f>107.9571 * CHOOSE(CONTROL!$C$9, $D$9, 100%, $F$9) + CHOOSE(CONTROL!$C$27, 0.0021, 0)</f>
        <v>107.9592</v>
      </c>
      <c r="L640" s="14"/>
    </row>
    <row r="641" spans="1:12" ht="15.75" x14ac:dyDescent="0.25">
      <c r="A641" s="31">
        <v>60448</v>
      </c>
      <c r="B641" s="14">
        <f>109.9181 * CHOOSE(CONTROL!$C$9, $D$9, 100%, $F$9) + CHOOSE(CONTROL!$C$27, 0.0021, 0)</f>
        <v>109.92019999999999</v>
      </c>
      <c r="C641" s="14">
        <f>109.4858 * CHOOSE(CONTROL!$C$9, $D$9, 100%, $F$9) + CHOOSE(CONTROL!$C$27, 0.0021, 0)</f>
        <v>109.4879</v>
      </c>
      <c r="D641" s="14">
        <f>109.4858 * CHOOSE(CONTROL!$C$9, $D$9, 100%, $F$9) + CHOOSE(CONTROL!$C$27, 0.0021, 0)</f>
        <v>109.4879</v>
      </c>
      <c r="E641" s="14">
        <f>109.3492 * CHOOSE(CONTROL!$C$9, $D$9, 100%, $F$9) + CHOOSE(CONTROL!$C$27, 0.0021, 0)</f>
        <v>109.35129999999999</v>
      </c>
      <c r="F641" s="14">
        <f>109.3492 * CHOOSE(CONTROL!$C$9, $D$9, 100%, $F$9) + CHOOSE(CONTROL!$C$27, 0.0021, 0)</f>
        <v>109.35129999999999</v>
      </c>
      <c r="G641" s="14">
        <f>109.6205 * CHOOSE(CONTROL!$C$9, $D$9, 100%, $F$9) + CHOOSE(CONTROL!$C$27, 0.0021, 0)</f>
        <v>109.62260000000001</v>
      </c>
      <c r="H641" s="14">
        <f>109.4858 * CHOOSE(CONTROL!$C$9, $D$9, 100%, $F$9) + CHOOSE(CONTROL!$C$27, 0.0021, 0)</f>
        <v>109.4879</v>
      </c>
      <c r="I641" s="14">
        <f>109.4858 * CHOOSE(CONTROL!$C$9, $D$9, 100%, $F$9) + CHOOSE(CONTROL!$C$27, 0.0021, 0)</f>
        <v>109.4879</v>
      </c>
      <c r="J641" s="14">
        <f>109.4858 * CHOOSE(CONTROL!$C$9, $D$9, 100%, $F$9) + CHOOSE(CONTROL!$C$27, 0.0021, 0)</f>
        <v>109.4879</v>
      </c>
      <c r="K641" s="14">
        <f>109.4858 * CHOOSE(CONTROL!$C$9, $D$9, 100%, $F$9) + CHOOSE(CONTROL!$C$27, 0.0021, 0)</f>
        <v>109.4879</v>
      </c>
      <c r="L641" s="14"/>
    </row>
    <row r="642" spans="1:12" ht="15.75" x14ac:dyDescent="0.25">
      <c r="A642" s="31">
        <v>60479</v>
      </c>
      <c r="B642" s="14">
        <f>109.4147 * CHOOSE(CONTROL!$C$9, $D$9, 100%, $F$9) + CHOOSE(CONTROL!$C$27, 0.0021, 0)</f>
        <v>109.41679999999999</v>
      </c>
      <c r="C642" s="14">
        <f>108.9825 * CHOOSE(CONTROL!$C$9, $D$9, 100%, $F$9) + CHOOSE(CONTROL!$C$27, 0.0021, 0)</f>
        <v>108.9846</v>
      </c>
      <c r="D642" s="14">
        <f>108.9825 * CHOOSE(CONTROL!$C$9, $D$9, 100%, $F$9) + CHOOSE(CONTROL!$C$27, 0.0021, 0)</f>
        <v>108.9846</v>
      </c>
      <c r="E642" s="14">
        <f>108.8458 * CHOOSE(CONTROL!$C$9, $D$9, 100%, $F$9) + CHOOSE(CONTROL!$C$27, 0.0021, 0)</f>
        <v>108.8479</v>
      </c>
      <c r="F642" s="14">
        <f>108.8458 * CHOOSE(CONTROL!$C$9, $D$9, 100%, $F$9) + CHOOSE(CONTROL!$C$27, 0.0021, 0)</f>
        <v>108.8479</v>
      </c>
      <c r="G642" s="14">
        <f>109.1172 * CHOOSE(CONTROL!$C$9, $D$9, 100%, $F$9) + CHOOSE(CONTROL!$C$27, 0.0021, 0)</f>
        <v>109.1193</v>
      </c>
      <c r="H642" s="14">
        <f>108.9825 * CHOOSE(CONTROL!$C$9, $D$9, 100%, $F$9) + CHOOSE(CONTROL!$C$27, 0.0021, 0)</f>
        <v>108.9846</v>
      </c>
      <c r="I642" s="14">
        <f>108.9825 * CHOOSE(CONTROL!$C$9, $D$9, 100%, $F$9) + CHOOSE(CONTROL!$C$27, 0.0021, 0)</f>
        <v>108.9846</v>
      </c>
      <c r="J642" s="14">
        <f>108.9825 * CHOOSE(CONTROL!$C$9, $D$9, 100%, $F$9) + CHOOSE(CONTROL!$C$27, 0.0021, 0)</f>
        <v>108.9846</v>
      </c>
      <c r="K642" s="14">
        <f>108.9825 * CHOOSE(CONTROL!$C$9, $D$9, 100%, $F$9) + CHOOSE(CONTROL!$C$27, 0.0021, 0)</f>
        <v>108.9846</v>
      </c>
      <c r="L642" s="14"/>
    </row>
    <row r="643" spans="1:12" ht="15.75" x14ac:dyDescent="0.25">
      <c r="A643" s="31">
        <v>60510</v>
      </c>
      <c r="B643" s="14">
        <f>106.921 * CHOOSE(CONTROL!$C$9, $D$9, 100%, $F$9) + CHOOSE(CONTROL!$C$27, 0.0021, 0)</f>
        <v>106.92310000000001</v>
      </c>
      <c r="C643" s="14">
        <f>106.4887 * CHOOSE(CONTROL!$C$9, $D$9, 100%, $F$9) + CHOOSE(CONTROL!$C$27, 0.0021, 0)</f>
        <v>106.49079999999999</v>
      </c>
      <c r="D643" s="14">
        <f>106.4887 * CHOOSE(CONTROL!$C$9, $D$9, 100%, $F$9) + CHOOSE(CONTROL!$C$27, 0.0021, 0)</f>
        <v>106.49079999999999</v>
      </c>
      <c r="E643" s="14">
        <f>106.3521 * CHOOSE(CONTROL!$C$9, $D$9, 100%, $F$9) + CHOOSE(CONTROL!$C$27, 0.0021, 0)</f>
        <v>106.35419999999999</v>
      </c>
      <c r="F643" s="14">
        <f>106.3521 * CHOOSE(CONTROL!$C$9, $D$9, 100%, $F$9) + CHOOSE(CONTROL!$C$27, 0.0021, 0)</f>
        <v>106.35419999999999</v>
      </c>
      <c r="G643" s="14">
        <f>106.6234 * CHOOSE(CONTROL!$C$9, $D$9, 100%, $F$9) + CHOOSE(CONTROL!$C$27, 0.0021, 0)</f>
        <v>106.6255</v>
      </c>
      <c r="H643" s="14">
        <f>106.4887 * CHOOSE(CONTROL!$C$9, $D$9, 100%, $F$9) + CHOOSE(CONTROL!$C$27, 0.0021, 0)</f>
        <v>106.49079999999999</v>
      </c>
      <c r="I643" s="14">
        <f>106.4887 * CHOOSE(CONTROL!$C$9, $D$9, 100%, $F$9) + CHOOSE(CONTROL!$C$27, 0.0021, 0)</f>
        <v>106.49079999999999</v>
      </c>
      <c r="J643" s="14">
        <f>106.4887 * CHOOSE(CONTROL!$C$9, $D$9, 100%, $F$9) + CHOOSE(CONTROL!$C$27, 0.0021, 0)</f>
        <v>106.49079999999999</v>
      </c>
      <c r="K643" s="14">
        <f>106.4887 * CHOOSE(CONTROL!$C$9, $D$9, 100%, $F$9) + CHOOSE(CONTROL!$C$27, 0.0021, 0)</f>
        <v>106.49079999999999</v>
      </c>
      <c r="L643" s="14"/>
    </row>
    <row r="644" spans="1:12" ht="15.75" x14ac:dyDescent="0.25">
      <c r="A644" s="31">
        <v>60540</v>
      </c>
      <c r="B644" s="14">
        <f>103.4433 * CHOOSE(CONTROL!$C$9, $D$9, 100%, $F$9) + CHOOSE(CONTROL!$C$27, 0.0021, 0)</f>
        <v>103.44539999999999</v>
      </c>
      <c r="C644" s="14">
        <f>103.011 * CHOOSE(CONTROL!$C$9, $D$9, 100%, $F$9) + CHOOSE(CONTROL!$C$27, 0.0021, 0)</f>
        <v>103.01309999999999</v>
      </c>
      <c r="D644" s="14">
        <f>103.011 * CHOOSE(CONTROL!$C$9, $D$9, 100%, $F$9) + CHOOSE(CONTROL!$C$27, 0.0021, 0)</f>
        <v>103.01309999999999</v>
      </c>
      <c r="E644" s="14">
        <f>102.8744 * CHOOSE(CONTROL!$C$9, $D$9, 100%, $F$9) + CHOOSE(CONTROL!$C$27, 0.0021, 0)</f>
        <v>102.87649999999999</v>
      </c>
      <c r="F644" s="14">
        <f>102.8744 * CHOOSE(CONTROL!$C$9, $D$9, 100%, $F$9) + CHOOSE(CONTROL!$C$27, 0.0021, 0)</f>
        <v>102.87649999999999</v>
      </c>
      <c r="G644" s="14">
        <f>103.1458 * CHOOSE(CONTROL!$C$9, $D$9, 100%, $F$9) + CHOOSE(CONTROL!$C$27, 0.0021, 0)</f>
        <v>103.14789999999999</v>
      </c>
      <c r="H644" s="14">
        <f>103.011 * CHOOSE(CONTROL!$C$9, $D$9, 100%, $F$9) + CHOOSE(CONTROL!$C$27, 0.0021, 0)</f>
        <v>103.01309999999999</v>
      </c>
      <c r="I644" s="14">
        <f>103.011 * CHOOSE(CONTROL!$C$9, $D$9, 100%, $F$9) + CHOOSE(CONTROL!$C$27, 0.0021, 0)</f>
        <v>103.01309999999999</v>
      </c>
      <c r="J644" s="14">
        <f>103.011 * CHOOSE(CONTROL!$C$9, $D$9, 100%, $F$9) + CHOOSE(CONTROL!$C$27, 0.0021, 0)</f>
        <v>103.01309999999999</v>
      </c>
      <c r="K644" s="14">
        <f>103.011 * CHOOSE(CONTROL!$C$9, $D$9, 100%, $F$9) + CHOOSE(CONTROL!$C$27, 0.0021, 0)</f>
        <v>103.01309999999999</v>
      </c>
      <c r="L644" s="14"/>
    </row>
    <row r="645" spans="1:12" ht="15.75" x14ac:dyDescent="0.25">
      <c r="A645" s="31">
        <v>60571</v>
      </c>
      <c r="B645" s="14">
        <f>99.9454 * CHOOSE(CONTROL!$C$9, $D$9, 100%, $F$9) + CHOOSE(CONTROL!$C$27, 0.0021, 0)</f>
        <v>99.947500000000005</v>
      </c>
      <c r="C645" s="14">
        <f>99.5131 * CHOOSE(CONTROL!$C$9, $D$9, 100%, $F$9) + CHOOSE(CONTROL!$C$27, 0.0021, 0)</f>
        <v>99.515199999999993</v>
      </c>
      <c r="D645" s="14">
        <f>99.5131 * CHOOSE(CONTROL!$C$9, $D$9, 100%, $F$9) + CHOOSE(CONTROL!$C$27, 0.0021, 0)</f>
        <v>99.515199999999993</v>
      </c>
      <c r="E645" s="14">
        <f>99.3765 * CHOOSE(CONTROL!$C$9, $D$9, 100%, $F$9) + CHOOSE(CONTROL!$C$27, 0.0021, 0)</f>
        <v>99.378599999999992</v>
      </c>
      <c r="F645" s="14">
        <f>99.3765 * CHOOSE(CONTROL!$C$9, $D$9, 100%, $F$9) + CHOOSE(CONTROL!$C$27, 0.0021, 0)</f>
        <v>99.378599999999992</v>
      </c>
      <c r="G645" s="14">
        <f>99.6479 * CHOOSE(CONTROL!$C$9, $D$9, 100%, $F$9) + CHOOSE(CONTROL!$C$27, 0.0021, 0)</f>
        <v>99.65</v>
      </c>
      <c r="H645" s="14">
        <f>99.5131 * CHOOSE(CONTROL!$C$9, $D$9, 100%, $F$9) + CHOOSE(CONTROL!$C$27, 0.0021, 0)</f>
        <v>99.515199999999993</v>
      </c>
      <c r="I645" s="14">
        <f>99.5131 * CHOOSE(CONTROL!$C$9, $D$9, 100%, $F$9) + CHOOSE(CONTROL!$C$27, 0.0021, 0)</f>
        <v>99.515199999999993</v>
      </c>
      <c r="J645" s="14">
        <f>99.5131 * CHOOSE(CONTROL!$C$9, $D$9, 100%, $F$9) + CHOOSE(CONTROL!$C$27, 0.0021, 0)</f>
        <v>99.515199999999993</v>
      </c>
      <c r="K645" s="14">
        <f>99.5131 * CHOOSE(CONTROL!$C$9, $D$9, 100%, $F$9) + CHOOSE(CONTROL!$C$27, 0.0021, 0)</f>
        <v>99.515199999999993</v>
      </c>
      <c r="L645" s="14"/>
    </row>
    <row r="646" spans="1:12" ht="15.75" x14ac:dyDescent="0.25">
      <c r="A646" s="31">
        <v>60601</v>
      </c>
      <c r="B646" s="14">
        <f>99.2496 * CHOOSE(CONTROL!$C$9, $D$9, 100%, $F$9) + CHOOSE(CONTROL!$C$27, 0.0021, 0)</f>
        <v>99.2517</v>
      </c>
      <c r="C646" s="14">
        <f>98.8173 * CHOOSE(CONTROL!$C$9, $D$9, 100%, $F$9) + CHOOSE(CONTROL!$C$27, 0.0021, 0)</f>
        <v>98.819400000000002</v>
      </c>
      <c r="D646" s="14">
        <f>98.8173 * CHOOSE(CONTROL!$C$9, $D$9, 100%, $F$9) + CHOOSE(CONTROL!$C$27, 0.0021, 0)</f>
        <v>98.819400000000002</v>
      </c>
      <c r="E646" s="14">
        <f>98.6807 * CHOOSE(CONTROL!$C$9, $D$9, 100%, $F$9) + CHOOSE(CONTROL!$C$27, 0.0021, 0)</f>
        <v>98.6828</v>
      </c>
      <c r="F646" s="14">
        <f>98.6807 * CHOOSE(CONTROL!$C$9, $D$9, 100%, $F$9) + CHOOSE(CONTROL!$C$27, 0.0021, 0)</f>
        <v>98.6828</v>
      </c>
      <c r="G646" s="14">
        <f>98.9521 * CHOOSE(CONTROL!$C$9, $D$9, 100%, $F$9) + CHOOSE(CONTROL!$C$27, 0.0021, 0)</f>
        <v>98.9542</v>
      </c>
      <c r="H646" s="14">
        <f>98.8173 * CHOOSE(CONTROL!$C$9, $D$9, 100%, $F$9) + CHOOSE(CONTROL!$C$27, 0.0021, 0)</f>
        <v>98.819400000000002</v>
      </c>
      <c r="I646" s="14">
        <f>98.8173 * CHOOSE(CONTROL!$C$9, $D$9, 100%, $F$9) + CHOOSE(CONTROL!$C$27, 0.0021, 0)</f>
        <v>98.819400000000002</v>
      </c>
      <c r="J646" s="14">
        <f>98.8173 * CHOOSE(CONTROL!$C$9, $D$9, 100%, $F$9) + CHOOSE(CONTROL!$C$27, 0.0021, 0)</f>
        <v>98.819400000000002</v>
      </c>
      <c r="K646" s="14">
        <f>98.8173 * CHOOSE(CONTROL!$C$9, $D$9, 100%, $F$9) + CHOOSE(CONTROL!$C$27, 0.0021, 0)</f>
        <v>98.819400000000002</v>
      </c>
      <c r="L646" s="14"/>
    </row>
    <row r="647" spans="1:12" ht="15.75" x14ac:dyDescent="0.25">
      <c r="A647" s="31">
        <v>60632</v>
      </c>
      <c r="B647" s="14">
        <f>96.3724 * CHOOSE(CONTROL!$C$9, $D$9, 100%, $F$9) + CHOOSE(CONTROL!$C$27, 0.0021, 0)</f>
        <v>96.374499999999998</v>
      </c>
      <c r="C647" s="14">
        <f>95.9401 * CHOOSE(CONTROL!$C$9, $D$9, 100%, $F$9) + CHOOSE(CONTROL!$C$27, 0.0021, 0)</f>
        <v>95.9422</v>
      </c>
      <c r="D647" s="14">
        <f>95.9401 * CHOOSE(CONTROL!$C$9, $D$9, 100%, $F$9) + CHOOSE(CONTROL!$C$27, 0.0021, 0)</f>
        <v>95.9422</v>
      </c>
      <c r="E647" s="14">
        <f>95.8035 * CHOOSE(CONTROL!$C$9, $D$9, 100%, $F$9) + CHOOSE(CONTROL!$C$27, 0.0021, 0)</f>
        <v>95.805599999999998</v>
      </c>
      <c r="F647" s="14">
        <f>95.8035 * CHOOSE(CONTROL!$C$9, $D$9, 100%, $F$9) + CHOOSE(CONTROL!$C$27, 0.0021, 0)</f>
        <v>95.805599999999998</v>
      </c>
      <c r="G647" s="14">
        <f>96.0748 * CHOOSE(CONTROL!$C$9, $D$9, 100%, $F$9) + CHOOSE(CONTROL!$C$27, 0.0021, 0)</f>
        <v>96.076899999999995</v>
      </c>
      <c r="H647" s="14">
        <f>95.9401 * CHOOSE(CONTROL!$C$9, $D$9, 100%, $F$9) + CHOOSE(CONTROL!$C$27, 0.0021, 0)</f>
        <v>95.9422</v>
      </c>
      <c r="I647" s="14">
        <f>95.9401 * CHOOSE(CONTROL!$C$9, $D$9, 100%, $F$9) + CHOOSE(CONTROL!$C$27, 0.0021, 0)</f>
        <v>95.9422</v>
      </c>
      <c r="J647" s="14">
        <f>95.9401 * CHOOSE(CONTROL!$C$9, $D$9, 100%, $F$9) + CHOOSE(CONTROL!$C$27, 0.0021, 0)</f>
        <v>95.9422</v>
      </c>
      <c r="K647" s="14">
        <f>95.9401 * CHOOSE(CONTROL!$C$9, $D$9, 100%, $F$9) + CHOOSE(CONTROL!$C$27, 0.0021, 0)</f>
        <v>95.9422</v>
      </c>
      <c r="L647" s="14"/>
    </row>
    <row r="648" spans="1:12" ht="15.75" x14ac:dyDescent="0.25">
      <c r="A648" s="31">
        <v>60663</v>
      </c>
      <c r="B648" s="14">
        <f>95.8122 * CHOOSE(CONTROL!$C$9, $D$9, 100%, $F$9) + CHOOSE(CONTROL!$C$27, 0.0021, 0)</f>
        <v>95.814300000000003</v>
      </c>
      <c r="C648" s="14">
        <f>95.38 * CHOOSE(CONTROL!$C$9, $D$9, 100%, $F$9) + CHOOSE(CONTROL!$C$27, 0.0021, 0)</f>
        <v>95.382099999999994</v>
      </c>
      <c r="D648" s="14">
        <f>95.38 * CHOOSE(CONTROL!$C$9, $D$9, 100%, $F$9) + CHOOSE(CONTROL!$C$27, 0.0021, 0)</f>
        <v>95.382099999999994</v>
      </c>
      <c r="E648" s="14">
        <f>95.2433 * CHOOSE(CONTROL!$C$9, $D$9, 100%, $F$9) + CHOOSE(CONTROL!$C$27, 0.0021, 0)</f>
        <v>95.245400000000004</v>
      </c>
      <c r="F648" s="14">
        <f>95.2433 * CHOOSE(CONTROL!$C$9, $D$9, 100%, $F$9) + CHOOSE(CONTROL!$C$27, 0.0021, 0)</f>
        <v>95.245400000000004</v>
      </c>
      <c r="G648" s="14">
        <f>95.5147 * CHOOSE(CONTROL!$C$9, $D$9, 100%, $F$9) + CHOOSE(CONTROL!$C$27, 0.0021, 0)</f>
        <v>95.516800000000003</v>
      </c>
      <c r="H648" s="14">
        <f>95.38 * CHOOSE(CONTROL!$C$9, $D$9, 100%, $F$9) + CHOOSE(CONTROL!$C$27, 0.0021, 0)</f>
        <v>95.382099999999994</v>
      </c>
      <c r="I648" s="14">
        <f>95.38 * CHOOSE(CONTROL!$C$9, $D$9, 100%, $F$9) + CHOOSE(CONTROL!$C$27, 0.0021, 0)</f>
        <v>95.382099999999994</v>
      </c>
      <c r="J648" s="14">
        <f>95.38 * CHOOSE(CONTROL!$C$9, $D$9, 100%, $F$9) + CHOOSE(CONTROL!$C$27, 0.0021, 0)</f>
        <v>95.382099999999994</v>
      </c>
      <c r="K648" s="14">
        <f>95.38 * CHOOSE(CONTROL!$C$9, $D$9, 100%, $F$9) + CHOOSE(CONTROL!$C$27, 0.0021, 0)</f>
        <v>95.382099999999994</v>
      </c>
      <c r="L648" s="14"/>
    </row>
    <row r="649" spans="1:12" ht="15.75" x14ac:dyDescent="0.25">
      <c r="A649" s="31">
        <v>60691</v>
      </c>
      <c r="B649" s="14">
        <f>95.5523 * CHOOSE(CONTROL!$C$9, $D$9, 100%, $F$9) + CHOOSE(CONTROL!$C$27, 0.0021, 0)</f>
        <v>95.554400000000001</v>
      </c>
      <c r="C649" s="14">
        <f>95.12 * CHOOSE(CONTROL!$C$9, $D$9, 100%, $F$9) + CHOOSE(CONTROL!$C$27, 0.0021, 0)</f>
        <v>95.122100000000003</v>
      </c>
      <c r="D649" s="14">
        <f>95.12 * CHOOSE(CONTROL!$C$9, $D$9, 100%, $F$9) + CHOOSE(CONTROL!$C$27, 0.0021, 0)</f>
        <v>95.122100000000003</v>
      </c>
      <c r="E649" s="14">
        <f>94.9833 * CHOOSE(CONTROL!$C$9, $D$9, 100%, $F$9) + CHOOSE(CONTROL!$C$27, 0.0021, 0)</f>
        <v>94.985399999999998</v>
      </c>
      <c r="F649" s="14">
        <f>94.9833 * CHOOSE(CONTROL!$C$9, $D$9, 100%, $F$9) + CHOOSE(CONTROL!$C$27, 0.0021, 0)</f>
        <v>94.985399999999998</v>
      </c>
      <c r="G649" s="14">
        <f>95.2547 * CHOOSE(CONTROL!$C$9, $D$9, 100%, $F$9) + CHOOSE(CONTROL!$C$27, 0.0021, 0)</f>
        <v>95.256799999999998</v>
      </c>
      <c r="H649" s="14">
        <f>95.12 * CHOOSE(CONTROL!$C$9, $D$9, 100%, $F$9) + CHOOSE(CONTROL!$C$27, 0.0021, 0)</f>
        <v>95.122100000000003</v>
      </c>
      <c r="I649" s="14">
        <f>95.12 * CHOOSE(CONTROL!$C$9, $D$9, 100%, $F$9) + CHOOSE(CONTROL!$C$27, 0.0021, 0)</f>
        <v>95.122100000000003</v>
      </c>
      <c r="J649" s="14">
        <f>95.12 * CHOOSE(CONTROL!$C$9, $D$9, 100%, $F$9) + CHOOSE(CONTROL!$C$27, 0.0021, 0)</f>
        <v>95.122100000000003</v>
      </c>
      <c r="K649" s="14">
        <f>95.12 * CHOOSE(CONTROL!$C$9, $D$9, 100%, $F$9) + CHOOSE(CONTROL!$C$27, 0.0021, 0)</f>
        <v>95.122100000000003</v>
      </c>
      <c r="L649" s="14"/>
    </row>
    <row r="650" spans="1:12" ht="15.75" x14ac:dyDescent="0.25">
      <c r="A650" s="31">
        <v>60722</v>
      </c>
      <c r="B650" s="14">
        <f>100.4676 * CHOOSE(CONTROL!$C$9, $D$9, 100%, $F$9) + CHOOSE(CONTROL!$C$27, 0.0021, 0)</f>
        <v>100.4697</v>
      </c>
      <c r="C650" s="14">
        <f>100.0353 * CHOOSE(CONTROL!$C$9, $D$9, 100%, $F$9) + CHOOSE(CONTROL!$C$27, 0.0021, 0)</f>
        <v>100.03740000000001</v>
      </c>
      <c r="D650" s="14">
        <f>100.0353 * CHOOSE(CONTROL!$C$9, $D$9, 100%, $F$9) + CHOOSE(CONTROL!$C$27, 0.0021, 0)</f>
        <v>100.03740000000001</v>
      </c>
      <c r="E650" s="14">
        <f>99.8987 * CHOOSE(CONTROL!$C$9, $D$9, 100%, $F$9) + CHOOSE(CONTROL!$C$27, 0.0021, 0)</f>
        <v>99.900800000000004</v>
      </c>
      <c r="F650" s="14">
        <f>99.8987 * CHOOSE(CONTROL!$C$9, $D$9, 100%, $F$9) + CHOOSE(CONTROL!$C$27, 0.0021, 0)</f>
        <v>99.900800000000004</v>
      </c>
      <c r="G650" s="14">
        <f>100.1701 * CHOOSE(CONTROL!$C$9, $D$9, 100%, $F$9) + CHOOSE(CONTROL!$C$27, 0.0021, 0)</f>
        <v>100.1722</v>
      </c>
      <c r="H650" s="14">
        <f>100.0353 * CHOOSE(CONTROL!$C$9, $D$9, 100%, $F$9) + CHOOSE(CONTROL!$C$27, 0.0021, 0)</f>
        <v>100.03740000000001</v>
      </c>
      <c r="I650" s="14">
        <f>100.0353 * CHOOSE(CONTROL!$C$9, $D$9, 100%, $F$9) + CHOOSE(CONTROL!$C$27, 0.0021, 0)</f>
        <v>100.03740000000001</v>
      </c>
      <c r="J650" s="14">
        <f>100.0353 * CHOOSE(CONTROL!$C$9, $D$9, 100%, $F$9) + CHOOSE(CONTROL!$C$27, 0.0021, 0)</f>
        <v>100.03740000000001</v>
      </c>
      <c r="K650" s="14">
        <f>100.0353 * CHOOSE(CONTROL!$C$9, $D$9, 100%, $F$9) + CHOOSE(CONTROL!$C$27, 0.0021, 0)</f>
        <v>100.03740000000001</v>
      </c>
      <c r="L650" s="14"/>
    </row>
    <row r="651" spans="1:12" ht="15.75" x14ac:dyDescent="0.25">
      <c r="A651" s="31">
        <v>60752</v>
      </c>
      <c r="B651" s="14">
        <f>106.8416 * CHOOSE(CONTROL!$C$9, $D$9, 100%, $F$9) + CHOOSE(CONTROL!$C$27, 0.0021, 0)</f>
        <v>106.8437</v>
      </c>
      <c r="C651" s="14">
        <f>106.4094 * CHOOSE(CONTROL!$C$9, $D$9, 100%, $F$9) + CHOOSE(CONTROL!$C$27, 0.0021, 0)</f>
        <v>106.4115</v>
      </c>
      <c r="D651" s="14">
        <f>106.4094 * CHOOSE(CONTROL!$C$9, $D$9, 100%, $F$9) + CHOOSE(CONTROL!$C$27, 0.0021, 0)</f>
        <v>106.4115</v>
      </c>
      <c r="E651" s="14">
        <f>106.2727 * CHOOSE(CONTROL!$C$9, $D$9, 100%, $F$9) + CHOOSE(CONTROL!$C$27, 0.0021, 0)</f>
        <v>106.2748</v>
      </c>
      <c r="F651" s="14">
        <f>106.2727 * CHOOSE(CONTROL!$C$9, $D$9, 100%, $F$9) + CHOOSE(CONTROL!$C$27, 0.0021, 0)</f>
        <v>106.2748</v>
      </c>
      <c r="G651" s="14">
        <f>106.5441 * CHOOSE(CONTROL!$C$9, $D$9, 100%, $F$9) + CHOOSE(CONTROL!$C$27, 0.0021, 0)</f>
        <v>106.5462</v>
      </c>
      <c r="H651" s="14">
        <f>106.4094 * CHOOSE(CONTROL!$C$9, $D$9, 100%, $F$9) + CHOOSE(CONTROL!$C$27, 0.0021, 0)</f>
        <v>106.4115</v>
      </c>
      <c r="I651" s="14">
        <f>106.4094 * CHOOSE(CONTROL!$C$9, $D$9, 100%, $F$9) + CHOOSE(CONTROL!$C$27, 0.0021, 0)</f>
        <v>106.4115</v>
      </c>
      <c r="J651" s="14">
        <f>106.4094 * CHOOSE(CONTROL!$C$9, $D$9, 100%, $F$9) + CHOOSE(CONTROL!$C$27, 0.0021, 0)</f>
        <v>106.4115</v>
      </c>
      <c r="K651" s="14">
        <f>106.4094 * CHOOSE(CONTROL!$C$9, $D$9, 100%, $F$9) + CHOOSE(CONTROL!$C$27, 0.0021, 0)</f>
        <v>106.4115</v>
      </c>
      <c r="L651" s="14"/>
    </row>
    <row r="652" spans="1:12" ht="15.75" x14ac:dyDescent="0.25">
      <c r="A652" s="31">
        <v>60783</v>
      </c>
      <c r="B652" s="14">
        <f>110.3501 * CHOOSE(CONTROL!$C$9, $D$9, 100%, $F$9) + CHOOSE(CONTROL!$C$27, 0.0021, 0)</f>
        <v>110.3522</v>
      </c>
      <c r="C652" s="14">
        <f>109.9178 * CHOOSE(CONTROL!$C$9, $D$9, 100%, $F$9) + CHOOSE(CONTROL!$C$27, 0.0021, 0)</f>
        <v>109.9199</v>
      </c>
      <c r="D652" s="14">
        <f>109.9178 * CHOOSE(CONTROL!$C$9, $D$9, 100%, $F$9) + CHOOSE(CONTROL!$C$27, 0.0021, 0)</f>
        <v>109.9199</v>
      </c>
      <c r="E652" s="14">
        <f>109.7812 * CHOOSE(CONTROL!$C$9, $D$9, 100%, $F$9) + CHOOSE(CONTROL!$C$27, 0.0021, 0)</f>
        <v>109.7833</v>
      </c>
      <c r="F652" s="14">
        <f>109.7812 * CHOOSE(CONTROL!$C$9, $D$9, 100%, $F$9) + CHOOSE(CONTROL!$C$27, 0.0021, 0)</f>
        <v>109.7833</v>
      </c>
      <c r="G652" s="14">
        <f>110.0525 * CHOOSE(CONTROL!$C$9, $D$9, 100%, $F$9) + CHOOSE(CONTROL!$C$27, 0.0021, 0)</f>
        <v>110.05459999999999</v>
      </c>
      <c r="H652" s="14">
        <f>109.9178 * CHOOSE(CONTROL!$C$9, $D$9, 100%, $F$9) + CHOOSE(CONTROL!$C$27, 0.0021, 0)</f>
        <v>109.9199</v>
      </c>
      <c r="I652" s="14">
        <f>109.9178 * CHOOSE(CONTROL!$C$9, $D$9, 100%, $F$9) + CHOOSE(CONTROL!$C$27, 0.0021, 0)</f>
        <v>109.9199</v>
      </c>
      <c r="J652" s="14">
        <f>109.9178 * CHOOSE(CONTROL!$C$9, $D$9, 100%, $F$9) + CHOOSE(CONTROL!$C$27, 0.0021, 0)</f>
        <v>109.9199</v>
      </c>
      <c r="K652" s="14">
        <f>109.9178 * CHOOSE(CONTROL!$C$9, $D$9, 100%, $F$9) + CHOOSE(CONTROL!$C$27, 0.0021, 0)</f>
        <v>109.9199</v>
      </c>
      <c r="L652" s="14"/>
    </row>
    <row r="653" spans="1:12" ht="15.75" x14ac:dyDescent="0.25">
      <c r="A653" s="31">
        <v>60813</v>
      </c>
      <c r="B653" s="14">
        <f>111.9071 * CHOOSE(CONTROL!$C$9, $D$9, 100%, $F$9) + CHOOSE(CONTROL!$C$27, 0.0021, 0)</f>
        <v>111.9092</v>
      </c>
      <c r="C653" s="14">
        <f>111.4748 * CHOOSE(CONTROL!$C$9, $D$9, 100%, $F$9) + CHOOSE(CONTROL!$C$27, 0.0021, 0)</f>
        <v>111.4769</v>
      </c>
      <c r="D653" s="14">
        <f>111.4748 * CHOOSE(CONTROL!$C$9, $D$9, 100%, $F$9) + CHOOSE(CONTROL!$C$27, 0.0021, 0)</f>
        <v>111.4769</v>
      </c>
      <c r="E653" s="14">
        <f>111.3382 * CHOOSE(CONTROL!$C$9, $D$9, 100%, $F$9) + CHOOSE(CONTROL!$C$27, 0.0021, 0)</f>
        <v>111.3403</v>
      </c>
      <c r="F653" s="14">
        <f>111.3382 * CHOOSE(CONTROL!$C$9, $D$9, 100%, $F$9) + CHOOSE(CONTROL!$C$27, 0.0021, 0)</f>
        <v>111.3403</v>
      </c>
      <c r="G653" s="14">
        <f>111.6095 * CHOOSE(CONTROL!$C$9, $D$9, 100%, $F$9) + CHOOSE(CONTROL!$C$27, 0.0021, 0)</f>
        <v>111.6116</v>
      </c>
      <c r="H653" s="14">
        <f>111.4748 * CHOOSE(CONTROL!$C$9, $D$9, 100%, $F$9) + CHOOSE(CONTROL!$C$27, 0.0021, 0)</f>
        <v>111.4769</v>
      </c>
      <c r="I653" s="14">
        <f>111.4748 * CHOOSE(CONTROL!$C$9, $D$9, 100%, $F$9) + CHOOSE(CONTROL!$C$27, 0.0021, 0)</f>
        <v>111.4769</v>
      </c>
      <c r="J653" s="14">
        <f>111.4748 * CHOOSE(CONTROL!$C$9, $D$9, 100%, $F$9) + CHOOSE(CONTROL!$C$27, 0.0021, 0)</f>
        <v>111.4769</v>
      </c>
      <c r="K653" s="14">
        <f>111.4748 * CHOOSE(CONTROL!$C$9, $D$9, 100%, $F$9) + CHOOSE(CONTROL!$C$27, 0.0021, 0)</f>
        <v>111.4769</v>
      </c>
      <c r="L653" s="14"/>
    </row>
    <row r="654" spans="1:12" ht="15.75" x14ac:dyDescent="0.25">
      <c r="A654" s="31">
        <v>60844</v>
      </c>
      <c r="B654" s="14">
        <f>111.3944 * CHOOSE(CONTROL!$C$9, $D$9, 100%, $F$9) + CHOOSE(CONTROL!$C$27, 0.0021, 0)</f>
        <v>111.3965</v>
      </c>
      <c r="C654" s="14">
        <f>110.9622 * CHOOSE(CONTROL!$C$9, $D$9, 100%, $F$9) + CHOOSE(CONTROL!$C$27, 0.0021, 0)</f>
        <v>110.96429999999999</v>
      </c>
      <c r="D654" s="14">
        <f>110.9622 * CHOOSE(CONTROL!$C$9, $D$9, 100%, $F$9) + CHOOSE(CONTROL!$C$27, 0.0021, 0)</f>
        <v>110.96429999999999</v>
      </c>
      <c r="E654" s="14">
        <f>110.8255 * CHOOSE(CONTROL!$C$9, $D$9, 100%, $F$9) + CHOOSE(CONTROL!$C$27, 0.0021, 0)</f>
        <v>110.8276</v>
      </c>
      <c r="F654" s="14">
        <f>110.8255 * CHOOSE(CONTROL!$C$9, $D$9, 100%, $F$9) + CHOOSE(CONTROL!$C$27, 0.0021, 0)</f>
        <v>110.8276</v>
      </c>
      <c r="G654" s="14">
        <f>111.0969 * CHOOSE(CONTROL!$C$9, $D$9, 100%, $F$9) + CHOOSE(CONTROL!$C$27, 0.0021, 0)</f>
        <v>111.099</v>
      </c>
      <c r="H654" s="14">
        <f>110.9622 * CHOOSE(CONTROL!$C$9, $D$9, 100%, $F$9) + CHOOSE(CONTROL!$C$27, 0.0021, 0)</f>
        <v>110.96429999999999</v>
      </c>
      <c r="I654" s="14">
        <f>110.9622 * CHOOSE(CONTROL!$C$9, $D$9, 100%, $F$9) + CHOOSE(CONTROL!$C$27, 0.0021, 0)</f>
        <v>110.96429999999999</v>
      </c>
      <c r="J654" s="14">
        <f>110.9622 * CHOOSE(CONTROL!$C$9, $D$9, 100%, $F$9) + CHOOSE(CONTROL!$C$27, 0.0021, 0)</f>
        <v>110.96429999999999</v>
      </c>
      <c r="K654" s="14">
        <f>110.9622 * CHOOSE(CONTROL!$C$9, $D$9, 100%, $F$9) + CHOOSE(CONTROL!$C$27, 0.0021, 0)</f>
        <v>110.96429999999999</v>
      </c>
      <c r="L654" s="14"/>
    </row>
    <row r="655" spans="1:12" ht="15.75" x14ac:dyDescent="0.25">
      <c r="A655" s="31">
        <v>60875</v>
      </c>
      <c r="B655" s="14">
        <f>108.8546 * CHOOSE(CONTROL!$C$9, $D$9, 100%, $F$9) + CHOOSE(CONTROL!$C$27, 0.0021, 0)</f>
        <v>108.8567</v>
      </c>
      <c r="C655" s="14">
        <f>108.4223 * CHOOSE(CONTROL!$C$9, $D$9, 100%, $F$9) + CHOOSE(CONTROL!$C$27, 0.0021, 0)</f>
        <v>108.42440000000001</v>
      </c>
      <c r="D655" s="14">
        <f>108.4223 * CHOOSE(CONTROL!$C$9, $D$9, 100%, $F$9) + CHOOSE(CONTROL!$C$27, 0.0021, 0)</f>
        <v>108.42440000000001</v>
      </c>
      <c r="E655" s="14">
        <f>108.2857 * CHOOSE(CONTROL!$C$9, $D$9, 100%, $F$9) + CHOOSE(CONTROL!$C$27, 0.0021, 0)</f>
        <v>108.2878</v>
      </c>
      <c r="F655" s="14">
        <f>108.2857 * CHOOSE(CONTROL!$C$9, $D$9, 100%, $F$9) + CHOOSE(CONTROL!$C$27, 0.0021, 0)</f>
        <v>108.2878</v>
      </c>
      <c r="G655" s="14">
        <f>108.5571 * CHOOSE(CONTROL!$C$9, $D$9, 100%, $F$9) + CHOOSE(CONTROL!$C$27, 0.0021, 0)</f>
        <v>108.5592</v>
      </c>
      <c r="H655" s="14">
        <f>108.4223 * CHOOSE(CONTROL!$C$9, $D$9, 100%, $F$9) + CHOOSE(CONTROL!$C$27, 0.0021, 0)</f>
        <v>108.42440000000001</v>
      </c>
      <c r="I655" s="14">
        <f>108.4223 * CHOOSE(CONTROL!$C$9, $D$9, 100%, $F$9) + CHOOSE(CONTROL!$C$27, 0.0021, 0)</f>
        <v>108.42440000000001</v>
      </c>
      <c r="J655" s="14">
        <f>108.4223 * CHOOSE(CONTROL!$C$9, $D$9, 100%, $F$9) + CHOOSE(CONTROL!$C$27, 0.0021, 0)</f>
        <v>108.42440000000001</v>
      </c>
      <c r="K655" s="14">
        <f>108.4223 * CHOOSE(CONTROL!$C$9, $D$9, 100%, $F$9) + CHOOSE(CONTROL!$C$27, 0.0021, 0)</f>
        <v>108.42440000000001</v>
      </c>
      <c r="L655" s="14"/>
    </row>
    <row r="656" spans="1:12" ht="15.75" x14ac:dyDescent="0.25">
      <c r="A656" s="31">
        <v>60905</v>
      </c>
      <c r="B656" s="14">
        <f>105.3126 * CHOOSE(CONTROL!$C$9, $D$9, 100%, $F$9) + CHOOSE(CONTROL!$C$27, 0.0021, 0)</f>
        <v>105.3147</v>
      </c>
      <c r="C656" s="14">
        <f>104.8804 * CHOOSE(CONTROL!$C$9, $D$9, 100%, $F$9) + CHOOSE(CONTROL!$C$27, 0.0021, 0)</f>
        <v>104.88249999999999</v>
      </c>
      <c r="D656" s="14">
        <f>104.8804 * CHOOSE(CONTROL!$C$9, $D$9, 100%, $F$9) + CHOOSE(CONTROL!$C$27, 0.0021, 0)</f>
        <v>104.88249999999999</v>
      </c>
      <c r="E656" s="14">
        <f>104.7437 * CHOOSE(CONTROL!$C$9, $D$9, 100%, $F$9) + CHOOSE(CONTROL!$C$27, 0.0021, 0)</f>
        <v>104.7458</v>
      </c>
      <c r="F656" s="14">
        <f>104.7437 * CHOOSE(CONTROL!$C$9, $D$9, 100%, $F$9) + CHOOSE(CONTROL!$C$27, 0.0021, 0)</f>
        <v>104.7458</v>
      </c>
      <c r="G656" s="14">
        <f>105.0151 * CHOOSE(CONTROL!$C$9, $D$9, 100%, $F$9) + CHOOSE(CONTROL!$C$27, 0.0021, 0)</f>
        <v>105.0172</v>
      </c>
      <c r="H656" s="14">
        <f>104.8804 * CHOOSE(CONTROL!$C$9, $D$9, 100%, $F$9) + CHOOSE(CONTROL!$C$27, 0.0021, 0)</f>
        <v>104.88249999999999</v>
      </c>
      <c r="I656" s="14">
        <f>104.8804 * CHOOSE(CONTROL!$C$9, $D$9, 100%, $F$9) + CHOOSE(CONTROL!$C$27, 0.0021, 0)</f>
        <v>104.88249999999999</v>
      </c>
      <c r="J656" s="14">
        <f>104.8804 * CHOOSE(CONTROL!$C$9, $D$9, 100%, $F$9) + CHOOSE(CONTROL!$C$27, 0.0021, 0)</f>
        <v>104.88249999999999</v>
      </c>
      <c r="K656" s="14">
        <f>104.8804 * CHOOSE(CONTROL!$C$9, $D$9, 100%, $F$9) + CHOOSE(CONTROL!$C$27, 0.0021, 0)</f>
        <v>104.88249999999999</v>
      </c>
      <c r="L656" s="14"/>
    </row>
    <row r="657" spans="1:12" ht="15.75" x14ac:dyDescent="0.25">
      <c r="A657" s="31">
        <v>60936</v>
      </c>
      <c r="B657" s="14">
        <f>101.7501 * CHOOSE(CONTROL!$C$9, $D$9, 100%, $F$9) + CHOOSE(CONTROL!$C$27, 0.0021, 0)</f>
        <v>101.7522</v>
      </c>
      <c r="C657" s="14">
        <f>101.3178 * CHOOSE(CONTROL!$C$9, $D$9, 100%, $F$9) + CHOOSE(CONTROL!$C$27, 0.0021, 0)</f>
        <v>101.3199</v>
      </c>
      <c r="D657" s="14">
        <f>101.3178 * CHOOSE(CONTROL!$C$9, $D$9, 100%, $F$9) + CHOOSE(CONTROL!$C$27, 0.0021, 0)</f>
        <v>101.3199</v>
      </c>
      <c r="E657" s="14">
        <f>101.1812 * CHOOSE(CONTROL!$C$9, $D$9, 100%, $F$9) + CHOOSE(CONTROL!$C$27, 0.0021, 0)</f>
        <v>101.1833</v>
      </c>
      <c r="F657" s="14">
        <f>101.1812 * CHOOSE(CONTROL!$C$9, $D$9, 100%, $F$9) + CHOOSE(CONTROL!$C$27, 0.0021, 0)</f>
        <v>101.1833</v>
      </c>
      <c r="G657" s="14">
        <f>101.4526 * CHOOSE(CONTROL!$C$9, $D$9, 100%, $F$9) + CHOOSE(CONTROL!$C$27, 0.0021, 0)</f>
        <v>101.4547</v>
      </c>
      <c r="H657" s="14">
        <f>101.3178 * CHOOSE(CONTROL!$C$9, $D$9, 100%, $F$9) + CHOOSE(CONTROL!$C$27, 0.0021, 0)</f>
        <v>101.3199</v>
      </c>
      <c r="I657" s="14">
        <f>101.3178 * CHOOSE(CONTROL!$C$9, $D$9, 100%, $F$9) + CHOOSE(CONTROL!$C$27, 0.0021, 0)</f>
        <v>101.3199</v>
      </c>
      <c r="J657" s="14">
        <f>101.3178 * CHOOSE(CONTROL!$C$9, $D$9, 100%, $F$9) + CHOOSE(CONTROL!$C$27, 0.0021, 0)</f>
        <v>101.3199</v>
      </c>
      <c r="K657" s="14">
        <f>101.3178 * CHOOSE(CONTROL!$C$9, $D$9, 100%, $F$9) + CHOOSE(CONTROL!$C$27, 0.0021, 0)</f>
        <v>101.3199</v>
      </c>
      <c r="L657" s="14"/>
    </row>
    <row r="658" spans="1:12" ht="15.75" x14ac:dyDescent="0.25">
      <c r="A658" s="31">
        <v>60966</v>
      </c>
      <c r="B658" s="14">
        <f>101.0414 * CHOOSE(CONTROL!$C$9, $D$9, 100%, $F$9) + CHOOSE(CONTROL!$C$27, 0.0021, 0)</f>
        <v>101.04349999999999</v>
      </c>
      <c r="C658" s="14">
        <f>100.6092 * CHOOSE(CONTROL!$C$9, $D$9, 100%, $F$9) + CHOOSE(CONTROL!$C$27, 0.0021, 0)</f>
        <v>100.6113</v>
      </c>
      <c r="D658" s="14">
        <f>100.6092 * CHOOSE(CONTROL!$C$9, $D$9, 100%, $F$9) + CHOOSE(CONTROL!$C$27, 0.0021, 0)</f>
        <v>100.6113</v>
      </c>
      <c r="E658" s="14">
        <f>100.4725 * CHOOSE(CONTROL!$C$9, $D$9, 100%, $F$9) + CHOOSE(CONTROL!$C$27, 0.0021, 0)</f>
        <v>100.4746</v>
      </c>
      <c r="F658" s="14">
        <f>100.4725 * CHOOSE(CONTROL!$C$9, $D$9, 100%, $F$9) + CHOOSE(CONTROL!$C$27, 0.0021, 0)</f>
        <v>100.4746</v>
      </c>
      <c r="G658" s="14">
        <f>100.7439 * CHOOSE(CONTROL!$C$9, $D$9, 100%, $F$9) + CHOOSE(CONTROL!$C$27, 0.0021, 0)</f>
        <v>100.746</v>
      </c>
      <c r="H658" s="14">
        <f>100.6092 * CHOOSE(CONTROL!$C$9, $D$9, 100%, $F$9) + CHOOSE(CONTROL!$C$27, 0.0021, 0)</f>
        <v>100.6113</v>
      </c>
      <c r="I658" s="14">
        <f>100.6092 * CHOOSE(CONTROL!$C$9, $D$9, 100%, $F$9) + CHOOSE(CONTROL!$C$27, 0.0021, 0)</f>
        <v>100.6113</v>
      </c>
      <c r="J658" s="14">
        <f>100.6092 * CHOOSE(CONTROL!$C$9, $D$9, 100%, $F$9) + CHOOSE(CONTROL!$C$27, 0.0021, 0)</f>
        <v>100.6113</v>
      </c>
      <c r="K658" s="14">
        <f>100.6092 * CHOOSE(CONTROL!$C$9, $D$9, 100%, $F$9) + CHOOSE(CONTROL!$C$27, 0.0021, 0)</f>
        <v>100.6113</v>
      </c>
      <c r="L658" s="14"/>
    </row>
    <row r="659" spans="1:12" ht="15.75" x14ac:dyDescent="0.25">
      <c r="A659" s="31">
        <v>60997</v>
      </c>
      <c r="B659" s="14">
        <f>98.111 * CHOOSE(CONTROL!$C$9, $D$9, 100%, $F$9) + CHOOSE(CONTROL!$C$27, 0.0021, 0)</f>
        <v>98.113100000000003</v>
      </c>
      <c r="C659" s="14">
        <f>97.6788 * CHOOSE(CONTROL!$C$9, $D$9, 100%, $F$9) + CHOOSE(CONTROL!$C$27, 0.0021, 0)</f>
        <v>97.680899999999994</v>
      </c>
      <c r="D659" s="14">
        <f>97.6788 * CHOOSE(CONTROL!$C$9, $D$9, 100%, $F$9) + CHOOSE(CONTROL!$C$27, 0.0021, 0)</f>
        <v>97.680899999999994</v>
      </c>
      <c r="E659" s="14">
        <f>97.5421 * CHOOSE(CONTROL!$C$9, $D$9, 100%, $F$9) + CHOOSE(CONTROL!$C$27, 0.0021, 0)</f>
        <v>97.544200000000004</v>
      </c>
      <c r="F659" s="14">
        <f>97.5421 * CHOOSE(CONTROL!$C$9, $D$9, 100%, $F$9) + CHOOSE(CONTROL!$C$27, 0.0021, 0)</f>
        <v>97.544200000000004</v>
      </c>
      <c r="G659" s="14">
        <f>97.8135 * CHOOSE(CONTROL!$C$9, $D$9, 100%, $F$9) + CHOOSE(CONTROL!$C$27, 0.0021, 0)</f>
        <v>97.815600000000003</v>
      </c>
      <c r="H659" s="14">
        <f>97.6788 * CHOOSE(CONTROL!$C$9, $D$9, 100%, $F$9) + CHOOSE(CONTROL!$C$27, 0.0021, 0)</f>
        <v>97.680899999999994</v>
      </c>
      <c r="I659" s="14">
        <f>97.6788 * CHOOSE(CONTROL!$C$9, $D$9, 100%, $F$9) + CHOOSE(CONTROL!$C$27, 0.0021, 0)</f>
        <v>97.680899999999994</v>
      </c>
      <c r="J659" s="14">
        <f>97.6788 * CHOOSE(CONTROL!$C$9, $D$9, 100%, $F$9) + CHOOSE(CONTROL!$C$27, 0.0021, 0)</f>
        <v>97.680899999999994</v>
      </c>
      <c r="K659" s="14">
        <f>97.6788 * CHOOSE(CONTROL!$C$9, $D$9, 100%, $F$9) + CHOOSE(CONTROL!$C$27, 0.0021, 0)</f>
        <v>97.680899999999994</v>
      </c>
      <c r="L659" s="14"/>
    </row>
    <row r="660" spans="1:12" ht="15.75" x14ac:dyDescent="0.25">
      <c r="A660" s="31">
        <v>61028</v>
      </c>
      <c r="B660" s="14">
        <f>97.5405 * CHOOSE(CONTROL!$C$9, $D$9, 100%, $F$9) + CHOOSE(CONTROL!$C$27, 0.0021, 0)</f>
        <v>97.542599999999993</v>
      </c>
      <c r="C660" s="14">
        <f>97.1083 * CHOOSE(CONTROL!$C$9, $D$9, 100%, $F$9) + CHOOSE(CONTROL!$C$27, 0.0021, 0)</f>
        <v>97.110399999999998</v>
      </c>
      <c r="D660" s="14">
        <f>97.1083 * CHOOSE(CONTROL!$C$9, $D$9, 100%, $F$9) + CHOOSE(CONTROL!$C$27, 0.0021, 0)</f>
        <v>97.110399999999998</v>
      </c>
      <c r="E660" s="14">
        <f>96.9716 * CHOOSE(CONTROL!$C$9, $D$9, 100%, $F$9) + CHOOSE(CONTROL!$C$27, 0.0021, 0)</f>
        <v>96.973699999999994</v>
      </c>
      <c r="F660" s="14">
        <f>96.9716 * CHOOSE(CONTROL!$C$9, $D$9, 100%, $F$9) + CHOOSE(CONTROL!$C$27, 0.0021, 0)</f>
        <v>96.973699999999994</v>
      </c>
      <c r="G660" s="14">
        <f>97.243 * CHOOSE(CONTROL!$C$9, $D$9, 100%, $F$9) + CHOOSE(CONTROL!$C$27, 0.0021, 0)</f>
        <v>97.245099999999994</v>
      </c>
      <c r="H660" s="14">
        <f>97.1083 * CHOOSE(CONTROL!$C$9, $D$9, 100%, $F$9) + CHOOSE(CONTROL!$C$27, 0.0021, 0)</f>
        <v>97.110399999999998</v>
      </c>
      <c r="I660" s="14">
        <f>97.1083 * CHOOSE(CONTROL!$C$9, $D$9, 100%, $F$9) + CHOOSE(CONTROL!$C$27, 0.0021, 0)</f>
        <v>97.110399999999998</v>
      </c>
      <c r="J660" s="14">
        <f>97.1083 * CHOOSE(CONTROL!$C$9, $D$9, 100%, $F$9) + CHOOSE(CONTROL!$C$27, 0.0021, 0)</f>
        <v>97.110399999999998</v>
      </c>
      <c r="K660" s="14">
        <f>97.1083 * CHOOSE(CONTROL!$C$9, $D$9, 100%, $F$9) + CHOOSE(CONTROL!$C$27, 0.0021, 0)</f>
        <v>97.110399999999998</v>
      </c>
      <c r="L660" s="14"/>
    </row>
    <row r="661" spans="1:12" ht="15.75" x14ac:dyDescent="0.25">
      <c r="A661" s="31">
        <v>61056</v>
      </c>
      <c r="B661" s="14">
        <f>97.2758 * CHOOSE(CONTROL!$C$9, $D$9, 100%, $F$9) + CHOOSE(CONTROL!$C$27, 0.0021, 0)</f>
        <v>97.277900000000002</v>
      </c>
      <c r="C661" s="14">
        <f>96.8435 * CHOOSE(CONTROL!$C$9, $D$9, 100%, $F$9) + CHOOSE(CONTROL!$C$27, 0.0021, 0)</f>
        <v>96.845600000000005</v>
      </c>
      <c r="D661" s="14">
        <f>96.8435 * CHOOSE(CONTROL!$C$9, $D$9, 100%, $F$9) + CHOOSE(CONTROL!$C$27, 0.0021, 0)</f>
        <v>96.845600000000005</v>
      </c>
      <c r="E661" s="14">
        <f>96.7069 * CHOOSE(CONTROL!$C$9, $D$9, 100%, $F$9) + CHOOSE(CONTROL!$C$27, 0.0021, 0)</f>
        <v>96.709000000000003</v>
      </c>
      <c r="F661" s="14">
        <f>96.7069 * CHOOSE(CONTROL!$C$9, $D$9, 100%, $F$9) + CHOOSE(CONTROL!$C$27, 0.0021, 0)</f>
        <v>96.709000000000003</v>
      </c>
      <c r="G661" s="14">
        <f>96.9782 * CHOOSE(CONTROL!$C$9, $D$9, 100%, $F$9) + CHOOSE(CONTROL!$C$27, 0.0021, 0)</f>
        <v>96.9803</v>
      </c>
      <c r="H661" s="14">
        <f>96.8435 * CHOOSE(CONTROL!$C$9, $D$9, 100%, $F$9) + CHOOSE(CONTROL!$C$27, 0.0021, 0)</f>
        <v>96.845600000000005</v>
      </c>
      <c r="I661" s="14">
        <f>96.8435 * CHOOSE(CONTROL!$C$9, $D$9, 100%, $F$9) + CHOOSE(CONTROL!$C$27, 0.0021, 0)</f>
        <v>96.845600000000005</v>
      </c>
      <c r="J661" s="14">
        <f>96.8435 * CHOOSE(CONTROL!$C$9, $D$9, 100%, $F$9) + CHOOSE(CONTROL!$C$27, 0.0021, 0)</f>
        <v>96.845600000000005</v>
      </c>
      <c r="K661" s="14">
        <f>96.8435 * CHOOSE(CONTROL!$C$9, $D$9, 100%, $F$9) + CHOOSE(CONTROL!$C$27, 0.0021, 0)</f>
        <v>96.845600000000005</v>
      </c>
      <c r="L661" s="14"/>
    </row>
    <row r="662" spans="1:12" ht="15.75" x14ac:dyDescent="0.25">
      <c r="A662" s="31">
        <v>61087</v>
      </c>
      <c r="B662" s="14">
        <f>102.2819 * CHOOSE(CONTROL!$C$9, $D$9, 100%, $F$9) + CHOOSE(CONTROL!$C$27, 0.0021, 0)</f>
        <v>102.28399999999999</v>
      </c>
      <c r="C662" s="14">
        <f>101.8497 * CHOOSE(CONTROL!$C$9, $D$9, 100%, $F$9) + CHOOSE(CONTROL!$C$27, 0.0021, 0)</f>
        <v>101.8518</v>
      </c>
      <c r="D662" s="14">
        <f>101.8497 * CHOOSE(CONTROL!$C$9, $D$9, 100%, $F$9) + CHOOSE(CONTROL!$C$27, 0.0021, 0)</f>
        <v>101.8518</v>
      </c>
      <c r="E662" s="14">
        <f>101.713 * CHOOSE(CONTROL!$C$9, $D$9, 100%, $F$9) + CHOOSE(CONTROL!$C$27, 0.0021, 0)</f>
        <v>101.71509999999999</v>
      </c>
      <c r="F662" s="14">
        <f>101.713 * CHOOSE(CONTROL!$C$9, $D$9, 100%, $F$9) + CHOOSE(CONTROL!$C$27, 0.0021, 0)</f>
        <v>101.71509999999999</v>
      </c>
      <c r="G662" s="14">
        <f>101.9844 * CHOOSE(CONTROL!$C$9, $D$9, 100%, $F$9) + CHOOSE(CONTROL!$C$27, 0.0021, 0)</f>
        <v>101.98649999999999</v>
      </c>
      <c r="H662" s="14">
        <f>101.8497 * CHOOSE(CONTROL!$C$9, $D$9, 100%, $F$9) + CHOOSE(CONTROL!$C$27, 0.0021, 0)</f>
        <v>101.8518</v>
      </c>
      <c r="I662" s="14">
        <f>101.8497 * CHOOSE(CONTROL!$C$9, $D$9, 100%, $F$9) + CHOOSE(CONTROL!$C$27, 0.0021, 0)</f>
        <v>101.8518</v>
      </c>
      <c r="J662" s="14">
        <f>101.8497 * CHOOSE(CONTROL!$C$9, $D$9, 100%, $F$9) + CHOOSE(CONTROL!$C$27, 0.0021, 0)</f>
        <v>101.8518</v>
      </c>
      <c r="K662" s="14">
        <f>101.8497 * CHOOSE(CONTROL!$C$9, $D$9, 100%, $F$9) + CHOOSE(CONTROL!$C$27, 0.0021, 0)</f>
        <v>101.8518</v>
      </c>
      <c r="L662" s="14"/>
    </row>
    <row r="663" spans="1:12" ht="15.75" x14ac:dyDescent="0.25">
      <c r="A663" s="31">
        <v>61117</v>
      </c>
      <c r="B663" s="14">
        <f>108.7738 * CHOOSE(CONTROL!$C$9, $D$9, 100%, $F$9) + CHOOSE(CONTROL!$C$27, 0.0021, 0)</f>
        <v>108.77589999999999</v>
      </c>
      <c r="C663" s="14">
        <f>108.3415 * CHOOSE(CONTROL!$C$9, $D$9, 100%, $F$9) + CHOOSE(CONTROL!$C$27, 0.0021, 0)</f>
        <v>108.3436</v>
      </c>
      <c r="D663" s="14">
        <f>108.3415 * CHOOSE(CONTROL!$C$9, $D$9, 100%, $F$9) + CHOOSE(CONTROL!$C$27, 0.0021, 0)</f>
        <v>108.3436</v>
      </c>
      <c r="E663" s="14">
        <f>108.2049 * CHOOSE(CONTROL!$C$9, $D$9, 100%, $F$9) + CHOOSE(CONTROL!$C$27, 0.0021, 0)</f>
        <v>108.20699999999999</v>
      </c>
      <c r="F663" s="14">
        <f>108.2049 * CHOOSE(CONTROL!$C$9, $D$9, 100%, $F$9) + CHOOSE(CONTROL!$C$27, 0.0021, 0)</f>
        <v>108.20699999999999</v>
      </c>
      <c r="G663" s="14">
        <f>108.4762 * CHOOSE(CONTROL!$C$9, $D$9, 100%, $F$9) + CHOOSE(CONTROL!$C$27, 0.0021, 0)</f>
        <v>108.4783</v>
      </c>
      <c r="H663" s="14">
        <f>108.3415 * CHOOSE(CONTROL!$C$9, $D$9, 100%, $F$9) + CHOOSE(CONTROL!$C$27, 0.0021, 0)</f>
        <v>108.3436</v>
      </c>
      <c r="I663" s="14">
        <f>108.3415 * CHOOSE(CONTROL!$C$9, $D$9, 100%, $F$9) + CHOOSE(CONTROL!$C$27, 0.0021, 0)</f>
        <v>108.3436</v>
      </c>
      <c r="J663" s="14">
        <f>108.3415 * CHOOSE(CONTROL!$C$9, $D$9, 100%, $F$9) + CHOOSE(CONTROL!$C$27, 0.0021, 0)</f>
        <v>108.3436</v>
      </c>
      <c r="K663" s="14">
        <f>108.3415 * CHOOSE(CONTROL!$C$9, $D$9, 100%, $F$9) + CHOOSE(CONTROL!$C$27, 0.0021, 0)</f>
        <v>108.3436</v>
      </c>
      <c r="L663" s="14"/>
    </row>
    <row r="664" spans="1:12" ht="15.75" x14ac:dyDescent="0.25">
      <c r="A664" s="31">
        <v>61148</v>
      </c>
      <c r="B664" s="14">
        <f>112.3471 * CHOOSE(CONTROL!$C$9, $D$9, 100%, $F$9) + CHOOSE(CONTROL!$C$27, 0.0021, 0)</f>
        <v>112.3492</v>
      </c>
      <c r="C664" s="14">
        <f>111.9148 * CHOOSE(CONTROL!$C$9, $D$9, 100%, $F$9) + CHOOSE(CONTROL!$C$27, 0.0021, 0)</f>
        <v>111.9169</v>
      </c>
      <c r="D664" s="14">
        <f>111.9148 * CHOOSE(CONTROL!$C$9, $D$9, 100%, $F$9) + CHOOSE(CONTROL!$C$27, 0.0021, 0)</f>
        <v>111.9169</v>
      </c>
      <c r="E664" s="14">
        <f>111.7782 * CHOOSE(CONTROL!$C$9, $D$9, 100%, $F$9) + CHOOSE(CONTROL!$C$27, 0.0021, 0)</f>
        <v>111.7803</v>
      </c>
      <c r="F664" s="14">
        <f>111.7782 * CHOOSE(CONTROL!$C$9, $D$9, 100%, $F$9) + CHOOSE(CONTROL!$C$27, 0.0021, 0)</f>
        <v>111.7803</v>
      </c>
      <c r="G664" s="14">
        <f>112.0495 * CHOOSE(CONTROL!$C$9, $D$9, 100%, $F$9) + CHOOSE(CONTROL!$C$27, 0.0021, 0)</f>
        <v>112.05159999999999</v>
      </c>
      <c r="H664" s="14">
        <f>111.9148 * CHOOSE(CONTROL!$C$9, $D$9, 100%, $F$9) + CHOOSE(CONTROL!$C$27, 0.0021, 0)</f>
        <v>111.9169</v>
      </c>
      <c r="I664" s="14">
        <f>111.9148 * CHOOSE(CONTROL!$C$9, $D$9, 100%, $F$9) + CHOOSE(CONTROL!$C$27, 0.0021, 0)</f>
        <v>111.9169</v>
      </c>
      <c r="J664" s="14">
        <f>111.9148 * CHOOSE(CONTROL!$C$9, $D$9, 100%, $F$9) + CHOOSE(CONTROL!$C$27, 0.0021, 0)</f>
        <v>111.9169</v>
      </c>
      <c r="K664" s="14">
        <f>111.9148 * CHOOSE(CONTROL!$C$9, $D$9, 100%, $F$9) + CHOOSE(CONTROL!$C$27, 0.0021, 0)</f>
        <v>111.9169</v>
      </c>
      <c r="L664" s="14"/>
    </row>
    <row r="665" spans="1:12" ht="15.75" x14ac:dyDescent="0.25">
      <c r="A665" s="31">
        <v>61178</v>
      </c>
      <c r="B665" s="14">
        <f>113.9328 * CHOOSE(CONTROL!$C$9, $D$9, 100%, $F$9) + CHOOSE(CONTROL!$C$27, 0.0021, 0)</f>
        <v>113.9349</v>
      </c>
      <c r="C665" s="14">
        <f>113.5006 * CHOOSE(CONTROL!$C$9, $D$9, 100%, $F$9) + CHOOSE(CONTROL!$C$27, 0.0021, 0)</f>
        <v>113.5027</v>
      </c>
      <c r="D665" s="14">
        <f>113.5006 * CHOOSE(CONTROL!$C$9, $D$9, 100%, $F$9) + CHOOSE(CONTROL!$C$27, 0.0021, 0)</f>
        <v>113.5027</v>
      </c>
      <c r="E665" s="14">
        <f>113.3639 * CHOOSE(CONTROL!$C$9, $D$9, 100%, $F$9) + CHOOSE(CONTROL!$C$27, 0.0021, 0)</f>
        <v>113.366</v>
      </c>
      <c r="F665" s="14">
        <f>113.3639 * CHOOSE(CONTROL!$C$9, $D$9, 100%, $F$9) + CHOOSE(CONTROL!$C$27, 0.0021, 0)</f>
        <v>113.366</v>
      </c>
      <c r="G665" s="14">
        <f>113.6353 * CHOOSE(CONTROL!$C$9, $D$9, 100%, $F$9) + CHOOSE(CONTROL!$C$27, 0.0021, 0)</f>
        <v>113.6374</v>
      </c>
      <c r="H665" s="14">
        <f>113.5006 * CHOOSE(CONTROL!$C$9, $D$9, 100%, $F$9) + CHOOSE(CONTROL!$C$27, 0.0021, 0)</f>
        <v>113.5027</v>
      </c>
      <c r="I665" s="14">
        <f>113.5006 * CHOOSE(CONTROL!$C$9, $D$9, 100%, $F$9) + CHOOSE(CONTROL!$C$27, 0.0021, 0)</f>
        <v>113.5027</v>
      </c>
      <c r="J665" s="14">
        <f>113.5006 * CHOOSE(CONTROL!$C$9, $D$9, 100%, $F$9) + CHOOSE(CONTROL!$C$27, 0.0021, 0)</f>
        <v>113.5027</v>
      </c>
      <c r="K665" s="14">
        <f>113.5006 * CHOOSE(CONTROL!$C$9, $D$9, 100%, $F$9) + CHOOSE(CONTROL!$C$27, 0.0021, 0)</f>
        <v>113.5027</v>
      </c>
      <c r="L665" s="14"/>
    </row>
    <row r="666" spans="1:12" ht="15.75" x14ac:dyDescent="0.25">
      <c r="A666" s="31">
        <v>61209</v>
      </c>
      <c r="B666" s="14">
        <f>113.4107 * CHOOSE(CONTROL!$C$9, $D$9, 100%, $F$9) + CHOOSE(CONTROL!$C$27, 0.0021, 0)</f>
        <v>113.4128</v>
      </c>
      <c r="C666" s="14">
        <f>112.9785 * CHOOSE(CONTROL!$C$9, $D$9, 100%, $F$9) + CHOOSE(CONTROL!$C$27, 0.0021, 0)</f>
        <v>112.9806</v>
      </c>
      <c r="D666" s="14">
        <f>112.9785 * CHOOSE(CONTROL!$C$9, $D$9, 100%, $F$9) + CHOOSE(CONTROL!$C$27, 0.0021, 0)</f>
        <v>112.9806</v>
      </c>
      <c r="E666" s="14">
        <f>112.8418 * CHOOSE(CONTROL!$C$9, $D$9, 100%, $F$9) + CHOOSE(CONTROL!$C$27, 0.0021, 0)</f>
        <v>112.8439</v>
      </c>
      <c r="F666" s="14">
        <f>112.8418 * CHOOSE(CONTROL!$C$9, $D$9, 100%, $F$9) + CHOOSE(CONTROL!$C$27, 0.0021, 0)</f>
        <v>112.8439</v>
      </c>
      <c r="G666" s="14">
        <f>113.1132 * CHOOSE(CONTROL!$C$9, $D$9, 100%, $F$9) + CHOOSE(CONTROL!$C$27, 0.0021, 0)</f>
        <v>113.1153</v>
      </c>
      <c r="H666" s="14">
        <f>112.9785 * CHOOSE(CONTROL!$C$9, $D$9, 100%, $F$9) + CHOOSE(CONTROL!$C$27, 0.0021, 0)</f>
        <v>112.9806</v>
      </c>
      <c r="I666" s="14">
        <f>112.9785 * CHOOSE(CONTROL!$C$9, $D$9, 100%, $F$9) + CHOOSE(CONTROL!$C$27, 0.0021, 0)</f>
        <v>112.9806</v>
      </c>
      <c r="J666" s="14">
        <f>112.9785 * CHOOSE(CONTROL!$C$9, $D$9, 100%, $F$9) + CHOOSE(CONTROL!$C$27, 0.0021, 0)</f>
        <v>112.9806</v>
      </c>
      <c r="K666" s="14">
        <f>112.9785 * CHOOSE(CONTROL!$C$9, $D$9, 100%, $F$9) + CHOOSE(CONTROL!$C$27, 0.0021, 0)</f>
        <v>112.9806</v>
      </c>
      <c r="L666" s="14"/>
    </row>
    <row r="667" spans="1:12" ht="15.75" x14ac:dyDescent="0.25">
      <c r="A667" s="31">
        <v>61240</v>
      </c>
      <c r="B667" s="14">
        <f>110.8239 * CHOOSE(CONTROL!$C$9, $D$9, 100%, $F$9) + CHOOSE(CONTROL!$C$27, 0.0021, 0)</f>
        <v>110.82599999999999</v>
      </c>
      <c r="C667" s="14">
        <f>110.3917 * CHOOSE(CONTROL!$C$9, $D$9, 100%, $F$9) + CHOOSE(CONTROL!$C$27, 0.0021, 0)</f>
        <v>110.3938</v>
      </c>
      <c r="D667" s="14">
        <f>110.3917 * CHOOSE(CONTROL!$C$9, $D$9, 100%, $F$9) + CHOOSE(CONTROL!$C$27, 0.0021, 0)</f>
        <v>110.3938</v>
      </c>
      <c r="E667" s="14">
        <f>110.255 * CHOOSE(CONTROL!$C$9, $D$9, 100%, $F$9) + CHOOSE(CONTROL!$C$27, 0.0021, 0)</f>
        <v>110.25709999999999</v>
      </c>
      <c r="F667" s="14">
        <f>110.255 * CHOOSE(CONTROL!$C$9, $D$9, 100%, $F$9) + CHOOSE(CONTROL!$C$27, 0.0021, 0)</f>
        <v>110.25709999999999</v>
      </c>
      <c r="G667" s="14">
        <f>110.5264 * CHOOSE(CONTROL!$C$9, $D$9, 100%, $F$9) + CHOOSE(CONTROL!$C$27, 0.0021, 0)</f>
        <v>110.52849999999999</v>
      </c>
      <c r="H667" s="14">
        <f>110.3917 * CHOOSE(CONTROL!$C$9, $D$9, 100%, $F$9) + CHOOSE(CONTROL!$C$27, 0.0021, 0)</f>
        <v>110.3938</v>
      </c>
      <c r="I667" s="14">
        <f>110.3917 * CHOOSE(CONTROL!$C$9, $D$9, 100%, $F$9) + CHOOSE(CONTROL!$C$27, 0.0021, 0)</f>
        <v>110.3938</v>
      </c>
      <c r="J667" s="14">
        <f>110.3917 * CHOOSE(CONTROL!$C$9, $D$9, 100%, $F$9) + CHOOSE(CONTROL!$C$27, 0.0021, 0)</f>
        <v>110.3938</v>
      </c>
      <c r="K667" s="14">
        <f>110.3917 * CHOOSE(CONTROL!$C$9, $D$9, 100%, $F$9) + CHOOSE(CONTROL!$C$27, 0.0021, 0)</f>
        <v>110.3938</v>
      </c>
      <c r="L667" s="14"/>
    </row>
    <row r="668" spans="1:12" ht="15.75" x14ac:dyDescent="0.25">
      <c r="A668" s="31">
        <v>61270</v>
      </c>
      <c r="B668" s="14">
        <f>107.2165 * CHOOSE(CONTROL!$C$9, $D$9, 100%, $F$9) + CHOOSE(CONTROL!$C$27, 0.0021, 0)</f>
        <v>107.2186</v>
      </c>
      <c r="C668" s="14">
        <f>106.7843 * CHOOSE(CONTROL!$C$9, $D$9, 100%, $F$9) + CHOOSE(CONTROL!$C$27, 0.0021, 0)</f>
        <v>106.7864</v>
      </c>
      <c r="D668" s="14">
        <f>106.7843 * CHOOSE(CONTROL!$C$9, $D$9, 100%, $F$9) + CHOOSE(CONTROL!$C$27, 0.0021, 0)</f>
        <v>106.7864</v>
      </c>
      <c r="E668" s="14">
        <f>106.6476 * CHOOSE(CONTROL!$C$9, $D$9, 100%, $F$9) + CHOOSE(CONTROL!$C$27, 0.0021, 0)</f>
        <v>106.6497</v>
      </c>
      <c r="F668" s="14">
        <f>106.6476 * CHOOSE(CONTROL!$C$9, $D$9, 100%, $F$9) + CHOOSE(CONTROL!$C$27, 0.0021, 0)</f>
        <v>106.6497</v>
      </c>
      <c r="G668" s="14">
        <f>106.919 * CHOOSE(CONTROL!$C$9, $D$9, 100%, $F$9) + CHOOSE(CONTROL!$C$27, 0.0021, 0)</f>
        <v>106.9211</v>
      </c>
      <c r="H668" s="14">
        <f>106.7843 * CHOOSE(CONTROL!$C$9, $D$9, 100%, $F$9) + CHOOSE(CONTROL!$C$27, 0.0021, 0)</f>
        <v>106.7864</v>
      </c>
      <c r="I668" s="14">
        <f>106.7843 * CHOOSE(CONTROL!$C$9, $D$9, 100%, $F$9) + CHOOSE(CONTROL!$C$27, 0.0021, 0)</f>
        <v>106.7864</v>
      </c>
      <c r="J668" s="14">
        <f>106.7843 * CHOOSE(CONTROL!$C$9, $D$9, 100%, $F$9) + CHOOSE(CONTROL!$C$27, 0.0021, 0)</f>
        <v>106.7864</v>
      </c>
      <c r="K668" s="14">
        <f>106.7843 * CHOOSE(CONTROL!$C$9, $D$9, 100%, $F$9) + CHOOSE(CONTROL!$C$27, 0.0021, 0)</f>
        <v>106.7864</v>
      </c>
      <c r="L668" s="14"/>
    </row>
    <row r="669" spans="1:12" ht="15.75" x14ac:dyDescent="0.25">
      <c r="A669" s="31">
        <v>61301</v>
      </c>
      <c r="B669" s="14">
        <f>103.5881 * CHOOSE(CONTROL!$C$9, $D$9, 100%, $F$9) + CHOOSE(CONTROL!$C$27, 0.0021, 0)</f>
        <v>103.5902</v>
      </c>
      <c r="C669" s="14">
        <f>103.1559 * CHOOSE(CONTROL!$C$9, $D$9, 100%, $F$9) + CHOOSE(CONTROL!$C$27, 0.0021, 0)</f>
        <v>103.158</v>
      </c>
      <c r="D669" s="14">
        <f>103.1559 * CHOOSE(CONTROL!$C$9, $D$9, 100%, $F$9) + CHOOSE(CONTROL!$C$27, 0.0021, 0)</f>
        <v>103.158</v>
      </c>
      <c r="E669" s="14">
        <f>103.0192 * CHOOSE(CONTROL!$C$9, $D$9, 100%, $F$9) + CHOOSE(CONTROL!$C$27, 0.0021, 0)</f>
        <v>103.0213</v>
      </c>
      <c r="F669" s="14">
        <f>103.0192 * CHOOSE(CONTROL!$C$9, $D$9, 100%, $F$9) + CHOOSE(CONTROL!$C$27, 0.0021, 0)</f>
        <v>103.0213</v>
      </c>
      <c r="G669" s="14">
        <f>103.2906 * CHOOSE(CONTROL!$C$9, $D$9, 100%, $F$9) + CHOOSE(CONTROL!$C$27, 0.0021, 0)</f>
        <v>103.2927</v>
      </c>
      <c r="H669" s="14">
        <f>103.1559 * CHOOSE(CONTROL!$C$9, $D$9, 100%, $F$9) + CHOOSE(CONTROL!$C$27, 0.0021, 0)</f>
        <v>103.158</v>
      </c>
      <c r="I669" s="14">
        <f>103.1559 * CHOOSE(CONTROL!$C$9, $D$9, 100%, $F$9) + CHOOSE(CONTROL!$C$27, 0.0021, 0)</f>
        <v>103.158</v>
      </c>
      <c r="J669" s="14">
        <f>103.1559 * CHOOSE(CONTROL!$C$9, $D$9, 100%, $F$9) + CHOOSE(CONTROL!$C$27, 0.0021, 0)</f>
        <v>103.158</v>
      </c>
      <c r="K669" s="14">
        <f>103.1559 * CHOOSE(CONTROL!$C$9, $D$9, 100%, $F$9) + CHOOSE(CONTROL!$C$27, 0.0021, 0)</f>
        <v>103.158</v>
      </c>
      <c r="L669" s="14"/>
    </row>
    <row r="670" spans="1:12" ht="15.75" x14ac:dyDescent="0.25">
      <c r="A670" s="31">
        <v>61331</v>
      </c>
      <c r="B670" s="14">
        <f>102.8664 * CHOOSE(CONTROL!$C$9, $D$9, 100%, $F$9) + CHOOSE(CONTROL!$C$27, 0.0021, 0)</f>
        <v>102.8685</v>
      </c>
      <c r="C670" s="14">
        <f>102.4341 * CHOOSE(CONTROL!$C$9, $D$9, 100%, $F$9) + CHOOSE(CONTROL!$C$27, 0.0021, 0)</f>
        <v>102.4362</v>
      </c>
      <c r="D670" s="14">
        <f>102.4341 * CHOOSE(CONTROL!$C$9, $D$9, 100%, $F$9) + CHOOSE(CONTROL!$C$27, 0.0021, 0)</f>
        <v>102.4362</v>
      </c>
      <c r="E670" s="14">
        <f>102.2975 * CHOOSE(CONTROL!$C$9, $D$9, 100%, $F$9) + CHOOSE(CONTROL!$C$27, 0.0021, 0)</f>
        <v>102.2996</v>
      </c>
      <c r="F670" s="14">
        <f>102.2975 * CHOOSE(CONTROL!$C$9, $D$9, 100%, $F$9) + CHOOSE(CONTROL!$C$27, 0.0021, 0)</f>
        <v>102.2996</v>
      </c>
      <c r="G670" s="14">
        <f>102.5689 * CHOOSE(CONTROL!$C$9, $D$9, 100%, $F$9) + CHOOSE(CONTROL!$C$27, 0.0021, 0)</f>
        <v>102.571</v>
      </c>
      <c r="H670" s="14">
        <f>102.4341 * CHOOSE(CONTROL!$C$9, $D$9, 100%, $F$9) + CHOOSE(CONTROL!$C$27, 0.0021, 0)</f>
        <v>102.4362</v>
      </c>
      <c r="I670" s="14">
        <f>102.4341 * CHOOSE(CONTROL!$C$9, $D$9, 100%, $F$9) + CHOOSE(CONTROL!$C$27, 0.0021, 0)</f>
        <v>102.4362</v>
      </c>
      <c r="J670" s="14">
        <f>102.4341 * CHOOSE(CONTROL!$C$9, $D$9, 100%, $F$9) + CHOOSE(CONTROL!$C$27, 0.0021, 0)</f>
        <v>102.4362</v>
      </c>
      <c r="K670" s="14">
        <f>102.4341 * CHOOSE(CONTROL!$C$9, $D$9, 100%, $F$9) + CHOOSE(CONTROL!$C$27, 0.0021, 0)</f>
        <v>102.4362</v>
      </c>
      <c r="L670" s="14"/>
    </row>
    <row r="671" spans="1:12" ht="15.75" x14ac:dyDescent="0.25">
      <c r="A671" s="31">
        <v>61362</v>
      </c>
      <c r="B671" s="14">
        <f>99.8818 * CHOOSE(CONTROL!$C$9, $D$9, 100%, $F$9) + CHOOSE(CONTROL!$C$27, 0.0021, 0)</f>
        <v>99.883899999999997</v>
      </c>
      <c r="C671" s="14">
        <f>99.4496 * CHOOSE(CONTROL!$C$9, $D$9, 100%, $F$9) + CHOOSE(CONTROL!$C$27, 0.0021, 0)</f>
        <v>99.451700000000002</v>
      </c>
      <c r="D671" s="14">
        <f>99.4496 * CHOOSE(CONTROL!$C$9, $D$9, 100%, $F$9) + CHOOSE(CONTROL!$C$27, 0.0021, 0)</f>
        <v>99.451700000000002</v>
      </c>
      <c r="E671" s="14">
        <f>99.3129 * CHOOSE(CONTROL!$C$9, $D$9, 100%, $F$9) + CHOOSE(CONTROL!$C$27, 0.0021, 0)</f>
        <v>99.314999999999998</v>
      </c>
      <c r="F671" s="14">
        <f>99.3129 * CHOOSE(CONTROL!$C$9, $D$9, 100%, $F$9) + CHOOSE(CONTROL!$C$27, 0.0021, 0)</f>
        <v>99.314999999999998</v>
      </c>
      <c r="G671" s="14">
        <f>99.5843 * CHOOSE(CONTROL!$C$9, $D$9, 100%, $F$9) + CHOOSE(CONTROL!$C$27, 0.0021, 0)</f>
        <v>99.586399999999998</v>
      </c>
      <c r="H671" s="14">
        <f>99.4496 * CHOOSE(CONTROL!$C$9, $D$9, 100%, $F$9) + CHOOSE(CONTROL!$C$27, 0.0021, 0)</f>
        <v>99.451700000000002</v>
      </c>
      <c r="I671" s="14">
        <f>99.4496 * CHOOSE(CONTROL!$C$9, $D$9, 100%, $F$9) + CHOOSE(CONTROL!$C$27, 0.0021, 0)</f>
        <v>99.451700000000002</v>
      </c>
      <c r="J671" s="14">
        <f>99.4496 * CHOOSE(CONTROL!$C$9, $D$9, 100%, $F$9) + CHOOSE(CONTROL!$C$27, 0.0021, 0)</f>
        <v>99.451700000000002</v>
      </c>
      <c r="K671" s="14">
        <f>99.4496 * CHOOSE(CONTROL!$C$9, $D$9, 100%, $F$9) + CHOOSE(CONTROL!$C$27, 0.0021, 0)</f>
        <v>99.451700000000002</v>
      </c>
      <c r="L671" s="14"/>
    </row>
    <row r="672" spans="1:12" ht="15.75" x14ac:dyDescent="0.25">
      <c r="A672" s="31">
        <v>61393</v>
      </c>
      <c r="B672" s="14">
        <f>99.3008 * CHOOSE(CONTROL!$C$9, $D$9, 100%, $F$9) + CHOOSE(CONTROL!$C$27, 0.0021, 0)</f>
        <v>99.302899999999994</v>
      </c>
      <c r="C672" s="14">
        <f>98.8685 * CHOOSE(CONTROL!$C$9, $D$9, 100%, $F$9) + CHOOSE(CONTROL!$C$27, 0.0021, 0)</f>
        <v>98.870599999999996</v>
      </c>
      <c r="D672" s="14">
        <f>98.8685 * CHOOSE(CONTROL!$C$9, $D$9, 100%, $F$9) + CHOOSE(CONTROL!$C$27, 0.0021, 0)</f>
        <v>98.870599999999996</v>
      </c>
      <c r="E672" s="14">
        <f>98.7319 * CHOOSE(CONTROL!$C$9, $D$9, 100%, $F$9) + CHOOSE(CONTROL!$C$27, 0.0021, 0)</f>
        <v>98.733999999999995</v>
      </c>
      <c r="F672" s="14">
        <f>98.7319 * CHOOSE(CONTROL!$C$9, $D$9, 100%, $F$9) + CHOOSE(CONTROL!$C$27, 0.0021, 0)</f>
        <v>98.733999999999995</v>
      </c>
      <c r="G672" s="14">
        <f>99.0033 * CHOOSE(CONTROL!$C$9, $D$9, 100%, $F$9) + CHOOSE(CONTROL!$C$27, 0.0021, 0)</f>
        <v>99.005399999999995</v>
      </c>
      <c r="H672" s="14">
        <f>98.8685 * CHOOSE(CONTROL!$C$9, $D$9, 100%, $F$9) + CHOOSE(CONTROL!$C$27, 0.0021, 0)</f>
        <v>98.870599999999996</v>
      </c>
      <c r="I672" s="14">
        <f>98.8685 * CHOOSE(CONTROL!$C$9, $D$9, 100%, $F$9) + CHOOSE(CONTROL!$C$27, 0.0021, 0)</f>
        <v>98.870599999999996</v>
      </c>
      <c r="J672" s="14">
        <f>98.8685 * CHOOSE(CONTROL!$C$9, $D$9, 100%, $F$9) + CHOOSE(CONTROL!$C$27, 0.0021, 0)</f>
        <v>98.870599999999996</v>
      </c>
      <c r="K672" s="14">
        <f>98.8685 * CHOOSE(CONTROL!$C$9, $D$9, 100%, $F$9) + CHOOSE(CONTROL!$C$27, 0.0021, 0)</f>
        <v>98.870599999999996</v>
      </c>
      <c r="L672" s="14"/>
    </row>
    <row r="673" spans="1:12" ht="15.75" x14ac:dyDescent="0.25">
      <c r="A673" s="31">
        <v>61422</v>
      </c>
      <c r="B673" s="14">
        <f>99.0311 * CHOOSE(CONTROL!$C$9, $D$9, 100%, $F$9) + CHOOSE(CONTROL!$C$27, 0.0021, 0)</f>
        <v>99.033199999999994</v>
      </c>
      <c r="C673" s="14">
        <f>98.5989 * CHOOSE(CONTROL!$C$9, $D$9, 100%, $F$9) + CHOOSE(CONTROL!$C$27, 0.0021, 0)</f>
        <v>98.600999999999999</v>
      </c>
      <c r="D673" s="14">
        <f>98.5989 * CHOOSE(CONTROL!$C$9, $D$9, 100%, $F$9) + CHOOSE(CONTROL!$C$27, 0.0021, 0)</f>
        <v>98.600999999999999</v>
      </c>
      <c r="E673" s="14">
        <f>98.4622 * CHOOSE(CONTROL!$C$9, $D$9, 100%, $F$9) + CHOOSE(CONTROL!$C$27, 0.0021, 0)</f>
        <v>98.464299999999994</v>
      </c>
      <c r="F673" s="14">
        <f>98.4622 * CHOOSE(CONTROL!$C$9, $D$9, 100%, $F$9) + CHOOSE(CONTROL!$C$27, 0.0021, 0)</f>
        <v>98.464299999999994</v>
      </c>
      <c r="G673" s="14">
        <f>98.7336 * CHOOSE(CONTROL!$C$9, $D$9, 100%, $F$9) + CHOOSE(CONTROL!$C$27, 0.0021, 0)</f>
        <v>98.735699999999994</v>
      </c>
      <c r="H673" s="14">
        <f>98.5989 * CHOOSE(CONTROL!$C$9, $D$9, 100%, $F$9) + CHOOSE(CONTROL!$C$27, 0.0021, 0)</f>
        <v>98.600999999999999</v>
      </c>
      <c r="I673" s="14">
        <f>98.5989 * CHOOSE(CONTROL!$C$9, $D$9, 100%, $F$9) + CHOOSE(CONTROL!$C$27, 0.0021, 0)</f>
        <v>98.600999999999999</v>
      </c>
      <c r="J673" s="14">
        <f>98.5989 * CHOOSE(CONTROL!$C$9, $D$9, 100%, $F$9) + CHOOSE(CONTROL!$C$27, 0.0021, 0)</f>
        <v>98.600999999999999</v>
      </c>
      <c r="K673" s="14">
        <f>98.5989 * CHOOSE(CONTROL!$C$9, $D$9, 100%, $F$9) + CHOOSE(CONTROL!$C$27, 0.0021, 0)</f>
        <v>98.600999999999999</v>
      </c>
      <c r="L673" s="14"/>
    </row>
    <row r="674" spans="1:12" ht="15.75" x14ac:dyDescent="0.25">
      <c r="A674" s="31">
        <v>61453</v>
      </c>
      <c r="B674" s="14">
        <f>104.1298 * CHOOSE(CONTROL!$C$9, $D$9, 100%, $F$9) + CHOOSE(CONTROL!$C$27, 0.0021, 0)</f>
        <v>104.1319</v>
      </c>
      <c r="C674" s="14">
        <f>103.6976 * CHOOSE(CONTROL!$C$9, $D$9, 100%, $F$9) + CHOOSE(CONTROL!$C$27, 0.0021, 0)</f>
        <v>103.69969999999999</v>
      </c>
      <c r="D674" s="14">
        <f>103.6976 * CHOOSE(CONTROL!$C$9, $D$9, 100%, $F$9) + CHOOSE(CONTROL!$C$27, 0.0021, 0)</f>
        <v>103.69969999999999</v>
      </c>
      <c r="E674" s="14">
        <f>103.5609 * CHOOSE(CONTROL!$C$9, $D$9, 100%, $F$9) + CHOOSE(CONTROL!$C$27, 0.0021, 0)</f>
        <v>103.563</v>
      </c>
      <c r="F674" s="14">
        <f>103.5609 * CHOOSE(CONTROL!$C$9, $D$9, 100%, $F$9) + CHOOSE(CONTROL!$C$27, 0.0021, 0)</f>
        <v>103.563</v>
      </c>
      <c r="G674" s="14">
        <f>103.8323 * CHOOSE(CONTROL!$C$9, $D$9, 100%, $F$9) + CHOOSE(CONTROL!$C$27, 0.0021, 0)</f>
        <v>103.8344</v>
      </c>
      <c r="H674" s="14">
        <f>103.6976 * CHOOSE(CONTROL!$C$9, $D$9, 100%, $F$9) + CHOOSE(CONTROL!$C$27, 0.0021, 0)</f>
        <v>103.69969999999999</v>
      </c>
      <c r="I674" s="14">
        <f>103.6976 * CHOOSE(CONTROL!$C$9, $D$9, 100%, $F$9) + CHOOSE(CONTROL!$C$27, 0.0021, 0)</f>
        <v>103.69969999999999</v>
      </c>
      <c r="J674" s="14">
        <f>103.6976 * CHOOSE(CONTROL!$C$9, $D$9, 100%, $F$9) + CHOOSE(CONTROL!$C$27, 0.0021, 0)</f>
        <v>103.69969999999999</v>
      </c>
      <c r="K674" s="14">
        <f>103.6976 * CHOOSE(CONTROL!$C$9, $D$9, 100%, $F$9) + CHOOSE(CONTROL!$C$27, 0.0021, 0)</f>
        <v>103.69969999999999</v>
      </c>
      <c r="L674" s="14"/>
    </row>
    <row r="675" spans="1:12" ht="15.75" x14ac:dyDescent="0.25">
      <c r="A675" s="31">
        <v>61483</v>
      </c>
      <c r="B675" s="14">
        <f>110.7416 * CHOOSE(CONTROL!$C$9, $D$9, 100%, $F$9) + CHOOSE(CONTROL!$C$27, 0.0021, 0)</f>
        <v>110.7437</v>
      </c>
      <c r="C675" s="14">
        <f>110.3094 * CHOOSE(CONTROL!$C$9, $D$9, 100%, $F$9) + CHOOSE(CONTROL!$C$27, 0.0021, 0)</f>
        <v>110.3115</v>
      </c>
      <c r="D675" s="14">
        <f>110.3094 * CHOOSE(CONTROL!$C$9, $D$9, 100%, $F$9) + CHOOSE(CONTROL!$C$27, 0.0021, 0)</f>
        <v>110.3115</v>
      </c>
      <c r="E675" s="14">
        <f>110.1727 * CHOOSE(CONTROL!$C$9, $D$9, 100%, $F$9) + CHOOSE(CONTROL!$C$27, 0.0021, 0)</f>
        <v>110.1748</v>
      </c>
      <c r="F675" s="14">
        <f>110.1727 * CHOOSE(CONTROL!$C$9, $D$9, 100%, $F$9) + CHOOSE(CONTROL!$C$27, 0.0021, 0)</f>
        <v>110.1748</v>
      </c>
      <c r="G675" s="14">
        <f>110.4441 * CHOOSE(CONTROL!$C$9, $D$9, 100%, $F$9) + CHOOSE(CONTROL!$C$27, 0.0021, 0)</f>
        <v>110.4462</v>
      </c>
      <c r="H675" s="14">
        <f>110.3094 * CHOOSE(CONTROL!$C$9, $D$9, 100%, $F$9) + CHOOSE(CONTROL!$C$27, 0.0021, 0)</f>
        <v>110.3115</v>
      </c>
      <c r="I675" s="14">
        <f>110.3094 * CHOOSE(CONTROL!$C$9, $D$9, 100%, $F$9) + CHOOSE(CONTROL!$C$27, 0.0021, 0)</f>
        <v>110.3115</v>
      </c>
      <c r="J675" s="14">
        <f>110.3094 * CHOOSE(CONTROL!$C$9, $D$9, 100%, $F$9) + CHOOSE(CONTROL!$C$27, 0.0021, 0)</f>
        <v>110.3115</v>
      </c>
      <c r="K675" s="14">
        <f>110.3094 * CHOOSE(CONTROL!$C$9, $D$9, 100%, $F$9) + CHOOSE(CONTROL!$C$27, 0.0021, 0)</f>
        <v>110.3115</v>
      </c>
      <c r="L675" s="14"/>
    </row>
    <row r="676" spans="1:12" ht="15.75" x14ac:dyDescent="0.25">
      <c r="A676" s="31">
        <v>61514</v>
      </c>
      <c r="B676" s="14">
        <f>114.381 * CHOOSE(CONTROL!$C$9, $D$9, 100%, $F$9) + CHOOSE(CONTROL!$C$27, 0.0021, 0)</f>
        <v>114.3831</v>
      </c>
      <c r="C676" s="14">
        <f>113.9487 * CHOOSE(CONTROL!$C$9, $D$9, 100%, $F$9) + CHOOSE(CONTROL!$C$27, 0.0021, 0)</f>
        <v>113.9508</v>
      </c>
      <c r="D676" s="14">
        <f>113.9487 * CHOOSE(CONTROL!$C$9, $D$9, 100%, $F$9) + CHOOSE(CONTROL!$C$27, 0.0021, 0)</f>
        <v>113.9508</v>
      </c>
      <c r="E676" s="14">
        <f>113.812 * CHOOSE(CONTROL!$C$9, $D$9, 100%, $F$9) + CHOOSE(CONTROL!$C$27, 0.0021, 0)</f>
        <v>113.8141</v>
      </c>
      <c r="F676" s="14">
        <f>113.812 * CHOOSE(CONTROL!$C$9, $D$9, 100%, $F$9) + CHOOSE(CONTROL!$C$27, 0.0021, 0)</f>
        <v>113.8141</v>
      </c>
      <c r="G676" s="14">
        <f>114.0834 * CHOOSE(CONTROL!$C$9, $D$9, 100%, $F$9) + CHOOSE(CONTROL!$C$27, 0.0021, 0)</f>
        <v>114.0855</v>
      </c>
      <c r="H676" s="14">
        <f>113.9487 * CHOOSE(CONTROL!$C$9, $D$9, 100%, $F$9) + CHOOSE(CONTROL!$C$27, 0.0021, 0)</f>
        <v>113.9508</v>
      </c>
      <c r="I676" s="14">
        <f>113.9487 * CHOOSE(CONTROL!$C$9, $D$9, 100%, $F$9) + CHOOSE(CONTROL!$C$27, 0.0021, 0)</f>
        <v>113.9508</v>
      </c>
      <c r="J676" s="14">
        <f>113.9487 * CHOOSE(CONTROL!$C$9, $D$9, 100%, $F$9) + CHOOSE(CONTROL!$C$27, 0.0021, 0)</f>
        <v>113.9508</v>
      </c>
      <c r="K676" s="14">
        <f>113.9487 * CHOOSE(CONTROL!$C$9, $D$9, 100%, $F$9) + CHOOSE(CONTROL!$C$27, 0.0021, 0)</f>
        <v>113.9508</v>
      </c>
      <c r="L676" s="14"/>
    </row>
    <row r="677" spans="1:12" ht="15.75" x14ac:dyDescent="0.25">
      <c r="A677" s="31">
        <v>61544</v>
      </c>
      <c r="B677" s="14">
        <f>115.996 * CHOOSE(CONTROL!$C$9, $D$9, 100%, $F$9) + CHOOSE(CONTROL!$C$27, 0.0021, 0)</f>
        <v>115.99809999999999</v>
      </c>
      <c r="C677" s="14">
        <f>115.5638 * CHOOSE(CONTROL!$C$9, $D$9, 100%, $F$9) + CHOOSE(CONTROL!$C$27, 0.0021, 0)</f>
        <v>115.5659</v>
      </c>
      <c r="D677" s="14">
        <f>115.5638 * CHOOSE(CONTROL!$C$9, $D$9, 100%, $F$9) + CHOOSE(CONTROL!$C$27, 0.0021, 0)</f>
        <v>115.5659</v>
      </c>
      <c r="E677" s="14">
        <f>115.4271 * CHOOSE(CONTROL!$C$9, $D$9, 100%, $F$9) + CHOOSE(CONTROL!$C$27, 0.0021, 0)</f>
        <v>115.42919999999999</v>
      </c>
      <c r="F677" s="14">
        <f>115.4271 * CHOOSE(CONTROL!$C$9, $D$9, 100%, $F$9) + CHOOSE(CONTROL!$C$27, 0.0021, 0)</f>
        <v>115.42919999999999</v>
      </c>
      <c r="G677" s="14">
        <f>115.6985 * CHOOSE(CONTROL!$C$9, $D$9, 100%, $F$9) + CHOOSE(CONTROL!$C$27, 0.0021, 0)</f>
        <v>115.70059999999999</v>
      </c>
      <c r="H677" s="14">
        <f>115.5638 * CHOOSE(CONTROL!$C$9, $D$9, 100%, $F$9) + CHOOSE(CONTROL!$C$27, 0.0021, 0)</f>
        <v>115.5659</v>
      </c>
      <c r="I677" s="14">
        <f>115.5638 * CHOOSE(CONTROL!$C$9, $D$9, 100%, $F$9) + CHOOSE(CONTROL!$C$27, 0.0021, 0)</f>
        <v>115.5659</v>
      </c>
      <c r="J677" s="14">
        <f>115.5638 * CHOOSE(CONTROL!$C$9, $D$9, 100%, $F$9) + CHOOSE(CONTROL!$C$27, 0.0021, 0)</f>
        <v>115.5659</v>
      </c>
      <c r="K677" s="14">
        <f>115.5638 * CHOOSE(CONTROL!$C$9, $D$9, 100%, $F$9) + CHOOSE(CONTROL!$C$27, 0.0021, 0)</f>
        <v>115.5659</v>
      </c>
      <c r="L677" s="14"/>
    </row>
    <row r="678" spans="1:12" ht="15.75" x14ac:dyDescent="0.25">
      <c r="A678" s="31">
        <v>61575</v>
      </c>
      <c r="B678" s="14">
        <f>115.4643 * CHOOSE(CONTROL!$C$9, $D$9, 100%, $F$9) + CHOOSE(CONTROL!$C$27, 0.0021, 0)</f>
        <v>115.46639999999999</v>
      </c>
      <c r="C678" s="14">
        <f>115.032 * CHOOSE(CONTROL!$C$9, $D$9, 100%, $F$9) + CHOOSE(CONTROL!$C$27, 0.0021, 0)</f>
        <v>115.0341</v>
      </c>
      <c r="D678" s="14">
        <f>115.032 * CHOOSE(CONTROL!$C$9, $D$9, 100%, $F$9) + CHOOSE(CONTROL!$C$27, 0.0021, 0)</f>
        <v>115.0341</v>
      </c>
      <c r="E678" s="14">
        <f>114.8954 * CHOOSE(CONTROL!$C$9, $D$9, 100%, $F$9) + CHOOSE(CONTROL!$C$27, 0.0021, 0)</f>
        <v>114.89749999999999</v>
      </c>
      <c r="F678" s="14">
        <f>114.8954 * CHOOSE(CONTROL!$C$9, $D$9, 100%, $F$9) + CHOOSE(CONTROL!$C$27, 0.0021, 0)</f>
        <v>114.89749999999999</v>
      </c>
      <c r="G678" s="14">
        <f>115.1667 * CHOOSE(CONTROL!$C$9, $D$9, 100%, $F$9) + CHOOSE(CONTROL!$C$27, 0.0021, 0)</f>
        <v>115.1688</v>
      </c>
      <c r="H678" s="14">
        <f>115.032 * CHOOSE(CONTROL!$C$9, $D$9, 100%, $F$9) + CHOOSE(CONTROL!$C$27, 0.0021, 0)</f>
        <v>115.0341</v>
      </c>
      <c r="I678" s="14">
        <f>115.032 * CHOOSE(CONTROL!$C$9, $D$9, 100%, $F$9) + CHOOSE(CONTROL!$C$27, 0.0021, 0)</f>
        <v>115.0341</v>
      </c>
      <c r="J678" s="14">
        <f>115.032 * CHOOSE(CONTROL!$C$9, $D$9, 100%, $F$9) + CHOOSE(CONTROL!$C$27, 0.0021, 0)</f>
        <v>115.0341</v>
      </c>
      <c r="K678" s="14">
        <f>115.032 * CHOOSE(CONTROL!$C$9, $D$9, 100%, $F$9) + CHOOSE(CONTROL!$C$27, 0.0021, 0)</f>
        <v>115.0341</v>
      </c>
      <c r="L678" s="14"/>
    </row>
    <row r="679" spans="1:12" ht="15.75" x14ac:dyDescent="0.25">
      <c r="A679" s="31">
        <v>61606</v>
      </c>
      <c r="B679" s="14">
        <f>112.8297 * CHOOSE(CONTROL!$C$9, $D$9, 100%, $F$9) + CHOOSE(CONTROL!$C$27, 0.0021, 0)</f>
        <v>112.8318</v>
      </c>
      <c r="C679" s="14">
        <f>112.3974 * CHOOSE(CONTROL!$C$9, $D$9, 100%, $F$9) + CHOOSE(CONTROL!$C$27, 0.0021, 0)</f>
        <v>112.3995</v>
      </c>
      <c r="D679" s="14">
        <f>112.3974 * CHOOSE(CONTROL!$C$9, $D$9, 100%, $F$9) + CHOOSE(CONTROL!$C$27, 0.0021, 0)</f>
        <v>112.3995</v>
      </c>
      <c r="E679" s="14">
        <f>112.2608 * CHOOSE(CONTROL!$C$9, $D$9, 100%, $F$9) + CHOOSE(CONTROL!$C$27, 0.0021, 0)</f>
        <v>112.2629</v>
      </c>
      <c r="F679" s="14">
        <f>112.2608 * CHOOSE(CONTROL!$C$9, $D$9, 100%, $F$9) + CHOOSE(CONTROL!$C$27, 0.0021, 0)</f>
        <v>112.2629</v>
      </c>
      <c r="G679" s="14">
        <f>112.5321 * CHOOSE(CONTROL!$C$9, $D$9, 100%, $F$9) + CHOOSE(CONTROL!$C$27, 0.0021, 0)</f>
        <v>112.5342</v>
      </c>
      <c r="H679" s="14">
        <f>112.3974 * CHOOSE(CONTROL!$C$9, $D$9, 100%, $F$9) + CHOOSE(CONTROL!$C$27, 0.0021, 0)</f>
        <v>112.3995</v>
      </c>
      <c r="I679" s="14">
        <f>112.3974 * CHOOSE(CONTROL!$C$9, $D$9, 100%, $F$9) + CHOOSE(CONTROL!$C$27, 0.0021, 0)</f>
        <v>112.3995</v>
      </c>
      <c r="J679" s="14">
        <f>112.3974 * CHOOSE(CONTROL!$C$9, $D$9, 100%, $F$9) + CHOOSE(CONTROL!$C$27, 0.0021, 0)</f>
        <v>112.3995</v>
      </c>
      <c r="K679" s="14">
        <f>112.3974 * CHOOSE(CONTROL!$C$9, $D$9, 100%, $F$9) + CHOOSE(CONTROL!$C$27, 0.0021, 0)</f>
        <v>112.3995</v>
      </c>
      <c r="L679" s="14"/>
    </row>
    <row r="680" spans="1:12" ht="15.75" x14ac:dyDescent="0.25">
      <c r="A680" s="31">
        <v>61636</v>
      </c>
      <c r="B680" s="14">
        <f>109.1556 * CHOOSE(CONTROL!$C$9, $D$9, 100%, $F$9) + CHOOSE(CONTROL!$C$27, 0.0021, 0)</f>
        <v>109.15770000000001</v>
      </c>
      <c r="C680" s="14">
        <f>108.7234 * CHOOSE(CONTROL!$C$9, $D$9, 100%, $F$9) + CHOOSE(CONTROL!$C$27, 0.0021, 0)</f>
        <v>108.7255</v>
      </c>
      <c r="D680" s="14">
        <f>108.7234 * CHOOSE(CONTROL!$C$9, $D$9, 100%, $F$9) + CHOOSE(CONTROL!$C$27, 0.0021, 0)</f>
        <v>108.7255</v>
      </c>
      <c r="E680" s="14">
        <f>108.5867 * CHOOSE(CONTROL!$C$9, $D$9, 100%, $F$9) + CHOOSE(CONTROL!$C$27, 0.0021, 0)</f>
        <v>108.58879999999999</v>
      </c>
      <c r="F680" s="14">
        <f>108.5867 * CHOOSE(CONTROL!$C$9, $D$9, 100%, $F$9) + CHOOSE(CONTROL!$C$27, 0.0021, 0)</f>
        <v>108.58879999999999</v>
      </c>
      <c r="G680" s="14">
        <f>108.8581 * CHOOSE(CONTROL!$C$9, $D$9, 100%, $F$9) + CHOOSE(CONTROL!$C$27, 0.0021, 0)</f>
        <v>108.86019999999999</v>
      </c>
      <c r="H680" s="14">
        <f>108.7234 * CHOOSE(CONTROL!$C$9, $D$9, 100%, $F$9) + CHOOSE(CONTROL!$C$27, 0.0021, 0)</f>
        <v>108.7255</v>
      </c>
      <c r="I680" s="14">
        <f>108.7234 * CHOOSE(CONTROL!$C$9, $D$9, 100%, $F$9) + CHOOSE(CONTROL!$C$27, 0.0021, 0)</f>
        <v>108.7255</v>
      </c>
      <c r="J680" s="14">
        <f>108.7234 * CHOOSE(CONTROL!$C$9, $D$9, 100%, $F$9) + CHOOSE(CONTROL!$C$27, 0.0021, 0)</f>
        <v>108.7255</v>
      </c>
      <c r="K680" s="14">
        <f>108.7234 * CHOOSE(CONTROL!$C$9, $D$9, 100%, $F$9) + CHOOSE(CONTROL!$C$27, 0.0021, 0)</f>
        <v>108.7255</v>
      </c>
      <c r="L680" s="14"/>
    </row>
    <row r="681" spans="1:12" ht="15.75" x14ac:dyDescent="0.25">
      <c r="A681" s="31">
        <v>61667</v>
      </c>
      <c r="B681" s="14">
        <f>105.4602 * CHOOSE(CONTROL!$C$9, $D$9, 100%, $F$9) + CHOOSE(CONTROL!$C$27, 0.0021, 0)</f>
        <v>105.4623</v>
      </c>
      <c r="C681" s="14">
        <f>105.0279 * CHOOSE(CONTROL!$C$9, $D$9, 100%, $F$9) + CHOOSE(CONTROL!$C$27, 0.0021, 0)</f>
        <v>105.03</v>
      </c>
      <c r="D681" s="14">
        <f>105.0279 * CHOOSE(CONTROL!$C$9, $D$9, 100%, $F$9) + CHOOSE(CONTROL!$C$27, 0.0021, 0)</f>
        <v>105.03</v>
      </c>
      <c r="E681" s="14">
        <f>104.8913 * CHOOSE(CONTROL!$C$9, $D$9, 100%, $F$9) + CHOOSE(CONTROL!$C$27, 0.0021, 0)</f>
        <v>104.8934</v>
      </c>
      <c r="F681" s="14">
        <f>104.8913 * CHOOSE(CONTROL!$C$9, $D$9, 100%, $F$9) + CHOOSE(CONTROL!$C$27, 0.0021, 0)</f>
        <v>104.8934</v>
      </c>
      <c r="G681" s="14">
        <f>105.1626 * CHOOSE(CONTROL!$C$9, $D$9, 100%, $F$9) + CHOOSE(CONTROL!$C$27, 0.0021, 0)</f>
        <v>105.1647</v>
      </c>
      <c r="H681" s="14">
        <f>105.0279 * CHOOSE(CONTROL!$C$9, $D$9, 100%, $F$9) + CHOOSE(CONTROL!$C$27, 0.0021, 0)</f>
        <v>105.03</v>
      </c>
      <c r="I681" s="14">
        <f>105.0279 * CHOOSE(CONTROL!$C$9, $D$9, 100%, $F$9) + CHOOSE(CONTROL!$C$27, 0.0021, 0)</f>
        <v>105.03</v>
      </c>
      <c r="J681" s="14">
        <f>105.0279 * CHOOSE(CONTROL!$C$9, $D$9, 100%, $F$9) + CHOOSE(CONTROL!$C$27, 0.0021, 0)</f>
        <v>105.03</v>
      </c>
      <c r="K681" s="14">
        <f>105.0279 * CHOOSE(CONTROL!$C$9, $D$9, 100%, $F$9) + CHOOSE(CONTROL!$C$27, 0.0021, 0)</f>
        <v>105.03</v>
      </c>
      <c r="L681" s="14"/>
    </row>
    <row r="682" spans="1:12" ht="15.75" x14ac:dyDescent="0.25">
      <c r="A682" s="31">
        <v>61697</v>
      </c>
      <c r="B682" s="14">
        <f>104.7251 * CHOOSE(CONTROL!$C$9, $D$9, 100%, $F$9) + CHOOSE(CONTROL!$C$27, 0.0021, 0)</f>
        <v>104.7272</v>
      </c>
      <c r="C682" s="14">
        <f>104.2928 * CHOOSE(CONTROL!$C$9, $D$9, 100%, $F$9) + CHOOSE(CONTROL!$C$27, 0.0021, 0)</f>
        <v>104.2949</v>
      </c>
      <c r="D682" s="14">
        <f>104.2928 * CHOOSE(CONTROL!$C$9, $D$9, 100%, $F$9) + CHOOSE(CONTROL!$C$27, 0.0021, 0)</f>
        <v>104.2949</v>
      </c>
      <c r="E682" s="14">
        <f>104.1562 * CHOOSE(CONTROL!$C$9, $D$9, 100%, $F$9) + CHOOSE(CONTROL!$C$27, 0.0021, 0)</f>
        <v>104.1583</v>
      </c>
      <c r="F682" s="14">
        <f>104.1562 * CHOOSE(CONTROL!$C$9, $D$9, 100%, $F$9) + CHOOSE(CONTROL!$C$27, 0.0021, 0)</f>
        <v>104.1583</v>
      </c>
      <c r="G682" s="14">
        <f>104.4275 * CHOOSE(CONTROL!$C$9, $D$9, 100%, $F$9) + CHOOSE(CONTROL!$C$27, 0.0021, 0)</f>
        <v>104.42959999999999</v>
      </c>
      <c r="H682" s="14">
        <f>104.2928 * CHOOSE(CONTROL!$C$9, $D$9, 100%, $F$9) + CHOOSE(CONTROL!$C$27, 0.0021, 0)</f>
        <v>104.2949</v>
      </c>
      <c r="I682" s="14">
        <f>104.2928 * CHOOSE(CONTROL!$C$9, $D$9, 100%, $F$9) + CHOOSE(CONTROL!$C$27, 0.0021, 0)</f>
        <v>104.2949</v>
      </c>
      <c r="J682" s="14">
        <f>104.2928 * CHOOSE(CONTROL!$C$9, $D$9, 100%, $F$9) + CHOOSE(CONTROL!$C$27, 0.0021, 0)</f>
        <v>104.2949</v>
      </c>
      <c r="K682" s="14">
        <f>104.2928 * CHOOSE(CONTROL!$C$9, $D$9, 100%, $F$9) + CHOOSE(CONTROL!$C$27, 0.0021, 0)</f>
        <v>104.2949</v>
      </c>
      <c r="L682" s="14"/>
    </row>
    <row r="683" spans="1:12" ht="15.75" x14ac:dyDescent="0.25">
      <c r="A683" s="31">
        <v>61728</v>
      </c>
      <c r="B683" s="14">
        <f>101.6854 * CHOOSE(CONTROL!$C$9, $D$9, 100%, $F$9) + CHOOSE(CONTROL!$C$27, 0.0021, 0)</f>
        <v>101.6875</v>
      </c>
      <c r="C683" s="14">
        <f>101.2531 * CHOOSE(CONTROL!$C$9, $D$9, 100%, $F$9) + CHOOSE(CONTROL!$C$27, 0.0021, 0)</f>
        <v>101.2552</v>
      </c>
      <c r="D683" s="14">
        <f>101.2531 * CHOOSE(CONTROL!$C$9, $D$9, 100%, $F$9) + CHOOSE(CONTROL!$C$27, 0.0021, 0)</f>
        <v>101.2552</v>
      </c>
      <c r="E683" s="14">
        <f>101.1165 * CHOOSE(CONTROL!$C$9, $D$9, 100%, $F$9) + CHOOSE(CONTROL!$C$27, 0.0021, 0)</f>
        <v>101.1186</v>
      </c>
      <c r="F683" s="14">
        <f>101.1165 * CHOOSE(CONTROL!$C$9, $D$9, 100%, $F$9) + CHOOSE(CONTROL!$C$27, 0.0021, 0)</f>
        <v>101.1186</v>
      </c>
      <c r="G683" s="14">
        <f>101.3878 * CHOOSE(CONTROL!$C$9, $D$9, 100%, $F$9) + CHOOSE(CONTROL!$C$27, 0.0021, 0)</f>
        <v>101.3899</v>
      </c>
      <c r="H683" s="14">
        <f>101.2531 * CHOOSE(CONTROL!$C$9, $D$9, 100%, $F$9) + CHOOSE(CONTROL!$C$27, 0.0021, 0)</f>
        <v>101.2552</v>
      </c>
      <c r="I683" s="14">
        <f>101.2531 * CHOOSE(CONTROL!$C$9, $D$9, 100%, $F$9) + CHOOSE(CONTROL!$C$27, 0.0021, 0)</f>
        <v>101.2552</v>
      </c>
      <c r="J683" s="14">
        <f>101.2531 * CHOOSE(CONTROL!$C$9, $D$9, 100%, $F$9) + CHOOSE(CONTROL!$C$27, 0.0021, 0)</f>
        <v>101.2552</v>
      </c>
      <c r="K683" s="14">
        <f>101.2531 * CHOOSE(CONTROL!$C$9, $D$9, 100%, $F$9) + CHOOSE(CONTROL!$C$27, 0.0021, 0)</f>
        <v>101.2552</v>
      </c>
      <c r="L683" s="14"/>
    </row>
    <row r="684" spans="1:12" ht="15.75" x14ac:dyDescent="0.25">
      <c r="A684" s="31">
        <v>61759</v>
      </c>
      <c r="B684" s="14">
        <f>101.0936 * CHOOSE(CONTROL!$C$9, $D$9, 100%, $F$9) + CHOOSE(CONTROL!$C$27, 0.0021, 0)</f>
        <v>101.09569999999999</v>
      </c>
      <c r="C684" s="14">
        <f>100.6613 * CHOOSE(CONTROL!$C$9, $D$9, 100%, $F$9) + CHOOSE(CONTROL!$C$27, 0.0021, 0)</f>
        <v>100.6634</v>
      </c>
      <c r="D684" s="14">
        <f>100.6613 * CHOOSE(CONTROL!$C$9, $D$9, 100%, $F$9) + CHOOSE(CONTROL!$C$27, 0.0021, 0)</f>
        <v>100.6634</v>
      </c>
      <c r="E684" s="14">
        <f>100.5247 * CHOOSE(CONTROL!$C$9, $D$9, 100%, $F$9) + CHOOSE(CONTROL!$C$27, 0.0021, 0)</f>
        <v>100.52679999999999</v>
      </c>
      <c r="F684" s="14">
        <f>100.5247 * CHOOSE(CONTROL!$C$9, $D$9, 100%, $F$9) + CHOOSE(CONTROL!$C$27, 0.0021, 0)</f>
        <v>100.52679999999999</v>
      </c>
      <c r="G684" s="14">
        <f>100.796 * CHOOSE(CONTROL!$C$9, $D$9, 100%, $F$9) + CHOOSE(CONTROL!$C$27, 0.0021, 0)</f>
        <v>100.79810000000001</v>
      </c>
      <c r="H684" s="14">
        <f>100.6613 * CHOOSE(CONTROL!$C$9, $D$9, 100%, $F$9) + CHOOSE(CONTROL!$C$27, 0.0021, 0)</f>
        <v>100.6634</v>
      </c>
      <c r="I684" s="14">
        <f>100.6613 * CHOOSE(CONTROL!$C$9, $D$9, 100%, $F$9) + CHOOSE(CONTROL!$C$27, 0.0021, 0)</f>
        <v>100.6634</v>
      </c>
      <c r="J684" s="14">
        <f>100.6613 * CHOOSE(CONTROL!$C$9, $D$9, 100%, $F$9) + CHOOSE(CONTROL!$C$27, 0.0021, 0)</f>
        <v>100.6634</v>
      </c>
      <c r="K684" s="14">
        <f>100.6613 * CHOOSE(CONTROL!$C$9, $D$9, 100%, $F$9) + CHOOSE(CONTROL!$C$27, 0.0021, 0)</f>
        <v>100.6634</v>
      </c>
      <c r="L684" s="14"/>
    </row>
    <row r="685" spans="1:12" ht="15.75" x14ac:dyDescent="0.25">
      <c r="A685" s="31">
        <v>61787</v>
      </c>
      <c r="B685" s="14">
        <f>100.8189 * CHOOSE(CONTROL!$C$9, $D$9, 100%, $F$9) + CHOOSE(CONTROL!$C$27, 0.0021, 0)</f>
        <v>100.821</v>
      </c>
      <c r="C685" s="14">
        <f>100.3867 * CHOOSE(CONTROL!$C$9, $D$9, 100%, $F$9) + CHOOSE(CONTROL!$C$27, 0.0021, 0)</f>
        <v>100.3888</v>
      </c>
      <c r="D685" s="14">
        <f>100.3867 * CHOOSE(CONTROL!$C$9, $D$9, 100%, $F$9) + CHOOSE(CONTROL!$C$27, 0.0021, 0)</f>
        <v>100.3888</v>
      </c>
      <c r="E685" s="14">
        <f>100.25 * CHOOSE(CONTROL!$C$9, $D$9, 100%, $F$9) + CHOOSE(CONTROL!$C$27, 0.0021, 0)</f>
        <v>100.2521</v>
      </c>
      <c r="F685" s="14">
        <f>100.25 * CHOOSE(CONTROL!$C$9, $D$9, 100%, $F$9) + CHOOSE(CONTROL!$C$27, 0.0021, 0)</f>
        <v>100.2521</v>
      </c>
      <c r="G685" s="14">
        <f>100.5214 * CHOOSE(CONTROL!$C$9, $D$9, 100%, $F$9) + CHOOSE(CONTROL!$C$27, 0.0021, 0)</f>
        <v>100.5235</v>
      </c>
      <c r="H685" s="14">
        <f>100.3867 * CHOOSE(CONTROL!$C$9, $D$9, 100%, $F$9) + CHOOSE(CONTROL!$C$27, 0.0021, 0)</f>
        <v>100.3888</v>
      </c>
      <c r="I685" s="14">
        <f>100.3867 * CHOOSE(CONTROL!$C$9, $D$9, 100%, $F$9) + CHOOSE(CONTROL!$C$27, 0.0021, 0)</f>
        <v>100.3888</v>
      </c>
      <c r="J685" s="14">
        <f>100.3867 * CHOOSE(CONTROL!$C$9, $D$9, 100%, $F$9) + CHOOSE(CONTROL!$C$27, 0.0021, 0)</f>
        <v>100.3888</v>
      </c>
      <c r="K685" s="14">
        <f>100.3867 * CHOOSE(CONTROL!$C$9, $D$9, 100%, $F$9) + CHOOSE(CONTROL!$C$27, 0.0021, 0)</f>
        <v>100.3888</v>
      </c>
      <c r="L685" s="14"/>
    </row>
    <row r="686" spans="1:12" ht="15.75" x14ac:dyDescent="0.25">
      <c r="A686" s="31">
        <v>61818</v>
      </c>
      <c r="B686" s="14">
        <f>106.0119 * CHOOSE(CONTROL!$C$9, $D$9, 100%, $F$9) + CHOOSE(CONTROL!$C$27, 0.0021, 0)</f>
        <v>106.014</v>
      </c>
      <c r="C686" s="14">
        <f>105.5796 * CHOOSE(CONTROL!$C$9, $D$9, 100%, $F$9) + CHOOSE(CONTROL!$C$27, 0.0021, 0)</f>
        <v>105.5817</v>
      </c>
      <c r="D686" s="14">
        <f>105.5796 * CHOOSE(CONTROL!$C$9, $D$9, 100%, $F$9) + CHOOSE(CONTROL!$C$27, 0.0021, 0)</f>
        <v>105.5817</v>
      </c>
      <c r="E686" s="14">
        <f>105.443 * CHOOSE(CONTROL!$C$9, $D$9, 100%, $F$9) + CHOOSE(CONTROL!$C$27, 0.0021, 0)</f>
        <v>105.4451</v>
      </c>
      <c r="F686" s="14">
        <f>105.443 * CHOOSE(CONTROL!$C$9, $D$9, 100%, $F$9) + CHOOSE(CONTROL!$C$27, 0.0021, 0)</f>
        <v>105.4451</v>
      </c>
      <c r="G686" s="14">
        <f>105.7143 * CHOOSE(CONTROL!$C$9, $D$9, 100%, $F$9) + CHOOSE(CONTROL!$C$27, 0.0021, 0)</f>
        <v>105.71639999999999</v>
      </c>
      <c r="H686" s="14">
        <f>105.5796 * CHOOSE(CONTROL!$C$9, $D$9, 100%, $F$9) + CHOOSE(CONTROL!$C$27, 0.0021, 0)</f>
        <v>105.5817</v>
      </c>
      <c r="I686" s="14">
        <f>105.5796 * CHOOSE(CONTROL!$C$9, $D$9, 100%, $F$9) + CHOOSE(CONTROL!$C$27, 0.0021, 0)</f>
        <v>105.5817</v>
      </c>
      <c r="J686" s="14">
        <f>105.5796 * CHOOSE(CONTROL!$C$9, $D$9, 100%, $F$9) + CHOOSE(CONTROL!$C$27, 0.0021, 0)</f>
        <v>105.5817</v>
      </c>
      <c r="K686" s="14">
        <f>105.5796 * CHOOSE(CONTROL!$C$9, $D$9, 100%, $F$9) + CHOOSE(CONTROL!$C$27, 0.0021, 0)</f>
        <v>105.5817</v>
      </c>
      <c r="L686" s="14"/>
    </row>
    <row r="687" spans="1:12" ht="15.75" x14ac:dyDescent="0.25">
      <c r="A687" s="31">
        <v>61848</v>
      </c>
      <c r="B687" s="14">
        <f>112.7458 * CHOOSE(CONTROL!$C$9, $D$9, 100%, $F$9) + CHOOSE(CONTROL!$C$27, 0.0021, 0)</f>
        <v>112.7479</v>
      </c>
      <c r="C687" s="14">
        <f>112.3136 * CHOOSE(CONTROL!$C$9, $D$9, 100%, $F$9) + CHOOSE(CONTROL!$C$27, 0.0021, 0)</f>
        <v>112.31569999999999</v>
      </c>
      <c r="D687" s="14">
        <f>112.3136 * CHOOSE(CONTROL!$C$9, $D$9, 100%, $F$9) + CHOOSE(CONTROL!$C$27, 0.0021, 0)</f>
        <v>112.31569999999999</v>
      </c>
      <c r="E687" s="14">
        <f>112.1769 * CHOOSE(CONTROL!$C$9, $D$9, 100%, $F$9) + CHOOSE(CONTROL!$C$27, 0.0021, 0)</f>
        <v>112.179</v>
      </c>
      <c r="F687" s="14">
        <f>112.1769 * CHOOSE(CONTROL!$C$9, $D$9, 100%, $F$9) + CHOOSE(CONTROL!$C$27, 0.0021, 0)</f>
        <v>112.179</v>
      </c>
      <c r="G687" s="14">
        <f>112.4483 * CHOOSE(CONTROL!$C$9, $D$9, 100%, $F$9) + CHOOSE(CONTROL!$C$27, 0.0021, 0)</f>
        <v>112.4504</v>
      </c>
      <c r="H687" s="14">
        <f>112.3136 * CHOOSE(CONTROL!$C$9, $D$9, 100%, $F$9) + CHOOSE(CONTROL!$C$27, 0.0021, 0)</f>
        <v>112.31569999999999</v>
      </c>
      <c r="I687" s="14">
        <f>112.3136 * CHOOSE(CONTROL!$C$9, $D$9, 100%, $F$9) + CHOOSE(CONTROL!$C$27, 0.0021, 0)</f>
        <v>112.31569999999999</v>
      </c>
      <c r="J687" s="14">
        <f>112.3136 * CHOOSE(CONTROL!$C$9, $D$9, 100%, $F$9) + CHOOSE(CONTROL!$C$27, 0.0021, 0)</f>
        <v>112.31569999999999</v>
      </c>
      <c r="K687" s="14">
        <f>112.3136 * CHOOSE(CONTROL!$C$9, $D$9, 100%, $F$9) + CHOOSE(CONTROL!$C$27, 0.0021, 0)</f>
        <v>112.31569999999999</v>
      </c>
      <c r="L687" s="14"/>
    </row>
    <row r="688" spans="1:12" ht="15.75" x14ac:dyDescent="0.25">
      <c r="A688" s="31">
        <v>61879</v>
      </c>
      <c r="B688" s="14">
        <f>116.4524 * CHOOSE(CONTROL!$C$9, $D$9, 100%, $F$9) + CHOOSE(CONTROL!$C$27, 0.0021, 0)</f>
        <v>116.4545</v>
      </c>
      <c r="C688" s="14">
        <f>116.0202 * CHOOSE(CONTROL!$C$9, $D$9, 100%, $F$9) + CHOOSE(CONTROL!$C$27, 0.0021, 0)</f>
        <v>116.0223</v>
      </c>
      <c r="D688" s="14">
        <f>116.0202 * CHOOSE(CONTROL!$C$9, $D$9, 100%, $F$9) + CHOOSE(CONTROL!$C$27, 0.0021, 0)</f>
        <v>116.0223</v>
      </c>
      <c r="E688" s="14">
        <f>115.8835 * CHOOSE(CONTROL!$C$9, $D$9, 100%, $F$9) + CHOOSE(CONTROL!$C$27, 0.0021, 0)</f>
        <v>115.8856</v>
      </c>
      <c r="F688" s="14">
        <f>115.8835 * CHOOSE(CONTROL!$C$9, $D$9, 100%, $F$9) + CHOOSE(CONTROL!$C$27, 0.0021, 0)</f>
        <v>115.8856</v>
      </c>
      <c r="G688" s="14">
        <f>116.1549 * CHOOSE(CONTROL!$C$9, $D$9, 100%, $F$9) + CHOOSE(CONTROL!$C$27, 0.0021, 0)</f>
        <v>116.157</v>
      </c>
      <c r="H688" s="14">
        <f>116.0202 * CHOOSE(CONTROL!$C$9, $D$9, 100%, $F$9) + CHOOSE(CONTROL!$C$27, 0.0021, 0)</f>
        <v>116.0223</v>
      </c>
      <c r="I688" s="14">
        <f>116.0202 * CHOOSE(CONTROL!$C$9, $D$9, 100%, $F$9) + CHOOSE(CONTROL!$C$27, 0.0021, 0)</f>
        <v>116.0223</v>
      </c>
      <c r="J688" s="14">
        <f>116.0202 * CHOOSE(CONTROL!$C$9, $D$9, 100%, $F$9) + CHOOSE(CONTROL!$C$27, 0.0021, 0)</f>
        <v>116.0223</v>
      </c>
      <c r="K688" s="14">
        <f>116.0202 * CHOOSE(CONTROL!$C$9, $D$9, 100%, $F$9) + CHOOSE(CONTROL!$C$27, 0.0021, 0)</f>
        <v>116.0223</v>
      </c>
      <c r="L688" s="14"/>
    </row>
    <row r="689" spans="1:12" ht="15.75" x14ac:dyDescent="0.25">
      <c r="A689" s="31">
        <v>61909</v>
      </c>
      <c r="B689" s="14">
        <f>118.0974 * CHOOSE(CONTROL!$C$9, $D$9, 100%, $F$9) + CHOOSE(CONTROL!$C$27, 0.0021, 0)</f>
        <v>118.09949999999999</v>
      </c>
      <c r="C689" s="14">
        <f>117.6651 * CHOOSE(CONTROL!$C$9, $D$9, 100%, $F$9) + CHOOSE(CONTROL!$C$27, 0.0021, 0)</f>
        <v>117.66719999999999</v>
      </c>
      <c r="D689" s="14">
        <f>117.6651 * CHOOSE(CONTROL!$C$9, $D$9, 100%, $F$9) + CHOOSE(CONTROL!$C$27, 0.0021, 0)</f>
        <v>117.66719999999999</v>
      </c>
      <c r="E689" s="14">
        <f>117.5285 * CHOOSE(CONTROL!$C$9, $D$9, 100%, $F$9) + CHOOSE(CONTROL!$C$27, 0.0021, 0)</f>
        <v>117.53059999999999</v>
      </c>
      <c r="F689" s="14">
        <f>117.5285 * CHOOSE(CONTROL!$C$9, $D$9, 100%, $F$9) + CHOOSE(CONTROL!$C$27, 0.0021, 0)</f>
        <v>117.53059999999999</v>
      </c>
      <c r="G689" s="14">
        <f>117.7998 * CHOOSE(CONTROL!$C$9, $D$9, 100%, $F$9) + CHOOSE(CONTROL!$C$27, 0.0021, 0)</f>
        <v>117.8019</v>
      </c>
      <c r="H689" s="14">
        <f>117.6651 * CHOOSE(CONTROL!$C$9, $D$9, 100%, $F$9) + CHOOSE(CONTROL!$C$27, 0.0021, 0)</f>
        <v>117.66719999999999</v>
      </c>
      <c r="I689" s="14">
        <f>117.6651 * CHOOSE(CONTROL!$C$9, $D$9, 100%, $F$9) + CHOOSE(CONTROL!$C$27, 0.0021, 0)</f>
        <v>117.66719999999999</v>
      </c>
      <c r="J689" s="14">
        <f>117.6651 * CHOOSE(CONTROL!$C$9, $D$9, 100%, $F$9) + CHOOSE(CONTROL!$C$27, 0.0021, 0)</f>
        <v>117.66719999999999</v>
      </c>
      <c r="K689" s="14">
        <f>117.6651 * CHOOSE(CONTROL!$C$9, $D$9, 100%, $F$9) + CHOOSE(CONTROL!$C$27, 0.0021, 0)</f>
        <v>117.66719999999999</v>
      </c>
      <c r="L689" s="14"/>
    </row>
    <row r="690" spans="1:12" ht="15.75" x14ac:dyDescent="0.25">
      <c r="A690" s="31">
        <v>61940</v>
      </c>
      <c r="B690" s="14">
        <f>117.5558 * CHOOSE(CONTROL!$C$9, $D$9, 100%, $F$9) + CHOOSE(CONTROL!$C$27, 0.0021, 0)</f>
        <v>117.5579</v>
      </c>
      <c r="C690" s="14">
        <f>117.1235 * CHOOSE(CONTROL!$C$9, $D$9, 100%, $F$9) + CHOOSE(CONTROL!$C$27, 0.0021, 0)</f>
        <v>117.12560000000001</v>
      </c>
      <c r="D690" s="14">
        <f>117.1235 * CHOOSE(CONTROL!$C$9, $D$9, 100%, $F$9) + CHOOSE(CONTROL!$C$27, 0.0021, 0)</f>
        <v>117.12560000000001</v>
      </c>
      <c r="E690" s="14">
        <f>116.9869 * CHOOSE(CONTROL!$C$9, $D$9, 100%, $F$9) + CHOOSE(CONTROL!$C$27, 0.0021, 0)</f>
        <v>116.989</v>
      </c>
      <c r="F690" s="14">
        <f>116.9869 * CHOOSE(CONTROL!$C$9, $D$9, 100%, $F$9) + CHOOSE(CONTROL!$C$27, 0.0021, 0)</f>
        <v>116.989</v>
      </c>
      <c r="G690" s="14">
        <f>117.2582 * CHOOSE(CONTROL!$C$9, $D$9, 100%, $F$9) + CHOOSE(CONTROL!$C$27, 0.0021, 0)</f>
        <v>117.2603</v>
      </c>
      <c r="H690" s="14">
        <f>117.1235 * CHOOSE(CONTROL!$C$9, $D$9, 100%, $F$9) + CHOOSE(CONTROL!$C$27, 0.0021, 0)</f>
        <v>117.12560000000001</v>
      </c>
      <c r="I690" s="14">
        <f>117.1235 * CHOOSE(CONTROL!$C$9, $D$9, 100%, $F$9) + CHOOSE(CONTROL!$C$27, 0.0021, 0)</f>
        <v>117.12560000000001</v>
      </c>
      <c r="J690" s="14">
        <f>117.1235 * CHOOSE(CONTROL!$C$9, $D$9, 100%, $F$9) + CHOOSE(CONTROL!$C$27, 0.0021, 0)</f>
        <v>117.12560000000001</v>
      </c>
      <c r="K690" s="14">
        <f>117.1235 * CHOOSE(CONTROL!$C$9, $D$9, 100%, $F$9) + CHOOSE(CONTROL!$C$27, 0.0021, 0)</f>
        <v>117.12560000000001</v>
      </c>
      <c r="L690" s="14"/>
    </row>
    <row r="691" spans="1:12" ht="15.75" x14ac:dyDescent="0.25">
      <c r="A691" s="31">
        <v>61971</v>
      </c>
      <c r="B691" s="14">
        <f>114.8725 * CHOOSE(CONTROL!$C$9, $D$9, 100%, $F$9) + CHOOSE(CONTROL!$C$27, 0.0021, 0)</f>
        <v>114.8746</v>
      </c>
      <c r="C691" s="14">
        <f>114.4402 * CHOOSE(CONTROL!$C$9, $D$9, 100%, $F$9) + CHOOSE(CONTROL!$C$27, 0.0021, 0)</f>
        <v>114.4423</v>
      </c>
      <c r="D691" s="14">
        <f>114.4402 * CHOOSE(CONTROL!$C$9, $D$9, 100%, $F$9) + CHOOSE(CONTROL!$C$27, 0.0021, 0)</f>
        <v>114.4423</v>
      </c>
      <c r="E691" s="14">
        <f>114.3036 * CHOOSE(CONTROL!$C$9, $D$9, 100%, $F$9) + CHOOSE(CONTROL!$C$27, 0.0021, 0)</f>
        <v>114.3057</v>
      </c>
      <c r="F691" s="14">
        <f>114.3036 * CHOOSE(CONTROL!$C$9, $D$9, 100%, $F$9) + CHOOSE(CONTROL!$C$27, 0.0021, 0)</f>
        <v>114.3057</v>
      </c>
      <c r="G691" s="14">
        <f>114.575 * CHOOSE(CONTROL!$C$9, $D$9, 100%, $F$9) + CHOOSE(CONTROL!$C$27, 0.0021, 0)</f>
        <v>114.5771</v>
      </c>
      <c r="H691" s="14">
        <f>114.4402 * CHOOSE(CONTROL!$C$9, $D$9, 100%, $F$9) + CHOOSE(CONTROL!$C$27, 0.0021, 0)</f>
        <v>114.4423</v>
      </c>
      <c r="I691" s="14">
        <f>114.4402 * CHOOSE(CONTROL!$C$9, $D$9, 100%, $F$9) + CHOOSE(CONTROL!$C$27, 0.0021, 0)</f>
        <v>114.4423</v>
      </c>
      <c r="J691" s="14">
        <f>114.4402 * CHOOSE(CONTROL!$C$9, $D$9, 100%, $F$9) + CHOOSE(CONTROL!$C$27, 0.0021, 0)</f>
        <v>114.4423</v>
      </c>
      <c r="K691" s="14">
        <f>114.4402 * CHOOSE(CONTROL!$C$9, $D$9, 100%, $F$9) + CHOOSE(CONTROL!$C$27, 0.0021, 0)</f>
        <v>114.4423</v>
      </c>
      <c r="L691" s="14"/>
    </row>
    <row r="692" spans="1:12" ht="15.75" x14ac:dyDescent="0.25">
      <c r="A692" s="31">
        <v>62001</v>
      </c>
      <c r="B692" s="14">
        <f>111.1305 * CHOOSE(CONTROL!$C$9, $D$9, 100%, $F$9) + CHOOSE(CONTROL!$C$27, 0.0021, 0)</f>
        <v>111.1326</v>
      </c>
      <c r="C692" s="14">
        <f>110.6983 * CHOOSE(CONTROL!$C$9, $D$9, 100%, $F$9) + CHOOSE(CONTROL!$C$27, 0.0021, 0)</f>
        <v>110.7004</v>
      </c>
      <c r="D692" s="14">
        <f>110.6983 * CHOOSE(CONTROL!$C$9, $D$9, 100%, $F$9) + CHOOSE(CONTROL!$C$27, 0.0021, 0)</f>
        <v>110.7004</v>
      </c>
      <c r="E692" s="14">
        <f>110.5616 * CHOOSE(CONTROL!$C$9, $D$9, 100%, $F$9) + CHOOSE(CONTROL!$C$27, 0.0021, 0)</f>
        <v>110.5637</v>
      </c>
      <c r="F692" s="14">
        <f>110.5616 * CHOOSE(CONTROL!$C$9, $D$9, 100%, $F$9) + CHOOSE(CONTROL!$C$27, 0.0021, 0)</f>
        <v>110.5637</v>
      </c>
      <c r="G692" s="14">
        <f>110.833 * CHOOSE(CONTROL!$C$9, $D$9, 100%, $F$9) + CHOOSE(CONTROL!$C$27, 0.0021, 0)</f>
        <v>110.8351</v>
      </c>
      <c r="H692" s="14">
        <f>110.6983 * CHOOSE(CONTROL!$C$9, $D$9, 100%, $F$9) + CHOOSE(CONTROL!$C$27, 0.0021, 0)</f>
        <v>110.7004</v>
      </c>
      <c r="I692" s="14">
        <f>110.6983 * CHOOSE(CONTROL!$C$9, $D$9, 100%, $F$9) + CHOOSE(CONTROL!$C$27, 0.0021, 0)</f>
        <v>110.7004</v>
      </c>
      <c r="J692" s="14">
        <f>110.6983 * CHOOSE(CONTROL!$C$9, $D$9, 100%, $F$9) + CHOOSE(CONTROL!$C$27, 0.0021, 0)</f>
        <v>110.7004</v>
      </c>
      <c r="K692" s="14">
        <f>110.6983 * CHOOSE(CONTROL!$C$9, $D$9, 100%, $F$9) + CHOOSE(CONTROL!$C$27, 0.0021, 0)</f>
        <v>110.7004</v>
      </c>
      <c r="L692" s="14"/>
    </row>
    <row r="693" spans="1:12" ht="15.75" x14ac:dyDescent="0.25">
      <c r="A693" s="31">
        <v>62032</v>
      </c>
      <c r="B693" s="14">
        <f>107.3668 * CHOOSE(CONTROL!$C$9, $D$9, 100%, $F$9) + CHOOSE(CONTROL!$C$27, 0.0021, 0)</f>
        <v>107.3689</v>
      </c>
      <c r="C693" s="14">
        <f>106.9345 * CHOOSE(CONTROL!$C$9, $D$9, 100%, $F$9) + CHOOSE(CONTROL!$C$27, 0.0021, 0)</f>
        <v>106.9366</v>
      </c>
      <c r="D693" s="14">
        <f>106.9345 * CHOOSE(CONTROL!$C$9, $D$9, 100%, $F$9) + CHOOSE(CONTROL!$C$27, 0.0021, 0)</f>
        <v>106.9366</v>
      </c>
      <c r="E693" s="14">
        <f>106.7979 * CHOOSE(CONTROL!$C$9, $D$9, 100%, $F$9) + CHOOSE(CONTROL!$C$27, 0.0021, 0)</f>
        <v>106.8</v>
      </c>
      <c r="F693" s="14">
        <f>106.7979 * CHOOSE(CONTROL!$C$9, $D$9, 100%, $F$9) + CHOOSE(CONTROL!$C$27, 0.0021, 0)</f>
        <v>106.8</v>
      </c>
      <c r="G693" s="14">
        <f>107.0693 * CHOOSE(CONTROL!$C$9, $D$9, 100%, $F$9) + CHOOSE(CONTROL!$C$27, 0.0021, 0)</f>
        <v>107.0714</v>
      </c>
      <c r="H693" s="14">
        <f>106.9345 * CHOOSE(CONTROL!$C$9, $D$9, 100%, $F$9) + CHOOSE(CONTROL!$C$27, 0.0021, 0)</f>
        <v>106.9366</v>
      </c>
      <c r="I693" s="14">
        <f>106.9345 * CHOOSE(CONTROL!$C$9, $D$9, 100%, $F$9) + CHOOSE(CONTROL!$C$27, 0.0021, 0)</f>
        <v>106.9366</v>
      </c>
      <c r="J693" s="14">
        <f>106.9345 * CHOOSE(CONTROL!$C$9, $D$9, 100%, $F$9) + CHOOSE(CONTROL!$C$27, 0.0021, 0)</f>
        <v>106.9366</v>
      </c>
      <c r="K693" s="14">
        <f>106.9345 * CHOOSE(CONTROL!$C$9, $D$9, 100%, $F$9) + CHOOSE(CONTROL!$C$27, 0.0021, 0)</f>
        <v>106.9366</v>
      </c>
      <c r="L693" s="14"/>
    </row>
    <row r="694" spans="1:12" ht="15.75" x14ac:dyDescent="0.25">
      <c r="A694" s="31">
        <v>62062</v>
      </c>
      <c r="B694" s="14">
        <f>106.6181 * CHOOSE(CONTROL!$C$9, $D$9, 100%, $F$9) + CHOOSE(CONTROL!$C$27, 0.0021, 0)</f>
        <v>106.6202</v>
      </c>
      <c r="C694" s="14">
        <f>106.1859 * CHOOSE(CONTROL!$C$9, $D$9, 100%, $F$9) + CHOOSE(CONTROL!$C$27, 0.0021, 0)</f>
        <v>106.188</v>
      </c>
      <c r="D694" s="14">
        <f>106.1859 * CHOOSE(CONTROL!$C$9, $D$9, 100%, $F$9) + CHOOSE(CONTROL!$C$27, 0.0021, 0)</f>
        <v>106.188</v>
      </c>
      <c r="E694" s="14">
        <f>106.0492 * CHOOSE(CONTROL!$C$9, $D$9, 100%, $F$9) + CHOOSE(CONTROL!$C$27, 0.0021, 0)</f>
        <v>106.0513</v>
      </c>
      <c r="F694" s="14">
        <f>106.0492 * CHOOSE(CONTROL!$C$9, $D$9, 100%, $F$9) + CHOOSE(CONTROL!$C$27, 0.0021, 0)</f>
        <v>106.0513</v>
      </c>
      <c r="G694" s="14">
        <f>106.3206 * CHOOSE(CONTROL!$C$9, $D$9, 100%, $F$9) + CHOOSE(CONTROL!$C$27, 0.0021, 0)</f>
        <v>106.3227</v>
      </c>
      <c r="H694" s="14">
        <f>106.1859 * CHOOSE(CONTROL!$C$9, $D$9, 100%, $F$9) + CHOOSE(CONTROL!$C$27, 0.0021, 0)</f>
        <v>106.188</v>
      </c>
      <c r="I694" s="14">
        <f>106.1859 * CHOOSE(CONTROL!$C$9, $D$9, 100%, $F$9) + CHOOSE(CONTROL!$C$27, 0.0021, 0)</f>
        <v>106.188</v>
      </c>
      <c r="J694" s="14">
        <f>106.1859 * CHOOSE(CONTROL!$C$9, $D$9, 100%, $F$9) + CHOOSE(CONTROL!$C$27, 0.0021, 0)</f>
        <v>106.188</v>
      </c>
      <c r="K694" s="14">
        <f>106.1859 * CHOOSE(CONTROL!$C$9, $D$9, 100%, $F$9) + CHOOSE(CONTROL!$C$27, 0.0021, 0)</f>
        <v>106.188</v>
      </c>
      <c r="L694" s="14"/>
    </row>
    <row r="695" spans="1:12" ht="15.75" x14ac:dyDescent="0.25">
      <c r="A695" s="31">
        <v>62093</v>
      </c>
      <c r="B695" s="14">
        <f>103.5222 * CHOOSE(CONTROL!$C$9, $D$9, 100%, $F$9) + CHOOSE(CONTROL!$C$27, 0.0021, 0)</f>
        <v>103.5243</v>
      </c>
      <c r="C695" s="14">
        <f>103.09 * CHOOSE(CONTROL!$C$9, $D$9, 100%, $F$9) + CHOOSE(CONTROL!$C$27, 0.0021, 0)</f>
        <v>103.0921</v>
      </c>
      <c r="D695" s="14">
        <f>103.09 * CHOOSE(CONTROL!$C$9, $D$9, 100%, $F$9) + CHOOSE(CONTROL!$C$27, 0.0021, 0)</f>
        <v>103.0921</v>
      </c>
      <c r="E695" s="14">
        <f>102.9533 * CHOOSE(CONTROL!$C$9, $D$9, 100%, $F$9) + CHOOSE(CONTROL!$C$27, 0.0021, 0)</f>
        <v>102.9554</v>
      </c>
      <c r="F695" s="14">
        <f>102.9533 * CHOOSE(CONTROL!$C$9, $D$9, 100%, $F$9) + CHOOSE(CONTROL!$C$27, 0.0021, 0)</f>
        <v>102.9554</v>
      </c>
      <c r="G695" s="14">
        <f>103.2247 * CHOOSE(CONTROL!$C$9, $D$9, 100%, $F$9) + CHOOSE(CONTROL!$C$27, 0.0021, 0)</f>
        <v>103.2268</v>
      </c>
      <c r="H695" s="14">
        <f>103.09 * CHOOSE(CONTROL!$C$9, $D$9, 100%, $F$9) + CHOOSE(CONTROL!$C$27, 0.0021, 0)</f>
        <v>103.0921</v>
      </c>
      <c r="I695" s="14">
        <f>103.09 * CHOOSE(CONTROL!$C$9, $D$9, 100%, $F$9) + CHOOSE(CONTROL!$C$27, 0.0021, 0)</f>
        <v>103.0921</v>
      </c>
      <c r="J695" s="14">
        <f>103.09 * CHOOSE(CONTROL!$C$9, $D$9, 100%, $F$9) + CHOOSE(CONTROL!$C$27, 0.0021, 0)</f>
        <v>103.0921</v>
      </c>
      <c r="K695" s="14">
        <f>103.09 * CHOOSE(CONTROL!$C$9, $D$9, 100%, $F$9) + CHOOSE(CONTROL!$C$27, 0.0021, 0)</f>
        <v>103.0921</v>
      </c>
      <c r="L695" s="14"/>
    </row>
    <row r="696" spans="1:12" ht="15.75" x14ac:dyDescent="0.25">
      <c r="A696" s="31">
        <v>62124</v>
      </c>
      <c r="B696" s="14">
        <f>102.9195 * CHOOSE(CONTROL!$C$9, $D$9, 100%, $F$9) + CHOOSE(CONTROL!$C$27, 0.0021, 0)</f>
        <v>102.9216</v>
      </c>
      <c r="C696" s="14">
        <f>102.4872 * CHOOSE(CONTROL!$C$9, $D$9, 100%, $F$9) + CHOOSE(CONTROL!$C$27, 0.0021, 0)</f>
        <v>102.4893</v>
      </c>
      <c r="D696" s="14">
        <f>102.4872 * CHOOSE(CONTROL!$C$9, $D$9, 100%, $F$9) + CHOOSE(CONTROL!$C$27, 0.0021, 0)</f>
        <v>102.4893</v>
      </c>
      <c r="E696" s="14">
        <f>102.3506 * CHOOSE(CONTROL!$C$9, $D$9, 100%, $F$9) + CHOOSE(CONTROL!$C$27, 0.0021, 0)</f>
        <v>102.3527</v>
      </c>
      <c r="F696" s="14">
        <f>102.3506 * CHOOSE(CONTROL!$C$9, $D$9, 100%, $F$9) + CHOOSE(CONTROL!$C$27, 0.0021, 0)</f>
        <v>102.3527</v>
      </c>
      <c r="G696" s="14">
        <f>102.622 * CHOOSE(CONTROL!$C$9, $D$9, 100%, $F$9) + CHOOSE(CONTROL!$C$27, 0.0021, 0)</f>
        <v>102.6241</v>
      </c>
      <c r="H696" s="14">
        <f>102.4872 * CHOOSE(CONTROL!$C$9, $D$9, 100%, $F$9) + CHOOSE(CONTROL!$C$27, 0.0021, 0)</f>
        <v>102.4893</v>
      </c>
      <c r="I696" s="14">
        <f>102.4872 * CHOOSE(CONTROL!$C$9, $D$9, 100%, $F$9) + CHOOSE(CONTROL!$C$27, 0.0021, 0)</f>
        <v>102.4893</v>
      </c>
      <c r="J696" s="14">
        <f>102.4872 * CHOOSE(CONTROL!$C$9, $D$9, 100%, $F$9) + CHOOSE(CONTROL!$C$27, 0.0021, 0)</f>
        <v>102.4893</v>
      </c>
      <c r="K696" s="14">
        <f>102.4872 * CHOOSE(CONTROL!$C$9, $D$9, 100%, $F$9) + CHOOSE(CONTROL!$C$27, 0.0021, 0)</f>
        <v>102.4893</v>
      </c>
      <c r="L696" s="14"/>
    </row>
    <row r="697" spans="1:12" ht="15.75" x14ac:dyDescent="0.25">
      <c r="A697" s="31">
        <v>62152</v>
      </c>
      <c r="B697" s="14">
        <f>102.6398 * CHOOSE(CONTROL!$C$9, $D$9, 100%, $F$9) + CHOOSE(CONTROL!$C$27, 0.0021, 0)</f>
        <v>102.64189999999999</v>
      </c>
      <c r="C697" s="14">
        <f>102.2075 * CHOOSE(CONTROL!$C$9, $D$9, 100%, $F$9) + CHOOSE(CONTROL!$C$27, 0.0021, 0)</f>
        <v>102.20959999999999</v>
      </c>
      <c r="D697" s="14">
        <f>102.2075 * CHOOSE(CONTROL!$C$9, $D$9, 100%, $F$9) + CHOOSE(CONTROL!$C$27, 0.0021, 0)</f>
        <v>102.20959999999999</v>
      </c>
      <c r="E697" s="14">
        <f>102.0709 * CHOOSE(CONTROL!$C$9, $D$9, 100%, $F$9) + CHOOSE(CONTROL!$C$27, 0.0021, 0)</f>
        <v>102.07299999999999</v>
      </c>
      <c r="F697" s="14">
        <f>102.0709 * CHOOSE(CONTROL!$C$9, $D$9, 100%, $F$9) + CHOOSE(CONTROL!$C$27, 0.0021, 0)</f>
        <v>102.07299999999999</v>
      </c>
      <c r="G697" s="14">
        <f>102.3423 * CHOOSE(CONTROL!$C$9, $D$9, 100%, $F$9) + CHOOSE(CONTROL!$C$27, 0.0021, 0)</f>
        <v>102.34439999999999</v>
      </c>
      <c r="H697" s="14">
        <f>102.2075 * CHOOSE(CONTROL!$C$9, $D$9, 100%, $F$9) + CHOOSE(CONTROL!$C$27, 0.0021, 0)</f>
        <v>102.20959999999999</v>
      </c>
      <c r="I697" s="14">
        <f>102.2075 * CHOOSE(CONTROL!$C$9, $D$9, 100%, $F$9) + CHOOSE(CONTROL!$C$27, 0.0021, 0)</f>
        <v>102.20959999999999</v>
      </c>
      <c r="J697" s="14">
        <f>102.2075 * CHOOSE(CONTROL!$C$9, $D$9, 100%, $F$9) + CHOOSE(CONTROL!$C$27, 0.0021, 0)</f>
        <v>102.20959999999999</v>
      </c>
      <c r="K697" s="14">
        <f>102.2075 * CHOOSE(CONTROL!$C$9, $D$9, 100%, $F$9) + CHOOSE(CONTROL!$C$27, 0.0021, 0)</f>
        <v>102.20959999999999</v>
      </c>
      <c r="L697" s="14"/>
    </row>
    <row r="698" spans="1:12" ht="15.75" x14ac:dyDescent="0.25">
      <c r="A698" s="31">
        <v>62183</v>
      </c>
      <c r="B698" s="14">
        <f>107.9287 * CHOOSE(CONTROL!$C$9, $D$9, 100%, $F$9) + CHOOSE(CONTROL!$C$27, 0.0021, 0)</f>
        <v>107.9308</v>
      </c>
      <c r="C698" s="14">
        <f>107.4964 * CHOOSE(CONTROL!$C$9, $D$9, 100%, $F$9) + CHOOSE(CONTROL!$C$27, 0.0021, 0)</f>
        <v>107.49849999999999</v>
      </c>
      <c r="D698" s="14">
        <f>107.4964 * CHOOSE(CONTROL!$C$9, $D$9, 100%, $F$9) + CHOOSE(CONTROL!$C$27, 0.0021, 0)</f>
        <v>107.49849999999999</v>
      </c>
      <c r="E698" s="14">
        <f>107.3598 * CHOOSE(CONTROL!$C$9, $D$9, 100%, $F$9) + CHOOSE(CONTROL!$C$27, 0.0021, 0)</f>
        <v>107.36190000000001</v>
      </c>
      <c r="F698" s="14">
        <f>107.3598 * CHOOSE(CONTROL!$C$9, $D$9, 100%, $F$9) + CHOOSE(CONTROL!$C$27, 0.0021, 0)</f>
        <v>107.36190000000001</v>
      </c>
      <c r="G698" s="14">
        <f>107.6311 * CHOOSE(CONTROL!$C$9, $D$9, 100%, $F$9) + CHOOSE(CONTROL!$C$27, 0.0021, 0)</f>
        <v>107.6332</v>
      </c>
      <c r="H698" s="14">
        <f>107.4964 * CHOOSE(CONTROL!$C$9, $D$9, 100%, $F$9) + CHOOSE(CONTROL!$C$27, 0.0021, 0)</f>
        <v>107.49849999999999</v>
      </c>
      <c r="I698" s="14">
        <f>107.4964 * CHOOSE(CONTROL!$C$9, $D$9, 100%, $F$9) + CHOOSE(CONTROL!$C$27, 0.0021, 0)</f>
        <v>107.49849999999999</v>
      </c>
      <c r="J698" s="14">
        <f>107.4964 * CHOOSE(CONTROL!$C$9, $D$9, 100%, $F$9) + CHOOSE(CONTROL!$C$27, 0.0021, 0)</f>
        <v>107.49849999999999</v>
      </c>
      <c r="K698" s="14">
        <f>107.4964 * CHOOSE(CONTROL!$C$9, $D$9, 100%, $F$9) + CHOOSE(CONTROL!$C$27, 0.0021, 0)</f>
        <v>107.49849999999999</v>
      </c>
      <c r="L698" s="14"/>
    </row>
    <row r="699" spans="1:12" ht="15.75" x14ac:dyDescent="0.25">
      <c r="A699" s="31">
        <v>62213</v>
      </c>
      <c r="B699" s="14">
        <f>114.7871 * CHOOSE(CONTROL!$C$9, $D$9, 100%, $F$9) + CHOOSE(CONTROL!$C$27, 0.0021, 0)</f>
        <v>114.78919999999999</v>
      </c>
      <c r="C699" s="14">
        <f>114.3549 * CHOOSE(CONTROL!$C$9, $D$9, 100%, $F$9) + CHOOSE(CONTROL!$C$27, 0.0021, 0)</f>
        <v>114.357</v>
      </c>
      <c r="D699" s="14">
        <f>114.3549 * CHOOSE(CONTROL!$C$9, $D$9, 100%, $F$9) + CHOOSE(CONTROL!$C$27, 0.0021, 0)</f>
        <v>114.357</v>
      </c>
      <c r="E699" s="14">
        <f>114.2182 * CHOOSE(CONTROL!$C$9, $D$9, 100%, $F$9) + CHOOSE(CONTROL!$C$27, 0.0021, 0)</f>
        <v>114.22029999999999</v>
      </c>
      <c r="F699" s="14">
        <f>114.2182 * CHOOSE(CONTROL!$C$9, $D$9, 100%, $F$9) + CHOOSE(CONTROL!$C$27, 0.0021, 0)</f>
        <v>114.22029999999999</v>
      </c>
      <c r="G699" s="14">
        <f>114.4896 * CHOOSE(CONTROL!$C$9, $D$9, 100%, $F$9) + CHOOSE(CONTROL!$C$27, 0.0021, 0)</f>
        <v>114.49169999999999</v>
      </c>
      <c r="H699" s="14">
        <f>114.3549 * CHOOSE(CONTROL!$C$9, $D$9, 100%, $F$9) + CHOOSE(CONTROL!$C$27, 0.0021, 0)</f>
        <v>114.357</v>
      </c>
      <c r="I699" s="14">
        <f>114.3549 * CHOOSE(CONTROL!$C$9, $D$9, 100%, $F$9) + CHOOSE(CONTROL!$C$27, 0.0021, 0)</f>
        <v>114.357</v>
      </c>
      <c r="J699" s="14">
        <f>114.3549 * CHOOSE(CONTROL!$C$9, $D$9, 100%, $F$9) + CHOOSE(CONTROL!$C$27, 0.0021, 0)</f>
        <v>114.357</v>
      </c>
      <c r="K699" s="14">
        <f>114.3549 * CHOOSE(CONTROL!$C$9, $D$9, 100%, $F$9) + CHOOSE(CONTROL!$C$27, 0.0021, 0)</f>
        <v>114.357</v>
      </c>
      <c r="L699" s="14"/>
    </row>
    <row r="700" spans="1:12" ht="15.75" x14ac:dyDescent="0.25">
      <c r="A700" s="31">
        <v>62244</v>
      </c>
      <c r="B700" s="14">
        <f>118.5622 * CHOOSE(CONTROL!$C$9, $D$9, 100%, $F$9) + CHOOSE(CONTROL!$C$27, 0.0021, 0)</f>
        <v>118.5643</v>
      </c>
      <c r="C700" s="14">
        <f>118.13 * CHOOSE(CONTROL!$C$9, $D$9, 100%, $F$9) + CHOOSE(CONTROL!$C$27, 0.0021, 0)</f>
        <v>118.13209999999999</v>
      </c>
      <c r="D700" s="14">
        <f>118.13 * CHOOSE(CONTROL!$C$9, $D$9, 100%, $F$9) + CHOOSE(CONTROL!$C$27, 0.0021, 0)</f>
        <v>118.13209999999999</v>
      </c>
      <c r="E700" s="14">
        <f>117.9933 * CHOOSE(CONTROL!$C$9, $D$9, 100%, $F$9) + CHOOSE(CONTROL!$C$27, 0.0021, 0)</f>
        <v>117.9954</v>
      </c>
      <c r="F700" s="14">
        <f>117.9933 * CHOOSE(CONTROL!$C$9, $D$9, 100%, $F$9) + CHOOSE(CONTROL!$C$27, 0.0021, 0)</f>
        <v>117.9954</v>
      </c>
      <c r="G700" s="14">
        <f>118.2647 * CHOOSE(CONTROL!$C$9, $D$9, 100%, $F$9) + CHOOSE(CONTROL!$C$27, 0.0021, 0)</f>
        <v>118.2668</v>
      </c>
      <c r="H700" s="14">
        <f>118.13 * CHOOSE(CONTROL!$C$9, $D$9, 100%, $F$9) + CHOOSE(CONTROL!$C$27, 0.0021, 0)</f>
        <v>118.13209999999999</v>
      </c>
      <c r="I700" s="14">
        <f>118.13 * CHOOSE(CONTROL!$C$9, $D$9, 100%, $F$9) + CHOOSE(CONTROL!$C$27, 0.0021, 0)</f>
        <v>118.13209999999999</v>
      </c>
      <c r="J700" s="14">
        <f>118.13 * CHOOSE(CONTROL!$C$9, $D$9, 100%, $F$9) + CHOOSE(CONTROL!$C$27, 0.0021, 0)</f>
        <v>118.13209999999999</v>
      </c>
      <c r="K700" s="14">
        <f>118.13 * CHOOSE(CONTROL!$C$9, $D$9, 100%, $F$9) + CHOOSE(CONTROL!$C$27, 0.0021, 0)</f>
        <v>118.13209999999999</v>
      </c>
      <c r="L700" s="14"/>
    </row>
    <row r="701" spans="1:12" ht="15.75" x14ac:dyDescent="0.25">
      <c r="A701" s="31">
        <v>62274</v>
      </c>
      <c r="B701" s="14">
        <f>120.2375 * CHOOSE(CONTROL!$C$9, $D$9, 100%, $F$9) + CHOOSE(CONTROL!$C$27, 0.0021, 0)</f>
        <v>120.2396</v>
      </c>
      <c r="C701" s="14">
        <f>119.8053 * CHOOSE(CONTROL!$C$9, $D$9, 100%, $F$9) + CHOOSE(CONTROL!$C$27, 0.0021, 0)</f>
        <v>119.8074</v>
      </c>
      <c r="D701" s="14">
        <f>119.8053 * CHOOSE(CONTROL!$C$9, $D$9, 100%, $F$9) + CHOOSE(CONTROL!$C$27, 0.0021, 0)</f>
        <v>119.8074</v>
      </c>
      <c r="E701" s="14">
        <f>119.6686 * CHOOSE(CONTROL!$C$9, $D$9, 100%, $F$9) + CHOOSE(CONTROL!$C$27, 0.0021, 0)</f>
        <v>119.6707</v>
      </c>
      <c r="F701" s="14">
        <f>119.6686 * CHOOSE(CONTROL!$C$9, $D$9, 100%, $F$9) + CHOOSE(CONTROL!$C$27, 0.0021, 0)</f>
        <v>119.6707</v>
      </c>
      <c r="G701" s="14">
        <f>119.94 * CHOOSE(CONTROL!$C$9, $D$9, 100%, $F$9) + CHOOSE(CONTROL!$C$27, 0.0021, 0)</f>
        <v>119.9421</v>
      </c>
      <c r="H701" s="14">
        <f>119.8053 * CHOOSE(CONTROL!$C$9, $D$9, 100%, $F$9) + CHOOSE(CONTROL!$C$27, 0.0021, 0)</f>
        <v>119.8074</v>
      </c>
      <c r="I701" s="14">
        <f>119.8053 * CHOOSE(CONTROL!$C$9, $D$9, 100%, $F$9) + CHOOSE(CONTROL!$C$27, 0.0021, 0)</f>
        <v>119.8074</v>
      </c>
      <c r="J701" s="14">
        <f>119.8053 * CHOOSE(CONTROL!$C$9, $D$9, 100%, $F$9) + CHOOSE(CONTROL!$C$27, 0.0021, 0)</f>
        <v>119.8074</v>
      </c>
      <c r="K701" s="14">
        <f>119.8053 * CHOOSE(CONTROL!$C$9, $D$9, 100%, $F$9) + CHOOSE(CONTROL!$C$27, 0.0021, 0)</f>
        <v>119.8074</v>
      </c>
      <c r="L701" s="14"/>
    </row>
    <row r="702" spans="1:12" ht="15.75" x14ac:dyDescent="0.25">
      <c r="A702" s="31">
        <v>62305</v>
      </c>
      <c r="B702" s="14">
        <f>119.6859 * CHOOSE(CONTROL!$C$9, $D$9, 100%, $F$9) + CHOOSE(CONTROL!$C$27, 0.0021, 0)</f>
        <v>119.688</v>
      </c>
      <c r="C702" s="14">
        <f>119.2537 * CHOOSE(CONTROL!$C$9, $D$9, 100%, $F$9) + CHOOSE(CONTROL!$C$27, 0.0021, 0)</f>
        <v>119.25579999999999</v>
      </c>
      <c r="D702" s="14">
        <f>119.2537 * CHOOSE(CONTROL!$C$9, $D$9, 100%, $F$9) + CHOOSE(CONTROL!$C$27, 0.0021, 0)</f>
        <v>119.25579999999999</v>
      </c>
      <c r="E702" s="14">
        <f>119.117 * CHOOSE(CONTROL!$C$9, $D$9, 100%, $F$9) + CHOOSE(CONTROL!$C$27, 0.0021, 0)</f>
        <v>119.1191</v>
      </c>
      <c r="F702" s="14">
        <f>119.117 * CHOOSE(CONTROL!$C$9, $D$9, 100%, $F$9) + CHOOSE(CONTROL!$C$27, 0.0021, 0)</f>
        <v>119.1191</v>
      </c>
      <c r="G702" s="14">
        <f>119.3884 * CHOOSE(CONTROL!$C$9, $D$9, 100%, $F$9) + CHOOSE(CONTROL!$C$27, 0.0021, 0)</f>
        <v>119.3905</v>
      </c>
      <c r="H702" s="14">
        <f>119.2537 * CHOOSE(CONTROL!$C$9, $D$9, 100%, $F$9) + CHOOSE(CONTROL!$C$27, 0.0021, 0)</f>
        <v>119.25579999999999</v>
      </c>
      <c r="I702" s="14">
        <f>119.2537 * CHOOSE(CONTROL!$C$9, $D$9, 100%, $F$9) + CHOOSE(CONTROL!$C$27, 0.0021, 0)</f>
        <v>119.25579999999999</v>
      </c>
      <c r="J702" s="14">
        <f>119.2537 * CHOOSE(CONTROL!$C$9, $D$9, 100%, $F$9) + CHOOSE(CONTROL!$C$27, 0.0021, 0)</f>
        <v>119.25579999999999</v>
      </c>
      <c r="K702" s="14">
        <f>119.2537 * CHOOSE(CONTROL!$C$9, $D$9, 100%, $F$9) + CHOOSE(CONTROL!$C$27, 0.0021, 0)</f>
        <v>119.25579999999999</v>
      </c>
      <c r="L702" s="14"/>
    </row>
    <row r="703" spans="1:12" ht="15.75" x14ac:dyDescent="0.25">
      <c r="A703" s="31">
        <v>62336</v>
      </c>
      <c r="B703" s="14">
        <f>116.9531 * CHOOSE(CONTROL!$C$9, $D$9, 100%, $F$9) + CHOOSE(CONTROL!$C$27, 0.0021, 0)</f>
        <v>116.9552</v>
      </c>
      <c r="C703" s="14">
        <f>116.5208 * CHOOSE(CONTROL!$C$9, $D$9, 100%, $F$9) + CHOOSE(CONTROL!$C$27, 0.0021, 0)</f>
        <v>116.52289999999999</v>
      </c>
      <c r="D703" s="14">
        <f>116.5208 * CHOOSE(CONTROL!$C$9, $D$9, 100%, $F$9) + CHOOSE(CONTROL!$C$27, 0.0021, 0)</f>
        <v>116.52289999999999</v>
      </c>
      <c r="E703" s="14">
        <f>116.3841 * CHOOSE(CONTROL!$C$9, $D$9, 100%, $F$9) + CHOOSE(CONTROL!$C$27, 0.0021, 0)</f>
        <v>116.3862</v>
      </c>
      <c r="F703" s="14">
        <f>116.3841 * CHOOSE(CONTROL!$C$9, $D$9, 100%, $F$9) + CHOOSE(CONTROL!$C$27, 0.0021, 0)</f>
        <v>116.3862</v>
      </c>
      <c r="G703" s="14">
        <f>116.6555 * CHOOSE(CONTROL!$C$9, $D$9, 100%, $F$9) + CHOOSE(CONTROL!$C$27, 0.0021, 0)</f>
        <v>116.6576</v>
      </c>
      <c r="H703" s="14">
        <f>116.5208 * CHOOSE(CONTROL!$C$9, $D$9, 100%, $F$9) + CHOOSE(CONTROL!$C$27, 0.0021, 0)</f>
        <v>116.52289999999999</v>
      </c>
      <c r="I703" s="14">
        <f>116.5208 * CHOOSE(CONTROL!$C$9, $D$9, 100%, $F$9) + CHOOSE(CONTROL!$C$27, 0.0021, 0)</f>
        <v>116.52289999999999</v>
      </c>
      <c r="J703" s="14">
        <f>116.5208 * CHOOSE(CONTROL!$C$9, $D$9, 100%, $F$9) + CHOOSE(CONTROL!$C$27, 0.0021, 0)</f>
        <v>116.52289999999999</v>
      </c>
      <c r="K703" s="14">
        <f>116.5208 * CHOOSE(CONTROL!$C$9, $D$9, 100%, $F$9) + CHOOSE(CONTROL!$C$27, 0.0021, 0)</f>
        <v>116.52289999999999</v>
      </c>
      <c r="L703" s="14"/>
    </row>
    <row r="704" spans="1:12" ht="15.75" x14ac:dyDescent="0.25">
      <c r="A704" s="31">
        <v>62366</v>
      </c>
      <c r="B704" s="14">
        <f>113.1419 * CHOOSE(CONTROL!$C$9, $D$9, 100%, $F$9) + CHOOSE(CONTROL!$C$27, 0.0021, 0)</f>
        <v>113.14400000000001</v>
      </c>
      <c r="C704" s="14">
        <f>112.7097 * CHOOSE(CONTROL!$C$9, $D$9, 100%, $F$9) + CHOOSE(CONTROL!$C$27, 0.0021, 0)</f>
        <v>112.7118</v>
      </c>
      <c r="D704" s="14">
        <f>112.7097 * CHOOSE(CONTROL!$C$9, $D$9, 100%, $F$9) + CHOOSE(CONTROL!$C$27, 0.0021, 0)</f>
        <v>112.7118</v>
      </c>
      <c r="E704" s="14">
        <f>112.573 * CHOOSE(CONTROL!$C$9, $D$9, 100%, $F$9) + CHOOSE(CONTROL!$C$27, 0.0021, 0)</f>
        <v>112.57509999999999</v>
      </c>
      <c r="F704" s="14">
        <f>112.573 * CHOOSE(CONTROL!$C$9, $D$9, 100%, $F$9) + CHOOSE(CONTROL!$C$27, 0.0021, 0)</f>
        <v>112.57509999999999</v>
      </c>
      <c r="G704" s="14">
        <f>112.8444 * CHOOSE(CONTROL!$C$9, $D$9, 100%, $F$9) + CHOOSE(CONTROL!$C$27, 0.0021, 0)</f>
        <v>112.84649999999999</v>
      </c>
      <c r="H704" s="14">
        <f>112.7097 * CHOOSE(CONTROL!$C$9, $D$9, 100%, $F$9) + CHOOSE(CONTROL!$C$27, 0.0021, 0)</f>
        <v>112.7118</v>
      </c>
      <c r="I704" s="14">
        <f>112.7097 * CHOOSE(CONTROL!$C$9, $D$9, 100%, $F$9) + CHOOSE(CONTROL!$C$27, 0.0021, 0)</f>
        <v>112.7118</v>
      </c>
      <c r="J704" s="14">
        <f>112.7097 * CHOOSE(CONTROL!$C$9, $D$9, 100%, $F$9) + CHOOSE(CONTROL!$C$27, 0.0021, 0)</f>
        <v>112.7118</v>
      </c>
      <c r="K704" s="14">
        <f>112.7097 * CHOOSE(CONTROL!$C$9, $D$9, 100%, $F$9) + CHOOSE(CONTROL!$C$27, 0.0021, 0)</f>
        <v>112.7118</v>
      </c>
      <c r="L704" s="14"/>
    </row>
    <row r="705" spans="1:12" ht="15.75" x14ac:dyDescent="0.25">
      <c r="A705" s="31">
        <v>62397</v>
      </c>
      <c r="B705" s="14">
        <f>109.3086 * CHOOSE(CONTROL!$C$9, $D$9, 100%, $F$9) + CHOOSE(CONTROL!$C$27, 0.0021, 0)</f>
        <v>109.3107</v>
      </c>
      <c r="C705" s="14">
        <f>108.8764 * CHOOSE(CONTROL!$C$9, $D$9, 100%, $F$9) + CHOOSE(CONTROL!$C$27, 0.0021, 0)</f>
        <v>108.8785</v>
      </c>
      <c r="D705" s="14">
        <f>108.8764 * CHOOSE(CONTROL!$C$9, $D$9, 100%, $F$9) + CHOOSE(CONTROL!$C$27, 0.0021, 0)</f>
        <v>108.8785</v>
      </c>
      <c r="E705" s="14">
        <f>108.7397 * CHOOSE(CONTROL!$C$9, $D$9, 100%, $F$9) + CHOOSE(CONTROL!$C$27, 0.0021, 0)</f>
        <v>108.7418</v>
      </c>
      <c r="F705" s="14">
        <f>108.7397 * CHOOSE(CONTROL!$C$9, $D$9, 100%, $F$9) + CHOOSE(CONTROL!$C$27, 0.0021, 0)</f>
        <v>108.7418</v>
      </c>
      <c r="G705" s="14">
        <f>109.0111 * CHOOSE(CONTROL!$C$9, $D$9, 100%, $F$9) + CHOOSE(CONTROL!$C$27, 0.0021, 0)</f>
        <v>109.0132</v>
      </c>
      <c r="H705" s="14">
        <f>108.8764 * CHOOSE(CONTROL!$C$9, $D$9, 100%, $F$9) + CHOOSE(CONTROL!$C$27, 0.0021, 0)</f>
        <v>108.8785</v>
      </c>
      <c r="I705" s="14">
        <f>108.8764 * CHOOSE(CONTROL!$C$9, $D$9, 100%, $F$9) + CHOOSE(CONTROL!$C$27, 0.0021, 0)</f>
        <v>108.8785</v>
      </c>
      <c r="J705" s="14">
        <f>108.8764 * CHOOSE(CONTROL!$C$9, $D$9, 100%, $F$9) + CHOOSE(CONTROL!$C$27, 0.0021, 0)</f>
        <v>108.8785</v>
      </c>
      <c r="K705" s="14">
        <f>108.8764 * CHOOSE(CONTROL!$C$9, $D$9, 100%, $F$9) + CHOOSE(CONTROL!$C$27, 0.0021, 0)</f>
        <v>108.8785</v>
      </c>
      <c r="L705" s="14"/>
    </row>
    <row r="706" spans="1:12" ht="15.75" x14ac:dyDescent="0.25">
      <c r="A706" s="31">
        <v>62427</v>
      </c>
      <c r="B706" s="14">
        <f>108.5461 * CHOOSE(CONTROL!$C$9, $D$9, 100%, $F$9) + CHOOSE(CONTROL!$C$27, 0.0021, 0)</f>
        <v>108.54819999999999</v>
      </c>
      <c r="C706" s="14">
        <f>108.1139 * CHOOSE(CONTROL!$C$9, $D$9, 100%, $F$9) + CHOOSE(CONTROL!$C$27, 0.0021, 0)</f>
        <v>108.116</v>
      </c>
      <c r="D706" s="14">
        <f>108.1139 * CHOOSE(CONTROL!$C$9, $D$9, 100%, $F$9) + CHOOSE(CONTROL!$C$27, 0.0021, 0)</f>
        <v>108.116</v>
      </c>
      <c r="E706" s="14">
        <f>107.9772 * CHOOSE(CONTROL!$C$9, $D$9, 100%, $F$9) + CHOOSE(CONTROL!$C$27, 0.0021, 0)</f>
        <v>107.97929999999999</v>
      </c>
      <c r="F706" s="14">
        <f>107.9772 * CHOOSE(CONTROL!$C$9, $D$9, 100%, $F$9) + CHOOSE(CONTROL!$C$27, 0.0021, 0)</f>
        <v>107.97929999999999</v>
      </c>
      <c r="G706" s="14">
        <f>108.2486 * CHOOSE(CONTROL!$C$9, $D$9, 100%, $F$9) + CHOOSE(CONTROL!$C$27, 0.0021, 0)</f>
        <v>108.25069999999999</v>
      </c>
      <c r="H706" s="14">
        <f>108.1139 * CHOOSE(CONTROL!$C$9, $D$9, 100%, $F$9) + CHOOSE(CONTROL!$C$27, 0.0021, 0)</f>
        <v>108.116</v>
      </c>
      <c r="I706" s="14">
        <f>108.1139 * CHOOSE(CONTROL!$C$9, $D$9, 100%, $F$9) + CHOOSE(CONTROL!$C$27, 0.0021, 0)</f>
        <v>108.116</v>
      </c>
      <c r="J706" s="14">
        <f>108.1139 * CHOOSE(CONTROL!$C$9, $D$9, 100%, $F$9) + CHOOSE(CONTROL!$C$27, 0.0021, 0)</f>
        <v>108.116</v>
      </c>
      <c r="K706" s="14">
        <f>108.1139 * CHOOSE(CONTROL!$C$9, $D$9, 100%, $F$9) + CHOOSE(CONTROL!$C$27, 0.0021, 0)</f>
        <v>108.116</v>
      </c>
      <c r="L706" s="14"/>
    </row>
    <row r="707" spans="1:12" ht="15.75" x14ac:dyDescent="0.25">
      <c r="A707" s="31">
        <v>62458</v>
      </c>
      <c r="B707" s="14">
        <f>105.393 * CHOOSE(CONTROL!$C$9, $D$9, 100%, $F$9) + CHOOSE(CONTROL!$C$27, 0.0021, 0)</f>
        <v>105.3951</v>
      </c>
      <c r="C707" s="14">
        <f>104.9608 * CHOOSE(CONTROL!$C$9, $D$9, 100%, $F$9) + CHOOSE(CONTROL!$C$27, 0.0021, 0)</f>
        <v>104.9629</v>
      </c>
      <c r="D707" s="14">
        <f>104.9608 * CHOOSE(CONTROL!$C$9, $D$9, 100%, $F$9) + CHOOSE(CONTROL!$C$27, 0.0021, 0)</f>
        <v>104.9629</v>
      </c>
      <c r="E707" s="14">
        <f>104.8241 * CHOOSE(CONTROL!$C$9, $D$9, 100%, $F$9) + CHOOSE(CONTROL!$C$27, 0.0021, 0)</f>
        <v>104.8262</v>
      </c>
      <c r="F707" s="14">
        <f>104.8241 * CHOOSE(CONTROL!$C$9, $D$9, 100%, $F$9) + CHOOSE(CONTROL!$C$27, 0.0021, 0)</f>
        <v>104.8262</v>
      </c>
      <c r="G707" s="14">
        <f>105.0955 * CHOOSE(CONTROL!$C$9, $D$9, 100%, $F$9) + CHOOSE(CONTROL!$C$27, 0.0021, 0)</f>
        <v>105.0976</v>
      </c>
      <c r="H707" s="14">
        <f>104.9608 * CHOOSE(CONTROL!$C$9, $D$9, 100%, $F$9) + CHOOSE(CONTROL!$C$27, 0.0021, 0)</f>
        <v>104.9629</v>
      </c>
      <c r="I707" s="14">
        <f>104.9608 * CHOOSE(CONTROL!$C$9, $D$9, 100%, $F$9) + CHOOSE(CONTROL!$C$27, 0.0021, 0)</f>
        <v>104.9629</v>
      </c>
      <c r="J707" s="14">
        <f>104.9608 * CHOOSE(CONTROL!$C$9, $D$9, 100%, $F$9) + CHOOSE(CONTROL!$C$27, 0.0021, 0)</f>
        <v>104.9629</v>
      </c>
      <c r="K707" s="14">
        <f>104.9608 * CHOOSE(CONTROL!$C$9, $D$9, 100%, $F$9) + CHOOSE(CONTROL!$C$27, 0.0021, 0)</f>
        <v>104.9629</v>
      </c>
      <c r="L707" s="14"/>
    </row>
    <row r="708" spans="1:12" ht="15.75" x14ac:dyDescent="0.25">
      <c r="A708" s="31">
        <v>62489</v>
      </c>
      <c r="B708" s="14">
        <f>104.7792 * CHOOSE(CONTROL!$C$9, $D$9, 100%, $F$9) + CHOOSE(CONTROL!$C$27, 0.0021, 0)</f>
        <v>104.7813</v>
      </c>
      <c r="C708" s="14">
        <f>104.3469 * CHOOSE(CONTROL!$C$9, $D$9, 100%, $F$9) + CHOOSE(CONTROL!$C$27, 0.0021, 0)</f>
        <v>104.349</v>
      </c>
      <c r="D708" s="14">
        <f>104.3469 * CHOOSE(CONTROL!$C$9, $D$9, 100%, $F$9) + CHOOSE(CONTROL!$C$27, 0.0021, 0)</f>
        <v>104.349</v>
      </c>
      <c r="E708" s="14">
        <f>104.2103 * CHOOSE(CONTROL!$C$9, $D$9, 100%, $F$9) + CHOOSE(CONTROL!$C$27, 0.0021, 0)</f>
        <v>104.2124</v>
      </c>
      <c r="F708" s="14">
        <f>104.2103 * CHOOSE(CONTROL!$C$9, $D$9, 100%, $F$9) + CHOOSE(CONTROL!$C$27, 0.0021, 0)</f>
        <v>104.2124</v>
      </c>
      <c r="G708" s="14">
        <f>104.4816 * CHOOSE(CONTROL!$C$9, $D$9, 100%, $F$9) + CHOOSE(CONTROL!$C$27, 0.0021, 0)</f>
        <v>104.4837</v>
      </c>
      <c r="H708" s="14">
        <f>104.3469 * CHOOSE(CONTROL!$C$9, $D$9, 100%, $F$9) + CHOOSE(CONTROL!$C$27, 0.0021, 0)</f>
        <v>104.349</v>
      </c>
      <c r="I708" s="14">
        <f>104.3469 * CHOOSE(CONTROL!$C$9, $D$9, 100%, $F$9) + CHOOSE(CONTROL!$C$27, 0.0021, 0)</f>
        <v>104.349</v>
      </c>
      <c r="J708" s="14">
        <f>104.3469 * CHOOSE(CONTROL!$C$9, $D$9, 100%, $F$9) + CHOOSE(CONTROL!$C$27, 0.0021, 0)</f>
        <v>104.349</v>
      </c>
      <c r="K708" s="14">
        <f>104.3469 * CHOOSE(CONTROL!$C$9, $D$9, 100%, $F$9) + CHOOSE(CONTROL!$C$27, 0.0021, 0)</f>
        <v>104.349</v>
      </c>
      <c r="L708" s="14"/>
    </row>
    <row r="709" spans="1:12" ht="15.75" x14ac:dyDescent="0.25">
      <c r="A709" s="31">
        <v>62517</v>
      </c>
      <c r="B709" s="14">
        <f>104.4943 * CHOOSE(CONTROL!$C$9, $D$9, 100%, $F$9) + CHOOSE(CONTROL!$C$27, 0.0021, 0)</f>
        <v>104.49639999999999</v>
      </c>
      <c r="C709" s="14">
        <f>104.062 * CHOOSE(CONTROL!$C$9, $D$9, 100%, $F$9) + CHOOSE(CONTROL!$C$27, 0.0021, 0)</f>
        <v>104.0641</v>
      </c>
      <c r="D709" s="14">
        <f>104.062 * CHOOSE(CONTROL!$C$9, $D$9, 100%, $F$9) + CHOOSE(CONTROL!$C$27, 0.0021, 0)</f>
        <v>104.0641</v>
      </c>
      <c r="E709" s="14">
        <f>103.9254 * CHOOSE(CONTROL!$C$9, $D$9, 100%, $F$9) + CHOOSE(CONTROL!$C$27, 0.0021, 0)</f>
        <v>103.92749999999999</v>
      </c>
      <c r="F709" s="14">
        <f>103.9254 * CHOOSE(CONTROL!$C$9, $D$9, 100%, $F$9) + CHOOSE(CONTROL!$C$27, 0.0021, 0)</f>
        <v>103.92749999999999</v>
      </c>
      <c r="G709" s="14">
        <f>104.1967 * CHOOSE(CONTROL!$C$9, $D$9, 100%, $F$9) + CHOOSE(CONTROL!$C$27, 0.0021, 0)</f>
        <v>104.19880000000001</v>
      </c>
      <c r="H709" s="14">
        <f>104.062 * CHOOSE(CONTROL!$C$9, $D$9, 100%, $F$9) + CHOOSE(CONTROL!$C$27, 0.0021, 0)</f>
        <v>104.0641</v>
      </c>
      <c r="I709" s="14">
        <f>104.062 * CHOOSE(CONTROL!$C$9, $D$9, 100%, $F$9) + CHOOSE(CONTROL!$C$27, 0.0021, 0)</f>
        <v>104.0641</v>
      </c>
      <c r="J709" s="14">
        <f>104.062 * CHOOSE(CONTROL!$C$9, $D$9, 100%, $F$9) + CHOOSE(CONTROL!$C$27, 0.0021, 0)</f>
        <v>104.0641</v>
      </c>
      <c r="K709" s="14">
        <f>104.062 * CHOOSE(CONTROL!$C$9, $D$9, 100%, $F$9) + CHOOSE(CONTROL!$C$27, 0.0021, 0)</f>
        <v>104.0641</v>
      </c>
      <c r="L709" s="14"/>
    </row>
    <row r="710" spans="1:12" ht="15.75" x14ac:dyDescent="0.25">
      <c r="A710" s="31">
        <v>62548</v>
      </c>
      <c r="B710" s="14">
        <f>109.8809 * CHOOSE(CONTROL!$C$9, $D$9, 100%, $F$9) + CHOOSE(CONTROL!$C$27, 0.0021, 0)</f>
        <v>109.883</v>
      </c>
      <c r="C710" s="14">
        <f>109.4487 * CHOOSE(CONTROL!$C$9, $D$9, 100%, $F$9) + CHOOSE(CONTROL!$C$27, 0.0021, 0)</f>
        <v>109.4508</v>
      </c>
      <c r="D710" s="14">
        <f>109.4487 * CHOOSE(CONTROL!$C$9, $D$9, 100%, $F$9) + CHOOSE(CONTROL!$C$27, 0.0021, 0)</f>
        <v>109.4508</v>
      </c>
      <c r="E710" s="14">
        <f>109.312 * CHOOSE(CONTROL!$C$9, $D$9, 100%, $F$9) + CHOOSE(CONTROL!$C$27, 0.0021, 0)</f>
        <v>109.3141</v>
      </c>
      <c r="F710" s="14">
        <f>109.312 * CHOOSE(CONTROL!$C$9, $D$9, 100%, $F$9) + CHOOSE(CONTROL!$C$27, 0.0021, 0)</f>
        <v>109.3141</v>
      </c>
      <c r="G710" s="14">
        <f>109.5834 * CHOOSE(CONTROL!$C$9, $D$9, 100%, $F$9) + CHOOSE(CONTROL!$C$27, 0.0021, 0)</f>
        <v>109.5855</v>
      </c>
      <c r="H710" s="14">
        <f>109.4487 * CHOOSE(CONTROL!$C$9, $D$9, 100%, $F$9) + CHOOSE(CONTROL!$C$27, 0.0021, 0)</f>
        <v>109.4508</v>
      </c>
      <c r="I710" s="14">
        <f>109.4487 * CHOOSE(CONTROL!$C$9, $D$9, 100%, $F$9) + CHOOSE(CONTROL!$C$27, 0.0021, 0)</f>
        <v>109.4508</v>
      </c>
      <c r="J710" s="14">
        <f>109.4487 * CHOOSE(CONTROL!$C$9, $D$9, 100%, $F$9) + CHOOSE(CONTROL!$C$27, 0.0021, 0)</f>
        <v>109.4508</v>
      </c>
      <c r="K710" s="14">
        <f>109.4487 * CHOOSE(CONTROL!$C$9, $D$9, 100%, $F$9) + CHOOSE(CONTROL!$C$27, 0.0021, 0)</f>
        <v>109.4508</v>
      </c>
      <c r="L710" s="14"/>
    </row>
    <row r="711" spans="1:12" ht="15.75" x14ac:dyDescent="0.25">
      <c r="A711" s="31">
        <v>62578</v>
      </c>
      <c r="B711" s="14">
        <f>116.8661 * CHOOSE(CONTROL!$C$9, $D$9, 100%, $F$9) + CHOOSE(CONTROL!$C$27, 0.0021, 0)</f>
        <v>116.8682</v>
      </c>
      <c r="C711" s="14">
        <f>116.4338 * CHOOSE(CONTROL!$C$9, $D$9, 100%, $F$9) + CHOOSE(CONTROL!$C$27, 0.0021, 0)</f>
        <v>116.4359</v>
      </c>
      <c r="D711" s="14">
        <f>116.4338 * CHOOSE(CONTROL!$C$9, $D$9, 100%, $F$9) + CHOOSE(CONTROL!$C$27, 0.0021, 0)</f>
        <v>116.4359</v>
      </c>
      <c r="E711" s="14">
        <f>116.2972 * CHOOSE(CONTROL!$C$9, $D$9, 100%, $F$9) + CHOOSE(CONTROL!$C$27, 0.0021, 0)</f>
        <v>116.2993</v>
      </c>
      <c r="F711" s="14">
        <f>116.2972 * CHOOSE(CONTROL!$C$9, $D$9, 100%, $F$9) + CHOOSE(CONTROL!$C$27, 0.0021, 0)</f>
        <v>116.2993</v>
      </c>
      <c r="G711" s="14">
        <f>116.5686 * CHOOSE(CONTROL!$C$9, $D$9, 100%, $F$9) + CHOOSE(CONTROL!$C$27, 0.0021, 0)</f>
        <v>116.5707</v>
      </c>
      <c r="H711" s="14">
        <f>116.4338 * CHOOSE(CONTROL!$C$9, $D$9, 100%, $F$9) + CHOOSE(CONTROL!$C$27, 0.0021, 0)</f>
        <v>116.4359</v>
      </c>
      <c r="I711" s="14">
        <f>116.4338 * CHOOSE(CONTROL!$C$9, $D$9, 100%, $F$9) + CHOOSE(CONTROL!$C$27, 0.0021, 0)</f>
        <v>116.4359</v>
      </c>
      <c r="J711" s="14">
        <f>116.4338 * CHOOSE(CONTROL!$C$9, $D$9, 100%, $F$9) + CHOOSE(CONTROL!$C$27, 0.0021, 0)</f>
        <v>116.4359</v>
      </c>
      <c r="K711" s="14">
        <f>116.4338 * CHOOSE(CONTROL!$C$9, $D$9, 100%, $F$9) + CHOOSE(CONTROL!$C$27, 0.0021, 0)</f>
        <v>116.4359</v>
      </c>
      <c r="L711" s="14"/>
    </row>
    <row r="712" spans="1:12" ht="15.75" x14ac:dyDescent="0.25">
      <c r="A712" s="31">
        <v>62609</v>
      </c>
      <c r="B712" s="14">
        <f>120.711 * CHOOSE(CONTROL!$C$9, $D$9, 100%, $F$9) + CHOOSE(CONTROL!$C$27, 0.0021, 0)</f>
        <v>120.7131</v>
      </c>
      <c r="C712" s="14">
        <f>120.2787 * CHOOSE(CONTROL!$C$9, $D$9, 100%, $F$9) + CHOOSE(CONTROL!$C$27, 0.0021, 0)</f>
        <v>120.2808</v>
      </c>
      <c r="D712" s="14">
        <f>120.2787 * CHOOSE(CONTROL!$C$9, $D$9, 100%, $F$9) + CHOOSE(CONTROL!$C$27, 0.0021, 0)</f>
        <v>120.2808</v>
      </c>
      <c r="E712" s="14">
        <f>120.142 * CHOOSE(CONTROL!$C$9, $D$9, 100%, $F$9) + CHOOSE(CONTROL!$C$27, 0.0021, 0)</f>
        <v>120.14409999999999</v>
      </c>
      <c r="F712" s="14">
        <f>120.142 * CHOOSE(CONTROL!$C$9, $D$9, 100%, $F$9) + CHOOSE(CONTROL!$C$27, 0.0021, 0)</f>
        <v>120.14409999999999</v>
      </c>
      <c r="G712" s="14">
        <f>120.4134 * CHOOSE(CONTROL!$C$9, $D$9, 100%, $F$9) + CHOOSE(CONTROL!$C$27, 0.0021, 0)</f>
        <v>120.41549999999999</v>
      </c>
      <c r="H712" s="14">
        <f>120.2787 * CHOOSE(CONTROL!$C$9, $D$9, 100%, $F$9) + CHOOSE(CONTROL!$C$27, 0.0021, 0)</f>
        <v>120.2808</v>
      </c>
      <c r="I712" s="14">
        <f>120.2787 * CHOOSE(CONTROL!$C$9, $D$9, 100%, $F$9) + CHOOSE(CONTROL!$C$27, 0.0021, 0)</f>
        <v>120.2808</v>
      </c>
      <c r="J712" s="14">
        <f>120.2787 * CHOOSE(CONTROL!$C$9, $D$9, 100%, $F$9) + CHOOSE(CONTROL!$C$27, 0.0021, 0)</f>
        <v>120.2808</v>
      </c>
      <c r="K712" s="14">
        <f>120.2787 * CHOOSE(CONTROL!$C$9, $D$9, 100%, $F$9) + CHOOSE(CONTROL!$C$27, 0.0021, 0)</f>
        <v>120.2808</v>
      </c>
      <c r="L712" s="14"/>
    </row>
    <row r="713" spans="1:12" ht="15.75" x14ac:dyDescent="0.25">
      <c r="A713" s="31">
        <v>62639</v>
      </c>
      <c r="B713" s="14">
        <f>122.4172 * CHOOSE(CONTROL!$C$9, $D$9, 100%, $F$9) + CHOOSE(CONTROL!$C$27, 0.0021, 0)</f>
        <v>122.41929999999999</v>
      </c>
      <c r="C713" s="14">
        <f>121.985 * CHOOSE(CONTROL!$C$9, $D$9, 100%, $F$9) + CHOOSE(CONTROL!$C$27, 0.0021, 0)</f>
        <v>121.9871</v>
      </c>
      <c r="D713" s="14">
        <f>121.985 * CHOOSE(CONTROL!$C$9, $D$9, 100%, $F$9) + CHOOSE(CONTROL!$C$27, 0.0021, 0)</f>
        <v>121.9871</v>
      </c>
      <c r="E713" s="14">
        <f>121.8483 * CHOOSE(CONTROL!$C$9, $D$9, 100%, $F$9) + CHOOSE(CONTROL!$C$27, 0.0021, 0)</f>
        <v>121.85039999999999</v>
      </c>
      <c r="F713" s="14">
        <f>121.8483 * CHOOSE(CONTROL!$C$9, $D$9, 100%, $F$9) + CHOOSE(CONTROL!$C$27, 0.0021, 0)</f>
        <v>121.85039999999999</v>
      </c>
      <c r="G713" s="14">
        <f>122.1197 * CHOOSE(CONTROL!$C$9, $D$9, 100%, $F$9) + CHOOSE(CONTROL!$C$27, 0.0021, 0)</f>
        <v>122.12179999999999</v>
      </c>
      <c r="H713" s="14">
        <f>121.985 * CHOOSE(CONTROL!$C$9, $D$9, 100%, $F$9) + CHOOSE(CONTROL!$C$27, 0.0021, 0)</f>
        <v>121.9871</v>
      </c>
      <c r="I713" s="14">
        <f>121.985 * CHOOSE(CONTROL!$C$9, $D$9, 100%, $F$9) + CHOOSE(CONTROL!$C$27, 0.0021, 0)</f>
        <v>121.9871</v>
      </c>
      <c r="J713" s="14">
        <f>121.985 * CHOOSE(CONTROL!$C$9, $D$9, 100%, $F$9) + CHOOSE(CONTROL!$C$27, 0.0021, 0)</f>
        <v>121.9871</v>
      </c>
      <c r="K713" s="14">
        <f>121.985 * CHOOSE(CONTROL!$C$9, $D$9, 100%, $F$9) + CHOOSE(CONTROL!$C$27, 0.0021, 0)</f>
        <v>121.9871</v>
      </c>
      <c r="L713" s="14"/>
    </row>
    <row r="714" spans="1:12" ht="15.75" x14ac:dyDescent="0.25">
      <c r="A714" s="31">
        <v>62670</v>
      </c>
      <c r="B714" s="14">
        <f>121.8554 * CHOOSE(CONTROL!$C$9, $D$9, 100%, $F$9) + CHOOSE(CONTROL!$C$27, 0.0021, 0)</f>
        <v>121.8575</v>
      </c>
      <c r="C714" s="14">
        <f>121.4232 * CHOOSE(CONTROL!$C$9, $D$9, 100%, $F$9) + CHOOSE(CONTROL!$C$27, 0.0021, 0)</f>
        <v>121.42529999999999</v>
      </c>
      <c r="D714" s="14">
        <f>121.4232 * CHOOSE(CONTROL!$C$9, $D$9, 100%, $F$9) + CHOOSE(CONTROL!$C$27, 0.0021, 0)</f>
        <v>121.42529999999999</v>
      </c>
      <c r="E714" s="14">
        <f>121.2865 * CHOOSE(CONTROL!$C$9, $D$9, 100%, $F$9) + CHOOSE(CONTROL!$C$27, 0.0021, 0)</f>
        <v>121.2886</v>
      </c>
      <c r="F714" s="14">
        <f>121.2865 * CHOOSE(CONTROL!$C$9, $D$9, 100%, $F$9) + CHOOSE(CONTROL!$C$27, 0.0021, 0)</f>
        <v>121.2886</v>
      </c>
      <c r="G714" s="14">
        <f>121.5579 * CHOOSE(CONTROL!$C$9, $D$9, 100%, $F$9) + CHOOSE(CONTROL!$C$27, 0.0021, 0)</f>
        <v>121.56</v>
      </c>
      <c r="H714" s="14">
        <f>121.4232 * CHOOSE(CONTROL!$C$9, $D$9, 100%, $F$9) + CHOOSE(CONTROL!$C$27, 0.0021, 0)</f>
        <v>121.42529999999999</v>
      </c>
      <c r="I714" s="14">
        <f>121.4232 * CHOOSE(CONTROL!$C$9, $D$9, 100%, $F$9) + CHOOSE(CONTROL!$C$27, 0.0021, 0)</f>
        <v>121.42529999999999</v>
      </c>
      <c r="J714" s="14">
        <f>121.4232 * CHOOSE(CONTROL!$C$9, $D$9, 100%, $F$9) + CHOOSE(CONTROL!$C$27, 0.0021, 0)</f>
        <v>121.42529999999999</v>
      </c>
      <c r="K714" s="14">
        <f>121.4232 * CHOOSE(CONTROL!$C$9, $D$9, 100%, $F$9) + CHOOSE(CONTROL!$C$27, 0.0021, 0)</f>
        <v>121.42529999999999</v>
      </c>
      <c r="L714" s="14"/>
    </row>
    <row r="715" spans="1:12" ht="15.75" x14ac:dyDescent="0.25">
      <c r="A715" s="31">
        <v>62701</v>
      </c>
      <c r="B715" s="14">
        <f>119.0721 * CHOOSE(CONTROL!$C$9, $D$9, 100%, $F$9) + CHOOSE(CONTROL!$C$27, 0.0021, 0)</f>
        <v>119.0742</v>
      </c>
      <c r="C715" s="14">
        <f>118.6398 * CHOOSE(CONTROL!$C$9, $D$9, 100%, $F$9) + CHOOSE(CONTROL!$C$27, 0.0021, 0)</f>
        <v>118.64189999999999</v>
      </c>
      <c r="D715" s="14">
        <f>118.6398 * CHOOSE(CONTROL!$C$9, $D$9, 100%, $F$9) + CHOOSE(CONTROL!$C$27, 0.0021, 0)</f>
        <v>118.64189999999999</v>
      </c>
      <c r="E715" s="14">
        <f>118.5032 * CHOOSE(CONTROL!$C$9, $D$9, 100%, $F$9) + CHOOSE(CONTROL!$C$27, 0.0021, 0)</f>
        <v>118.50530000000001</v>
      </c>
      <c r="F715" s="14">
        <f>118.5032 * CHOOSE(CONTROL!$C$9, $D$9, 100%, $F$9) + CHOOSE(CONTROL!$C$27, 0.0021, 0)</f>
        <v>118.50530000000001</v>
      </c>
      <c r="G715" s="14">
        <f>118.7745 * CHOOSE(CONTROL!$C$9, $D$9, 100%, $F$9) + CHOOSE(CONTROL!$C$27, 0.0021, 0)</f>
        <v>118.7766</v>
      </c>
      <c r="H715" s="14">
        <f>118.6398 * CHOOSE(CONTROL!$C$9, $D$9, 100%, $F$9) + CHOOSE(CONTROL!$C$27, 0.0021, 0)</f>
        <v>118.64189999999999</v>
      </c>
      <c r="I715" s="14">
        <f>118.6398 * CHOOSE(CONTROL!$C$9, $D$9, 100%, $F$9) + CHOOSE(CONTROL!$C$27, 0.0021, 0)</f>
        <v>118.64189999999999</v>
      </c>
      <c r="J715" s="14">
        <f>118.6398 * CHOOSE(CONTROL!$C$9, $D$9, 100%, $F$9) + CHOOSE(CONTROL!$C$27, 0.0021, 0)</f>
        <v>118.64189999999999</v>
      </c>
      <c r="K715" s="14">
        <f>118.6398 * CHOOSE(CONTROL!$C$9, $D$9, 100%, $F$9) + CHOOSE(CONTROL!$C$27, 0.0021, 0)</f>
        <v>118.64189999999999</v>
      </c>
      <c r="L715" s="14"/>
    </row>
    <row r="716" spans="1:12" ht="15.75" x14ac:dyDescent="0.25">
      <c r="A716" s="31">
        <v>62731</v>
      </c>
      <c r="B716" s="14">
        <f>115.1905 * CHOOSE(CONTROL!$C$9, $D$9, 100%, $F$9) + CHOOSE(CONTROL!$C$27, 0.0021, 0)</f>
        <v>115.1926</v>
      </c>
      <c r="C716" s="14">
        <f>114.7583 * CHOOSE(CONTROL!$C$9, $D$9, 100%, $F$9) + CHOOSE(CONTROL!$C$27, 0.0021, 0)</f>
        <v>114.7604</v>
      </c>
      <c r="D716" s="14">
        <f>114.7583 * CHOOSE(CONTROL!$C$9, $D$9, 100%, $F$9) + CHOOSE(CONTROL!$C$27, 0.0021, 0)</f>
        <v>114.7604</v>
      </c>
      <c r="E716" s="14">
        <f>114.6216 * CHOOSE(CONTROL!$C$9, $D$9, 100%, $F$9) + CHOOSE(CONTROL!$C$27, 0.0021, 0)</f>
        <v>114.6237</v>
      </c>
      <c r="F716" s="14">
        <f>114.6216 * CHOOSE(CONTROL!$C$9, $D$9, 100%, $F$9) + CHOOSE(CONTROL!$C$27, 0.0021, 0)</f>
        <v>114.6237</v>
      </c>
      <c r="G716" s="14">
        <f>114.893 * CHOOSE(CONTROL!$C$9, $D$9, 100%, $F$9) + CHOOSE(CONTROL!$C$27, 0.0021, 0)</f>
        <v>114.8951</v>
      </c>
      <c r="H716" s="14">
        <f>114.7583 * CHOOSE(CONTROL!$C$9, $D$9, 100%, $F$9) + CHOOSE(CONTROL!$C$27, 0.0021, 0)</f>
        <v>114.7604</v>
      </c>
      <c r="I716" s="14">
        <f>114.7583 * CHOOSE(CONTROL!$C$9, $D$9, 100%, $F$9) + CHOOSE(CONTROL!$C$27, 0.0021, 0)</f>
        <v>114.7604</v>
      </c>
      <c r="J716" s="14">
        <f>114.7583 * CHOOSE(CONTROL!$C$9, $D$9, 100%, $F$9) + CHOOSE(CONTROL!$C$27, 0.0021, 0)</f>
        <v>114.7604</v>
      </c>
      <c r="K716" s="14">
        <f>114.7583 * CHOOSE(CONTROL!$C$9, $D$9, 100%, $F$9) + CHOOSE(CONTROL!$C$27, 0.0021, 0)</f>
        <v>114.7604</v>
      </c>
      <c r="L716" s="14"/>
    </row>
    <row r="717" spans="1:12" ht="15.75" x14ac:dyDescent="0.25">
      <c r="A717" s="31">
        <v>62762</v>
      </c>
      <c r="B717" s="14">
        <f>111.2864 * CHOOSE(CONTROL!$C$9, $D$9, 100%, $F$9) + CHOOSE(CONTROL!$C$27, 0.0021, 0)</f>
        <v>111.2885</v>
      </c>
      <c r="C717" s="14">
        <f>110.8541 * CHOOSE(CONTROL!$C$9, $D$9, 100%, $F$9) + CHOOSE(CONTROL!$C$27, 0.0021, 0)</f>
        <v>110.8562</v>
      </c>
      <c r="D717" s="14">
        <f>110.8541 * CHOOSE(CONTROL!$C$9, $D$9, 100%, $F$9) + CHOOSE(CONTROL!$C$27, 0.0021, 0)</f>
        <v>110.8562</v>
      </c>
      <c r="E717" s="14">
        <f>110.7175 * CHOOSE(CONTROL!$C$9, $D$9, 100%, $F$9) + CHOOSE(CONTROL!$C$27, 0.0021, 0)</f>
        <v>110.7196</v>
      </c>
      <c r="F717" s="14">
        <f>110.7175 * CHOOSE(CONTROL!$C$9, $D$9, 100%, $F$9) + CHOOSE(CONTROL!$C$27, 0.0021, 0)</f>
        <v>110.7196</v>
      </c>
      <c r="G717" s="14">
        <f>110.9888 * CHOOSE(CONTROL!$C$9, $D$9, 100%, $F$9) + CHOOSE(CONTROL!$C$27, 0.0021, 0)</f>
        <v>110.9909</v>
      </c>
      <c r="H717" s="14">
        <f>110.8541 * CHOOSE(CONTROL!$C$9, $D$9, 100%, $F$9) + CHOOSE(CONTROL!$C$27, 0.0021, 0)</f>
        <v>110.8562</v>
      </c>
      <c r="I717" s="14">
        <f>110.8541 * CHOOSE(CONTROL!$C$9, $D$9, 100%, $F$9) + CHOOSE(CONTROL!$C$27, 0.0021, 0)</f>
        <v>110.8562</v>
      </c>
      <c r="J717" s="14">
        <f>110.8541 * CHOOSE(CONTROL!$C$9, $D$9, 100%, $F$9) + CHOOSE(CONTROL!$C$27, 0.0021, 0)</f>
        <v>110.8562</v>
      </c>
      <c r="K717" s="14">
        <f>110.8541 * CHOOSE(CONTROL!$C$9, $D$9, 100%, $F$9) + CHOOSE(CONTROL!$C$27, 0.0021, 0)</f>
        <v>110.8562</v>
      </c>
      <c r="L717" s="14"/>
    </row>
    <row r="718" spans="1:12" ht="15.75" x14ac:dyDescent="0.25">
      <c r="A718" s="31">
        <v>62792</v>
      </c>
      <c r="B718" s="14">
        <f>110.5098 * CHOOSE(CONTROL!$C$9, $D$9, 100%, $F$9) + CHOOSE(CONTROL!$C$27, 0.0021, 0)</f>
        <v>110.5119</v>
      </c>
      <c r="C718" s="14">
        <f>110.0775 * CHOOSE(CONTROL!$C$9, $D$9, 100%, $F$9) + CHOOSE(CONTROL!$C$27, 0.0021, 0)</f>
        <v>110.0796</v>
      </c>
      <c r="D718" s="14">
        <f>110.0775 * CHOOSE(CONTROL!$C$9, $D$9, 100%, $F$9) + CHOOSE(CONTROL!$C$27, 0.0021, 0)</f>
        <v>110.0796</v>
      </c>
      <c r="E718" s="14">
        <f>109.9409 * CHOOSE(CONTROL!$C$9, $D$9, 100%, $F$9) + CHOOSE(CONTROL!$C$27, 0.0021, 0)</f>
        <v>109.943</v>
      </c>
      <c r="F718" s="14">
        <f>109.9409 * CHOOSE(CONTROL!$C$9, $D$9, 100%, $F$9) + CHOOSE(CONTROL!$C$27, 0.0021, 0)</f>
        <v>109.943</v>
      </c>
      <c r="G718" s="14">
        <f>110.2122 * CHOOSE(CONTROL!$C$9, $D$9, 100%, $F$9) + CHOOSE(CONTROL!$C$27, 0.0021, 0)</f>
        <v>110.21429999999999</v>
      </c>
      <c r="H718" s="14">
        <f>110.0775 * CHOOSE(CONTROL!$C$9, $D$9, 100%, $F$9) + CHOOSE(CONTROL!$C$27, 0.0021, 0)</f>
        <v>110.0796</v>
      </c>
      <c r="I718" s="14">
        <f>110.0775 * CHOOSE(CONTROL!$C$9, $D$9, 100%, $F$9) + CHOOSE(CONTROL!$C$27, 0.0021, 0)</f>
        <v>110.0796</v>
      </c>
      <c r="J718" s="14">
        <f>110.0775 * CHOOSE(CONTROL!$C$9, $D$9, 100%, $F$9) + CHOOSE(CONTROL!$C$27, 0.0021, 0)</f>
        <v>110.0796</v>
      </c>
      <c r="K718" s="14">
        <f>110.0775 * CHOOSE(CONTROL!$C$9, $D$9, 100%, $F$9) + CHOOSE(CONTROL!$C$27, 0.0021, 0)</f>
        <v>110.0796</v>
      </c>
      <c r="L718" s="14"/>
    </row>
    <row r="719" spans="1:12" ht="15.75" x14ac:dyDescent="0.25">
      <c r="A719" s="31">
        <v>62823</v>
      </c>
      <c r="B719" s="14">
        <f>107.2984 * CHOOSE(CONTROL!$C$9, $D$9, 100%, $F$9) + CHOOSE(CONTROL!$C$27, 0.0021, 0)</f>
        <v>107.3005</v>
      </c>
      <c r="C719" s="14">
        <f>106.8662 * CHOOSE(CONTROL!$C$9, $D$9, 100%, $F$9) + CHOOSE(CONTROL!$C$27, 0.0021, 0)</f>
        <v>106.8683</v>
      </c>
      <c r="D719" s="14">
        <f>106.8662 * CHOOSE(CONTROL!$C$9, $D$9, 100%, $F$9) + CHOOSE(CONTROL!$C$27, 0.0021, 0)</f>
        <v>106.8683</v>
      </c>
      <c r="E719" s="14">
        <f>106.7295 * CHOOSE(CONTROL!$C$9, $D$9, 100%, $F$9) + CHOOSE(CONTROL!$C$27, 0.0021, 0)</f>
        <v>106.7316</v>
      </c>
      <c r="F719" s="14">
        <f>106.7295 * CHOOSE(CONTROL!$C$9, $D$9, 100%, $F$9) + CHOOSE(CONTROL!$C$27, 0.0021, 0)</f>
        <v>106.7316</v>
      </c>
      <c r="G719" s="14">
        <f>107.0009 * CHOOSE(CONTROL!$C$9, $D$9, 100%, $F$9) + CHOOSE(CONTROL!$C$27, 0.0021, 0)</f>
        <v>107.003</v>
      </c>
      <c r="H719" s="14">
        <f>106.8662 * CHOOSE(CONTROL!$C$9, $D$9, 100%, $F$9) + CHOOSE(CONTROL!$C$27, 0.0021, 0)</f>
        <v>106.8683</v>
      </c>
      <c r="I719" s="14">
        <f>106.8662 * CHOOSE(CONTROL!$C$9, $D$9, 100%, $F$9) + CHOOSE(CONTROL!$C$27, 0.0021, 0)</f>
        <v>106.8683</v>
      </c>
      <c r="J719" s="14">
        <f>106.8662 * CHOOSE(CONTROL!$C$9, $D$9, 100%, $F$9) + CHOOSE(CONTROL!$C$27, 0.0021, 0)</f>
        <v>106.8683</v>
      </c>
      <c r="K719" s="14">
        <f>106.8662 * CHOOSE(CONTROL!$C$9, $D$9, 100%, $F$9) + CHOOSE(CONTROL!$C$27, 0.0021, 0)</f>
        <v>106.8683</v>
      </c>
      <c r="L719" s="14"/>
    </row>
    <row r="720" spans="1:12" ht="15.75" x14ac:dyDescent="0.25">
      <c r="A720" s="31">
        <v>62854</v>
      </c>
      <c r="B720" s="14">
        <f>106.6732 * CHOOSE(CONTROL!$C$9, $D$9, 100%, $F$9) + CHOOSE(CONTROL!$C$27, 0.0021, 0)</f>
        <v>106.67529999999999</v>
      </c>
      <c r="C720" s="14">
        <f>106.2409 * CHOOSE(CONTROL!$C$9, $D$9, 100%, $F$9) + CHOOSE(CONTROL!$C$27, 0.0021, 0)</f>
        <v>106.24299999999999</v>
      </c>
      <c r="D720" s="14">
        <f>106.2409 * CHOOSE(CONTROL!$C$9, $D$9, 100%, $F$9) + CHOOSE(CONTROL!$C$27, 0.0021, 0)</f>
        <v>106.24299999999999</v>
      </c>
      <c r="E720" s="14">
        <f>106.1043 * CHOOSE(CONTROL!$C$9, $D$9, 100%, $F$9) + CHOOSE(CONTROL!$C$27, 0.0021, 0)</f>
        <v>106.10639999999999</v>
      </c>
      <c r="F720" s="14">
        <f>106.1043 * CHOOSE(CONTROL!$C$9, $D$9, 100%, $F$9) + CHOOSE(CONTROL!$C$27, 0.0021, 0)</f>
        <v>106.10639999999999</v>
      </c>
      <c r="G720" s="14">
        <f>106.3757 * CHOOSE(CONTROL!$C$9, $D$9, 100%, $F$9) + CHOOSE(CONTROL!$C$27, 0.0021, 0)</f>
        <v>106.37779999999999</v>
      </c>
      <c r="H720" s="14">
        <f>106.2409 * CHOOSE(CONTROL!$C$9, $D$9, 100%, $F$9) + CHOOSE(CONTROL!$C$27, 0.0021, 0)</f>
        <v>106.24299999999999</v>
      </c>
      <c r="I720" s="14">
        <f>106.2409 * CHOOSE(CONTROL!$C$9, $D$9, 100%, $F$9) + CHOOSE(CONTROL!$C$27, 0.0021, 0)</f>
        <v>106.24299999999999</v>
      </c>
      <c r="J720" s="14">
        <f>106.2409 * CHOOSE(CONTROL!$C$9, $D$9, 100%, $F$9) + CHOOSE(CONTROL!$C$27, 0.0021, 0)</f>
        <v>106.24299999999999</v>
      </c>
      <c r="K720" s="14">
        <f>106.2409 * CHOOSE(CONTROL!$C$9, $D$9, 100%, $F$9) + CHOOSE(CONTROL!$C$27, 0.0021, 0)</f>
        <v>106.24299999999999</v>
      </c>
      <c r="L720" s="14"/>
    </row>
    <row r="721" spans="1:12" ht="15.75" x14ac:dyDescent="0.25">
      <c r="A721" s="31">
        <v>62883</v>
      </c>
      <c r="B721" s="14">
        <f>106.383 * CHOOSE(CONTROL!$C$9, $D$9, 100%, $F$9) + CHOOSE(CONTROL!$C$27, 0.0021, 0)</f>
        <v>106.38509999999999</v>
      </c>
      <c r="C721" s="14">
        <f>105.9508 * CHOOSE(CONTROL!$C$9, $D$9, 100%, $F$9) + CHOOSE(CONTROL!$C$27, 0.0021, 0)</f>
        <v>105.9529</v>
      </c>
      <c r="D721" s="14">
        <f>105.9508 * CHOOSE(CONTROL!$C$9, $D$9, 100%, $F$9) + CHOOSE(CONTROL!$C$27, 0.0021, 0)</f>
        <v>105.9529</v>
      </c>
      <c r="E721" s="14">
        <f>105.8141 * CHOOSE(CONTROL!$C$9, $D$9, 100%, $F$9) + CHOOSE(CONTROL!$C$27, 0.0021, 0)</f>
        <v>105.81619999999999</v>
      </c>
      <c r="F721" s="14">
        <f>105.8141 * CHOOSE(CONTROL!$C$9, $D$9, 100%, $F$9) + CHOOSE(CONTROL!$C$27, 0.0021, 0)</f>
        <v>105.81619999999999</v>
      </c>
      <c r="G721" s="14">
        <f>106.0855 * CHOOSE(CONTROL!$C$9, $D$9, 100%, $F$9) + CHOOSE(CONTROL!$C$27, 0.0021, 0)</f>
        <v>106.08759999999999</v>
      </c>
      <c r="H721" s="14">
        <f>105.9508 * CHOOSE(CONTROL!$C$9, $D$9, 100%, $F$9) + CHOOSE(CONTROL!$C$27, 0.0021, 0)</f>
        <v>105.9529</v>
      </c>
      <c r="I721" s="14">
        <f>105.9508 * CHOOSE(CONTROL!$C$9, $D$9, 100%, $F$9) + CHOOSE(CONTROL!$C$27, 0.0021, 0)</f>
        <v>105.9529</v>
      </c>
      <c r="J721" s="14">
        <f>105.9508 * CHOOSE(CONTROL!$C$9, $D$9, 100%, $F$9) + CHOOSE(CONTROL!$C$27, 0.0021, 0)</f>
        <v>105.9529</v>
      </c>
      <c r="K721" s="14">
        <f>105.9508 * CHOOSE(CONTROL!$C$9, $D$9, 100%, $F$9) + CHOOSE(CONTROL!$C$27, 0.0021, 0)</f>
        <v>105.9529</v>
      </c>
      <c r="L721" s="14"/>
    </row>
    <row r="722" spans="1:12" ht="15.75" x14ac:dyDescent="0.25">
      <c r="A722" s="31">
        <v>62914</v>
      </c>
      <c r="B722" s="14">
        <f>111.8692 * CHOOSE(CONTROL!$C$9, $D$9, 100%, $F$9) + CHOOSE(CONTROL!$C$27, 0.0021, 0)</f>
        <v>111.87130000000001</v>
      </c>
      <c r="C722" s="14">
        <f>111.437 * CHOOSE(CONTROL!$C$9, $D$9, 100%, $F$9) + CHOOSE(CONTROL!$C$27, 0.0021, 0)</f>
        <v>111.4391</v>
      </c>
      <c r="D722" s="14">
        <f>111.437 * CHOOSE(CONTROL!$C$9, $D$9, 100%, $F$9) + CHOOSE(CONTROL!$C$27, 0.0021, 0)</f>
        <v>111.4391</v>
      </c>
      <c r="E722" s="14">
        <f>111.3003 * CHOOSE(CONTROL!$C$9, $D$9, 100%, $F$9) + CHOOSE(CONTROL!$C$27, 0.0021, 0)</f>
        <v>111.30239999999999</v>
      </c>
      <c r="F722" s="14">
        <f>111.3003 * CHOOSE(CONTROL!$C$9, $D$9, 100%, $F$9) + CHOOSE(CONTROL!$C$27, 0.0021, 0)</f>
        <v>111.30239999999999</v>
      </c>
      <c r="G722" s="14">
        <f>111.5717 * CHOOSE(CONTROL!$C$9, $D$9, 100%, $F$9) + CHOOSE(CONTROL!$C$27, 0.0021, 0)</f>
        <v>111.57380000000001</v>
      </c>
      <c r="H722" s="14">
        <f>111.437 * CHOOSE(CONTROL!$C$9, $D$9, 100%, $F$9) + CHOOSE(CONTROL!$C$27, 0.0021, 0)</f>
        <v>111.4391</v>
      </c>
      <c r="I722" s="14">
        <f>111.437 * CHOOSE(CONTROL!$C$9, $D$9, 100%, $F$9) + CHOOSE(CONTROL!$C$27, 0.0021, 0)</f>
        <v>111.4391</v>
      </c>
      <c r="J722" s="14">
        <f>111.437 * CHOOSE(CONTROL!$C$9, $D$9, 100%, $F$9) + CHOOSE(CONTROL!$C$27, 0.0021, 0)</f>
        <v>111.4391</v>
      </c>
      <c r="K722" s="14">
        <f>111.437 * CHOOSE(CONTROL!$C$9, $D$9, 100%, $F$9) + CHOOSE(CONTROL!$C$27, 0.0021, 0)</f>
        <v>111.4391</v>
      </c>
      <c r="L722" s="14"/>
    </row>
    <row r="723" spans="1:12" ht="15.75" x14ac:dyDescent="0.25">
      <c r="A723" s="31">
        <v>62944</v>
      </c>
      <c r="B723" s="14">
        <f>118.9835 * CHOOSE(CONTROL!$C$9, $D$9, 100%, $F$9) + CHOOSE(CONTROL!$C$27, 0.0021, 0)</f>
        <v>118.98560000000001</v>
      </c>
      <c r="C723" s="14">
        <f>118.5512 * CHOOSE(CONTROL!$C$9, $D$9, 100%, $F$9) + CHOOSE(CONTROL!$C$27, 0.0021, 0)</f>
        <v>118.55329999999999</v>
      </c>
      <c r="D723" s="14">
        <f>118.5512 * CHOOSE(CONTROL!$C$9, $D$9, 100%, $F$9) + CHOOSE(CONTROL!$C$27, 0.0021, 0)</f>
        <v>118.55329999999999</v>
      </c>
      <c r="E723" s="14">
        <f>118.4146 * CHOOSE(CONTROL!$C$9, $D$9, 100%, $F$9) + CHOOSE(CONTROL!$C$27, 0.0021, 0)</f>
        <v>118.41669999999999</v>
      </c>
      <c r="F723" s="14">
        <f>118.4146 * CHOOSE(CONTROL!$C$9, $D$9, 100%, $F$9) + CHOOSE(CONTROL!$C$27, 0.0021, 0)</f>
        <v>118.41669999999999</v>
      </c>
      <c r="G723" s="14">
        <f>118.686 * CHOOSE(CONTROL!$C$9, $D$9, 100%, $F$9) + CHOOSE(CONTROL!$C$27, 0.0021, 0)</f>
        <v>118.68810000000001</v>
      </c>
      <c r="H723" s="14">
        <f>118.5512 * CHOOSE(CONTROL!$C$9, $D$9, 100%, $F$9) + CHOOSE(CONTROL!$C$27, 0.0021, 0)</f>
        <v>118.55329999999999</v>
      </c>
      <c r="I723" s="14">
        <f>118.5512 * CHOOSE(CONTROL!$C$9, $D$9, 100%, $F$9) + CHOOSE(CONTROL!$C$27, 0.0021, 0)</f>
        <v>118.55329999999999</v>
      </c>
      <c r="J723" s="14">
        <f>118.5512 * CHOOSE(CONTROL!$C$9, $D$9, 100%, $F$9) + CHOOSE(CONTROL!$C$27, 0.0021, 0)</f>
        <v>118.55329999999999</v>
      </c>
      <c r="K723" s="14">
        <f>118.5512 * CHOOSE(CONTROL!$C$9, $D$9, 100%, $F$9) + CHOOSE(CONTROL!$C$27, 0.0021, 0)</f>
        <v>118.55329999999999</v>
      </c>
      <c r="L723" s="14"/>
    </row>
    <row r="724" spans="1:12" ht="15.75" x14ac:dyDescent="0.25">
      <c r="A724" s="31">
        <v>62975</v>
      </c>
      <c r="B724" s="14">
        <f>122.8994 * CHOOSE(CONTROL!$C$9, $D$9, 100%, $F$9) + CHOOSE(CONTROL!$C$27, 0.0021, 0)</f>
        <v>122.9015</v>
      </c>
      <c r="C724" s="14">
        <f>122.4672 * CHOOSE(CONTROL!$C$9, $D$9, 100%, $F$9) + CHOOSE(CONTROL!$C$27, 0.0021, 0)</f>
        <v>122.4693</v>
      </c>
      <c r="D724" s="14">
        <f>122.4672 * CHOOSE(CONTROL!$C$9, $D$9, 100%, $F$9) + CHOOSE(CONTROL!$C$27, 0.0021, 0)</f>
        <v>122.4693</v>
      </c>
      <c r="E724" s="14">
        <f>122.3305 * CHOOSE(CONTROL!$C$9, $D$9, 100%, $F$9) + CHOOSE(CONTROL!$C$27, 0.0021, 0)</f>
        <v>122.3326</v>
      </c>
      <c r="F724" s="14">
        <f>122.3305 * CHOOSE(CONTROL!$C$9, $D$9, 100%, $F$9) + CHOOSE(CONTROL!$C$27, 0.0021, 0)</f>
        <v>122.3326</v>
      </c>
      <c r="G724" s="14">
        <f>122.6019 * CHOOSE(CONTROL!$C$9, $D$9, 100%, $F$9) + CHOOSE(CONTROL!$C$27, 0.0021, 0)</f>
        <v>122.604</v>
      </c>
      <c r="H724" s="14">
        <f>122.4672 * CHOOSE(CONTROL!$C$9, $D$9, 100%, $F$9) + CHOOSE(CONTROL!$C$27, 0.0021, 0)</f>
        <v>122.4693</v>
      </c>
      <c r="I724" s="14">
        <f>122.4672 * CHOOSE(CONTROL!$C$9, $D$9, 100%, $F$9) + CHOOSE(CONTROL!$C$27, 0.0021, 0)</f>
        <v>122.4693</v>
      </c>
      <c r="J724" s="14">
        <f>122.4672 * CHOOSE(CONTROL!$C$9, $D$9, 100%, $F$9) + CHOOSE(CONTROL!$C$27, 0.0021, 0)</f>
        <v>122.4693</v>
      </c>
      <c r="K724" s="14">
        <f>122.4672 * CHOOSE(CONTROL!$C$9, $D$9, 100%, $F$9) + CHOOSE(CONTROL!$C$27, 0.0021, 0)</f>
        <v>122.4693</v>
      </c>
      <c r="L724" s="14"/>
    </row>
    <row r="725" spans="1:12" ht="15.75" x14ac:dyDescent="0.25">
      <c r="A725" s="31">
        <v>63005</v>
      </c>
      <c r="B725" s="14">
        <f>124.6372 * CHOOSE(CONTROL!$C$9, $D$9, 100%, $F$9) + CHOOSE(CONTROL!$C$27, 0.0021, 0)</f>
        <v>124.63930000000001</v>
      </c>
      <c r="C725" s="14">
        <f>124.205 * CHOOSE(CONTROL!$C$9, $D$9, 100%, $F$9) + CHOOSE(CONTROL!$C$27, 0.0021, 0)</f>
        <v>124.2071</v>
      </c>
      <c r="D725" s="14">
        <f>124.205 * CHOOSE(CONTROL!$C$9, $D$9, 100%, $F$9) + CHOOSE(CONTROL!$C$27, 0.0021, 0)</f>
        <v>124.2071</v>
      </c>
      <c r="E725" s="14">
        <f>124.0683 * CHOOSE(CONTROL!$C$9, $D$9, 100%, $F$9) + CHOOSE(CONTROL!$C$27, 0.0021, 0)</f>
        <v>124.07039999999999</v>
      </c>
      <c r="F725" s="14">
        <f>124.0683 * CHOOSE(CONTROL!$C$9, $D$9, 100%, $F$9) + CHOOSE(CONTROL!$C$27, 0.0021, 0)</f>
        <v>124.07039999999999</v>
      </c>
      <c r="G725" s="14">
        <f>124.3397 * CHOOSE(CONTROL!$C$9, $D$9, 100%, $F$9) + CHOOSE(CONTROL!$C$27, 0.0021, 0)</f>
        <v>124.34179999999999</v>
      </c>
      <c r="H725" s="14">
        <f>124.205 * CHOOSE(CONTROL!$C$9, $D$9, 100%, $F$9) + CHOOSE(CONTROL!$C$27, 0.0021, 0)</f>
        <v>124.2071</v>
      </c>
      <c r="I725" s="14">
        <f>124.205 * CHOOSE(CONTROL!$C$9, $D$9, 100%, $F$9) + CHOOSE(CONTROL!$C$27, 0.0021, 0)</f>
        <v>124.2071</v>
      </c>
      <c r="J725" s="14">
        <f>124.205 * CHOOSE(CONTROL!$C$9, $D$9, 100%, $F$9) + CHOOSE(CONTROL!$C$27, 0.0021, 0)</f>
        <v>124.2071</v>
      </c>
      <c r="K725" s="14">
        <f>124.205 * CHOOSE(CONTROL!$C$9, $D$9, 100%, $F$9) + CHOOSE(CONTROL!$C$27, 0.0021, 0)</f>
        <v>124.2071</v>
      </c>
      <c r="L725" s="14"/>
    </row>
    <row r="726" spans="1:12" ht="15.75" x14ac:dyDescent="0.25">
      <c r="A726" s="31">
        <v>63036</v>
      </c>
      <c r="B726" s="14">
        <f>124.0651 * CHOOSE(CONTROL!$C$9, $D$9, 100%, $F$9) + CHOOSE(CONTROL!$C$27, 0.0021, 0)</f>
        <v>124.0672</v>
      </c>
      <c r="C726" s="14">
        <f>123.6328 * CHOOSE(CONTROL!$C$9, $D$9, 100%, $F$9) + CHOOSE(CONTROL!$C$27, 0.0021, 0)</f>
        <v>123.6349</v>
      </c>
      <c r="D726" s="14">
        <f>123.6328 * CHOOSE(CONTROL!$C$9, $D$9, 100%, $F$9) + CHOOSE(CONTROL!$C$27, 0.0021, 0)</f>
        <v>123.6349</v>
      </c>
      <c r="E726" s="14">
        <f>123.4962 * CHOOSE(CONTROL!$C$9, $D$9, 100%, $F$9) + CHOOSE(CONTROL!$C$27, 0.0021, 0)</f>
        <v>123.4983</v>
      </c>
      <c r="F726" s="14">
        <f>123.4962 * CHOOSE(CONTROL!$C$9, $D$9, 100%, $F$9) + CHOOSE(CONTROL!$C$27, 0.0021, 0)</f>
        <v>123.4983</v>
      </c>
      <c r="G726" s="14">
        <f>123.7675 * CHOOSE(CONTROL!$C$9, $D$9, 100%, $F$9) + CHOOSE(CONTROL!$C$27, 0.0021, 0)</f>
        <v>123.7696</v>
      </c>
      <c r="H726" s="14">
        <f>123.6328 * CHOOSE(CONTROL!$C$9, $D$9, 100%, $F$9) + CHOOSE(CONTROL!$C$27, 0.0021, 0)</f>
        <v>123.6349</v>
      </c>
      <c r="I726" s="14">
        <f>123.6328 * CHOOSE(CONTROL!$C$9, $D$9, 100%, $F$9) + CHOOSE(CONTROL!$C$27, 0.0021, 0)</f>
        <v>123.6349</v>
      </c>
      <c r="J726" s="14">
        <f>123.6328 * CHOOSE(CONTROL!$C$9, $D$9, 100%, $F$9) + CHOOSE(CONTROL!$C$27, 0.0021, 0)</f>
        <v>123.6349</v>
      </c>
      <c r="K726" s="14">
        <f>123.6328 * CHOOSE(CONTROL!$C$9, $D$9, 100%, $F$9) + CHOOSE(CONTROL!$C$27, 0.0021, 0)</f>
        <v>123.6349</v>
      </c>
      <c r="L726" s="14"/>
    </row>
    <row r="727" spans="1:12" ht="15.75" x14ac:dyDescent="0.25">
      <c r="A727" s="31">
        <v>63067</v>
      </c>
      <c r="B727" s="14">
        <f>121.2302 * CHOOSE(CONTROL!$C$9, $D$9, 100%, $F$9) + CHOOSE(CONTROL!$C$27, 0.0021, 0)</f>
        <v>121.2323</v>
      </c>
      <c r="C727" s="14">
        <f>120.798 * CHOOSE(CONTROL!$C$9, $D$9, 100%, $F$9) + CHOOSE(CONTROL!$C$27, 0.0021, 0)</f>
        <v>120.8001</v>
      </c>
      <c r="D727" s="14">
        <f>120.798 * CHOOSE(CONTROL!$C$9, $D$9, 100%, $F$9) + CHOOSE(CONTROL!$C$27, 0.0021, 0)</f>
        <v>120.8001</v>
      </c>
      <c r="E727" s="14">
        <f>120.6613 * CHOOSE(CONTROL!$C$9, $D$9, 100%, $F$9) + CHOOSE(CONTROL!$C$27, 0.0021, 0)</f>
        <v>120.6634</v>
      </c>
      <c r="F727" s="14">
        <f>120.6613 * CHOOSE(CONTROL!$C$9, $D$9, 100%, $F$9) + CHOOSE(CONTROL!$C$27, 0.0021, 0)</f>
        <v>120.6634</v>
      </c>
      <c r="G727" s="14">
        <f>120.9327 * CHOOSE(CONTROL!$C$9, $D$9, 100%, $F$9) + CHOOSE(CONTROL!$C$27, 0.0021, 0)</f>
        <v>120.9348</v>
      </c>
      <c r="H727" s="14">
        <f>120.798 * CHOOSE(CONTROL!$C$9, $D$9, 100%, $F$9) + CHOOSE(CONTROL!$C$27, 0.0021, 0)</f>
        <v>120.8001</v>
      </c>
      <c r="I727" s="14">
        <f>120.798 * CHOOSE(CONTROL!$C$9, $D$9, 100%, $F$9) + CHOOSE(CONTROL!$C$27, 0.0021, 0)</f>
        <v>120.8001</v>
      </c>
      <c r="J727" s="14">
        <f>120.798 * CHOOSE(CONTROL!$C$9, $D$9, 100%, $F$9) + CHOOSE(CONTROL!$C$27, 0.0021, 0)</f>
        <v>120.8001</v>
      </c>
      <c r="K727" s="14">
        <f>120.798 * CHOOSE(CONTROL!$C$9, $D$9, 100%, $F$9) + CHOOSE(CONTROL!$C$27, 0.0021, 0)</f>
        <v>120.8001</v>
      </c>
      <c r="L727" s="14"/>
    </row>
    <row r="728" spans="1:12" ht="15.75" x14ac:dyDescent="0.25">
      <c r="A728" s="31">
        <v>63097</v>
      </c>
      <c r="B728" s="14">
        <f>117.277 * CHOOSE(CONTROL!$C$9, $D$9, 100%, $F$9) + CHOOSE(CONTROL!$C$27, 0.0021, 0)</f>
        <v>117.2791</v>
      </c>
      <c r="C728" s="14">
        <f>116.8447 * CHOOSE(CONTROL!$C$9, $D$9, 100%, $F$9) + CHOOSE(CONTROL!$C$27, 0.0021, 0)</f>
        <v>116.8468</v>
      </c>
      <c r="D728" s="14">
        <f>116.8447 * CHOOSE(CONTROL!$C$9, $D$9, 100%, $F$9) + CHOOSE(CONTROL!$C$27, 0.0021, 0)</f>
        <v>116.8468</v>
      </c>
      <c r="E728" s="14">
        <f>116.7081 * CHOOSE(CONTROL!$C$9, $D$9, 100%, $F$9) + CHOOSE(CONTROL!$C$27, 0.0021, 0)</f>
        <v>116.7102</v>
      </c>
      <c r="F728" s="14">
        <f>116.7081 * CHOOSE(CONTROL!$C$9, $D$9, 100%, $F$9) + CHOOSE(CONTROL!$C$27, 0.0021, 0)</f>
        <v>116.7102</v>
      </c>
      <c r="G728" s="14">
        <f>116.9794 * CHOOSE(CONTROL!$C$9, $D$9, 100%, $F$9) + CHOOSE(CONTROL!$C$27, 0.0021, 0)</f>
        <v>116.9815</v>
      </c>
      <c r="H728" s="14">
        <f>116.8447 * CHOOSE(CONTROL!$C$9, $D$9, 100%, $F$9) + CHOOSE(CONTROL!$C$27, 0.0021, 0)</f>
        <v>116.8468</v>
      </c>
      <c r="I728" s="14">
        <f>116.8447 * CHOOSE(CONTROL!$C$9, $D$9, 100%, $F$9) + CHOOSE(CONTROL!$C$27, 0.0021, 0)</f>
        <v>116.8468</v>
      </c>
      <c r="J728" s="14">
        <f>116.8447 * CHOOSE(CONTROL!$C$9, $D$9, 100%, $F$9) + CHOOSE(CONTROL!$C$27, 0.0021, 0)</f>
        <v>116.8468</v>
      </c>
      <c r="K728" s="14">
        <f>116.8447 * CHOOSE(CONTROL!$C$9, $D$9, 100%, $F$9) + CHOOSE(CONTROL!$C$27, 0.0021, 0)</f>
        <v>116.8468</v>
      </c>
      <c r="L728" s="14"/>
    </row>
    <row r="729" spans="1:12" ht="15.75" x14ac:dyDescent="0.25">
      <c r="A729" s="31">
        <v>63128</v>
      </c>
      <c r="B729" s="14">
        <f>113.3007 * CHOOSE(CONTROL!$C$9, $D$9, 100%, $F$9) + CHOOSE(CONTROL!$C$27, 0.0021, 0)</f>
        <v>113.3028</v>
      </c>
      <c r="C729" s="14">
        <f>112.8684 * CHOOSE(CONTROL!$C$9, $D$9, 100%, $F$9) + CHOOSE(CONTROL!$C$27, 0.0021, 0)</f>
        <v>112.87049999999999</v>
      </c>
      <c r="D729" s="14">
        <f>112.8684 * CHOOSE(CONTROL!$C$9, $D$9, 100%, $F$9) + CHOOSE(CONTROL!$C$27, 0.0021, 0)</f>
        <v>112.87049999999999</v>
      </c>
      <c r="E729" s="14">
        <f>112.7318 * CHOOSE(CONTROL!$C$9, $D$9, 100%, $F$9) + CHOOSE(CONTROL!$C$27, 0.0021, 0)</f>
        <v>112.73390000000001</v>
      </c>
      <c r="F729" s="14">
        <f>112.7318 * CHOOSE(CONTROL!$C$9, $D$9, 100%, $F$9) + CHOOSE(CONTROL!$C$27, 0.0021, 0)</f>
        <v>112.73390000000001</v>
      </c>
      <c r="G729" s="14">
        <f>113.0031 * CHOOSE(CONTROL!$C$9, $D$9, 100%, $F$9) + CHOOSE(CONTROL!$C$27, 0.0021, 0)</f>
        <v>113.0052</v>
      </c>
      <c r="H729" s="14">
        <f>112.8684 * CHOOSE(CONTROL!$C$9, $D$9, 100%, $F$9) + CHOOSE(CONTROL!$C$27, 0.0021, 0)</f>
        <v>112.87049999999999</v>
      </c>
      <c r="I729" s="14">
        <f>112.8684 * CHOOSE(CONTROL!$C$9, $D$9, 100%, $F$9) + CHOOSE(CONTROL!$C$27, 0.0021, 0)</f>
        <v>112.87049999999999</v>
      </c>
      <c r="J729" s="14">
        <f>112.8684 * CHOOSE(CONTROL!$C$9, $D$9, 100%, $F$9) + CHOOSE(CONTROL!$C$27, 0.0021, 0)</f>
        <v>112.87049999999999</v>
      </c>
      <c r="K729" s="14">
        <f>112.8684 * CHOOSE(CONTROL!$C$9, $D$9, 100%, $F$9) + CHOOSE(CONTROL!$C$27, 0.0021, 0)</f>
        <v>112.87049999999999</v>
      </c>
      <c r="L729" s="14"/>
    </row>
    <row r="730" spans="1:12" ht="15.75" x14ac:dyDescent="0.25">
      <c r="A730" s="31">
        <v>63158</v>
      </c>
      <c r="B730" s="14">
        <f>112.5097 * CHOOSE(CONTROL!$C$9, $D$9, 100%, $F$9) + CHOOSE(CONTROL!$C$27, 0.0021, 0)</f>
        <v>112.51179999999999</v>
      </c>
      <c r="C730" s="14">
        <f>112.0775 * CHOOSE(CONTROL!$C$9, $D$9, 100%, $F$9) + CHOOSE(CONTROL!$C$27, 0.0021, 0)</f>
        <v>112.0796</v>
      </c>
      <c r="D730" s="14">
        <f>112.0775 * CHOOSE(CONTROL!$C$9, $D$9, 100%, $F$9) + CHOOSE(CONTROL!$C$27, 0.0021, 0)</f>
        <v>112.0796</v>
      </c>
      <c r="E730" s="14">
        <f>111.9408 * CHOOSE(CONTROL!$C$9, $D$9, 100%, $F$9) + CHOOSE(CONTROL!$C$27, 0.0021, 0)</f>
        <v>111.94289999999999</v>
      </c>
      <c r="F730" s="14">
        <f>111.9408 * CHOOSE(CONTROL!$C$9, $D$9, 100%, $F$9) + CHOOSE(CONTROL!$C$27, 0.0021, 0)</f>
        <v>111.94289999999999</v>
      </c>
      <c r="G730" s="14">
        <f>112.2122 * CHOOSE(CONTROL!$C$9, $D$9, 100%, $F$9) + CHOOSE(CONTROL!$C$27, 0.0021, 0)</f>
        <v>112.21429999999999</v>
      </c>
      <c r="H730" s="14">
        <f>112.0775 * CHOOSE(CONTROL!$C$9, $D$9, 100%, $F$9) + CHOOSE(CONTROL!$C$27, 0.0021, 0)</f>
        <v>112.0796</v>
      </c>
      <c r="I730" s="14">
        <f>112.0775 * CHOOSE(CONTROL!$C$9, $D$9, 100%, $F$9) + CHOOSE(CONTROL!$C$27, 0.0021, 0)</f>
        <v>112.0796</v>
      </c>
      <c r="J730" s="14">
        <f>112.0775 * CHOOSE(CONTROL!$C$9, $D$9, 100%, $F$9) + CHOOSE(CONTROL!$C$27, 0.0021, 0)</f>
        <v>112.0796</v>
      </c>
      <c r="K730" s="14">
        <f>112.0775 * CHOOSE(CONTROL!$C$9, $D$9, 100%, $F$9) + CHOOSE(CONTROL!$C$27, 0.0021, 0)</f>
        <v>112.0796</v>
      </c>
      <c r="L730" s="14"/>
    </row>
    <row r="731" spans="1:12" ht="15.75" x14ac:dyDescent="0.25">
      <c r="A731" s="31">
        <v>63189</v>
      </c>
      <c r="B731" s="14">
        <f>109.239 * CHOOSE(CONTROL!$C$9, $D$9, 100%, $F$9) + CHOOSE(CONTROL!$C$27, 0.0021, 0)</f>
        <v>109.2411</v>
      </c>
      <c r="C731" s="14">
        <f>108.8068 * CHOOSE(CONTROL!$C$9, $D$9, 100%, $F$9) + CHOOSE(CONTROL!$C$27, 0.0021, 0)</f>
        <v>108.80889999999999</v>
      </c>
      <c r="D731" s="14">
        <f>108.8068 * CHOOSE(CONTROL!$C$9, $D$9, 100%, $F$9) + CHOOSE(CONTROL!$C$27, 0.0021, 0)</f>
        <v>108.80889999999999</v>
      </c>
      <c r="E731" s="14">
        <f>108.6701 * CHOOSE(CONTROL!$C$9, $D$9, 100%, $F$9) + CHOOSE(CONTROL!$C$27, 0.0021, 0)</f>
        <v>108.6722</v>
      </c>
      <c r="F731" s="14">
        <f>108.6701 * CHOOSE(CONTROL!$C$9, $D$9, 100%, $F$9) + CHOOSE(CONTROL!$C$27, 0.0021, 0)</f>
        <v>108.6722</v>
      </c>
      <c r="G731" s="14">
        <f>108.9415 * CHOOSE(CONTROL!$C$9, $D$9, 100%, $F$9) + CHOOSE(CONTROL!$C$27, 0.0021, 0)</f>
        <v>108.9436</v>
      </c>
      <c r="H731" s="14">
        <f>108.8068 * CHOOSE(CONTROL!$C$9, $D$9, 100%, $F$9) + CHOOSE(CONTROL!$C$27, 0.0021, 0)</f>
        <v>108.80889999999999</v>
      </c>
      <c r="I731" s="14">
        <f>108.8068 * CHOOSE(CONTROL!$C$9, $D$9, 100%, $F$9) + CHOOSE(CONTROL!$C$27, 0.0021, 0)</f>
        <v>108.80889999999999</v>
      </c>
      <c r="J731" s="14">
        <f>108.8068 * CHOOSE(CONTROL!$C$9, $D$9, 100%, $F$9) + CHOOSE(CONTROL!$C$27, 0.0021, 0)</f>
        <v>108.80889999999999</v>
      </c>
      <c r="K731" s="14">
        <f>108.8068 * CHOOSE(CONTROL!$C$9, $D$9, 100%, $F$9) + CHOOSE(CONTROL!$C$27, 0.0021, 0)</f>
        <v>108.80889999999999</v>
      </c>
      <c r="L731" s="14"/>
    </row>
    <row r="732" spans="1:12" ht="15.75" x14ac:dyDescent="0.25">
      <c r="A732" s="31">
        <v>63220</v>
      </c>
      <c r="B732" s="14">
        <f>108.6022 * CHOOSE(CONTROL!$C$9, $D$9, 100%, $F$9) + CHOOSE(CONTROL!$C$27, 0.0021, 0)</f>
        <v>108.60429999999999</v>
      </c>
      <c r="C732" s="14">
        <f>108.17 * CHOOSE(CONTROL!$C$9, $D$9, 100%, $F$9) + CHOOSE(CONTROL!$C$27, 0.0021, 0)</f>
        <v>108.1721</v>
      </c>
      <c r="D732" s="14">
        <f>108.17 * CHOOSE(CONTROL!$C$9, $D$9, 100%, $F$9) + CHOOSE(CONTROL!$C$27, 0.0021, 0)</f>
        <v>108.1721</v>
      </c>
      <c r="E732" s="14">
        <f>108.0333 * CHOOSE(CONTROL!$C$9, $D$9, 100%, $F$9) + CHOOSE(CONTROL!$C$27, 0.0021, 0)</f>
        <v>108.0354</v>
      </c>
      <c r="F732" s="14">
        <f>108.0333 * CHOOSE(CONTROL!$C$9, $D$9, 100%, $F$9) + CHOOSE(CONTROL!$C$27, 0.0021, 0)</f>
        <v>108.0354</v>
      </c>
      <c r="G732" s="14">
        <f>108.3047 * CHOOSE(CONTROL!$C$9, $D$9, 100%, $F$9) + CHOOSE(CONTROL!$C$27, 0.0021, 0)</f>
        <v>108.3068</v>
      </c>
      <c r="H732" s="14">
        <f>108.17 * CHOOSE(CONTROL!$C$9, $D$9, 100%, $F$9) + CHOOSE(CONTROL!$C$27, 0.0021, 0)</f>
        <v>108.1721</v>
      </c>
      <c r="I732" s="14">
        <f>108.17 * CHOOSE(CONTROL!$C$9, $D$9, 100%, $F$9) + CHOOSE(CONTROL!$C$27, 0.0021, 0)</f>
        <v>108.1721</v>
      </c>
      <c r="J732" s="14">
        <f>108.17 * CHOOSE(CONTROL!$C$9, $D$9, 100%, $F$9) + CHOOSE(CONTROL!$C$27, 0.0021, 0)</f>
        <v>108.1721</v>
      </c>
      <c r="K732" s="14">
        <f>108.17 * CHOOSE(CONTROL!$C$9, $D$9, 100%, $F$9) + CHOOSE(CONTROL!$C$27, 0.0021, 0)</f>
        <v>108.1721</v>
      </c>
      <c r="L732" s="14"/>
    </row>
    <row r="733" spans="1:12" ht="15.75" x14ac:dyDescent="0.25">
      <c r="A733" s="31">
        <v>63248</v>
      </c>
      <c r="B733" s="14">
        <f>108.3067 * CHOOSE(CONTROL!$C$9, $D$9, 100%, $F$9) + CHOOSE(CONTROL!$C$27, 0.0021, 0)</f>
        <v>108.30880000000001</v>
      </c>
      <c r="C733" s="14">
        <f>107.8745 * CHOOSE(CONTROL!$C$9, $D$9, 100%, $F$9) + CHOOSE(CONTROL!$C$27, 0.0021, 0)</f>
        <v>107.8766</v>
      </c>
      <c r="D733" s="14">
        <f>107.8745 * CHOOSE(CONTROL!$C$9, $D$9, 100%, $F$9) + CHOOSE(CONTROL!$C$27, 0.0021, 0)</f>
        <v>107.8766</v>
      </c>
      <c r="E733" s="14">
        <f>107.7378 * CHOOSE(CONTROL!$C$9, $D$9, 100%, $F$9) + CHOOSE(CONTROL!$C$27, 0.0021, 0)</f>
        <v>107.73989999999999</v>
      </c>
      <c r="F733" s="14">
        <f>107.7378 * CHOOSE(CONTROL!$C$9, $D$9, 100%, $F$9) + CHOOSE(CONTROL!$C$27, 0.0021, 0)</f>
        <v>107.73989999999999</v>
      </c>
      <c r="G733" s="14">
        <f>108.0092 * CHOOSE(CONTROL!$C$9, $D$9, 100%, $F$9) + CHOOSE(CONTROL!$C$27, 0.0021, 0)</f>
        <v>108.01130000000001</v>
      </c>
      <c r="H733" s="14">
        <f>107.8745 * CHOOSE(CONTROL!$C$9, $D$9, 100%, $F$9) + CHOOSE(CONTROL!$C$27, 0.0021, 0)</f>
        <v>107.8766</v>
      </c>
      <c r="I733" s="14">
        <f>107.8745 * CHOOSE(CONTROL!$C$9, $D$9, 100%, $F$9) + CHOOSE(CONTROL!$C$27, 0.0021, 0)</f>
        <v>107.8766</v>
      </c>
      <c r="J733" s="14">
        <f>107.8745 * CHOOSE(CONTROL!$C$9, $D$9, 100%, $F$9) + CHOOSE(CONTROL!$C$27, 0.0021, 0)</f>
        <v>107.8766</v>
      </c>
      <c r="K733" s="14">
        <f>107.8745 * CHOOSE(CONTROL!$C$9, $D$9, 100%, $F$9) + CHOOSE(CONTROL!$C$27, 0.0021, 0)</f>
        <v>107.8766</v>
      </c>
      <c r="L733" s="14"/>
    </row>
    <row r="734" spans="1:12" ht="15.75" x14ac:dyDescent="0.25">
      <c r="A734" s="31">
        <v>63279</v>
      </c>
      <c r="B734" s="14">
        <f>113.8943 * CHOOSE(CONTROL!$C$9, $D$9, 100%, $F$9) + CHOOSE(CONTROL!$C$27, 0.0021, 0)</f>
        <v>113.8964</v>
      </c>
      <c r="C734" s="14">
        <f>113.462 * CHOOSE(CONTROL!$C$9, $D$9, 100%, $F$9) + CHOOSE(CONTROL!$C$27, 0.0021, 0)</f>
        <v>113.4641</v>
      </c>
      <c r="D734" s="14">
        <f>113.462 * CHOOSE(CONTROL!$C$9, $D$9, 100%, $F$9) + CHOOSE(CONTROL!$C$27, 0.0021, 0)</f>
        <v>113.4641</v>
      </c>
      <c r="E734" s="14">
        <f>113.3254 * CHOOSE(CONTROL!$C$9, $D$9, 100%, $F$9) + CHOOSE(CONTROL!$C$27, 0.0021, 0)</f>
        <v>113.3275</v>
      </c>
      <c r="F734" s="14">
        <f>113.3254 * CHOOSE(CONTROL!$C$9, $D$9, 100%, $F$9) + CHOOSE(CONTROL!$C$27, 0.0021, 0)</f>
        <v>113.3275</v>
      </c>
      <c r="G734" s="14">
        <f>113.5968 * CHOOSE(CONTROL!$C$9, $D$9, 100%, $F$9) + CHOOSE(CONTROL!$C$27, 0.0021, 0)</f>
        <v>113.5989</v>
      </c>
      <c r="H734" s="14">
        <f>113.462 * CHOOSE(CONTROL!$C$9, $D$9, 100%, $F$9) + CHOOSE(CONTROL!$C$27, 0.0021, 0)</f>
        <v>113.4641</v>
      </c>
      <c r="I734" s="14">
        <f>113.462 * CHOOSE(CONTROL!$C$9, $D$9, 100%, $F$9) + CHOOSE(CONTROL!$C$27, 0.0021, 0)</f>
        <v>113.4641</v>
      </c>
      <c r="J734" s="14">
        <f>113.462 * CHOOSE(CONTROL!$C$9, $D$9, 100%, $F$9) + CHOOSE(CONTROL!$C$27, 0.0021, 0)</f>
        <v>113.4641</v>
      </c>
      <c r="K734" s="14">
        <f>113.462 * CHOOSE(CONTROL!$C$9, $D$9, 100%, $F$9) + CHOOSE(CONTROL!$C$27, 0.0021, 0)</f>
        <v>113.4641</v>
      </c>
      <c r="L734" s="14"/>
    </row>
    <row r="735" spans="1:12" ht="15.75" x14ac:dyDescent="0.25">
      <c r="A735" s="31">
        <v>63309</v>
      </c>
      <c r="B735" s="14">
        <f>121.14 * CHOOSE(CONTROL!$C$9, $D$9, 100%, $F$9) + CHOOSE(CONTROL!$C$27, 0.0021, 0)</f>
        <v>121.1421</v>
      </c>
      <c r="C735" s="14">
        <f>120.7078 * CHOOSE(CONTROL!$C$9, $D$9, 100%, $F$9) + CHOOSE(CONTROL!$C$27, 0.0021, 0)</f>
        <v>120.7099</v>
      </c>
      <c r="D735" s="14">
        <f>120.7078 * CHOOSE(CONTROL!$C$9, $D$9, 100%, $F$9) + CHOOSE(CONTROL!$C$27, 0.0021, 0)</f>
        <v>120.7099</v>
      </c>
      <c r="E735" s="14">
        <f>120.5711 * CHOOSE(CONTROL!$C$9, $D$9, 100%, $F$9) + CHOOSE(CONTROL!$C$27, 0.0021, 0)</f>
        <v>120.5732</v>
      </c>
      <c r="F735" s="14">
        <f>120.5711 * CHOOSE(CONTROL!$C$9, $D$9, 100%, $F$9) + CHOOSE(CONTROL!$C$27, 0.0021, 0)</f>
        <v>120.5732</v>
      </c>
      <c r="G735" s="14">
        <f>120.8425 * CHOOSE(CONTROL!$C$9, $D$9, 100%, $F$9) + CHOOSE(CONTROL!$C$27, 0.0021, 0)</f>
        <v>120.8446</v>
      </c>
      <c r="H735" s="14">
        <f>120.7078 * CHOOSE(CONTROL!$C$9, $D$9, 100%, $F$9) + CHOOSE(CONTROL!$C$27, 0.0021, 0)</f>
        <v>120.7099</v>
      </c>
      <c r="I735" s="14">
        <f>120.7078 * CHOOSE(CONTROL!$C$9, $D$9, 100%, $F$9) + CHOOSE(CONTROL!$C$27, 0.0021, 0)</f>
        <v>120.7099</v>
      </c>
      <c r="J735" s="14">
        <f>120.7078 * CHOOSE(CONTROL!$C$9, $D$9, 100%, $F$9) + CHOOSE(CONTROL!$C$27, 0.0021, 0)</f>
        <v>120.7099</v>
      </c>
      <c r="K735" s="14">
        <f>120.7078 * CHOOSE(CONTROL!$C$9, $D$9, 100%, $F$9) + CHOOSE(CONTROL!$C$27, 0.0021, 0)</f>
        <v>120.7099</v>
      </c>
      <c r="L735" s="14"/>
    </row>
    <row r="736" spans="1:12" ht="15.75" x14ac:dyDescent="0.25">
      <c r="A736" s="31">
        <v>63340</v>
      </c>
      <c r="B736" s="14">
        <f>125.1283 * CHOOSE(CONTROL!$C$9, $D$9, 100%, $F$9) + CHOOSE(CONTROL!$C$27, 0.0021, 0)</f>
        <v>125.13039999999999</v>
      </c>
      <c r="C736" s="14">
        <f>124.6961 * CHOOSE(CONTROL!$C$9, $D$9, 100%, $F$9) + CHOOSE(CONTROL!$C$27, 0.0021, 0)</f>
        <v>124.6982</v>
      </c>
      <c r="D736" s="14">
        <f>124.6961 * CHOOSE(CONTROL!$C$9, $D$9, 100%, $F$9) + CHOOSE(CONTROL!$C$27, 0.0021, 0)</f>
        <v>124.6982</v>
      </c>
      <c r="E736" s="14">
        <f>124.5594 * CHOOSE(CONTROL!$C$9, $D$9, 100%, $F$9) + CHOOSE(CONTROL!$C$27, 0.0021, 0)</f>
        <v>124.5615</v>
      </c>
      <c r="F736" s="14">
        <f>124.5594 * CHOOSE(CONTROL!$C$9, $D$9, 100%, $F$9) + CHOOSE(CONTROL!$C$27, 0.0021, 0)</f>
        <v>124.5615</v>
      </c>
      <c r="G736" s="14">
        <f>124.8308 * CHOOSE(CONTROL!$C$9, $D$9, 100%, $F$9) + CHOOSE(CONTROL!$C$27, 0.0021, 0)</f>
        <v>124.8329</v>
      </c>
      <c r="H736" s="14">
        <f>124.6961 * CHOOSE(CONTROL!$C$9, $D$9, 100%, $F$9) + CHOOSE(CONTROL!$C$27, 0.0021, 0)</f>
        <v>124.6982</v>
      </c>
      <c r="I736" s="14">
        <f>124.6961 * CHOOSE(CONTROL!$C$9, $D$9, 100%, $F$9) + CHOOSE(CONTROL!$C$27, 0.0021, 0)</f>
        <v>124.6982</v>
      </c>
      <c r="J736" s="14">
        <f>124.6961 * CHOOSE(CONTROL!$C$9, $D$9, 100%, $F$9) + CHOOSE(CONTROL!$C$27, 0.0021, 0)</f>
        <v>124.6982</v>
      </c>
      <c r="K736" s="14">
        <f>124.6961 * CHOOSE(CONTROL!$C$9, $D$9, 100%, $F$9) + CHOOSE(CONTROL!$C$27, 0.0021, 0)</f>
        <v>124.6982</v>
      </c>
      <c r="L736" s="14"/>
    </row>
    <row r="737" spans="1:12" ht="15.75" x14ac:dyDescent="0.25">
      <c r="A737" s="31">
        <v>63370</v>
      </c>
      <c r="B737" s="14">
        <f>126.8983 * CHOOSE(CONTROL!$C$9, $D$9, 100%, $F$9) + CHOOSE(CONTROL!$C$27, 0.0021, 0)</f>
        <v>126.9004</v>
      </c>
      <c r="C737" s="14">
        <f>126.466 * CHOOSE(CONTROL!$C$9, $D$9, 100%, $F$9) + CHOOSE(CONTROL!$C$27, 0.0021, 0)</f>
        <v>126.46809999999999</v>
      </c>
      <c r="D737" s="14">
        <f>126.466 * CHOOSE(CONTROL!$C$9, $D$9, 100%, $F$9) + CHOOSE(CONTROL!$C$27, 0.0021, 0)</f>
        <v>126.46809999999999</v>
      </c>
      <c r="E737" s="14">
        <f>126.3294 * CHOOSE(CONTROL!$C$9, $D$9, 100%, $F$9) + CHOOSE(CONTROL!$C$27, 0.0021, 0)</f>
        <v>126.33150000000001</v>
      </c>
      <c r="F737" s="14">
        <f>126.3294 * CHOOSE(CONTROL!$C$9, $D$9, 100%, $F$9) + CHOOSE(CONTROL!$C$27, 0.0021, 0)</f>
        <v>126.33150000000001</v>
      </c>
      <c r="G737" s="14">
        <f>126.6007 * CHOOSE(CONTROL!$C$9, $D$9, 100%, $F$9) + CHOOSE(CONTROL!$C$27, 0.0021, 0)</f>
        <v>126.6028</v>
      </c>
      <c r="H737" s="14">
        <f>126.466 * CHOOSE(CONTROL!$C$9, $D$9, 100%, $F$9) + CHOOSE(CONTROL!$C$27, 0.0021, 0)</f>
        <v>126.46809999999999</v>
      </c>
      <c r="I737" s="14">
        <f>126.466 * CHOOSE(CONTROL!$C$9, $D$9, 100%, $F$9) + CHOOSE(CONTROL!$C$27, 0.0021, 0)</f>
        <v>126.46809999999999</v>
      </c>
      <c r="J737" s="14">
        <f>126.466 * CHOOSE(CONTROL!$C$9, $D$9, 100%, $F$9) + CHOOSE(CONTROL!$C$27, 0.0021, 0)</f>
        <v>126.46809999999999</v>
      </c>
      <c r="K737" s="14">
        <f>126.466 * CHOOSE(CONTROL!$C$9, $D$9, 100%, $F$9) + CHOOSE(CONTROL!$C$27, 0.0021, 0)</f>
        <v>126.46809999999999</v>
      </c>
      <c r="L737" s="14"/>
    </row>
    <row r="738" spans="1:12" ht="15.75" x14ac:dyDescent="0.25">
      <c r="A738" s="31">
        <v>63401</v>
      </c>
      <c r="B738" s="14">
        <f>126.3155 * CHOOSE(CONTROL!$C$9, $D$9, 100%, $F$9) + CHOOSE(CONTROL!$C$27, 0.0021, 0)</f>
        <v>126.3176</v>
      </c>
      <c r="C738" s="14">
        <f>125.8833 * CHOOSE(CONTROL!$C$9, $D$9, 100%, $F$9) + CHOOSE(CONTROL!$C$27, 0.0021, 0)</f>
        <v>125.8854</v>
      </c>
      <c r="D738" s="14">
        <f>125.8833 * CHOOSE(CONTROL!$C$9, $D$9, 100%, $F$9) + CHOOSE(CONTROL!$C$27, 0.0021, 0)</f>
        <v>125.8854</v>
      </c>
      <c r="E738" s="14">
        <f>125.7466 * CHOOSE(CONTROL!$C$9, $D$9, 100%, $F$9) + CHOOSE(CONTROL!$C$27, 0.0021, 0)</f>
        <v>125.7487</v>
      </c>
      <c r="F738" s="14">
        <f>125.7466 * CHOOSE(CONTROL!$C$9, $D$9, 100%, $F$9) + CHOOSE(CONTROL!$C$27, 0.0021, 0)</f>
        <v>125.7487</v>
      </c>
      <c r="G738" s="14">
        <f>126.018 * CHOOSE(CONTROL!$C$9, $D$9, 100%, $F$9) + CHOOSE(CONTROL!$C$27, 0.0021, 0)</f>
        <v>126.0201</v>
      </c>
      <c r="H738" s="14">
        <f>125.8833 * CHOOSE(CONTROL!$C$9, $D$9, 100%, $F$9) + CHOOSE(CONTROL!$C$27, 0.0021, 0)</f>
        <v>125.8854</v>
      </c>
      <c r="I738" s="14">
        <f>125.8833 * CHOOSE(CONTROL!$C$9, $D$9, 100%, $F$9) + CHOOSE(CONTROL!$C$27, 0.0021, 0)</f>
        <v>125.8854</v>
      </c>
      <c r="J738" s="14">
        <f>125.8833 * CHOOSE(CONTROL!$C$9, $D$9, 100%, $F$9) + CHOOSE(CONTROL!$C$27, 0.0021, 0)</f>
        <v>125.8854</v>
      </c>
      <c r="K738" s="14">
        <f>125.8833 * CHOOSE(CONTROL!$C$9, $D$9, 100%, $F$9) + CHOOSE(CONTROL!$C$27, 0.0021, 0)</f>
        <v>125.8854</v>
      </c>
      <c r="L738" s="14"/>
    </row>
    <row r="739" spans="1:12" ht="15.75" x14ac:dyDescent="0.25">
      <c r="A739" s="31">
        <v>63432</v>
      </c>
      <c r="B739" s="14">
        <f>123.4283 * CHOOSE(CONTROL!$C$9, $D$9, 100%, $F$9) + CHOOSE(CONTROL!$C$27, 0.0021, 0)</f>
        <v>123.43039999999999</v>
      </c>
      <c r="C739" s="14">
        <f>122.9961 * CHOOSE(CONTROL!$C$9, $D$9, 100%, $F$9) + CHOOSE(CONTROL!$C$27, 0.0021, 0)</f>
        <v>122.9982</v>
      </c>
      <c r="D739" s="14">
        <f>122.9961 * CHOOSE(CONTROL!$C$9, $D$9, 100%, $F$9) + CHOOSE(CONTROL!$C$27, 0.0021, 0)</f>
        <v>122.9982</v>
      </c>
      <c r="E739" s="14">
        <f>122.8594 * CHOOSE(CONTROL!$C$9, $D$9, 100%, $F$9) + CHOOSE(CONTROL!$C$27, 0.0021, 0)</f>
        <v>122.86149999999999</v>
      </c>
      <c r="F739" s="14">
        <f>122.8594 * CHOOSE(CONTROL!$C$9, $D$9, 100%, $F$9) + CHOOSE(CONTROL!$C$27, 0.0021, 0)</f>
        <v>122.86149999999999</v>
      </c>
      <c r="G739" s="14">
        <f>123.1308 * CHOOSE(CONTROL!$C$9, $D$9, 100%, $F$9) + CHOOSE(CONTROL!$C$27, 0.0021, 0)</f>
        <v>123.13289999999999</v>
      </c>
      <c r="H739" s="14">
        <f>122.9961 * CHOOSE(CONTROL!$C$9, $D$9, 100%, $F$9) + CHOOSE(CONTROL!$C$27, 0.0021, 0)</f>
        <v>122.9982</v>
      </c>
      <c r="I739" s="14">
        <f>122.9961 * CHOOSE(CONTROL!$C$9, $D$9, 100%, $F$9) + CHOOSE(CONTROL!$C$27, 0.0021, 0)</f>
        <v>122.9982</v>
      </c>
      <c r="J739" s="14">
        <f>122.9961 * CHOOSE(CONTROL!$C$9, $D$9, 100%, $F$9) + CHOOSE(CONTROL!$C$27, 0.0021, 0)</f>
        <v>122.9982</v>
      </c>
      <c r="K739" s="14">
        <f>122.9961 * CHOOSE(CONTROL!$C$9, $D$9, 100%, $F$9) + CHOOSE(CONTROL!$C$27, 0.0021, 0)</f>
        <v>122.9982</v>
      </c>
      <c r="L739" s="14"/>
    </row>
    <row r="740" spans="1:12" ht="15.75" x14ac:dyDescent="0.25">
      <c r="A740" s="31">
        <v>63462</v>
      </c>
      <c r="B740" s="14">
        <f>119.402 * CHOOSE(CONTROL!$C$9, $D$9, 100%, $F$9) + CHOOSE(CONTROL!$C$27, 0.0021, 0)</f>
        <v>119.4041</v>
      </c>
      <c r="C740" s="14">
        <f>118.9697 * CHOOSE(CONTROL!$C$9, $D$9, 100%, $F$9) + CHOOSE(CONTROL!$C$27, 0.0021, 0)</f>
        <v>118.9718</v>
      </c>
      <c r="D740" s="14">
        <f>118.9697 * CHOOSE(CONTROL!$C$9, $D$9, 100%, $F$9) + CHOOSE(CONTROL!$C$27, 0.0021, 0)</f>
        <v>118.9718</v>
      </c>
      <c r="E740" s="14">
        <f>118.8331 * CHOOSE(CONTROL!$C$9, $D$9, 100%, $F$9) + CHOOSE(CONTROL!$C$27, 0.0021, 0)</f>
        <v>118.8352</v>
      </c>
      <c r="F740" s="14">
        <f>118.8331 * CHOOSE(CONTROL!$C$9, $D$9, 100%, $F$9) + CHOOSE(CONTROL!$C$27, 0.0021, 0)</f>
        <v>118.8352</v>
      </c>
      <c r="G740" s="14">
        <f>119.1044 * CHOOSE(CONTROL!$C$9, $D$9, 100%, $F$9) + CHOOSE(CONTROL!$C$27, 0.0021, 0)</f>
        <v>119.1065</v>
      </c>
      <c r="H740" s="14">
        <f>118.9697 * CHOOSE(CONTROL!$C$9, $D$9, 100%, $F$9) + CHOOSE(CONTROL!$C$27, 0.0021, 0)</f>
        <v>118.9718</v>
      </c>
      <c r="I740" s="14">
        <f>118.9697 * CHOOSE(CONTROL!$C$9, $D$9, 100%, $F$9) + CHOOSE(CONTROL!$C$27, 0.0021, 0)</f>
        <v>118.9718</v>
      </c>
      <c r="J740" s="14">
        <f>118.9697 * CHOOSE(CONTROL!$C$9, $D$9, 100%, $F$9) + CHOOSE(CONTROL!$C$27, 0.0021, 0)</f>
        <v>118.9718</v>
      </c>
      <c r="K740" s="14">
        <f>118.9697 * CHOOSE(CONTROL!$C$9, $D$9, 100%, $F$9) + CHOOSE(CONTROL!$C$27, 0.0021, 0)</f>
        <v>118.9718</v>
      </c>
      <c r="L740" s="14"/>
    </row>
    <row r="741" spans="1:12" ht="15.75" x14ac:dyDescent="0.25">
      <c r="A741" s="31">
        <v>63493</v>
      </c>
      <c r="B741" s="14">
        <f>115.3522 * CHOOSE(CONTROL!$C$9, $D$9, 100%, $F$9) + CHOOSE(CONTROL!$C$27, 0.0021, 0)</f>
        <v>115.35429999999999</v>
      </c>
      <c r="C741" s="14">
        <f>114.9199 * CHOOSE(CONTROL!$C$9, $D$9, 100%, $F$9) + CHOOSE(CONTROL!$C$27, 0.0021, 0)</f>
        <v>114.922</v>
      </c>
      <c r="D741" s="14">
        <f>114.9199 * CHOOSE(CONTROL!$C$9, $D$9, 100%, $F$9) + CHOOSE(CONTROL!$C$27, 0.0021, 0)</f>
        <v>114.922</v>
      </c>
      <c r="E741" s="14">
        <f>114.7833 * CHOOSE(CONTROL!$C$9, $D$9, 100%, $F$9) + CHOOSE(CONTROL!$C$27, 0.0021, 0)</f>
        <v>114.7854</v>
      </c>
      <c r="F741" s="14">
        <f>114.7833 * CHOOSE(CONTROL!$C$9, $D$9, 100%, $F$9) + CHOOSE(CONTROL!$C$27, 0.0021, 0)</f>
        <v>114.7854</v>
      </c>
      <c r="G741" s="14">
        <f>115.0547 * CHOOSE(CONTROL!$C$9, $D$9, 100%, $F$9) + CHOOSE(CONTROL!$C$27, 0.0021, 0)</f>
        <v>115.0568</v>
      </c>
      <c r="H741" s="14">
        <f>114.9199 * CHOOSE(CONTROL!$C$9, $D$9, 100%, $F$9) + CHOOSE(CONTROL!$C$27, 0.0021, 0)</f>
        <v>114.922</v>
      </c>
      <c r="I741" s="14">
        <f>114.9199 * CHOOSE(CONTROL!$C$9, $D$9, 100%, $F$9) + CHOOSE(CONTROL!$C$27, 0.0021, 0)</f>
        <v>114.922</v>
      </c>
      <c r="J741" s="14">
        <f>114.9199 * CHOOSE(CONTROL!$C$9, $D$9, 100%, $F$9) + CHOOSE(CONTROL!$C$27, 0.0021, 0)</f>
        <v>114.922</v>
      </c>
      <c r="K741" s="14">
        <f>114.9199 * CHOOSE(CONTROL!$C$9, $D$9, 100%, $F$9) + CHOOSE(CONTROL!$C$27, 0.0021, 0)</f>
        <v>114.922</v>
      </c>
      <c r="L741" s="14"/>
    </row>
    <row r="742" spans="1:12" ht="15.75" x14ac:dyDescent="0.25">
      <c r="A742" s="31">
        <v>63523</v>
      </c>
      <c r="B742" s="14">
        <f>114.5466 * CHOOSE(CONTROL!$C$9, $D$9, 100%, $F$9) + CHOOSE(CONTROL!$C$27, 0.0021, 0)</f>
        <v>114.5487</v>
      </c>
      <c r="C742" s="14">
        <f>114.1144 * CHOOSE(CONTROL!$C$9, $D$9, 100%, $F$9) + CHOOSE(CONTROL!$C$27, 0.0021, 0)</f>
        <v>114.1165</v>
      </c>
      <c r="D742" s="14">
        <f>114.1144 * CHOOSE(CONTROL!$C$9, $D$9, 100%, $F$9) + CHOOSE(CONTROL!$C$27, 0.0021, 0)</f>
        <v>114.1165</v>
      </c>
      <c r="E742" s="14">
        <f>113.9777 * CHOOSE(CONTROL!$C$9, $D$9, 100%, $F$9) + CHOOSE(CONTROL!$C$27, 0.0021, 0)</f>
        <v>113.9798</v>
      </c>
      <c r="F742" s="14">
        <f>113.9777 * CHOOSE(CONTROL!$C$9, $D$9, 100%, $F$9) + CHOOSE(CONTROL!$C$27, 0.0021, 0)</f>
        <v>113.9798</v>
      </c>
      <c r="G742" s="14">
        <f>114.2491 * CHOOSE(CONTROL!$C$9, $D$9, 100%, $F$9) + CHOOSE(CONTROL!$C$27, 0.0021, 0)</f>
        <v>114.2512</v>
      </c>
      <c r="H742" s="14">
        <f>114.1144 * CHOOSE(CONTROL!$C$9, $D$9, 100%, $F$9) + CHOOSE(CONTROL!$C$27, 0.0021, 0)</f>
        <v>114.1165</v>
      </c>
      <c r="I742" s="14">
        <f>114.1144 * CHOOSE(CONTROL!$C$9, $D$9, 100%, $F$9) + CHOOSE(CONTROL!$C$27, 0.0021, 0)</f>
        <v>114.1165</v>
      </c>
      <c r="J742" s="14">
        <f>114.1144 * CHOOSE(CONTROL!$C$9, $D$9, 100%, $F$9) + CHOOSE(CONTROL!$C$27, 0.0021, 0)</f>
        <v>114.1165</v>
      </c>
      <c r="K742" s="14">
        <f>114.1144 * CHOOSE(CONTROL!$C$9, $D$9, 100%, $F$9) + CHOOSE(CONTROL!$C$27, 0.0021, 0)</f>
        <v>114.1165</v>
      </c>
      <c r="L742" s="14"/>
    </row>
    <row r="743" spans="1:12" ht="15.75" x14ac:dyDescent="0.25">
      <c r="A743" s="31">
        <v>63554</v>
      </c>
      <c r="B743" s="14">
        <f>111.2155 * CHOOSE(CONTROL!$C$9, $D$9, 100%, $F$9) + CHOOSE(CONTROL!$C$27, 0.0021, 0)</f>
        <v>111.2176</v>
      </c>
      <c r="C743" s="14">
        <f>110.7832 * CHOOSE(CONTROL!$C$9, $D$9, 100%, $F$9) + CHOOSE(CONTROL!$C$27, 0.0021, 0)</f>
        <v>110.78529999999999</v>
      </c>
      <c r="D743" s="14">
        <f>110.7832 * CHOOSE(CONTROL!$C$9, $D$9, 100%, $F$9) + CHOOSE(CONTROL!$C$27, 0.0021, 0)</f>
        <v>110.78529999999999</v>
      </c>
      <c r="E743" s="14">
        <f>110.6465 * CHOOSE(CONTROL!$C$9, $D$9, 100%, $F$9) + CHOOSE(CONTROL!$C$27, 0.0021, 0)</f>
        <v>110.6486</v>
      </c>
      <c r="F743" s="14">
        <f>110.6465 * CHOOSE(CONTROL!$C$9, $D$9, 100%, $F$9) + CHOOSE(CONTROL!$C$27, 0.0021, 0)</f>
        <v>110.6486</v>
      </c>
      <c r="G743" s="14">
        <f>110.9179 * CHOOSE(CONTROL!$C$9, $D$9, 100%, $F$9) + CHOOSE(CONTROL!$C$27, 0.0021, 0)</f>
        <v>110.92</v>
      </c>
      <c r="H743" s="14">
        <f>110.7832 * CHOOSE(CONTROL!$C$9, $D$9, 100%, $F$9) + CHOOSE(CONTROL!$C$27, 0.0021, 0)</f>
        <v>110.78529999999999</v>
      </c>
      <c r="I743" s="14">
        <f>110.7832 * CHOOSE(CONTROL!$C$9, $D$9, 100%, $F$9) + CHOOSE(CONTROL!$C$27, 0.0021, 0)</f>
        <v>110.78529999999999</v>
      </c>
      <c r="J743" s="14">
        <f>110.7832 * CHOOSE(CONTROL!$C$9, $D$9, 100%, $F$9) + CHOOSE(CONTROL!$C$27, 0.0021, 0)</f>
        <v>110.78529999999999</v>
      </c>
      <c r="K743" s="14">
        <f>110.7832 * CHOOSE(CONTROL!$C$9, $D$9, 100%, $F$9) + CHOOSE(CONTROL!$C$27, 0.0021, 0)</f>
        <v>110.78529999999999</v>
      </c>
      <c r="L743" s="14"/>
    </row>
    <row r="744" spans="1:12" ht="15.75" x14ac:dyDescent="0.25">
      <c r="A744" s="31">
        <v>63585</v>
      </c>
      <c r="B744" s="14">
        <f>110.5669 * CHOOSE(CONTROL!$C$9, $D$9, 100%, $F$9) + CHOOSE(CONTROL!$C$27, 0.0021, 0)</f>
        <v>110.569</v>
      </c>
      <c r="C744" s="14">
        <f>110.1347 * CHOOSE(CONTROL!$C$9, $D$9, 100%, $F$9) + CHOOSE(CONTROL!$C$27, 0.0021, 0)</f>
        <v>110.13679999999999</v>
      </c>
      <c r="D744" s="14">
        <f>110.1347 * CHOOSE(CONTROL!$C$9, $D$9, 100%, $F$9) + CHOOSE(CONTROL!$C$27, 0.0021, 0)</f>
        <v>110.13679999999999</v>
      </c>
      <c r="E744" s="14">
        <f>109.998 * CHOOSE(CONTROL!$C$9, $D$9, 100%, $F$9) + CHOOSE(CONTROL!$C$27, 0.0021, 0)</f>
        <v>110.0001</v>
      </c>
      <c r="F744" s="14">
        <f>109.998 * CHOOSE(CONTROL!$C$9, $D$9, 100%, $F$9) + CHOOSE(CONTROL!$C$27, 0.0021, 0)</f>
        <v>110.0001</v>
      </c>
      <c r="G744" s="14">
        <f>110.2694 * CHOOSE(CONTROL!$C$9, $D$9, 100%, $F$9) + CHOOSE(CONTROL!$C$27, 0.0021, 0)</f>
        <v>110.2715</v>
      </c>
      <c r="H744" s="14">
        <f>110.1347 * CHOOSE(CONTROL!$C$9, $D$9, 100%, $F$9) + CHOOSE(CONTROL!$C$27, 0.0021, 0)</f>
        <v>110.13679999999999</v>
      </c>
      <c r="I744" s="14">
        <f>110.1347 * CHOOSE(CONTROL!$C$9, $D$9, 100%, $F$9) + CHOOSE(CONTROL!$C$27, 0.0021, 0)</f>
        <v>110.13679999999999</v>
      </c>
      <c r="J744" s="14">
        <f>110.1347 * CHOOSE(CONTROL!$C$9, $D$9, 100%, $F$9) + CHOOSE(CONTROL!$C$27, 0.0021, 0)</f>
        <v>110.13679999999999</v>
      </c>
      <c r="K744" s="14">
        <f>110.1347 * CHOOSE(CONTROL!$C$9, $D$9, 100%, $F$9) + CHOOSE(CONTROL!$C$27, 0.0021, 0)</f>
        <v>110.13679999999999</v>
      </c>
      <c r="L744" s="14"/>
    </row>
    <row r="745" spans="1:12" ht="15.75" x14ac:dyDescent="0.25">
      <c r="A745" s="31">
        <v>63613</v>
      </c>
      <c r="B745" s="14">
        <f>110.2659 * CHOOSE(CONTROL!$C$9, $D$9, 100%, $F$9) + CHOOSE(CONTROL!$C$27, 0.0021, 0)</f>
        <v>110.268</v>
      </c>
      <c r="C745" s="14">
        <f>109.8337 * CHOOSE(CONTROL!$C$9, $D$9, 100%, $F$9) + CHOOSE(CONTROL!$C$27, 0.0021, 0)</f>
        <v>109.83579999999999</v>
      </c>
      <c r="D745" s="14">
        <f>109.8337 * CHOOSE(CONTROL!$C$9, $D$9, 100%, $F$9) + CHOOSE(CONTROL!$C$27, 0.0021, 0)</f>
        <v>109.83579999999999</v>
      </c>
      <c r="E745" s="14">
        <f>109.697 * CHOOSE(CONTROL!$C$9, $D$9, 100%, $F$9) + CHOOSE(CONTROL!$C$27, 0.0021, 0)</f>
        <v>109.6991</v>
      </c>
      <c r="F745" s="14">
        <f>109.697 * CHOOSE(CONTROL!$C$9, $D$9, 100%, $F$9) + CHOOSE(CONTROL!$C$27, 0.0021, 0)</f>
        <v>109.6991</v>
      </c>
      <c r="G745" s="14">
        <f>109.9684 * CHOOSE(CONTROL!$C$9, $D$9, 100%, $F$9) + CHOOSE(CONTROL!$C$27, 0.0021, 0)</f>
        <v>109.9705</v>
      </c>
      <c r="H745" s="14">
        <f>109.8337 * CHOOSE(CONTROL!$C$9, $D$9, 100%, $F$9) + CHOOSE(CONTROL!$C$27, 0.0021, 0)</f>
        <v>109.83579999999999</v>
      </c>
      <c r="I745" s="14">
        <f>109.8337 * CHOOSE(CONTROL!$C$9, $D$9, 100%, $F$9) + CHOOSE(CONTROL!$C$27, 0.0021, 0)</f>
        <v>109.83579999999999</v>
      </c>
      <c r="J745" s="14">
        <f>109.8337 * CHOOSE(CONTROL!$C$9, $D$9, 100%, $F$9) + CHOOSE(CONTROL!$C$27, 0.0021, 0)</f>
        <v>109.83579999999999</v>
      </c>
      <c r="K745" s="14">
        <f>109.8337 * CHOOSE(CONTROL!$C$9, $D$9, 100%, $F$9) + CHOOSE(CONTROL!$C$27, 0.0021, 0)</f>
        <v>109.83579999999999</v>
      </c>
      <c r="L745" s="14"/>
    </row>
    <row r="746" spans="1:12" ht="15.75" x14ac:dyDescent="0.25">
      <c r="A746" s="31">
        <v>63644</v>
      </c>
      <c r="B746" s="14">
        <f>115.9568 * CHOOSE(CONTROL!$C$9, $D$9, 100%, $F$9) + CHOOSE(CONTROL!$C$27, 0.0021, 0)</f>
        <v>115.9589</v>
      </c>
      <c r="C746" s="14">
        <f>115.5245 * CHOOSE(CONTROL!$C$9, $D$9, 100%, $F$9) + CHOOSE(CONTROL!$C$27, 0.0021, 0)</f>
        <v>115.5266</v>
      </c>
      <c r="D746" s="14">
        <f>115.5245 * CHOOSE(CONTROL!$C$9, $D$9, 100%, $F$9) + CHOOSE(CONTROL!$C$27, 0.0021, 0)</f>
        <v>115.5266</v>
      </c>
      <c r="E746" s="14">
        <f>115.3879 * CHOOSE(CONTROL!$C$9, $D$9, 100%, $F$9) + CHOOSE(CONTROL!$C$27, 0.0021, 0)</f>
        <v>115.39</v>
      </c>
      <c r="F746" s="14">
        <f>115.3879 * CHOOSE(CONTROL!$C$9, $D$9, 100%, $F$9) + CHOOSE(CONTROL!$C$27, 0.0021, 0)</f>
        <v>115.39</v>
      </c>
      <c r="G746" s="14">
        <f>115.6592 * CHOOSE(CONTROL!$C$9, $D$9, 100%, $F$9) + CHOOSE(CONTROL!$C$27, 0.0021, 0)</f>
        <v>115.6613</v>
      </c>
      <c r="H746" s="14">
        <f>115.5245 * CHOOSE(CONTROL!$C$9, $D$9, 100%, $F$9) + CHOOSE(CONTROL!$C$27, 0.0021, 0)</f>
        <v>115.5266</v>
      </c>
      <c r="I746" s="14">
        <f>115.5245 * CHOOSE(CONTROL!$C$9, $D$9, 100%, $F$9) + CHOOSE(CONTROL!$C$27, 0.0021, 0)</f>
        <v>115.5266</v>
      </c>
      <c r="J746" s="14">
        <f>115.5245 * CHOOSE(CONTROL!$C$9, $D$9, 100%, $F$9) + CHOOSE(CONTROL!$C$27, 0.0021, 0)</f>
        <v>115.5266</v>
      </c>
      <c r="K746" s="14">
        <f>115.5245 * CHOOSE(CONTROL!$C$9, $D$9, 100%, $F$9) + CHOOSE(CONTROL!$C$27, 0.0021, 0)</f>
        <v>115.5266</v>
      </c>
      <c r="L746" s="14"/>
    </row>
    <row r="747" spans="1:12" ht="15.75" x14ac:dyDescent="0.25">
      <c r="A747" s="31">
        <v>63674</v>
      </c>
      <c r="B747" s="14">
        <f>123.3364 * CHOOSE(CONTROL!$C$9, $D$9, 100%, $F$9) + CHOOSE(CONTROL!$C$27, 0.0021, 0)</f>
        <v>123.3385</v>
      </c>
      <c r="C747" s="14">
        <f>122.9042 * CHOOSE(CONTROL!$C$9, $D$9, 100%, $F$9) + CHOOSE(CONTROL!$C$27, 0.0021, 0)</f>
        <v>122.9063</v>
      </c>
      <c r="D747" s="14">
        <f>122.9042 * CHOOSE(CONTROL!$C$9, $D$9, 100%, $F$9) + CHOOSE(CONTROL!$C$27, 0.0021, 0)</f>
        <v>122.9063</v>
      </c>
      <c r="E747" s="14">
        <f>122.7675 * CHOOSE(CONTROL!$C$9, $D$9, 100%, $F$9) + CHOOSE(CONTROL!$C$27, 0.0021, 0)</f>
        <v>122.7696</v>
      </c>
      <c r="F747" s="14">
        <f>122.7675 * CHOOSE(CONTROL!$C$9, $D$9, 100%, $F$9) + CHOOSE(CONTROL!$C$27, 0.0021, 0)</f>
        <v>122.7696</v>
      </c>
      <c r="G747" s="14">
        <f>123.0389 * CHOOSE(CONTROL!$C$9, $D$9, 100%, $F$9) + CHOOSE(CONTROL!$C$27, 0.0021, 0)</f>
        <v>123.041</v>
      </c>
      <c r="H747" s="14">
        <f>122.9042 * CHOOSE(CONTROL!$C$9, $D$9, 100%, $F$9) + CHOOSE(CONTROL!$C$27, 0.0021, 0)</f>
        <v>122.9063</v>
      </c>
      <c r="I747" s="14">
        <f>122.9042 * CHOOSE(CONTROL!$C$9, $D$9, 100%, $F$9) + CHOOSE(CONTROL!$C$27, 0.0021, 0)</f>
        <v>122.9063</v>
      </c>
      <c r="J747" s="14">
        <f>122.9042 * CHOOSE(CONTROL!$C$9, $D$9, 100%, $F$9) + CHOOSE(CONTROL!$C$27, 0.0021, 0)</f>
        <v>122.9063</v>
      </c>
      <c r="K747" s="14">
        <f>122.9042 * CHOOSE(CONTROL!$C$9, $D$9, 100%, $F$9) + CHOOSE(CONTROL!$C$27, 0.0021, 0)</f>
        <v>122.9063</v>
      </c>
      <c r="L747" s="14"/>
    </row>
    <row r="748" spans="1:12" ht="15.75" x14ac:dyDescent="0.25">
      <c r="A748" s="31">
        <v>63705</v>
      </c>
      <c r="B748" s="14">
        <f>127.3984 * CHOOSE(CONTROL!$C$9, $D$9, 100%, $F$9) + CHOOSE(CONTROL!$C$27, 0.0021, 0)</f>
        <v>127.40049999999999</v>
      </c>
      <c r="C748" s="14">
        <f>126.9662 * CHOOSE(CONTROL!$C$9, $D$9, 100%, $F$9) + CHOOSE(CONTROL!$C$27, 0.0021, 0)</f>
        <v>126.9683</v>
      </c>
      <c r="D748" s="14">
        <f>126.9662 * CHOOSE(CONTROL!$C$9, $D$9, 100%, $F$9) + CHOOSE(CONTROL!$C$27, 0.0021, 0)</f>
        <v>126.9683</v>
      </c>
      <c r="E748" s="14">
        <f>126.8295 * CHOOSE(CONTROL!$C$9, $D$9, 100%, $F$9) + CHOOSE(CONTROL!$C$27, 0.0021, 0)</f>
        <v>126.83159999999999</v>
      </c>
      <c r="F748" s="14">
        <f>126.8295 * CHOOSE(CONTROL!$C$9, $D$9, 100%, $F$9) + CHOOSE(CONTROL!$C$27, 0.0021, 0)</f>
        <v>126.83159999999999</v>
      </c>
      <c r="G748" s="14">
        <f>127.1009 * CHOOSE(CONTROL!$C$9, $D$9, 100%, $F$9) + CHOOSE(CONTROL!$C$27, 0.0021, 0)</f>
        <v>127.10299999999999</v>
      </c>
      <c r="H748" s="14">
        <f>126.9662 * CHOOSE(CONTROL!$C$9, $D$9, 100%, $F$9) + CHOOSE(CONTROL!$C$27, 0.0021, 0)</f>
        <v>126.9683</v>
      </c>
      <c r="I748" s="14">
        <f>126.9662 * CHOOSE(CONTROL!$C$9, $D$9, 100%, $F$9) + CHOOSE(CONTROL!$C$27, 0.0021, 0)</f>
        <v>126.9683</v>
      </c>
      <c r="J748" s="14">
        <f>126.9662 * CHOOSE(CONTROL!$C$9, $D$9, 100%, $F$9) + CHOOSE(CONTROL!$C$27, 0.0021, 0)</f>
        <v>126.9683</v>
      </c>
      <c r="K748" s="14">
        <f>126.9662 * CHOOSE(CONTROL!$C$9, $D$9, 100%, $F$9) + CHOOSE(CONTROL!$C$27, 0.0021, 0)</f>
        <v>126.9683</v>
      </c>
      <c r="L748" s="14"/>
    </row>
    <row r="749" spans="1:12" ht="15.75" x14ac:dyDescent="0.25">
      <c r="A749" s="31">
        <v>63735</v>
      </c>
      <c r="B749" s="14">
        <f>129.2011 * CHOOSE(CONTROL!$C$9, $D$9, 100%, $F$9) + CHOOSE(CONTROL!$C$27, 0.0021, 0)</f>
        <v>129.20320000000001</v>
      </c>
      <c r="C749" s="14">
        <f>128.7688 * CHOOSE(CONTROL!$C$9, $D$9, 100%, $F$9) + CHOOSE(CONTROL!$C$27, 0.0021, 0)</f>
        <v>128.77090000000001</v>
      </c>
      <c r="D749" s="14">
        <f>128.7688 * CHOOSE(CONTROL!$C$9, $D$9, 100%, $F$9) + CHOOSE(CONTROL!$C$27, 0.0021, 0)</f>
        <v>128.77090000000001</v>
      </c>
      <c r="E749" s="14">
        <f>128.6322 * CHOOSE(CONTROL!$C$9, $D$9, 100%, $F$9) + CHOOSE(CONTROL!$C$27, 0.0021, 0)</f>
        <v>128.63430000000002</v>
      </c>
      <c r="F749" s="14">
        <f>128.6322 * CHOOSE(CONTROL!$C$9, $D$9, 100%, $F$9) + CHOOSE(CONTROL!$C$27, 0.0021, 0)</f>
        <v>128.63430000000002</v>
      </c>
      <c r="G749" s="14">
        <f>128.9035 * CHOOSE(CONTROL!$C$9, $D$9, 100%, $F$9) + CHOOSE(CONTROL!$C$27, 0.0021, 0)</f>
        <v>128.90560000000002</v>
      </c>
      <c r="H749" s="14">
        <f>128.7688 * CHOOSE(CONTROL!$C$9, $D$9, 100%, $F$9) + CHOOSE(CONTROL!$C$27, 0.0021, 0)</f>
        <v>128.77090000000001</v>
      </c>
      <c r="I749" s="14">
        <f>128.7688 * CHOOSE(CONTROL!$C$9, $D$9, 100%, $F$9) + CHOOSE(CONTROL!$C$27, 0.0021, 0)</f>
        <v>128.77090000000001</v>
      </c>
      <c r="J749" s="14">
        <f>128.7688 * CHOOSE(CONTROL!$C$9, $D$9, 100%, $F$9) + CHOOSE(CONTROL!$C$27, 0.0021, 0)</f>
        <v>128.77090000000001</v>
      </c>
      <c r="K749" s="14">
        <f>128.7688 * CHOOSE(CONTROL!$C$9, $D$9, 100%, $F$9) + CHOOSE(CONTROL!$C$27, 0.0021, 0)</f>
        <v>128.77090000000001</v>
      </c>
      <c r="L749" s="14"/>
    </row>
    <row r="750" spans="1:12" ht="15.75" x14ac:dyDescent="0.25">
      <c r="A750" s="31">
        <v>63766</v>
      </c>
      <c r="B750" s="14">
        <f>128.6076 * CHOOSE(CONTROL!$C$9, $D$9, 100%, $F$9) + CHOOSE(CONTROL!$C$27, 0.0021, 0)</f>
        <v>128.6097</v>
      </c>
      <c r="C750" s="14">
        <f>128.1753 * CHOOSE(CONTROL!$C$9, $D$9, 100%, $F$9) + CHOOSE(CONTROL!$C$27, 0.0021, 0)</f>
        <v>128.17740000000001</v>
      </c>
      <c r="D750" s="14">
        <f>128.1753 * CHOOSE(CONTROL!$C$9, $D$9, 100%, $F$9) + CHOOSE(CONTROL!$C$27, 0.0021, 0)</f>
        <v>128.17740000000001</v>
      </c>
      <c r="E750" s="14">
        <f>128.0387 * CHOOSE(CONTROL!$C$9, $D$9, 100%, $F$9) + CHOOSE(CONTROL!$C$27, 0.0021, 0)</f>
        <v>128.04080000000002</v>
      </c>
      <c r="F750" s="14">
        <f>128.0387 * CHOOSE(CONTROL!$C$9, $D$9, 100%, $F$9) + CHOOSE(CONTROL!$C$27, 0.0021, 0)</f>
        <v>128.04080000000002</v>
      </c>
      <c r="G750" s="14">
        <f>128.31 * CHOOSE(CONTROL!$C$9, $D$9, 100%, $F$9) + CHOOSE(CONTROL!$C$27, 0.0021, 0)</f>
        <v>128.31210000000002</v>
      </c>
      <c r="H750" s="14">
        <f>128.1753 * CHOOSE(CONTROL!$C$9, $D$9, 100%, $F$9) + CHOOSE(CONTROL!$C$27, 0.0021, 0)</f>
        <v>128.17740000000001</v>
      </c>
      <c r="I750" s="14">
        <f>128.1753 * CHOOSE(CONTROL!$C$9, $D$9, 100%, $F$9) + CHOOSE(CONTROL!$C$27, 0.0021, 0)</f>
        <v>128.17740000000001</v>
      </c>
      <c r="J750" s="14">
        <f>128.1753 * CHOOSE(CONTROL!$C$9, $D$9, 100%, $F$9) + CHOOSE(CONTROL!$C$27, 0.0021, 0)</f>
        <v>128.17740000000001</v>
      </c>
      <c r="K750" s="14">
        <f>128.1753 * CHOOSE(CONTROL!$C$9, $D$9, 100%, $F$9) + CHOOSE(CONTROL!$C$27, 0.0021, 0)</f>
        <v>128.17740000000001</v>
      </c>
      <c r="L750" s="14"/>
    </row>
    <row r="751" spans="1:12" ht="15.75" x14ac:dyDescent="0.25">
      <c r="A751" s="31">
        <v>63797</v>
      </c>
      <c r="B751" s="14">
        <f>125.667 * CHOOSE(CONTROL!$C$9, $D$9, 100%, $F$9) + CHOOSE(CONTROL!$C$27, 0.0021, 0)</f>
        <v>125.6691</v>
      </c>
      <c r="C751" s="14">
        <f>125.2347 * CHOOSE(CONTROL!$C$9, $D$9, 100%, $F$9) + CHOOSE(CONTROL!$C$27, 0.0021, 0)</f>
        <v>125.2368</v>
      </c>
      <c r="D751" s="14">
        <f>125.2347 * CHOOSE(CONTROL!$C$9, $D$9, 100%, $F$9) + CHOOSE(CONTROL!$C$27, 0.0021, 0)</f>
        <v>125.2368</v>
      </c>
      <c r="E751" s="14">
        <f>125.0981 * CHOOSE(CONTROL!$C$9, $D$9, 100%, $F$9) + CHOOSE(CONTROL!$C$27, 0.0021, 0)</f>
        <v>125.1002</v>
      </c>
      <c r="F751" s="14">
        <f>125.0981 * CHOOSE(CONTROL!$C$9, $D$9, 100%, $F$9) + CHOOSE(CONTROL!$C$27, 0.0021, 0)</f>
        <v>125.1002</v>
      </c>
      <c r="G751" s="14">
        <f>125.3695 * CHOOSE(CONTROL!$C$9, $D$9, 100%, $F$9) + CHOOSE(CONTROL!$C$27, 0.0021, 0)</f>
        <v>125.3716</v>
      </c>
      <c r="H751" s="14">
        <f>125.2347 * CHOOSE(CONTROL!$C$9, $D$9, 100%, $F$9) + CHOOSE(CONTROL!$C$27, 0.0021, 0)</f>
        <v>125.2368</v>
      </c>
      <c r="I751" s="14">
        <f>125.2347 * CHOOSE(CONTROL!$C$9, $D$9, 100%, $F$9) + CHOOSE(CONTROL!$C$27, 0.0021, 0)</f>
        <v>125.2368</v>
      </c>
      <c r="J751" s="14">
        <f>125.2347 * CHOOSE(CONTROL!$C$9, $D$9, 100%, $F$9) + CHOOSE(CONTROL!$C$27, 0.0021, 0)</f>
        <v>125.2368</v>
      </c>
      <c r="K751" s="14">
        <f>125.2347 * CHOOSE(CONTROL!$C$9, $D$9, 100%, $F$9) + CHOOSE(CONTROL!$C$27, 0.0021, 0)</f>
        <v>125.2368</v>
      </c>
      <c r="L751" s="14"/>
    </row>
    <row r="752" spans="1:12" ht="15.75" x14ac:dyDescent="0.25">
      <c r="A752" s="31">
        <v>63827</v>
      </c>
      <c r="B752" s="14">
        <f>121.5662 * CHOOSE(CONTROL!$C$9, $D$9, 100%, $F$9) + CHOOSE(CONTROL!$C$27, 0.0021, 0)</f>
        <v>121.56829999999999</v>
      </c>
      <c r="C752" s="14">
        <f>121.134 * CHOOSE(CONTROL!$C$9, $D$9, 100%, $F$9) + CHOOSE(CONTROL!$C$27, 0.0021, 0)</f>
        <v>121.1361</v>
      </c>
      <c r="D752" s="14">
        <f>121.134 * CHOOSE(CONTROL!$C$9, $D$9, 100%, $F$9) + CHOOSE(CONTROL!$C$27, 0.0021, 0)</f>
        <v>121.1361</v>
      </c>
      <c r="E752" s="14">
        <f>120.9973 * CHOOSE(CONTROL!$C$9, $D$9, 100%, $F$9) + CHOOSE(CONTROL!$C$27, 0.0021, 0)</f>
        <v>120.99939999999999</v>
      </c>
      <c r="F752" s="14">
        <f>120.9973 * CHOOSE(CONTROL!$C$9, $D$9, 100%, $F$9) + CHOOSE(CONTROL!$C$27, 0.0021, 0)</f>
        <v>120.99939999999999</v>
      </c>
      <c r="G752" s="14">
        <f>121.2687 * CHOOSE(CONTROL!$C$9, $D$9, 100%, $F$9) + CHOOSE(CONTROL!$C$27, 0.0021, 0)</f>
        <v>121.27079999999999</v>
      </c>
      <c r="H752" s="14">
        <f>121.134 * CHOOSE(CONTROL!$C$9, $D$9, 100%, $F$9) + CHOOSE(CONTROL!$C$27, 0.0021, 0)</f>
        <v>121.1361</v>
      </c>
      <c r="I752" s="14">
        <f>121.134 * CHOOSE(CONTROL!$C$9, $D$9, 100%, $F$9) + CHOOSE(CONTROL!$C$27, 0.0021, 0)</f>
        <v>121.1361</v>
      </c>
      <c r="J752" s="14">
        <f>121.134 * CHOOSE(CONTROL!$C$9, $D$9, 100%, $F$9) + CHOOSE(CONTROL!$C$27, 0.0021, 0)</f>
        <v>121.1361</v>
      </c>
      <c r="K752" s="14">
        <f>121.134 * CHOOSE(CONTROL!$C$9, $D$9, 100%, $F$9) + CHOOSE(CONTROL!$C$27, 0.0021, 0)</f>
        <v>121.1361</v>
      </c>
      <c r="L752" s="14"/>
    </row>
    <row r="753" spans="1:12" ht="15.75" x14ac:dyDescent="0.25">
      <c r="A753" s="31">
        <v>63858</v>
      </c>
      <c r="B753" s="14">
        <f>117.4416 * CHOOSE(CONTROL!$C$9, $D$9, 100%, $F$9) + CHOOSE(CONTROL!$C$27, 0.0021, 0)</f>
        <v>117.44369999999999</v>
      </c>
      <c r="C753" s="14">
        <f>117.0094 * CHOOSE(CONTROL!$C$9, $D$9, 100%, $F$9) + CHOOSE(CONTROL!$C$27, 0.0021, 0)</f>
        <v>117.0115</v>
      </c>
      <c r="D753" s="14">
        <f>117.0094 * CHOOSE(CONTROL!$C$9, $D$9, 100%, $F$9) + CHOOSE(CONTROL!$C$27, 0.0021, 0)</f>
        <v>117.0115</v>
      </c>
      <c r="E753" s="14">
        <f>116.8727 * CHOOSE(CONTROL!$C$9, $D$9, 100%, $F$9) + CHOOSE(CONTROL!$C$27, 0.0021, 0)</f>
        <v>116.87479999999999</v>
      </c>
      <c r="F753" s="14">
        <f>116.8727 * CHOOSE(CONTROL!$C$9, $D$9, 100%, $F$9) + CHOOSE(CONTROL!$C$27, 0.0021, 0)</f>
        <v>116.87479999999999</v>
      </c>
      <c r="G753" s="14">
        <f>117.1441 * CHOOSE(CONTROL!$C$9, $D$9, 100%, $F$9) + CHOOSE(CONTROL!$C$27, 0.0021, 0)</f>
        <v>117.14619999999999</v>
      </c>
      <c r="H753" s="14">
        <f>117.0094 * CHOOSE(CONTROL!$C$9, $D$9, 100%, $F$9) + CHOOSE(CONTROL!$C$27, 0.0021, 0)</f>
        <v>117.0115</v>
      </c>
      <c r="I753" s="14">
        <f>117.0094 * CHOOSE(CONTROL!$C$9, $D$9, 100%, $F$9) + CHOOSE(CONTROL!$C$27, 0.0021, 0)</f>
        <v>117.0115</v>
      </c>
      <c r="J753" s="14">
        <f>117.0094 * CHOOSE(CONTROL!$C$9, $D$9, 100%, $F$9) + CHOOSE(CONTROL!$C$27, 0.0021, 0)</f>
        <v>117.0115</v>
      </c>
      <c r="K753" s="14">
        <f>117.0094 * CHOOSE(CONTROL!$C$9, $D$9, 100%, $F$9) + CHOOSE(CONTROL!$C$27, 0.0021, 0)</f>
        <v>117.0115</v>
      </c>
      <c r="L753" s="14"/>
    </row>
    <row r="754" spans="1:12" ht="15.75" x14ac:dyDescent="0.25">
      <c r="A754" s="31">
        <v>63888</v>
      </c>
      <c r="B754" s="14">
        <f>116.6212 * CHOOSE(CONTROL!$C$9, $D$9, 100%, $F$9) + CHOOSE(CONTROL!$C$27, 0.0021, 0)</f>
        <v>116.6233</v>
      </c>
      <c r="C754" s="14">
        <f>116.1889 * CHOOSE(CONTROL!$C$9, $D$9, 100%, $F$9) + CHOOSE(CONTROL!$C$27, 0.0021, 0)</f>
        <v>116.191</v>
      </c>
      <c r="D754" s="14">
        <f>116.1889 * CHOOSE(CONTROL!$C$9, $D$9, 100%, $F$9) + CHOOSE(CONTROL!$C$27, 0.0021, 0)</f>
        <v>116.191</v>
      </c>
      <c r="E754" s="14">
        <f>116.0522 * CHOOSE(CONTROL!$C$9, $D$9, 100%, $F$9) + CHOOSE(CONTROL!$C$27, 0.0021, 0)</f>
        <v>116.0543</v>
      </c>
      <c r="F754" s="14">
        <f>116.0522 * CHOOSE(CONTROL!$C$9, $D$9, 100%, $F$9) + CHOOSE(CONTROL!$C$27, 0.0021, 0)</f>
        <v>116.0543</v>
      </c>
      <c r="G754" s="14">
        <f>116.3236 * CHOOSE(CONTROL!$C$9, $D$9, 100%, $F$9) + CHOOSE(CONTROL!$C$27, 0.0021, 0)</f>
        <v>116.3257</v>
      </c>
      <c r="H754" s="14">
        <f>116.1889 * CHOOSE(CONTROL!$C$9, $D$9, 100%, $F$9) + CHOOSE(CONTROL!$C$27, 0.0021, 0)</f>
        <v>116.191</v>
      </c>
      <c r="I754" s="14">
        <f>116.1889 * CHOOSE(CONTROL!$C$9, $D$9, 100%, $F$9) + CHOOSE(CONTROL!$C$27, 0.0021, 0)</f>
        <v>116.191</v>
      </c>
      <c r="J754" s="14">
        <f>116.1889 * CHOOSE(CONTROL!$C$9, $D$9, 100%, $F$9) + CHOOSE(CONTROL!$C$27, 0.0021, 0)</f>
        <v>116.191</v>
      </c>
      <c r="K754" s="14">
        <f>116.1889 * CHOOSE(CONTROL!$C$9, $D$9, 100%, $F$9) + CHOOSE(CONTROL!$C$27, 0.0021, 0)</f>
        <v>116.191</v>
      </c>
      <c r="L754" s="14"/>
    </row>
    <row r="755" spans="1:12" ht="15.75" x14ac:dyDescent="0.25">
      <c r="A755" s="31">
        <v>63919</v>
      </c>
      <c r="B755" s="14">
        <f>113.2284 * CHOOSE(CONTROL!$C$9, $D$9, 100%, $F$9) + CHOOSE(CONTROL!$C$27, 0.0021, 0)</f>
        <v>113.23049999999999</v>
      </c>
      <c r="C755" s="14">
        <f>112.7962 * CHOOSE(CONTROL!$C$9, $D$9, 100%, $F$9) + CHOOSE(CONTROL!$C$27, 0.0021, 0)</f>
        <v>112.7983</v>
      </c>
      <c r="D755" s="14">
        <f>112.7962 * CHOOSE(CONTROL!$C$9, $D$9, 100%, $F$9) + CHOOSE(CONTROL!$C$27, 0.0021, 0)</f>
        <v>112.7983</v>
      </c>
      <c r="E755" s="14">
        <f>112.6595 * CHOOSE(CONTROL!$C$9, $D$9, 100%, $F$9) + CHOOSE(CONTROL!$C$27, 0.0021, 0)</f>
        <v>112.66159999999999</v>
      </c>
      <c r="F755" s="14">
        <f>112.6595 * CHOOSE(CONTROL!$C$9, $D$9, 100%, $F$9) + CHOOSE(CONTROL!$C$27, 0.0021, 0)</f>
        <v>112.66159999999999</v>
      </c>
      <c r="G755" s="14">
        <f>112.9309 * CHOOSE(CONTROL!$C$9, $D$9, 100%, $F$9) + CHOOSE(CONTROL!$C$27, 0.0021, 0)</f>
        <v>112.93299999999999</v>
      </c>
      <c r="H755" s="14">
        <f>112.7962 * CHOOSE(CONTROL!$C$9, $D$9, 100%, $F$9) + CHOOSE(CONTROL!$C$27, 0.0021, 0)</f>
        <v>112.7983</v>
      </c>
      <c r="I755" s="14">
        <f>112.7962 * CHOOSE(CONTROL!$C$9, $D$9, 100%, $F$9) + CHOOSE(CONTROL!$C$27, 0.0021, 0)</f>
        <v>112.7983</v>
      </c>
      <c r="J755" s="14">
        <f>112.7962 * CHOOSE(CONTROL!$C$9, $D$9, 100%, $F$9) + CHOOSE(CONTROL!$C$27, 0.0021, 0)</f>
        <v>112.7983</v>
      </c>
      <c r="K755" s="14">
        <f>112.7962 * CHOOSE(CONTROL!$C$9, $D$9, 100%, $F$9) + CHOOSE(CONTROL!$C$27, 0.0021, 0)</f>
        <v>112.7983</v>
      </c>
      <c r="L755" s="14"/>
    </row>
    <row r="756" spans="1:12" ht="15.75" x14ac:dyDescent="0.25">
      <c r="A756" s="31">
        <v>63950</v>
      </c>
      <c r="B756" s="14">
        <f>112.5679 * CHOOSE(CONTROL!$C$9, $D$9, 100%, $F$9) + CHOOSE(CONTROL!$C$27, 0.0021, 0)</f>
        <v>112.57</v>
      </c>
      <c r="C756" s="14">
        <f>112.1357 * CHOOSE(CONTROL!$C$9, $D$9, 100%, $F$9) + CHOOSE(CONTROL!$C$27, 0.0021, 0)</f>
        <v>112.1378</v>
      </c>
      <c r="D756" s="14">
        <f>112.1357 * CHOOSE(CONTROL!$C$9, $D$9, 100%, $F$9) + CHOOSE(CONTROL!$C$27, 0.0021, 0)</f>
        <v>112.1378</v>
      </c>
      <c r="E756" s="14">
        <f>111.999 * CHOOSE(CONTROL!$C$9, $D$9, 100%, $F$9) + CHOOSE(CONTROL!$C$27, 0.0021, 0)</f>
        <v>112.00109999999999</v>
      </c>
      <c r="F756" s="14">
        <f>111.999 * CHOOSE(CONTROL!$C$9, $D$9, 100%, $F$9) + CHOOSE(CONTROL!$C$27, 0.0021, 0)</f>
        <v>112.00109999999999</v>
      </c>
      <c r="G756" s="14">
        <f>112.2704 * CHOOSE(CONTROL!$C$9, $D$9, 100%, $F$9) + CHOOSE(CONTROL!$C$27, 0.0021, 0)</f>
        <v>112.27249999999999</v>
      </c>
      <c r="H756" s="14">
        <f>112.1357 * CHOOSE(CONTROL!$C$9, $D$9, 100%, $F$9) + CHOOSE(CONTROL!$C$27, 0.0021, 0)</f>
        <v>112.1378</v>
      </c>
      <c r="I756" s="14">
        <f>112.1357 * CHOOSE(CONTROL!$C$9, $D$9, 100%, $F$9) + CHOOSE(CONTROL!$C$27, 0.0021, 0)</f>
        <v>112.1378</v>
      </c>
      <c r="J756" s="14">
        <f>112.1357 * CHOOSE(CONTROL!$C$9, $D$9, 100%, $F$9) + CHOOSE(CONTROL!$C$27, 0.0021, 0)</f>
        <v>112.1378</v>
      </c>
      <c r="K756" s="14">
        <f>112.1357 * CHOOSE(CONTROL!$C$9, $D$9, 100%, $F$9) + CHOOSE(CONTROL!$C$27, 0.0021, 0)</f>
        <v>112.1378</v>
      </c>
      <c r="L756" s="14"/>
    </row>
    <row r="757" spans="1:12" ht="15.75" x14ac:dyDescent="0.25">
      <c r="A757" s="31">
        <v>63978</v>
      </c>
      <c r="B757" s="14">
        <f>112.2614 * CHOOSE(CONTROL!$C$9, $D$9, 100%, $F$9) + CHOOSE(CONTROL!$C$27, 0.0021, 0)</f>
        <v>112.26349999999999</v>
      </c>
      <c r="C757" s="14">
        <f>111.8291 * CHOOSE(CONTROL!$C$9, $D$9, 100%, $F$9) + CHOOSE(CONTROL!$C$27, 0.0021, 0)</f>
        <v>111.8312</v>
      </c>
      <c r="D757" s="14">
        <f>111.8291 * CHOOSE(CONTROL!$C$9, $D$9, 100%, $F$9) + CHOOSE(CONTROL!$C$27, 0.0021, 0)</f>
        <v>111.8312</v>
      </c>
      <c r="E757" s="14">
        <f>111.6925 * CHOOSE(CONTROL!$C$9, $D$9, 100%, $F$9) + CHOOSE(CONTROL!$C$27, 0.0021, 0)</f>
        <v>111.69459999999999</v>
      </c>
      <c r="F757" s="14">
        <f>111.6925 * CHOOSE(CONTROL!$C$9, $D$9, 100%, $F$9) + CHOOSE(CONTROL!$C$27, 0.0021, 0)</f>
        <v>111.69459999999999</v>
      </c>
      <c r="G757" s="14">
        <f>111.9638 * CHOOSE(CONTROL!$C$9, $D$9, 100%, $F$9) + CHOOSE(CONTROL!$C$27, 0.0021, 0)</f>
        <v>111.9659</v>
      </c>
      <c r="H757" s="14">
        <f>111.8291 * CHOOSE(CONTROL!$C$9, $D$9, 100%, $F$9) + CHOOSE(CONTROL!$C$27, 0.0021, 0)</f>
        <v>111.8312</v>
      </c>
      <c r="I757" s="14">
        <f>111.8291 * CHOOSE(CONTROL!$C$9, $D$9, 100%, $F$9) + CHOOSE(CONTROL!$C$27, 0.0021, 0)</f>
        <v>111.8312</v>
      </c>
      <c r="J757" s="14">
        <f>111.8291 * CHOOSE(CONTROL!$C$9, $D$9, 100%, $F$9) + CHOOSE(CONTROL!$C$27, 0.0021, 0)</f>
        <v>111.8312</v>
      </c>
      <c r="K757" s="14">
        <f>111.8291 * CHOOSE(CONTROL!$C$9, $D$9, 100%, $F$9) + CHOOSE(CONTROL!$C$27, 0.0021, 0)</f>
        <v>111.8312</v>
      </c>
      <c r="L757" s="14"/>
    </row>
    <row r="758" spans="1:12" ht="15.75" x14ac:dyDescent="0.25">
      <c r="A758" s="31">
        <v>64009</v>
      </c>
      <c r="B758" s="14">
        <f>118.0574 * CHOOSE(CONTROL!$C$9, $D$9, 100%, $F$9) + CHOOSE(CONTROL!$C$27, 0.0021, 0)</f>
        <v>118.0595</v>
      </c>
      <c r="C758" s="14">
        <f>117.6251 * CHOOSE(CONTROL!$C$9, $D$9, 100%, $F$9) + CHOOSE(CONTROL!$C$27, 0.0021, 0)</f>
        <v>117.6272</v>
      </c>
      <c r="D758" s="14">
        <f>117.6251 * CHOOSE(CONTROL!$C$9, $D$9, 100%, $F$9) + CHOOSE(CONTROL!$C$27, 0.0021, 0)</f>
        <v>117.6272</v>
      </c>
      <c r="E758" s="14">
        <f>117.4885 * CHOOSE(CONTROL!$C$9, $D$9, 100%, $F$9) + CHOOSE(CONTROL!$C$27, 0.0021, 0)</f>
        <v>117.4906</v>
      </c>
      <c r="F758" s="14">
        <f>117.4885 * CHOOSE(CONTROL!$C$9, $D$9, 100%, $F$9) + CHOOSE(CONTROL!$C$27, 0.0021, 0)</f>
        <v>117.4906</v>
      </c>
      <c r="G758" s="14">
        <f>117.7599 * CHOOSE(CONTROL!$C$9, $D$9, 100%, $F$9) + CHOOSE(CONTROL!$C$27, 0.0021, 0)</f>
        <v>117.762</v>
      </c>
      <c r="H758" s="14">
        <f>117.6251 * CHOOSE(CONTROL!$C$9, $D$9, 100%, $F$9) + CHOOSE(CONTROL!$C$27, 0.0021, 0)</f>
        <v>117.6272</v>
      </c>
      <c r="I758" s="14">
        <f>117.6251 * CHOOSE(CONTROL!$C$9, $D$9, 100%, $F$9) + CHOOSE(CONTROL!$C$27, 0.0021, 0)</f>
        <v>117.6272</v>
      </c>
      <c r="J758" s="14">
        <f>117.6251 * CHOOSE(CONTROL!$C$9, $D$9, 100%, $F$9) + CHOOSE(CONTROL!$C$27, 0.0021, 0)</f>
        <v>117.6272</v>
      </c>
      <c r="K758" s="14">
        <f>117.6251 * CHOOSE(CONTROL!$C$9, $D$9, 100%, $F$9) + CHOOSE(CONTROL!$C$27, 0.0021, 0)</f>
        <v>117.6272</v>
      </c>
      <c r="L758" s="14"/>
    </row>
    <row r="759" spans="1:12" ht="15.75" x14ac:dyDescent="0.25">
      <c r="A759" s="31">
        <v>64039</v>
      </c>
      <c r="B759" s="14">
        <f>125.5734 * CHOOSE(CONTROL!$C$9, $D$9, 100%, $F$9) + CHOOSE(CONTROL!$C$27, 0.0021, 0)</f>
        <v>125.57550000000001</v>
      </c>
      <c r="C759" s="14">
        <f>125.1412 * CHOOSE(CONTROL!$C$9, $D$9, 100%, $F$9) + CHOOSE(CONTROL!$C$27, 0.0021, 0)</f>
        <v>125.1433</v>
      </c>
      <c r="D759" s="14">
        <f>125.1412 * CHOOSE(CONTROL!$C$9, $D$9, 100%, $F$9) + CHOOSE(CONTROL!$C$27, 0.0021, 0)</f>
        <v>125.1433</v>
      </c>
      <c r="E759" s="14">
        <f>125.0045 * CHOOSE(CONTROL!$C$9, $D$9, 100%, $F$9) + CHOOSE(CONTROL!$C$27, 0.0021, 0)</f>
        <v>125.00659999999999</v>
      </c>
      <c r="F759" s="14">
        <f>125.0045 * CHOOSE(CONTROL!$C$9, $D$9, 100%, $F$9) + CHOOSE(CONTROL!$C$27, 0.0021, 0)</f>
        <v>125.00659999999999</v>
      </c>
      <c r="G759" s="14">
        <f>125.2759 * CHOOSE(CONTROL!$C$9, $D$9, 100%, $F$9) + CHOOSE(CONTROL!$C$27, 0.0021, 0)</f>
        <v>125.27799999999999</v>
      </c>
      <c r="H759" s="14">
        <f>125.1412 * CHOOSE(CONTROL!$C$9, $D$9, 100%, $F$9) + CHOOSE(CONTROL!$C$27, 0.0021, 0)</f>
        <v>125.1433</v>
      </c>
      <c r="I759" s="14">
        <f>125.1412 * CHOOSE(CONTROL!$C$9, $D$9, 100%, $F$9) + CHOOSE(CONTROL!$C$27, 0.0021, 0)</f>
        <v>125.1433</v>
      </c>
      <c r="J759" s="14">
        <f>125.1412 * CHOOSE(CONTROL!$C$9, $D$9, 100%, $F$9) + CHOOSE(CONTROL!$C$27, 0.0021, 0)</f>
        <v>125.1433</v>
      </c>
      <c r="K759" s="14">
        <f>125.1412 * CHOOSE(CONTROL!$C$9, $D$9, 100%, $F$9) + CHOOSE(CONTROL!$C$27, 0.0021, 0)</f>
        <v>125.1433</v>
      </c>
      <c r="L759" s="14"/>
    </row>
    <row r="760" spans="1:12" ht="15.75" x14ac:dyDescent="0.25">
      <c r="A760" s="31">
        <v>64070</v>
      </c>
      <c r="B760" s="14">
        <f>129.7105 * CHOOSE(CONTROL!$C$9, $D$9, 100%, $F$9) + CHOOSE(CONTROL!$C$27, 0.0021, 0)</f>
        <v>129.71260000000001</v>
      </c>
      <c r="C760" s="14">
        <f>129.2782 * CHOOSE(CONTROL!$C$9, $D$9, 100%, $F$9) + CHOOSE(CONTROL!$C$27, 0.0021, 0)</f>
        <v>129.28030000000001</v>
      </c>
      <c r="D760" s="14">
        <f>129.2782 * CHOOSE(CONTROL!$C$9, $D$9, 100%, $F$9) + CHOOSE(CONTROL!$C$27, 0.0021, 0)</f>
        <v>129.28030000000001</v>
      </c>
      <c r="E760" s="14">
        <f>129.1416 * CHOOSE(CONTROL!$C$9, $D$9, 100%, $F$9) + CHOOSE(CONTROL!$C$27, 0.0021, 0)</f>
        <v>129.14370000000002</v>
      </c>
      <c r="F760" s="14">
        <f>129.1416 * CHOOSE(CONTROL!$C$9, $D$9, 100%, $F$9) + CHOOSE(CONTROL!$C$27, 0.0021, 0)</f>
        <v>129.14370000000002</v>
      </c>
      <c r="G760" s="14">
        <f>129.413 * CHOOSE(CONTROL!$C$9, $D$9, 100%, $F$9) + CHOOSE(CONTROL!$C$27, 0.0021, 0)</f>
        <v>129.41510000000002</v>
      </c>
      <c r="H760" s="14">
        <f>129.2782 * CHOOSE(CONTROL!$C$9, $D$9, 100%, $F$9) + CHOOSE(CONTROL!$C$27, 0.0021, 0)</f>
        <v>129.28030000000001</v>
      </c>
      <c r="I760" s="14">
        <f>129.2782 * CHOOSE(CONTROL!$C$9, $D$9, 100%, $F$9) + CHOOSE(CONTROL!$C$27, 0.0021, 0)</f>
        <v>129.28030000000001</v>
      </c>
      <c r="J760" s="14">
        <f>129.2782 * CHOOSE(CONTROL!$C$9, $D$9, 100%, $F$9) + CHOOSE(CONTROL!$C$27, 0.0021, 0)</f>
        <v>129.28030000000001</v>
      </c>
      <c r="K760" s="14">
        <f>129.2782 * CHOOSE(CONTROL!$C$9, $D$9, 100%, $F$9) + CHOOSE(CONTROL!$C$27, 0.0021, 0)</f>
        <v>129.28030000000001</v>
      </c>
      <c r="L760" s="14"/>
    </row>
    <row r="761" spans="1:12" ht="15.75" x14ac:dyDescent="0.25">
      <c r="A761" s="31">
        <v>64100</v>
      </c>
      <c r="B761" s="14">
        <f>131.5464 * CHOOSE(CONTROL!$C$9, $D$9, 100%, $F$9) + CHOOSE(CONTROL!$C$27, 0.0021, 0)</f>
        <v>131.54850000000002</v>
      </c>
      <c r="C761" s="14">
        <f>131.1142 * CHOOSE(CONTROL!$C$9, $D$9, 100%, $F$9) + CHOOSE(CONTROL!$C$27, 0.0021, 0)</f>
        <v>131.11630000000002</v>
      </c>
      <c r="D761" s="14">
        <f>131.1142 * CHOOSE(CONTROL!$C$9, $D$9, 100%, $F$9) + CHOOSE(CONTROL!$C$27, 0.0021, 0)</f>
        <v>131.11630000000002</v>
      </c>
      <c r="E761" s="14">
        <f>130.9775 * CHOOSE(CONTROL!$C$9, $D$9, 100%, $F$9) + CHOOSE(CONTROL!$C$27, 0.0021, 0)</f>
        <v>130.9796</v>
      </c>
      <c r="F761" s="14">
        <f>130.9775 * CHOOSE(CONTROL!$C$9, $D$9, 100%, $F$9) + CHOOSE(CONTROL!$C$27, 0.0021, 0)</f>
        <v>130.9796</v>
      </c>
      <c r="G761" s="14">
        <f>131.2489 * CHOOSE(CONTROL!$C$9, $D$9, 100%, $F$9) + CHOOSE(CONTROL!$C$27, 0.0021, 0)</f>
        <v>131.251</v>
      </c>
      <c r="H761" s="14">
        <f>131.1142 * CHOOSE(CONTROL!$C$9, $D$9, 100%, $F$9) + CHOOSE(CONTROL!$C$27, 0.0021, 0)</f>
        <v>131.11630000000002</v>
      </c>
      <c r="I761" s="14">
        <f>131.1142 * CHOOSE(CONTROL!$C$9, $D$9, 100%, $F$9) + CHOOSE(CONTROL!$C$27, 0.0021, 0)</f>
        <v>131.11630000000002</v>
      </c>
      <c r="J761" s="14">
        <f>131.1142 * CHOOSE(CONTROL!$C$9, $D$9, 100%, $F$9) + CHOOSE(CONTROL!$C$27, 0.0021, 0)</f>
        <v>131.11630000000002</v>
      </c>
      <c r="K761" s="14">
        <f>131.1142 * CHOOSE(CONTROL!$C$9, $D$9, 100%, $F$9) + CHOOSE(CONTROL!$C$27, 0.0021, 0)</f>
        <v>131.11630000000002</v>
      </c>
      <c r="L761" s="14"/>
    </row>
    <row r="762" spans="1:12" ht="15.75" x14ac:dyDescent="0.25">
      <c r="A762" s="31">
        <v>64131</v>
      </c>
      <c r="B762" s="14">
        <f>130.942 * CHOOSE(CONTROL!$C$9, $D$9, 100%, $F$9) + CHOOSE(CONTROL!$C$27, 0.0021, 0)</f>
        <v>130.94410000000002</v>
      </c>
      <c r="C762" s="14">
        <f>130.5097 * CHOOSE(CONTROL!$C$9, $D$9, 100%, $F$9) + CHOOSE(CONTROL!$C$27, 0.0021, 0)</f>
        <v>130.51180000000002</v>
      </c>
      <c r="D762" s="14">
        <f>130.5097 * CHOOSE(CONTROL!$C$9, $D$9, 100%, $F$9) + CHOOSE(CONTROL!$C$27, 0.0021, 0)</f>
        <v>130.51180000000002</v>
      </c>
      <c r="E762" s="14">
        <f>130.3731 * CHOOSE(CONTROL!$C$9, $D$9, 100%, $F$9) + CHOOSE(CONTROL!$C$27, 0.0021, 0)</f>
        <v>130.37520000000001</v>
      </c>
      <c r="F762" s="14">
        <f>130.3731 * CHOOSE(CONTROL!$C$9, $D$9, 100%, $F$9) + CHOOSE(CONTROL!$C$27, 0.0021, 0)</f>
        <v>130.37520000000001</v>
      </c>
      <c r="G762" s="14">
        <f>130.6444 * CHOOSE(CONTROL!$C$9, $D$9, 100%, $F$9) + CHOOSE(CONTROL!$C$27, 0.0021, 0)</f>
        <v>130.6465</v>
      </c>
      <c r="H762" s="14">
        <f>130.5097 * CHOOSE(CONTROL!$C$9, $D$9, 100%, $F$9) + CHOOSE(CONTROL!$C$27, 0.0021, 0)</f>
        <v>130.51180000000002</v>
      </c>
      <c r="I762" s="14">
        <f>130.5097 * CHOOSE(CONTROL!$C$9, $D$9, 100%, $F$9) + CHOOSE(CONTROL!$C$27, 0.0021, 0)</f>
        <v>130.51180000000002</v>
      </c>
      <c r="J762" s="14">
        <f>130.5097 * CHOOSE(CONTROL!$C$9, $D$9, 100%, $F$9) + CHOOSE(CONTROL!$C$27, 0.0021, 0)</f>
        <v>130.51180000000002</v>
      </c>
      <c r="K762" s="14">
        <f>130.5097 * CHOOSE(CONTROL!$C$9, $D$9, 100%, $F$9) + CHOOSE(CONTROL!$C$27, 0.0021, 0)</f>
        <v>130.51180000000002</v>
      </c>
      <c r="L762" s="14"/>
    </row>
    <row r="763" spans="1:12" ht="15.75" x14ac:dyDescent="0.25">
      <c r="A763" s="31">
        <v>64162</v>
      </c>
      <c r="B763" s="14">
        <f>127.947 * CHOOSE(CONTROL!$C$9, $D$9, 100%, $F$9) + CHOOSE(CONTROL!$C$27, 0.0021, 0)</f>
        <v>127.9491</v>
      </c>
      <c r="C763" s="14">
        <f>127.5148 * CHOOSE(CONTROL!$C$9, $D$9, 100%, $F$9) + CHOOSE(CONTROL!$C$27, 0.0021, 0)</f>
        <v>127.51689999999999</v>
      </c>
      <c r="D763" s="14">
        <f>127.5148 * CHOOSE(CONTROL!$C$9, $D$9, 100%, $F$9) + CHOOSE(CONTROL!$C$27, 0.0021, 0)</f>
        <v>127.51689999999999</v>
      </c>
      <c r="E763" s="14">
        <f>127.3781 * CHOOSE(CONTROL!$C$9, $D$9, 100%, $F$9) + CHOOSE(CONTROL!$C$27, 0.0021, 0)</f>
        <v>127.3802</v>
      </c>
      <c r="F763" s="14">
        <f>127.3781 * CHOOSE(CONTROL!$C$9, $D$9, 100%, $F$9) + CHOOSE(CONTROL!$C$27, 0.0021, 0)</f>
        <v>127.3802</v>
      </c>
      <c r="G763" s="14">
        <f>127.6495 * CHOOSE(CONTROL!$C$9, $D$9, 100%, $F$9) + CHOOSE(CONTROL!$C$27, 0.0021, 0)</f>
        <v>127.6516</v>
      </c>
      <c r="H763" s="14">
        <f>127.5148 * CHOOSE(CONTROL!$C$9, $D$9, 100%, $F$9) + CHOOSE(CONTROL!$C$27, 0.0021, 0)</f>
        <v>127.51689999999999</v>
      </c>
      <c r="I763" s="14">
        <f>127.5148 * CHOOSE(CONTROL!$C$9, $D$9, 100%, $F$9) + CHOOSE(CONTROL!$C$27, 0.0021, 0)</f>
        <v>127.51689999999999</v>
      </c>
      <c r="J763" s="14">
        <f>127.5148 * CHOOSE(CONTROL!$C$9, $D$9, 100%, $F$9) + CHOOSE(CONTROL!$C$27, 0.0021, 0)</f>
        <v>127.51689999999999</v>
      </c>
      <c r="K763" s="14">
        <f>127.5148 * CHOOSE(CONTROL!$C$9, $D$9, 100%, $F$9) + CHOOSE(CONTROL!$C$27, 0.0021, 0)</f>
        <v>127.51689999999999</v>
      </c>
      <c r="L763" s="14"/>
    </row>
    <row r="764" spans="1:12" ht="15.75" x14ac:dyDescent="0.25">
      <c r="A764" s="31">
        <v>64192</v>
      </c>
      <c r="B764" s="14">
        <f>123.7705 * CHOOSE(CONTROL!$C$9, $D$9, 100%, $F$9) + CHOOSE(CONTROL!$C$27, 0.0021, 0)</f>
        <v>123.7726</v>
      </c>
      <c r="C764" s="14">
        <f>123.3383 * CHOOSE(CONTROL!$C$9, $D$9, 100%, $F$9) + CHOOSE(CONTROL!$C$27, 0.0021, 0)</f>
        <v>123.3404</v>
      </c>
      <c r="D764" s="14">
        <f>123.3383 * CHOOSE(CONTROL!$C$9, $D$9, 100%, $F$9) + CHOOSE(CONTROL!$C$27, 0.0021, 0)</f>
        <v>123.3404</v>
      </c>
      <c r="E764" s="14">
        <f>123.2016 * CHOOSE(CONTROL!$C$9, $D$9, 100%, $F$9) + CHOOSE(CONTROL!$C$27, 0.0021, 0)</f>
        <v>123.2037</v>
      </c>
      <c r="F764" s="14">
        <f>123.2016 * CHOOSE(CONTROL!$C$9, $D$9, 100%, $F$9) + CHOOSE(CONTROL!$C$27, 0.0021, 0)</f>
        <v>123.2037</v>
      </c>
      <c r="G764" s="14">
        <f>123.473 * CHOOSE(CONTROL!$C$9, $D$9, 100%, $F$9) + CHOOSE(CONTROL!$C$27, 0.0021, 0)</f>
        <v>123.4751</v>
      </c>
      <c r="H764" s="14">
        <f>123.3383 * CHOOSE(CONTROL!$C$9, $D$9, 100%, $F$9) + CHOOSE(CONTROL!$C$27, 0.0021, 0)</f>
        <v>123.3404</v>
      </c>
      <c r="I764" s="14">
        <f>123.3383 * CHOOSE(CONTROL!$C$9, $D$9, 100%, $F$9) + CHOOSE(CONTROL!$C$27, 0.0021, 0)</f>
        <v>123.3404</v>
      </c>
      <c r="J764" s="14">
        <f>123.3383 * CHOOSE(CONTROL!$C$9, $D$9, 100%, $F$9) + CHOOSE(CONTROL!$C$27, 0.0021, 0)</f>
        <v>123.3404</v>
      </c>
      <c r="K764" s="14">
        <f>123.3383 * CHOOSE(CONTROL!$C$9, $D$9, 100%, $F$9) + CHOOSE(CONTROL!$C$27, 0.0021, 0)</f>
        <v>123.3404</v>
      </c>
      <c r="L764" s="14"/>
    </row>
    <row r="765" spans="1:12" ht="15.75" x14ac:dyDescent="0.25">
      <c r="A765" s="31">
        <v>64223</v>
      </c>
      <c r="B765" s="14">
        <f>119.5697 * CHOOSE(CONTROL!$C$9, $D$9, 100%, $F$9) + CHOOSE(CONTROL!$C$27, 0.0021, 0)</f>
        <v>119.5718</v>
      </c>
      <c r="C765" s="14">
        <f>119.1374 * CHOOSE(CONTROL!$C$9, $D$9, 100%, $F$9) + CHOOSE(CONTROL!$C$27, 0.0021, 0)</f>
        <v>119.1395</v>
      </c>
      <c r="D765" s="14">
        <f>119.1374 * CHOOSE(CONTROL!$C$9, $D$9, 100%, $F$9) + CHOOSE(CONTROL!$C$27, 0.0021, 0)</f>
        <v>119.1395</v>
      </c>
      <c r="E765" s="14">
        <f>119.0008 * CHOOSE(CONTROL!$C$9, $D$9, 100%, $F$9) + CHOOSE(CONTROL!$C$27, 0.0021, 0)</f>
        <v>119.0029</v>
      </c>
      <c r="F765" s="14">
        <f>119.0008 * CHOOSE(CONTROL!$C$9, $D$9, 100%, $F$9) + CHOOSE(CONTROL!$C$27, 0.0021, 0)</f>
        <v>119.0029</v>
      </c>
      <c r="G765" s="14">
        <f>119.2721 * CHOOSE(CONTROL!$C$9, $D$9, 100%, $F$9) + CHOOSE(CONTROL!$C$27, 0.0021, 0)</f>
        <v>119.27419999999999</v>
      </c>
      <c r="H765" s="14">
        <f>119.1374 * CHOOSE(CONTROL!$C$9, $D$9, 100%, $F$9) + CHOOSE(CONTROL!$C$27, 0.0021, 0)</f>
        <v>119.1395</v>
      </c>
      <c r="I765" s="14">
        <f>119.1374 * CHOOSE(CONTROL!$C$9, $D$9, 100%, $F$9) + CHOOSE(CONTROL!$C$27, 0.0021, 0)</f>
        <v>119.1395</v>
      </c>
      <c r="J765" s="14">
        <f>119.1374 * CHOOSE(CONTROL!$C$9, $D$9, 100%, $F$9) + CHOOSE(CONTROL!$C$27, 0.0021, 0)</f>
        <v>119.1395</v>
      </c>
      <c r="K765" s="14">
        <f>119.1374 * CHOOSE(CONTROL!$C$9, $D$9, 100%, $F$9) + CHOOSE(CONTROL!$C$27, 0.0021, 0)</f>
        <v>119.1395</v>
      </c>
      <c r="L765" s="14"/>
    </row>
    <row r="766" spans="1:12" ht="15.75" x14ac:dyDescent="0.25">
      <c r="A766" s="31">
        <v>64253</v>
      </c>
      <c r="B766" s="14">
        <f>118.734 * CHOOSE(CONTROL!$C$9, $D$9, 100%, $F$9) + CHOOSE(CONTROL!$C$27, 0.0021, 0)</f>
        <v>118.73609999999999</v>
      </c>
      <c r="C766" s="14">
        <f>118.3018 * CHOOSE(CONTROL!$C$9, $D$9, 100%, $F$9) + CHOOSE(CONTROL!$C$27, 0.0021, 0)</f>
        <v>118.3039</v>
      </c>
      <c r="D766" s="14">
        <f>118.3018 * CHOOSE(CONTROL!$C$9, $D$9, 100%, $F$9) + CHOOSE(CONTROL!$C$27, 0.0021, 0)</f>
        <v>118.3039</v>
      </c>
      <c r="E766" s="14">
        <f>118.1651 * CHOOSE(CONTROL!$C$9, $D$9, 100%, $F$9) + CHOOSE(CONTROL!$C$27, 0.0021, 0)</f>
        <v>118.16719999999999</v>
      </c>
      <c r="F766" s="14">
        <f>118.1651 * CHOOSE(CONTROL!$C$9, $D$9, 100%, $F$9) + CHOOSE(CONTROL!$C$27, 0.0021, 0)</f>
        <v>118.16719999999999</v>
      </c>
      <c r="G766" s="14">
        <f>118.4365 * CHOOSE(CONTROL!$C$9, $D$9, 100%, $F$9) + CHOOSE(CONTROL!$C$27, 0.0021, 0)</f>
        <v>118.43859999999999</v>
      </c>
      <c r="H766" s="14">
        <f>118.3018 * CHOOSE(CONTROL!$C$9, $D$9, 100%, $F$9) + CHOOSE(CONTROL!$C$27, 0.0021, 0)</f>
        <v>118.3039</v>
      </c>
      <c r="I766" s="14">
        <f>118.3018 * CHOOSE(CONTROL!$C$9, $D$9, 100%, $F$9) + CHOOSE(CONTROL!$C$27, 0.0021, 0)</f>
        <v>118.3039</v>
      </c>
      <c r="J766" s="14">
        <f>118.3018 * CHOOSE(CONTROL!$C$9, $D$9, 100%, $F$9) + CHOOSE(CONTROL!$C$27, 0.0021, 0)</f>
        <v>118.3039</v>
      </c>
      <c r="K766" s="14">
        <f>118.3018 * CHOOSE(CONTROL!$C$9, $D$9, 100%, $F$9) + CHOOSE(CONTROL!$C$27, 0.0021, 0)</f>
        <v>118.3039</v>
      </c>
      <c r="L766" s="14"/>
    </row>
    <row r="767" spans="1:12" ht="15.75" x14ac:dyDescent="0.25">
      <c r="A767" s="31">
        <v>64284</v>
      </c>
      <c r="B767" s="14">
        <f>115.2786 * CHOOSE(CONTROL!$C$9, $D$9, 100%, $F$9) + CHOOSE(CONTROL!$C$27, 0.0021, 0)</f>
        <v>115.2807</v>
      </c>
      <c r="C767" s="14">
        <f>114.8464 * CHOOSE(CONTROL!$C$9, $D$9, 100%, $F$9) + CHOOSE(CONTROL!$C$27, 0.0021, 0)</f>
        <v>114.8485</v>
      </c>
      <c r="D767" s="14">
        <f>114.8464 * CHOOSE(CONTROL!$C$9, $D$9, 100%, $F$9) + CHOOSE(CONTROL!$C$27, 0.0021, 0)</f>
        <v>114.8485</v>
      </c>
      <c r="E767" s="14">
        <f>114.7097 * CHOOSE(CONTROL!$C$9, $D$9, 100%, $F$9) + CHOOSE(CONTROL!$C$27, 0.0021, 0)</f>
        <v>114.7118</v>
      </c>
      <c r="F767" s="14">
        <f>114.7097 * CHOOSE(CONTROL!$C$9, $D$9, 100%, $F$9) + CHOOSE(CONTROL!$C$27, 0.0021, 0)</f>
        <v>114.7118</v>
      </c>
      <c r="G767" s="14">
        <f>114.9811 * CHOOSE(CONTROL!$C$9, $D$9, 100%, $F$9) + CHOOSE(CONTROL!$C$27, 0.0021, 0)</f>
        <v>114.9832</v>
      </c>
      <c r="H767" s="14">
        <f>114.8464 * CHOOSE(CONTROL!$C$9, $D$9, 100%, $F$9) + CHOOSE(CONTROL!$C$27, 0.0021, 0)</f>
        <v>114.8485</v>
      </c>
      <c r="I767" s="14">
        <f>114.8464 * CHOOSE(CONTROL!$C$9, $D$9, 100%, $F$9) + CHOOSE(CONTROL!$C$27, 0.0021, 0)</f>
        <v>114.8485</v>
      </c>
      <c r="J767" s="14">
        <f>114.8464 * CHOOSE(CONTROL!$C$9, $D$9, 100%, $F$9) + CHOOSE(CONTROL!$C$27, 0.0021, 0)</f>
        <v>114.8485</v>
      </c>
      <c r="K767" s="14">
        <f>114.8464 * CHOOSE(CONTROL!$C$9, $D$9, 100%, $F$9) + CHOOSE(CONTROL!$C$27, 0.0021, 0)</f>
        <v>114.8485</v>
      </c>
      <c r="L767" s="14"/>
    </row>
    <row r="768" spans="1:12" ht="15.75" x14ac:dyDescent="0.25">
      <c r="A768" s="31">
        <v>64315</v>
      </c>
      <c r="B768" s="14">
        <f>114.6059 * CHOOSE(CONTROL!$C$9, $D$9, 100%, $F$9) + CHOOSE(CONTROL!$C$27, 0.0021, 0)</f>
        <v>114.608</v>
      </c>
      <c r="C768" s="14">
        <f>114.1736 * CHOOSE(CONTROL!$C$9, $D$9, 100%, $F$9) + CHOOSE(CONTROL!$C$27, 0.0021, 0)</f>
        <v>114.17569999999999</v>
      </c>
      <c r="D768" s="14">
        <f>114.1736 * CHOOSE(CONTROL!$C$9, $D$9, 100%, $F$9) + CHOOSE(CONTROL!$C$27, 0.0021, 0)</f>
        <v>114.17569999999999</v>
      </c>
      <c r="E768" s="14">
        <f>114.037 * CHOOSE(CONTROL!$C$9, $D$9, 100%, $F$9) + CHOOSE(CONTROL!$C$27, 0.0021, 0)</f>
        <v>114.0391</v>
      </c>
      <c r="F768" s="14">
        <f>114.037 * CHOOSE(CONTROL!$C$9, $D$9, 100%, $F$9) + CHOOSE(CONTROL!$C$27, 0.0021, 0)</f>
        <v>114.0391</v>
      </c>
      <c r="G768" s="14">
        <f>114.3084 * CHOOSE(CONTROL!$C$9, $D$9, 100%, $F$9) + CHOOSE(CONTROL!$C$27, 0.0021, 0)</f>
        <v>114.3105</v>
      </c>
      <c r="H768" s="14">
        <f>114.1736 * CHOOSE(CONTROL!$C$9, $D$9, 100%, $F$9) + CHOOSE(CONTROL!$C$27, 0.0021, 0)</f>
        <v>114.17569999999999</v>
      </c>
      <c r="I768" s="14">
        <f>114.1736 * CHOOSE(CONTROL!$C$9, $D$9, 100%, $F$9) + CHOOSE(CONTROL!$C$27, 0.0021, 0)</f>
        <v>114.17569999999999</v>
      </c>
      <c r="J768" s="14">
        <f>114.1736 * CHOOSE(CONTROL!$C$9, $D$9, 100%, $F$9) + CHOOSE(CONTROL!$C$27, 0.0021, 0)</f>
        <v>114.17569999999999</v>
      </c>
      <c r="K768" s="14">
        <f>114.1736 * CHOOSE(CONTROL!$C$9, $D$9, 100%, $F$9) + CHOOSE(CONTROL!$C$27, 0.0021, 0)</f>
        <v>114.17569999999999</v>
      </c>
      <c r="L768" s="14"/>
    </row>
    <row r="769" spans="1:12" ht="15.75" x14ac:dyDescent="0.25">
      <c r="A769" s="31">
        <v>64344</v>
      </c>
      <c r="B769" s="14">
        <f>114.2937 * CHOOSE(CONTROL!$C$9, $D$9, 100%, $F$9) + CHOOSE(CONTROL!$C$27, 0.0021, 0)</f>
        <v>114.2958</v>
      </c>
      <c r="C769" s="14">
        <f>113.8614 * CHOOSE(CONTROL!$C$9, $D$9, 100%, $F$9) + CHOOSE(CONTROL!$C$27, 0.0021, 0)</f>
        <v>113.8635</v>
      </c>
      <c r="D769" s="14">
        <f>113.8614 * CHOOSE(CONTROL!$C$9, $D$9, 100%, $F$9) + CHOOSE(CONTROL!$C$27, 0.0021, 0)</f>
        <v>113.8635</v>
      </c>
      <c r="E769" s="14">
        <f>113.7248 * CHOOSE(CONTROL!$C$9, $D$9, 100%, $F$9) + CHOOSE(CONTROL!$C$27, 0.0021, 0)</f>
        <v>113.7269</v>
      </c>
      <c r="F769" s="14">
        <f>113.7248 * CHOOSE(CONTROL!$C$9, $D$9, 100%, $F$9) + CHOOSE(CONTROL!$C$27, 0.0021, 0)</f>
        <v>113.7269</v>
      </c>
      <c r="G769" s="14">
        <f>113.9962 * CHOOSE(CONTROL!$C$9, $D$9, 100%, $F$9) + CHOOSE(CONTROL!$C$27, 0.0021, 0)</f>
        <v>113.9983</v>
      </c>
      <c r="H769" s="14">
        <f>113.8614 * CHOOSE(CONTROL!$C$9, $D$9, 100%, $F$9) + CHOOSE(CONTROL!$C$27, 0.0021, 0)</f>
        <v>113.8635</v>
      </c>
      <c r="I769" s="14">
        <f>113.8614 * CHOOSE(CONTROL!$C$9, $D$9, 100%, $F$9) + CHOOSE(CONTROL!$C$27, 0.0021, 0)</f>
        <v>113.8635</v>
      </c>
      <c r="J769" s="14">
        <f>113.8614 * CHOOSE(CONTROL!$C$9, $D$9, 100%, $F$9) + CHOOSE(CONTROL!$C$27, 0.0021, 0)</f>
        <v>113.8635</v>
      </c>
      <c r="K769" s="14">
        <f>113.8614 * CHOOSE(CONTROL!$C$9, $D$9, 100%, $F$9) + CHOOSE(CONTROL!$C$27, 0.0021, 0)</f>
        <v>113.8635</v>
      </c>
      <c r="L769" s="14"/>
    </row>
    <row r="770" spans="1:12" ht="15.75" x14ac:dyDescent="0.25">
      <c r="A770" s="31">
        <v>64375</v>
      </c>
      <c r="B770" s="14">
        <f>120.1968 * CHOOSE(CONTROL!$C$9, $D$9, 100%, $F$9) + CHOOSE(CONTROL!$C$27, 0.0021, 0)</f>
        <v>120.19889999999999</v>
      </c>
      <c r="C770" s="14">
        <f>119.7646 * CHOOSE(CONTROL!$C$9, $D$9, 100%, $F$9) + CHOOSE(CONTROL!$C$27, 0.0021, 0)</f>
        <v>119.7667</v>
      </c>
      <c r="D770" s="14">
        <f>119.7646 * CHOOSE(CONTROL!$C$9, $D$9, 100%, $F$9) + CHOOSE(CONTROL!$C$27, 0.0021, 0)</f>
        <v>119.7667</v>
      </c>
      <c r="E770" s="14">
        <f>119.6279 * CHOOSE(CONTROL!$C$9, $D$9, 100%, $F$9) + CHOOSE(CONTROL!$C$27, 0.0021, 0)</f>
        <v>119.63</v>
      </c>
      <c r="F770" s="14">
        <f>119.6279 * CHOOSE(CONTROL!$C$9, $D$9, 100%, $F$9) + CHOOSE(CONTROL!$C$27, 0.0021, 0)</f>
        <v>119.63</v>
      </c>
      <c r="G770" s="14">
        <f>119.8993 * CHOOSE(CONTROL!$C$9, $D$9, 100%, $F$9) + CHOOSE(CONTROL!$C$27, 0.0021, 0)</f>
        <v>119.9014</v>
      </c>
      <c r="H770" s="14">
        <f>119.7646 * CHOOSE(CONTROL!$C$9, $D$9, 100%, $F$9) + CHOOSE(CONTROL!$C$27, 0.0021, 0)</f>
        <v>119.7667</v>
      </c>
      <c r="I770" s="14">
        <f>119.7646 * CHOOSE(CONTROL!$C$9, $D$9, 100%, $F$9) + CHOOSE(CONTROL!$C$27, 0.0021, 0)</f>
        <v>119.7667</v>
      </c>
      <c r="J770" s="14">
        <f>119.7646 * CHOOSE(CONTROL!$C$9, $D$9, 100%, $F$9) + CHOOSE(CONTROL!$C$27, 0.0021, 0)</f>
        <v>119.7667</v>
      </c>
      <c r="K770" s="14">
        <f>119.7646 * CHOOSE(CONTROL!$C$9, $D$9, 100%, $F$9) + CHOOSE(CONTROL!$C$27, 0.0021, 0)</f>
        <v>119.7667</v>
      </c>
      <c r="L770" s="14"/>
    </row>
    <row r="771" spans="1:12" ht="15.75" x14ac:dyDescent="0.25">
      <c r="A771" s="31">
        <v>64405</v>
      </c>
      <c r="B771" s="14">
        <f>127.8517 * CHOOSE(CONTROL!$C$9, $D$9, 100%, $F$9) + CHOOSE(CONTROL!$C$27, 0.0021, 0)</f>
        <v>127.85379999999999</v>
      </c>
      <c r="C771" s="14">
        <f>127.4195 * CHOOSE(CONTROL!$C$9, $D$9, 100%, $F$9) + CHOOSE(CONTROL!$C$27, 0.0021, 0)</f>
        <v>127.4216</v>
      </c>
      <c r="D771" s="14">
        <f>127.4195 * CHOOSE(CONTROL!$C$9, $D$9, 100%, $F$9) + CHOOSE(CONTROL!$C$27, 0.0021, 0)</f>
        <v>127.4216</v>
      </c>
      <c r="E771" s="14">
        <f>127.2828 * CHOOSE(CONTROL!$C$9, $D$9, 100%, $F$9) + CHOOSE(CONTROL!$C$27, 0.0021, 0)</f>
        <v>127.28489999999999</v>
      </c>
      <c r="F771" s="14">
        <f>127.2828 * CHOOSE(CONTROL!$C$9, $D$9, 100%, $F$9) + CHOOSE(CONTROL!$C$27, 0.0021, 0)</f>
        <v>127.28489999999999</v>
      </c>
      <c r="G771" s="14">
        <f>127.5542 * CHOOSE(CONTROL!$C$9, $D$9, 100%, $F$9) + CHOOSE(CONTROL!$C$27, 0.0021, 0)</f>
        <v>127.55629999999999</v>
      </c>
      <c r="H771" s="14">
        <f>127.4195 * CHOOSE(CONTROL!$C$9, $D$9, 100%, $F$9) + CHOOSE(CONTROL!$C$27, 0.0021, 0)</f>
        <v>127.4216</v>
      </c>
      <c r="I771" s="14">
        <f>127.4195 * CHOOSE(CONTROL!$C$9, $D$9, 100%, $F$9) + CHOOSE(CONTROL!$C$27, 0.0021, 0)</f>
        <v>127.4216</v>
      </c>
      <c r="J771" s="14">
        <f>127.4195 * CHOOSE(CONTROL!$C$9, $D$9, 100%, $F$9) + CHOOSE(CONTROL!$C$27, 0.0021, 0)</f>
        <v>127.4216</v>
      </c>
      <c r="K771" s="14">
        <f>127.4195 * CHOOSE(CONTROL!$C$9, $D$9, 100%, $F$9) + CHOOSE(CONTROL!$C$27, 0.0021, 0)</f>
        <v>127.4216</v>
      </c>
      <c r="L771" s="14"/>
    </row>
    <row r="772" spans="1:12" ht="15.75" x14ac:dyDescent="0.25">
      <c r="A772" s="31">
        <v>64436</v>
      </c>
      <c r="B772" s="14">
        <f>132.0653 * CHOOSE(CONTROL!$C$9, $D$9, 100%, $F$9) + CHOOSE(CONTROL!$C$27, 0.0021, 0)</f>
        <v>132.06740000000002</v>
      </c>
      <c r="C772" s="14">
        <f>131.633 * CHOOSE(CONTROL!$C$9, $D$9, 100%, $F$9) + CHOOSE(CONTROL!$C$27, 0.0021, 0)</f>
        <v>131.63510000000002</v>
      </c>
      <c r="D772" s="14">
        <f>131.633 * CHOOSE(CONTROL!$C$9, $D$9, 100%, $F$9) + CHOOSE(CONTROL!$C$27, 0.0021, 0)</f>
        <v>131.63510000000002</v>
      </c>
      <c r="E772" s="14">
        <f>131.4964 * CHOOSE(CONTROL!$C$9, $D$9, 100%, $F$9) + CHOOSE(CONTROL!$C$27, 0.0021, 0)</f>
        <v>131.49850000000001</v>
      </c>
      <c r="F772" s="14">
        <f>131.4964 * CHOOSE(CONTROL!$C$9, $D$9, 100%, $F$9) + CHOOSE(CONTROL!$C$27, 0.0021, 0)</f>
        <v>131.49850000000001</v>
      </c>
      <c r="G772" s="14">
        <f>131.7677 * CHOOSE(CONTROL!$C$9, $D$9, 100%, $F$9) + CHOOSE(CONTROL!$C$27, 0.0021, 0)</f>
        <v>131.7698</v>
      </c>
      <c r="H772" s="14">
        <f>131.633 * CHOOSE(CONTROL!$C$9, $D$9, 100%, $F$9) + CHOOSE(CONTROL!$C$27, 0.0021, 0)</f>
        <v>131.63510000000002</v>
      </c>
      <c r="I772" s="14">
        <f>131.633 * CHOOSE(CONTROL!$C$9, $D$9, 100%, $F$9) + CHOOSE(CONTROL!$C$27, 0.0021, 0)</f>
        <v>131.63510000000002</v>
      </c>
      <c r="J772" s="14">
        <f>131.633 * CHOOSE(CONTROL!$C$9, $D$9, 100%, $F$9) + CHOOSE(CONTROL!$C$27, 0.0021, 0)</f>
        <v>131.63510000000002</v>
      </c>
      <c r="K772" s="14">
        <f>131.633 * CHOOSE(CONTROL!$C$9, $D$9, 100%, $F$9) + CHOOSE(CONTROL!$C$27, 0.0021, 0)</f>
        <v>131.63510000000002</v>
      </c>
      <c r="L772" s="14"/>
    </row>
    <row r="773" spans="1:12" ht="15.75" x14ac:dyDescent="0.25">
      <c r="A773" s="31">
        <v>64466</v>
      </c>
      <c r="B773" s="14">
        <f>133.9352 * CHOOSE(CONTROL!$C$9, $D$9, 100%, $F$9) + CHOOSE(CONTROL!$C$27, 0.0021, 0)</f>
        <v>133.93730000000002</v>
      </c>
      <c r="C773" s="14">
        <f>133.5029 * CHOOSE(CONTROL!$C$9, $D$9, 100%, $F$9) + CHOOSE(CONTROL!$C$27, 0.0021, 0)</f>
        <v>133.50500000000002</v>
      </c>
      <c r="D773" s="14">
        <f>133.5029 * CHOOSE(CONTROL!$C$9, $D$9, 100%, $F$9) + CHOOSE(CONTROL!$C$27, 0.0021, 0)</f>
        <v>133.50500000000002</v>
      </c>
      <c r="E773" s="14">
        <f>133.3662 * CHOOSE(CONTROL!$C$9, $D$9, 100%, $F$9) + CHOOSE(CONTROL!$C$27, 0.0021, 0)</f>
        <v>133.3683</v>
      </c>
      <c r="F773" s="14">
        <f>133.3662 * CHOOSE(CONTROL!$C$9, $D$9, 100%, $F$9) + CHOOSE(CONTROL!$C$27, 0.0021, 0)</f>
        <v>133.3683</v>
      </c>
      <c r="G773" s="14">
        <f>133.6376 * CHOOSE(CONTROL!$C$9, $D$9, 100%, $F$9) + CHOOSE(CONTROL!$C$27, 0.0021, 0)</f>
        <v>133.6397</v>
      </c>
      <c r="H773" s="14">
        <f>133.5029 * CHOOSE(CONTROL!$C$9, $D$9, 100%, $F$9) + CHOOSE(CONTROL!$C$27, 0.0021, 0)</f>
        <v>133.50500000000002</v>
      </c>
      <c r="I773" s="14">
        <f>133.5029 * CHOOSE(CONTROL!$C$9, $D$9, 100%, $F$9) + CHOOSE(CONTROL!$C$27, 0.0021, 0)</f>
        <v>133.50500000000002</v>
      </c>
      <c r="J773" s="14">
        <f>133.5029 * CHOOSE(CONTROL!$C$9, $D$9, 100%, $F$9) + CHOOSE(CONTROL!$C$27, 0.0021, 0)</f>
        <v>133.50500000000002</v>
      </c>
      <c r="K773" s="14">
        <f>133.5029 * CHOOSE(CONTROL!$C$9, $D$9, 100%, $F$9) + CHOOSE(CONTROL!$C$27, 0.0021, 0)</f>
        <v>133.50500000000002</v>
      </c>
      <c r="L773" s="14"/>
    </row>
    <row r="774" spans="1:12" ht="15.75" x14ac:dyDescent="0.25">
      <c r="A774" s="31">
        <v>64497</v>
      </c>
      <c r="B774" s="14">
        <f>133.3195 * CHOOSE(CONTROL!$C$9, $D$9, 100%, $F$9) + CHOOSE(CONTROL!$C$27, 0.0021, 0)</f>
        <v>133.32160000000002</v>
      </c>
      <c r="C774" s="14">
        <f>132.8873 * CHOOSE(CONTROL!$C$9, $D$9, 100%, $F$9) + CHOOSE(CONTROL!$C$27, 0.0021, 0)</f>
        <v>132.88940000000002</v>
      </c>
      <c r="D774" s="14">
        <f>132.8873 * CHOOSE(CONTROL!$C$9, $D$9, 100%, $F$9) + CHOOSE(CONTROL!$C$27, 0.0021, 0)</f>
        <v>132.88940000000002</v>
      </c>
      <c r="E774" s="14">
        <f>132.7506 * CHOOSE(CONTROL!$C$9, $D$9, 100%, $F$9) + CHOOSE(CONTROL!$C$27, 0.0021, 0)</f>
        <v>132.7527</v>
      </c>
      <c r="F774" s="14">
        <f>132.7506 * CHOOSE(CONTROL!$C$9, $D$9, 100%, $F$9) + CHOOSE(CONTROL!$C$27, 0.0021, 0)</f>
        <v>132.7527</v>
      </c>
      <c r="G774" s="14">
        <f>133.022 * CHOOSE(CONTROL!$C$9, $D$9, 100%, $F$9) + CHOOSE(CONTROL!$C$27, 0.0021, 0)</f>
        <v>133.0241</v>
      </c>
      <c r="H774" s="14">
        <f>132.8873 * CHOOSE(CONTROL!$C$9, $D$9, 100%, $F$9) + CHOOSE(CONTROL!$C$27, 0.0021, 0)</f>
        <v>132.88940000000002</v>
      </c>
      <c r="I774" s="14">
        <f>132.8873 * CHOOSE(CONTROL!$C$9, $D$9, 100%, $F$9) + CHOOSE(CONTROL!$C$27, 0.0021, 0)</f>
        <v>132.88940000000002</v>
      </c>
      <c r="J774" s="14">
        <f>132.8873 * CHOOSE(CONTROL!$C$9, $D$9, 100%, $F$9) + CHOOSE(CONTROL!$C$27, 0.0021, 0)</f>
        <v>132.88940000000002</v>
      </c>
      <c r="K774" s="14">
        <f>132.8873 * CHOOSE(CONTROL!$C$9, $D$9, 100%, $F$9) + CHOOSE(CONTROL!$C$27, 0.0021, 0)</f>
        <v>132.88940000000002</v>
      </c>
      <c r="L774" s="14"/>
    </row>
    <row r="775" spans="1:12" ht="15.75" x14ac:dyDescent="0.25">
      <c r="A775" s="31">
        <v>64528</v>
      </c>
      <c r="B775" s="14">
        <f>130.2692 * CHOOSE(CONTROL!$C$9, $D$9, 100%, $F$9) + CHOOSE(CONTROL!$C$27, 0.0021, 0)</f>
        <v>130.27130000000002</v>
      </c>
      <c r="C775" s="14">
        <f>129.837 * CHOOSE(CONTROL!$C$9, $D$9, 100%, $F$9) + CHOOSE(CONTROL!$C$27, 0.0021, 0)</f>
        <v>129.8391</v>
      </c>
      <c r="D775" s="14">
        <f>129.837 * CHOOSE(CONTROL!$C$9, $D$9, 100%, $F$9) + CHOOSE(CONTROL!$C$27, 0.0021, 0)</f>
        <v>129.8391</v>
      </c>
      <c r="E775" s="14">
        <f>129.7003 * CHOOSE(CONTROL!$C$9, $D$9, 100%, $F$9) + CHOOSE(CONTROL!$C$27, 0.0021, 0)</f>
        <v>129.70240000000001</v>
      </c>
      <c r="F775" s="14">
        <f>129.7003 * CHOOSE(CONTROL!$C$9, $D$9, 100%, $F$9) + CHOOSE(CONTROL!$C$27, 0.0021, 0)</f>
        <v>129.70240000000001</v>
      </c>
      <c r="G775" s="14">
        <f>129.9717 * CHOOSE(CONTROL!$C$9, $D$9, 100%, $F$9) + CHOOSE(CONTROL!$C$27, 0.0021, 0)</f>
        <v>129.97380000000001</v>
      </c>
      <c r="H775" s="14">
        <f>129.837 * CHOOSE(CONTROL!$C$9, $D$9, 100%, $F$9) + CHOOSE(CONTROL!$C$27, 0.0021, 0)</f>
        <v>129.8391</v>
      </c>
      <c r="I775" s="14">
        <f>129.837 * CHOOSE(CONTROL!$C$9, $D$9, 100%, $F$9) + CHOOSE(CONTROL!$C$27, 0.0021, 0)</f>
        <v>129.8391</v>
      </c>
      <c r="J775" s="14">
        <f>129.837 * CHOOSE(CONTROL!$C$9, $D$9, 100%, $F$9) + CHOOSE(CONTROL!$C$27, 0.0021, 0)</f>
        <v>129.8391</v>
      </c>
      <c r="K775" s="14">
        <f>129.837 * CHOOSE(CONTROL!$C$9, $D$9, 100%, $F$9) + CHOOSE(CONTROL!$C$27, 0.0021, 0)</f>
        <v>129.8391</v>
      </c>
      <c r="L775" s="14"/>
    </row>
    <row r="776" spans="1:12" ht="15.75" x14ac:dyDescent="0.25">
      <c r="A776" s="31">
        <v>64558</v>
      </c>
      <c r="B776" s="14">
        <f>126.0155 * CHOOSE(CONTROL!$C$9, $D$9, 100%, $F$9) + CHOOSE(CONTROL!$C$27, 0.0021, 0)</f>
        <v>126.0176</v>
      </c>
      <c r="C776" s="14">
        <f>125.5833 * CHOOSE(CONTROL!$C$9, $D$9, 100%, $F$9) + CHOOSE(CONTROL!$C$27, 0.0021, 0)</f>
        <v>125.58539999999999</v>
      </c>
      <c r="D776" s="14">
        <f>125.5833 * CHOOSE(CONTROL!$C$9, $D$9, 100%, $F$9) + CHOOSE(CONTROL!$C$27, 0.0021, 0)</f>
        <v>125.58539999999999</v>
      </c>
      <c r="E776" s="14">
        <f>125.4466 * CHOOSE(CONTROL!$C$9, $D$9, 100%, $F$9) + CHOOSE(CONTROL!$C$27, 0.0021, 0)</f>
        <v>125.4487</v>
      </c>
      <c r="F776" s="14">
        <f>125.4466 * CHOOSE(CONTROL!$C$9, $D$9, 100%, $F$9) + CHOOSE(CONTROL!$C$27, 0.0021, 0)</f>
        <v>125.4487</v>
      </c>
      <c r="G776" s="14">
        <f>125.718 * CHOOSE(CONTROL!$C$9, $D$9, 100%, $F$9) + CHOOSE(CONTROL!$C$27, 0.0021, 0)</f>
        <v>125.7201</v>
      </c>
      <c r="H776" s="14">
        <f>125.5833 * CHOOSE(CONTROL!$C$9, $D$9, 100%, $F$9) + CHOOSE(CONTROL!$C$27, 0.0021, 0)</f>
        <v>125.58539999999999</v>
      </c>
      <c r="I776" s="14">
        <f>125.5833 * CHOOSE(CONTROL!$C$9, $D$9, 100%, $F$9) + CHOOSE(CONTROL!$C$27, 0.0021, 0)</f>
        <v>125.58539999999999</v>
      </c>
      <c r="J776" s="14">
        <f>125.5833 * CHOOSE(CONTROL!$C$9, $D$9, 100%, $F$9) + CHOOSE(CONTROL!$C$27, 0.0021, 0)</f>
        <v>125.58539999999999</v>
      </c>
      <c r="K776" s="14">
        <f>125.5833 * CHOOSE(CONTROL!$C$9, $D$9, 100%, $F$9) + CHOOSE(CONTROL!$C$27, 0.0021, 0)</f>
        <v>125.58539999999999</v>
      </c>
      <c r="L776" s="14"/>
    </row>
    <row r="777" spans="1:12" ht="15.75" x14ac:dyDescent="0.25">
      <c r="A777" s="31">
        <v>64589</v>
      </c>
      <c r="B777" s="14">
        <f>121.737 * CHOOSE(CONTROL!$C$9, $D$9, 100%, $F$9) + CHOOSE(CONTROL!$C$27, 0.0021, 0)</f>
        <v>121.73909999999999</v>
      </c>
      <c r="C777" s="14">
        <f>121.3048 * CHOOSE(CONTROL!$C$9, $D$9, 100%, $F$9) + CHOOSE(CONTROL!$C$27, 0.0021, 0)</f>
        <v>121.3069</v>
      </c>
      <c r="D777" s="14">
        <f>121.3048 * CHOOSE(CONTROL!$C$9, $D$9, 100%, $F$9) + CHOOSE(CONTROL!$C$27, 0.0021, 0)</f>
        <v>121.3069</v>
      </c>
      <c r="E777" s="14">
        <f>121.1681 * CHOOSE(CONTROL!$C$9, $D$9, 100%, $F$9) + CHOOSE(CONTROL!$C$27, 0.0021, 0)</f>
        <v>121.17019999999999</v>
      </c>
      <c r="F777" s="14">
        <f>121.1681 * CHOOSE(CONTROL!$C$9, $D$9, 100%, $F$9) + CHOOSE(CONTROL!$C$27, 0.0021, 0)</f>
        <v>121.17019999999999</v>
      </c>
      <c r="G777" s="14">
        <f>121.4395 * CHOOSE(CONTROL!$C$9, $D$9, 100%, $F$9) + CHOOSE(CONTROL!$C$27, 0.0021, 0)</f>
        <v>121.44159999999999</v>
      </c>
      <c r="H777" s="14">
        <f>121.3048 * CHOOSE(CONTROL!$C$9, $D$9, 100%, $F$9) + CHOOSE(CONTROL!$C$27, 0.0021, 0)</f>
        <v>121.3069</v>
      </c>
      <c r="I777" s="14">
        <f>121.3048 * CHOOSE(CONTROL!$C$9, $D$9, 100%, $F$9) + CHOOSE(CONTROL!$C$27, 0.0021, 0)</f>
        <v>121.3069</v>
      </c>
      <c r="J777" s="14">
        <f>121.3048 * CHOOSE(CONTROL!$C$9, $D$9, 100%, $F$9) + CHOOSE(CONTROL!$C$27, 0.0021, 0)</f>
        <v>121.3069</v>
      </c>
      <c r="K777" s="14">
        <f>121.3048 * CHOOSE(CONTROL!$C$9, $D$9, 100%, $F$9) + CHOOSE(CONTROL!$C$27, 0.0021, 0)</f>
        <v>121.3069</v>
      </c>
      <c r="L777" s="14"/>
    </row>
    <row r="778" spans="1:12" ht="15.75" x14ac:dyDescent="0.25">
      <c r="A778" s="31">
        <v>64619</v>
      </c>
      <c r="B778" s="14">
        <f>120.886 * CHOOSE(CONTROL!$C$9, $D$9, 100%, $F$9) + CHOOSE(CONTROL!$C$27, 0.0021, 0)</f>
        <v>120.88809999999999</v>
      </c>
      <c r="C778" s="14">
        <f>120.4537 * CHOOSE(CONTROL!$C$9, $D$9, 100%, $F$9) + CHOOSE(CONTROL!$C$27, 0.0021, 0)</f>
        <v>120.4558</v>
      </c>
      <c r="D778" s="14">
        <f>120.4537 * CHOOSE(CONTROL!$C$9, $D$9, 100%, $F$9) + CHOOSE(CONTROL!$C$27, 0.0021, 0)</f>
        <v>120.4558</v>
      </c>
      <c r="E778" s="14">
        <f>120.3171 * CHOOSE(CONTROL!$C$9, $D$9, 100%, $F$9) + CHOOSE(CONTROL!$C$27, 0.0021, 0)</f>
        <v>120.3192</v>
      </c>
      <c r="F778" s="14">
        <f>120.3171 * CHOOSE(CONTROL!$C$9, $D$9, 100%, $F$9) + CHOOSE(CONTROL!$C$27, 0.0021, 0)</f>
        <v>120.3192</v>
      </c>
      <c r="G778" s="14">
        <f>120.5884 * CHOOSE(CONTROL!$C$9, $D$9, 100%, $F$9) + CHOOSE(CONTROL!$C$27, 0.0021, 0)</f>
        <v>120.59049999999999</v>
      </c>
      <c r="H778" s="14">
        <f>120.4537 * CHOOSE(CONTROL!$C$9, $D$9, 100%, $F$9) + CHOOSE(CONTROL!$C$27, 0.0021, 0)</f>
        <v>120.4558</v>
      </c>
      <c r="I778" s="14">
        <f>120.4537 * CHOOSE(CONTROL!$C$9, $D$9, 100%, $F$9) + CHOOSE(CONTROL!$C$27, 0.0021, 0)</f>
        <v>120.4558</v>
      </c>
      <c r="J778" s="14">
        <f>120.4537 * CHOOSE(CONTROL!$C$9, $D$9, 100%, $F$9) + CHOOSE(CONTROL!$C$27, 0.0021, 0)</f>
        <v>120.4558</v>
      </c>
      <c r="K778" s="14">
        <f>120.4537 * CHOOSE(CONTROL!$C$9, $D$9, 100%, $F$9) + CHOOSE(CONTROL!$C$27, 0.0021, 0)</f>
        <v>120.4558</v>
      </c>
      <c r="L778" s="14"/>
    </row>
    <row r="779" spans="1:12" ht="15.75" x14ac:dyDescent="0.25">
      <c r="A779" s="31">
        <v>64650</v>
      </c>
      <c r="B779" s="14">
        <f>117.3667 * CHOOSE(CONTROL!$C$9, $D$9, 100%, $F$9) + CHOOSE(CONTROL!$C$27, 0.0021, 0)</f>
        <v>117.36879999999999</v>
      </c>
      <c r="C779" s="14">
        <f>116.9344 * CHOOSE(CONTROL!$C$9, $D$9, 100%, $F$9) + CHOOSE(CONTROL!$C$27, 0.0021, 0)</f>
        <v>116.9365</v>
      </c>
      <c r="D779" s="14">
        <f>116.9344 * CHOOSE(CONTROL!$C$9, $D$9, 100%, $F$9) + CHOOSE(CONTROL!$C$27, 0.0021, 0)</f>
        <v>116.9365</v>
      </c>
      <c r="E779" s="14">
        <f>116.7978 * CHOOSE(CONTROL!$C$9, $D$9, 100%, $F$9) + CHOOSE(CONTROL!$C$27, 0.0021, 0)</f>
        <v>116.79989999999999</v>
      </c>
      <c r="F779" s="14">
        <f>116.7978 * CHOOSE(CONTROL!$C$9, $D$9, 100%, $F$9) + CHOOSE(CONTROL!$C$27, 0.0021, 0)</f>
        <v>116.79989999999999</v>
      </c>
      <c r="G779" s="14">
        <f>117.0692 * CHOOSE(CONTROL!$C$9, $D$9, 100%, $F$9) + CHOOSE(CONTROL!$C$27, 0.0021, 0)</f>
        <v>117.07129999999999</v>
      </c>
      <c r="H779" s="14">
        <f>116.9344 * CHOOSE(CONTROL!$C$9, $D$9, 100%, $F$9) + CHOOSE(CONTROL!$C$27, 0.0021, 0)</f>
        <v>116.9365</v>
      </c>
      <c r="I779" s="14">
        <f>116.9344 * CHOOSE(CONTROL!$C$9, $D$9, 100%, $F$9) + CHOOSE(CONTROL!$C$27, 0.0021, 0)</f>
        <v>116.9365</v>
      </c>
      <c r="J779" s="14">
        <f>116.9344 * CHOOSE(CONTROL!$C$9, $D$9, 100%, $F$9) + CHOOSE(CONTROL!$C$27, 0.0021, 0)</f>
        <v>116.9365</v>
      </c>
      <c r="K779" s="14">
        <f>116.9344 * CHOOSE(CONTROL!$C$9, $D$9, 100%, $F$9) + CHOOSE(CONTROL!$C$27, 0.0021, 0)</f>
        <v>116.9365</v>
      </c>
      <c r="L779" s="14"/>
    </row>
    <row r="780" spans="1:12" ht="15.75" x14ac:dyDescent="0.25">
      <c r="A780" s="31">
        <v>64681</v>
      </c>
      <c r="B780" s="14">
        <f>116.6815 * CHOOSE(CONTROL!$C$9, $D$9, 100%, $F$9) + CHOOSE(CONTROL!$C$27, 0.0021, 0)</f>
        <v>116.6836</v>
      </c>
      <c r="C780" s="14">
        <f>116.2493 * CHOOSE(CONTROL!$C$9, $D$9, 100%, $F$9) + CHOOSE(CONTROL!$C$27, 0.0021, 0)</f>
        <v>116.2514</v>
      </c>
      <c r="D780" s="14">
        <f>116.2493 * CHOOSE(CONTROL!$C$9, $D$9, 100%, $F$9) + CHOOSE(CONTROL!$C$27, 0.0021, 0)</f>
        <v>116.2514</v>
      </c>
      <c r="E780" s="14">
        <f>116.1126 * CHOOSE(CONTROL!$C$9, $D$9, 100%, $F$9) + CHOOSE(CONTROL!$C$27, 0.0021, 0)</f>
        <v>116.1147</v>
      </c>
      <c r="F780" s="14">
        <f>116.1126 * CHOOSE(CONTROL!$C$9, $D$9, 100%, $F$9) + CHOOSE(CONTROL!$C$27, 0.0021, 0)</f>
        <v>116.1147</v>
      </c>
      <c r="G780" s="14">
        <f>116.384 * CHOOSE(CONTROL!$C$9, $D$9, 100%, $F$9) + CHOOSE(CONTROL!$C$27, 0.0021, 0)</f>
        <v>116.3861</v>
      </c>
      <c r="H780" s="14">
        <f>116.2493 * CHOOSE(CONTROL!$C$9, $D$9, 100%, $F$9) + CHOOSE(CONTROL!$C$27, 0.0021, 0)</f>
        <v>116.2514</v>
      </c>
      <c r="I780" s="14">
        <f>116.2493 * CHOOSE(CONTROL!$C$9, $D$9, 100%, $F$9) + CHOOSE(CONTROL!$C$27, 0.0021, 0)</f>
        <v>116.2514</v>
      </c>
      <c r="J780" s="14">
        <f>116.2493 * CHOOSE(CONTROL!$C$9, $D$9, 100%, $F$9) + CHOOSE(CONTROL!$C$27, 0.0021, 0)</f>
        <v>116.2514</v>
      </c>
      <c r="K780" s="14">
        <f>116.2493 * CHOOSE(CONTROL!$C$9, $D$9, 100%, $F$9) + CHOOSE(CONTROL!$C$27, 0.0021, 0)</f>
        <v>116.2514</v>
      </c>
      <c r="L780" s="14"/>
    </row>
    <row r="781" spans="1:12" ht="15.75" x14ac:dyDescent="0.25">
      <c r="A781" s="31">
        <v>64709</v>
      </c>
      <c r="B781" s="14">
        <f>116.3636 * CHOOSE(CONTROL!$C$9, $D$9, 100%, $F$9) + CHOOSE(CONTROL!$C$27, 0.0021, 0)</f>
        <v>116.3657</v>
      </c>
      <c r="C781" s="14">
        <f>115.9313 * CHOOSE(CONTROL!$C$9, $D$9, 100%, $F$9) + CHOOSE(CONTROL!$C$27, 0.0021, 0)</f>
        <v>115.93339999999999</v>
      </c>
      <c r="D781" s="14">
        <f>115.9313 * CHOOSE(CONTROL!$C$9, $D$9, 100%, $F$9) + CHOOSE(CONTROL!$C$27, 0.0021, 0)</f>
        <v>115.93339999999999</v>
      </c>
      <c r="E781" s="14">
        <f>115.7947 * CHOOSE(CONTROL!$C$9, $D$9, 100%, $F$9) + CHOOSE(CONTROL!$C$27, 0.0021, 0)</f>
        <v>115.7968</v>
      </c>
      <c r="F781" s="14">
        <f>115.7947 * CHOOSE(CONTROL!$C$9, $D$9, 100%, $F$9) + CHOOSE(CONTROL!$C$27, 0.0021, 0)</f>
        <v>115.7968</v>
      </c>
      <c r="G781" s="14">
        <f>116.066 * CHOOSE(CONTROL!$C$9, $D$9, 100%, $F$9) + CHOOSE(CONTROL!$C$27, 0.0021, 0)</f>
        <v>116.0681</v>
      </c>
      <c r="H781" s="14">
        <f>115.9313 * CHOOSE(CONTROL!$C$9, $D$9, 100%, $F$9) + CHOOSE(CONTROL!$C$27, 0.0021, 0)</f>
        <v>115.93339999999999</v>
      </c>
      <c r="I781" s="14">
        <f>115.9313 * CHOOSE(CONTROL!$C$9, $D$9, 100%, $F$9) + CHOOSE(CONTROL!$C$27, 0.0021, 0)</f>
        <v>115.93339999999999</v>
      </c>
      <c r="J781" s="14">
        <f>115.9313 * CHOOSE(CONTROL!$C$9, $D$9, 100%, $F$9) + CHOOSE(CONTROL!$C$27, 0.0021, 0)</f>
        <v>115.93339999999999</v>
      </c>
      <c r="K781" s="14">
        <f>115.9313 * CHOOSE(CONTROL!$C$9, $D$9, 100%, $F$9) + CHOOSE(CONTROL!$C$27, 0.0021, 0)</f>
        <v>115.93339999999999</v>
      </c>
      <c r="L781" s="14"/>
    </row>
    <row r="782" spans="1:12" ht="15.75" x14ac:dyDescent="0.25">
      <c r="A782" s="31">
        <v>64740</v>
      </c>
      <c r="B782" s="14">
        <f>122.3758 * CHOOSE(CONTROL!$C$9, $D$9, 100%, $F$9) + CHOOSE(CONTROL!$C$27, 0.0021, 0)</f>
        <v>122.3779</v>
      </c>
      <c r="C782" s="14">
        <f>121.9435 * CHOOSE(CONTROL!$C$9, $D$9, 100%, $F$9) + CHOOSE(CONTROL!$C$27, 0.0021, 0)</f>
        <v>121.9456</v>
      </c>
      <c r="D782" s="14">
        <f>121.9435 * CHOOSE(CONTROL!$C$9, $D$9, 100%, $F$9) + CHOOSE(CONTROL!$C$27, 0.0021, 0)</f>
        <v>121.9456</v>
      </c>
      <c r="E782" s="14">
        <f>121.8069 * CHOOSE(CONTROL!$C$9, $D$9, 100%, $F$9) + CHOOSE(CONTROL!$C$27, 0.0021, 0)</f>
        <v>121.809</v>
      </c>
      <c r="F782" s="14">
        <f>121.8069 * CHOOSE(CONTROL!$C$9, $D$9, 100%, $F$9) + CHOOSE(CONTROL!$C$27, 0.0021, 0)</f>
        <v>121.809</v>
      </c>
      <c r="G782" s="14">
        <f>122.0782 * CHOOSE(CONTROL!$C$9, $D$9, 100%, $F$9) + CHOOSE(CONTROL!$C$27, 0.0021, 0)</f>
        <v>122.08029999999999</v>
      </c>
      <c r="H782" s="14">
        <f>121.9435 * CHOOSE(CONTROL!$C$9, $D$9, 100%, $F$9) + CHOOSE(CONTROL!$C$27, 0.0021, 0)</f>
        <v>121.9456</v>
      </c>
      <c r="I782" s="14">
        <f>121.9435 * CHOOSE(CONTROL!$C$9, $D$9, 100%, $F$9) + CHOOSE(CONTROL!$C$27, 0.0021, 0)</f>
        <v>121.9456</v>
      </c>
      <c r="J782" s="14">
        <f>121.9435 * CHOOSE(CONTROL!$C$9, $D$9, 100%, $F$9) + CHOOSE(CONTROL!$C$27, 0.0021, 0)</f>
        <v>121.9456</v>
      </c>
      <c r="K782" s="14">
        <f>121.9435 * CHOOSE(CONTROL!$C$9, $D$9, 100%, $F$9) + CHOOSE(CONTROL!$C$27, 0.0021, 0)</f>
        <v>121.9456</v>
      </c>
      <c r="L782" s="14"/>
    </row>
    <row r="783" spans="1:12" ht="15.75" x14ac:dyDescent="0.25">
      <c r="A783" s="31">
        <v>64770</v>
      </c>
      <c r="B783" s="14">
        <f>130.1722 * CHOOSE(CONTROL!$C$9, $D$9, 100%, $F$9) + CHOOSE(CONTROL!$C$27, 0.0021, 0)</f>
        <v>130.17430000000002</v>
      </c>
      <c r="C783" s="14">
        <f>129.7399 * CHOOSE(CONTROL!$C$9, $D$9, 100%, $F$9) + CHOOSE(CONTROL!$C$27, 0.0021, 0)</f>
        <v>129.74200000000002</v>
      </c>
      <c r="D783" s="14">
        <f>129.7399 * CHOOSE(CONTROL!$C$9, $D$9, 100%, $F$9) + CHOOSE(CONTROL!$C$27, 0.0021, 0)</f>
        <v>129.74200000000002</v>
      </c>
      <c r="E783" s="14">
        <f>129.6033 * CHOOSE(CONTROL!$C$9, $D$9, 100%, $F$9) + CHOOSE(CONTROL!$C$27, 0.0021, 0)</f>
        <v>129.6054</v>
      </c>
      <c r="F783" s="14">
        <f>129.6033 * CHOOSE(CONTROL!$C$9, $D$9, 100%, $F$9) + CHOOSE(CONTROL!$C$27, 0.0021, 0)</f>
        <v>129.6054</v>
      </c>
      <c r="G783" s="14">
        <f>129.8746 * CHOOSE(CONTROL!$C$9, $D$9, 100%, $F$9) + CHOOSE(CONTROL!$C$27, 0.0021, 0)</f>
        <v>129.8767</v>
      </c>
      <c r="H783" s="14">
        <f>129.7399 * CHOOSE(CONTROL!$C$9, $D$9, 100%, $F$9) + CHOOSE(CONTROL!$C$27, 0.0021, 0)</f>
        <v>129.74200000000002</v>
      </c>
      <c r="I783" s="14">
        <f>129.7399 * CHOOSE(CONTROL!$C$9, $D$9, 100%, $F$9) + CHOOSE(CONTROL!$C$27, 0.0021, 0)</f>
        <v>129.74200000000002</v>
      </c>
      <c r="J783" s="14">
        <f>129.7399 * CHOOSE(CONTROL!$C$9, $D$9, 100%, $F$9) + CHOOSE(CONTROL!$C$27, 0.0021, 0)</f>
        <v>129.74200000000002</v>
      </c>
      <c r="K783" s="14">
        <f>129.7399 * CHOOSE(CONTROL!$C$9, $D$9, 100%, $F$9) + CHOOSE(CONTROL!$C$27, 0.0021, 0)</f>
        <v>129.74200000000002</v>
      </c>
      <c r="L783" s="14"/>
    </row>
    <row r="784" spans="1:12" ht="15.75" x14ac:dyDescent="0.25">
      <c r="A784" s="31">
        <v>64801</v>
      </c>
      <c r="B784" s="14">
        <f>134.4636 * CHOOSE(CONTROL!$C$9, $D$9, 100%, $F$9) + CHOOSE(CONTROL!$C$27, 0.0021, 0)</f>
        <v>134.46570000000003</v>
      </c>
      <c r="C784" s="14">
        <f>134.0313 * CHOOSE(CONTROL!$C$9, $D$9, 100%, $F$9) + CHOOSE(CONTROL!$C$27, 0.0021, 0)</f>
        <v>134.0334</v>
      </c>
      <c r="D784" s="14">
        <f>134.0313 * CHOOSE(CONTROL!$C$9, $D$9, 100%, $F$9) + CHOOSE(CONTROL!$C$27, 0.0021, 0)</f>
        <v>134.0334</v>
      </c>
      <c r="E784" s="14">
        <f>133.8947 * CHOOSE(CONTROL!$C$9, $D$9, 100%, $F$9) + CHOOSE(CONTROL!$C$27, 0.0021, 0)</f>
        <v>133.89680000000001</v>
      </c>
      <c r="F784" s="14">
        <f>133.8947 * CHOOSE(CONTROL!$C$9, $D$9, 100%, $F$9) + CHOOSE(CONTROL!$C$27, 0.0021, 0)</f>
        <v>133.89680000000001</v>
      </c>
      <c r="G784" s="14">
        <f>134.166 * CHOOSE(CONTROL!$C$9, $D$9, 100%, $F$9) + CHOOSE(CONTROL!$C$27, 0.0021, 0)</f>
        <v>134.16810000000001</v>
      </c>
      <c r="H784" s="14">
        <f>134.0313 * CHOOSE(CONTROL!$C$9, $D$9, 100%, $F$9) + CHOOSE(CONTROL!$C$27, 0.0021, 0)</f>
        <v>134.0334</v>
      </c>
      <c r="I784" s="14">
        <f>134.0313 * CHOOSE(CONTROL!$C$9, $D$9, 100%, $F$9) + CHOOSE(CONTROL!$C$27, 0.0021, 0)</f>
        <v>134.0334</v>
      </c>
      <c r="J784" s="14">
        <f>134.0313 * CHOOSE(CONTROL!$C$9, $D$9, 100%, $F$9) + CHOOSE(CONTROL!$C$27, 0.0021, 0)</f>
        <v>134.0334</v>
      </c>
      <c r="K784" s="14">
        <f>134.0313 * CHOOSE(CONTROL!$C$9, $D$9, 100%, $F$9) + CHOOSE(CONTROL!$C$27, 0.0021, 0)</f>
        <v>134.0334</v>
      </c>
      <c r="L784" s="14"/>
    </row>
    <row r="785" spans="1:12" ht="15.75" x14ac:dyDescent="0.25">
      <c r="A785" s="31">
        <v>64831</v>
      </c>
      <c r="B785" s="14">
        <f>136.368 * CHOOSE(CONTROL!$C$9, $D$9, 100%, $F$9) + CHOOSE(CONTROL!$C$27, 0.0021, 0)</f>
        <v>136.37010000000001</v>
      </c>
      <c r="C785" s="14">
        <f>135.9358 * CHOOSE(CONTROL!$C$9, $D$9, 100%, $F$9) + CHOOSE(CONTROL!$C$27, 0.0021, 0)</f>
        <v>135.93790000000001</v>
      </c>
      <c r="D785" s="14">
        <f>135.9358 * CHOOSE(CONTROL!$C$9, $D$9, 100%, $F$9) + CHOOSE(CONTROL!$C$27, 0.0021, 0)</f>
        <v>135.93790000000001</v>
      </c>
      <c r="E785" s="14">
        <f>135.7991 * CHOOSE(CONTROL!$C$9, $D$9, 100%, $F$9) + CHOOSE(CONTROL!$C$27, 0.0021, 0)</f>
        <v>135.80120000000002</v>
      </c>
      <c r="F785" s="14">
        <f>135.7991 * CHOOSE(CONTROL!$C$9, $D$9, 100%, $F$9) + CHOOSE(CONTROL!$C$27, 0.0021, 0)</f>
        <v>135.80120000000002</v>
      </c>
      <c r="G785" s="14">
        <f>136.0705 * CHOOSE(CONTROL!$C$9, $D$9, 100%, $F$9) + CHOOSE(CONTROL!$C$27, 0.0021, 0)</f>
        <v>136.07260000000002</v>
      </c>
      <c r="H785" s="14">
        <f>135.9358 * CHOOSE(CONTROL!$C$9, $D$9, 100%, $F$9) + CHOOSE(CONTROL!$C$27, 0.0021, 0)</f>
        <v>135.93790000000001</v>
      </c>
      <c r="I785" s="14">
        <f>135.9358 * CHOOSE(CONTROL!$C$9, $D$9, 100%, $F$9) + CHOOSE(CONTROL!$C$27, 0.0021, 0)</f>
        <v>135.93790000000001</v>
      </c>
      <c r="J785" s="14">
        <f>135.9358 * CHOOSE(CONTROL!$C$9, $D$9, 100%, $F$9) + CHOOSE(CONTROL!$C$27, 0.0021, 0)</f>
        <v>135.93790000000001</v>
      </c>
      <c r="K785" s="14">
        <f>135.9358 * CHOOSE(CONTROL!$C$9, $D$9, 100%, $F$9) + CHOOSE(CONTROL!$C$27, 0.0021, 0)</f>
        <v>135.93790000000001</v>
      </c>
      <c r="L785" s="14"/>
    </row>
    <row r="786" spans="1:12" ht="15.75" x14ac:dyDescent="0.25">
      <c r="A786" s="31">
        <v>64862</v>
      </c>
      <c r="B786" s="14">
        <f>135.741 * CHOOSE(CONTROL!$C$9, $D$9, 100%, $F$9) + CHOOSE(CONTROL!$C$27, 0.0021, 0)</f>
        <v>135.74310000000003</v>
      </c>
      <c r="C786" s="14">
        <f>135.3087 * CHOOSE(CONTROL!$C$9, $D$9, 100%, $F$9) + CHOOSE(CONTROL!$C$27, 0.0021, 0)</f>
        <v>135.3108</v>
      </c>
      <c r="D786" s="14">
        <f>135.3087 * CHOOSE(CONTROL!$C$9, $D$9, 100%, $F$9) + CHOOSE(CONTROL!$C$27, 0.0021, 0)</f>
        <v>135.3108</v>
      </c>
      <c r="E786" s="14">
        <f>135.1721 * CHOOSE(CONTROL!$C$9, $D$9, 100%, $F$9) + CHOOSE(CONTROL!$C$27, 0.0021, 0)</f>
        <v>135.17420000000001</v>
      </c>
      <c r="F786" s="14">
        <f>135.1721 * CHOOSE(CONTROL!$C$9, $D$9, 100%, $F$9) + CHOOSE(CONTROL!$C$27, 0.0021, 0)</f>
        <v>135.17420000000001</v>
      </c>
      <c r="G786" s="14">
        <f>135.4434 * CHOOSE(CONTROL!$C$9, $D$9, 100%, $F$9) + CHOOSE(CONTROL!$C$27, 0.0021, 0)</f>
        <v>135.44550000000001</v>
      </c>
      <c r="H786" s="14">
        <f>135.3087 * CHOOSE(CONTROL!$C$9, $D$9, 100%, $F$9) + CHOOSE(CONTROL!$C$27, 0.0021, 0)</f>
        <v>135.3108</v>
      </c>
      <c r="I786" s="14">
        <f>135.3087 * CHOOSE(CONTROL!$C$9, $D$9, 100%, $F$9) + CHOOSE(CONTROL!$C$27, 0.0021, 0)</f>
        <v>135.3108</v>
      </c>
      <c r="J786" s="14">
        <f>135.3087 * CHOOSE(CONTROL!$C$9, $D$9, 100%, $F$9) + CHOOSE(CONTROL!$C$27, 0.0021, 0)</f>
        <v>135.3108</v>
      </c>
      <c r="K786" s="14">
        <f>135.3087 * CHOOSE(CONTROL!$C$9, $D$9, 100%, $F$9) + CHOOSE(CONTROL!$C$27, 0.0021, 0)</f>
        <v>135.3108</v>
      </c>
      <c r="L786" s="14"/>
    </row>
    <row r="787" spans="1:12" ht="15.75" x14ac:dyDescent="0.25">
      <c r="A787" s="31">
        <v>64893</v>
      </c>
      <c r="B787" s="14">
        <f>132.6344 * CHOOSE(CONTROL!$C$9, $D$9, 100%, $F$9) + CHOOSE(CONTROL!$C$27, 0.0021, 0)</f>
        <v>132.63650000000001</v>
      </c>
      <c r="C787" s="14">
        <f>132.2021 * CHOOSE(CONTROL!$C$9, $D$9, 100%, $F$9) + CHOOSE(CONTROL!$C$27, 0.0021, 0)</f>
        <v>132.20420000000001</v>
      </c>
      <c r="D787" s="14">
        <f>132.2021 * CHOOSE(CONTROL!$C$9, $D$9, 100%, $F$9) + CHOOSE(CONTROL!$C$27, 0.0021, 0)</f>
        <v>132.20420000000001</v>
      </c>
      <c r="E787" s="14">
        <f>132.0654 * CHOOSE(CONTROL!$C$9, $D$9, 100%, $F$9) + CHOOSE(CONTROL!$C$27, 0.0021, 0)</f>
        <v>132.06750000000002</v>
      </c>
      <c r="F787" s="14">
        <f>132.0654 * CHOOSE(CONTROL!$C$9, $D$9, 100%, $F$9) + CHOOSE(CONTROL!$C$27, 0.0021, 0)</f>
        <v>132.06750000000002</v>
      </c>
      <c r="G787" s="14">
        <f>132.3368 * CHOOSE(CONTROL!$C$9, $D$9, 100%, $F$9) + CHOOSE(CONTROL!$C$27, 0.0021, 0)</f>
        <v>132.33890000000002</v>
      </c>
      <c r="H787" s="14">
        <f>132.2021 * CHOOSE(CONTROL!$C$9, $D$9, 100%, $F$9) + CHOOSE(CONTROL!$C$27, 0.0021, 0)</f>
        <v>132.20420000000001</v>
      </c>
      <c r="I787" s="14">
        <f>132.2021 * CHOOSE(CONTROL!$C$9, $D$9, 100%, $F$9) + CHOOSE(CONTROL!$C$27, 0.0021, 0)</f>
        <v>132.20420000000001</v>
      </c>
      <c r="J787" s="14">
        <f>132.2021 * CHOOSE(CONTROL!$C$9, $D$9, 100%, $F$9) + CHOOSE(CONTROL!$C$27, 0.0021, 0)</f>
        <v>132.20420000000001</v>
      </c>
      <c r="K787" s="14">
        <f>132.2021 * CHOOSE(CONTROL!$C$9, $D$9, 100%, $F$9) + CHOOSE(CONTROL!$C$27, 0.0021, 0)</f>
        <v>132.20420000000001</v>
      </c>
      <c r="L787" s="14"/>
    </row>
    <row r="788" spans="1:12" ht="15.75" x14ac:dyDescent="0.25">
      <c r="A788" s="31">
        <v>64923</v>
      </c>
      <c r="B788" s="14">
        <f>128.302 * CHOOSE(CONTROL!$C$9, $D$9, 100%, $F$9) + CHOOSE(CONTROL!$C$27, 0.0021, 0)</f>
        <v>128.30410000000001</v>
      </c>
      <c r="C788" s="14">
        <f>127.8698 * CHOOSE(CONTROL!$C$9, $D$9, 100%, $F$9) + CHOOSE(CONTROL!$C$27, 0.0021, 0)</f>
        <v>127.8719</v>
      </c>
      <c r="D788" s="14">
        <f>127.8698 * CHOOSE(CONTROL!$C$9, $D$9, 100%, $F$9) + CHOOSE(CONTROL!$C$27, 0.0021, 0)</f>
        <v>127.8719</v>
      </c>
      <c r="E788" s="14">
        <f>127.7331 * CHOOSE(CONTROL!$C$9, $D$9, 100%, $F$9) + CHOOSE(CONTROL!$C$27, 0.0021, 0)</f>
        <v>127.73519999999999</v>
      </c>
      <c r="F788" s="14">
        <f>127.7331 * CHOOSE(CONTROL!$C$9, $D$9, 100%, $F$9) + CHOOSE(CONTROL!$C$27, 0.0021, 0)</f>
        <v>127.73519999999999</v>
      </c>
      <c r="G788" s="14">
        <f>128.0045 * CHOOSE(CONTROL!$C$9, $D$9, 100%, $F$9) + CHOOSE(CONTROL!$C$27, 0.0021, 0)</f>
        <v>128.00660000000002</v>
      </c>
      <c r="H788" s="14">
        <f>127.8698 * CHOOSE(CONTROL!$C$9, $D$9, 100%, $F$9) + CHOOSE(CONTROL!$C$27, 0.0021, 0)</f>
        <v>127.8719</v>
      </c>
      <c r="I788" s="14">
        <f>127.8698 * CHOOSE(CONTROL!$C$9, $D$9, 100%, $F$9) + CHOOSE(CONTROL!$C$27, 0.0021, 0)</f>
        <v>127.8719</v>
      </c>
      <c r="J788" s="14">
        <f>127.8698 * CHOOSE(CONTROL!$C$9, $D$9, 100%, $F$9) + CHOOSE(CONTROL!$C$27, 0.0021, 0)</f>
        <v>127.8719</v>
      </c>
      <c r="K788" s="14">
        <f>127.8698 * CHOOSE(CONTROL!$C$9, $D$9, 100%, $F$9) + CHOOSE(CONTROL!$C$27, 0.0021, 0)</f>
        <v>127.8719</v>
      </c>
      <c r="L788" s="14"/>
    </row>
    <row r="789" spans="1:12" ht="15.75" x14ac:dyDescent="0.25">
      <c r="A789" s="31">
        <v>64954</v>
      </c>
      <c r="B789" s="14">
        <f>123.9445 * CHOOSE(CONTROL!$C$9, $D$9, 100%, $F$9) + CHOOSE(CONTROL!$C$27, 0.0021, 0)</f>
        <v>123.9466</v>
      </c>
      <c r="C789" s="14">
        <f>123.5122 * CHOOSE(CONTROL!$C$9, $D$9, 100%, $F$9) + CHOOSE(CONTROL!$C$27, 0.0021, 0)</f>
        <v>123.51430000000001</v>
      </c>
      <c r="D789" s="14">
        <f>123.5122 * CHOOSE(CONTROL!$C$9, $D$9, 100%, $F$9) + CHOOSE(CONTROL!$C$27, 0.0021, 0)</f>
        <v>123.51430000000001</v>
      </c>
      <c r="E789" s="14">
        <f>123.3756 * CHOOSE(CONTROL!$C$9, $D$9, 100%, $F$9) + CHOOSE(CONTROL!$C$27, 0.0021, 0)</f>
        <v>123.3777</v>
      </c>
      <c r="F789" s="14">
        <f>123.3756 * CHOOSE(CONTROL!$C$9, $D$9, 100%, $F$9) + CHOOSE(CONTROL!$C$27, 0.0021, 0)</f>
        <v>123.3777</v>
      </c>
      <c r="G789" s="14">
        <f>123.6469 * CHOOSE(CONTROL!$C$9, $D$9, 100%, $F$9) + CHOOSE(CONTROL!$C$27, 0.0021, 0)</f>
        <v>123.649</v>
      </c>
      <c r="H789" s="14">
        <f>123.5122 * CHOOSE(CONTROL!$C$9, $D$9, 100%, $F$9) + CHOOSE(CONTROL!$C$27, 0.0021, 0)</f>
        <v>123.51430000000001</v>
      </c>
      <c r="I789" s="14">
        <f>123.5122 * CHOOSE(CONTROL!$C$9, $D$9, 100%, $F$9) + CHOOSE(CONTROL!$C$27, 0.0021, 0)</f>
        <v>123.51430000000001</v>
      </c>
      <c r="J789" s="14">
        <f>123.5122 * CHOOSE(CONTROL!$C$9, $D$9, 100%, $F$9) + CHOOSE(CONTROL!$C$27, 0.0021, 0)</f>
        <v>123.51430000000001</v>
      </c>
      <c r="K789" s="14">
        <f>123.5122 * CHOOSE(CONTROL!$C$9, $D$9, 100%, $F$9) + CHOOSE(CONTROL!$C$27, 0.0021, 0)</f>
        <v>123.51430000000001</v>
      </c>
      <c r="L789" s="14"/>
    </row>
    <row r="790" spans="1:12" ht="15.75" x14ac:dyDescent="0.25">
      <c r="A790" s="31">
        <v>64984</v>
      </c>
      <c r="B790" s="14">
        <f>123.0777 * CHOOSE(CONTROL!$C$9, $D$9, 100%, $F$9) + CHOOSE(CONTROL!$C$27, 0.0021, 0)</f>
        <v>123.07979999999999</v>
      </c>
      <c r="C790" s="14">
        <f>122.6454 * CHOOSE(CONTROL!$C$9, $D$9, 100%, $F$9) + CHOOSE(CONTROL!$C$27, 0.0021, 0)</f>
        <v>122.64749999999999</v>
      </c>
      <c r="D790" s="14">
        <f>122.6454 * CHOOSE(CONTROL!$C$9, $D$9, 100%, $F$9) + CHOOSE(CONTROL!$C$27, 0.0021, 0)</f>
        <v>122.64749999999999</v>
      </c>
      <c r="E790" s="14">
        <f>122.5088 * CHOOSE(CONTROL!$C$9, $D$9, 100%, $F$9) + CHOOSE(CONTROL!$C$27, 0.0021, 0)</f>
        <v>122.51089999999999</v>
      </c>
      <c r="F790" s="14">
        <f>122.5088 * CHOOSE(CONTROL!$C$9, $D$9, 100%, $F$9) + CHOOSE(CONTROL!$C$27, 0.0021, 0)</f>
        <v>122.51089999999999</v>
      </c>
      <c r="G790" s="14">
        <f>122.7801 * CHOOSE(CONTROL!$C$9, $D$9, 100%, $F$9) + CHOOSE(CONTROL!$C$27, 0.0021, 0)</f>
        <v>122.7822</v>
      </c>
      <c r="H790" s="14">
        <f>122.6454 * CHOOSE(CONTROL!$C$9, $D$9, 100%, $F$9) + CHOOSE(CONTROL!$C$27, 0.0021, 0)</f>
        <v>122.64749999999999</v>
      </c>
      <c r="I790" s="14">
        <f>122.6454 * CHOOSE(CONTROL!$C$9, $D$9, 100%, $F$9) + CHOOSE(CONTROL!$C$27, 0.0021, 0)</f>
        <v>122.64749999999999</v>
      </c>
      <c r="J790" s="14">
        <f>122.6454 * CHOOSE(CONTROL!$C$9, $D$9, 100%, $F$9) + CHOOSE(CONTROL!$C$27, 0.0021, 0)</f>
        <v>122.64749999999999</v>
      </c>
      <c r="K790" s="14">
        <f>122.6454 * CHOOSE(CONTROL!$C$9, $D$9, 100%, $F$9) + CHOOSE(CONTROL!$C$27, 0.0021, 0)</f>
        <v>122.64749999999999</v>
      </c>
      <c r="L790" s="14"/>
    </row>
    <row r="791" spans="1:12" ht="15.75" x14ac:dyDescent="0.25">
      <c r="A791" s="31">
        <v>65015</v>
      </c>
      <c r="B791" s="14">
        <f>119.4933 * CHOOSE(CONTROL!$C$9, $D$9, 100%, $F$9) + CHOOSE(CONTROL!$C$27, 0.0021, 0)</f>
        <v>119.4954</v>
      </c>
      <c r="C791" s="14">
        <f>119.0611 * CHOOSE(CONTROL!$C$9, $D$9, 100%, $F$9) + CHOOSE(CONTROL!$C$27, 0.0021, 0)</f>
        <v>119.06319999999999</v>
      </c>
      <c r="D791" s="14">
        <f>119.0611 * CHOOSE(CONTROL!$C$9, $D$9, 100%, $F$9) + CHOOSE(CONTROL!$C$27, 0.0021, 0)</f>
        <v>119.06319999999999</v>
      </c>
      <c r="E791" s="14">
        <f>118.9244 * CHOOSE(CONTROL!$C$9, $D$9, 100%, $F$9) + CHOOSE(CONTROL!$C$27, 0.0021, 0)</f>
        <v>118.9265</v>
      </c>
      <c r="F791" s="14">
        <f>118.9244 * CHOOSE(CONTROL!$C$9, $D$9, 100%, $F$9) + CHOOSE(CONTROL!$C$27, 0.0021, 0)</f>
        <v>118.9265</v>
      </c>
      <c r="G791" s="14">
        <f>119.1958 * CHOOSE(CONTROL!$C$9, $D$9, 100%, $F$9) + CHOOSE(CONTROL!$C$27, 0.0021, 0)</f>
        <v>119.1979</v>
      </c>
      <c r="H791" s="14">
        <f>119.0611 * CHOOSE(CONTROL!$C$9, $D$9, 100%, $F$9) + CHOOSE(CONTROL!$C$27, 0.0021, 0)</f>
        <v>119.06319999999999</v>
      </c>
      <c r="I791" s="14">
        <f>119.0611 * CHOOSE(CONTROL!$C$9, $D$9, 100%, $F$9) + CHOOSE(CONTROL!$C$27, 0.0021, 0)</f>
        <v>119.06319999999999</v>
      </c>
      <c r="J791" s="14">
        <f>119.0611 * CHOOSE(CONTROL!$C$9, $D$9, 100%, $F$9) + CHOOSE(CONTROL!$C$27, 0.0021, 0)</f>
        <v>119.06319999999999</v>
      </c>
      <c r="K791" s="14">
        <f>119.0611 * CHOOSE(CONTROL!$C$9, $D$9, 100%, $F$9) + CHOOSE(CONTROL!$C$27, 0.0021, 0)</f>
        <v>119.06319999999999</v>
      </c>
      <c r="L791" s="14"/>
    </row>
    <row r="792" spans="1:12" ht="15.75" x14ac:dyDescent="0.25">
      <c r="A792" s="31">
        <v>65046</v>
      </c>
      <c r="B792" s="14">
        <f>118.7955 * CHOOSE(CONTROL!$C$9, $D$9, 100%, $F$9) + CHOOSE(CONTROL!$C$27, 0.0021, 0)</f>
        <v>118.7976</v>
      </c>
      <c r="C792" s="14">
        <f>118.3633 * CHOOSE(CONTROL!$C$9, $D$9, 100%, $F$9) + CHOOSE(CONTROL!$C$27, 0.0021, 0)</f>
        <v>118.36539999999999</v>
      </c>
      <c r="D792" s="14">
        <f>118.3633 * CHOOSE(CONTROL!$C$9, $D$9, 100%, $F$9) + CHOOSE(CONTROL!$C$27, 0.0021, 0)</f>
        <v>118.36539999999999</v>
      </c>
      <c r="E792" s="14">
        <f>118.2266 * CHOOSE(CONTROL!$C$9, $D$9, 100%, $F$9) + CHOOSE(CONTROL!$C$27, 0.0021, 0)</f>
        <v>118.2287</v>
      </c>
      <c r="F792" s="14">
        <f>118.2266 * CHOOSE(CONTROL!$C$9, $D$9, 100%, $F$9) + CHOOSE(CONTROL!$C$27, 0.0021, 0)</f>
        <v>118.2287</v>
      </c>
      <c r="G792" s="14">
        <f>118.498 * CHOOSE(CONTROL!$C$9, $D$9, 100%, $F$9) + CHOOSE(CONTROL!$C$27, 0.0021, 0)</f>
        <v>118.5001</v>
      </c>
      <c r="H792" s="14">
        <f>118.3633 * CHOOSE(CONTROL!$C$9, $D$9, 100%, $F$9) + CHOOSE(CONTROL!$C$27, 0.0021, 0)</f>
        <v>118.36539999999999</v>
      </c>
      <c r="I792" s="14">
        <f>118.3633 * CHOOSE(CONTROL!$C$9, $D$9, 100%, $F$9) + CHOOSE(CONTROL!$C$27, 0.0021, 0)</f>
        <v>118.36539999999999</v>
      </c>
      <c r="J792" s="14">
        <f>118.3633 * CHOOSE(CONTROL!$C$9, $D$9, 100%, $F$9) + CHOOSE(CONTROL!$C$27, 0.0021, 0)</f>
        <v>118.36539999999999</v>
      </c>
      <c r="K792" s="14">
        <f>118.3633 * CHOOSE(CONTROL!$C$9, $D$9, 100%, $F$9) + CHOOSE(CONTROL!$C$27, 0.0021, 0)</f>
        <v>118.36539999999999</v>
      </c>
      <c r="L792" s="14"/>
    </row>
    <row r="793" spans="1:12" ht="15.75" x14ac:dyDescent="0.25">
      <c r="A793" s="31">
        <v>65074</v>
      </c>
      <c r="B793" s="14">
        <f>118.4717 * CHOOSE(CONTROL!$C$9, $D$9, 100%, $F$9) + CHOOSE(CONTROL!$C$27, 0.0021, 0)</f>
        <v>118.4738</v>
      </c>
      <c r="C793" s="14">
        <f>118.0394 * CHOOSE(CONTROL!$C$9, $D$9, 100%, $F$9) + CHOOSE(CONTROL!$C$27, 0.0021, 0)</f>
        <v>118.0415</v>
      </c>
      <c r="D793" s="14">
        <f>118.0394 * CHOOSE(CONTROL!$C$9, $D$9, 100%, $F$9) + CHOOSE(CONTROL!$C$27, 0.0021, 0)</f>
        <v>118.0415</v>
      </c>
      <c r="E793" s="14">
        <f>117.9028 * CHOOSE(CONTROL!$C$9, $D$9, 100%, $F$9) + CHOOSE(CONTROL!$C$27, 0.0021, 0)</f>
        <v>117.9049</v>
      </c>
      <c r="F793" s="14">
        <f>117.9028 * CHOOSE(CONTROL!$C$9, $D$9, 100%, $F$9) + CHOOSE(CONTROL!$C$27, 0.0021, 0)</f>
        <v>117.9049</v>
      </c>
      <c r="G793" s="14">
        <f>118.1741 * CHOOSE(CONTROL!$C$9, $D$9, 100%, $F$9) + CHOOSE(CONTROL!$C$27, 0.0021, 0)</f>
        <v>118.17619999999999</v>
      </c>
      <c r="H793" s="14">
        <f>118.0394 * CHOOSE(CONTROL!$C$9, $D$9, 100%, $F$9) + CHOOSE(CONTROL!$C$27, 0.0021, 0)</f>
        <v>118.0415</v>
      </c>
      <c r="I793" s="14">
        <f>118.0394 * CHOOSE(CONTROL!$C$9, $D$9, 100%, $F$9) + CHOOSE(CONTROL!$C$27, 0.0021, 0)</f>
        <v>118.0415</v>
      </c>
      <c r="J793" s="14">
        <f>118.0394 * CHOOSE(CONTROL!$C$9, $D$9, 100%, $F$9) + CHOOSE(CONTROL!$C$27, 0.0021, 0)</f>
        <v>118.0415</v>
      </c>
      <c r="K793" s="14">
        <f>118.0394 * CHOOSE(CONTROL!$C$9, $D$9, 100%, $F$9) + CHOOSE(CONTROL!$C$27, 0.0021, 0)</f>
        <v>118.0415</v>
      </c>
      <c r="L793" s="14"/>
    </row>
    <row r="794" spans="1:12" ht="15.75" x14ac:dyDescent="0.25">
      <c r="A794" s="31">
        <v>65105</v>
      </c>
      <c r="B794" s="14">
        <f>124.595 * CHOOSE(CONTROL!$C$9, $D$9, 100%, $F$9) + CHOOSE(CONTROL!$C$27, 0.0021, 0)</f>
        <v>124.5971</v>
      </c>
      <c r="C794" s="14">
        <f>124.1628 * CHOOSE(CONTROL!$C$9, $D$9, 100%, $F$9) + CHOOSE(CONTROL!$C$27, 0.0021, 0)</f>
        <v>124.1649</v>
      </c>
      <c r="D794" s="14">
        <f>124.1628 * CHOOSE(CONTROL!$C$9, $D$9, 100%, $F$9) + CHOOSE(CONTROL!$C$27, 0.0021, 0)</f>
        <v>124.1649</v>
      </c>
      <c r="E794" s="14">
        <f>124.0261 * CHOOSE(CONTROL!$C$9, $D$9, 100%, $F$9) + CHOOSE(CONTROL!$C$27, 0.0021, 0)</f>
        <v>124.0282</v>
      </c>
      <c r="F794" s="14">
        <f>124.0261 * CHOOSE(CONTROL!$C$9, $D$9, 100%, $F$9) + CHOOSE(CONTROL!$C$27, 0.0021, 0)</f>
        <v>124.0282</v>
      </c>
      <c r="G794" s="14">
        <f>124.2975 * CHOOSE(CONTROL!$C$9, $D$9, 100%, $F$9) + CHOOSE(CONTROL!$C$27, 0.0021, 0)</f>
        <v>124.2996</v>
      </c>
      <c r="H794" s="14">
        <f>124.1628 * CHOOSE(CONTROL!$C$9, $D$9, 100%, $F$9) + CHOOSE(CONTROL!$C$27, 0.0021, 0)</f>
        <v>124.1649</v>
      </c>
      <c r="I794" s="14">
        <f>124.1628 * CHOOSE(CONTROL!$C$9, $D$9, 100%, $F$9) + CHOOSE(CONTROL!$C$27, 0.0021, 0)</f>
        <v>124.1649</v>
      </c>
      <c r="J794" s="14">
        <f>124.1628 * CHOOSE(CONTROL!$C$9, $D$9, 100%, $F$9) + CHOOSE(CONTROL!$C$27, 0.0021, 0)</f>
        <v>124.1649</v>
      </c>
      <c r="K794" s="14">
        <f>124.1628 * CHOOSE(CONTROL!$C$9, $D$9, 100%, $F$9) + CHOOSE(CONTROL!$C$27, 0.0021, 0)</f>
        <v>124.1649</v>
      </c>
      <c r="L794" s="14"/>
    </row>
    <row r="795" spans="1:12" ht="15.75" x14ac:dyDescent="0.25">
      <c r="A795" s="31">
        <v>65135</v>
      </c>
      <c r="B795" s="14">
        <f>132.5355 * CHOOSE(CONTROL!$C$9, $D$9, 100%, $F$9) + CHOOSE(CONTROL!$C$27, 0.0021, 0)</f>
        <v>132.53760000000003</v>
      </c>
      <c r="C795" s="14">
        <f>132.1032 * CHOOSE(CONTROL!$C$9, $D$9, 100%, $F$9) + CHOOSE(CONTROL!$C$27, 0.0021, 0)</f>
        <v>132.1053</v>
      </c>
      <c r="D795" s="14">
        <f>132.1032 * CHOOSE(CONTROL!$C$9, $D$9, 100%, $F$9) + CHOOSE(CONTROL!$C$27, 0.0021, 0)</f>
        <v>132.1053</v>
      </c>
      <c r="E795" s="14">
        <f>131.9666 * CHOOSE(CONTROL!$C$9, $D$9, 100%, $F$9) + CHOOSE(CONTROL!$C$27, 0.0021, 0)</f>
        <v>131.96870000000001</v>
      </c>
      <c r="F795" s="14">
        <f>131.9666 * CHOOSE(CONTROL!$C$9, $D$9, 100%, $F$9) + CHOOSE(CONTROL!$C$27, 0.0021, 0)</f>
        <v>131.96870000000001</v>
      </c>
      <c r="G795" s="14">
        <f>132.238 * CHOOSE(CONTROL!$C$9, $D$9, 100%, $F$9) + CHOOSE(CONTROL!$C$27, 0.0021, 0)</f>
        <v>132.24010000000001</v>
      </c>
      <c r="H795" s="14">
        <f>132.1032 * CHOOSE(CONTROL!$C$9, $D$9, 100%, $F$9) + CHOOSE(CONTROL!$C$27, 0.0021, 0)</f>
        <v>132.1053</v>
      </c>
      <c r="I795" s="14">
        <f>132.1032 * CHOOSE(CONTROL!$C$9, $D$9, 100%, $F$9) + CHOOSE(CONTROL!$C$27, 0.0021, 0)</f>
        <v>132.1053</v>
      </c>
      <c r="J795" s="14">
        <f>132.1032 * CHOOSE(CONTROL!$C$9, $D$9, 100%, $F$9) + CHOOSE(CONTROL!$C$27, 0.0021, 0)</f>
        <v>132.1053</v>
      </c>
      <c r="K795" s="14">
        <f>132.1032 * CHOOSE(CONTROL!$C$9, $D$9, 100%, $F$9) + CHOOSE(CONTROL!$C$27, 0.0021, 0)</f>
        <v>132.1053</v>
      </c>
      <c r="L795" s="14"/>
    </row>
    <row r="796" spans="1:12" ht="15.75" x14ac:dyDescent="0.25">
      <c r="A796" s="31">
        <v>65166</v>
      </c>
      <c r="B796" s="14">
        <f>136.9062 * CHOOSE(CONTROL!$C$9, $D$9, 100%, $F$9) + CHOOSE(CONTROL!$C$27, 0.0021, 0)</f>
        <v>136.90830000000003</v>
      </c>
      <c r="C796" s="14">
        <f>136.4739 * CHOOSE(CONTROL!$C$9, $D$9, 100%, $F$9) + CHOOSE(CONTROL!$C$27, 0.0021, 0)</f>
        <v>136.476</v>
      </c>
      <c r="D796" s="14">
        <f>136.4739 * CHOOSE(CONTROL!$C$9, $D$9, 100%, $F$9) + CHOOSE(CONTROL!$C$27, 0.0021, 0)</f>
        <v>136.476</v>
      </c>
      <c r="E796" s="14">
        <f>136.3373 * CHOOSE(CONTROL!$C$9, $D$9, 100%, $F$9) + CHOOSE(CONTROL!$C$27, 0.0021, 0)</f>
        <v>136.33940000000001</v>
      </c>
      <c r="F796" s="14">
        <f>136.3373 * CHOOSE(CONTROL!$C$9, $D$9, 100%, $F$9) + CHOOSE(CONTROL!$C$27, 0.0021, 0)</f>
        <v>136.33940000000001</v>
      </c>
      <c r="G796" s="14">
        <f>136.6087 * CHOOSE(CONTROL!$C$9, $D$9, 100%, $F$9) + CHOOSE(CONTROL!$C$27, 0.0021, 0)</f>
        <v>136.61080000000001</v>
      </c>
      <c r="H796" s="14">
        <f>136.4739 * CHOOSE(CONTROL!$C$9, $D$9, 100%, $F$9) + CHOOSE(CONTROL!$C$27, 0.0021, 0)</f>
        <v>136.476</v>
      </c>
      <c r="I796" s="14">
        <f>136.4739 * CHOOSE(CONTROL!$C$9, $D$9, 100%, $F$9) + CHOOSE(CONTROL!$C$27, 0.0021, 0)</f>
        <v>136.476</v>
      </c>
      <c r="J796" s="14">
        <f>136.4739 * CHOOSE(CONTROL!$C$9, $D$9, 100%, $F$9) + CHOOSE(CONTROL!$C$27, 0.0021, 0)</f>
        <v>136.476</v>
      </c>
      <c r="K796" s="14">
        <f>136.4739 * CHOOSE(CONTROL!$C$9, $D$9, 100%, $F$9) + CHOOSE(CONTROL!$C$27, 0.0021, 0)</f>
        <v>136.476</v>
      </c>
      <c r="L796" s="14"/>
    </row>
    <row r="797" spans="1:12" ht="15.75" x14ac:dyDescent="0.25">
      <c r="A797" s="31">
        <v>65196</v>
      </c>
      <c r="B797" s="14">
        <f>138.8458 * CHOOSE(CONTROL!$C$9, $D$9, 100%, $F$9) + CHOOSE(CONTROL!$C$27, 0.0021, 0)</f>
        <v>138.84790000000001</v>
      </c>
      <c r="C797" s="14">
        <f>138.4136 * CHOOSE(CONTROL!$C$9, $D$9, 100%, $F$9) + CHOOSE(CONTROL!$C$27, 0.0021, 0)</f>
        <v>138.41570000000002</v>
      </c>
      <c r="D797" s="14">
        <f>138.4136 * CHOOSE(CONTROL!$C$9, $D$9, 100%, $F$9) + CHOOSE(CONTROL!$C$27, 0.0021, 0)</f>
        <v>138.41570000000002</v>
      </c>
      <c r="E797" s="14">
        <f>138.2769 * CHOOSE(CONTROL!$C$9, $D$9, 100%, $F$9) + CHOOSE(CONTROL!$C$27, 0.0021, 0)</f>
        <v>138.27900000000002</v>
      </c>
      <c r="F797" s="14">
        <f>138.2769 * CHOOSE(CONTROL!$C$9, $D$9, 100%, $F$9) + CHOOSE(CONTROL!$C$27, 0.0021, 0)</f>
        <v>138.27900000000002</v>
      </c>
      <c r="G797" s="14">
        <f>138.5483 * CHOOSE(CONTROL!$C$9, $D$9, 100%, $F$9) + CHOOSE(CONTROL!$C$27, 0.0021, 0)</f>
        <v>138.55040000000002</v>
      </c>
      <c r="H797" s="14">
        <f>138.4136 * CHOOSE(CONTROL!$C$9, $D$9, 100%, $F$9) + CHOOSE(CONTROL!$C$27, 0.0021, 0)</f>
        <v>138.41570000000002</v>
      </c>
      <c r="I797" s="14">
        <f>138.4136 * CHOOSE(CONTROL!$C$9, $D$9, 100%, $F$9) + CHOOSE(CONTROL!$C$27, 0.0021, 0)</f>
        <v>138.41570000000002</v>
      </c>
      <c r="J797" s="14">
        <f>138.4136 * CHOOSE(CONTROL!$C$9, $D$9, 100%, $F$9) + CHOOSE(CONTROL!$C$27, 0.0021, 0)</f>
        <v>138.41570000000002</v>
      </c>
      <c r="K797" s="14">
        <f>138.4136 * CHOOSE(CONTROL!$C$9, $D$9, 100%, $F$9) + CHOOSE(CONTROL!$C$27, 0.0021, 0)</f>
        <v>138.41570000000002</v>
      </c>
      <c r="L797" s="14"/>
    </row>
    <row r="798" spans="1:12" ht="15.75" x14ac:dyDescent="0.25">
      <c r="A798" s="31">
        <v>65227</v>
      </c>
      <c r="B798" s="14">
        <f>138.2072 * CHOOSE(CONTROL!$C$9, $D$9, 100%, $F$9) + CHOOSE(CONTROL!$C$27, 0.0021, 0)</f>
        <v>138.20930000000001</v>
      </c>
      <c r="C798" s="14">
        <f>137.775 * CHOOSE(CONTROL!$C$9, $D$9, 100%, $F$9) + CHOOSE(CONTROL!$C$27, 0.0021, 0)</f>
        <v>137.77710000000002</v>
      </c>
      <c r="D798" s="14">
        <f>137.775 * CHOOSE(CONTROL!$C$9, $D$9, 100%, $F$9) + CHOOSE(CONTROL!$C$27, 0.0021, 0)</f>
        <v>137.77710000000002</v>
      </c>
      <c r="E798" s="14">
        <f>137.6383 * CHOOSE(CONTROL!$C$9, $D$9, 100%, $F$9) + CHOOSE(CONTROL!$C$27, 0.0021, 0)</f>
        <v>137.6404</v>
      </c>
      <c r="F798" s="14">
        <f>137.6383 * CHOOSE(CONTROL!$C$9, $D$9, 100%, $F$9) + CHOOSE(CONTROL!$C$27, 0.0021, 0)</f>
        <v>137.6404</v>
      </c>
      <c r="G798" s="14">
        <f>137.9097 * CHOOSE(CONTROL!$C$9, $D$9, 100%, $F$9) + CHOOSE(CONTROL!$C$27, 0.0021, 0)</f>
        <v>137.9118</v>
      </c>
      <c r="H798" s="14">
        <f>137.775 * CHOOSE(CONTROL!$C$9, $D$9, 100%, $F$9) + CHOOSE(CONTROL!$C$27, 0.0021, 0)</f>
        <v>137.77710000000002</v>
      </c>
      <c r="I798" s="14">
        <f>137.775 * CHOOSE(CONTROL!$C$9, $D$9, 100%, $F$9) + CHOOSE(CONTROL!$C$27, 0.0021, 0)</f>
        <v>137.77710000000002</v>
      </c>
      <c r="J798" s="14">
        <f>137.775 * CHOOSE(CONTROL!$C$9, $D$9, 100%, $F$9) + CHOOSE(CONTROL!$C$27, 0.0021, 0)</f>
        <v>137.77710000000002</v>
      </c>
      <c r="K798" s="14">
        <f>137.775 * CHOOSE(CONTROL!$C$9, $D$9, 100%, $F$9) + CHOOSE(CONTROL!$C$27, 0.0021, 0)</f>
        <v>137.77710000000002</v>
      </c>
      <c r="L798" s="14"/>
    </row>
    <row r="799" spans="1:12" ht="15.75" x14ac:dyDescent="0.25">
      <c r="A799" s="31">
        <v>65258</v>
      </c>
      <c r="B799" s="14">
        <f>135.0432 * CHOOSE(CONTROL!$C$9, $D$9, 100%, $F$9) + CHOOSE(CONTROL!$C$27, 0.0021, 0)</f>
        <v>135.04530000000003</v>
      </c>
      <c r="C799" s="14">
        <f>134.6109 * CHOOSE(CONTROL!$C$9, $D$9, 100%, $F$9) + CHOOSE(CONTROL!$C$27, 0.0021, 0)</f>
        <v>134.613</v>
      </c>
      <c r="D799" s="14">
        <f>134.6109 * CHOOSE(CONTROL!$C$9, $D$9, 100%, $F$9) + CHOOSE(CONTROL!$C$27, 0.0021, 0)</f>
        <v>134.613</v>
      </c>
      <c r="E799" s="14">
        <f>134.4743 * CHOOSE(CONTROL!$C$9, $D$9, 100%, $F$9) + CHOOSE(CONTROL!$C$27, 0.0021, 0)</f>
        <v>134.47640000000001</v>
      </c>
      <c r="F799" s="14">
        <f>134.4743 * CHOOSE(CONTROL!$C$9, $D$9, 100%, $F$9) + CHOOSE(CONTROL!$C$27, 0.0021, 0)</f>
        <v>134.47640000000001</v>
      </c>
      <c r="G799" s="14">
        <f>134.7456 * CHOOSE(CONTROL!$C$9, $D$9, 100%, $F$9) + CHOOSE(CONTROL!$C$27, 0.0021, 0)</f>
        <v>134.74770000000001</v>
      </c>
      <c r="H799" s="14">
        <f>134.6109 * CHOOSE(CONTROL!$C$9, $D$9, 100%, $F$9) + CHOOSE(CONTROL!$C$27, 0.0021, 0)</f>
        <v>134.613</v>
      </c>
      <c r="I799" s="14">
        <f>134.6109 * CHOOSE(CONTROL!$C$9, $D$9, 100%, $F$9) + CHOOSE(CONTROL!$C$27, 0.0021, 0)</f>
        <v>134.613</v>
      </c>
      <c r="J799" s="14">
        <f>134.6109 * CHOOSE(CONTROL!$C$9, $D$9, 100%, $F$9) + CHOOSE(CONTROL!$C$27, 0.0021, 0)</f>
        <v>134.613</v>
      </c>
      <c r="K799" s="14">
        <f>134.6109 * CHOOSE(CONTROL!$C$9, $D$9, 100%, $F$9) + CHOOSE(CONTROL!$C$27, 0.0021, 0)</f>
        <v>134.613</v>
      </c>
      <c r="L799" s="14"/>
    </row>
    <row r="800" spans="1:12" ht="15.75" x14ac:dyDescent="0.25">
      <c r="A800" s="31">
        <v>65288</v>
      </c>
      <c r="B800" s="14">
        <f>130.6308 * CHOOSE(CONTROL!$C$9, $D$9, 100%, $F$9) + CHOOSE(CONTROL!$C$27, 0.0021, 0)</f>
        <v>130.63290000000001</v>
      </c>
      <c r="C800" s="14">
        <f>130.1985 * CHOOSE(CONTROL!$C$9, $D$9, 100%, $F$9) + CHOOSE(CONTROL!$C$27, 0.0021, 0)</f>
        <v>130.20060000000001</v>
      </c>
      <c r="D800" s="14">
        <f>130.1985 * CHOOSE(CONTROL!$C$9, $D$9, 100%, $F$9) + CHOOSE(CONTROL!$C$27, 0.0021, 0)</f>
        <v>130.20060000000001</v>
      </c>
      <c r="E800" s="14">
        <f>130.0619 * CHOOSE(CONTROL!$C$9, $D$9, 100%, $F$9) + CHOOSE(CONTROL!$C$27, 0.0021, 0)</f>
        <v>130.06400000000002</v>
      </c>
      <c r="F800" s="14">
        <f>130.0619 * CHOOSE(CONTROL!$C$9, $D$9, 100%, $F$9) + CHOOSE(CONTROL!$C$27, 0.0021, 0)</f>
        <v>130.06400000000002</v>
      </c>
      <c r="G800" s="14">
        <f>130.3332 * CHOOSE(CONTROL!$C$9, $D$9, 100%, $F$9) + CHOOSE(CONTROL!$C$27, 0.0021, 0)</f>
        <v>130.33530000000002</v>
      </c>
      <c r="H800" s="14">
        <f>130.1985 * CHOOSE(CONTROL!$C$9, $D$9, 100%, $F$9) + CHOOSE(CONTROL!$C$27, 0.0021, 0)</f>
        <v>130.20060000000001</v>
      </c>
      <c r="I800" s="14">
        <f>130.1985 * CHOOSE(CONTROL!$C$9, $D$9, 100%, $F$9) + CHOOSE(CONTROL!$C$27, 0.0021, 0)</f>
        <v>130.20060000000001</v>
      </c>
      <c r="J800" s="14">
        <f>130.1985 * CHOOSE(CONTROL!$C$9, $D$9, 100%, $F$9) + CHOOSE(CONTROL!$C$27, 0.0021, 0)</f>
        <v>130.20060000000001</v>
      </c>
      <c r="K800" s="14">
        <f>130.1985 * CHOOSE(CONTROL!$C$9, $D$9, 100%, $F$9) + CHOOSE(CONTROL!$C$27, 0.0021, 0)</f>
        <v>130.20060000000001</v>
      </c>
      <c r="L800" s="14"/>
    </row>
    <row r="801" spans="1:12" ht="15.75" x14ac:dyDescent="0.25">
      <c r="A801" s="31">
        <v>65319</v>
      </c>
      <c r="B801" s="14">
        <f>126.1927 * CHOOSE(CONTROL!$C$9, $D$9, 100%, $F$9) + CHOOSE(CONTROL!$C$27, 0.0021, 0)</f>
        <v>126.1948</v>
      </c>
      <c r="C801" s="14">
        <f>125.7604 * CHOOSE(CONTROL!$C$9, $D$9, 100%, $F$9) + CHOOSE(CONTROL!$C$27, 0.0021, 0)</f>
        <v>125.7625</v>
      </c>
      <c r="D801" s="14">
        <f>125.7604 * CHOOSE(CONTROL!$C$9, $D$9, 100%, $F$9) + CHOOSE(CONTROL!$C$27, 0.0021, 0)</f>
        <v>125.7625</v>
      </c>
      <c r="E801" s="14">
        <f>125.6238 * CHOOSE(CONTROL!$C$9, $D$9, 100%, $F$9) + CHOOSE(CONTROL!$C$27, 0.0021, 0)</f>
        <v>125.6259</v>
      </c>
      <c r="F801" s="14">
        <f>125.6238 * CHOOSE(CONTROL!$C$9, $D$9, 100%, $F$9) + CHOOSE(CONTROL!$C$27, 0.0021, 0)</f>
        <v>125.6259</v>
      </c>
      <c r="G801" s="14">
        <f>125.8952 * CHOOSE(CONTROL!$C$9, $D$9, 100%, $F$9) + CHOOSE(CONTROL!$C$27, 0.0021, 0)</f>
        <v>125.8973</v>
      </c>
      <c r="H801" s="14">
        <f>125.7604 * CHOOSE(CONTROL!$C$9, $D$9, 100%, $F$9) + CHOOSE(CONTROL!$C$27, 0.0021, 0)</f>
        <v>125.7625</v>
      </c>
      <c r="I801" s="14">
        <f>125.7604 * CHOOSE(CONTROL!$C$9, $D$9, 100%, $F$9) + CHOOSE(CONTROL!$C$27, 0.0021, 0)</f>
        <v>125.7625</v>
      </c>
      <c r="J801" s="14">
        <f>125.7604 * CHOOSE(CONTROL!$C$9, $D$9, 100%, $F$9) + CHOOSE(CONTROL!$C$27, 0.0021, 0)</f>
        <v>125.7625</v>
      </c>
      <c r="K801" s="14">
        <f>125.7604 * CHOOSE(CONTROL!$C$9, $D$9, 100%, $F$9) + CHOOSE(CONTROL!$C$27, 0.0021, 0)</f>
        <v>125.7625</v>
      </c>
      <c r="L801" s="14"/>
    </row>
    <row r="802" spans="1:12" ht="15.75" x14ac:dyDescent="0.25">
      <c r="A802" s="31">
        <v>65349</v>
      </c>
      <c r="B802" s="14">
        <f>125.3099 * CHOOSE(CONTROL!$C$9, $D$9, 100%, $F$9) + CHOOSE(CONTROL!$C$27, 0.0021, 0)</f>
        <v>125.312</v>
      </c>
      <c r="C802" s="14">
        <f>124.8776 * CHOOSE(CONTROL!$C$9, $D$9, 100%, $F$9) + CHOOSE(CONTROL!$C$27, 0.0021, 0)</f>
        <v>124.8797</v>
      </c>
      <c r="D802" s="14">
        <f>124.8776 * CHOOSE(CONTROL!$C$9, $D$9, 100%, $F$9) + CHOOSE(CONTROL!$C$27, 0.0021, 0)</f>
        <v>124.8797</v>
      </c>
      <c r="E802" s="14">
        <f>124.741 * CHOOSE(CONTROL!$C$9, $D$9, 100%, $F$9) + CHOOSE(CONTROL!$C$27, 0.0021, 0)</f>
        <v>124.7431</v>
      </c>
      <c r="F802" s="14">
        <f>124.741 * CHOOSE(CONTROL!$C$9, $D$9, 100%, $F$9) + CHOOSE(CONTROL!$C$27, 0.0021, 0)</f>
        <v>124.7431</v>
      </c>
      <c r="G802" s="14">
        <f>125.0123 * CHOOSE(CONTROL!$C$9, $D$9, 100%, $F$9) + CHOOSE(CONTROL!$C$27, 0.0021, 0)</f>
        <v>125.01439999999999</v>
      </c>
      <c r="H802" s="14">
        <f>124.8776 * CHOOSE(CONTROL!$C$9, $D$9, 100%, $F$9) + CHOOSE(CONTROL!$C$27, 0.0021, 0)</f>
        <v>124.8797</v>
      </c>
      <c r="I802" s="14">
        <f>124.8776 * CHOOSE(CONTROL!$C$9, $D$9, 100%, $F$9) + CHOOSE(CONTROL!$C$27, 0.0021, 0)</f>
        <v>124.8797</v>
      </c>
      <c r="J802" s="14">
        <f>124.8776 * CHOOSE(CONTROL!$C$9, $D$9, 100%, $F$9) + CHOOSE(CONTROL!$C$27, 0.0021, 0)</f>
        <v>124.8797</v>
      </c>
      <c r="K802" s="14">
        <f>124.8776 * CHOOSE(CONTROL!$C$9, $D$9, 100%, $F$9) + CHOOSE(CONTROL!$C$27, 0.0021, 0)</f>
        <v>124.8797</v>
      </c>
      <c r="L802" s="14"/>
    </row>
    <row r="803" spans="1:12" ht="15.75" x14ac:dyDescent="0.25">
      <c r="A803" s="31">
        <v>65380</v>
      </c>
      <c r="B803" s="14">
        <f>121.6593 * CHOOSE(CONTROL!$C$9, $D$9, 100%, $F$9) + CHOOSE(CONTROL!$C$27, 0.0021, 0)</f>
        <v>121.6614</v>
      </c>
      <c r="C803" s="14">
        <f>121.2271 * CHOOSE(CONTROL!$C$9, $D$9, 100%, $F$9) + CHOOSE(CONTROL!$C$27, 0.0021, 0)</f>
        <v>121.22919999999999</v>
      </c>
      <c r="D803" s="14">
        <f>121.2271 * CHOOSE(CONTROL!$C$9, $D$9, 100%, $F$9) + CHOOSE(CONTROL!$C$27, 0.0021, 0)</f>
        <v>121.22919999999999</v>
      </c>
      <c r="E803" s="14">
        <f>121.0904 * CHOOSE(CONTROL!$C$9, $D$9, 100%, $F$9) + CHOOSE(CONTROL!$C$27, 0.0021, 0)</f>
        <v>121.0925</v>
      </c>
      <c r="F803" s="14">
        <f>121.0904 * CHOOSE(CONTROL!$C$9, $D$9, 100%, $F$9) + CHOOSE(CONTROL!$C$27, 0.0021, 0)</f>
        <v>121.0925</v>
      </c>
      <c r="G803" s="14">
        <f>121.3618 * CHOOSE(CONTROL!$C$9, $D$9, 100%, $F$9) + CHOOSE(CONTROL!$C$27, 0.0021, 0)</f>
        <v>121.3639</v>
      </c>
      <c r="H803" s="14">
        <f>121.2271 * CHOOSE(CONTROL!$C$9, $D$9, 100%, $F$9) + CHOOSE(CONTROL!$C$27, 0.0021, 0)</f>
        <v>121.22919999999999</v>
      </c>
      <c r="I803" s="14">
        <f>121.2271 * CHOOSE(CONTROL!$C$9, $D$9, 100%, $F$9) + CHOOSE(CONTROL!$C$27, 0.0021, 0)</f>
        <v>121.22919999999999</v>
      </c>
      <c r="J803" s="14">
        <f>121.2271 * CHOOSE(CONTROL!$C$9, $D$9, 100%, $F$9) + CHOOSE(CONTROL!$C$27, 0.0021, 0)</f>
        <v>121.22919999999999</v>
      </c>
      <c r="K803" s="14">
        <f>121.2271 * CHOOSE(CONTROL!$C$9, $D$9, 100%, $F$9) + CHOOSE(CONTROL!$C$27, 0.0021, 0)</f>
        <v>121.22919999999999</v>
      </c>
      <c r="L803" s="14"/>
    </row>
    <row r="804" spans="1:12" ht="15.75" x14ac:dyDescent="0.25">
      <c r="A804" s="31">
        <v>65411</v>
      </c>
      <c r="B804" s="14">
        <f>120.9486 * CHOOSE(CONTROL!$C$9, $D$9, 100%, $F$9) + CHOOSE(CONTROL!$C$27, 0.0021, 0)</f>
        <v>120.9507</v>
      </c>
      <c r="C804" s="14">
        <f>120.5163 * CHOOSE(CONTROL!$C$9, $D$9, 100%, $F$9) + CHOOSE(CONTROL!$C$27, 0.0021, 0)</f>
        <v>120.5184</v>
      </c>
      <c r="D804" s="14">
        <f>120.5163 * CHOOSE(CONTROL!$C$9, $D$9, 100%, $F$9) + CHOOSE(CONTROL!$C$27, 0.0021, 0)</f>
        <v>120.5184</v>
      </c>
      <c r="E804" s="14">
        <f>120.3797 * CHOOSE(CONTROL!$C$9, $D$9, 100%, $F$9) + CHOOSE(CONTROL!$C$27, 0.0021, 0)</f>
        <v>120.3818</v>
      </c>
      <c r="F804" s="14">
        <f>120.3797 * CHOOSE(CONTROL!$C$9, $D$9, 100%, $F$9) + CHOOSE(CONTROL!$C$27, 0.0021, 0)</f>
        <v>120.3818</v>
      </c>
      <c r="G804" s="14">
        <f>120.6511 * CHOOSE(CONTROL!$C$9, $D$9, 100%, $F$9) + CHOOSE(CONTROL!$C$27, 0.0021, 0)</f>
        <v>120.6532</v>
      </c>
      <c r="H804" s="14">
        <f>120.5163 * CHOOSE(CONTROL!$C$9, $D$9, 100%, $F$9) + CHOOSE(CONTROL!$C$27, 0.0021, 0)</f>
        <v>120.5184</v>
      </c>
      <c r="I804" s="14">
        <f>120.5163 * CHOOSE(CONTROL!$C$9, $D$9, 100%, $F$9) + CHOOSE(CONTROL!$C$27, 0.0021, 0)</f>
        <v>120.5184</v>
      </c>
      <c r="J804" s="14">
        <f>120.5163 * CHOOSE(CONTROL!$C$9, $D$9, 100%, $F$9) + CHOOSE(CONTROL!$C$27, 0.0021, 0)</f>
        <v>120.5184</v>
      </c>
      <c r="K804" s="14">
        <f>120.5163 * CHOOSE(CONTROL!$C$9, $D$9, 100%, $F$9) + CHOOSE(CONTROL!$C$27, 0.0021, 0)</f>
        <v>120.5184</v>
      </c>
      <c r="L804" s="14"/>
    </row>
    <row r="805" spans="1:12" ht="15.75" x14ac:dyDescent="0.25">
      <c r="A805" s="31">
        <v>65439</v>
      </c>
      <c r="B805" s="14">
        <f>120.6188 * CHOOSE(CONTROL!$C$9, $D$9, 100%, $F$9) + CHOOSE(CONTROL!$C$27, 0.0021, 0)</f>
        <v>120.62089999999999</v>
      </c>
      <c r="C805" s="14">
        <f>120.1865 * CHOOSE(CONTROL!$C$9, $D$9, 100%, $F$9) + CHOOSE(CONTROL!$C$27, 0.0021, 0)</f>
        <v>120.18859999999999</v>
      </c>
      <c r="D805" s="14">
        <f>120.1865 * CHOOSE(CONTROL!$C$9, $D$9, 100%, $F$9) + CHOOSE(CONTROL!$C$27, 0.0021, 0)</f>
        <v>120.18859999999999</v>
      </c>
      <c r="E805" s="14">
        <f>120.0499 * CHOOSE(CONTROL!$C$9, $D$9, 100%, $F$9) + CHOOSE(CONTROL!$C$27, 0.0021, 0)</f>
        <v>120.05199999999999</v>
      </c>
      <c r="F805" s="14">
        <f>120.0499 * CHOOSE(CONTROL!$C$9, $D$9, 100%, $F$9) + CHOOSE(CONTROL!$C$27, 0.0021, 0)</f>
        <v>120.05199999999999</v>
      </c>
      <c r="G805" s="14">
        <f>120.3212 * CHOOSE(CONTROL!$C$9, $D$9, 100%, $F$9) + CHOOSE(CONTROL!$C$27, 0.0021, 0)</f>
        <v>120.3233</v>
      </c>
      <c r="H805" s="14">
        <f>120.1865 * CHOOSE(CONTROL!$C$9, $D$9, 100%, $F$9) + CHOOSE(CONTROL!$C$27, 0.0021, 0)</f>
        <v>120.18859999999999</v>
      </c>
      <c r="I805" s="14">
        <f>120.1865 * CHOOSE(CONTROL!$C$9, $D$9, 100%, $F$9) + CHOOSE(CONTROL!$C$27, 0.0021, 0)</f>
        <v>120.18859999999999</v>
      </c>
      <c r="J805" s="14">
        <f>120.1865 * CHOOSE(CONTROL!$C$9, $D$9, 100%, $F$9) + CHOOSE(CONTROL!$C$27, 0.0021, 0)</f>
        <v>120.18859999999999</v>
      </c>
      <c r="K805" s="14">
        <f>120.1865 * CHOOSE(CONTROL!$C$9, $D$9, 100%, $F$9) + CHOOSE(CONTROL!$C$27, 0.0021, 0)</f>
        <v>120.18859999999999</v>
      </c>
      <c r="L805" s="14"/>
    </row>
    <row r="806" spans="1:12" ht="15.75" x14ac:dyDescent="0.25">
      <c r="A806" s="31">
        <v>65470</v>
      </c>
      <c r="B806" s="14">
        <f>126.8552 * CHOOSE(CONTROL!$C$9, $D$9, 100%, $F$9) + CHOOSE(CONTROL!$C$27, 0.0021, 0)</f>
        <v>126.8573</v>
      </c>
      <c r="C806" s="14">
        <f>126.423 * CHOOSE(CONTROL!$C$9, $D$9, 100%, $F$9) + CHOOSE(CONTROL!$C$27, 0.0021, 0)</f>
        <v>126.4251</v>
      </c>
      <c r="D806" s="14">
        <f>126.423 * CHOOSE(CONTROL!$C$9, $D$9, 100%, $F$9) + CHOOSE(CONTROL!$C$27, 0.0021, 0)</f>
        <v>126.4251</v>
      </c>
      <c r="E806" s="14">
        <f>126.2863 * CHOOSE(CONTROL!$C$9, $D$9, 100%, $F$9) + CHOOSE(CONTROL!$C$27, 0.0021, 0)</f>
        <v>126.2884</v>
      </c>
      <c r="F806" s="14">
        <f>126.2863 * CHOOSE(CONTROL!$C$9, $D$9, 100%, $F$9) + CHOOSE(CONTROL!$C$27, 0.0021, 0)</f>
        <v>126.2884</v>
      </c>
      <c r="G806" s="14">
        <f>126.5577 * CHOOSE(CONTROL!$C$9, $D$9, 100%, $F$9) + CHOOSE(CONTROL!$C$27, 0.0021, 0)</f>
        <v>126.5598</v>
      </c>
      <c r="H806" s="14">
        <f>126.423 * CHOOSE(CONTROL!$C$9, $D$9, 100%, $F$9) + CHOOSE(CONTROL!$C$27, 0.0021, 0)</f>
        <v>126.4251</v>
      </c>
      <c r="I806" s="14">
        <f>126.423 * CHOOSE(CONTROL!$C$9, $D$9, 100%, $F$9) + CHOOSE(CONTROL!$C$27, 0.0021, 0)</f>
        <v>126.4251</v>
      </c>
      <c r="J806" s="14">
        <f>126.423 * CHOOSE(CONTROL!$C$9, $D$9, 100%, $F$9) + CHOOSE(CONTROL!$C$27, 0.0021, 0)</f>
        <v>126.4251</v>
      </c>
      <c r="K806" s="14">
        <f>126.423 * CHOOSE(CONTROL!$C$9, $D$9, 100%, $F$9) + CHOOSE(CONTROL!$C$27, 0.0021, 0)</f>
        <v>126.4251</v>
      </c>
      <c r="L806" s="14"/>
    </row>
    <row r="807" spans="1:12" ht="15.75" x14ac:dyDescent="0.25">
      <c r="A807" s="31">
        <v>65500</v>
      </c>
      <c r="B807" s="14">
        <f>134.9425 * CHOOSE(CONTROL!$C$9, $D$9, 100%, $F$9) + CHOOSE(CONTROL!$C$27, 0.0021, 0)</f>
        <v>134.94460000000001</v>
      </c>
      <c r="C807" s="14">
        <f>134.5102 * CHOOSE(CONTROL!$C$9, $D$9, 100%, $F$9) + CHOOSE(CONTROL!$C$27, 0.0021, 0)</f>
        <v>134.51230000000001</v>
      </c>
      <c r="D807" s="14">
        <f>134.5102 * CHOOSE(CONTROL!$C$9, $D$9, 100%, $F$9) + CHOOSE(CONTROL!$C$27, 0.0021, 0)</f>
        <v>134.51230000000001</v>
      </c>
      <c r="E807" s="14">
        <f>134.3736 * CHOOSE(CONTROL!$C$9, $D$9, 100%, $F$9) + CHOOSE(CONTROL!$C$27, 0.0021, 0)</f>
        <v>134.37570000000002</v>
      </c>
      <c r="F807" s="14">
        <f>134.3736 * CHOOSE(CONTROL!$C$9, $D$9, 100%, $F$9) + CHOOSE(CONTROL!$C$27, 0.0021, 0)</f>
        <v>134.37570000000002</v>
      </c>
      <c r="G807" s="14">
        <f>134.6449 * CHOOSE(CONTROL!$C$9, $D$9, 100%, $F$9) + CHOOSE(CONTROL!$C$27, 0.0021, 0)</f>
        <v>134.64700000000002</v>
      </c>
      <c r="H807" s="14">
        <f>134.5102 * CHOOSE(CONTROL!$C$9, $D$9, 100%, $F$9) + CHOOSE(CONTROL!$C$27, 0.0021, 0)</f>
        <v>134.51230000000001</v>
      </c>
      <c r="I807" s="14">
        <f>134.5102 * CHOOSE(CONTROL!$C$9, $D$9, 100%, $F$9) + CHOOSE(CONTROL!$C$27, 0.0021, 0)</f>
        <v>134.51230000000001</v>
      </c>
      <c r="J807" s="14">
        <f>134.5102 * CHOOSE(CONTROL!$C$9, $D$9, 100%, $F$9) + CHOOSE(CONTROL!$C$27, 0.0021, 0)</f>
        <v>134.51230000000001</v>
      </c>
      <c r="K807" s="14">
        <f>134.5102 * CHOOSE(CONTROL!$C$9, $D$9, 100%, $F$9) + CHOOSE(CONTROL!$C$27, 0.0021, 0)</f>
        <v>134.51230000000001</v>
      </c>
      <c r="L807" s="14"/>
    </row>
    <row r="808" spans="1:12" ht="15.75" x14ac:dyDescent="0.25">
      <c r="A808" s="31">
        <v>65531</v>
      </c>
      <c r="B808" s="14">
        <f>139.394 * CHOOSE(CONTROL!$C$9, $D$9, 100%, $F$9) + CHOOSE(CONTROL!$C$27, 0.0021, 0)</f>
        <v>139.39610000000002</v>
      </c>
      <c r="C808" s="14">
        <f>138.9617 * CHOOSE(CONTROL!$C$9, $D$9, 100%, $F$9) + CHOOSE(CONTROL!$C$27, 0.0021, 0)</f>
        <v>138.96380000000002</v>
      </c>
      <c r="D808" s="14">
        <f>138.9617 * CHOOSE(CONTROL!$C$9, $D$9, 100%, $F$9) + CHOOSE(CONTROL!$C$27, 0.0021, 0)</f>
        <v>138.96380000000002</v>
      </c>
      <c r="E808" s="14">
        <f>138.825 * CHOOSE(CONTROL!$C$9, $D$9, 100%, $F$9) + CHOOSE(CONTROL!$C$27, 0.0021, 0)</f>
        <v>138.8271</v>
      </c>
      <c r="F808" s="14">
        <f>138.825 * CHOOSE(CONTROL!$C$9, $D$9, 100%, $F$9) + CHOOSE(CONTROL!$C$27, 0.0021, 0)</f>
        <v>138.8271</v>
      </c>
      <c r="G808" s="14">
        <f>139.0964 * CHOOSE(CONTROL!$C$9, $D$9, 100%, $F$9) + CHOOSE(CONTROL!$C$27, 0.0021, 0)</f>
        <v>139.0985</v>
      </c>
      <c r="H808" s="14">
        <f>138.9617 * CHOOSE(CONTROL!$C$9, $D$9, 100%, $F$9) + CHOOSE(CONTROL!$C$27, 0.0021, 0)</f>
        <v>138.96380000000002</v>
      </c>
      <c r="I808" s="14">
        <f>138.9617 * CHOOSE(CONTROL!$C$9, $D$9, 100%, $F$9) + CHOOSE(CONTROL!$C$27, 0.0021, 0)</f>
        <v>138.96380000000002</v>
      </c>
      <c r="J808" s="14">
        <f>138.9617 * CHOOSE(CONTROL!$C$9, $D$9, 100%, $F$9) + CHOOSE(CONTROL!$C$27, 0.0021, 0)</f>
        <v>138.96380000000002</v>
      </c>
      <c r="K808" s="14">
        <f>138.9617 * CHOOSE(CONTROL!$C$9, $D$9, 100%, $F$9) + CHOOSE(CONTROL!$C$27, 0.0021, 0)</f>
        <v>138.96380000000002</v>
      </c>
      <c r="L808" s="14"/>
    </row>
    <row r="809" spans="1:12" ht="15.75" x14ac:dyDescent="0.25">
      <c r="A809" s="31">
        <v>65561</v>
      </c>
      <c r="B809" s="14">
        <f>141.3694 * CHOOSE(CONTROL!$C$9, $D$9, 100%, $F$9) + CHOOSE(CONTROL!$C$27, 0.0021, 0)</f>
        <v>141.37150000000003</v>
      </c>
      <c r="C809" s="14">
        <f>140.9372 * CHOOSE(CONTROL!$C$9, $D$9, 100%, $F$9) + CHOOSE(CONTROL!$C$27, 0.0021, 0)</f>
        <v>140.9393</v>
      </c>
      <c r="D809" s="14">
        <f>140.9372 * CHOOSE(CONTROL!$C$9, $D$9, 100%, $F$9) + CHOOSE(CONTROL!$C$27, 0.0021, 0)</f>
        <v>140.9393</v>
      </c>
      <c r="E809" s="14">
        <f>140.8005 * CHOOSE(CONTROL!$C$9, $D$9, 100%, $F$9) + CHOOSE(CONTROL!$C$27, 0.0021, 0)</f>
        <v>140.80260000000001</v>
      </c>
      <c r="F809" s="14">
        <f>140.8005 * CHOOSE(CONTROL!$C$9, $D$9, 100%, $F$9) + CHOOSE(CONTROL!$C$27, 0.0021, 0)</f>
        <v>140.80260000000001</v>
      </c>
      <c r="G809" s="14">
        <f>141.0719 * CHOOSE(CONTROL!$C$9, $D$9, 100%, $F$9) + CHOOSE(CONTROL!$C$27, 0.0021, 0)</f>
        <v>141.07400000000001</v>
      </c>
      <c r="H809" s="14">
        <f>140.9372 * CHOOSE(CONTROL!$C$9, $D$9, 100%, $F$9) + CHOOSE(CONTROL!$C$27, 0.0021, 0)</f>
        <v>140.9393</v>
      </c>
      <c r="I809" s="14">
        <f>140.9372 * CHOOSE(CONTROL!$C$9, $D$9, 100%, $F$9) + CHOOSE(CONTROL!$C$27, 0.0021, 0)</f>
        <v>140.9393</v>
      </c>
      <c r="J809" s="14">
        <f>140.9372 * CHOOSE(CONTROL!$C$9, $D$9, 100%, $F$9) + CHOOSE(CONTROL!$C$27, 0.0021, 0)</f>
        <v>140.9393</v>
      </c>
      <c r="K809" s="14">
        <f>140.9372 * CHOOSE(CONTROL!$C$9, $D$9, 100%, $F$9) + CHOOSE(CONTROL!$C$27, 0.0021, 0)</f>
        <v>140.9393</v>
      </c>
      <c r="L809" s="14"/>
    </row>
    <row r="810" spans="1:12" ht="15.75" x14ac:dyDescent="0.25">
      <c r="A810" s="31">
        <v>65592</v>
      </c>
      <c r="B810" s="14">
        <f>140.719 * CHOOSE(CONTROL!$C$9, $D$9, 100%, $F$9) + CHOOSE(CONTROL!$C$27, 0.0021, 0)</f>
        <v>140.72110000000001</v>
      </c>
      <c r="C810" s="14">
        <f>140.2868 * CHOOSE(CONTROL!$C$9, $D$9, 100%, $F$9) + CHOOSE(CONTROL!$C$27, 0.0021, 0)</f>
        <v>140.28890000000001</v>
      </c>
      <c r="D810" s="14">
        <f>140.2868 * CHOOSE(CONTROL!$C$9, $D$9, 100%, $F$9) + CHOOSE(CONTROL!$C$27, 0.0021, 0)</f>
        <v>140.28890000000001</v>
      </c>
      <c r="E810" s="14">
        <f>140.1501 * CHOOSE(CONTROL!$C$9, $D$9, 100%, $F$9) + CHOOSE(CONTROL!$C$27, 0.0021, 0)</f>
        <v>140.15220000000002</v>
      </c>
      <c r="F810" s="14">
        <f>140.1501 * CHOOSE(CONTROL!$C$9, $D$9, 100%, $F$9) + CHOOSE(CONTROL!$C$27, 0.0021, 0)</f>
        <v>140.15220000000002</v>
      </c>
      <c r="G810" s="14">
        <f>140.4215 * CHOOSE(CONTROL!$C$9, $D$9, 100%, $F$9) + CHOOSE(CONTROL!$C$27, 0.0021, 0)</f>
        <v>140.42360000000002</v>
      </c>
      <c r="H810" s="14">
        <f>140.2868 * CHOOSE(CONTROL!$C$9, $D$9, 100%, $F$9) + CHOOSE(CONTROL!$C$27, 0.0021, 0)</f>
        <v>140.28890000000001</v>
      </c>
      <c r="I810" s="14">
        <f>140.2868 * CHOOSE(CONTROL!$C$9, $D$9, 100%, $F$9) + CHOOSE(CONTROL!$C$27, 0.0021, 0)</f>
        <v>140.28890000000001</v>
      </c>
      <c r="J810" s="14">
        <f>140.2868 * CHOOSE(CONTROL!$C$9, $D$9, 100%, $F$9) + CHOOSE(CONTROL!$C$27, 0.0021, 0)</f>
        <v>140.28890000000001</v>
      </c>
      <c r="K810" s="14">
        <f>140.2868 * CHOOSE(CONTROL!$C$9, $D$9, 100%, $F$9) + CHOOSE(CONTROL!$C$27, 0.0021, 0)</f>
        <v>140.28890000000001</v>
      </c>
      <c r="L810" s="14"/>
    </row>
    <row r="811" spans="1:12" ht="15.75" x14ac:dyDescent="0.25">
      <c r="A811" s="31">
        <v>65623</v>
      </c>
      <c r="B811" s="14">
        <f>137.4965 * CHOOSE(CONTROL!$C$9, $D$9, 100%, $F$9) + CHOOSE(CONTROL!$C$27, 0.0021, 0)</f>
        <v>137.49860000000001</v>
      </c>
      <c r="C811" s="14">
        <f>137.0643 * CHOOSE(CONTROL!$C$9, $D$9, 100%, $F$9) + CHOOSE(CONTROL!$C$27, 0.0021, 0)</f>
        <v>137.06640000000002</v>
      </c>
      <c r="D811" s="14">
        <f>137.0643 * CHOOSE(CONTROL!$C$9, $D$9, 100%, $F$9) + CHOOSE(CONTROL!$C$27, 0.0021, 0)</f>
        <v>137.06640000000002</v>
      </c>
      <c r="E811" s="14">
        <f>136.9276 * CHOOSE(CONTROL!$C$9, $D$9, 100%, $F$9) + CHOOSE(CONTROL!$C$27, 0.0021, 0)</f>
        <v>136.92970000000003</v>
      </c>
      <c r="F811" s="14">
        <f>136.9276 * CHOOSE(CONTROL!$C$9, $D$9, 100%, $F$9) + CHOOSE(CONTROL!$C$27, 0.0021, 0)</f>
        <v>136.92970000000003</v>
      </c>
      <c r="G811" s="14">
        <f>137.199 * CHOOSE(CONTROL!$C$9, $D$9, 100%, $F$9) + CHOOSE(CONTROL!$C$27, 0.0021, 0)</f>
        <v>137.20110000000003</v>
      </c>
      <c r="H811" s="14">
        <f>137.0643 * CHOOSE(CONTROL!$C$9, $D$9, 100%, $F$9) + CHOOSE(CONTROL!$C$27, 0.0021, 0)</f>
        <v>137.06640000000002</v>
      </c>
      <c r="I811" s="14">
        <f>137.0643 * CHOOSE(CONTROL!$C$9, $D$9, 100%, $F$9) + CHOOSE(CONTROL!$C$27, 0.0021, 0)</f>
        <v>137.06640000000002</v>
      </c>
      <c r="J811" s="14">
        <f>137.0643 * CHOOSE(CONTROL!$C$9, $D$9, 100%, $F$9) + CHOOSE(CONTROL!$C$27, 0.0021, 0)</f>
        <v>137.06640000000002</v>
      </c>
      <c r="K811" s="14">
        <f>137.0643 * CHOOSE(CONTROL!$C$9, $D$9, 100%, $F$9) + CHOOSE(CONTROL!$C$27, 0.0021, 0)</f>
        <v>137.06640000000002</v>
      </c>
      <c r="L811" s="14"/>
    </row>
    <row r="812" spans="1:12" ht="15.75" x14ac:dyDescent="0.25">
      <c r="A812" s="31">
        <v>65653</v>
      </c>
      <c r="B812" s="14">
        <f>133.0026 * CHOOSE(CONTROL!$C$9, $D$9, 100%, $F$9) + CHOOSE(CONTROL!$C$27, 0.0021, 0)</f>
        <v>133.00470000000001</v>
      </c>
      <c r="C812" s="14">
        <f>132.5703 * CHOOSE(CONTROL!$C$9, $D$9, 100%, $F$9) + CHOOSE(CONTROL!$C$27, 0.0021, 0)</f>
        <v>132.57240000000002</v>
      </c>
      <c r="D812" s="14">
        <f>132.5703 * CHOOSE(CONTROL!$C$9, $D$9, 100%, $F$9) + CHOOSE(CONTROL!$C$27, 0.0021, 0)</f>
        <v>132.57240000000002</v>
      </c>
      <c r="E812" s="14">
        <f>132.4336 * CHOOSE(CONTROL!$C$9, $D$9, 100%, $F$9) + CHOOSE(CONTROL!$C$27, 0.0021, 0)</f>
        <v>132.43570000000003</v>
      </c>
      <c r="F812" s="14">
        <f>132.4336 * CHOOSE(CONTROL!$C$9, $D$9, 100%, $F$9) + CHOOSE(CONTROL!$C$27, 0.0021, 0)</f>
        <v>132.43570000000003</v>
      </c>
      <c r="G812" s="14">
        <f>132.705 * CHOOSE(CONTROL!$C$9, $D$9, 100%, $F$9) + CHOOSE(CONTROL!$C$27, 0.0021, 0)</f>
        <v>132.70710000000003</v>
      </c>
      <c r="H812" s="14">
        <f>132.5703 * CHOOSE(CONTROL!$C$9, $D$9, 100%, $F$9) + CHOOSE(CONTROL!$C$27, 0.0021, 0)</f>
        <v>132.57240000000002</v>
      </c>
      <c r="I812" s="14">
        <f>132.5703 * CHOOSE(CONTROL!$C$9, $D$9, 100%, $F$9) + CHOOSE(CONTROL!$C$27, 0.0021, 0)</f>
        <v>132.57240000000002</v>
      </c>
      <c r="J812" s="14">
        <f>132.5703 * CHOOSE(CONTROL!$C$9, $D$9, 100%, $F$9) + CHOOSE(CONTROL!$C$27, 0.0021, 0)</f>
        <v>132.57240000000002</v>
      </c>
      <c r="K812" s="14">
        <f>132.5703 * CHOOSE(CONTROL!$C$9, $D$9, 100%, $F$9) + CHOOSE(CONTROL!$C$27, 0.0021, 0)</f>
        <v>132.57240000000002</v>
      </c>
      <c r="L812" s="14"/>
    </row>
    <row r="813" spans="1:12" ht="15.75" x14ac:dyDescent="0.25">
      <c r="A813" s="31">
        <v>65684</v>
      </c>
      <c r="B813" s="14">
        <f>128.4825 * CHOOSE(CONTROL!$C$9, $D$9, 100%, $F$9) + CHOOSE(CONTROL!$C$27, 0.0021, 0)</f>
        <v>128.4846</v>
      </c>
      <c r="C813" s="14">
        <f>128.0502 * CHOOSE(CONTROL!$C$9, $D$9, 100%, $F$9) + CHOOSE(CONTROL!$C$27, 0.0021, 0)</f>
        <v>128.0523</v>
      </c>
      <c r="D813" s="14">
        <f>128.0502 * CHOOSE(CONTROL!$C$9, $D$9, 100%, $F$9) + CHOOSE(CONTROL!$C$27, 0.0021, 0)</f>
        <v>128.0523</v>
      </c>
      <c r="E813" s="14">
        <f>127.9136 * CHOOSE(CONTROL!$C$9, $D$9, 100%, $F$9) + CHOOSE(CONTROL!$C$27, 0.0021, 0)</f>
        <v>127.9157</v>
      </c>
      <c r="F813" s="14">
        <f>127.9136 * CHOOSE(CONTROL!$C$9, $D$9, 100%, $F$9) + CHOOSE(CONTROL!$C$27, 0.0021, 0)</f>
        <v>127.9157</v>
      </c>
      <c r="G813" s="14">
        <f>128.1849 * CHOOSE(CONTROL!$C$9, $D$9, 100%, $F$9) + CHOOSE(CONTROL!$C$27, 0.0021, 0)</f>
        <v>128.18700000000001</v>
      </c>
      <c r="H813" s="14">
        <f>128.0502 * CHOOSE(CONTROL!$C$9, $D$9, 100%, $F$9) + CHOOSE(CONTROL!$C$27, 0.0021, 0)</f>
        <v>128.0523</v>
      </c>
      <c r="I813" s="14">
        <f>128.0502 * CHOOSE(CONTROL!$C$9, $D$9, 100%, $F$9) + CHOOSE(CONTROL!$C$27, 0.0021, 0)</f>
        <v>128.0523</v>
      </c>
      <c r="J813" s="14">
        <f>128.0502 * CHOOSE(CONTROL!$C$9, $D$9, 100%, $F$9) + CHOOSE(CONTROL!$C$27, 0.0021, 0)</f>
        <v>128.0523</v>
      </c>
      <c r="K813" s="14">
        <f>128.0502 * CHOOSE(CONTROL!$C$9, $D$9, 100%, $F$9) + CHOOSE(CONTROL!$C$27, 0.0021, 0)</f>
        <v>128.0523</v>
      </c>
      <c r="L813" s="14"/>
    </row>
    <row r="814" spans="1:12" ht="15.75" x14ac:dyDescent="0.25">
      <c r="A814" s="31">
        <v>65714</v>
      </c>
      <c r="B814" s="14">
        <f>127.5833 * CHOOSE(CONTROL!$C$9, $D$9, 100%, $F$9) + CHOOSE(CONTROL!$C$27, 0.0021, 0)</f>
        <v>127.58539999999999</v>
      </c>
      <c r="C814" s="14">
        <f>127.1511 * CHOOSE(CONTROL!$C$9, $D$9, 100%, $F$9) + CHOOSE(CONTROL!$C$27, 0.0021, 0)</f>
        <v>127.1532</v>
      </c>
      <c r="D814" s="14">
        <f>127.1511 * CHOOSE(CONTROL!$C$9, $D$9, 100%, $F$9) + CHOOSE(CONTROL!$C$27, 0.0021, 0)</f>
        <v>127.1532</v>
      </c>
      <c r="E814" s="14">
        <f>127.0144 * CHOOSE(CONTROL!$C$9, $D$9, 100%, $F$9) + CHOOSE(CONTROL!$C$27, 0.0021, 0)</f>
        <v>127.01649999999999</v>
      </c>
      <c r="F814" s="14">
        <f>127.0144 * CHOOSE(CONTROL!$C$9, $D$9, 100%, $F$9) + CHOOSE(CONTROL!$C$27, 0.0021, 0)</f>
        <v>127.01649999999999</v>
      </c>
      <c r="G814" s="14">
        <f>127.2858 * CHOOSE(CONTROL!$C$9, $D$9, 100%, $F$9) + CHOOSE(CONTROL!$C$27, 0.0021, 0)</f>
        <v>127.28789999999999</v>
      </c>
      <c r="H814" s="14">
        <f>127.1511 * CHOOSE(CONTROL!$C$9, $D$9, 100%, $F$9) + CHOOSE(CONTROL!$C$27, 0.0021, 0)</f>
        <v>127.1532</v>
      </c>
      <c r="I814" s="14">
        <f>127.1511 * CHOOSE(CONTROL!$C$9, $D$9, 100%, $F$9) + CHOOSE(CONTROL!$C$27, 0.0021, 0)</f>
        <v>127.1532</v>
      </c>
      <c r="J814" s="14">
        <f>127.1511 * CHOOSE(CONTROL!$C$9, $D$9, 100%, $F$9) + CHOOSE(CONTROL!$C$27, 0.0021, 0)</f>
        <v>127.1532</v>
      </c>
      <c r="K814" s="14">
        <f>127.1511 * CHOOSE(CONTROL!$C$9, $D$9, 100%, $F$9) + CHOOSE(CONTROL!$C$27, 0.0021, 0)</f>
        <v>127.1532</v>
      </c>
      <c r="L814" s="14"/>
    </row>
    <row r="815" spans="1:12" ht="15.75" x14ac:dyDescent="0.25">
      <c r="A815" s="31">
        <v>65745</v>
      </c>
      <c r="B815" s="14">
        <f>123.8653 * CHOOSE(CONTROL!$C$9, $D$9, 100%, $F$9) + CHOOSE(CONTROL!$C$27, 0.0021, 0)</f>
        <v>123.8674</v>
      </c>
      <c r="C815" s="14">
        <f>123.4331 * CHOOSE(CONTROL!$C$9, $D$9, 100%, $F$9) + CHOOSE(CONTROL!$C$27, 0.0021, 0)</f>
        <v>123.43519999999999</v>
      </c>
      <c r="D815" s="14">
        <f>123.4331 * CHOOSE(CONTROL!$C$9, $D$9, 100%, $F$9) + CHOOSE(CONTROL!$C$27, 0.0021, 0)</f>
        <v>123.43519999999999</v>
      </c>
      <c r="E815" s="14">
        <f>123.2964 * CHOOSE(CONTROL!$C$9, $D$9, 100%, $F$9) + CHOOSE(CONTROL!$C$27, 0.0021, 0)</f>
        <v>123.2985</v>
      </c>
      <c r="F815" s="14">
        <f>123.2964 * CHOOSE(CONTROL!$C$9, $D$9, 100%, $F$9) + CHOOSE(CONTROL!$C$27, 0.0021, 0)</f>
        <v>123.2985</v>
      </c>
      <c r="G815" s="14">
        <f>123.5678 * CHOOSE(CONTROL!$C$9, $D$9, 100%, $F$9) + CHOOSE(CONTROL!$C$27, 0.0021, 0)</f>
        <v>123.5699</v>
      </c>
      <c r="H815" s="14">
        <f>123.4331 * CHOOSE(CONTROL!$C$9, $D$9, 100%, $F$9) + CHOOSE(CONTROL!$C$27, 0.0021, 0)</f>
        <v>123.43519999999999</v>
      </c>
      <c r="I815" s="14">
        <f>123.4331 * CHOOSE(CONTROL!$C$9, $D$9, 100%, $F$9) + CHOOSE(CONTROL!$C$27, 0.0021, 0)</f>
        <v>123.43519999999999</v>
      </c>
      <c r="J815" s="14">
        <f>123.4331 * CHOOSE(CONTROL!$C$9, $D$9, 100%, $F$9) + CHOOSE(CONTROL!$C$27, 0.0021, 0)</f>
        <v>123.43519999999999</v>
      </c>
      <c r="K815" s="14">
        <f>123.4331 * CHOOSE(CONTROL!$C$9, $D$9, 100%, $F$9) + CHOOSE(CONTROL!$C$27, 0.0021, 0)</f>
        <v>123.43519999999999</v>
      </c>
      <c r="L815" s="14"/>
    </row>
    <row r="816" spans="1:12" ht="15.75" x14ac:dyDescent="0.25">
      <c r="A816" s="31">
        <v>65776</v>
      </c>
      <c r="B816" s="14">
        <f>123.1414 * CHOOSE(CONTROL!$C$9, $D$9, 100%, $F$9) + CHOOSE(CONTROL!$C$27, 0.0021, 0)</f>
        <v>123.1435</v>
      </c>
      <c r="C816" s="14">
        <f>122.7092 * CHOOSE(CONTROL!$C$9, $D$9, 100%, $F$9) + CHOOSE(CONTROL!$C$27, 0.0021, 0)</f>
        <v>122.71129999999999</v>
      </c>
      <c r="D816" s="14">
        <f>122.7092 * CHOOSE(CONTROL!$C$9, $D$9, 100%, $F$9) + CHOOSE(CONTROL!$C$27, 0.0021, 0)</f>
        <v>122.71129999999999</v>
      </c>
      <c r="E816" s="14">
        <f>122.5725 * CHOOSE(CONTROL!$C$9, $D$9, 100%, $F$9) + CHOOSE(CONTROL!$C$27, 0.0021, 0)</f>
        <v>122.5746</v>
      </c>
      <c r="F816" s="14">
        <f>122.5725 * CHOOSE(CONTROL!$C$9, $D$9, 100%, $F$9) + CHOOSE(CONTROL!$C$27, 0.0021, 0)</f>
        <v>122.5746</v>
      </c>
      <c r="G816" s="14">
        <f>122.8439 * CHOOSE(CONTROL!$C$9, $D$9, 100%, $F$9) + CHOOSE(CONTROL!$C$27, 0.0021, 0)</f>
        <v>122.846</v>
      </c>
      <c r="H816" s="14">
        <f>122.7092 * CHOOSE(CONTROL!$C$9, $D$9, 100%, $F$9) + CHOOSE(CONTROL!$C$27, 0.0021, 0)</f>
        <v>122.71129999999999</v>
      </c>
      <c r="I816" s="14">
        <f>122.7092 * CHOOSE(CONTROL!$C$9, $D$9, 100%, $F$9) + CHOOSE(CONTROL!$C$27, 0.0021, 0)</f>
        <v>122.71129999999999</v>
      </c>
      <c r="J816" s="14">
        <f>122.7092 * CHOOSE(CONTROL!$C$9, $D$9, 100%, $F$9) + CHOOSE(CONTROL!$C$27, 0.0021, 0)</f>
        <v>122.71129999999999</v>
      </c>
      <c r="K816" s="14">
        <f>122.7092 * CHOOSE(CONTROL!$C$9, $D$9, 100%, $F$9) + CHOOSE(CONTROL!$C$27, 0.0021, 0)</f>
        <v>122.71129999999999</v>
      </c>
      <c r="L816" s="14"/>
    </row>
    <row r="817" spans="1:12" ht="15.75" x14ac:dyDescent="0.25">
      <c r="A817" s="31">
        <v>65805</v>
      </c>
      <c r="B817" s="14">
        <f>122.8055 * CHOOSE(CONTROL!$C$9, $D$9, 100%, $F$9) + CHOOSE(CONTROL!$C$27, 0.0021, 0)</f>
        <v>122.80759999999999</v>
      </c>
      <c r="C817" s="14">
        <f>122.3733 * CHOOSE(CONTROL!$C$9, $D$9, 100%, $F$9) + CHOOSE(CONTROL!$C$27, 0.0021, 0)</f>
        <v>122.3754</v>
      </c>
      <c r="D817" s="14">
        <f>122.3733 * CHOOSE(CONTROL!$C$9, $D$9, 100%, $F$9) + CHOOSE(CONTROL!$C$27, 0.0021, 0)</f>
        <v>122.3754</v>
      </c>
      <c r="E817" s="14">
        <f>122.2366 * CHOOSE(CONTROL!$C$9, $D$9, 100%, $F$9) + CHOOSE(CONTROL!$C$27, 0.0021, 0)</f>
        <v>122.23869999999999</v>
      </c>
      <c r="F817" s="14">
        <f>122.2366 * CHOOSE(CONTROL!$C$9, $D$9, 100%, $F$9) + CHOOSE(CONTROL!$C$27, 0.0021, 0)</f>
        <v>122.23869999999999</v>
      </c>
      <c r="G817" s="14">
        <f>122.508 * CHOOSE(CONTROL!$C$9, $D$9, 100%, $F$9) + CHOOSE(CONTROL!$C$27, 0.0021, 0)</f>
        <v>122.51009999999999</v>
      </c>
      <c r="H817" s="14">
        <f>122.3733 * CHOOSE(CONTROL!$C$9, $D$9, 100%, $F$9) + CHOOSE(CONTROL!$C$27, 0.0021, 0)</f>
        <v>122.3754</v>
      </c>
      <c r="I817" s="14">
        <f>122.3733 * CHOOSE(CONTROL!$C$9, $D$9, 100%, $F$9) + CHOOSE(CONTROL!$C$27, 0.0021, 0)</f>
        <v>122.3754</v>
      </c>
      <c r="J817" s="14">
        <f>122.3733 * CHOOSE(CONTROL!$C$9, $D$9, 100%, $F$9) + CHOOSE(CONTROL!$C$27, 0.0021, 0)</f>
        <v>122.3754</v>
      </c>
      <c r="K817" s="14">
        <f>122.3733 * CHOOSE(CONTROL!$C$9, $D$9, 100%, $F$9) + CHOOSE(CONTROL!$C$27, 0.0021, 0)</f>
        <v>122.3754</v>
      </c>
      <c r="L817" s="14"/>
    </row>
    <row r="818" spans="1:12" ht="15.75" x14ac:dyDescent="0.25">
      <c r="A818" s="31">
        <v>65836</v>
      </c>
      <c r="B818" s="14">
        <f>129.1573 * CHOOSE(CONTROL!$C$9, $D$9, 100%, $F$9) + CHOOSE(CONTROL!$C$27, 0.0021, 0)</f>
        <v>129.15940000000001</v>
      </c>
      <c r="C818" s="14">
        <f>128.725 * CHOOSE(CONTROL!$C$9, $D$9, 100%, $F$9) + CHOOSE(CONTROL!$C$27, 0.0021, 0)</f>
        <v>128.72710000000001</v>
      </c>
      <c r="D818" s="14">
        <f>128.725 * CHOOSE(CONTROL!$C$9, $D$9, 100%, $F$9) + CHOOSE(CONTROL!$C$27, 0.0021, 0)</f>
        <v>128.72710000000001</v>
      </c>
      <c r="E818" s="14">
        <f>128.5884 * CHOOSE(CONTROL!$C$9, $D$9, 100%, $F$9) + CHOOSE(CONTROL!$C$27, 0.0021, 0)</f>
        <v>128.59050000000002</v>
      </c>
      <c r="F818" s="14">
        <f>128.5884 * CHOOSE(CONTROL!$C$9, $D$9, 100%, $F$9) + CHOOSE(CONTROL!$C$27, 0.0021, 0)</f>
        <v>128.59050000000002</v>
      </c>
      <c r="G818" s="14">
        <f>128.8597 * CHOOSE(CONTROL!$C$9, $D$9, 100%, $F$9) + CHOOSE(CONTROL!$C$27, 0.0021, 0)</f>
        <v>128.86180000000002</v>
      </c>
      <c r="H818" s="14">
        <f>128.725 * CHOOSE(CONTROL!$C$9, $D$9, 100%, $F$9) + CHOOSE(CONTROL!$C$27, 0.0021, 0)</f>
        <v>128.72710000000001</v>
      </c>
      <c r="I818" s="14">
        <f>128.725 * CHOOSE(CONTROL!$C$9, $D$9, 100%, $F$9) + CHOOSE(CONTROL!$C$27, 0.0021, 0)</f>
        <v>128.72710000000001</v>
      </c>
      <c r="J818" s="14">
        <f>128.725 * CHOOSE(CONTROL!$C$9, $D$9, 100%, $F$9) + CHOOSE(CONTROL!$C$27, 0.0021, 0)</f>
        <v>128.72710000000001</v>
      </c>
      <c r="K818" s="14">
        <f>128.725 * CHOOSE(CONTROL!$C$9, $D$9, 100%, $F$9) + CHOOSE(CONTROL!$C$27, 0.0021, 0)</f>
        <v>128.72710000000001</v>
      </c>
      <c r="L818" s="14"/>
    </row>
    <row r="819" spans="1:12" ht="15.75" x14ac:dyDescent="0.25">
      <c r="A819" s="31">
        <v>65866</v>
      </c>
      <c r="B819" s="14">
        <f>137.394 * CHOOSE(CONTROL!$C$9, $D$9, 100%, $F$9) + CHOOSE(CONTROL!$C$27, 0.0021, 0)</f>
        <v>137.39610000000002</v>
      </c>
      <c r="C819" s="14">
        <f>136.9617 * CHOOSE(CONTROL!$C$9, $D$9, 100%, $F$9) + CHOOSE(CONTROL!$C$27, 0.0021, 0)</f>
        <v>136.96380000000002</v>
      </c>
      <c r="D819" s="14">
        <f>136.9617 * CHOOSE(CONTROL!$C$9, $D$9, 100%, $F$9) + CHOOSE(CONTROL!$C$27, 0.0021, 0)</f>
        <v>136.96380000000002</v>
      </c>
      <c r="E819" s="14">
        <f>136.825 * CHOOSE(CONTROL!$C$9, $D$9, 100%, $F$9) + CHOOSE(CONTROL!$C$27, 0.0021, 0)</f>
        <v>136.8271</v>
      </c>
      <c r="F819" s="14">
        <f>136.825 * CHOOSE(CONTROL!$C$9, $D$9, 100%, $F$9) + CHOOSE(CONTROL!$C$27, 0.0021, 0)</f>
        <v>136.8271</v>
      </c>
      <c r="G819" s="14">
        <f>137.0964 * CHOOSE(CONTROL!$C$9, $D$9, 100%, $F$9) + CHOOSE(CONTROL!$C$27, 0.0021, 0)</f>
        <v>137.0985</v>
      </c>
      <c r="H819" s="14">
        <f>136.9617 * CHOOSE(CONTROL!$C$9, $D$9, 100%, $F$9) + CHOOSE(CONTROL!$C$27, 0.0021, 0)</f>
        <v>136.96380000000002</v>
      </c>
      <c r="I819" s="14">
        <f>136.9617 * CHOOSE(CONTROL!$C$9, $D$9, 100%, $F$9) + CHOOSE(CONTROL!$C$27, 0.0021, 0)</f>
        <v>136.96380000000002</v>
      </c>
      <c r="J819" s="14">
        <f>136.9617 * CHOOSE(CONTROL!$C$9, $D$9, 100%, $F$9) + CHOOSE(CONTROL!$C$27, 0.0021, 0)</f>
        <v>136.96380000000002</v>
      </c>
      <c r="K819" s="14">
        <f>136.9617 * CHOOSE(CONTROL!$C$9, $D$9, 100%, $F$9) + CHOOSE(CONTROL!$C$27, 0.0021, 0)</f>
        <v>136.96380000000002</v>
      </c>
      <c r="L819" s="14"/>
    </row>
    <row r="820" spans="1:12" ht="15.75" x14ac:dyDescent="0.25">
      <c r="A820" s="31">
        <v>65897</v>
      </c>
      <c r="B820" s="14">
        <f>141.9277 * CHOOSE(CONTROL!$C$9, $D$9, 100%, $F$9) + CHOOSE(CONTROL!$C$27, 0.0021, 0)</f>
        <v>141.9298</v>
      </c>
      <c r="C820" s="14">
        <f>141.4954 * CHOOSE(CONTROL!$C$9, $D$9, 100%, $F$9) + CHOOSE(CONTROL!$C$27, 0.0021, 0)</f>
        <v>141.4975</v>
      </c>
      <c r="D820" s="14">
        <f>141.4954 * CHOOSE(CONTROL!$C$9, $D$9, 100%, $F$9) + CHOOSE(CONTROL!$C$27, 0.0021, 0)</f>
        <v>141.4975</v>
      </c>
      <c r="E820" s="14">
        <f>141.3588 * CHOOSE(CONTROL!$C$9, $D$9, 100%, $F$9) + CHOOSE(CONTROL!$C$27, 0.0021, 0)</f>
        <v>141.36090000000002</v>
      </c>
      <c r="F820" s="14">
        <f>141.3588 * CHOOSE(CONTROL!$C$9, $D$9, 100%, $F$9) + CHOOSE(CONTROL!$C$27, 0.0021, 0)</f>
        <v>141.36090000000002</v>
      </c>
      <c r="G820" s="14">
        <f>141.6302 * CHOOSE(CONTROL!$C$9, $D$9, 100%, $F$9) + CHOOSE(CONTROL!$C$27, 0.0021, 0)</f>
        <v>141.63230000000001</v>
      </c>
      <c r="H820" s="14">
        <f>141.4954 * CHOOSE(CONTROL!$C$9, $D$9, 100%, $F$9) + CHOOSE(CONTROL!$C$27, 0.0021, 0)</f>
        <v>141.4975</v>
      </c>
      <c r="I820" s="14">
        <f>141.4954 * CHOOSE(CONTROL!$C$9, $D$9, 100%, $F$9) + CHOOSE(CONTROL!$C$27, 0.0021, 0)</f>
        <v>141.4975</v>
      </c>
      <c r="J820" s="14">
        <f>141.4954 * CHOOSE(CONTROL!$C$9, $D$9, 100%, $F$9) + CHOOSE(CONTROL!$C$27, 0.0021, 0)</f>
        <v>141.4975</v>
      </c>
      <c r="K820" s="14">
        <f>141.4954 * CHOOSE(CONTROL!$C$9, $D$9, 100%, $F$9) + CHOOSE(CONTROL!$C$27, 0.0021, 0)</f>
        <v>141.4975</v>
      </c>
      <c r="L820" s="14"/>
    </row>
    <row r="821" spans="1:12" ht="15.75" x14ac:dyDescent="0.25">
      <c r="A821" s="31">
        <v>65927</v>
      </c>
      <c r="B821" s="14">
        <f>143.9397 * CHOOSE(CONTROL!$C$9, $D$9, 100%, $F$9) + CHOOSE(CONTROL!$C$27, 0.0021, 0)</f>
        <v>143.9418</v>
      </c>
      <c r="C821" s="14">
        <f>143.5074 * CHOOSE(CONTROL!$C$9, $D$9, 100%, $F$9) + CHOOSE(CONTROL!$C$27, 0.0021, 0)</f>
        <v>143.5095</v>
      </c>
      <c r="D821" s="14">
        <f>143.5074 * CHOOSE(CONTROL!$C$9, $D$9, 100%, $F$9) + CHOOSE(CONTROL!$C$27, 0.0021, 0)</f>
        <v>143.5095</v>
      </c>
      <c r="E821" s="14">
        <f>143.3708 * CHOOSE(CONTROL!$C$9, $D$9, 100%, $F$9) + CHOOSE(CONTROL!$C$27, 0.0021, 0)</f>
        <v>143.37290000000002</v>
      </c>
      <c r="F821" s="14">
        <f>143.3708 * CHOOSE(CONTROL!$C$9, $D$9, 100%, $F$9) + CHOOSE(CONTROL!$C$27, 0.0021, 0)</f>
        <v>143.37290000000002</v>
      </c>
      <c r="G821" s="14">
        <f>143.6422 * CHOOSE(CONTROL!$C$9, $D$9, 100%, $F$9) + CHOOSE(CONTROL!$C$27, 0.0021, 0)</f>
        <v>143.64430000000002</v>
      </c>
      <c r="H821" s="14">
        <f>143.5074 * CHOOSE(CONTROL!$C$9, $D$9, 100%, $F$9) + CHOOSE(CONTROL!$C$27, 0.0021, 0)</f>
        <v>143.5095</v>
      </c>
      <c r="I821" s="14">
        <f>143.5074 * CHOOSE(CONTROL!$C$9, $D$9, 100%, $F$9) + CHOOSE(CONTROL!$C$27, 0.0021, 0)</f>
        <v>143.5095</v>
      </c>
      <c r="J821" s="14">
        <f>143.5074 * CHOOSE(CONTROL!$C$9, $D$9, 100%, $F$9) + CHOOSE(CONTROL!$C$27, 0.0021, 0)</f>
        <v>143.5095</v>
      </c>
      <c r="K821" s="14">
        <f>143.5074 * CHOOSE(CONTROL!$C$9, $D$9, 100%, $F$9) + CHOOSE(CONTROL!$C$27, 0.0021, 0)</f>
        <v>143.5095</v>
      </c>
      <c r="L821" s="14"/>
    </row>
    <row r="822" spans="1:12" ht="15.75" x14ac:dyDescent="0.25">
      <c r="A822" s="31">
        <v>65958</v>
      </c>
      <c r="B822" s="14">
        <f>143.2772 * CHOOSE(CONTROL!$C$9, $D$9, 100%, $F$9) + CHOOSE(CONTROL!$C$27, 0.0021, 0)</f>
        <v>143.27930000000001</v>
      </c>
      <c r="C822" s="14">
        <f>142.845 * CHOOSE(CONTROL!$C$9, $D$9, 100%, $F$9) + CHOOSE(CONTROL!$C$27, 0.0021, 0)</f>
        <v>142.84710000000001</v>
      </c>
      <c r="D822" s="14">
        <f>142.845 * CHOOSE(CONTROL!$C$9, $D$9, 100%, $F$9) + CHOOSE(CONTROL!$C$27, 0.0021, 0)</f>
        <v>142.84710000000001</v>
      </c>
      <c r="E822" s="14">
        <f>142.7083 * CHOOSE(CONTROL!$C$9, $D$9, 100%, $F$9) + CHOOSE(CONTROL!$C$27, 0.0021, 0)</f>
        <v>142.71040000000002</v>
      </c>
      <c r="F822" s="14">
        <f>142.7083 * CHOOSE(CONTROL!$C$9, $D$9, 100%, $F$9) + CHOOSE(CONTROL!$C$27, 0.0021, 0)</f>
        <v>142.71040000000002</v>
      </c>
      <c r="G822" s="14">
        <f>142.9797 * CHOOSE(CONTROL!$C$9, $D$9, 100%, $F$9) + CHOOSE(CONTROL!$C$27, 0.0021, 0)</f>
        <v>142.98180000000002</v>
      </c>
      <c r="H822" s="14">
        <f>142.845 * CHOOSE(CONTROL!$C$9, $D$9, 100%, $F$9) + CHOOSE(CONTROL!$C$27, 0.0021, 0)</f>
        <v>142.84710000000001</v>
      </c>
      <c r="I822" s="14">
        <f>142.845 * CHOOSE(CONTROL!$C$9, $D$9, 100%, $F$9) + CHOOSE(CONTROL!$C$27, 0.0021, 0)</f>
        <v>142.84710000000001</v>
      </c>
      <c r="J822" s="14">
        <f>142.845 * CHOOSE(CONTROL!$C$9, $D$9, 100%, $F$9) + CHOOSE(CONTROL!$C$27, 0.0021, 0)</f>
        <v>142.84710000000001</v>
      </c>
      <c r="K822" s="14">
        <f>142.845 * CHOOSE(CONTROL!$C$9, $D$9, 100%, $F$9) + CHOOSE(CONTROL!$C$27, 0.0021, 0)</f>
        <v>142.84710000000001</v>
      </c>
      <c r="L822" s="14"/>
    </row>
    <row r="823" spans="1:12" ht="15.75" x14ac:dyDescent="0.25">
      <c r="A823" s="31">
        <v>65989</v>
      </c>
      <c r="B823" s="14">
        <f>139.9952 * CHOOSE(CONTROL!$C$9, $D$9, 100%, $F$9) + CHOOSE(CONTROL!$C$27, 0.0021, 0)</f>
        <v>139.99730000000002</v>
      </c>
      <c r="C823" s="14">
        <f>139.5629 * CHOOSE(CONTROL!$C$9, $D$9, 100%, $F$9) + CHOOSE(CONTROL!$C$27, 0.0021, 0)</f>
        <v>139.56500000000003</v>
      </c>
      <c r="D823" s="14">
        <f>139.5629 * CHOOSE(CONTROL!$C$9, $D$9, 100%, $F$9) + CHOOSE(CONTROL!$C$27, 0.0021, 0)</f>
        <v>139.56500000000003</v>
      </c>
      <c r="E823" s="14">
        <f>139.4263 * CHOOSE(CONTROL!$C$9, $D$9, 100%, $F$9) + CHOOSE(CONTROL!$C$27, 0.0021, 0)</f>
        <v>139.42840000000001</v>
      </c>
      <c r="F823" s="14">
        <f>139.4263 * CHOOSE(CONTROL!$C$9, $D$9, 100%, $F$9) + CHOOSE(CONTROL!$C$27, 0.0021, 0)</f>
        <v>139.42840000000001</v>
      </c>
      <c r="G823" s="14">
        <f>139.6976 * CHOOSE(CONTROL!$C$9, $D$9, 100%, $F$9) + CHOOSE(CONTROL!$C$27, 0.0021, 0)</f>
        <v>139.69970000000001</v>
      </c>
      <c r="H823" s="14">
        <f>139.5629 * CHOOSE(CONTROL!$C$9, $D$9, 100%, $F$9) + CHOOSE(CONTROL!$C$27, 0.0021, 0)</f>
        <v>139.56500000000003</v>
      </c>
      <c r="I823" s="14">
        <f>139.5629 * CHOOSE(CONTROL!$C$9, $D$9, 100%, $F$9) + CHOOSE(CONTROL!$C$27, 0.0021, 0)</f>
        <v>139.56500000000003</v>
      </c>
      <c r="J823" s="14">
        <f>139.5629 * CHOOSE(CONTROL!$C$9, $D$9, 100%, $F$9) + CHOOSE(CONTROL!$C$27, 0.0021, 0)</f>
        <v>139.56500000000003</v>
      </c>
      <c r="K823" s="14">
        <f>139.5629 * CHOOSE(CONTROL!$C$9, $D$9, 100%, $F$9) + CHOOSE(CONTROL!$C$27, 0.0021, 0)</f>
        <v>139.56500000000003</v>
      </c>
      <c r="L823" s="14"/>
    </row>
    <row r="824" spans="1:12" ht="15.75" x14ac:dyDescent="0.25">
      <c r="A824" s="31">
        <v>66019</v>
      </c>
      <c r="B824" s="14">
        <f>135.4182 * CHOOSE(CONTROL!$C$9, $D$9, 100%, $F$9) + CHOOSE(CONTROL!$C$27, 0.0021, 0)</f>
        <v>135.42030000000003</v>
      </c>
      <c r="C824" s="14">
        <f>134.9859 * CHOOSE(CONTROL!$C$9, $D$9, 100%, $F$9) + CHOOSE(CONTROL!$C$27, 0.0021, 0)</f>
        <v>134.988</v>
      </c>
      <c r="D824" s="14">
        <f>134.9859 * CHOOSE(CONTROL!$C$9, $D$9, 100%, $F$9) + CHOOSE(CONTROL!$C$27, 0.0021, 0)</f>
        <v>134.988</v>
      </c>
      <c r="E824" s="14">
        <f>134.8493 * CHOOSE(CONTROL!$C$9, $D$9, 100%, $F$9) + CHOOSE(CONTROL!$C$27, 0.0021, 0)</f>
        <v>134.85140000000001</v>
      </c>
      <c r="F824" s="14">
        <f>134.8493 * CHOOSE(CONTROL!$C$9, $D$9, 100%, $F$9) + CHOOSE(CONTROL!$C$27, 0.0021, 0)</f>
        <v>134.85140000000001</v>
      </c>
      <c r="G824" s="14">
        <f>135.1206 * CHOOSE(CONTROL!$C$9, $D$9, 100%, $F$9) + CHOOSE(CONTROL!$C$27, 0.0021, 0)</f>
        <v>135.12270000000001</v>
      </c>
      <c r="H824" s="14">
        <f>134.9859 * CHOOSE(CONTROL!$C$9, $D$9, 100%, $F$9) + CHOOSE(CONTROL!$C$27, 0.0021, 0)</f>
        <v>134.988</v>
      </c>
      <c r="I824" s="14">
        <f>134.9859 * CHOOSE(CONTROL!$C$9, $D$9, 100%, $F$9) + CHOOSE(CONTROL!$C$27, 0.0021, 0)</f>
        <v>134.988</v>
      </c>
      <c r="J824" s="14">
        <f>134.9859 * CHOOSE(CONTROL!$C$9, $D$9, 100%, $F$9) + CHOOSE(CONTROL!$C$27, 0.0021, 0)</f>
        <v>134.988</v>
      </c>
      <c r="K824" s="14">
        <f>134.9859 * CHOOSE(CONTROL!$C$9, $D$9, 100%, $F$9) + CHOOSE(CONTROL!$C$27, 0.0021, 0)</f>
        <v>134.988</v>
      </c>
      <c r="L824" s="14"/>
    </row>
    <row r="825" spans="1:12" ht="15.75" x14ac:dyDescent="0.25">
      <c r="A825" s="31">
        <v>66050</v>
      </c>
      <c r="B825" s="14">
        <f>130.8145 * CHOOSE(CONTROL!$C$9, $D$9, 100%, $F$9) + CHOOSE(CONTROL!$C$27, 0.0021, 0)</f>
        <v>130.81660000000002</v>
      </c>
      <c r="C825" s="14">
        <f>130.3823 * CHOOSE(CONTROL!$C$9, $D$9, 100%, $F$9) + CHOOSE(CONTROL!$C$27, 0.0021, 0)</f>
        <v>130.3844</v>
      </c>
      <c r="D825" s="14">
        <f>130.3823 * CHOOSE(CONTROL!$C$9, $D$9, 100%, $F$9) + CHOOSE(CONTROL!$C$27, 0.0021, 0)</f>
        <v>130.3844</v>
      </c>
      <c r="E825" s="14">
        <f>130.2456 * CHOOSE(CONTROL!$C$9, $D$9, 100%, $F$9) + CHOOSE(CONTROL!$C$27, 0.0021, 0)</f>
        <v>130.24770000000001</v>
      </c>
      <c r="F825" s="14">
        <f>130.2456 * CHOOSE(CONTROL!$C$9, $D$9, 100%, $F$9) + CHOOSE(CONTROL!$C$27, 0.0021, 0)</f>
        <v>130.24770000000001</v>
      </c>
      <c r="G825" s="14">
        <f>130.517 * CHOOSE(CONTROL!$C$9, $D$9, 100%, $F$9) + CHOOSE(CONTROL!$C$27, 0.0021, 0)</f>
        <v>130.51910000000001</v>
      </c>
      <c r="H825" s="14">
        <f>130.3823 * CHOOSE(CONTROL!$C$9, $D$9, 100%, $F$9) + CHOOSE(CONTROL!$C$27, 0.0021, 0)</f>
        <v>130.3844</v>
      </c>
      <c r="I825" s="14">
        <f>130.3823 * CHOOSE(CONTROL!$C$9, $D$9, 100%, $F$9) + CHOOSE(CONTROL!$C$27, 0.0021, 0)</f>
        <v>130.3844</v>
      </c>
      <c r="J825" s="14">
        <f>130.3823 * CHOOSE(CONTROL!$C$9, $D$9, 100%, $F$9) + CHOOSE(CONTROL!$C$27, 0.0021, 0)</f>
        <v>130.3844</v>
      </c>
      <c r="K825" s="14">
        <f>130.3823 * CHOOSE(CONTROL!$C$9, $D$9, 100%, $F$9) + CHOOSE(CONTROL!$C$27, 0.0021, 0)</f>
        <v>130.3844</v>
      </c>
      <c r="L825" s="14"/>
    </row>
    <row r="826" spans="1:12" ht="15.75" x14ac:dyDescent="0.25">
      <c r="A826" s="31">
        <v>66080</v>
      </c>
      <c r="B826" s="14">
        <f>129.8988 * CHOOSE(CONTROL!$C$9, $D$9, 100%, $F$9) + CHOOSE(CONTROL!$C$27, 0.0021, 0)</f>
        <v>129.90090000000001</v>
      </c>
      <c r="C826" s="14">
        <f>129.4665 * CHOOSE(CONTROL!$C$9, $D$9, 100%, $F$9) + CHOOSE(CONTROL!$C$27, 0.0021, 0)</f>
        <v>129.46860000000001</v>
      </c>
      <c r="D826" s="14">
        <f>129.4665 * CHOOSE(CONTROL!$C$9, $D$9, 100%, $F$9) + CHOOSE(CONTROL!$C$27, 0.0021, 0)</f>
        <v>129.46860000000001</v>
      </c>
      <c r="E826" s="14">
        <f>129.3299 * CHOOSE(CONTROL!$C$9, $D$9, 100%, $F$9) + CHOOSE(CONTROL!$C$27, 0.0021, 0)</f>
        <v>129.33200000000002</v>
      </c>
      <c r="F826" s="14">
        <f>129.3299 * CHOOSE(CONTROL!$C$9, $D$9, 100%, $F$9) + CHOOSE(CONTROL!$C$27, 0.0021, 0)</f>
        <v>129.33200000000002</v>
      </c>
      <c r="G826" s="14">
        <f>129.6013 * CHOOSE(CONTROL!$C$9, $D$9, 100%, $F$9) + CHOOSE(CONTROL!$C$27, 0.0021, 0)</f>
        <v>129.60340000000002</v>
      </c>
      <c r="H826" s="14">
        <f>129.4665 * CHOOSE(CONTROL!$C$9, $D$9, 100%, $F$9) + CHOOSE(CONTROL!$C$27, 0.0021, 0)</f>
        <v>129.46860000000001</v>
      </c>
      <c r="I826" s="14">
        <f>129.4665 * CHOOSE(CONTROL!$C$9, $D$9, 100%, $F$9) + CHOOSE(CONTROL!$C$27, 0.0021, 0)</f>
        <v>129.46860000000001</v>
      </c>
      <c r="J826" s="14">
        <f>129.4665 * CHOOSE(CONTROL!$C$9, $D$9, 100%, $F$9) + CHOOSE(CONTROL!$C$27, 0.0021, 0)</f>
        <v>129.46860000000001</v>
      </c>
      <c r="K826" s="14">
        <f>129.4665 * CHOOSE(CONTROL!$C$9, $D$9, 100%, $F$9) + CHOOSE(CONTROL!$C$27, 0.0021, 0)</f>
        <v>129.46860000000001</v>
      </c>
      <c r="L826" s="14"/>
    </row>
    <row r="827" spans="1:12" ht="15.75" x14ac:dyDescent="0.25">
      <c r="A827" s="31">
        <v>66111</v>
      </c>
      <c r="B827" s="14">
        <f>126.1121 * CHOOSE(CONTROL!$C$9, $D$9, 100%, $F$9) + CHOOSE(CONTROL!$C$27, 0.0021, 0)</f>
        <v>126.1142</v>
      </c>
      <c r="C827" s="14">
        <f>125.6798 * CHOOSE(CONTROL!$C$9, $D$9, 100%, $F$9) + CHOOSE(CONTROL!$C$27, 0.0021, 0)</f>
        <v>125.6819</v>
      </c>
      <c r="D827" s="14">
        <f>125.6798 * CHOOSE(CONTROL!$C$9, $D$9, 100%, $F$9) + CHOOSE(CONTROL!$C$27, 0.0021, 0)</f>
        <v>125.6819</v>
      </c>
      <c r="E827" s="14">
        <f>125.5432 * CHOOSE(CONTROL!$C$9, $D$9, 100%, $F$9) + CHOOSE(CONTROL!$C$27, 0.0021, 0)</f>
        <v>125.5453</v>
      </c>
      <c r="F827" s="14">
        <f>125.5432 * CHOOSE(CONTROL!$C$9, $D$9, 100%, $F$9) + CHOOSE(CONTROL!$C$27, 0.0021, 0)</f>
        <v>125.5453</v>
      </c>
      <c r="G827" s="14">
        <f>125.8145 * CHOOSE(CONTROL!$C$9, $D$9, 100%, $F$9) + CHOOSE(CONTROL!$C$27, 0.0021, 0)</f>
        <v>125.81659999999999</v>
      </c>
      <c r="H827" s="14">
        <f>125.6798 * CHOOSE(CONTROL!$C$9, $D$9, 100%, $F$9) + CHOOSE(CONTROL!$C$27, 0.0021, 0)</f>
        <v>125.6819</v>
      </c>
      <c r="I827" s="14">
        <f>125.6798 * CHOOSE(CONTROL!$C$9, $D$9, 100%, $F$9) + CHOOSE(CONTROL!$C$27, 0.0021, 0)</f>
        <v>125.6819</v>
      </c>
      <c r="J827" s="14">
        <f>125.6798 * CHOOSE(CONTROL!$C$9, $D$9, 100%, $F$9) + CHOOSE(CONTROL!$C$27, 0.0021, 0)</f>
        <v>125.6819</v>
      </c>
      <c r="K827" s="14">
        <f>125.6798 * CHOOSE(CONTROL!$C$9, $D$9, 100%, $F$9) + CHOOSE(CONTROL!$C$27, 0.0021, 0)</f>
        <v>125.6819</v>
      </c>
      <c r="L827" s="14"/>
    </row>
    <row r="828" spans="1:12" ht="15.75" x14ac:dyDescent="0.25">
      <c r="A828" s="31">
        <v>66142</v>
      </c>
      <c r="B828" s="14">
        <f>125.3748 * CHOOSE(CONTROL!$C$9, $D$9, 100%, $F$9) + CHOOSE(CONTROL!$C$27, 0.0021, 0)</f>
        <v>125.37689999999999</v>
      </c>
      <c r="C828" s="14">
        <f>124.9426 * CHOOSE(CONTROL!$C$9, $D$9, 100%, $F$9) + CHOOSE(CONTROL!$C$27, 0.0021, 0)</f>
        <v>124.9447</v>
      </c>
      <c r="D828" s="14">
        <f>124.9426 * CHOOSE(CONTROL!$C$9, $D$9, 100%, $F$9) + CHOOSE(CONTROL!$C$27, 0.0021, 0)</f>
        <v>124.9447</v>
      </c>
      <c r="E828" s="14">
        <f>124.8059 * CHOOSE(CONTROL!$C$9, $D$9, 100%, $F$9) + CHOOSE(CONTROL!$C$27, 0.0021, 0)</f>
        <v>124.80799999999999</v>
      </c>
      <c r="F828" s="14">
        <f>124.8059 * CHOOSE(CONTROL!$C$9, $D$9, 100%, $F$9) + CHOOSE(CONTROL!$C$27, 0.0021, 0)</f>
        <v>124.80799999999999</v>
      </c>
      <c r="G828" s="14">
        <f>125.0773 * CHOOSE(CONTROL!$C$9, $D$9, 100%, $F$9) + CHOOSE(CONTROL!$C$27, 0.0021, 0)</f>
        <v>125.07939999999999</v>
      </c>
      <c r="H828" s="14">
        <f>124.9426 * CHOOSE(CONTROL!$C$9, $D$9, 100%, $F$9) + CHOOSE(CONTROL!$C$27, 0.0021, 0)</f>
        <v>124.9447</v>
      </c>
      <c r="I828" s="14">
        <f>124.9426 * CHOOSE(CONTROL!$C$9, $D$9, 100%, $F$9) + CHOOSE(CONTROL!$C$27, 0.0021, 0)</f>
        <v>124.9447</v>
      </c>
      <c r="J828" s="14">
        <f>124.9426 * CHOOSE(CONTROL!$C$9, $D$9, 100%, $F$9) + CHOOSE(CONTROL!$C$27, 0.0021, 0)</f>
        <v>124.9447</v>
      </c>
      <c r="K828" s="14">
        <f>124.9426 * CHOOSE(CONTROL!$C$9, $D$9, 100%, $F$9) + CHOOSE(CONTROL!$C$27, 0.0021, 0)</f>
        <v>124.9447</v>
      </c>
      <c r="L828" s="14"/>
    </row>
    <row r="829" spans="1:12" ht="15.75" x14ac:dyDescent="0.25">
      <c r="A829" s="31">
        <v>66170</v>
      </c>
      <c r="B829" s="14">
        <f>125.0327 * CHOOSE(CONTROL!$C$9, $D$9, 100%, $F$9) + CHOOSE(CONTROL!$C$27, 0.0021, 0)</f>
        <v>125.0348</v>
      </c>
      <c r="C829" s="14">
        <f>124.6004 * CHOOSE(CONTROL!$C$9, $D$9, 100%, $F$9) + CHOOSE(CONTROL!$C$27, 0.0021, 0)</f>
        <v>124.60249999999999</v>
      </c>
      <c r="D829" s="14">
        <f>124.6004 * CHOOSE(CONTROL!$C$9, $D$9, 100%, $F$9) + CHOOSE(CONTROL!$C$27, 0.0021, 0)</f>
        <v>124.60249999999999</v>
      </c>
      <c r="E829" s="14">
        <f>124.4638 * CHOOSE(CONTROL!$C$9, $D$9, 100%, $F$9) + CHOOSE(CONTROL!$C$27, 0.0021, 0)</f>
        <v>124.4659</v>
      </c>
      <c r="F829" s="14">
        <f>124.4638 * CHOOSE(CONTROL!$C$9, $D$9, 100%, $F$9) + CHOOSE(CONTROL!$C$27, 0.0021, 0)</f>
        <v>124.4659</v>
      </c>
      <c r="G829" s="14">
        <f>124.7352 * CHOOSE(CONTROL!$C$9, $D$9, 100%, $F$9) + CHOOSE(CONTROL!$C$27, 0.0021, 0)</f>
        <v>124.7373</v>
      </c>
      <c r="H829" s="14">
        <f>124.6004 * CHOOSE(CONTROL!$C$9, $D$9, 100%, $F$9) + CHOOSE(CONTROL!$C$27, 0.0021, 0)</f>
        <v>124.60249999999999</v>
      </c>
      <c r="I829" s="14">
        <f>124.6004 * CHOOSE(CONTROL!$C$9, $D$9, 100%, $F$9) + CHOOSE(CONTROL!$C$27, 0.0021, 0)</f>
        <v>124.60249999999999</v>
      </c>
      <c r="J829" s="14">
        <f>124.6004 * CHOOSE(CONTROL!$C$9, $D$9, 100%, $F$9) + CHOOSE(CONTROL!$C$27, 0.0021, 0)</f>
        <v>124.60249999999999</v>
      </c>
      <c r="K829" s="14">
        <f>124.6004 * CHOOSE(CONTROL!$C$9, $D$9, 100%, $F$9) + CHOOSE(CONTROL!$C$27, 0.0021, 0)</f>
        <v>124.60249999999999</v>
      </c>
      <c r="L829" s="14"/>
    </row>
    <row r="830" spans="1:12" ht="15.75" x14ac:dyDescent="0.25">
      <c r="A830" s="31">
        <v>66201</v>
      </c>
      <c r="B830" s="14">
        <f>131.5018 * CHOOSE(CONTROL!$C$9, $D$9, 100%, $F$9) + CHOOSE(CONTROL!$C$27, 0.0021, 0)</f>
        <v>131.50390000000002</v>
      </c>
      <c r="C830" s="14">
        <f>131.0696 * CHOOSE(CONTROL!$C$9, $D$9, 100%, $F$9) + CHOOSE(CONTROL!$C$27, 0.0021, 0)</f>
        <v>131.07170000000002</v>
      </c>
      <c r="D830" s="14">
        <f>131.0696 * CHOOSE(CONTROL!$C$9, $D$9, 100%, $F$9) + CHOOSE(CONTROL!$C$27, 0.0021, 0)</f>
        <v>131.07170000000002</v>
      </c>
      <c r="E830" s="14">
        <f>130.9329 * CHOOSE(CONTROL!$C$9, $D$9, 100%, $F$9) + CHOOSE(CONTROL!$C$27, 0.0021, 0)</f>
        <v>130.935</v>
      </c>
      <c r="F830" s="14">
        <f>130.9329 * CHOOSE(CONTROL!$C$9, $D$9, 100%, $F$9) + CHOOSE(CONTROL!$C$27, 0.0021, 0)</f>
        <v>130.935</v>
      </c>
      <c r="G830" s="14">
        <f>131.2043 * CHOOSE(CONTROL!$C$9, $D$9, 100%, $F$9) + CHOOSE(CONTROL!$C$27, 0.0021, 0)</f>
        <v>131.2064</v>
      </c>
      <c r="H830" s="14">
        <f>131.0696 * CHOOSE(CONTROL!$C$9, $D$9, 100%, $F$9) + CHOOSE(CONTROL!$C$27, 0.0021, 0)</f>
        <v>131.07170000000002</v>
      </c>
      <c r="I830" s="14">
        <f>131.0696 * CHOOSE(CONTROL!$C$9, $D$9, 100%, $F$9) + CHOOSE(CONTROL!$C$27, 0.0021, 0)</f>
        <v>131.07170000000002</v>
      </c>
      <c r="J830" s="14">
        <f>131.0696 * CHOOSE(CONTROL!$C$9, $D$9, 100%, $F$9) + CHOOSE(CONTROL!$C$27, 0.0021, 0)</f>
        <v>131.07170000000002</v>
      </c>
      <c r="K830" s="14">
        <f>131.0696 * CHOOSE(CONTROL!$C$9, $D$9, 100%, $F$9) + CHOOSE(CONTROL!$C$27, 0.0021, 0)</f>
        <v>131.07170000000002</v>
      </c>
      <c r="L830" s="14"/>
    </row>
    <row r="831" spans="1:12" ht="15.75" x14ac:dyDescent="0.25">
      <c r="A831" s="31">
        <v>66231</v>
      </c>
      <c r="B831" s="14">
        <f>139.8907 * CHOOSE(CONTROL!$C$9, $D$9, 100%, $F$9) + CHOOSE(CONTROL!$C$27, 0.0021, 0)</f>
        <v>139.89280000000002</v>
      </c>
      <c r="C831" s="14">
        <f>139.4585 * CHOOSE(CONTROL!$C$9, $D$9, 100%, $F$9) + CHOOSE(CONTROL!$C$27, 0.0021, 0)</f>
        <v>139.4606</v>
      </c>
      <c r="D831" s="14">
        <f>139.4585 * CHOOSE(CONTROL!$C$9, $D$9, 100%, $F$9) + CHOOSE(CONTROL!$C$27, 0.0021, 0)</f>
        <v>139.4606</v>
      </c>
      <c r="E831" s="14">
        <f>139.3218 * CHOOSE(CONTROL!$C$9, $D$9, 100%, $F$9) + CHOOSE(CONTROL!$C$27, 0.0021, 0)</f>
        <v>139.32390000000001</v>
      </c>
      <c r="F831" s="14">
        <f>139.3218 * CHOOSE(CONTROL!$C$9, $D$9, 100%, $F$9) + CHOOSE(CONTROL!$C$27, 0.0021, 0)</f>
        <v>139.32390000000001</v>
      </c>
      <c r="G831" s="14">
        <f>139.5932 * CHOOSE(CONTROL!$C$9, $D$9, 100%, $F$9) + CHOOSE(CONTROL!$C$27, 0.0021, 0)</f>
        <v>139.59530000000001</v>
      </c>
      <c r="H831" s="14">
        <f>139.4585 * CHOOSE(CONTROL!$C$9, $D$9, 100%, $F$9) + CHOOSE(CONTROL!$C$27, 0.0021, 0)</f>
        <v>139.4606</v>
      </c>
      <c r="I831" s="14">
        <f>139.4585 * CHOOSE(CONTROL!$C$9, $D$9, 100%, $F$9) + CHOOSE(CONTROL!$C$27, 0.0021, 0)</f>
        <v>139.4606</v>
      </c>
      <c r="J831" s="14">
        <f>139.4585 * CHOOSE(CONTROL!$C$9, $D$9, 100%, $F$9) + CHOOSE(CONTROL!$C$27, 0.0021, 0)</f>
        <v>139.4606</v>
      </c>
      <c r="K831" s="14">
        <f>139.4585 * CHOOSE(CONTROL!$C$9, $D$9, 100%, $F$9) + CHOOSE(CONTROL!$C$27, 0.0021, 0)</f>
        <v>139.4606</v>
      </c>
      <c r="L831" s="14"/>
    </row>
    <row r="832" spans="1:12" ht="15.75" x14ac:dyDescent="0.25">
      <c r="A832" s="31">
        <v>66262</v>
      </c>
      <c r="B832" s="14">
        <f>144.5083 * CHOOSE(CONTROL!$C$9, $D$9, 100%, $F$9) + CHOOSE(CONTROL!$C$27, 0.0021, 0)</f>
        <v>144.5104</v>
      </c>
      <c r="C832" s="14">
        <f>144.076 * CHOOSE(CONTROL!$C$9, $D$9, 100%, $F$9) + CHOOSE(CONTROL!$C$27, 0.0021, 0)</f>
        <v>144.07810000000001</v>
      </c>
      <c r="D832" s="14">
        <f>144.076 * CHOOSE(CONTROL!$C$9, $D$9, 100%, $F$9) + CHOOSE(CONTROL!$C$27, 0.0021, 0)</f>
        <v>144.07810000000001</v>
      </c>
      <c r="E832" s="14">
        <f>143.9394 * CHOOSE(CONTROL!$C$9, $D$9, 100%, $F$9) + CHOOSE(CONTROL!$C$27, 0.0021, 0)</f>
        <v>143.94150000000002</v>
      </c>
      <c r="F832" s="14">
        <f>143.9394 * CHOOSE(CONTROL!$C$9, $D$9, 100%, $F$9) + CHOOSE(CONTROL!$C$27, 0.0021, 0)</f>
        <v>143.94150000000002</v>
      </c>
      <c r="G832" s="14">
        <f>144.2107 * CHOOSE(CONTROL!$C$9, $D$9, 100%, $F$9) + CHOOSE(CONTROL!$C$27, 0.0021, 0)</f>
        <v>144.21280000000002</v>
      </c>
      <c r="H832" s="14">
        <f>144.076 * CHOOSE(CONTROL!$C$9, $D$9, 100%, $F$9) + CHOOSE(CONTROL!$C$27, 0.0021, 0)</f>
        <v>144.07810000000001</v>
      </c>
      <c r="I832" s="14">
        <f>144.076 * CHOOSE(CONTROL!$C$9, $D$9, 100%, $F$9) + CHOOSE(CONTROL!$C$27, 0.0021, 0)</f>
        <v>144.07810000000001</v>
      </c>
      <c r="J832" s="14">
        <f>144.076 * CHOOSE(CONTROL!$C$9, $D$9, 100%, $F$9) + CHOOSE(CONTROL!$C$27, 0.0021, 0)</f>
        <v>144.07810000000001</v>
      </c>
      <c r="K832" s="14">
        <f>144.076 * CHOOSE(CONTROL!$C$9, $D$9, 100%, $F$9) + CHOOSE(CONTROL!$C$27, 0.0021, 0)</f>
        <v>144.07810000000001</v>
      </c>
      <c r="L832" s="14"/>
    </row>
    <row r="833" spans="1:12" ht="15.75" x14ac:dyDescent="0.25">
      <c r="A833" s="31">
        <v>66292</v>
      </c>
      <c r="B833" s="14">
        <f>146.5574 * CHOOSE(CONTROL!$C$9, $D$9, 100%, $F$9) + CHOOSE(CONTROL!$C$27, 0.0021, 0)</f>
        <v>146.55950000000001</v>
      </c>
      <c r="C833" s="14">
        <f>146.1252 * CHOOSE(CONTROL!$C$9, $D$9, 100%, $F$9) + CHOOSE(CONTROL!$C$27, 0.0021, 0)</f>
        <v>146.12730000000002</v>
      </c>
      <c r="D833" s="14">
        <f>146.1252 * CHOOSE(CONTROL!$C$9, $D$9, 100%, $F$9) + CHOOSE(CONTROL!$C$27, 0.0021, 0)</f>
        <v>146.12730000000002</v>
      </c>
      <c r="E833" s="14">
        <f>145.9885 * CHOOSE(CONTROL!$C$9, $D$9, 100%, $F$9) + CHOOSE(CONTROL!$C$27, 0.0021, 0)</f>
        <v>145.9906</v>
      </c>
      <c r="F833" s="14">
        <f>145.9885 * CHOOSE(CONTROL!$C$9, $D$9, 100%, $F$9) + CHOOSE(CONTROL!$C$27, 0.0021, 0)</f>
        <v>145.9906</v>
      </c>
      <c r="G833" s="14">
        <f>146.2599 * CHOOSE(CONTROL!$C$9, $D$9, 100%, $F$9) + CHOOSE(CONTROL!$C$27, 0.0021, 0)</f>
        <v>146.262</v>
      </c>
      <c r="H833" s="14">
        <f>146.1252 * CHOOSE(CONTROL!$C$9, $D$9, 100%, $F$9) + CHOOSE(CONTROL!$C$27, 0.0021, 0)</f>
        <v>146.12730000000002</v>
      </c>
      <c r="I833" s="14">
        <f>146.1252 * CHOOSE(CONTROL!$C$9, $D$9, 100%, $F$9) + CHOOSE(CONTROL!$C$27, 0.0021, 0)</f>
        <v>146.12730000000002</v>
      </c>
      <c r="J833" s="14">
        <f>146.1252 * CHOOSE(CONTROL!$C$9, $D$9, 100%, $F$9) + CHOOSE(CONTROL!$C$27, 0.0021, 0)</f>
        <v>146.12730000000002</v>
      </c>
      <c r="K833" s="14">
        <f>146.1252 * CHOOSE(CONTROL!$C$9, $D$9, 100%, $F$9) + CHOOSE(CONTROL!$C$27, 0.0021, 0)</f>
        <v>146.12730000000002</v>
      </c>
      <c r="L833" s="14"/>
    </row>
    <row r="834" spans="1:12" ht="15.75" x14ac:dyDescent="0.25">
      <c r="A834" s="31">
        <v>66323</v>
      </c>
      <c r="B834" s="14">
        <f>145.8828 * CHOOSE(CONTROL!$C$9, $D$9, 100%, $F$9) + CHOOSE(CONTROL!$C$27, 0.0021, 0)</f>
        <v>145.88490000000002</v>
      </c>
      <c r="C834" s="14">
        <f>145.4505 * CHOOSE(CONTROL!$C$9, $D$9, 100%, $F$9) + CHOOSE(CONTROL!$C$27, 0.0021, 0)</f>
        <v>145.45260000000002</v>
      </c>
      <c r="D834" s="14">
        <f>145.4505 * CHOOSE(CONTROL!$C$9, $D$9, 100%, $F$9) + CHOOSE(CONTROL!$C$27, 0.0021, 0)</f>
        <v>145.45260000000002</v>
      </c>
      <c r="E834" s="14">
        <f>145.3138 * CHOOSE(CONTROL!$C$9, $D$9, 100%, $F$9) + CHOOSE(CONTROL!$C$27, 0.0021, 0)</f>
        <v>145.3159</v>
      </c>
      <c r="F834" s="14">
        <f>145.3138 * CHOOSE(CONTROL!$C$9, $D$9, 100%, $F$9) + CHOOSE(CONTROL!$C$27, 0.0021, 0)</f>
        <v>145.3159</v>
      </c>
      <c r="G834" s="14">
        <f>145.5852 * CHOOSE(CONTROL!$C$9, $D$9, 100%, $F$9) + CHOOSE(CONTROL!$C$27, 0.0021, 0)</f>
        <v>145.5873</v>
      </c>
      <c r="H834" s="14">
        <f>145.4505 * CHOOSE(CONTROL!$C$9, $D$9, 100%, $F$9) + CHOOSE(CONTROL!$C$27, 0.0021, 0)</f>
        <v>145.45260000000002</v>
      </c>
      <c r="I834" s="14">
        <f>145.4505 * CHOOSE(CONTROL!$C$9, $D$9, 100%, $F$9) + CHOOSE(CONTROL!$C$27, 0.0021, 0)</f>
        <v>145.45260000000002</v>
      </c>
      <c r="J834" s="14">
        <f>145.4505 * CHOOSE(CONTROL!$C$9, $D$9, 100%, $F$9) + CHOOSE(CONTROL!$C$27, 0.0021, 0)</f>
        <v>145.45260000000002</v>
      </c>
      <c r="K834" s="14">
        <f>145.4505 * CHOOSE(CONTROL!$C$9, $D$9, 100%, $F$9) + CHOOSE(CONTROL!$C$27, 0.0021, 0)</f>
        <v>145.45260000000002</v>
      </c>
      <c r="L834" s="14"/>
    </row>
    <row r="835" spans="1:12" ht="15.75" x14ac:dyDescent="0.25">
      <c r="A835" s="31">
        <v>66354</v>
      </c>
      <c r="B835" s="14">
        <f>142.54 * CHOOSE(CONTROL!$C$9, $D$9, 100%, $F$9) + CHOOSE(CONTROL!$C$27, 0.0021, 0)</f>
        <v>142.5421</v>
      </c>
      <c r="C835" s="14">
        <f>142.1078 * CHOOSE(CONTROL!$C$9, $D$9, 100%, $F$9) + CHOOSE(CONTROL!$C$27, 0.0021, 0)</f>
        <v>142.10990000000001</v>
      </c>
      <c r="D835" s="14">
        <f>142.1078 * CHOOSE(CONTROL!$C$9, $D$9, 100%, $F$9) + CHOOSE(CONTROL!$C$27, 0.0021, 0)</f>
        <v>142.10990000000001</v>
      </c>
      <c r="E835" s="14">
        <f>141.9711 * CHOOSE(CONTROL!$C$9, $D$9, 100%, $F$9) + CHOOSE(CONTROL!$C$27, 0.0021, 0)</f>
        <v>141.97320000000002</v>
      </c>
      <c r="F835" s="14">
        <f>141.9711 * CHOOSE(CONTROL!$C$9, $D$9, 100%, $F$9) + CHOOSE(CONTROL!$C$27, 0.0021, 0)</f>
        <v>141.97320000000002</v>
      </c>
      <c r="G835" s="14">
        <f>142.2425 * CHOOSE(CONTROL!$C$9, $D$9, 100%, $F$9) + CHOOSE(CONTROL!$C$27, 0.0021, 0)</f>
        <v>142.24460000000002</v>
      </c>
      <c r="H835" s="14">
        <f>142.1078 * CHOOSE(CONTROL!$C$9, $D$9, 100%, $F$9) + CHOOSE(CONTROL!$C$27, 0.0021, 0)</f>
        <v>142.10990000000001</v>
      </c>
      <c r="I835" s="14">
        <f>142.1078 * CHOOSE(CONTROL!$C$9, $D$9, 100%, $F$9) + CHOOSE(CONTROL!$C$27, 0.0021, 0)</f>
        <v>142.10990000000001</v>
      </c>
      <c r="J835" s="14">
        <f>142.1078 * CHOOSE(CONTROL!$C$9, $D$9, 100%, $F$9) + CHOOSE(CONTROL!$C$27, 0.0021, 0)</f>
        <v>142.10990000000001</v>
      </c>
      <c r="K835" s="14">
        <f>142.1078 * CHOOSE(CONTROL!$C$9, $D$9, 100%, $F$9) + CHOOSE(CONTROL!$C$27, 0.0021, 0)</f>
        <v>142.10990000000001</v>
      </c>
      <c r="L835" s="14"/>
    </row>
    <row r="836" spans="1:12" ht="15.75" x14ac:dyDescent="0.25">
      <c r="A836" s="31">
        <v>66384</v>
      </c>
      <c r="B836" s="14">
        <f>137.8784 * CHOOSE(CONTROL!$C$9, $D$9, 100%, $F$9) + CHOOSE(CONTROL!$C$27, 0.0021, 0)</f>
        <v>137.88050000000001</v>
      </c>
      <c r="C836" s="14">
        <f>137.4462 * CHOOSE(CONTROL!$C$9, $D$9, 100%, $F$9) + CHOOSE(CONTROL!$C$27, 0.0021, 0)</f>
        <v>137.44830000000002</v>
      </c>
      <c r="D836" s="14">
        <f>137.4462 * CHOOSE(CONTROL!$C$9, $D$9, 100%, $F$9) + CHOOSE(CONTROL!$C$27, 0.0021, 0)</f>
        <v>137.44830000000002</v>
      </c>
      <c r="E836" s="14">
        <f>137.3095 * CHOOSE(CONTROL!$C$9, $D$9, 100%, $F$9) + CHOOSE(CONTROL!$C$27, 0.0021, 0)</f>
        <v>137.31160000000003</v>
      </c>
      <c r="F836" s="14">
        <f>137.3095 * CHOOSE(CONTROL!$C$9, $D$9, 100%, $F$9) + CHOOSE(CONTROL!$C$27, 0.0021, 0)</f>
        <v>137.31160000000003</v>
      </c>
      <c r="G836" s="14">
        <f>137.5809 * CHOOSE(CONTROL!$C$9, $D$9, 100%, $F$9) + CHOOSE(CONTROL!$C$27, 0.0021, 0)</f>
        <v>137.58300000000003</v>
      </c>
      <c r="H836" s="14">
        <f>137.4462 * CHOOSE(CONTROL!$C$9, $D$9, 100%, $F$9) + CHOOSE(CONTROL!$C$27, 0.0021, 0)</f>
        <v>137.44830000000002</v>
      </c>
      <c r="I836" s="14">
        <f>137.4462 * CHOOSE(CONTROL!$C$9, $D$9, 100%, $F$9) + CHOOSE(CONTROL!$C$27, 0.0021, 0)</f>
        <v>137.44830000000002</v>
      </c>
      <c r="J836" s="14">
        <f>137.4462 * CHOOSE(CONTROL!$C$9, $D$9, 100%, $F$9) + CHOOSE(CONTROL!$C$27, 0.0021, 0)</f>
        <v>137.44830000000002</v>
      </c>
      <c r="K836" s="14">
        <f>137.4462 * CHOOSE(CONTROL!$C$9, $D$9, 100%, $F$9) + CHOOSE(CONTROL!$C$27, 0.0021, 0)</f>
        <v>137.44830000000002</v>
      </c>
      <c r="L836" s="14"/>
    </row>
    <row r="837" spans="1:12" ht="15.75" x14ac:dyDescent="0.25">
      <c r="A837" s="31">
        <v>66415</v>
      </c>
      <c r="B837" s="14">
        <f>133.1897 * CHOOSE(CONTROL!$C$9, $D$9, 100%, $F$9) + CHOOSE(CONTROL!$C$27, 0.0021, 0)</f>
        <v>133.1918</v>
      </c>
      <c r="C837" s="14">
        <f>132.7575 * CHOOSE(CONTROL!$C$9, $D$9, 100%, $F$9) + CHOOSE(CONTROL!$C$27, 0.0021, 0)</f>
        <v>132.75960000000001</v>
      </c>
      <c r="D837" s="14">
        <f>132.7575 * CHOOSE(CONTROL!$C$9, $D$9, 100%, $F$9) + CHOOSE(CONTROL!$C$27, 0.0021, 0)</f>
        <v>132.75960000000001</v>
      </c>
      <c r="E837" s="14">
        <f>132.6208 * CHOOSE(CONTROL!$C$9, $D$9, 100%, $F$9) + CHOOSE(CONTROL!$C$27, 0.0021, 0)</f>
        <v>132.62290000000002</v>
      </c>
      <c r="F837" s="14">
        <f>132.6208 * CHOOSE(CONTROL!$C$9, $D$9, 100%, $F$9) + CHOOSE(CONTROL!$C$27, 0.0021, 0)</f>
        <v>132.62290000000002</v>
      </c>
      <c r="G837" s="14">
        <f>132.8922 * CHOOSE(CONTROL!$C$9, $D$9, 100%, $F$9) + CHOOSE(CONTROL!$C$27, 0.0021, 0)</f>
        <v>132.89430000000002</v>
      </c>
      <c r="H837" s="14">
        <f>132.7575 * CHOOSE(CONTROL!$C$9, $D$9, 100%, $F$9) + CHOOSE(CONTROL!$C$27, 0.0021, 0)</f>
        <v>132.75960000000001</v>
      </c>
      <c r="I837" s="14">
        <f>132.7575 * CHOOSE(CONTROL!$C$9, $D$9, 100%, $F$9) + CHOOSE(CONTROL!$C$27, 0.0021, 0)</f>
        <v>132.75960000000001</v>
      </c>
      <c r="J837" s="14">
        <f>132.7575 * CHOOSE(CONTROL!$C$9, $D$9, 100%, $F$9) + CHOOSE(CONTROL!$C$27, 0.0021, 0)</f>
        <v>132.75960000000001</v>
      </c>
      <c r="K837" s="14">
        <f>132.7575 * CHOOSE(CONTROL!$C$9, $D$9, 100%, $F$9) + CHOOSE(CONTROL!$C$27, 0.0021, 0)</f>
        <v>132.75960000000001</v>
      </c>
      <c r="L837" s="14"/>
    </row>
    <row r="838" spans="1:12" ht="15.75" x14ac:dyDescent="0.25">
      <c r="A838" s="31">
        <v>66445</v>
      </c>
      <c r="B838" s="14">
        <f>132.2571 * CHOOSE(CONTROL!$C$9, $D$9, 100%, $F$9) + CHOOSE(CONTROL!$C$27, 0.0021, 0)</f>
        <v>132.25920000000002</v>
      </c>
      <c r="C838" s="14">
        <f>131.8248 * CHOOSE(CONTROL!$C$9, $D$9, 100%, $F$9) + CHOOSE(CONTROL!$C$27, 0.0021, 0)</f>
        <v>131.82690000000002</v>
      </c>
      <c r="D838" s="14">
        <f>131.8248 * CHOOSE(CONTROL!$C$9, $D$9, 100%, $F$9) + CHOOSE(CONTROL!$C$27, 0.0021, 0)</f>
        <v>131.82690000000002</v>
      </c>
      <c r="E838" s="14">
        <f>131.6881 * CHOOSE(CONTROL!$C$9, $D$9, 100%, $F$9) + CHOOSE(CONTROL!$C$27, 0.0021, 0)</f>
        <v>131.6902</v>
      </c>
      <c r="F838" s="14">
        <f>131.6881 * CHOOSE(CONTROL!$C$9, $D$9, 100%, $F$9) + CHOOSE(CONTROL!$C$27, 0.0021, 0)</f>
        <v>131.6902</v>
      </c>
      <c r="G838" s="14">
        <f>131.9595 * CHOOSE(CONTROL!$C$9, $D$9, 100%, $F$9) + CHOOSE(CONTROL!$C$27, 0.0021, 0)</f>
        <v>131.9616</v>
      </c>
      <c r="H838" s="14">
        <f>131.8248 * CHOOSE(CONTROL!$C$9, $D$9, 100%, $F$9) + CHOOSE(CONTROL!$C$27, 0.0021, 0)</f>
        <v>131.82690000000002</v>
      </c>
      <c r="I838" s="14">
        <f>131.8248 * CHOOSE(CONTROL!$C$9, $D$9, 100%, $F$9) + CHOOSE(CONTROL!$C$27, 0.0021, 0)</f>
        <v>131.82690000000002</v>
      </c>
      <c r="J838" s="14">
        <f>131.8248 * CHOOSE(CONTROL!$C$9, $D$9, 100%, $F$9) + CHOOSE(CONTROL!$C$27, 0.0021, 0)</f>
        <v>131.82690000000002</v>
      </c>
      <c r="K838" s="14">
        <f>131.8248 * CHOOSE(CONTROL!$C$9, $D$9, 100%, $F$9) + CHOOSE(CONTROL!$C$27, 0.0021, 0)</f>
        <v>131.82690000000002</v>
      </c>
      <c r="L838" s="14"/>
    </row>
    <row r="839" spans="1:12" ht="15.75" x14ac:dyDescent="0.25">
      <c r="A839" s="31">
        <v>66476</v>
      </c>
      <c r="B839" s="14">
        <f>128.4003 * CHOOSE(CONTROL!$C$9, $D$9, 100%, $F$9) + CHOOSE(CONTROL!$C$27, 0.0021, 0)</f>
        <v>128.4024</v>
      </c>
      <c r="C839" s="14">
        <f>127.9681 * CHOOSE(CONTROL!$C$9, $D$9, 100%, $F$9) + CHOOSE(CONTROL!$C$27, 0.0021, 0)</f>
        <v>127.97020000000001</v>
      </c>
      <c r="D839" s="14">
        <f>127.9681 * CHOOSE(CONTROL!$C$9, $D$9, 100%, $F$9) + CHOOSE(CONTROL!$C$27, 0.0021, 0)</f>
        <v>127.97020000000001</v>
      </c>
      <c r="E839" s="14">
        <f>127.8314 * CHOOSE(CONTROL!$C$9, $D$9, 100%, $F$9) + CHOOSE(CONTROL!$C$27, 0.0021, 0)</f>
        <v>127.8335</v>
      </c>
      <c r="F839" s="14">
        <f>127.8314 * CHOOSE(CONTROL!$C$9, $D$9, 100%, $F$9) + CHOOSE(CONTROL!$C$27, 0.0021, 0)</f>
        <v>127.8335</v>
      </c>
      <c r="G839" s="14">
        <f>128.1028 * CHOOSE(CONTROL!$C$9, $D$9, 100%, $F$9) + CHOOSE(CONTROL!$C$27, 0.0021, 0)</f>
        <v>128.10490000000001</v>
      </c>
      <c r="H839" s="14">
        <f>127.9681 * CHOOSE(CONTROL!$C$9, $D$9, 100%, $F$9) + CHOOSE(CONTROL!$C$27, 0.0021, 0)</f>
        <v>127.97020000000001</v>
      </c>
      <c r="I839" s="14">
        <f>127.9681 * CHOOSE(CONTROL!$C$9, $D$9, 100%, $F$9) + CHOOSE(CONTROL!$C$27, 0.0021, 0)</f>
        <v>127.97020000000001</v>
      </c>
      <c r="J839" s="14">
        <f>127.9681 * CHOOSE(CONTROL!$C$9, $D$9, 100%, $F$9) + CHOOSE(CONTROL!$C$27, 0.0021, 0)</f>
        <v>127.97020000000001</v>
      </c>
      <c r="K839" s="14">
        <f>127.9681 * CHOOSE(CONTROL!$C$9, $D$9, 100%, $F$9) + CHOOSE(CONTROL!$C$27, 0.0021, 0)</f>
        <v>127.97020000000001</v>
      </c>
      <c r="L839" s="14"/>
    </row>
    <row r="840" spans="1:12" ht="15.75" x14ac:dyDescent="0.25">
      <c r="A840" s="31">
        <v>66507</v>
      </c>
      <c r="B840" s="14">
        <f>127.6495 * CHOOSE(CONTROL!$C$9, $D$9, 100%, $F$9) + CHOOSE(CONTROL!$C$27, 0.0021, 0)</f>
        <v>127.6516</v>
      </c>
      <c r="C840" s="14">
        <f>127.2172 * CHOOSE(CONTROL!$C$9, $D$9, 100%, $F$9) + CHOOSE(CONTROL!$C$27, 0.0021, 0)</f>
        <v>127.2193</v>
      </c>
      <c r="D840" s="14">
        <f>127.2172 * CHOOSE(CONTROL!$C$9, $D$9, 100%, $F$9) + CHOOSE(CONTROL!$C$27, 0.0021, 0)</f>
        <v>127.2193</v>
      </c>
      <c r="E840" s="14">
        <f>127.0806 * CHOOSE(CONTROL!$C$9, $D$9, 100%, $F$9) + CHOOSE(CONTROL!$C$27, 0.0021, 0)</f>
        <v>127.0827</v>
      </c>
      <c r="F840" s="14">
        <f>127.0806 * CHOOSE(CONTROL!$C$9, $D$9, 100%, $F$9) + CHOOSE(CONTROL!$C$27, 0.0021, 0)</f>
        <v>127.0827</v>
      </c>
      <c r="G840" s="14">
        <f>127.3519 * CHOOSE(CONTROL!$C$9, $D$9, 100%, $F$9) + CHOOSE(CONTROL!$C$27, 0.0021, 0)</f>
        <v>127.354</v>
      </c>
      <c r="H840" s="14">
        <f>127.2172 * CHOOSE(CONTROL!$C$9, $D$9, 100%, $F$9) + CHOOSE(CONTROL!$C$27, 0.0021, 0)</f>
        <v>127.2193</v>
      </c>
      <c r="I840" s="14">
        <f>127.2172 * CHOOSE(CONTROL!$C$9, $D$9, 100%, $F$9) + CHOOSE(CONTROL!$C$27, 0.0021, 0)</f>
        <v>127.2193</v>
      </c>
      <c r="J840" s="14">
        <f>127.2172 * CHOOSE(CONTROL!$C$9, $D$9, 100%, $F$9) + CHOOSE(CONTROL!$C$27, 0.0021, 0)</f>
        <v>127.2193</v>
      </c>
      <c r="K840" s="14">
        <f>127.2172 * CHOOSE(CONTROL!$C$9, $D$9, 100%, $F$9) + CHOOSE(CONTROL!$C$27, 0.0021, 0)</f>
        <v>127.2193</v>
      </c>
      <c r="L840" s="14"/>
    </row>
    <row r="841" spans="1:12" ht="15.75" x14ac:dyDescent="0.25">
      <c r="A841" s="31">
        <v>66535</v>
      </c>
      <c r="B841" s="14">
        <f>127.301 * CHOOSE(CONTROL!$C$9, $D$9, 100%, $F$9) + CHOOSE(CONTROL!$C$27, 0.0021, 0)</f>
        <v>127.3031</v>
      </c>
      <c r="C841" s="14">
        <f>126.8688 * CHOOSE(CONTROL!$C$9, $D$9, 100%, $F$9) + CHOOSE(CONTROL!$C$27, 0.0021, 0)</f>
        <v>126.87089999999999</v>
      </c>
      <c r="D841" s="14">
        <f>126.8688 * CHOOSE(CONTROL!$C$9, $D$9, 100%, $F$9) + CHOOSE(CONTROL!$C$27, 0.0021, 0)</f>
        <v>126.87089999999999</v>
      </c>
      <c r="E841" s="14">
        <f>126.7321 * CHOOSE(CONTROL!$C$9, $D$9, 100%, $F$9) + CHOOSE(CONTROL!$C$27, 0.0021, 0)</f>
        <v>126.7342</v>
      </c>
      <c r="F841" s="14">
        <f>126.7321 * CHOOSE(CONTROL!$C$9, $D$9, 100%, $F$9) + CHOOSE(CONTROL!$C$27, 0.0021, 0)</f>
        <v>126.7342</v>
      </c>
      <c r="G841" s="14">
        <f>127.0035 * CHOOSE(CONTROL!$C$9, $D$9, 100%, $F$9) + CHOOSE(CONTROL!$C$27, 0.0021, 0)</f>
        <v>127.0056</v>
      </c>
      <c r="H841" s="14">
        <f>126.8688 * CHOOSE(CONTROL!$C$9, $D$9, 100%, $F$9) + CHOOSE(CONTROL!$C$27, 0.0021, 0)</f>
        <v>126.87089999999999</v>
      </c>
      <c r="I841" s="14">
        <f>126.8688 * CHOOSE(CONTROL!$C$9, $D$9, 100%, $F$9) + CHOOSE(CONTROL!$C$27, 0.0021, 0)</f>
        <v>126.87089999999999</v>
      </c>
      <c r="J841" s="14">
        <f>126.8688 * CHOOSE(CONTROL!$C$9, $D$9, 100%, $F$9) + CHOOSE(CONTROL!$C$27, 0.0021, 0)</f>
        <v>126.87089999999999</v>
      </c>
      <c r="K841" s="14">
        <f>126.8688 * CHOOSE(CONTROL!$C$9, $D$9, 100%, $F$9) + CHOOSE(CONTROL!$C$27, 0.0021, 0)</f>
        <v>126.87089999999999</v>
      </c>
      <c r="L841" s="14"/>
    </row>
    <row r="842" spans="1:12" ht="15.75" x14ac:dyDescent="0.25">
      <c r="A842" s="31">
        <v>66566</v>
      </c>
      <c r="B842" s="14">
        <f>133.8897 * CHOOSE(CONTROL!$C$9, $D$9, 100%, $F$9) + CHOOSE(CONTROL!$C$27, 0.0021, 0)</f>
        <v>133.89180000000002</v>
      </c>
      <c r="C842" s="14">
        <f>133.4575 * CHOOSE(CONTROL!$C$9, $D$9, 100%, $F$9) + CHOOSE(CONTROL!$C$27, 0.0021, 0)</f>
        <v>133.45960000000002</v>
      </c>
      <c r="D842" s="14">
        <f>133.4575 * CHOOSE(CONTROL!$C$9, $D$9, 100%, $F$9) + CHOOSE(CONTROL!$C$27, 0.0021, 0)</f>
        <v>133.45960000000002</v>
      </c>
      <c r="E842" s="14">
        <f>133.3208 * CHOOSE(CONTROL!$C$9, $D$9, 100%, $F$9) + CHOOSE(CONTROL!$C$27, 0.0021, 0)</f>
        <v>133.3229</v>
      </c>
      <c r="F842" s="14">
        <f>133.3208 * CHOOSE(CONTROL!$C$9, $D$9, 100%, $F$9) + CHOOSE(CONTROL!$C$27, 0.0021, 0)</f>
        <v>133.3229</v>
      </c>
      <c r="G842" s="14">
        <f>133.5922 * CHOOSE(CONTROL!$C$9, $D$9, 100%, $F$9) + CHOOSE(CONTROL!$C$27, 0.0021, 0)</f>
        <v>133.5943</v>
      </c>
      <c r="H842" s="14">
        <f>133.4575 * CHOOSE(CONTROL!$C$9, $D$9, 100%, $F$9) + CHOOSE(CONTROL!$C$27, 0.0021, 0)</f>
        <v>133.45960000000002</v>
      </c>
      <c r="I842" s="14">
        <f>133.4575 * CHOOSE(CONTROL!$C$9, $D$9, 100%, $F$9) + CHOOSE(CONTROL!$C$27, 0.0021, 0)</f>
        <v>133.45960000000002</v>
      </c>
      <c r="J842" s="14">
        <f>133.4575 * CHOOSE(CONTROL!$C$9, $D$9, 100%, $F$9) + CHOOSE(CONTROL!$C$27, 0.0021, 0)</f>
        <v>133.45960000000002</v>
      </c>
      <c r="K842" s="14">
        <f>133.4575 * CHOOSE(CONTROL!$C$9, $D$9, 100%, $F$9) + CHOOSE(CONTROL!$C$27, 0.0021, 0)</f>
        <v>133.45960000000002</v>
      </c>
      <c r="L842" s="14"/>
    </row>
    <row r="843" spans="1:12" ht="15.75" x14ac:dyDescent="0.25">
      <c r="A843" s="31">
        <v>66596</v>
      </c>
      <c r="B843" s="14">
        <f>142.4337 * CHOOSE(CONTROL!$C$9, $D$9, 100%, $F$9) + CHOOSE(CONTROL!$C$27, 0.0021, 0)</f>
        <v>142.4358</v>
      </c>
      <c r="C843" s="14">
        <f>142.0014 * CHOOSE(CONTROL!$C$9, $D$9, 100%, $F$9) + CHOOSE(CONTROL!$C$27, 0.0021, 0)</f>
        <v>142.0035</v>
      </c>
      <c r="D843" s="14">
        <f>142.0014 * CHOOSE(CONTROL!$C$9, $D$9, 100%, $F$9) + CHOOSE(CONTROL!$C$27, 0.0021, 0)</f>
        <v>142.0035</v>
      </c>
      <c r="E843" s="14">
        <f>141.8647 * CHOOSE(CONTROL!$C$9, $D$9, 100%, $F$9) + CHOOSE(CONTROL!$C$27, 0.0021, 0)</f>
        <v>141.86680000000001</v>
      </c>
      <c r="F843" s="14">
        <f>141.8647 * CHOOSE(CONTROL!$C$9, $D$9, 100%, $F$9) + CHOOSE(CONTROL!$C$27, 0.0021, 0)</f>
        <v>141.86680000000001</v>
      </c>
      <c r="G843" s="14">
        <f>142.1361 * CHOOSE(CONTROL!$C$9, $D$9, 100%, $F$9) + CHOOSE(CONTROL!$C$27, 0.0021, 0)</f>
        <v>142.13820000000001</v>
      </c>
      <c r="H843" s="14">
        <f>142.0014 * CHOOSE(CONTROL!$C$9, $D$9, 100%, $F$9) + CHOOSE(CONTROL!$C$27, 0.0021, 0)</f>
        <v>142.0035</v>
      </c>
      <c r="I843" s="14">
        <f>142.0014 * CHOOSE(CONTROL!$C$9, $D$9, 100%, $F$9) + CHOOSE(CONTROL!$C$27, 0.0021, 0)</f>
        <v>142.0035</v>
      </c>
      <c r="J843" s="14">
        <f>142.0014 * CHOOSE(CONTROL!$C$9, $D$9, 100%, $F$9) + CHOOSE(CONTROL!$C$27, 0.0021, 0)</f>
        <v>142.0035</v>
      </c>
      <c r="K843" s="14">
        <f>142.0014 * CHOOSE(CONTROL!$C$9, $D$9, 100%, $F$9) + CHOOSE(CONTROL!$C$27, 0.0021, 0)</f>
        <v>142.0035</v>
      </c>
      <c r="L843" s="14"/>
    </row>
    <row r="844" spans="1:12" ht="15.75" x14ac:dyDescent="0.25">
      <c r="A844" s="31">
        <v>66627</v>
      </c>
      <c r="B844" s="14">
        <f>147.1365 * CHOOSE(CONTROL!$C$9, $D$9, 100%, $F$9) + CHOOSE(CONTROL!$C$27, 0.0021, 0)</f>
        <v>147.13860000000003</v>
      </c>
      <c r="C844" s="14">
        <f>146.7043 * CHOOSE(CONTROL!$C$9, $D$9, 100%, $F$9) + CHOOSE(CONTROL!$C$27, 0.0021, 0)</f>
        <v>146.7064</v>
      </c>
      <c r="D844" s="14">
        <f>146.7043 * CHOOSE(CONTROL!$C$9, $D$9, 100%, $F$9) + CHOOSE(CONTROL!$C$27, 0.0021, 0)</f>
        <v>146.7064</v>
      </c>
      <c r="E844" s="14">
        <f>146.5676 * CHOOSE(CONTROL!$C$9, $D$9, 100%, $F$9) + CHOOSE(CONTROL!$C$27, 0.0021, 0)</f>
        <v>146.56970000000001</v>
      </c>
      <c r="F844" s="14">
        <f>146.5676 * CHOOSE(CONTROL!$C$9, $D$9, 100%, $F$9) + CHOOSE(CONTROL!$C$27, 0.0021, 0)</f>
        <v>146.56970000000001</v>
      </c>
      <c r="G844" s="14">
        <f>146.839 * CHOOSE(CONTROL!$C$9, $D$9, 100%, $F$9) + CHOOSE(CONTROL!$C$27, 0.0021, 0)</f>
        <v>146.84110000000001</v>
      </c>
      <c r="H844" s="14">
        <f>146.7043 * CHOOSE(CONTROL!$C$9, $D$9, 100%, $F$9) + CHOOSE(CONTROL!$C$27, 0.0021, 0)</f>
        <v>146.7064</v>
      </c>
      <c r="I844" s="14">
        <f>146.7043 * CHOOSE(CONTROL!$C$9, $D$9, 100%, $F$9) + CHOOSE(CONTROL!$C$27, 0.0021, 0)</f>
        <v>146.7064</v>
      </c>
      <c r="J844" s="14">
        <f>146.7043 * CHOOSE(CONTROL!$C$9, $D$9, 100%, $F$9) + CHOOSE(CONTROL!$C$27, 0.0021, 0)</f>
        <v>146.7064</v>
      </c>
      <c r="K844" s="14">
        <f>146.7043 * CHOOSE(CONTROL!$C$9, $D$9, 100%, $F$9) + CHOOSE(CONTROL!$C$27, 0.0021, 0)</f>
        <v>146.7064</v>
      </c>
      <c r="L844" s="14"/>
    </row>
    <row r="845" spans="1:12" ht="15.75" x14ac:dyDescent="0.25">
      <c r="A845" s="31">
        <v>66657</v>
      </c>
      <c r="B845" s="14">
        <f>149.2236 * CHOOSE(CONTROL!$C$9, $D$9, 100%, $F$9) + CHOOSE(CONTROL!$C$27, 0.0021, 0)</f>
        <v>149.22570000000002</v>
      </c>
      <c r="C845" s="14">
        <f>148.7913 * CHOOSE(CONTROL!$C$9, $D$9, 100%, $F$9) + CHOOSE(CONTROL!$C$27, 0.0021, 0)</f>
        <v>148.79340000000002</v>
      </c>
      <c r="D845" s="14">
        <f>148.7913 * CHOOSE(CONTROL!$C$9, $D$9, 100%, $F$9) + CHOOSE(CONTROL!$C$27, 0.0021, 0)</f>
        <v>148.79340000000002</v>
      </c>
      <c r="E845" s="14">
        <f>148.6547 * CHOOSE(CONTROL!$C$9, $D$9, 100%, $F$9) + CHOOSE(CONTROL!$C$27, 0.0021, 0)</f>
        <v>148.6568</v>
      </c>
      <c r="F845" s="14">
        <f>148.6547 * CHOOSE(CONTROL!$C$9, $D$9, 100%, $F$9) + CHOOSE(CONTROL!$C$27, 0.0021, 0)</f>
        <v>148.6568</v>
      </c>
      <c r="G845" s="14">
        <f>148.926 * CHOOSE(CONTROL!$C$9, $D$9, 100%, $F$9) + CHOOSE(CONTROL!$C$27, 0.0021, 0)</f>
        <v>148.9281</v>
      </c>
      <c r="H845" s="14">
        <f>148.7913 * CHOOSE(CONTROL!$C$9, $D$9, 100%, $F$9) + CHOOSE(CONTROL!$C$27, 0.0021, 0)</f>
        <v>148.79340000000002</v>
      </c>
      <c r="I845" s="14">
        <f>148.7913 * CHOOSE(CONTROL!$C$9, $D$9, 100%, $F$9) + CHOOSE(CONTROL!$C$27, 0.0021, 0)</f>
        <v>148.79340000000002</v>
      </c>
      <c r="J845" s="14">
        <f>148.7913 * CHOOSE(CONTROL!$C$9, $D$9, 100%, $F$9) + CHOOSE(CONTROL!$C$27, 0.0021, 0)</f>
        <v>148.79340000000002</v>
      </c>
      <c r="K845" s="14">
        <f>148.7913 * CHOOSE(CONTROL!$C$9, $D$9, 100%, $F$9) + CHOOSE(CONTROL!$C$27, 0.0021, 0)</f>
        <v>148.79340000000002</v>
      </c>
      <c r="L845" s="14"/>
    </row>
    <row r="846" spans="1:12" ht="15.75" x14ac:dyDescent="0.25">
      <c r="A846" s="31">
        <v>66688</v>
      </c>
      <c r="B846" s="14">
        <f>148.5364 * CHOOSE(CONTROL!$C$9, $D$9, 100%, $F$9) + CHOOSE(CONTROL!$C$27, 0.0021, 0)</f>
        <v>148.5385</v>
      </c>
      <c r="C846" s="14">
        <f>148.1042 * CHOOSE(CONTROL!$C$9, $D$9, 100%, $F$9) + CHOOSE(CONTROL!$C$27, 0.0021, 0)</f>
        <v>148.1063</v>
      </c>
      <c r="D846" s="14">
        <f>148.1042 * CHOOSE(CONTROL!$C$9, $D$9, 100%, $F$9) + CHOOSE(CONTROL!$C$27, 0.0021, 0)</f>
        <v>148.1063</v>
      </c>
      <c r="E846" s="14">
        <f>147.9675 * CHOOSE(CONTROL!$C$9, $D$9, 100%, $F$9) + CHOOSE(CONTROL!$C$27, 0.0021, 0)</f>
        <v>147.96960000000001</v>
      </c>
      <c r="F846" s="14">
        <f>147.9675 * CHOOSE(CONTROL!$C$9, $D$9, 100%, $F$9) + CHOOSE(CONTROL!$C$27, 0.0021, 0)</f>
        <v>147.96960000000001</v>
      </c>
      <c r="G846" s="14">
        <f>148.2389 * CHOOSE(CONTROL!$C$9, $D$9, 100%, $F$9) + CHOOSE(CONTROL!$C$27, 0.0021, 0)</f>
        <v>148.24100000000001</v>
      </c>
      <c r="H846" s="14">
        <f>148.1042 * CHOOSE(CONTROL!$C$9, $D$9, 100%, $F$9) + CHOOSE(CONTROL!$C$27, 0.0021, 0)</f>
        <v>148.1063</v>
      </c>
      <c r="I846" s="14">
        <f>148.1042 * CHOOSE(CONTROL!$C$9, $D$9, 100%, $F$9) + CHOOSE(CONTROL!$C$27, 0.0021, 0)</f>
        <v>148.1063</v>
      </c>
      <c r="J846" s="14">
        <f>148.1042 * CHOOSE(CONTROL!$C$9, $D$9, 100%, $F$9) + CHOOSE(CONTROL!$C$27, 0.0021, 0)</f>
        <v>148.1063</v>
      </c>
      <c r="K846" s="14">
        <f>148.1042 * CHOOSE(CONTROL!$C$9, $D$9, 100%, $F$9) + CHOOSE(CONTROL!$C$27, 0.0021, 0)</f>
        <v>148.1063</v>
      </c>
      <c r="L846" s="14"/>
    </row>
    <row r="847" spans="1:12" ht="15.75" x14ac:dyDescent="0.25">
      <c r="A847" s="31">
        <v>66719</v>
      </c>
      <c r="B847" s="14">
        <f>145.1319 * CHOOSE(CONTROL!$C$9, $D$9, 100%, $F$9) + CHOOSE(CONTROL!$C$27, 0.0021, 0)</f>
        <v>145.13400000000001</v>
      </c>
      <c r="C847" s="14">
        <f>144.6997 * CHOOSE(CONTROL!$C$9, $D$9, 100%, $F$9) + CHOOSE(CONTROL!$C$27, 0.0021, 0)</f>
        <v>144.70180000000002</v>
      </c>
      <c r="D847" s="14">
        <f>144.6997 * CHOOSE(CONTROL!$C$9, $D$9, 100%, $F$9) + CHOOSE(CONTROL!$C$27, 0.0021, 0)</f>
        <v>144.70180000000002</v>
      </c>
      <c r="E847" s="14">
        <f>144.563 * CHOOSE(CONTROL!$C$9, $D$9, 100%, $F$9) + CHOOSE(CONTROL!$C$27, 0.0021, 0)</f>
        <v>144.5651</v>
      </c>
      <c r="F847" s="14">
        <f>144.563 * CHOOSE(CONTROL!$C$9, $D$9, 100%, $F$9) + CHOOSE(CONTROL!$C$27, 0.0021, 0)</f>
        <v>144.5651</v>
      </c>
      <c r="G847" s="14">
        <f>144.8344 * CHOOSE(CONTROL!$C$9, $D$9, 100%, $F$9) + CHOOSE(CONTROL!$C$27, 0.0021, 0)</f>
        <v>144.8365</v>
      </c>
      <c r="H847" s="14">
        <f>144.6997 * CHOOSE(CONTROL!$C$9, $D$9, 100%, $F$9) + CHOOSE(CONTROL!$C$27, 0.0021, 0)</f>
        <v>144.70180000000002</v>
      </c>
      <c r="I847" s="14">
        <f>144.6997 * CHOOSE(CONTROL!$C$9, $D$9, 100%, $F$9) + CHOOSE(CONTROL!$C$27, 0.0021, 0)</f>
        <v>144.70180000000002</v>
      </c>
      <c r="J847" s="14">
        <f>144.6997 * CHOOSE(CONTROL!$C$9, $D$9, 100%, $F$9) + CHOOSE(CONTROL!$C$27, 0.0021, 0)</f>
        <v>144.70180000000002</v>
      </c>
      <c r="K847" s="14">
        <f>144.6997 * CHOOSE(CONTROL!$C$9, $D$9, 100%, $F$9) + CHOOSE(CONTROL!$C$27, 0.0021, 0)</f>
        <v>144.70180000000002</v>
      </c>
      <c r="L847" s="14"/>
    </row>
    <row r="848" spans="1:12" ht="15.75" x14ac:dyDescent="0.25">
      <c r="A848" s="31">
        <v>66749</v>
      </c>
      <c r="B848" s="14">
        <f>140.3842 * CHOOSE(CONTROL!$C$9, $D$9, 100%, $F$9) + CHOOSE(CONTROL!$C$27, 0.0021, 0)</f>
        <v>140.38630000000001</v>
      </c>
      <c r="C848" s="14">
        <f>139.9519 * CHOOSE(CONTROL!$C$9, $D$9, 100%, $F$9) + CHOOSE(CONTROL!$C$27, 0.0021, 0)</f>
        <v>139.95400000000001</v>
      </c>
      <c r="D848" s="14">
        <f>139.9519 * CHOOSE(CONTROL!$C$9, $D$9, 100%, $F$9) + CHOOSE(CONTROL!$C$27, 0.0021, 0)</f>
        <v>139.95400000000001</v>
      </c>
      <c r="E848" s="14">
        <f>139.8153 * CHOOSE(CONTROL!$C$9, $D$9, 100%, $F$9) + CHOOSE(CONTROL!$C$27, 0.0021, 0)</f>
        <v>139.81740000000002</v>
      </c>
      <c r="F848" s="14">
        <f>139.8153 * CHOOSE(CONTROL!$C$9, $D$9, 100%, $F$9) + CHOOSE(CONTROL!$C$27, 0.0021, 0)</f>
        <v>139.81740000000002</v>
      </c>
      <c r="G848" s="14">
        <f>140.0866 * CHOOSE(CONTROL!$C$9, $D$9, 100%, $F$9) + CHOOSE(CONTROL!$C$27, 0.0021, 0)</f>
        <v>140.08870000000002</v>
      </c>
      <c r="H848" s="14">
        <f>139.9519 * CHOOSE(CONTROL!$C$9, $D$9, 100%, $F$9) + CHOOSE(CONTROL!$C$27, 0.0021, 0)</f>
        <v>139.95400000000001</v>
      </c>
      <c r="I848" s="14">
        <f>139.9519 * CHOOSE(CONTROL!$C$9, $D$9, 100%, $F$9) + CHOOSE(CONTROL!$C$27, 0.0021, 0)</f>
        <v>139.95400000000001</v>
      </c>
      <c r="J848" s="14">
        <f>139.9519 * CHOOSE(CONTROL!$C$9, $D$9, 100%, $F$9) + CHOOSE(CONTROL!$C$27, 0.0021, 0)</f>
        <v>139.95400000000001</v>
      </c>
      <c r="K848" s="14">
        <f>139.9519 * CHOOSE(CONTROL!$C$9, $D$9, 100%, $F$9) + CHOOSE(CONTROL!$C$27, 0.0021, 0)</f>
        <v>139.95400000000001</v>
      </c>
      <c r="L848" s="14"/>
    </row>
    <row r="849" spans="1:12" ht="15.75" x14ac:dyDescent="0.25">
      <c r="A849" s="31">
        <v>66780</v>
      </c>
      <c r="B849" s="14">
        <f>135.6088 * CHOOSE(CONTROL!$C$9, $D$9, 100%, $F$9) + CHOOSE(CONTROL!$C$27, 0.0021, 0)</f>
        <v>135.61090000000002</v>
      </c>
      <c r="C849" s="14">
        <f>135.1766 * CHOOSE(CONTROL!$C$9, $D$9, 100%, $F$9) + CHOOSE(CONTROL!$C$27, 0.0021, 0)</f>
        <v>135.17870000000002</v>
      </c>
      <c r="D849" s="14">
        <f>135.1766 * CHOOSE(CONTROL!$C$9, $D$9, 100%, $F$9) + CHOOSE(CONTROL!$C$27, 0.0021, 0)</f>
        <v>135.17870000000002</v>
      </c>
      <c r="E849" s="14">
        <f>135.0399 * CHOOSE(CONTROL!$C$9, $D$9, 100%, $F$9) + CHOOSE(CONTROL!$C$27, 0.0021, 0)</f>
        <v>135.042</v>
      </c>
      <c r="F849" s="14">
        <f>135.0399 * CHOOSE(CONTROL!$C$9, $D$9, 100%, $F$9) + CHOOSE(CONTROL!$C$27, 0.0021, 0)</f>
        <v>135.042</v>
      </c>
      <c r="G849" s="14">
        <f>135.3113 * CHOOSE(CONTROL!$C$9, $D$9, 100%, $F$9) + CHOOSE(CONTROL!$C$27, 0.0021, 0)</f>
        <v>135.3134</v>
      </c>
      <c r="H849" s="14">
        <f>135.1766 * CHOOSE(CONTROL!$C$9, $D$9, 100%, $F$9) + CHOOSE(CONTROL!$C$27, 0.0021, 0)</f>
        <v>135.17870000000002</v>
      </c>
      <c r="I849" s="14">
        <f>135.1766 * CHOOSE(CONTROL!$C$9, $D$9, 100%, $F$9) + CHOOSE(CONTROL!$C$27, 0.0021, 0)</f>
        <v>135.17870000000002</v>
      </c>
      <c r="J849" s="14">
        <f>135.1766 * CHOOSE(CONTROL!$C$9, $D$9, 100%, $F$9) + CHOOSE(CONTROL!$C$27, 0.0021, 0)</f>
        <v>135.17870000000002</v>
      </c>
      <c r="K849" s="14">
        <f>135.1766 * CHOOSE(CONTROL!$C$9, $D$9, 100%, $F$9) + CHOOSE(CONTROL!$C$27, 0.0021, 0)</f>
        <v>135.17870000000002</v>
      </c>
      <c r="L849" s="14"/>
    </row>
    <row r="850" spans="1:12" ht="15.75" x14ac:dyDescent="0.25">
      <c r="A850" s="31">
        <v>66810</v>
      </c>
      <c r="B850" s="14">
        <f>134.6589 * CHOOSE(CONTROL!$C$9, $D$9, 100%, $F$9) + CHOOSE(CONTROL!$C$27, 0.0021, 0)</f>
        <v>134.661</v>
      </c>
      <c r="C850" s="14">
        <f>134.2267 * CHOOSE(CONTROL!$C$9, $D$9, 100%, $F$9) + CHOOSE(CONTROL!$C$27, 0.0021, 0)</f>
        <v>134.22880000000001</v>
      </c>
      <c r="D850" s="14">
        <f>134.2267 * CHOOSE(CONTROL!$C$9, $D$9, 100%, $F$9) + CHOOSE(CONTROL!$C$27, 0.0021, 0)</f>
        <v>134.22880000000001</v>
      </c>
      <c r="E850" s="14">
        <f>134.09 * CHOOSE(CONTROL!$C$9, $D$9, 100%, $F$9) + CHOOSE(CONTROL!$C$27, 0.0021, 0)</f>
        <v>134.09210000000002</v>
      </c>
      <c r="F850" s="14">
        <f>134.09 * CHOOSE(CONTROL!$C$9, $D$9, 100%, $F$9) + CHOOSE(CONTROL!$C$27, 0.0021, 0)</f>
        <v>134.09210000000002</v>
      </c>
      <c r="G850" s="14">
        <f>134.3614 * CHOOSE(CONTROL!$C$9, $D$9, 100%, $F$9) + CHOOSE(CONTROL!$C$27, 0.0021, 0)</f>
        <v>134.36350000000002</v>
      </c>
      <c r="H850" s="14">
        <f>134.2267 * CHOOSE(CONTROL!$C$9, $D$9, 100%, $F$9) + CHOOSE(CONTROL!$C$27, 0.0021, 0)</f>
        <v>134.22880000000001</v>
      </c>
      <c r="I850" s="14">
        <f>134.2267 * CHOOSE(CONTROL!$C$9, $D$9, 100%, $F$9) + CHOOSE(CONTROL!$C$27, 0.0021, 0)</f>
        <v>134.22880000000001</v>
      </c>
      <c r="J850" s="14">
        <f>134.2267 * CHOOSE(CONTROL!$C$9, $D$9, 100%, $F$9) + CHOOSE(CONTROL!$C$27, 0.0021, 0)</f>
        <v>134.22880000000001</v>
      </c>
      <c r="K850" s="14">
        <f>134.2267 * CHOOSE(CONTROL!$C$9, $D$9, 100%, $F$9) + CHOOSE(CONTROL!$C$27, 0.0021, 0)</f>
        <v>134.22880000000001</v>
      </c>
      <c r="L850" s="14"/>
    </row>
    <row r="851" spans="1:12" ht="15.75" x14ac:dyDescent="0.25">
      <c r="A851" s="31">
        <v>66841</v>
      </c>
      <c r="B851" s="14">
        <f>130.7309 * CHOOSE(CONTROL!$C$9, $D$9, 100%, $F$9) + CHOOSE(CONTROL!$C$27, 0.0021, 0)</f>
        <v>130.733</v>
      </c>
      <c r="C851" s="14">
        <f>130.2987 * CHOOSE(CONTROL!$C$9, $D$9, 100%, $F$9) + CHOOSE(CONTROL!$C$27, 0.0021, 0)</f>
        <v>130.30080000000001</v>
      </c>
      <c r="D851" s="14">
        <f>130.2987 * CHOOSE(CONTROL!$C$9, $D$9, 100%, $F$9) + CHOOSE(CONTROL!$C$27, 0.0021, 0)</f>
        <v>130.30080000000001</v>
      </c>
      <c r="E851" s="14">
        <f>130.162 * CHOOSE(CONTROL!$C$9, $D$9, 100%, $F$9) + CHOOSE(CONTROL!$C$27, 0.0021, 0)</f>
        <v>130.16410000000002</v>
      </c>
      <c r="F851" s="14">
        <f>130.162 * CHOOSE(CONTROL!$C$9, $D$9, 100%, $F$9) + CHOOSE(CONTROL!$C$27, 0.0021, 0)</f>
        <v>130.16410000000002</v>
      </c>
      <c r="G851" s="14">
        <f>130.4334 * CHOOSE(CONTROL!$C$9, $D$9, 100%, $F$9) + CHOOSE(CONTROL!$C$27, 0.0021, 0)</f>
        <v>130.43550000000002</v>
      </c>
      <c r="H851" s="14">
        <f>130.2987 * CHOOSE(CONTROL!$C$9, $D$9, 100%, $F$9) + CHOOSE(CONTROL!$C$27, 0.0021, 0)</f>
        <v>130.30080000000001</v>
      </c>
      <c r="I851" s="14">
        <f>130.2987 * CHOOSE(CONTROL!$C$9, $D$9, 100%, $F$9) + CHOOSE(CONTROL!$C$27, 0.0021, 0)</f>
        <v>130.30080000000001</v>
      </c>
      <c r="J851" s="14">
        <f>130.2987 * CHOOSE(CONTROL!$C$9, $D$9, 100%, $F$9) + CHOOSE(CONTROL!$C$27, 0.0021, 0)</f>
        <v>130.30080000000001</v>
      </c>
      <c r="K851" s="14">
        <f>130.2987 * CHOOSE(CONTROL!$C$9, $D$9, 100%, $F$9) + CHOOSE(CONTROL!$C$27, 0.0021, 0)</f>
        <v>130.30080000000001</v>
      </c>
      <c r="L851" s="14"/>
    </row>
    <row r="852" spans="1:12" ht="15.75" x14ac:dyDescent="0.25">
      <c r="A852" s="31">
        <v>66872</v>
      </c>
      <c r="B852" s="14">
        <f>129.9662 * CHOOSE(CONTROL!$C$9, $D$9, 100%, $F$9) + CHOOSE(CONTROL!$C$27, 0.0021, 0)</f>
        <v>129.9683</v>
      </c>
      <c r="C852" s="14">
        <f>129.5339 * CHOOSE(CONTROL!$C$9, $D$9, 100%, $F$9) + CHOOSE(CONTROL!$C$27, 0.0021, 0)</f>
        <v>129.536</v>
      </c>
      <c r="D852" s="14">
        <f>129.5339 * CHOOSE(CONTROL!$C$9, $D$9, 100%, $F$9) + CHOOSE(CONTROL!$C$27, 0.0021, 0)</f>
        <v>129.536</v>
      </c>
      <c r="E852" s="14">
        <f>129.3973 * CHOOSE(CONTROL!$C$9, $D$9, 100%, $F$9) + CHOOSE(CONTROL!$C$27, 0.0021, 0)</f>
        <v>129.39940000000001</v>
      </c>
      <c r="F852" s="14">
        <f>129.3973 * CHOOSE(CONTROL!$C$9, $D$9, 100%, $F$9) + CHOOSE(CONTROL!$C$27, 0.0021, 0)</f>
        <v>129.39940000000001</v>
      </c>
      <c r="G852" s="14">
        <f>129.6686 * CHOOSE(CONTROL!$C$9, $D$9, 100%, $F$9) + CHOOSE(CONTROL!$C$27, 0.0021, 0)</f>
        <v>129.67070000000001</v>
      </c>
      <c r="H852" s="14">
        <f>129.5339 * CHOOSE(CONTROL!$C$9, $D$9, 100%, $F$9) + CHOOSE(CONTROL!$C$27, 0.0021, 0)</f>
        <v>129.536</v>
      </c>
      <c r="I852" s="14">
        <f>129.5339 * CHOOSE(CONTROL!$C$9, $D$9, 100%, $F$9) + CHOOSE(CONTROL!$C$27, 0.0021, 0)</f>
        <v>129.536</v>
      </c>
      <c r="J852" s="14">
        <f>129.5339 * CHOOSE(CONTROL!$C$9, $D$9, 100%, $F$9) + CHOOSE(CONTROL!$C$27, 0.0021, 0)</f>
        <v>129.536</v>
      </c>
      <c r="K852" s="14">
        <f>129.5339 * CHOOSE(CONTROL!$C$9, $D$9, 100%, $F$9) + CHOOSE(CONTROL!$C$27, 0.0021, 0)</f>
        <v>129.536</v>
      </c>
      <c r="L852" s="14"/>
    </row>
    <row r="853" spans="1:12" ht="15.75" x14ac:dyDescent="0.25">
      <c r="A853" s="31">
        <v>66900</v>
      </c>
      <c r="B853" s="14">
        <f>129.6113 * CHOOSE(CONTROL!$C$9, $D$9, 100%, $F$9) + CHOOSE(CONTROL!$C$27, 0.0021, 0)</f>
        <v>129.61340000000001</v>
      </c>
      <c r="C853" s="14">
        <f>129.179 * CHOOSE(CONTROL!$C$9, $D$9, 100%, $F$9) + CHOOSE(CONTROL!$C$27, 0.0021, 0)</f>
        <v>129.18110000000001</v>
      </c>
      <c r="D853" s="14">
        <f>129.179 * CHOOSE(CONTROL!$C$9, $D$9, 100%, $F$9) + CHOOSE(CONTROL!$C$27, 0.0021, 0)</f>
        <v>129.18110000000001</v>
      </c>
      <c r="E853" s="14">
        <f>129.0424 * CHOOSE(CONTROL!$C$9, $D$9, 100%, $F$9) + CHOOSE(CONTROL!$C$27, 0.0021, 0)</f>
        <v>129.0445</v>
      </c>
      <c r="F853" s="14">
        <f>129.0424 * CHOOSE(CONTROL!$C$9, $D$9, 100%, $F$9) + CHOOSE(CONTROL!$C$27, 0.0021, 0)</f>
        <v>129.0445</v>
      </c>
      <c r="G853" s="14">
        <f>129.3138 * CHOOSE(CONTROL!$C$9, $D$9, 100%, $F$9) + CHOOSE(CONTROL!$C$27, 0.0021, 0)</f>
        <v>129.3159</v>
      </c>
      <c r="H853" s="14">
        <f>129.179 * CHOOSE(CONTROL!$C$9, $D$9, 100%, $F$9) + CHOOSE(CONTROL!$C$27, 0.0021, 0)</f>
        <v>129.18110000000001</v>
      </c>
      <c r="I853" s="14">
        <f>129.179 * CHOOSE(CONTROL!$C$9, $D$9, 100%, $F$9) + CHOOSE(CONTROL!$C$27, 0.0021, 0)</f>
        <v>129.18110000000001</v>
      </c>
      <c r="J853" s="14">
        <f>129.179 * CHOOSE(CONTROL!$C$9, $D$9, 100%, $F$9) + CHOOSE(CONTROL!$C$27, 0.0021, 0)</f>
        <v>129.18110000000001</v>
      </c>
      <c r="K853" s="14">
        <f>129.179 * CHOOSE(CONTROL!$C$9, $D$9, 100%, $F$9) + CHOOSE(CONTROL!$C$27, 0.0021, 0)</f>
        <v>129.18110000000001</v>
      </c>
      <c r="L853" s="14"/>
    </row>
    <row r="854" spans="1:12" ht="15.75" x14ac:dyDescent="0.25">
      <c r="A854" s="31">
        <v>66931</v>
      </c>
      <c r="B854" s="14">
        <f>136.3217 * CHOOSE(CONTROL!$C$9, $D$9, 100%, $F$9) + CHOOSE(CONTROL!$C$27, 0.0021, 0)</f>
        <v>136.32380000000001</v>
      </c>
      <c r="C854" s="14">
        <f>135.8895 * CHOOSE(CONTROL!$C$9, $D$9, 100%, $F$9) + CHOOSE(CONTROL!$C$27, 0.0021, 0)</f>
        <v>135.89160000000001</v>
      </c>
      <c r="D854" s="14">
        <f>135.8895 * CHOOSE(CONTROL!$C$9, $D$9, 100%, $F$9) + CHOOSE(CONTROL!$C$27, 0.0021, 0)</f>
        <v>135.89160000000001</v>
      </c>
      <c r="E854" s="14">
        <f>135.7528 * CHOOSE(CONTROL!$C$9, $D$9, 100%, $F$9) + CHOOSE(CONTROL!$C$27, 0.0021, 0)</f>
        <v>135.75490000000002</v>
      </c>
      <c r="F854" s="14">
        <f>135.7528 * CHOOSE(CONTROL!$C$9, $D$9, 100%, $F$9) + CHOOSE(CONTROL!$C$27, 0.0021, 0)</f>
        <v>135.75490000000002</v>
      </c>
      <c r="G854" s="14">
        <f>136.0242 * CHOOSE(CONTROL!$C$9, $D$9, 100%, $F$9) + CHOOSE(CONTROL!$C$27, 0.0021, 0)</f>
        <v>136.02630000000002</v>
      </c>
      <c r="H854" s="14">
        <f>135.8895 * CHOOSE(CONTROL!$C$9, $D$9, 100%, $F$9) + CHOOSE(CONTROL!$C$27, 0.0021, 0)</f>
        <v>135.89160000000001</v>
      </c>
      <c r="I854" s="14">
        <f>135.8895 * CHOOSE(CONTROL!$C$9, $D$9, 100%, $F$9) + CHOOSE(CONTROL!$C$27, 0.0021, 0)</f>
        <v>135.89160000000001</v>
      </c>
      <c r="J854" s="14">
        <f>135.8895 * CHOOSE(CONTROL!$C$9, $D$9, 100%, $F$9) + CHOOSE(CONTROL!$C$27, 0.0021, 0)</f>
        <v>135.89160000000001</v>
      </c>
      <c r="K854" s="14">
        <f>135.8895 * CHOOSE(CONTROL!$C$9, $D$9, 100%, $F$9) + CHOOSE(CONTROL!$C$27, 0.0021, 0)</f>
        <v>135.89160000000001</v>
      </c>
      <c r="L854" s="14"/>
    </row>
    <row r="855" spans="1:12" ht="15.75" x14ac:dyDescent="0.25">
      <c r="A855" s="31">
        <v>66961</v>
      </c>
      <c r="B855" s="14">
        <f>145.0236 * CHOOSE(CONTROL!$C$9, $D$9, 100%, $F$9) + CHOOSE(CONTROL!$C$27, 0.0021, 0)</f>
        <v>145.0257</v>
      </c>
      <c r="C855" s="14">
        <f>144.5913 * CHOOSE(CONTROL!$C$9, $D$9, 100%, $F$9) + CHOOSE(CONTROL!$C$27, 0.0021, 0)</f>
        <v>144.5934</v>
      </c>
      <c r="D855" s="14">
        <f>144.5913 * CHOOSE(CONTROL!$C$9, $D$9, 100%, $F$9) + CHOOSE(CONTROL!$C$27, 0.0021, 0)</f>
        <v>144.5934</v>
      </c>
      <c r="E855" s="14">
        <f>144.4547 * CHOOSE(CONTROL!$C$9, $D$9, 100%, $F$9) + CHOOSE(CONTROL!$C$27, 0.0021, 0)</f>
        <v>144.45680000000002</v>
      </c>
      <c r="F855" s="14">
        <f>144.4547 * CHOOSE(CONTROL!$C$9, $D$9, 100%, $F$9) + CHOOSE(CONTROL!$C$27, 0.0021, 0)</f>
        <v>144.45680000000002</v>
      </c>
      <c r="G855" s="14">
        <f>144.726 * CHOOSE(CONTROL!$C$9, $D$9, 100%, $F$9) + CHOOSE(CONTROL!$C$27, 0.0021, 0)</f>
        <v>144.72810000000001</v>
      </c>
      <c r="H855" s="14">
        <f>144.5913 * CHOOSE(CONTROL!$C$9, $D$9, 100%, $F$9) + CHOOSE(CONTROL!$C$27, 0.0021, 0)</f>
        <v>144.5934</v>
      </c>
      <c r="I855" s="14">
        <f>144.5913 * CHOOSE(CONTROL!$C$9, $D$9, 100%, $F$9) + CHOOSE(CONTROL!$C$27, 0.0021, 0)</f>
        <v>144.5934</v>
      </c>
      <c r="J855" s="14">
        <f>144.5913 * CHOOSE(CONTROL!$C$9, $D$9, 100%, $F$9) + CHOOSE(CONTROL!$C$27, 0.0021, 0)</f>
        <v>144.5934</v>
      </c>
      <c r="K855" s="14">
        <f>144.5913 * CHOOSE(CONTROL!$C$9, $D$9, 100%, $F$9) + CHOOSE(CONTROL!$C$27, 0.0021, 0)</f>
        <v>144.5934</v>
      </c>
      <c r="L855" s="14"/>
    </row>
    <row r="856" spans="1:12" ht="15.75" x14ac:dyDescent="0.25">
      <c r="A856" s="31">
        <v>66992</v>
      </c>
      <c r="B856" s="14">
        <f>149.8133 * CHOOSE(CONTROL!$C$9, $D$9, 100%, $F$9) + CHOOSE(CONTROL!$C$27, 0.0021, 0)</f>
        <v>149.81540000000001</v>
      </c>
      <c r="C856" s="14">
        <f>149.3811 * CHOOSE(CONTROL!$C$9, $D$9, 100%, $F$9) + CHOOSE(CONTROL!$C$27, 0.0021, 0)</f>
        <v>149.38320000000002</v>
      </c>
      <c r="D856" s="14">
        <f>149.3811 * CHOOSE(CONTROL!$C$9, $D$9, 100%, $F$9) + CHOOSE(CONTROL!$C$27, 0.0021, 0)</f>
        <v>149.38320000000002</v>
      </c>
      <c r="E856" s="14">
        <f>149.2444 * CHOOSE(CONTROL!$C$9, $D$9, 100%, $F$9) + CHOOSE(CONTROL!$C$27, 0.0021, 0)</f>
        <v>149.24650000000003</v>
      </c>
      <c r="F856" s="14">
        <f>149.2444 * CHOOSE(CONTROL!$C$9, $D$9, 100%, $F$9) + CHOOSE(CONTROL!$C$27, 0.0021, 0)</f>
        <v>149.24650000000003</v>
      </c>
      <c r="G856" s="14">
        <f>149.5158 * CHOOSE(CONTROL!$C$9, $D$9, 100%, $F$9) + CHOOSE(CONTROL!$C$27, 0.0021, 0)</f>
        <v>149.51790000000003</v>
      </c>
      <c r="H856" s="14">
        <f>149.3811 * CHOOSE(CONTROL!$C$9, $D$9, 100%, $F$9) + CHOOSE(CONTROL!$C$27, 0.0021, 0)</f>
        <v>149.38320000000002</v>
      </c>
      <c r="I856" s="14">
        <f>149.3811 * CHOOSE(CONTROL!$C$9, $D$9, 100%, $F$9) + CHOOSE(CONTROL!$C$27, 0.0021, 0)</f>
        <v>149.38320000000002</v>
      </c>
      <c r="J856" s="14">
        <f>149.3811 * CHOOSE(CONTROL!$C$9, $D$9, 100%, $F$9) + CHOOSE(CONTROL!$C$27, 0.0021, 0)</f>
        <v>149.38320000000002</v>
      </c>
      <c r="K856" s="14">
        <f>149.3811 * CHOOSE(CONTROL!$C$9, $D$9, 100%, $F$9) + CHOOSE(CONTROL!$C$27, 0.0021, 0)</f>
        <v>149.38320000000002</v>
      </c>
      <c r="L856" s="14"/>
    </row>
    <row r="857" spans="1:12" ht="15.75" x14ac:dyDescent="0.25">
      <c r="A857" s="31">
        <v>67022</v>
      </c>
      <c r="B857" s="14">
        <f>151.939 * CHOOSE(CONTROL!$C$9, $D$9, 100%, $F$9) + CHOOSE(CONTROL!$C$27, 0.0021, 0)</f>
        <v>151.94110000000001</v>
      </c>
      <c r="C857" s="14">
        <f>151.5067 * CHOOSE(CONTROL!$C$9, $D$9, 100%, $F$9) + CHOOSE(CONTROL!$C$27, 0.0021, 0)</f>
        <v>151.50880000000001</v>
      </c>
      <c r="D857" s="14">
        <f>151.5067 * CHOOSE(CONTROL!$C$9, $D$9, 100%, $F$9) + CHOOSE(CONTROL!$C$27, 0.0021, 0)</f>
        <v>151.50880000000001</v>
      </c>
      <c r="E857" s="14">
        <f>151.3701 * CHOOSE(CONTROL!$C$9, $D$9, 100%, $F$9) + CHOOSE(CONTROL!$C$27, 0.0021, 0)</f>
        <v>151.37220000000002</v>
      </c>
      <c r="F857" s="14">
        <f>151.3701 * CHOOSE(CONTROL!$C$9, $D$9, 100%, $F$9) + CHOOSE(CONTROL!$C$27, 0.0021, 0)</f>
        <v>151.37220000000002</v>
      </c>
      <c r="G857" s="14">
        <f>151.6414 * CHOOSE(CONTROL!$C$9, $D$9, 100%, $F$9) + CHOOSE(CONTROL!$C$27, 0.0021, 0)</f>
        <v>151.64350000000002</v>
      </c>
      <c r="H857" s="14">
        <f>151.5067 * CHOOSE(CONTROL!$C$9, $D$9, 100%, $F$9) + CHOOSE(CONTROL!$C$27, 0.0021, 0)</f>
        <v>151.50880000000001</v>
      </c>
      <c r="I857" s="14">
        <f>151.5067 * CHOOSE(CONTROL!$C$9, $D$9, 100%, $F$9) + CHOOSE(CONTROL!$C$27, 0.0021, 0)</f>
        <v>151.50880000000001</v>
      </c>
      <c r="J857" s="14">
        <f>151.5067 * CHOOSE(CONTROL!$C$9, $D$9, 100%, $F$9) + CHOOSE(CONTROL!$C$27, 0.0021, 0)</f>
        <v>151.50880000000001</v>
      </c>
      <c r="K857" s="14">
        <f>151.5067 * CHOOSE(CONTROL!$C$9, $D$9, 100%, $F$9) + CHOOSE(CONTROL!$C$27, 0.0021, 0)</f>
        <v>151.50880000000001</v>
      </c>
      <c r="L857" s="14"/>
    </row>
    <row r="858" spans="1:12" ht="15.75" x14ac:dyDescent="0.25">
      <c r="A858" s="31">
        <v>67053</v>
      </c>
      <c r="B858" s="14">
        <f>151.2391 * CHOOSE(CONTROL!$C$9, $D$9, 100%, $F$9) + CHOOSE(CONTROL!$C$27, 0.0021, 0)</f>
        <v>151.24120000000002</v>
      </c>
      <c r="C858" s="14">
        <f>150.8069 * CHOOSE(CONTROL!$C$9, $D$9, 100%, $F$9) + CHOOSE(CONTROL!$C$27, 0.0021, 0)</f>
        <v>150.80900000000003</v>
      </c>
      <c r="D858" s="14">
        <f>150.8069 * CHOOSE(CONTROL!$C$9, $D$9, 100%, $F$9) + CHOOSE(CONTROL!$C$27, 0.0021, 0)</f>
        <v>150.80900000000003</v>
      </c>
      <c r="E858" s="14">
        <f>150.6702 * CHOOSE(CONTROL!$C$9, $D$9, 100%, $F$9) + CHOOSE(CONTROL!$C$27, 0.0021, 0)</f>
        <v>150.67230000000001</v>
      </c>
      <c r="F858" s="14">
        <f>150.6702 * CHOOSE(CONTROL!$C$9, $D$9, 100%, $F$9) + CHOOSE(CONTROL!$C$27, 0.0021, 0)</f>
        <v>150.67230000000001</v>
      </c>
      <c r="G858" s="14">
        <f>150.9416 * CHOOSE(CONTROL!$C$9, $D$9, 100%, $F$9) + CHOOSE(CONTROL!$C$27, 0.0021, 0)</f>
        <v>150.94370000000001</v>
      </c>
      <c r="H858" s="14">
        <f>150.8069 * CHOOSE(CONTROL!$C$9, $D$9, 100%, $F$9) + CHOOSE(CONTROL!$C$27, 0.0021, 0)</f>
        <v>150.80900000000003</v>
      </c>
      <c r="I858" s="14">
        <f>150.8069 * CHOOSE(CONTROL!$C$9, $D$9, 100%, $F$9) + CHOOSE(CONTROL!$C$27, 0.0021, 0)</f>
        <v>150.80900000000003</v>
      </c>
      <c r="J858" s="14">
        <f>150.8069 * CHOOSE(CONTROL!$C$9, $D$9, 100%, $F$9) + CHOOSE(CONTROL!$C$27, 0.0021, 0)</f>
        <v>150.80900000000003</v>
      </c>
      <c r="K858" s="14">
        <f>150.8069 * CHOOSE(CONTROL!$C$9, $D$9, 100%, $F$9) + CHOOSE(CONTROL!$C$27, 0.0021, 0)</f>
        <v>150.80900000000003</v>
      </c>
      <c r="L858" s="14"/>
    </row>
    <row r="859" spans="1:12" ht="15.75" x14ac:dyDescent="0.25">
      <c r="A859" s="31">
        <v>67084</v>
      </c>
      <c r="B859" s="14">
        <f>147.7717 * CHOOSE(CONTROL!$C$9, $D$9, 100%, $F$9) + CHOOSE(CONTROL!$C$27, 0.0021, 0)</f>
        <v>147.77380000000002</v>
      </c>
      <c r="C859" s="14">
        <f>147.3394 * CHOOSE(CONTROL!$C$9, $D$9, 100%, $F$9) + CHOOSE(CONTROL!$C$27, 0.0021, 0)</f>
        <v>147.34150000000002</v>
      </c>
      <c r="D859" s="14">
        <f>147.3394 * CHOOSE(CONTROL!$C$9, $D$9, 100%, $F$9) + CHOOSE(CONTROL!$C$27, 0.0021, 0)</f>
        <v>147.34150000000002</v>
      </c>
      <c r="E859" s="14">
        <f>147.2028 * CHOOSE(CONTROL!$C$9, $D$9, 100%, $F$9) + CHOOSE(CONTROL!$C$27, 0.0021, 0)</f>
        <v>147.20490000000001</v>
      </c>
      <c r="F859" s="14">
        <f>147.2028 * CHOOSE(CONTROL!$C$9, $D$9, 100%, $F$9) + CHOOSE(CONTROL!$C$27, 0.0021, 0)</f>
        <v>147.20490000000001</v>
      </c>
      <c r="G859" s="14">
        <f>147.4742 * CHOOSE(CONTROL!$C$9, $D$9, 100%, $F$9) + CHOOSE(CONTROL!$C$27, 0.0021, 0)</f>
        <v>147.47630000000001</v>
      </c>
      <c r="H859" s="14">
        <f>147.3394 * CHOOSE(CONTROL!$C$9, $D$9, 100%, $F$9) + CHOOSE(CONTROL!$C$27, 0.0021, 0)</f>
        <v>147.34150000000002</v>
      </c>
      <c r="I859" s="14">
        <f>147.3394 * CHOOSE(CONTROL!$C$9, $D$9, 100%, $F$9) + CHOOSE(CONTROL!$C$27, 0.0021, 0)</f>
        <v>147.34150000000002</v>
      </c>
      <c r="J859" s="14">
        <f>147.3394 * CHOOSE(CONTROL!$C$9, $D$9, 100%, $F$9) + CHOOSE(CONTROL!$C$27, 0.0021, 0)</f>
        <v>147.34150000000002</v>
      </c>
      <c r="K859" s="14">
        <f>147.3394 * CHOOSE(CONTROL!$C$9, $D$9, 100%, $F$9) + CHOOSE(CONTROL!$C$27, 0.0021, 0)</f>
        <v>147.34150000000002</v>
      </c>
      <c r="L859" s="14"/>
    </row>
    <row r="860" spans="1:12" ht="15.75" x14ac:dyDescent="0.25">
      <c r="A860" s="31">
        <v>67114</v>
      </c>
      <c r="B860" s="14">
        <f>142.9362 * CHOOSE(CONTROL!$C$9, $D$9, 100%, $F$9) + CHOOSE(CONTROL!$C$27, 0.0021, 0)</f>
        <v>142.93830000000003</v>
      </c>
      <c r="C860" s="14">
        <f>142.504 * CHOOSE(CONTROL!$C$9, $D$9, 100%, $F$9) + CHOOSE(CONTROL!$C$27, 0.0021, 0)</f>
        <v>142.5061</v>
      </c>
      <c r="D860" s="14">
        <f>142.504 * CHOOSE(CONTROL!$C$9, $D$9, 100%, $F$9) + CHOOSE(CONTROL!$C$27, 0.0021, 0)</f>
        <v>142.5061</v>
      </c>
      <c r="E860" s="14">
        <f>142.3673 * CHOOSE(CONTROL!$C$9, $D$9, 100%, $F$9) + CHOOSE(CONTROL!$C$27, 0.0021, 0)</f>
        <v>142.36940000000001</v>
      </c>
      <c r="F860" s="14">
        <f>142.3673 * CHOOSE(CONTROL!$C$9, $D$9, 100%, $F$9) + CHOOSE(CONTROL!$C$27, 0.0021, 0)</f>
        <v>142.36940000000001</v>
      </c>
      <c r="G860" s="14">
        <f>142.6387 * CHOOSE(CONTROL!$C$9, $D$9, 100%, $F$9) + CHOOSE(CONTROL!$C$27, 0.0021, 0)</f>
        <v>142.64080000000001</v>
      </c>
      <c r="H860" s="14">
        <f>142.504 * CHOOSE(CONTROL!$C$9, $D$9, 100%, $F$9) + CHOOSE(CONTROL!$C$27, 0.0021, 0)</f>
        <v>142.5061</v>
      </c>
      <c r="I860" s="14">
        <f>142.504 * CHOOSE(CONTROL!$C$9, $D$9, 100%, $F$9) + CHOOSE(CONTROL!$C$27, 0.0021, 0)</f>
        <v>142.5061</v>
      </c>
      <c r="J860" s="14">
        <f>142.504 * CHOOSE(CONTROL!$C$9, $D$9, 100%, $F$9) + CHOOSE(CONTROL!$C$27, 0.0021, 0)</f>
        <v>142.5061</v>
      </c>
      <c r="K860" s="14">
        <f>142.504 * CHOOSE(CONTROL!$C$9, $D$9, 100%, $F$9) + CHOOSE(CONTROL!$C$27, 0.0021, 0)</f>
        <v>142.5061</v>
      </c>
      <c r="L860" s="14"/>
    </row>
    <row r="861" spans="1:12" ht="15.75" x14ac:dyDescent="0.25">
      <c r="A861" s="31">
        <v>67145</v>
      </c>
      <c r="B861" s="14">
        <f>138.0726 * CHOOSE(CONTROL!$C$9, $D$9, 100%, $F$9) + CHOOSE(CONTROL!$C$27, 0.0021, 0)</f>
        <v>138.07470000000001</v>
      </c>
      <c r="C861" s="14">
        <f>137.6404 * CHOOSE(CONTROL!$C$9, $D$9, 100%, $F$9) + CHOOSE(CONTROL!$C$27, 0.0021, 0)</f>
        <v>137.64250000000001</v>
      </c>
      <c r="D861" s="14">
        <f>137.6404 * CHOOSE(CONTROL!$C$9, $D$9, 100%, $F$9) + CHOOSE(CONTROL!$C$27, 0.0021, 0)</f>
        <v>137.64250000000001</v>
      </c>
      <c r="E861" s="14">
        <f>137.5037 * CHOOSE(CONTROL!$C$9, $D$9, 100%, $F$9) + CHOOSE(CONTROL!$C$27, 0.0021, 0)</f>
        <v>137.50580000000002</v>
      </c>
      <c r="F861" s="14">
        <f>137.5037 * CHOOSE(CONTROL!$C$9, $D$9, 100%, $F$9) + CHOOSE(CONTROL!$C$27, 0.0021, 0)</f>
        <v>137.50580000000002</v>
      </c>
      <c r="G861" s="14">
        <f>137.7751 * CHOOSE(CONTROL!$C$9, $D$9, 100%, $F$9) + CHOOSE(CONTROL!$C$27, 0.0021, 0)</f>
        <v>137.77720000000002</v>
      </c>
      <c r="H861" s="14">
        <f>137.6404 * CHOOSE(CONTROL!$C$9, $D$9, 100%, $F$9) + CHOOSE(CONTROL!$C$27, 0.0021, 0)</f>
        <v>137.64250000000001</v>
      </c>
      <c r="I861" s="14">
        <f>137.6404 * CHOOSE(CONTROL!$C$9, $D$9, 100%, $F$9) + CHOOSE(CONTROL!$C$27, 0.0021, 0)</f>
        <v>137.64250000000001</v>
      </c>
      <c r="J861" s="14">
        <f>137.6404 * CHOOSE(CONTROL!$C$9, $D$9, 100%, $F$9) + CHOOSE(CONTROL!$C$27, 0.0021, 0)</f>
        <v>137.64250000000001</v>
      </c>
      <c r="K861" s="14">
        <f>137.6404 * CHOOSE(CONTROL!$C$9, $D$9, 100%, $F$9) + CHOOSE(CONTROL!$C$27, 0.0021, 0)</f>
        <v>137.64250000000001</v>
      </c>
      <c r="L861" s="14"/>
    </row>
    <row r="862" spans="1:12" ht="15.75" x14ac:dyDescent="0.25">
      <c r="A862" s="31">
        <v>67175</v>
      </c>
      <c r="B862" s="14">
        <f>137.1051 * CHOOSE(CONTROL!$C$9, $D$9, 100%, $F$9) + CHOOSE(CONTROL!$C$27, 0.0021, 0)</f>
        <v>137.10720000000001</v>
      </c>
      <c r="C862" s="14">
        <f>136.6729 * CHOOSE(CONTROL!$C$9, $D$9, 100%, $F$9) + CHOOSE(CONTROL!$C$27, 0.0021, 0)</f>
        <v>136.67500000000001</v>
      </c>
      <c r="D862" s="14">
        <f>136.6729 * CHOOSE(CONTROL!$C$9, $D$9, 100%, $F$9) + CHOOSE(CONTROL!$C$27, 0.0021, 0)</f>
        <v>136.67500000000001</v>
      </c>
      <c r="E862" s="14">
        <f>136.5362 * CHOOSE(CONTROL!$C$9, $D$9, 100%, $F$9) + CHOOSE(CONTROL!$C$27, 0.0021, 0)</f>
        <v>136.53830000000002</v>
      </c>
      <c r="F862" s="14">
        <f>136.5362 * CHOOSE(CONTROL!$C$9, $D$9, 100%, $F$9) + CHOOSE(CONTROL!$C$27, 0.0021, 0)</f>
        <v>136.53830000000002</v>
      </c>
      <c r="G862" s="14">
        <f>136.8076 * CHOOSE(CONTROL!$C$9, $D$9, 100%, $F$9) + CHOOSE(CONTROL!$C$27, 0.0021, 0)</f>
        <v>136.80970000000002</v>
      </c>
      <c r="H862" s="14">
        <f>136.6729 * CHOOSE(CONTROL!$C$9, $D$9, 100%, $F$9) + CHOOSE(CONTROL!$C$27, 0.0021, 0)</f>
        <v>136.67500000000001</v>
      </c>
      <c r="I862" s="14">
        <f>136.6729 * CHOOSE(CONTROL!$C$9, $D$9, 100%, $F$9) + CHOOSE(CONTROL!$C$27, 0.0021, 0)</f>
        <v>136.67500000000001</v>
      </c>
      <c r="J862" s="14">
        <f>136.6729 * CHOOSE(CONTROL!$C$9, $D$9, 100%, $F$9) + CHOOSE(CONTROL!$C$27, 0.0021, 0)</f>
        <v>136.67500000000001</v>
      </c>
      <c r="K862" s="14">
        <f>136.6729 * CHOOSE(CONTROL!$C$9, $D$9, 100%, $F$9) + CHOOSE(CONTROL!$C$27, 0.0021, 0)</f>
        <v>136.67500000000001</v>
      </c>
      <c r="L862" s="14"/>
    </row>
    <row r="863" spans="1:12" ht="15.75" x14ac:dyDescent="0.25">
      <c r="A863" s="31">
        <v>67206</v>
      </c>
      <c r="B863" s="14">
        <f>133.1046 * CHOOSE(CONTROL!$C$9, $D$9, 100%, $F$9) + CHOOSE(CONTROL!$C$27, 0.0021, 0)</f>
        <v>133.10670000000002</v>
      </c>
      <c r="C863" s="14">
        <f>132.6723 * CHOOSE(CONTROL!$C$9, $D$9, 100%, $F$9) + CHOOSE(CONTROL!$C$27, 0.0021, 0)</f>
        <v>132.67440000000002</v>
      </c>
      <c r="D863" s="14">
        <f>132.6723 * CHOOSE(CONTROL!$C$9, $D$9, 100%, $F$9) + CHOOSE(CONTROL!$C$27, 0.0021, 0)</f>
        <v>132.67440000000002</v>
      </c>
      <c r="E863" s="14">
        <f>132.5356 * CHOOSE(CONTROL!$C$9, $D$9, 100%, $F$9) + CHOOSE(CONTROL!$C$27, 0.0021, 0)</f>
        <v>132.5377</v>
      </c>
      <c r="F863" s="14">
        <f>132.5356 * CHOOSE(CONTROL!$C$9, $D$9, 100%, $F$9) + CHOOSE(CONTROL!$C$27, 0.0021, 0)</f>
        <v>132.5377</v>
      </c>
      <c r="G863" s="14">
        <f>132.807 * CHOOSE(CONTROL!$C$9, $D$9, 100%, $F$9) + CHOOSE(CONTROL!$C$27, 0.0021, 0)</f>
        <v>132.8091</v>
      </c>
      <c r="H863" s="14">
        <f>132.6723 * CHOOSE(CONTROL!$C$9, $D$9, 100%, $F$9) + CHOOSE(CONTROL!$C$27, 0.0021, 0)</f>
        <v>132.67440000000002</v>
      </c>
      <c r="I863" s="14">
        <f>132.6723 * CHOOSE(CONTROL!$C$9, $D$9, 100%, $F$9) + CHOOSE(CONTROL!$C$27, 0.0021, 0)</f>
        <v>132.67440000000002</v>
      </c>
      <c r="J863" s="14">
        <f>132.6723 * CHOOSE(CONTROL!$C$9, $D$9, 100%, $F$9) + CHOOSE(CONTROL!$C$27, 0.0021, 0)</f>
        <v>132.67440000000002</v>
      </c>
      <c r="K863" s="14">
        <f>132.6723 * CHOOSE(CONTROL!$C$9, $D$9, 100%, $F$9) + CHOOSE(CONTROL!$C$27, 0.0021, 0)</f>
        <v>132.67440000000002</v>
      </c>
      <c r="L863" s="14"/>
    </row>
    <row r="864" spans="1:12" ht="15.75" x14ac:dyDescent="0.25">
      <c r="A864" s="31">
        <v>67237</v>
      </c>
      <c r="B864" s="14">
        <f>132.3257 * CHOOSE(CONTROL!$C$9, $D$9, 100%, $F$9) + CHOOSE(CONTROL!$C$27, 0.0021, 0)</f>
        <v>132.32780000000002</v>
      </c>
      <c r="C864" s="14">
        <f>131.8934 * CHOOSE(CONTROL!$C$9, $D$9, 100%, $F$9) + CHOOSE(CONTROL!$C$27, 0.0021, 0)</f>
        <v>131.89550000000003</v>
      </c>
      <c r="D864" s="14">
        <f>131.8934 * CHOOSE(CONTROL!$C$9, $D$9, 100%, $F$9) + CHOOSE(CONTROL!$C$27, 0.0021, 0)</f>
        <v>131.89550000000003</v>
      </c>
      <c r="E864" s="14">
        <f>131.7568 * CHOOSE(CONTROL!$C$9, $D$9, 100%, $F$9) + CHOOSE(CONTROL!$C$27, 0.0021, 0)</f>
        <v>131.75890000000001</v>
      </c>
      <c r="F864" s="14">
        <f>131.7568 * CHOOSE(CONTROL!$C$9, $D$9, 100%, $F$9) + CHOOSE(CONTROL!$C$27, 0.0021, 0)</f>
        <v>131.75890000000001</v>
      </c>
      <c r="G864" s="14">
        <f>132.0282 * CHOOSE(CONTROL!$C$9, $D$9, 100%, $F$9) + CHOOSE(CONTROL!$C$27, 0.0021, 0)</f>
        <v>132.03030000000001</v>
      </c>
      <c r="H864" s="14">
        <f>131.8934 * CHOOSE(CONTROL!$C$9, $D$9, 100%, $F$9) + CHOOSE(CONTROL!$C$27, 0.0021, 0)</f>
        <v>131.89550000000003</v>
      </c>
      <c r="I864" s="14">
        <f>131.8934 * CHOOSE(CONTROL!$C$9, $D$9, 100%, $F$9) + CHOOSE(CONTROL!$C$27, 0.0021, 0)</f>
        <v>131.89550000000003</v>
      </c>
      <c r="J864" s="14">
        <f>131.8934 * CHOOSE(CONTROL!$C$9, $D$9, 100%, $F$9) + CHOOSE(CONTROL!$C$27, 0.0021, 0)</f>
        <v>131.89550000000003</v>
      </c>
      <c r="K864" s="14">
        <f>131.8934 * CHOOSE(CONTROL!$C$9, $D$9, 100%, $F$9) + CHOOSE(CONTROL!$C$27, 0.0021, 0)</f>
        <v>131.89550000000003</v>
      </c>
      <c r="L864" s="14"/>
    </row>
    <row r="865" spans="1:12" ht="15.75" x14ac:dyDescent="0.25">
      <c r="A865" s="31">
        <v>67266</v>
      </c>
      <c r="B865" s="14">
        <f>131.9642 * CHOOSE(CONTROL!$C$9, $D$9, 100%, $F$9) + CHOOSE(CONTROL!$C$27, 0.0021, 0)</f>
        <v>131.96630000000002</v>
      </c>
      <c r="C865" s="14">
        <f>131.532 * CHOOSE(CONTROL!$C$9, $D$9, 100%, $F$9) + CHOOSE(CONTROL!$C$27, 0.0021, 0)</f>
        <v>131.53410000000002</v>
      </c>
      <c r="D865" s="14">
        <f>131.532 * CHOOSE(CONTROL!$C$9, $D$9, 100%, $F$9) + CHOOSE(CONTROL!$C$27, 0.0021, 0)</f>
        <v>131.53410000000002</v>
      </c>
      <c r="E865" s="14">
        <f>131.3953 * CHOOSE(CONTROL!$C$9, $D$9, 100%, $F$9) + CHOOSE(CONTROL!$C$27, 0.0021, 0)</f>
        <v>131.3974</v>
      </c>
      <c r="F865" s="14">
        <f>131.3953 * CHOOSE(CONTROL!$C$9, $D$9, 100%, $F$9) + CHOOSE(CONTROL!$C$27, 0.0021, 0)</f>
        <v>131.3974</v>
      </c>
      <c r="G865" s="14">
        <f>131.6667 * CHOOSE(CONTROL!$C$9, $D$9, 100%, $F$9) + CHOOSE(CONTROL!$C$27, 0.0021, 0)</f>
        <v>131.6688</v>
      </c>
      <c r="H865" s="14">
        <f>131.532 * CHOOSE(CONTROL!$C$9, $D$9, 100%, $F$9) + CHOOSE(CONTROL!$C$27, 0.0021, 0)</f>
        <v>131.53410000000002</v>
      </c>
      <c r="I865" s="14">
        <f>131.532 * CHOOSE(CONTROL!$C$9, $D$9, 100%, $F$9) + CHOOSE(CONTROL!$C$27, 0.0021, 0)</f>
        <v>131.53410000000002</v>
      </c>
      <c r="J865" s="14">
        <f>131.532 * CHOOSE(CONTROL!$C$9, $D$9, 100%, $F$9) + CHOOSE(CONTROL!$C$27, 0.0021, 0)</f>
        <v>131.53410000000002</v>
      </c>
      <c r="K865" s="14">
        <f>131.532 * CHOOSE(CONTROL!$C$9, $D$9, 100%, $F$9) + CHOOSE(CONTROL!$C$27, 0.0021, 0)</f>
        <v>131.53410000000002</v>
      </c>
      <c r="L865" s="14"/>
    </row>
    <row r="866" spans="1:12" ht="15.75" x14ac:dyDescent="0.25">
      <c r="A866" s="31">
        <v>67297</v>
      </c>
      <c r="B866" s="14">
        <f>138.7987 * CHOOSE(CONTROL!$C$9, $D$9, 100%, $F$9) + CHOOSE(CONTROL!$C$27, 0.0021, 0)</f>
        <v>138.80080000000001</v>
      </c>
      <c r="C866" s="14">
        <f>138.3664 * CHOOSE(CONTROL!$C$9, $D$9, 100%, $F$9) + CHOOSE(CONTROL!$C$27, 0.0021, 0)</f>
        <v>138.36850000000001</v>
      </c>
      <c r="D866" s="14">
        <f>138.3664 * CHOOSE(CONTROL!$C$9, $D$9, 100%, $F$9) + CHOOSE(CONTROL!$C$27, 0.0021, 0)</f>
        <v>138.36850000000001</v>
      </c>
      <c r="E866" s="14">
        <f>138.2298 * CHOOSE(CONTROL!$C$9, $D$9, 100%, $F$9) + CHOOSE(CONTROL!$C$27, 0.0021, 0)</f>
        <v>138.23190000000002</v>
      </c>
      <c r="F866" s="14">
        <f>138.2298 * CHOOSE(CONTROL!$C$9, $D$9, 100%, $F$9) + CHOOSE(CONTROL!$C$27, 0.0021, 0)</f>
        <v>138.23190000000002</v>
      </c>
      <c r="G866" s="14">
        <f>138.5012 * CHOOSE(CONTROL!$C$9, $D$9, 100%, $F$9) + CHOOSE(CONTROL!$C$27, 0.0021, 0)</f>
        <v>138.50330000000002</v>
      </c>
      <c r="H866" s="14">
        <f>138.3664 * CHOOSE(CONTROL!$C$9, $D$9, 100%, $F$9) + CHOOSE(CONTROL!$C$27, 0.0021, 0)</f>
        <v>138.36850000000001</v>
      </c>
      <c r="I866" s="14">
        <f>138.3664 * CHOOSE(CONTROL!$C$9, $D$9, 100%, $F$9) + CHOOSE(CONTROL!$C$27, 0.0021, 0)</f>
        <v>138.36850000000001</v>
      </c>
      <c r="J866" s="14">
        <f>138.3664 * CHOOSE(CONTROL!$C$9, $D$9, 100%, $F$9) + CHOOSE(CONTROL!$C$27, 0.0021, 0)</f>
        <v>138.36850000000001</v>
      </c>
      <c r="K866" s="14">
        <f>138.3664 * CHOOSE(CONTROL!$C$9, $D$9, 100%, $F$9) + CHOOSE(CONTROL!$C$27, 0.0021, 0)</f>
        <v>138.36850000000001</v>
      </c>
      <c r="L866" s="14"/>
    </row>
    <row r="867" spans="1:12" ht="15.75" x14ac:dyDescent="0.25">
      <c r="A867" s="31">
        <v>67327</v>
      </c>
      <c r="B867" s="14">
        <f>147.6613 * CHOOSE(CONTROL!$C$9, $D$9, 100%, $F$9) + CHOOSE(CONTROL!$C$27, 0.0021, 0)</f>
        <v>147.66340000000002</v>
      </c>
      <c r="C867" s="14">
        <f>147.2291 * CHOOSE(CONTROL!$C$9, $D$9, 100%, $F$9) + CHOOSE(CONTROL!$C$27, 0.0021, 0)</f>
        <v>147.2312</v>
      </c>
      <c r="D867" s="14">
        <f>147.2291 * CHOOSE(CONTROL!$C$9, $D$9, 100%, $F$9) + CHOOSE(CONTROL!$C$27, 0.0021, 0)</f>
        <v>147.2312</v>
      </c>
      <c r="E867" s="14">
        <f>147.0924 * CHOOSE(CONTROL!$C$9, $D$9, 100%, $F$9) + CHOOSE(CONTROL!$C$27, 0.0021, 0)</f>
        <v>147.09450000000001</v>
      </c>
      <c r="F867" s="14">
        <f>147.0924 * CHOOSE(CONTROL!$C$9, $D$9, 100%, $F$9) + CHOOSE(CONTROL!$C$27, 0.0021, 0)</f>
        <v>147.09450000000001</v>
      </c>
      <c r="G867" s="14">
        <f>147.3638 * CHOOSE(CONTROL!$C$9, $D$9, 100%, $F$9) + CHOOSE(CONTROL!$C$27, 0.0021, 0)</f>
        <v>147.36590000000001</v>
      </c>
      <c r="H867" s="14">
        <f>147.2291 * CHOOSE(CONTROL!$C$9, $D$9, 100%, $F$9) + CHOOSE(CONTROL!$C$27, 0.0021, 0)</f>
        <v>147.2312</v>
      </c>
      <c r="I867" s="14">
        <f>147.2291 * CHOOSE(CONTROL!$C$9, $D$9, 100%, $F$9) + CHOOSE(CONTROL!$C$27, 0.0021, 0)</f>
        <v>147.2312</v>
      </c>
      <c r="J867" s="14">
        <f>147.2291 * CHOOSE(CONTROL!$C$9, $D$9, 100%, $F$9) + CHOOSE(CONTROL!$C$27, 0.0021, 0)</f>
        <v>147.2312</v>
      </c>
      <c r="K867" s="14">
        <f>147.2291 * CHOOSE(CONTROL!$C$9, $D$9, 100%, $F$9) + CHOOSE(CONTROL!$C$27, 0.0021, 0)</f>
        <v>147.2312</v>
      </c>
      <c r="L867" s="14"/>
    </row>
    <row r="868" spans="1:12" ht="15.75" x14ac:dyDescent="0.25">
      <c r="A868" s="31">
        <v>67358</v>
      </c>
      <c r="B868" s="14">
        <f>152.5396 * CHOOSE(CONTROL!$C$9, $D$9, 100%, $F$9) + CHOOSE(CONTROL!$C$27, 0.0021, 0)</f>
        <v>152.54170000000002</v>
      </c>
      <c r="C868" s="14">
        <f>152.1074 * CHOOSE(CONTROL!$C$9, $D$9, 100%, $F$9) + CHOOSE(CONTROL!$C$27, 0.0021, 0)</f>
        <v>152.10950000000003</v>
      </c>
      <c r="D868" s="14">
        <f>152.1074 * CHOOSE(CONTROL!$C$9, $D$9, 100%, $F$9) + CHOOSE(CONTROL!$C$27, 0.0021, 0)</f>
        <v>152.10950000000003</v>
      </c>
      <c r="E868" s="14">
        <f>151.9707 * CHOOSE(CONTROL!$C$9, $D$9, 100%, $F$9) + CHOOSE(CONTROL!$C$27, 0.0021, 0)</f>
        <v>151.97280000000001</v>
      </c>
      <c r="F868" s="14">
        <f>151.9707 * CHOOSE(CONTROL!$C$9, $D$9, 100%, $F$9) + CHOOSE(CONTROL!$C$27, 0.0021, 0)</f>
        <v>151.97280000000001</v>
      </c>
      <c r="G868" s="14">
        <f>152.2421 * CHOOSE(CONTROL!$C$9, $D$9, 100%, $F$9) + CHOOSE(CONTROL!$C$27, 0.0021, 0)</f>
        <v>152.24420000000001</v>
      </c>
      <c r="H868" s="14">
        <f>152.1074 * CHOOSE(CONTROL!$C$9, $D$9, 100%, $F$9) + CHOOSE(CONTROL!$C$27, 0.0021, 0)</f>
        <v>152.10950000000003</v>
      </c>
      <c r="I868" s="14">
        <f>152.1074 * CHOOSE(CONTROL!$C$9, $D$9, 100%, $F$9) + CHOOSE(CONTROL!$C$27, 0.0021, 0)</f>
        <v>152.10950000000003</v>
      </c>
      <c r="J868" s="14">
        <f>152.1074 * CHOOSE(CONTROL!$C$9, $D$9, 100%, $F$9) + CHOOSE(CONTROL!$C$27, 0.0021, 0)</f>
        <v>152.10950000000003</v>
      </c>
      <c r="K868" s="14">
        <f>152.1074 * CHOOSE(CONTROL!$C$9, $D$9, 100%, $F$9) + CHOOSE(CONTROL!$C$27, 0.0021, 0)</f>
        <v>152.10950000000003</v>
      </c>
      <c r="L868" s="14"/>
    </row>
    <row r="869" spans="1:12" ht="15.75" x14ac:dyDescent="0.25">
      <c r="A869" s="31">
        <v>67388</v>
      </c>
      <c r="B869" s="14">
        <f>154.7045 * CHOOSE(CONTROL!$C$9, $D$9, 100%, $F$9) + CHOOSE(CONTROL!$C$27, 0.0021, 0)</f>
        <v>154.70660000000001</v>
      </c>
      <c r="C869" s="14">
        <f>154.2723 * CHOOSE(CONTROL!$C$9, $D$9, 100%, $F$9) + CHOOSE(CONTROL!$C$27, 0.0021, 0)</f>
        <v>154.27440000000001</v>
      </c>
      <c r="D869" s="14">
        <f>154.2723 * CHOOSE(CONTROL!$C$9, $D$9, 100%, $F$9) + CHOOSE(CONTROL!$C$27, 0.0021, 0)</f>
        <v>154.27440000000001</v>
      </c>
      <c r="E869" s="14">
        <f>154.1356 * CHOOSE(CONTROL!$C$9, $D$9, 100%, $F$9) + CHOOSE(CONTROL!$C$27, 0.0021, 0)</f>
        <v>154.13770000000002</v>
      </c>
      <c r="F869" s="14">
        <f>154.1356 * CHOOSE(CONTROL!$C$9, $D$9, 100%, $F$9) + CHOOSE(CONTROL!$C$27, 0.0021, 0)</f>
        <v>154.13770000000002</v>
      </c>
      <c r="G869" s="14">
        <f>154.407 * CHOOSE(CONTROL!$C$9, $D$9, 100%, $F$9) + CHOOSE(CONTROL!$C$27, 0.0021, 0)</f>
        <v>154.40910000000002</v>
      </c>
      <c r="H869" s="14">
        <f>154.2723 * CHOOSE(CONTROL!$C$9, $D$9, 100%, $F$9) + CHOOSE(CONTROL!$C$27, 0.0021, 0)</f>
        <v>154.27440000000001</v>
      </c>
      <c r="I869" s="14">
        <f>154.2723 * CHOOSE(CONTROL!$C$9, $D$9, 100%, $F$9) + CHOOSE(CONTROL!$C$27, 0.0021, 0)</f>
        <v>154.27440000000001</v>
      </c>
      <c r="J869" s="14">
        <f>154.2723 * CHOOSE(CONTROL!$C$9, $D$9, 100%, $F$9) + CHOOSE(CONTROL!$C$27, 0.0021, 0)</f>
        <v>154.27440000000001</v>
      </c>
      <c r="K869" s="14">
        <f>154.2723 * CHOOSE(CONTROL!$C$9, $D$9, 100%, $F$9) + CHOOSE(CONTROL!$C$27, 0.0021, 0)</f>
        <v>154.27440000000001</v>
      </c>
      <c r="L869" s="14"/>
    </row>
    <row r="870" spans="1:12" ht="15.75" x14ac:dyDescent="0.25">
      <c r="A870" s="31">
        <v>67419</v>
      </c>
      <c r="B870" s="14">
        <f>153.9918 * CHOOSE(CONTROL!$C$9, $D$9, 100%, $F$9) + CHOOSE(CONTROL!$C$27, 0.0021, 0)</f>
        <v>153.99390000000002</v>
      </c>
      <c r="C870" s="14">
        <f>153.5595 * CHOOSE(CONTROL!$C$9, $D$9, 100%, $F$9) + CHOOSE(CONTROL!$C$27, 0.0021, 0)</f>
        <v>153.56160000000003</v>
      </c>
      <c r="D870" s="14">
        <f>153.5595 * CHOOSE(CONTROL!$C$9, $D$9, 100%, $F$9) + CHOOSE(CONTROL!$C$27, 0.0021, 0)</f>
        <v>153.56160000000003</v>
      </c>
      <c r="E870" s="14">
        <f>153.4229 * CHOOSE(CONTROL!$C$9, $D$9, 100%, $F$9) + CHOOSE(CONTROL!$C$27, 0.0021, 0)</f>
        <v>153.42500000000001</v>
      </c>
      <c r="F870" s="14">
        <f>153.4229 * CHOOSE(CONTROL!$C$9, $D$9, 100%, $F$9) + CHOOSE(CONTROL!$C$27, 0.0021, 0)</f>
        <v>153.42500000000001</v>
      </c>
      <c r="G870" s="14">
        <f>153.6942 * CHOOSE(CONTROL!$C$9, $D$9, 100%, $F$9) + CHOOSE(CONTROL!$C$27, 0.0021, 0)</f>
        <v>153.69630000000001</v>
      </c>
      <c r="H870" s="14">
        <f>153.5595 * CHOOSE(CONTROL!$C$9, $D$9, 100%, $F$9) + CHOOSE(CONTROL!$C$27, 0.0021, 0)</f>
        <v>153.56160000000003</v>
      </c>
      <c r="I870" s="14">
        <f>153.5595 * CHOOSE(CONTROL!$C$9, $D$9, 100%, $F$9) + CHOOSE(CONTROL!$C$27, 0.0021, 0)</f>
        <v>153.56160000000003</v>
      </c>
      <c r="J870" s="14">
        <f>153.5595 * CHOOSE(CONTROL!$C$9, $D$9, 100%, $F$9) + CHOOSE(CONTROL!$C$27, 0.0021, 0)</f>
        <v>153.56160000000003</v>
      </c>
      <c r="K870" s="14">
        <f>153.5595 * CHOOSE(CONTROL!$C$9, $D$9, 100%, $F$9) + CHOOSE(CONTROL!$C$27, 0.0021, 0)</f>
        <v>153.56160000000003</v>
      </c>
      <c r="L870" s="14"/>
    </row>
    <row r="871" spans="1:12" ht="15.75" x14ac:dyDescent="0.25">
      <c r="A871" s="31">
        <v>67450</v>
      </c>
      <c r="B871" s="14">
        <f>150.4603 * CHOOSE(CONTROL!$C$9, $D$9, 100%, $F$9) + CHOOSE(CONTROL!$C$27, 0.0021, 0)</f>
        <v>150.4624</v>
      </c>
      <c r="C871" s="14">
        <f>150.028 * CHOOSE(CONTROL!$C$9, $D$9, 100%, $F$9) + CHOOSE(CONTROL!$C$27, 0.0021, 0)</f>
        <v>150.0301</v>
      </c>
      <c r="D871" s="14">
        <f>150.028 * CHOOSE(CONTROL!$C$9, $D$9, 100%, $F$9) + CHOOSE(CONTROL!$C$27, 0.0021, 0)</f>
        <v>150.0301</v>
      </c>
      <c r="E871" s="14">
        <f>149.8914 * CHOOSE(CONTROL!$C$9, $D$9, 100%, $F$9) + CHOOSE(CONTROL!$C$27, 0.0021, 0)</f>
        <v>149.89350000000002</v>
      </c>
      <c r="F871" s="14">
        <f>149.8914 * CHOOSE(CONTROL!$C$9, $D$9, 100%, $F$9) + CHOOSE(CONTROL!$C$27, 0.0021, 0)</f>
        <v>149.89350000000002</v>
      </c>
      <c r="G871" s="14">
        <f>150.1627 * CHOOSE(CONTROL!$C$9, $D$9, 100%, $F$9) + CHOOSE(CONTROL!$C$27, 0.0021, 0)</f>
        <v>150.16480000000001</v>
      </c>
      <c r="H871" s="14">
        <f>150.028 * CHOOSE(CONTROL!$C$9, $D$9, 100%, $F$9) + CHOOSE(CONTROL!$C$27, 0.0021, 0)</f>
        <v>150.0301</v>
      </c>
      <c r="I871" s="14">
        <f>150.028 * CHOOSE(CONTROL!$C$9, $D$9, 100%, $F$9) + CHOOSE(CONTROL!$C$27, 0.0021, 0)</f>
        <v>150.0301</v>
      </c>
      <c r="J871" s="14">
        <f>150.028 * CHOOSE(CONTROL!$C$9, $D$9, 100%, $F$9) + CHOOSE(CONTROL!$C$27, 0.0021, 0)</f>
        <v>150.0301</v>
      </c>
      <c r="K871" s="14">
        <f>150.028 * CHOOSE(CONTROL!$C$9, $D$9, 100%, $F$9) + CHOOSE(CONTROL!$C$27, 0.0021, 0)</f>
        <v>150.0301</v>
      </c>
      <c r="L871" s="14"/>
    </row>
    <row r="872" spans="1:12" ht="15.75" x14ac:dyDescent="0.25">
      <c r="A872" s="31">
        <v>67480</v>
      </c>
      <c r="B872" s="14">
        <f>145.5354 * CHOOSE(CONTROL!$C$9, $D$9, 100%, $F$9) + CHOOSE(CONTROL!$C$27, 0.0021, 0)</f>
        <v>145.53750000000002</v>
      </c>
      <c r="C872" s="14">
        <f>145.1032 * CHOOSE(CONTROL!$C$9, $D$9, 100%, $F$9) + CHOOSE(CONTROL!$C$27, 0.0021, 0)</f>
        <v>145.1053</v>
      </c>
      <c r="D872" s="14">
        <f>145.1032 * CHOOSE(CONTROL!$C$9, $D$9, 100%, $F$9) + CHOOSE(CONTROL!$C$27, 0.0021, 0)</f>
        <v>145.1053</v>
      </c>
      <c r="E872" s="14">
        <f>144.9665 * CHOOSE(CONTROL!$C$9, $D$9, 100%, $F$9) + CHOOSE(CONTROL!$C$27, 0.0021, 0)</f>
        <v>144.96860000000001</v>
      </c>
      <c r="F872" s="14">
        <f>144.9665 * CHOOSE(CONTROL!$C$9, $D$9, 100%, $F$9) + CHOOSE(CONTROL!$C$27, 0.0021, 0)</f>
        <v>144.96860000000001</v>
      </c>
      <c r="G872" s="14">
        <f>145.2379 * CHOOSE(CONTROL!$C$9, $D$9, 100%, $F$9) + CHOOSE(CONTROL!$C$27, 0.0021, 0)</f>
        <v>145.24</v>
      </c>
      <c r="H872" s="14">
        <f>145.1032 * CHOOSE(CONTROL!$C$9, $D$9, 100%, $F$9) + CHOOSE(CONTROL!$C$27, 0.0021, 0)</f>
        <v>145.1053</v>
      </c>
      <c r="I872" s="14">
        <f>145.1032 * CHOOSE(CONTROL!$C$9, $D$9, 100%, $F$9) + CHOOSE(CONTROL!$C$27, 0.0021, 0)</f>
        <v>145.1053</v>
      </c>
      <c r="J872" s="14">
        <f>145.1032 * CHOOSE(CONTROL!$C$9, $D$9, 100%, $F$9) + CHOOSE(CONTROL!$C$27, 0.0021, 0)</f>
        <v>145.1053</v>
      </c>
      <c r="K872" s="14">
        <f>145.1032 * CHOOSE(CONTROL!$C$9, $D$9, 100%, $F$9) + CHOOSE(CONTROL!$C$27, 0.0021, 0)</f>
        <v>145.1053</v>
      </c>
      <c r="L872" s="14"/>
    </row>
    <row r="873" spans="1:12" ht="15.75" x14ac:dyDescent="0.25">
      <c r="A873" s="31">
        <v>67511</v>
      </c>
      <c r="B873" s="14">
        <f>140.5819 * CHOOSE(CONTROL!$C$9, $D$9, 100%, $F$9) + CHOOSE(CONTROL!$C$27, 0.0021, 0)</f>
        <v>140.584</v>
      </c>
      <c r="C873" s="14">
        <f>140.1497 * CHOOSE(CONTROL!$C$9, $D$9, 100%, $F$9) + CHOOSE(CONTROL!$C$27, 0.0021, 0)</f>
        <v>140.15180000000001</v>
      </c>
      <c r="D873" s="14">
        <f>140.1497 * CHOOSE(CONTROL!$C$9, $D$9, 100%, $F$9) + CHOOSE(CONTROL!$C$27, 0.0021, 0)</f>
        <v>140.15180000000001</v>
      </c>
      <c r="E873" s="14">
        <f>140.013 * CHOOSE(CONTROL!$C$9, $D$9, 100%, $F$9) + CHOOSE(CONTROL!$C$27, 0.0021, 0)</f>
        <v>140.01510000000002</v>
      </c>
      <c r="F873" s="14">
        <f>140.013 * CHOOSE(CONTROL!$C$9, $D$9, 100%, $F$9) + CHOOSE(CONTROL!$C$27, 0.0021, 0)</f>
        <v>140.01510000000002</v>
      </c>
      <c r="G873" s="14">
        <f>140.2844 * CHOOSE(CONTROL!$C$9, $D$9, 100%, $F$9) + CHOOSE(CONTROL!$C$27, 0.0021, 0)</f>
        <v>140.28650000000002</v>
      </c>
      <c r="H873" s="14">
        <f>140.1497 * CHOOSE(CONTROL!$C$9, $D$9, 100%, $F$9) + CHOOSE(CONTROL!$C$27, 0.0021, 0)</f>
        <v>140.15180000000001</v>
      </c>
      <c r="I873" s="14">
        <f>140.1497 * CHOOSE(CONTROL!$C$9, $D$9, 100%, $F$9) + CHOOSE(CONTROL!$C$27, 0.0021, 0)</f>
        <v>140.15180000000001</v>
      </c>
      <c r="J873" s="14">
        <f>140.1497 * CHOOSE(CONTROL!$C$9, $D$9, 100%, $F$9) + CHOOSE(CONTROL!$C$27, 0.0021, 0)</f>
        <v>140.15180000000001</v>
      </c>
      <c r="K873" s="14">
        <f>140.1497 * CHOOSE(CONTROL!$C$9, $D$9, 100%, $F$9) + CHOOSE(CONTROL!$C$27, 0.0021, 0)</f>
        <v>140.15180000000001</v>
      </c>
      <c r="L873" s="14"/>
    </row>
    <row r="874" spans="1:12" ht="15.75" x14ac:dyDescent="0.25">
      <c r="A874" s="31">
        <v>67541</v>
      </c>
      <c r="B874" s="14">
        <f>139.5966 * CHOOSE(CONTROL!$C$9, $D$9, 100%, $F$9) + CHOOSE(CONTROL!$C$27, 0.0021, 0)</f>
        <v>139.59870000000001</v>
      </c>
      <c r="C874" s="14">
        <f>139.1643 * CHOOSE(CONTROL!$C$9, $D$9, 100%, $F$9) + CHOOSE(CONTROL!$C$27, 0.0021, 0)</f>
        <v>139.16640000000001</v>
      </c>
      <c r="D874" s="14">
        <f>139.1643 * CHOOSE(CONTROL!$C$9, $D$9, 100%, $F$9) + CHOOSE(CONTROL!$C$27, 0.0021, 0)</f>
        <v>139.16640000000001</v>
      </c>
      <c r="E874" s="14">
        <f>139.0277 * CHOOSE(CONTROL!$C$9, $D$9, 100%, $F$9) + CHOOSE(CONTROL!$C$27, 0.0021, 0)</f>
        <v>139.02980000000002</v>
      </c>
      <c r="F874" s="14">
        <f>139.0277 * CHOOSE(CONTROL!$C$9, $D$9, 100%, $F$9) + CHOOSE(CONTROL!$C$27, 0.0021, 0)</f>
        <v>139.02980000000002</v>
      </c>
      <c r="G874" s="14">
        <f>139.299 * CHOOSE(CONTROL!$C$9, $D$9, 100%, $F$9) + CHOOSE(CONTROL!$C$27, 0.0021, 0)</f>
        <v>139.30110000000002</v>
      </c>
      <c r="H874" s="14">
        <f>139.1643 * CHOOSE(CONTROL!$C$9, $D$9, 100%, $F$9) + CHOOSE(CONTROL!$C$27, 0.0021, 0)</f>
        <v>139.16640000000001</v>
      </c>
      <c r="I874" s="14">
        <f>139.1643 * CHOOSE(CONTROL!$C$9, $D$9, 100%, $F$9) + CHOOSE(CONTROL!$C$27, 0.0021, 0)</f>
        <v>139.16640000000001</v>
      </c>
      <c r="J874" s="14">
        <f>139.1643 * CHOOSE(CONTROL!$C$9, $D$9, 100%, $F$9) + CHOOSE(CONTROL!$C$27, 0.0021, 0)</f>
        <v>139.16640000000001</v>
      </c>
      <c r="K874" s="14">
        <f>139.1643 * CHOOSE(CONTROL!$C$9, $D$9, 100%, $F$9) + CHOOSE(CONTROL!$C$27, 0.0021, 0)</f>
        <v>139.16640000000001</v>
      </c>
      <c r="L874" s="14"/>
    </row>
    <row r="875" spans="1:12" ht="15.75" x14ac:dyDescent="0.25">
      <c r="A875" s="31">
        <v>67572</v>
      </c>
      <c r="B875" s="14">
        <f>135.5221 * CHOOSE(CONTROL!$C$9, $D$9, 100%, $F$9) + CHOOSE(CONTROL!$C$27, 0.0021, 0)</f>
        <v>135.52420000000001</v>
      </c>
      <c r="C875" s="14">
        <f>135.0898 * CHOOSE(CONTROL!$C$9, $D$9, 100%, $F$9) + CHOOSE(CONTROL!$C$27, 0.0021, 0)</f>
        <v>135.09190000000001</v>
      </c>
      <c r="D875" s="14">
        <f>135.0898 * CHOOSE(CONTROL!$C$9, $D$9, 100%, $F$9) + CHOOSE(CONTROL!$C$27, 0.0021, 0)</f>
        <v>135.09190000000001</v>
      </c>
      <c r="E875" s="14">
        <f>134.9532 * CHOOSE(CONTROL!$C$9, $D$9, 100%, $F$9) + CHOOSE(CONTROL!$C$27, 0.0021, 0)</f>
        <v>134.95530000000002</v>
      </c>
      <c r="F875" s="14">
        <f>134.9532 * CHOOSE(CONTROL!$C$9, $D$9, 100%, $F$9) + CHOOSE(CONTROL!$C$27, 0.0021, 0)</f>
        <v>134.95530000000002</v>
      </c>
      <c r="G875" s="14">
        <f>135.2245 * CHOOSE(CONTROL!$C$9, $D$9, 100%, $F$9) + CHOOSE(CONTROL!$C$27, 0.0021, 0)</f>
        <v>135.22660000000002</v>
      </c>
      <c r="H875" s="14">
        <f>135.0898 * CHOOSE(CONTROL!$C$9, $D$9, 100%, $F$9) + CHOOSE(CONTROL!$C$27, 0.0021, 0)</f>
        <v>135.09190000000001</v>
      </c>
      <c r="I875" s="14">
        <f>135.0898 * CHOOSE(CONTROL!$C$9, $D$9, 100%, $F$9) + CHOOSE(CONTROL!$C$27, 0.0021, 0)</f>
        <v>135.09190000000001</v>
      </c>
      <c r="J875" s="14">
        <f>135.0898 * CHOOSE(CONTROL!$C$9, $D$9, 100%, $F$9) + CHOOSE(CONTROL!$C$27, 0.0021, 0)</f>
        <v>135.09190000000001</v>
      </c>
      <c r="K875" s="14">
        <f>135.0898 * CHOOSE(CONTROL!$C$9, $D$9, 100%, $F$9) + CHOOSE(CONTROL!$C$27, 0.0021, 0)</f>
        <v>135.09190000000001</v>
      </c>
      <c r="L875" s="14"/>
    </row>
    <row r="876" spans="1:12" ht="15.75" x14ac:dyDescent="0.25">
      <c r="A876" s="31">
        <v>67603</v>
      </c>
      <c r="B876" s="14">
        <f>134.7288 * CHOOSE(CONTROL!$C$9, $D$9, 100%, $F$9) + CHOOSE(CONTROL!$C$27, 0.0021, 0)</f>
        <v>134.73090000000002</v>
      </c>
      <c r="C876" s="14">
        <f>134.2965 * CHOOSE(CONTROL!$C$9, $D$9, 100%, $F$9) + CHOOSE(CONTROL!$C$27, 0.0021, 0)</f>
        <v>134.29860000000002</v>
      </c>
      <c r="D876" s="14">
        <f>134.2965 * CHOOSE(CONTROL!$C$9, $D$9, 100%, $F$9) + CHOOSE(CONTROL!$C$27, 0.0021, 0)</f>
        <v>134.29860000000002</v>
      </c>
      <c r="E876" s="14">
        <f>134.1599 * CHOOSE(CONTROL!$C$9, $D$9, 100%, $F$9) + CHOOSE(CONTROL!$C$27, 0.0021, 0)</f>
        <v>134.16200000000001</v>
      </c>
      <c r="F876" s="14">
        <f>134.1599 * CHOOSE(CONTROL!$C$9, $D$9, 100%, $F$9) + CHOOSE(CONTROL!$C$27, 0.0021, 0)</f>
        <v>134.16200000000001</v>
      </c>
      <c r="G876" s="14">
        <f>134.4313 * CHOOSE(CONTROL!$C$9, $D$9, 100%, $F$9) + CHOOSE(CONTROL!$C$27, 0.0021, 0)</f>
        <v>134.43340000000001</v>
      </c>
      <c r="H876" s="14">
        <f>134.2965 * CHOOSE(CONTROL!$C$9, $D$9, 100%, $F$9) + CHOOSE(CONTROL!$C$27, 0.0021, 0)</f>
        <v>134.29860000000002</v>
      </c>
      <c r="I876" s="14">
        <f>134.2965 * CHOOSE(CONTROL!$C$9, $D$9, 100%, $F$9) + CHOOSE(CONTROL!$C$27, 0.0021, 0)</f>
        <v>134.29860000000002</v>
      </c>
      <c r="J876" s="14">
        <f>134.2965 * CHOOSE(CONTROL!$C$9, $D$9, 100%, $F$9) + CHOOSE(CONTROL!$C$27, 0.0021, 0)</f>
        <v>134.29860000000002</v>
      </c>
      <c r="K876" s="14">
        <f>134.2965 * CHOOSE(CONTROL!$C$9, $D$9, 100%, $F$9) + CHOOSE(CONTROL!$C$27, 0.0021, 0)</f>
        <v>134.29860000000002</v>
      </c>
      <c r="L876" s="14"/>
    </row>
    <row r="877" spans="1:12" ht="15.75" x14ac:dyDescent="0.25">
      <c r="A877" s="31">
        <v>67631</v>
      </c>
      <c r="B877" s="14">
        <f>134.3607 * CHOOSE(CONTROL!$C$9, $D$9, 100%, $F$9) + CHOOSE(CONTROL!$C$27, 0.0021, 0)</f>
        <v>134.36280000000002</v>
      </c>
      <c r="C877" s="14">
        <f>133.9284 * CHOOSE(CONTROL!$C$9, $D$9, 100%, $F$9) + CHOOSE(CONTROL!$C$27, 0.0021, 0)</f>
        <v>133.93050000000002</v>
      </c>
      <c r="D877" s="14">
        <f>133.9284 * CHOOSE(CONTROL!$C$9, $D$9, 100%, $F$9) + CHOOSE(CONTROL!$C$27, 0.0021, 0)</f>
        <v>133.93050000000002</v>
      </c>
      <c r="E877" s="14">
        <f>133.7918 * CHOOSE(CONTROL!$C$9, $D$9, 100%, $F$9) + CHOOSE(CONTROL!$C$27, 0.0021, 0)</f>
        <v>133.79390000000001</v>
      </c>
      <c r="F877" s="14">
        <f>133.7918 * CHOOSE(CONTROL!$C$9, $D$9, 100%, $F$9) + CHOOSE(CONTROL!$C$27, 0.0021, 0)</f>
        <v>133.79390000000001</v>
      </c>
      <c r="G877" s="14">
        <f>134.0631 * CHOOSE(CONTROL!$C$9, $D$9, 100%, $F$9) + CHOOSE(CONTROL!$C$27, 0.0021, 0)</f>
        <v>134.0652</v>
      </c>
      <c r="H877" s="14">
        <f>133.9284 * CHOOSE(CONTROL!$C$9, $D$9, 100%, $F$9) + CHOOSE(CONTROL!$C$27, 0.0021, 0)</f>
        <v>133.93050000000002</v>
      </c>
      <c r="I877" s="14">
        <f>133.9284 * CHOOSE(CONTROL!$C$9, $D$9, 100%, $F$9) + CHOOSE(CONTROL!$C$27, 0.0021, 0)</f>
        <v>133.93050000000002</v>
      </c>
      <c r="J877" s="14">
        <f>133.9284 * CHOOSE(CONTROL!$C$9, $D$9, 100%, $F$9) + CHOOSE(CONTROL!$C$27, 0.0021, 0)</f>
        <v>133.93050000000002</v>
      </c>
      <c r="K877" s="14">
        <f>133.9284 * CHOOSE(CONTROL!$C$9, $D$9, 100%, $F$9) + CHOOSE(CONTROL!$C$27, 0.0021, 0)</f>
        <v>133.93050000000002</v>
      </c>
      <c r="L877" s="14"/>
    </row>
    <row r="878" spans="1:12" ht="15.75" x14ac:dyDescent="0.25">
      <c r="A878" s="31">
        <v>67662</v>
      </c>
      <c r="B878" s="14">
        <f>141.3214 * CHOOSE(CONTROL!$C$9, $D$9, 100%, $F$9) + CHOOSE(CONTROL!$C$27, 0.0021, 0)</f>
        <v>141.32350000000002</v>
      </c>
      <c r="C878" s="14">
        <f>140.8892 * CHOOSE(CONTROL!$C$9, $D$9, 100%, $F$9) + CHOOSE(CONTROL!$C$27, 0.0021, 0)</f>
        <v>140.8913</v>
      </c>
      <c r="D878" s="14">
        <f>140.8892 * CHOOSE(CONTROL!$C$9, $D$9, 100%, $F$9) + CHOOSE(CONTROL!$C$27, 0.0021, 0)</f>
        <v>140.8913</v>
      </c>
      <c r="E878" s="14">
        <f>140.7525 * CHOOSE(CONTROL!$C$9, $D$9, 100%, $F$9) + CHOOSE(CONTROL!$C$27, 0.0021, 0)</f>
        <v>140.75460000000001</v>
      </c>
      <c r="F878" s="14">
        <f>140.7525 * CHOOSE(CONTROL!$C$9, $D$9, 100%, $F$9) + CHOOSE(CONTROL!$C$27, 0.0021, 0)</f>
        <v>140.75460000000001</v>
      </c>
      <c r="G878" s="14">
        <f>141.0239 * CHOOSE(CONTROL!$C$9, $D$9, 100%, $F$9) + CHOOSE(CONTROL!$C$27, 0.0021, 0)</f>
        <v>141.02600000000001</v>
      </c>
      <c r="H878" s="14">
        <f>140.8892 * CHOOSE(CONTROL!$C$9, $D$9, 100%, $F$9) + CHOOSE(CONTROL!$C$27, 0.0021, 0)</f>
        <v>140.8913</v>
      </c>
      <c r="I878" s="14">
        <f>140.8892 * CHOOSE(CONTROL!$C$9, $D$9, 100%, $F$9) + CHOOSE(CONTROL!$C$27, 0.0021, 0)</f>
        <v>140.8913</v>
      </c>
      <c r="J878" s="14">
        <f>140.8892 * CHOOSE(CONTROL!$C$9, $D$9, 100%, $F$9) + CHOOSE(CONTROL!$C$27, 0.0021, 0)</f>
        <v>140.8913</v>
      </c>
      <c r="K878" s="14">
        <f>140.8892 * CHOOSE(CONTROL!$C$9, $D$9, 100%, $F$9) + CHOOSE(CONTROL!$C$27, 0.0021, 0)</f>
        <v>140.8913</v>
      </c>
      <c r="L878" s="14"/>
    </row>
    <row r="879" spans="1:12" ht="15.75" x14ac:dyDescent="0.25">
      <c r="A879" s="31">
        <v>67692</v>
      </c>
      <c r="B879" s="14">
        <f>150.3479 * CHOOSE(CONTROL!$C$9, $D$9, 100%, $F$9) + CHOOSE(CONTROL!$C$27, 0.0021, 0)</f>
        <v>150.35000000000002</v>
      </c>
      <c r="C879" s="14">
        <f>149.9156 * CHOOSE(CONTROL!$C$9, $D$9, 100%, $F$9) + CHOOSE(CONTROL!$C$27, 0.0021, 0)</f>
        <v>149.91770000000002</v>
      </c>
      <c r="D879" s="14">
        <f>149.9156 * CHOOSE(CONTROL!$C$9, $D$9, 100%, $F$9) + CHOOSE(CONTROL!$C$27, 0.0021, 0)</f>
        <v>149.91770000000002</v>
      </c>
      <c r="E879" s="14">
        <f>149.779 * CHOOSE(CONTROL!$C$9, $D$9, 100%, $F$9) + CHOOSE(CONTROL!$C$27, 0.0021, 0)</f>
        <v>149.78110000000001</v>
      </c>
      <c r="F879" s="14">
        <f>149.779 * CHOOSE(CONTROL!$C$9, $D$9, 100%, $F$9) + CHOOSE(CONTROL!$C$27, 0.0021, 0)</f>
        <v>149.78110000000001</v>
      </c>
      <c r="G879" s="14">
        <f>150.0503 * CHOOSE(CONTROL!$C$9, $D$9, 100%, $F$9) + CHOOSE(CONTROL!$C$27, 0.0021, 0)</f>
        <v>150.05240000000001</v>
      </c>
      <c r="H879" s="14">
        <f>149.9156 * CHOOSE(CONTROL!$C$9, $D$9, 100%, $F$9) + CHOOSE(CONTROL!$C$27, 0.0021, 0)</f>
        <v>149.91770000000002</v>
      </c>
      <c r="I879" s="14">
        <f>149.9156 * CHOOSE(CONTROL!$C$9, $D$9, 100%, $F$9) + CHOOSE(CONTROL!$C$27, 0.0021, 0)</f>
        <v>149.91770000000002</v>
      </c>
      <c r="J879" s="14">
        <f>149.9156 * CHOOSE(CONTROL!$C$9, $D$9, 100%, $F$9) + CHOOSE(CONTROL!$C$27, 0.0021, 0)</f>
        <v>149.91770000000002</v>
      </c>
      <c r="K879" s="14">
        <f>149.9156 * CHOOSE(CONTROL!$C$9, $D$9, 100%, $F$9) + CHOOSE(CONTROL!$C$27, 0.0021, 0)</f>
        <v>149.91770000000002</v>
      </c>
      <c r="L879" s="14"/>
    </row>
    <row r="880" spans="1:12" ht="15.75" x14ac:dyDescent="0.25">
      <c r="A880" s="31">
        <v>67723</v>
      </c>
      <c r="B880" s="14">
        <f>155.3163 * CHOOSE(CONTROL!$C$9, $D$9, 100%, $F$9) + CHOOSE(CONTROL!$C$27, 0.0021, 0)</f>
        <v>155.31840000000003</v>
      </c>
      <c r="C880" s="14">
        <f>154.8841 * CHOOSE(CONTROL!$C$9, $D$9, 100%, $F$9) + CHOOSE(CONTROL!$C$27, 0.0021, 0)</f>
        <v>154.8862</v>
      </c>
      <c r="D880" s="14">
        <f>154.8841 * CHOOSE(CONTROL!$C$9, $D$9, 100%, $F$9) + CHOOSE(CONTROL!$C$27, 0.0021, 0)</f>
        <v>154.8862</v>
      </c>
      <c r="E880" s="14">
        <f>154.7474 * CHOOSE(CONTROL!$C$9, $D$9, 100%, $F$9) + CHOOSE(CONTROL!$C$27, 0.0021, 0)</f>
        <v>154.74950000000001</v>
      </c>
      <c r="F880" s="14">
        <f>154.7474 * CHOOSE(CONTROL!$C$9, $D$9, 100%, $F$9) + CHOOSE(CONTROL!$C$27, 0.0021, 0)</f>
        <v>154.74950000000001</v>
      </c>
      <c r="G880" s="14">
        <f>155.0188 * CHOOSE(CONTROL!$C$9, $D$9, 100%, $F$9) + CHOOSE(CONTROL!$C$27, 0.0021, 0)</f>
        <v>155.02090000000001</v>
      </c>
      <c r="H880" s="14">
        <f>154.8841 * CHOOSE(CONTROL!$C$9, $D$9, 100%, $F$9) + CHOOSE(CONTROL!$C$27, 0.0021, 0)</f>
        <v>154.8862</v>
      </c>
      <c r="I880" s="14">
        <f>154.8841 * CHOOSE(CONTROL!$C$9, $D$9, 100%, $F$9) + CHOOSE(CONTROL!$C$27, 0.0021, 0)</f>
        <v>154.8862</v>
      </c>
      <c r="J880" s="14">
        <f>154.8841 * CHOOSE(CONTROL!$C$9, $D$9, 100%, $F$9) + CHOOSE(CONTROL!$C$27, 0.0021, 0)</f>
        <v>154.8862</v>
      </c>
      <c r="K880" s="14">
        <f>154.8841 * CHOOSE(CONTROL!$C$9, $D$9, 100%, $F$9) + CHOOSE(CONTROL!$C$27, 0.0021, 0)</f>
        <v>154.8862</v>
      </c>
      <c r="L880" s="14"/>
    </row>
    <row r="881" spans="1:12" ht="15.75" x14ac:dyDescent="0.25">
      <c r="A881" s="31">
        <v>67753</v>
      </c>
      <c r="B881" s="14">
        <f>157.5212 * CHOOSE(CONTROL!$C$9, $D$9, 100%, $F$9) + CHOOSE(CONTROL!$C$27, 0.0021, 0)</f>
        <v>157.52330000000001</v>
      </c>
      <c r="C881" s="14">
        <f>157.089 * CHOOSE(CONTROL!$C$9, $D$9, 100%, $F$9) + CHOOSE(CONTROL!$C$27, 0.0021, 0)</f>
        <v>157.09110000000001</v>
      </c>
      <c r="D881" s="14">
        <f>157.089 * CHOOSE(CONTROL!$C$9, $D$9, 100%, $F$9) + CHOOSE(CONTROL!$C$27, 0.0021, 0)</f>
        <v>157.09110000000001</v>
      </c>
      <c r="E881" s="14">
        <f>156.9523 * CHOOSE(CONTROL!$C$9, $D$9, 100%, $F$9) + CHOOSE(CONTROL!$C$27, 0.0021, 0)</f>
        <v>156.95440000000002</v>
      </c>
      <c r="F881" s="14">
        <f>156.9523 * CHOOSE(CONTROL!$C$9, $D$9, 100%, $F$9) + CHOOSE(CONTROL!$C$27, 0.0021, 0)</f>
        <v>156.95440000000002</v>
      </c>
      <c r="G881" s="14">
        <f>157.2237 * CHOOSE(CONTROL!$C$9, $D$9, 100%, $F$9) + CHOOSE(CONTROL!$C$27, 0.0021, 0)</f>
        <v>157.22580000000002</v>
      </c>
      <c r="H881" s="14">
        <f>157.089 * CHOOSE(CONTROL!$C$9, $D$9, 100%, $F$9) + CHOOSE(CONTROL!$C$27, 0.0021, 0)</f>
        <v>157.09110000000001</v>
      </c>
      <c r="I881" s="14">
        <f>157.089 * CHOOSE(CONTROL!$C$9, $D$9, 100%, $F$9) + CHOOSE(CONTROL!$C$27, 0.0021, 0)</f>
        <v>157.09110000000001</v>
      </c>
      <c r="J881" s="14">
        <f>157.089 * CHOOSE(CONTROL!$C$9, $D$9, 100%, $F$9) + CHOOSE(CONTROL!$C$27, 0.0021, 0)</f>
        <v>157.09110000000001</v>
      </c>
      <c r="K881" s="14">
        <f>157.089 * CHOOSE(CONTROL!$C$9, $D$9, 100%, $F$9) + CHOOSE(CONTROL!$C$27, 0.0021, 0)</f>
        <v>157.09110000000001</v>
      </c>
      <c r="L881" s="14"/>
    </row>
    <row r="882" spans="1:12" ht="15.75" x14ac:dyDescent="0.25">
      <c r="A882" s="31">
        <v>67784</v>
      </c>
      <c r="B882" s="14">
        <f>156.7953 * CHOOSE(CONTROL!$C$9, $D$9, 100%, $F$9) + CHOOSE(CONTROL!$C$27, 0.0021, 0)</f>
        <v>156.79740000000001</v>
      </c>
      <c r="C882" s="14">
        <f>156.363 * CHOOSE(CONTROL!$C$9, $D$9, 100%, $F$9) + CHOOSE(CONTROL!$C$27, 0.0021, 0)</f>
        <v>156.36510000000001</v>
      </c>
      <c r="D882" s="14">
        <f>156.363 * CHOOSE(CONTROL!$C$9, $D$9, 100%, $F$9) + CHOOSE(CONTROL!$C$27, 0.0021, 0)</f>
        <v>156.36510000000001</v>
      </c>
      <c r="E882" s="14">
        <f>156.2264 * CHOOSE(CONTROL!$C$9, $D$9, 100%, $F$9) + CHOOSE(CONTROL!$C$27, 0.0021, 0)</f>
        <v>156.22850000000003</v>
      </c>
      <c r="F882" s="14">
        <f>156.2264 * CHOOSE(CONTROL!$C$9, $D$9, 100%, $F$9) + CHOOSE(CONTROL!$C$27, 0.0021, 0)</f>
        <v>156.22850000000003</v>
      </c>
      <c r="G882" s="14">
        <f>156.4977 * CHOOSE(CONTROL!$C$9, $D$9, 100%, $F$9) + CHOOSE(CONTROL!$C$27, 0.0021, 0)</f>
        <v>156.49980000000002</v>
      </c>
      <c r="H882" s="14">
        <f>156.363 * CHOOSE(CONTROL!$C$9, $D$9, 100%, $F$9) + CHOOSE(CONTROL!$C$27, 0.0021, 0)</f>
        <v>156.36510000000001</v>
      </c>
      <c r="I882" s="14">
        <f>156.363 * CHOOSE(CONTROL!$C$9, $D$9, 100%, $F$9) + CHOOSE(CONTROL!$C$27, 0.0021, 0)</f>
        <v>156.36510000000001</v>
      </c>
      <c r="J882" s="14">
        <f>156.363 * CHOOSE(CONTROL!$C$9, $D$9, 100%, $F$9) + CHOOSE(CONTROL!$C$27, 0.0021, 0)</f>
        <v>156.36510000000001</v>
      </c>
      <c r="K882" s="14">
        <f>156.363 * CHOOSE(CONTROL!$C$9, $D$9, 100%, $F$9) + CHOOSE(CONTROL!$C$27, 0.0021, 0)</f>
        <v>156.36510000000001</v>
      </c>
      <c r="L882" s="14"/>
    </row>
    <row r="883" spans="1:12" ht="15.75" x14ac:dyDescent="0.25">
      <c r="A883" s="31">
        <v>67815</v>
      </c>
      <c r="B883" s="14">
        <f>153.1985 * CHOOSE(CONTROL!$C$9, $D$9, 100%, $F$9) + CHOOSE(CONTROL!$C$27, 0.0021, 0)</f>
        <v>153.20060000000001</v>
      </c>
      <c r="C883" s="14">
        <f>152.7663 * CHOOSE(CONTROL!$C$9, $D$9, 100%, $F$9) + CHOOSE(CONTROL!$C$27, 0.0021, 0)</f>
        <v>152.76840000000001</v>
      </c>
      <c r="D883" s="14">
        <f>152.7663 * CHOOSE(CONTROL!$C$9, $D$9, 100%, $F$9) + CHOOSE(CONTROL!$C$27, 0.0021, 0)</f>
        <v>152.76840000000001</v>
      </c>
      <c r="E883" s="14">
        <f>152.6296 * CHOOSE(CONTROL!$C$9, $D$9, 100%, $F$9) + CHOOSE(CONTROL!$C$27, 0.0021, 0)</f>
        <v>152.63170000000002</v>
      </c>
      <c r="F883" s="14">
        <f>152.6296 * CHOOSE(CONTROL!$C$9, $D$9, 100%, $F$9) + CHOOSE(CONTROL!$C$27, 0.0021, 0)</f>
        <v>152.63170000000002</v>
      </c>
      <c r="G883" s="14">
        <f>152.901 * CHOOSE(CONTROL!$C$9, $D$9, 100%, $F$9) + CHOOSE(CONTROL!$C$27, 0.0021, 0)</f>
        <v>152.90310000000002</v>
      </c>
      <c r="H883" s="14">
        <f>152.7663 * CHOOSE(CONTROL!$C$9, $D$9, 100%, $F$9) + CHOOSE(CONTROL!$C$27, 0.0021, 0)</f>
        <v>152.76840000000001</v>
      </c>
      <c r="I883" s="14">
        <f>152.7663 * CHOOSE(CONTROL!$C$9, $D$9, 100%, $F$9) + CHOOSE(CONTROL!$C$27, 0.0021, 0)</f>
        <v>152.76840000000001</v>
      </c>
      <c r="J883" s="14">
        <f>152.7663 * CHOOSE(CONTROL!$C$9, $D$9, 100%, $F$9) + CHOOSE(CONTROL!$C$27, 0.0021, 0)</f>
        <v>152.76840000000001</v>
      </c>
      <c r="K883" s="14">
        <f>152.7663 * CHOOSE(CONTROL!$C$9, $D$9, 100%, $F$9) + CHOOSE(CONTROL!$C$27, 0.0021, 0)</f>
        <v>152.76840000000001</v>
      </c>
      <c r="L883" s="14"/>
    </row>
    <row r="884" spans="1:12" ht="15.75" x14ac:dyDescent="0.25">
      <c r="A884" s="31">
        <v>67845</v>
      </c>
      <c r="B884" s="14">
        <f>148.1827 * CHOOSE(CONTROL!$C$9, $D$9, 100%, $F$9) + CHOOSE(CONTROL!$C$27, 0.0021, 0)</f>
        <v>148.18480000000002</v>
      </c>
      <c r="C884" s="14">
        <f>147.7504 * CHOOSE(CONTROL!$C$9, $D$9, 100%, $F$9) + CHOOSE(CONTROL!$C$27, 0.0021, 0)</f>
        <v>147.75250000000003</v>
      </c>
      <c r="D884" s="14">
        <f>147.7504 * CHOOSE(CONTROL!$C$9, $D$9, 100%, $F$9) + CHOOSE(CONTROL!$C$27, 0.0021, 0)</f>
        <v>147.75250000000003</v>
      </c>
      <c r="E884" s="14">
        <f>147.6137 * CHOOSE(CONTROL!$C$9, $D$9, 100%, $F$9) + CHOOSE(CONTROL!$C$27, 0.0021, 0)</f>
        <v>147.61580000000001</v>
      </c>
      <c r="F884" s="14">
        <f>147.6137 * CHOOSE(CONTROL!$C$9, $D$9, 100%, $F$9) + CHOOSE(CONTROL!$C$27, 0.0021, 0)</f>
        <v>147.61580000000001</v>
      </c>
      <c r="G884" s="14">
        <f>147.8851 * CHOOSE(CONTROL!$C$9, $D$9, 100%, $F$9) + CHOOSE(CONTROL!$C$27, 0.0021, 0)</f>
        <v>147.88720000000001</v>
      </c>
      <c r="H884" s="14">
        <f>147.7504 * CHOOSE(CONTROL!$C$9, $D$9, 100%, $F$9) + CHOOSE(CONTROL!$C$27, 0.0021, 0)</f>
        <v>147.75250000000003</v>
      </c>
      <c r="I884" s="14">
        <f>147.7504 * CHOOSE(CONTROL!$C$9, $D$9, 100%, $F$9) + CHOOSE(CONTROL!$C$27, 0.0021, 0)</f>
        <v>147.75250000000003</v>
      </c>
      <c r="J884" s="14">
        <f>147.7504 * CHOOSE(CONTROL!$C$9, $D$9, 100%, $F$9) + CHOOSE(CONTROL!$C$27, 0.0021, 0)</f>
        <v>147.75250000000003</v>
      </c>
      <c r="K884" s="14">
        <f>147.7504 * CHOOSE(CONTROL!$C$9, $D$9, 100%, $F$9) + CHOOSE(CONTROL!$C$27, 0.0021, 0)</f>
        <v>147.75250000000003</v>
      </c>
      <c r="L884" s="14"/>
    </row>
    <row r="885" spans="1:12" ht="15.75" x14ac:dyDescent="0.25">
      <c r="A885" s="31">
        <v>67876</v>
      </c>
      <c r="B885" s="14">
        <f>143.1376 * CHOOSE(CONTROL!$C$9, $D$9, 100%, $F$9) + CHOOSE(CONTROL!$C$27, 0.0021, 0)</f>
        <v>143.1397</v>
      </c>
      <c r="C885" s="14">
        <f>142.7054 * CHOOSE(CONTROL!$C$9, $D$9, 100%, $F$9) + CHOOSE(CONTROL!$C$27, 0.0021, 0)</f>
        <v>142.70750000000001</v>
      </c>
      <c r="D885" s="14">
        <f>142.7054 * CHOOSE(CONTROL!$C$9, $D$9, 100%, $F$9) + CHOOSE(CONTROL!$C$27, 0.0021, 0)</f>
        <v>142.70750000000001</v>
      </c>
      <c r="E885" s="14">
        <f>142.5687 * CHOOSE(CONTROL!$C$9, $D$9, 100%, $F$9) + CHOOSE(CONTROL!$C$27, 0.0021, 0)</f>
        <v>142.57080000000002</v>
      </c>
      <c r="F885" s="14">
        <f>142.5687 * CHOOSE(CONTROL!$C$9, $D$9, 100%, $F$9) + CHOOSE(CONTROL!$C$27, 0.0021, 0)</f>
        <v>142.57080000000002</v>
      </c>
      <c r="G885" s="14">
        <f>142.8401 * CHOOSE(CONTROL!$C$9, $D$9, 100%, $F$9) + CHOOSE(CONTROL!$C$27, 0.0021, 0)</f>
        <v>142.84220000000002</v>
      </c>
      <c r="H885" s="14">
        <f>142.7054 * CHOOSE(CONTROL!$C$9, $D$9, 100%, $F$9) + CHOOSE(CONTROL!$C$27, 0.0021, 0)</f>
        <v>142.70750000000001</v>
      </c>
      <c r="I885" s="14">
        <f>142.7054 * CHOOSE(CONTROL!$C$9, $D$9, 100%, $F$9) + CHOOSE(CONTROL!$C$27, 0.0021, 0)</f>
        <v>142.70750000000001</v>
      </c>
      <c r="J885" s="14">
        <f>142.7054 * CHOOSE(CONTROL!$C$9, $D$9, 100%, $F$9) + CHOOSE(CONTROL!$C$27, 0.0021, 0)</f>
        <v>142.70750000000001</v>
      </c>
      <c r="K885" s="14">
        <f>142.7054 * CHOOSE(CONTROL!$C$9, $D$9, 100%, $F$9) + CHOOSE(CONTROL!$C$27, 0.0021, 0)</f>
        <v>142.70750000000001</v>
      </c>
      <c r="L885" s="14"/>
    </row>
    <row r="886" spans="1:12" ht="15.75" x14ac:dyDescent="0.25">
      <c r="A886" s="31">
        <v>67906</v>
      </c>
      <c r="B886" s="14">
        <f>142.1341 * CHOOSE(CONTROL!$C$9, $D$9, 100%, $F$9) + CHOOSE(CONTROL!$C$27, 0.0021, 0)</f>
        <v>142.1362</v>
      </c>
      <c r="C886" s="14">
        <f>141.7018 * CHOOSE(CONTROL!$C$9, $D$9, 100%, $F$9) + CHOOSE(CONTROL!$C$27, 0.0021, 0)</f>
        <v>141.7039</v>
      </c>
      <c r="D886" s="14">
        <f>141.7018 * CHOOSE(CONTROL!$C$9, $D$9, 100%, $F$9) + CHOOSE(CONTROL!$C$27, 0.0021, 0)</f>
        <v>141.7039</v>
      </c>
      <c r="E886" s="14">
        <f>141.5652 * CHOOSE(CONTROL!$C$9, $D$9, 100%, $F$9) + CHOOSE(CONTROL!$C$27, 0.0021, 0)</f>
        <v>141.56730000000002</v>
      </c>
      <c r="F886" s="14">
        <f>141.5652 * CHOOSE(CONTROL!$C$9, $D$9, 100%, $F$9) + CHOOSE(CONTROL!$C$27, 0.0021, 0)</f>
        <v>141.56730000000002</v>
      </c>
      <c r="G886" s="14">
        <f>141.8365 * CHOOSE(CONTROL!$C$9, $D$9, 100%, $F$9) + CHOOSE(CONTROL!$C$27, 0.0021, 0)</f>
        <v>141.83860000000001</v>
      </c>
      <c r="H886" s="14">
        <f>141.7018 * CHOOSE(CONTROL!$C$9, $D$9, 100%, $F$9) + CHOOSE(CONTROL!$C$27, 0.0021, 0)</f>
        <v>141.7039</v>
      </c>
      <c r="I886" s="14">
        <f>141.7018 * CHOOSE(CONTROL!$C$9, $D$9, 100%, $F$9) + CHOOSE(CONTROL!$C$27, 0.0021, 0)</f>
        <v>141.7039</v>
      </c>
      <c r="J886" s="14">
        <f>141.7018 * CHOOSE(CONTROL!$C$9, $D$9, 100%, $F$9) + CHOOSE(CONTROL!$C$27, 0.0021, 0)</f>
        <v>141.7039</v>
      </c>
      <c r="K886" s="14">
        <f>141.7018 * CHOOSE(CONTROL!$C$9, $D$9, 100%, $F$9) + CHOOSE(CONTROL!$C$27, 0.0021, 0)</f>
        <v>141.7039</v>
      </c>
      <c r="L886" s="14"/>
    </row>
    <row r="887" spans="1:12" ht="15.75" x14ac:dyDescent="0.25">
      <c r="A887" s="31">
        <v>67937</v>
      </c>
      <c r="B887" s="14">
        <f>137.9842 * CHOOSE(CONTROL!$C$9, $D$9, 100%, $F$9) + CHOOSE(CONTROL!$C$27, 0.0021, 0)</f>
        <v>137.9863</v>
      </c>
      <c r="C887" s="14">
        <f>137.552 * CHOOSE(CONTROL!$C$9, $D$9, 100%, $F$9) + CHOOSE(CONTROL!$C$27, 0.0021, 0)</f>
        <v>137.55410000000001</v>
      </c>
      <c r="D887" s="14">
        <f>137.552 * CHOOSE(CONTROL!$C$9, $D$9, 100%, $F$9) + CHOOSE(CONTROL!$C$27, 0.0021, 0)</f>
        <v>137.55410000000001</v>
      </c>
      <c r="E887" s="14">
        <f>137.4153 * CHOOSE(CONTROL!$C$9, $D$9, 100%, $F$9) + CHOOSE(CONTROL!$C$27, 0.0021, 0)</f>
        <v>137.41740000000001</v>
      </c>
      <c r="F887" s="14">
        <f>137.4153 * CHOOSE(CONTROL!$C$9, $D$9, 100%, $F$9) + CHOOSE(CONTROL!$C$27, 0.0021, 0)</f>
        <v>137.41740000000001</v>
      </c>
      <c r="G887" s="14">
        <f>137.6867 * CHOOSE(CONTROL!$C$9, $D$9, 100%, $F$9) + CHOOSE(CONTROL!$C$27, 0.0021, 0)</f>
        <v>137.68880000000001</v>
      </c>
      <c r="H887" s="14">
        <f>137.552 * CHOOSE(CONTROL!$C$9, $D$9, 100%, $F$9) + CHOOSE(CONTROL!$C$27, 0.0021, 0)</f>
        <v>137.55410000000001</v>
      </c>
      <c r="I887" s="14">
        <f>137.552 * CHOOSE(CONTROL!$C$9, $D$9, 100%, $F$9) + CHOOSE(CONTROL!$C$27, 0.0021, 0)</f>
        <v>137.55410000000001</v>
      </c>
      <c r="J887" s="14">
        <f>137.552 * CHOOSE(CONTROL!$C$9, $D$9, 100%, $F$9) + CHOOSE(CONTROL!$C$27, 0.0021, 0)</f>
        <v>137.55410000000001</v>
      </c>
      <c r="K887" s="14">
        <f>137.552 * CHOOSE(CONTROL!$C$9, $D$9, 100%, $F$9) + CHOOSE(CONTROL!$C$27, 0.0021, 0)</f>
        <v>137.55410000000001</v>
      </c>
      <c r="L887" s="14"/>
    </row>
    <row r="888" spans="1:12" ht="15.75" x14ac:dyDescent="0.25">
      <c r="A888" s="31">
        <v>67968</v>
      </c>
      <c r="B888" s="14">
        <f>137.1763 * CHOOSE(CONTROL!$C$9, $D$9, 100%, $F$9) + CHOOSE(CONTROL!$C$27, 0.0021, 0)</f>
        <v>137.17840000000001</v>
      </c>
      <c r="C888" s="14">
        <f>136.7441 * CHOOSE(CONTROL!$C$9, $D$9, 100%, $F$9) + CHOOSE(CONTROL!$C$27, 0.0021, 0)</f>
        <v>136.74620000000002</v>
      </c>
      <c r="D888" s="14">
        <f>136.7441 * CHOOSE(CONTROL!$C$9, $D$9, 100%, $F$9) + CHOOSE(CONTROL!$C$27, 0.0021, 0)</f>
        <v>136.74620000000002</v>
      </c>
      <c r="E888" s="14">
        <f>136.6074 * CHOOSE(CONTROL!$C$9, $D$9, 100%, $F$9) + CHOOSE(CONTROL!$C$27, 0.0021, 0)</f>
        <v>136.60950000000003</v>
      </c>
      <c r="F888" s="14">
        <f>136.6074 * CHOOSE(CONTROL!$C$9, $D$9, 100%, $F$9) + CHOOSE(CONTROL!$C$27, 0.0021, 0)</f>
        <v>136.60950000000003</v>
      </c>
      <c r="G888" s="14">
        <f>136.8788 * CHOOSE(CONTROL!$C$9, $D$9, 100%, $F$9) + CHOOSE(CONTROL!$C$27, 0.0021, 0)</f>
        <v>136.88090000000003</v>
      </c>
      <c r="H888" s="14">
        <f>136.7441 * CHOOSE(CONTROL!$C$9, $D$9, 100%, $F$9) + CHOOSE(CONTROL!$C$27, 0.0021, 0)</f>
        <v>136.74620000000002</v>
      </c>
      <c r="I888" s="14">
        <f>136.7441 * CHOOSE(CONTROL!$C$9, $D$9, 100%, $F$9) + CHOOSE(CONTROL!$C$27, 0.0021, 0)</f>
        <v>136.74620000000002</v>
      </c>
      <c r="J888" s="14">
        <f>136.7441 * CHOOSE(CONTROL!$C$9, $D$9, 100%, $F$9) + CHOOSE(CONTROL!$C$27, 0.0021, 0)</f>
        <v>136.74620000000002</v>
      </c>
      <c r="K888" s="14">
        <f>136.7441 * CHOOSE(CONTROL!$C$9, $D$9, 100%, $F$9) + CHOOSE(CONTROL!$C$27, 0.0021, 0)</f>
        <v>136.74620000000002</v>
      </c>
      <c r="L888" s="14"/>
    </row>
    <row r="889" spans="1:12" ht="15.75" x14ac:dyDescent="0.25">
      <c r="A889" s="31">
        <v>67996</v>
      </c>
      <c r="B889" s="14">
        <f>136.8014 * CHOOSE(CONTROL!$C$9, $D$9, 100%, $F$9) + CHOOSE(CONTROL!$C$27, 0.0021, 0)</f>
        <v>136.80350000000001</v>
      </c>
      <c r="C889" s="14">
        <f>136.3691 * CHOOSE(CONTROL!$C$9, $D$9, 100%, $F$9) + CHOOSE(CONTROL!$C$27, 0.0021, 0)</f>
        <v>136.37120000000002</v>
      </c>
      <c r="D889" s="14">
        <f>136.3691 * CHOOSE(CONTROL!$C$9, $D$9, 100%, $F$9) + CHOOSE(CONTROL!$C$27, 0.0021, 0)</f>
        <v>136.37120000000002</v>
      </c>
      <c r="E889" s="14">
        <f>136.2325 * CHOOSE(CONTROL!$C$9, $D$9, 100%, $F$9) + CHOOSE(CONTROL!$C$27, 0.0021, 0)</f>
        <v>136.2346</v>
      </c>
      <c r="F889" s="14">
        <f>136.2325 * CHOOSE(CONTROL!$C$9, $D$9, 100%, $F$9) + CHOOSE(CONTROL!$C$27, 0.0021, 0)</f>
        <v>136.2346</v>
      </c>
      <c r="G889" s="14">
        <f>136.5039 * CHOOSE(CONTROL!$C$9, $D$9, 100%, $F$9) + CHOOSE(CONTROL!$C$27, 0.0021, 0)</f>
        <v>136.506</v>
      </c>
      <c r="H889" s="14">
        <f>136.3691 * CHOOSE(CONTROL!$C$9, $D$9, 100%, $F$9) + CHOOSE(CONTROL!$C$27, 0.0021, 0)</f>
        <v>136.37120000000002</v>
      </c>
      <c r="I889" s="14">
        <f>136.3691 * CHOOSE(CONTROL!$C$9, $D$9, 100%, $F$9) + CHOOSE(CONTROL!$C$27, 0.0021, 0)</f>
        <v>136.37120000000002</v>
      </c>
      <c r="J889" s="14">
        <f>136.3691 * CHOOSE(CONTROL!$C$9, $D$9, 100%, $F$9) + CHOOSE(CONTROL!$C$27, 0.0021, 0)</f>
        <v>136.37120000000002</v>
      </c>
      <c r="K889" s="14">
        <f>136.3691 * CHOOSE(CONTROL!$C$9, $D$9, 100%, $F$9) + CHOOSE(CONTROL!$C$27, 0.0021, 0)</f>
        <v>136.37120000000002</v>
      </c>
      <c r="L889" s="14"/>
    </row>
    <row r="890" spans="1:12" ht="15.75" x14ac:dyDescent="0.25">
      <c r="A890" s="31">
        <v>68027</v>
      </c>
      <c r="B890" s="14">
        <f>143.8908 * CHOOSE(CONTROL!$C$9, $D$9, 100%, $F$9) + CHOOSE(CONTROL!$C$27, 0.0021, 0)</f>
        <v>143.89290000000003</v>
      </c>
      <c r="C890" s="14">
        <f>143.4585 * CHOOSE(CONTROL!$C$9, $D$9, 100%, $F$9) + CHOOSE(CONTROL!$C$27, 0.0021, 0)</f>
        <v>143.4606</v>
      </c>
      <c r="D890" s="14">
        <f>143.4585 * CHOOSE(CONTROL!$C$9, $D$9, 100%, $F$9) + CHOOSE(CONTROL!$C$27, 0.0021, 0)</f>
        <v>143.4606</v>
      </c>
      <c r="E890" s="14">
        <f>143.3219 * CHOOSE(CONTROL!$C$9, $D$9, 100%, $F$9) + CHOOSE(CONTROL!$C$27, 0.0021, 0)</f>
        <v>143.32400000000001</v>
      </c>
      <c r="F890" s="14">
        <f>143.3219 * CHOOSE(CONTROL!$C$9, $D$9, 100%, $F$9) + CHOOSE(CONTROL!$C$27, 0.0021, 0)</f>
        <v>143.32400000000001</v>
      </c>
      <c r="G890" s="14">
        <f>143.5933 * CHOOSE(CONTROL!$C$9, $D$9, 100%, $F$9) + CHOOSE(CONTROL!$C$27, 0.0021, 0)</f>
        <v>143.59540000000001</v>
      </c>
      <c r="H890" s="14">
        <f>143.4585 * CHOOSE(CONTROL!$C$9, $D$9, 100%, $F$9) + CHOOSE(CONTROL!$C$27, 0.0021, 0)</f>
        <v>143.4606</v>
      </c>
      <c r="I890" s="14">
        <f>143.4585 * CHOOSE(CONTROL!$C$9, $D$9, 100%, $F$9) + CHOOSE(CONTROL!$C$27, 0.0021, 0)</f>
        <v>143.4606</v>
      </c>
      <c r="J890" s="14">
        <f>143.4585 * CHOOSE(CONTROL!$C$9, $D$9, 100%, $F$9) + CHOOSE(CONTROL!$C$27, 0.0021, 0)</f>
        <v>143.4606</v>
      </c>
      <c r="K890" s="14">
        <f>143.4585 * CHOOSE(CONTROL!$C$9, $D$9, 100%, $F$9) + CHOOSE(CONTROL!$C$27, 0.0021, 0)</f>
        <v>143.4606</v>
      </c>
      <c r="L890" s="14"/>
    </row>
    <row r="891" spans="1:12" ht="15.75" x14ac:dyDescent="0.25">
      <c r="A891" s="31">
        <v>68057</v>
      </c>
      <c r="B891" s="14">
        <f>153.0841 * CHOOSE(CONTROL!$C$9, $D$9, 100%, $F$9) + CHOOSE(CONTROL!$C$27, 0.0021, 0)</f>
        <v>153.08620000000002</v>
      </c>
      <c r="C891" s="14">
        <f>152.6518 * CHOOSE(CONTROL!$C$9, $D$9, 100%, $F$9) + CHOOSE(CONTROL!$C$27, 0.0021, 0)</f>
        <v>152.65390000000002</v>
      </c>
      <c r="D891" s="14">
        <f>152.6518 * CHOOSE(CONTROL!$C$9, $D$9, 100%, $F$9) + CHOOSE(CONTROL!$C$27, 0.0021, 0)</f>
        <v>152.65390000000002</v>
      </c>
      <c r="E891" s="14">
        <f>152.5151 * CHOOSE(CONTROL!$C$9, $D$9, 100%, $F$9) + CHOOSE(CONTROL!$C$27, 0.0021, 0)</f>
        <v>152.5172</v>
      </c>
      <c r="F891" s="14">
        <f>152.5151 * CHOOSE(CONTROL!$C$9, $D$9, 100%, $F$9) + CHOOSE(CONTROL!$C$27, 0.0021, 0)</f>
        <v>152.5172</v>
      </c>
      <c r="G891" s="14">
        <f>152.7865 * CHOOSE(CONTROL!$C$9, $D$9, 100%, $F$9) + CHOOSE(CONTROL!$C$27, 0.0021, 0)</f>
        <v>152.7886</v>
      </c>
      <c r="H891" s="14">
        <f>152.6518 * CHOOSE(CONTROL!$C$9, $D$9, 100%, $F$9) + CHOOSE(CONTROL!$C$27, 0.0021, 0)</f>
        <v>152.65390000000002</v>
      </c>
      <c r="I891" s="14">
        <f>152.6518 * CHOOSE(CONTROL!$C$9, $D$9, 100%, $F$9) + CHOOSE(CONTROL!$C$27, 0.0021, 0)</f>
        <v>152.65390000000002</v>
      </c>
      <c r="J891" s="14">
        <f>152.6518 * CHOOSE(CONTROL!$C$9, $D$9, 100%, $F$9) + CHOOSE(CONTROL!$C$27, 0.0021, 0)</f>
        <v>152.65390000000002</v>
      </c>
      <c r="K891" s="14">
        <f>152.6518 * CHOOSE(CONTROL!$C$9, $D$9, 100%, $F$9) + CHOOSE(CONTROL!$C$27, 0.0021, 0)</f>
        <v>152.65390000000002</v>
      </c>
      <c r="L891" s="14"/>
    </row>
    <row r="892" spans="1:12" ht="15.75" x14ac:dyDescent="0.25">
      <c r="A892" s="31">
        <v>68088</v>
      </c>
      <c r="B892" s="14">
        <f>158.1443 * CHOOSE(CONTROL!$C$9, $D$9, 100%, $F$9) + CHOOSE(CONTROL!$C$27, 0.0021, 0)</f>
        <v>158.1464</v>
      </c>
      <c r="C892" s="14">
        <f>157.7121 * CHOOSE(CONTROL!$C$9, $D$9, 100%, $F$9) + CHOOSE(CONTROL!$C$27, 0.0021, 0)</f>
        <v>157.71420000000001</v>
      </c>
      <c r="D892" s="14">
        <f>157.7121 * CHOOSE(CONTROL!$C$9, $D$9, 100%, $F$9) + CHOOSE(CONTROL!$C$27, 0.0021, 0)</f>
        <v>157.71420000000001</v>
      </c>
      <c r="E892" s="14">
        <f>157.5754 * CHOOSE(CONTROL!$C$9, $D$9, 100%, $F$9) + CHOOSE(CONTROL!$C$27, 0.0021, 0)</f>
        <v>157.57750000000001</v>
      </c>
      <c r="F892" s="14">
        <f>157.5754 * CHOOSE(CONTROL!$C$9, $D$9, 100%, $F$9) + CHOOSE(CONTROL!$C$27, 0.0021, 0)</f>
        <v>157.57750000000001</v>
      </c>
      <c r="G892" s="14">
        <f>157.8468 * CHOOSE(CONTROL!$C$9, $D$9, 100%, $F$9) + CHOOSE(CONTROL!$C$27, 0.0021, 0)</f>
        <v>157.84890000000001</v>
      </c>
      <c r="H892" s="14">
        <f>157.7121 * CHOOSE(CONTROL!$C$9, $D$9, 100%, $F$9) + CHOOSE(CONTROL!$C$27, 0.0021, 0)</f>
        <v>157.71420000000001</v>
      </c>
      <c r="I892" s="14">
        <f>157.7121 * CHOOSE(CONTROL!$C$9, $D$9, 100%, $F$9) + CHOOSE(CONTROL!$C$27, 0.0021, 0)</f>
        <v>157.71420000000001</v>
      </c>
      <c r="J892" s="14">
        <f>157.7121 * CHOOSE(CONTROL!$C$9, $D$9, 100%, $F$9) + CHOOSE(CONTROL!$C$27, 0.0021, 0)</f>
        <v>157.71420000000001</v>
      </c>
      <c r="K892" s="14">
        <f>157.7121 * CHOOSE(CONTROL!$C$9, $D$9, 100%, $F$9) + CHOOSE(CONTROL!$C$27, 0.0021, 0)</f>
        <v>157.71420000000001</v>
      </c>
      <c r="L892" s="14"/>
    </row>
    <row r="893" spans="1:12" ht="15.75" x14ac:dyDescent="0.25">
      <c r="A893" s="31">
        <v>68118</v>
      </c>
      <c r="B893" s="14">
        <f>160.39 * CHOOSE(CONTROL!$C$9, $D$9, 100%, $F$9) + CHOOSE(CONTROL!$C$27, 0.0021, 0)</f>
        <v>160.3921</v>
      </c>
      <c r="C893" s="14">
        <f>159.9577 * CHOOSE(CONTROL!$C$9, $D$9, 100%, $F$9) + CHOOSE(CONTROL!$C$27, 0.0021, 0)</f>
        <v>159.9598</v>
      </c>
      <c r="D893" s="14">
        <f>159.9577 * CHOOSE(CONTROL!$C$9, $D$9, 100%, $F$9) + CHOOSE(CONTROL!$C$27, 0.0021, 0)</f>
        <v>159.9598</v>
      </c>
      <c r="E893" s="14">
        <f>159.8211 * CHOOSE(CONTROL!$C$9, $D$9, 100%, $F$9) + CHOOSE(CONTROL!$C$27, 0.0021, 0)</f>
        <v>159.82320000000001</v>
      </c>
      <c r="F893" s="14">
        <f>159.8211 * CHOOSE(CONTROL!$C$9, $D$9, 100%, $F$9) + CHOOSE(CONTROL!$C$27, 0.0021, 0)</f>
        <v>159.82320000000001</v>
      </c>
      <c r="G893" s="14">
        <f>160.0925 * CHOOSE(CONTROL!$C$9, $D$9, 100%, $F$9) + CHOOSE(CONTROL!$C$27, 0.0021, 0)</f>
        <v>160.09460000000001</v>
      </c>
      <c r="H893" s="14">
        <f>159.9577 * CHOOSE(CONTROL!$C$9, $D$9, 100%, $F$9) + CHOOSE(CONTROL!$C$27, 0.0021, 0)</f>
        <v>159.9598</v>
      </c>
      <c r="I893" s="14">
        <f>159.9577 * CHOOSE(CONTROL!$C$9, $D$9, 100%, $F$9) + CHOOSE(CONTROL!$C$27, 0.0021, 0)</f>
        <v>159.9598</v>
      </c>
      <c r="J893" s="14">
        <f>159.9577 * CHOOSE(CONTROL!$C$9, $D$9, 100%, $F$9) + CHOOSE(CONTROL!$C$27, 0.0021, 0)</f>
        <v>159.9598</v>
      </c>
      <c r="K893" s="14">
        <f>159.9577 * CHOOSE(CONTROL!$C$9, $D$9, 100%, $F$9) + CHOOSE(CONTROL!$C$27, 0.0021, 0)</f>
        <v>159.9598</v>
      </c>
      <c r="L893" s="14"/>
    </row>
    <row r="894" spans="1:12" ht="15.75" x14ac:dyDescent="0.25">
      <c r="A894" s="31">
        <v>68149</v>
      </c>
      <c r="B894" s="14">
        <f>159.6506 * CHOOSE(CONTROL!$C$9, $D$9, 100%, $F$9) + CHOOSE(CONTROL!$C$27, 0.0021, 0)</f>
        <v>159.65270000000001</v>
      </c>
      <c r="C894" s="14">
        <f>159.2184 * CHOOSE(CONTROL!$C$9, $D$9, 100%, $F$9) + CHOOSE(CONTROL!$C$27, 0.0021, 0)</f>
        <v>159.22050000000002</v>
      </c>
      <c r="D894" s="14">
        <f>159.2184 * CHOOSE(CONTROL!$C$9, $D$9, 100%, $F$9) + CHOOSE(CONTROL!$C$27, 0.0021, 0)</f>
        <v>159.22050000000002</v>
      </c>
      <c r="E894" s="14">
        <f>159.0817 * CHOOSE(CONTROL!$C$9, $D$9, 100%, $F$9) + CHOOSE(CONTROL!$C$27, 0.0021, 0)</f>
        <v>159.08380000000002</v>
      </c>
      <c r="F894" s="14">
        <f>159.0817 * CHOOSE(CONTROL!$C$9, $D$9, 100%, $F$9) + CHOOSE(CONTROL!$C$27, 0.0021, 0)</f>
        <v>159.08380000000002</v>
      </c>
      <c r="G894" s="14">
        <f>159.3531 * CHOOSE(CONTROL!$C$9, $D$9, 100%, $F$9) + CHOOSE(CONTROL!$C$27, 0.0021, 0)</f>
        <v>159.35520000000002</v>
      </c>
      <c r="H894" s="14">
        <f>159.2184 * CHOOSE(CONTROL!$C$9, $D$9, 100%, $F$9) + CHOOSE(CONTROL!$C$27, 0.0021, 0)</f>
        <v>159.22050000000002</v>
      </c>
      <c r="I894" s="14">
        <f>159.2184 * CHOOSE(CONTROL!$C$9, $D$9, 100%, $F$9) + CHOOSE(CONTROL!$C$27, 0.0021, 0)</f>
        <v>159.22050000000002</v>
      </c>
      <c r="J894" s="14">
        <f>159.2184 * CHOOSE(CONTROL!$C$9, $D$9, 100%, $F$9) + CHOOSE(CONTROL!$C$27, 0.0021, 0)</f>
        <v>159.22050000000002</v>
      </c>
      <c r="K894" s="14">
        <f>159.2184 * CHOOSE(CONTROL!$C$9, $D$9, 100%, $F$9) + CHOOSE(CONTROL!$C$27, 0.0021, 0)</f>
        <v>159.22050000000002</v>
      </c>
      <c r="L894" s="14"/>
    </row>
    <row r="895" spans="1:12" ht="15.75" x14ac:dyDescent="0.25">
      <c r="A895" s="31">
        <v>68180</v>
      </c>
      <c r="B895" s="14">
        <f>155.9874 * CHOOSE(CONTROL!$C$9, $D$9, 100%, $F$9) + CHOOSE(CONTROL!$C$27, 0.0021, 0)</f>
        <v>155.98950000000002</v>
      </c>
      <c r="C895" s="14">
        <f>155.5551 * CHOOSE(CONTROL!$C$9, $D$9, 100%, $F$9) + CHOOSE(CONTROL!$C$27, 0.0021, 0)</f>
        <v>155.55720000000002</v>
      </c>
      <c r="D895" s="14">
        <f>155.5551 * CHOOSE(CONTROL!$C$9, $D$9, 100%, $F$9) + CHOOSE(CONTROL!$C$27, 0.0021, 0)</f>
        <v>155.55720000000002</v>
      </c>
      <c r="E895" s="14">
        <f>155.4185 * CHOOSE(CONTROL!$C$9, $D$9, 100%, $F$9) + CHOOSE(CONTROL!$C$27, 0.0021, 0)</f>
        <v>155.42060000000001</v>
      </c>
      <c r="F895" s="14">
        <f>155.4185 * CHOOSE(CONTROL!$C$9, $D$9, 100%, $F$9) + CHOOSE(CONTROL!$C$27, 0.0021, 0)</f>
        <v>155.42060000000001</v>
      </c>
      <c r="G895" s="14">
        <f>155.6898 * CHOOSE(CONTROL!$C$9, $D$9, 100%, $F$9) + CHOOSE(CONTROL!$C$27, 0.0021, 0)</f>
        <v>155.6919</v>
      </c>
      <c r="H895" s="14">
        <f>155.5551 * CHOOSE(CONTROL!$C$9, $D$9, 100%, $F$9) + CHOOSE(CONTROL!$C$27, 0.0021, 0)</f>
        <v>155.55720000000002</v>
      </c>
      <c r="I895" s="14">
        <f>155.5551 * CHOOSE(CONTROL!$C$9, $D$9, 100%, $F$9) + CHOOSE(CONTROL!$C$27, 0.0021, 0)</f>
        <v>155.55720000000002</v>
      </c>
      <c r="J895" s="14">
        <f>155.5551 * CHOOSE(CONTROL!$C$9, $D$9, 100%, $F$9) + CHOOSE(CONTROL!$C$27, 0.0021, 0)</f>
        <v>155.55720000000002</v>
      </c>
      <c r="K895" s="14">
        <f>155.5551 * CHOOSE(CONTROL!$C$9, $D$9, 100%, $F$9) + CHOOSE(CONTROL!$C$27, 0.0021, 0)</f>
        <v>155.55720000000002</v>
      </c>
      <c r="L895" s="14"/>
    </row>
    <row r="896" spans="1:12" ht="15.75" x14ac:dyDescent="0.25">
      <c r="A896" s="31">
        <v>68210</v>
      </c>
      <c r="B896" s="14">
        <f>150.8788 * CHOOSE(CONTROL!$C$9, $D$9, 100%, $F$9) + CHOOSE(CONTROL!$C$27, 0.0021, 0)</f>
        <v>150.88090000000003</v>
      </c>
      <c r="C896" s="14">
        <f>150.4466 * CHOOSE(CONTROL!$C$9, $D$9, 100%, $F$9) + CHOOSE(CONTROL!$C$27, 0.0021, 0)</f>
        <v>150.4487</v>
      </c>
      <c r="D896" s="14">
        <f>150.4466 * CHOOSE(CONTROL!$C$9, $D$9, 100%, $F$9) + CHOOSE(CONTROL!$C$27, 0.0021, 0)</f>
        <v>150.4487</v>
      </c>
      <c r="E896" s="14">
        <f>150.3099 * CHOOSE(CONTROL!$C$9, $D$9, 100%, $F$9) + CHOOSE(CONTROL!$C$27, 0.0021, 0)</f>
        <v>150.31200000000001</v>
      </c>
      <c r="F896" s="14">
        <f>150.3099 * CHOOSE(CONTROL!$C$9, $D$9, 100%, $F$9) + CHOOSE(CONTROL!$C$27, 0.0021, 0)</f>
        <v>150.31200000000001</v>
      </c>
      <c r="G896" s="14">
        <f>150.5813 * CHOOSE(CONTROL!$C$9, $D$9, 100%, $F$9) + CHOOSE(CONTROL!$C$27, 0.0021, 0)</f>
        <v>150.58340000000001</v>
      </c>
      <c r="H896" s="14">
        <f>150.4466 * CHOOSE(CONTROL!$C$9, $D$9, 100%, $F$9) + CHOOSE(CONTROL!$C$27, 0.0021, 0)</f>
        <v>150.4487</v>
      </c>
      <c r="I896" s="14">
        <f>150.4466 * CHOOSE(CONTROL!$C$9, $D$9, 100%, $F$9) + CHOOSE(CONTROL!$C$27, 0.0021, 0)</f>
        <v>150.4487</v>
      </c>
      <c r="J896" s="14">
        <f>150.4466 * CHOOSE(CONTROL!$C$9, $D$9, 100%, $F$9) + CHOOSE(CONTROL!$C$27, 0.0021, 0)</f>
        <v>150.4487</v>
      </c>
      <c r="K896" s="14">
        <f>150.4466 * CHOOSE(CONTROL!$C$9, $D$9, 100%, $F$9) + CHOOSE(CONTROL!$C$27, 0.0021, 0)</f>
        <v>150.4487</v>
      </c>
      <c r="L896" s="14"/>
    </row>
    <row r="897" spans="1:12" ht="15.75" x14ac:dyDescent="0.25">
      <c r="A897" s="31">
        <v>68241</v>
      </c>
      <c r="B897" s="14">
        <f>145.7405 * CHOOSE(CONTROL!$C$9, $D$9, 100%, $F$9) + CHOOSE(CONTROL!$C$27, 0.0021, 0)</f>
        <v>145.74260000000001</v>
      </c>
      <c r="C897" s="14">
        <f>145.3083 * CHOOSE(CONTROL!$C$9, $D$9, 100%, $F$9) + CHOOSE(CONTROL!$C$27, 0.0021, 0)</f>
        <v>145.31040000000002</v>
      </c>
      <c r="D897" s="14">
        <f>145.3083 * CHOOSE(CONTROL!$C$9, $D$9, 100%, $F$9) + CHOOSE(CONTROL!$C$27, 0.0021, 0)</f>
        <v>145.31040000000002</v>
      </c>
      <c r="E897" s="14">
        <f>145.1716 * CHOOSE(CONTROL!$C$9, $D$9, 100%, $F$9) + CHOOSE(CONTROL!$C$27, 0.0021, 0)</f>
        <v>145.17370000000003</v>
      </c>
      <c r="F897" s="14">
        <f>145.1716 * CHOOSE(CONTROL!$C$9, $D$9, 100%, $F$9) + CHOOSE(CONTROL!$C$27, 0.0021, 0)</f>
        <v>145.17370000000003</v>
      </c>
      <c r="G897" s="14">
        <f>145.443 * CHOOSE(CONTROL!$C$9, $D$9, 100%, $F$9) + CHOOSE(CONTROL!$C$27, 0.0021, 0)</f>
        <v>145.44510000000002</v>
      </c>
      <c r="H897" s="14">
        <f>145.3083 * CHOOSE(CONTROL!$C$9, $D$9, 100%, $F$9) + CHOOSE(CONTROL!$C$27, 0.0021, 0)</f>
        <v>145.31040000000002</v>
      </c>
      <c r="I897" s="14">
        <f>145.3083 * CHOOSE(CONTROL!$C$9, $D$9, 100%, $F$9) + CHOOSE(CONTROL!$C$27, 0.0021, 0)</f>
        <v>145.31040000000002</v>
      </c>
      <c r="J897" s="14">
        <f>145.3083 * CHOOSE(CONTROL!$C$9, $D$9, 100%, $F$9) + CHOOSE(CONTROL!$C$27, 0.0021, 0)</f>
        <v>145.31040000000002</v>
      </c>
      <c r="K897" s="14">
        <f>145.3083 * CHOOSE(CONTROL!$C$9, $D$9, 100%, $F$9) + CHOOSE(CONTROL!$C$27, 0.0021, 0)</f>
        <v>145.31040000000002</v>
      </c>
      <c r="L897" s="14"/>
    </row>
    <row r="898" spans="1:12" ht="15.75" x14ac:dyDescent="0.25">
      <c r="A898" s="31">
        <v>68271</v>
      </c>
      <c r="B898" s="14">
        <f>144.7184 * CHOOSE(CONTROL!$C$9, $D$9, 100%, $F$9) + CHOOSE(CONTROL!$C$27, 0.0021, 0)</f>
        <v>144.72050000000002</v>
      </c>
      <c r="C898" s="14">
        <f>144.2862 * CHOOSE(CONTROL!$C$9, $D$9, 100%, $F$9) + CHOOSE(CONTROL!$C$27, 0.0021, 0)</f>
        <v>144.28830000000002</v>
      </c>
      <c r="D898" s="14">
        <f>144.2862 * CHOOSE(CONTROL!$C$9, $D$9, 100%, $F$9) + CHOOSE(CONTROL!$C$27, 0.0021, 0)</f>
        <v>144.28830000000002</v>
      </c>
      <c r="E898" s="14">
        <f>144.1495 * CHOOSE(CONTROL!$C$9, $D$9, 100%, $F$9) + CHOOSE(CONTROL!$C$27, 0.0021, 0)</f>
        <v>144.1516</v>
      </c>
      <c r="F898" s="14">
        <f>144.1495 * CHOOSE(CONTROL!$C$9, $D$9, 100%, $F$9) + CHOOSE(CONTROL!$C$27, 0.0021, 0)</f>
        <v>144.1516</v>
      </c>
      <c r="G898" s="14">
        <f>144.4209 * CHOOSE(CONTROL!$C$9, $D$9, 100%, $F$9) + CHOOSE(CONTROL!$C$27, 0.0021, 0)</f>
        <v>144.423</v>
      </c>
      <c r="H898" s="14">
        <f>144.2862 * CHOOSE(CONTROL!$C$9, $D$9, 100%, $F$9) + CHOOSE(CONTROL!$C$27, 0.0021, 0)</f>
        <v>144.28830000000002</v>
      </c>
      <c r="I898" s="14">
        <f>144.2862 * CHOOSE(CONTROL!$C$9, $D$9, 100%, $F$9) + CHOOSE(CONTROL!$C$27, 0.0021, 0)</f>
        <v>144.28830000000002</v>
      </c>
      <c r="J898" s="14">
        <f>144.2862 * CHOOSE(CONTROL!$C$9, $D$9, 100%, $F$9) + CHOOSE(CONTROL!$C$27, 0.0021, 0)</f>
        <v>144.28830000000002</v>
      </c>
      <c r="K898" s="14">
        <f>144.2862 * CHOOSE(CONTROL!$C$9, $D$9, 100%, $F$9) + CHOOSE(CONTROL!$C$27, 0.0021, 0)</f>
        <v>144.28830000000002</v>
      </c>
      <c r="L898" s="14"/>
    </row>
    <row r="899" spans="1:12" ht="15.75" x14ac:dyDescent="0.25">
      <c r="A899" s="31">
        <v>68302</v>
      </c>
      <c r="B899" s="14">
        <f>140.4919 * CHOOSE(CONTROL!$C$9, $D$9, 100%, $F$9) + CHOOSE(CONTROL!$C$27, 0.0021, 0)</f>
        <v>140.494</v>
      </c>
      <c r="C899" s="14">
        <f>140.0597 * CHOOSE(CONTROL!$C$9, $D$9, 100%, $F$9) + CHOOSE(CONTROL!$C$27, 0.0021, 0)</f>
        <v>140.06180000000001</v>
      </c>
      <c r="D899" s="14">
        <f>140.0597 * CHOOSE(CONTROL!$C$9, $D$9, 100%, $F$9) + CHOOSE(CONTROL!$C$27, 0.0021, 0)</f>
        <v>140.06180000000001</v>
      </c>
      <c r="E899" s="14">
        <f>139.923 * CHOOSE(CONTROL!$C$9, $D$9, 100%, $F$9) + CHOOSE(CONTROL!$C$27, 0.0021, 0)</f>
        <v>139.92510000000001</v>
      </c>
      <c r="F899" s="14">
        <f>139.923 * CHOOSE(CONTROL!$C$9, $D$9, 100%, $F$9) + CHOOSE(CONTROL!$C$27, 0.0021, 0)</f>
        <v>139.92510000000001</v>
      </c>
      <c r="G899" s="14">
        <f>140.1944 * CHOOSE(CONTROL!$C$9, $D$9, 100%, $F$9) + CHOOSE(CONTROL!$C$27, 0.0021, 0)</f>
        <v>140.19650000000001</v>
      </c>
      <c r="H899" s="14">
        <f>140.0597 * CHOOSE(CONTROL!$C$9, $D$9, 100%, $F$9) + CHOOSE(CONTROL!$C$27, 0.0021, 0)</f>
        <v>140.06180000000001</v>
      </c>
      <c r="I899" s="14">
        <f>140.0597 * CHOOSE(CONTROL!$C$9, $D$9, 100%, $F$9) + CHOOSE(CONTROL!$C$27, 0.0021, 0)</f>
        <v>140.06180000000001</v>
      </c>
      <c r="J899" s="14">
        <f>140.0597 * CHOOSE(CONTROL!$C$9, $D$9, 100%, $F$9) + CHOOSE(CONTROL!$C$27, 0.0021, 0)</f>
        <v>140.06180000000001</v>
      </c>
      <c r="K899" s="14">
        <f>140.0597 * CHOOSE(CONTROL!$C$9, $D$9, 100%, $F$9) + CHOOSE(CONTROL!$C$27, 0.0021, 0)</f>
        <v>140.06180000000001</v>
      </c>
      <c r="L899" s="14"/>
    </row>
    <row r="900" spans="1:12" ht="15.75" x14ac:dyDescent="0.25">
      <c r="A900" s="31">
        <v>68333</v>
      </c>
      <c r="B900" s="14">
        <f>139.6691 * CHOOSE(CONTROL!$C$9, $D$9, 100%, $F$9) + CHOOSE(CONTROL!$C$27, 0.0021, 0)</f>
        <v>139.6712</v>
      </c>
      <c r="C900" s="14">
        <f>139.2368 * CHOOSE(CONTROL!$C$9, $D$9, 100%, $F$9) + CHOOSE(CONTROL!$C$27, 0.0021, 0)</f>
        <v>139.2389</v>
      </c>
      <c r="D900" s="14">
        <f>139.2368 * CHOOSE(CONTROL!$C$9, $D$9, 100%, $F$9) + CHOOSE(CONTROL!$C$27, 0.0021, 0)</f>
        <v>139.2389</v>
      </c>
      <c r="E900" s="14">
        <f>139.1002 * CHOOSE(CONTROL!$C$9, $D$9, 100%, $F$9) + CHOOSE(CONTROL!$C$27, 0.0021, 0)</f>
        <v>139.10230000000001</v>
      </c>
      <c r="F900" s="14">
        <f>139.1002 * CHOOSE(CONTROL!$C$9, $D$9, 100%, $F$9) + CHOOSE(CONTROL!$C$27, 0.0021, 0)</f>
        <v>139.10230000000001</v>
      </c>
      <c r="G900" s="14">
        <f>139.3715 * CHOOSE(CONTROL!$C$9, $D$9, 100%, $F$9) + CHOOSE(CONTROL!$C$27, 0.0021, 0)</f>
        <v>139.37360000000001</v>
      </c>
      <c r="H900" s="14">
        <f>139.2368 * CHOOSE(CONTROL!$C$9, $D$9, 100%, $F$9) + CHOOSE(CONTROL!$C$27, 0.0021, 0)</f>
        <v>139.2389</v>
      </c>
      <c r="I900" s="14">
        <f>139.2368 * CHOOSE(CONTROL!$C$9, $D$9, 100%, $F$9) + CHOOSE(CONTROL!$C$27, 0.0021, 0)</f>
        <v>139.2389</v>
      </c>
      <c r="J900" s="14">
        <f>139.2368 * CHOOSE(CONTROL!$C$9, $D$9, 100%, $F$9) + CHOOSE(CONTROL!$C$27, 0.0021, 0)</f>
        <v>139.2389</v>
      </c>
      <c r="K900" s="14">
        <f>139.2368 * CHOOSE(CONTROL!$C$9, $D$9, 100%, $F$9) + CHOOSE(CONTROL!$C$27, 0.0021, 0)</f>
        <v>139.2389</v>
      </c>
      <c r="L900" s="14"/>
    </row>
    <row r="901" spans="1:12" ht="15.75" x14ac:dyDescent="0.25">
      <c r="A901" s="31">
        <v>68361</v>
      </c>
      <c r="B901" s="14">
        <f>139.2872 * CHOOSE(CONTROL!$C$9, $D$9, 100%, $F$9) + CHOOSE(CONTROL!$C$27, 0.0021, 0)</f>
        <v>139.28930000000003</v>
      </c>
      <c r="C901" s="14">
        <f>138.855 * CHOOSE(CONTROL!$C$9, $D$9, 100%, $F$9) + CHOOSE(CONTROL!$C$27, 0.0021, 0)</f>
        <v>138.8571</v>
      </c>
      <c r="D901" s="14">
        <f>138.855 * CHOOSE(CONTROL!$C$9, $D$9, 100%, $F$9) + CHOOSE(CONTROL!$C$27, 0.0021, 0)</f>
        <v>138.8571</v>
      </c>
      <c r="E901" s="14">
        <f>138.7183 * CHOOSE(CONTROL!$C$9, $D$9, 100%, $F$9) + CHOOSE(CONTROL!$C$27, 0.0021, 0)</f>
        <v>138.72040000000001</v>
      </c>
      <c r="F901" s="14">
        <f>138.7183 * CHOOSE(CONTROL!$C$9, $D$9, 100%, $F$9) + CHOOSE(CONTROL!$C$27, 0.0021, 0)</f>
        <v>138.72040000000001</v>
      </c>
      <c r="G901" s="14">
        <f>138.9897 * CHOOSE(CONTROL!$C$9, $D$9, 100%, $F$9) + CHOOSE(CONTROL!$C$27, 0.0021, 0)</f>
        <v>138.99180000000001</v>
      </c>
      <c r="H901" s="14">
        <f>138.855 * CHOOSE(CONTROL!$C$9, $D$9, 100%, $F$9) + CHOOSE(CONTROL!$C$27, 0.0021, 0)</f>
        <v>138.8571</v>
      </c>
      <c r="I901" s="14">
        <f>138.855 * CHOOSE(CONTROL!$C$9, $D$9, 100%, $F$9) + CHOOSE(CONTROL!$C$27, 0.0021, 0)</f>
        <v>138.8571</v>
      </c>
      <c r="J901" s="14">
        <f>138.855 * CHOOSE(CONTROL!$C$9, $D$9, 100%, $F$9) + CHOOSE(CONTROL!$C$27, 0.0021, 0)</f>
        <v>138.8571</v>
      </c>
      <c r="K901" s="14">
        <f>138.855 * CHOOSE(CONTROL!$C$9, $D$9, 100%, $F$9) + CHOOSE(CONTROL!$C$27, 0.0021, 0)</f>
        <v>138.8571</v>
      </c>
      <c r="L901" s="14"/>
    </row>
    <row r="902" spans="1:12" ht="15.75" x14ac:dyDescent="0.25">
      <c r="A902" s="31">
        <v>68392</v>
      </c>
      <c r="B902" s="14">
        <f>146.5076 * CHOOSE(CONTROL!$C$9, $D$9, 100%, $F$9) + CHOOSE(CONTROL!$C$27, 0.0021, 0)</f>
        <v>146.50970000000001</v>
      </c>
      <c r="C902" s="14">
        <f>146.0754 * CHOOSE(CONTROL!$C$9, $D$9, 100%, $F$9) + CHOOSE(CONTROL!$C$27, 0.0021, 0)</f>
        <v>146.07750000000001</v>
      </c>
      <c r="D902" s="14">
        <f>146.0754 * CHOOSE(CONTROL!$C$9, $D$9, 100%, $F$9) + CHOOSE(CONTROL!$C$27, 0.0021, 0)</f>
        <v>146.07750000000001</v>
      </c>
      <c r="E902" s="14">
        <f>145.9387 * CHOOSE(CONTROL!$C$9, $D$9, 100%, $F$9) + CHOOSE(CONTROL!$C$27, 0.0021, 0)</f>
        <v>145.94080000000002</v>
      </c>
      <c r="F902" s="14">
        <f>145.9387 * CHOOSE(CONTROL!$C$9, $D$9, 100%, $F$9) + CHOOSE(CONTROL!$C$27, 0.0021, 0)</f>
        <v>145.94080000000002</v>
      </c>
      <c r="G902" s="14">
        <f>146.2101 * CHOOSE(CONTROL!$C$9, $D$9, 100%, $F$9) + CHOOSE(CONTROL!$C$27, 0.0021, 0)</f>
        <v>146.21220000000002</v>
      </c>
      <c r="H902" s="14">
        <f>146.0754 * CHOOSE(CONTROL!$C$9, $D$9, 100%, $F$9) + CHOOSE(CONTROL!$C$27, 0.0021, 0)</f>
        <v>146.07750000000001</v>
      </c>
      <c r="I902" s="14">
        <f>146.0754 * CHOOSE(CONTROL!$C$9, $D$9, 100%, $F$9) + CHOOSE(CONTROL!$C$27, 0.0021, 0)</f>
        <v>146.07750000000001</v>
      </c>
      <c r="J902" s="14">
        <f>146.0754 * CHOOSE(CONTROL!$C$9, $D$9, 100%, $F$9) + CHOOSE(CONTROL!$C$27, 0.0021, 0)</f>
        <v>146.07750000000001</v>
      </c>
      <c r="K902" s="14">
        <f>146.0754 * CHOOSE(CONTROL!$C$9, $D$9, 100%, $F$9) + CHOOSE(CONTROL!$C$27, 0.0021, 0)</f>
        <v>146.07750000000001</v>
      </c>
      <c r="L902" s="14"/>
    </row>
    <row r="903" spans="1:12" ht="15.75" x14ac:dyDescent="0.25">
      <c r="A903" s="31">
        <v>68422</v>
      </c>
      <c r="B903" s="14">
        <f>155.8708 * CHOOSE(CONTROL!$C$9, $D$9, 100%, $F$9) + CHOOSE(CONTROL!$C$27, 0.0021, 0)</f>
        <v>155.87290000000002</v>
      </c>
      <c r="C903" s="14">
        <f>155.4386 * CHOOSE(CONTROL!$C$9, $D$9, 100%, $F$9) + CHOOSE(CONTROL!$C$27, 0.0021, 0)</f>
        <v>155.44070000000002</v>
      </c>
      <c r="D903" s="14">
        <f>155.4386 * CHOOSE(CONTROL!$C$9, $D$9, 100%, $F$9) + CHOOSE(CONTROL!$C$27, 0.0021, 0)</f>
        <v>155.44070000000002</v>
      </c>
      <c r="E903" s="14">
        <f>155.3019 * CHOOSE(CONTROL!$C$9, $D$9, 100%, $F$9) + CHOOSE(CONTROL!$C$27, 0.0021, 0)</f>
        <v>155.304</v>
      </c>
      <c r="F903" s="14">
        <f>155.3019 * CHOOSE(CONTROL!$C$9, $D$9, 100%, $F$9) + CHOOSE(CONTROL!$C$27, 0.0021, 0)</f>
        <v>155.304</v>
      </c>
      <c r="G903" s="14">
        <f>155.5733 * CHOOSE(CONTROL!$C$9, $D$9, 100%, $F$9) + CHOOSE(CONTROL!$C$27, 0.0021, 0)</f>
        <v>155.5754</v>
      </c>
      <c r="H903" s="14">
        <f>155.4386 * CHOOSE(CONTROL!$C$9, $D$9, 100%, $F$9) + CHOOSE(CONTROL!$C$27, 0.0021, 0)</f>
        <v>155.44070000000002</v>
      </c>
      <c r="I903" s="14">
        <f>155.4386 * CHOOSE(CONTROL!$C$9, $D$9, 100%, $F$9) + CHOOSE(CONTROL!$C$27, 0.0021, 0)</f>
        <v>155.44070000000002</v>
      </c>
      <c r="J903" s="14">
        <f>155.4386 * CHOOSE(CONTROL!$C$9, $D$9, 100%, $F$9) + CHOOSE(CONTROL!$C$27, 0.0021, 0)</f>
        <v>155.44070000000002</v>
      </c>
      <c r="K903" s="14">
        <f>155.4386 * CHOOSE(CONTROL!$C$9, $D$9, 100%, $F$9) + CHOOSE(CONTROL!$C$27, 0.0021, 0)</f>
        <v>155.44070000000002</v>
      </c>
      <c r="L903" s="14"/>
    </row>
    <row r="904" spans="1:12" ht="15.75" x14ac:dyDescent="0.25">
      <c r="A904" s="31">
        <v>68453</v>
      </c>
      <c r="B904" s="14">
        <f>161.0246 * CHOOSE(CONTROL!$C$9, $D$9, 100%, $F$9) + CHOOSE(CONTROL!$C$27, 0.0021, 0)</f>
        <v>161.02670000000001</v>
      </c>
      <c r="C904" s="14">
        <f>160.5923 * CHOOSE(CONTROL!$C$9, $D$9, 100%, $F$9) + CHOOSE(CONTROL!$C$27, 0.0021, 0)</f>
        <v>160.59440000000001</v>
      </c>
      <c r="D904" s="14">
        <f>160.5923 * CHOOSE(CONTROL!$C$9, $D$9, 100%, $F$9) + CHOOSE(CONTROL!$C$27, 0.0021, 0)</f>
        <v>160.59440000000001</v>
      </c>
      <c r="E904" s="14">
        <f>160.4557 * CHOOSE(CONTROL!$C$9, $D$9, 100%, $F$9) + CHOOSE(CONTROL!$C$27, 0.0021, 0)</f>
        <v>160.45780000000002</v>
      </c>
      <c r="F904" s="14">
        <f>160.4557 * CHOOSE(CONTROL!$C$9, $D$9, 100%, $F$9) + CHOOSE(CONTROL!$C$27, 0.0021, 0)</f>
        <v>160.45780000000002</v>
      </c>
      <c r="G904" s="14">
        <f>160.7271 * CHOOSE(CONTROL!$C$9, $D$9, 100%, $F$9) + CHOOSE(CONTROL!$C$27, 0.0021, 0)</f>
        <v>160.72920000000002</v>
      </c>
      <c r="H904" s="14">
        <f>160.5923 * CHOOSE(CONTROL!$C$9, $D$9, 100%, $F$9) + CHOOSE(CONTROL!$C$27, 0.0021, 0)</f>
        <v>160.59440000000001</v>
      </c>
      <c r="I904" s="14">
        <f>160.5923 * CHOOSE(CONTROL!$C$9, $D$9, 100%, $F$9) + CHOOSE(CONTROL!$C$27, 0.0021, 0)</f>
        <v>160.59440000000001</v>
      </c>
      <c r="J904" s="14">
        <f>160.5923 * CHOOSE(CONTROL!$C$9, $D$9, 100%, $F$9) + CHOOSE(CONTROL!$C$27, 0.0021, 0)</f>
        <v>160.59440000000001</v>
      </c>
      <c r="K904" s="14">
        <f>160.5923 * CHOOSE(CONTROL!$C$9, $D$9, 100%, $F$9) + CHOOSE(CONTROL!$C$27, 0.0021, 0)</f>
        <v>160.59440000000001</v>
      </c>
      <c r="L904" s="14"/>
    </row>
    <row r="905" spans="1:12" ht="15.75" x14ac:dyDescent="0.25">
      <c r="A905" s="31">
        <v>68483</v>
      </c>
      <c r="B905" s="14">
        <f>163.3117 * CHOOSE(CONTROL!$C$9, $D$9, 100%, $F$9) + CHOOSE(CONTROL!$C$27, 0.0021, 0)</f>
        <v>163.31380000000001</v>
      </c>
      <c r="C905" s="14">
        <f>162.8795 * CHOOSE(CONTROL!$C$9, $D$9, 100%, $F$9) + CHOOSE(CONTROL!$C$27, 0.0021, 0)</f>
        <v>162.88160000000002</v>
      </c>
      <c r="D905" s="14">
        <f>162.8795 * CHOOSE(CONTROL!$C$9, $D$9, 100%, $F$9) + CHOOSE(CONTROL!$C$27, 0.0021, 0)</f>
        <v>162.88160000000002</v>
      </c>
      <c r="E905" s="14">
        <f>162.7428 * CHOOSE(CONTROL!$C$9, $D$9, 100%, $F$9) + CHOOSE(CONTROL!$C$27, 0.0021, 0)</f>
        <v>162.7449</v>
      </c>
      <c r="F905" s="14">
        <f>162.7428 * CHOOSE(CONTROL!$C$9, $D$9, 100%, $F$9) + CHOOSE(CONTROL!$C$27, 0.0021, 0)</f>
        <v>162.7449</v>
      </c>
      <c r="G905" s="14">
        <f>163.0142 * CHOOSE(CONTROL!$C$9, $D$9, 100%, $F$9) + CHOOSE(CONTROL!$C$27, 0.0021, 0)</f>
        <v>163.0163</v>
      </c>
      <c r="H905" s="14">
        <f>162.8795 * CHOOSE(CONTROL!$C$9, $D$9, 100%, $F$9) + CHOOSE(CONTROL!$C$27, 0.0021, 0)</f>
        <v>162.88160000000002</v>
      </c>
      <c r="I905" s="14">
        <f>162.8795 * CHOOSE(CONTROL!$C$9, $D$9, 100%, $F$9) + CHOOSE(CONTROL!$C$27, 0.0021, 0)</f>
        <v>162.88160000000002</v>
      </c>
      <c r="J905" s="14">
        <f>162.8795 * CHOOSE(CONTROL!$C$9, $D$9, 100%, $F$9) + CHOOSE(CONTROL!$C$27, 0.0021, 0)</f>
        <v>162.88160000000002</v>
      </c>
      <c r="K905" s="14">
        <f>162.8795 * CHOOSE(CONTROL!$C$9, $D$9, 100%, $F$9) + CHOOSE(CONTROL!$C$27, 0.0021, 0)</f>
        <v>162.88160000000002</v>
      </c>
      <c r="L905" s="14"/>
    </row>
    <row r="906" spans="1:12" ht="15.75" x14ac:dyDescent="0.25">
      <c r="A906" s="31">
        <v>68514</v>
      </c>
      <c r="B906" s="14">
        <f>162.5587 * CHOOSE(CONTROL!$C$9, $D$9, 100%, $F$9) + CHOOSE(CONTROL!$C$27, 0.0021, 0)</f>
        <v>162.5608</v>
      </c>
      <c r="C906" s="14">
        <f>162.1265 * CHOOSE(CONTROL!$C$9, $D$9, 100%, $F$9) + CHOOSE(CONTROL!$C$27, 0.0021, 0)</f>
        <v>162.12860000000001</v>
      </c>
      <c r="D906" s="14">
        <f>162.1265 * CHOOSE(CONTROL!$C$9, $D$9, 100%, $F$9) + CHOOSE(CONTROL!$C$27, 0.0021, 0)</f>
        <v>162.12860000000001</v>
      </c>
      <c r="E906" s="14">
        <f>161.9898 * CHOOSE(CONTROL!$C$9, $D$9, 100%, $F$9) + CHOOSE(CONTROL!$C$27, 0.0021, 0)</f>
        <v>161.99190000000002</v>
      </c>
      <c r="F906" s="14">
        <f>161.9898 * CHOOSE(CONTROL!$C$9, $D$9, 100%, $F$9) + CHOOSE(CONTROL!$C$27, 0.0021, 0)</f>
        <v>161.99190000000002</v>
      </c>
      <c r="G906" s="14">
        <f>162.2612 * CHOOSE(CONTROL!$C$9, $D$9, 100%, $F$9) + CHOOSE(CONTROL!$C$27, 0.0021, 0)</f>
        <v>162.26330000000002</v>
      </c>
      <c r="H906" s="14">
        <f>162.1265 * CHOOSE(CONTROL!$C$9, $D$9, 100%, $F$9) + CHOOSE(CONTROL!$C$27, 0.0021, 0)</f>
        <v>162.12860000000001</v>
      </c>
      <c r="I906" s="14">
        <f>162.1265 * CHOOSE(CONTROL!$C$9, $D$9, 100%, $F$9) + CHOOSE(CONTROL!$C$27, 0.0021, 0)</f>
        <v>162.12860000000001</v>
      </c>
      <c r="J906" s="14">
        <f>162.1265 * CHOOSE(CONTROL!$C$9, $D$9, 100%, $F$9) + CHOOSE(CONTROL!$C$27, 0.0021, 0)</f>
        <v>162.12860000000001</v>
      </c>
      <c r="K906" s="14">
        <f>162.1265 * CHOOSE(CONTROL!$C$9, $D$9, 100%, $F$9) + CHOOSE(CONTROL!$C$27, 0.0021, 0)</f>
        <v>162.12860000000001</v>
      </c>
      <c r="L906" s="14"/>
    </row>
    <row r="907" spans="1:12" ht="15.75" x14ac:dyDescent="0.25">
      <c r="A907" s="31">
        <v>68545</v>
      </c>
      <c r="B907" s="14">
        <f>158.8278 * CHOOSE(CONTROL!$C$9, $D$9, 100%, $F$9) + CHOOSE(CONTROL!$C$27, 0.0021, 0)</f>
        <v>158.82990000000001</v>
      </c>
      <c r="C907" s="14">
        <f>158.3955 * CHOOSE(CONTROL!$C$9, $D$9, 100%, $F$9) + CHOOSE(CONTROL!$C$27, 0.0021, 0)</f>
        <v>158.39760000000001</v>
      </c>
      <c r="D907" s="14">
        <f>158.3955 * CHOOSE(CONTROL!$C$9, $D$9, 100%, $F$9) + CHOOSE(CONTROL!$C$27, 0.0021, 0)</f>
        <v>158.39760000000001</v>
      </c>
      <c r="E907" s="14">
        <f>158.2589 * CHOOSE(CONTROL!$C$9, $D$9, 100%, $F$9) + CHOOSE(CONTROL!$C$27, 0.0021, 0)</f>
        <v>158.26100000000002</v>
      </c>
      <c r="F907" s="14">
        <f>158.2589 * CHOOSE(CONTROL!$C$9, $D$9, 100%, $F$9) + CHOOSE(CONTROL!$C$27, 0.0021, 0)</f>
        <v>158.26100000000002</v>
      </c>
      <c r="G907" s="14">
        <f>158.5302 * CHOOSE(CONTROL!$C$9, $D$9, 100%, $F$9) + CHOOSE(CONTROL!$C$27, 0.0021, 0)</f>
        <v>158.53230000000002</v>
      </c>
      <c r="H907" s="14">
        <f>158.3955 * CHOOSE(CONTROL!$C$9, $D$9, 100%, $F$9) + CHOOSE(CONTROL!$C$27, 0.0021, 0)</f>
        <v>158.39760000000001</v>
      </c>
      <c r="I907" s="14">
        <f>158.3955 * CHOOSE(CONTROL!$C$9, $D$9, 100%, $F$9) + CHOOSE(CONTROL!$C$27, 0.0021, 0)</f>
        <v>158.39760000000001</v>
      </c>
      <c r="J907" s="14">
        <f>158.3955 * CHOOSE(CONTROL!$C$9, $D$9, 100%, $F$9) + CHOOSE(CONTROL!$C$27, 0.0021, 0)</f>
        <v>158.39760000000001</v>
      </c>
      <c r="K907" s="14">
        <f>158.3955 * CHOOSE(CONTROL!$C$9, $D$9, 100%, $F$9) + CHOOSE(CONTROL!$C$27, 0.0021, 0)</f>
        <v>158.39760000000001</v>
      </c>
      <c r="L907" s="14"/>
    </row>
    <row r="908" spans="1:12" ht="15.75" x14ac:dyDescent="0.25">
      <c r="A908" s="31">
        <v>68575</v>
      </c>
      <c r="B908" s="14">
        <f>153.6248 * CHOOSE(CONTROL!$C$9, $D$9, 100%, $F$9) + CHOOSE(CONTROL!$C$27, 0.0021, 0)</f>
        <v>153.62690000000001</v>
      </c>
      <c r="C908" s="14">
        <f>153.1926 * CHOOSE(CONTROL!$C$9, $D$9, 100%, $F$9) + CHOOSE(CONTROL!$C$27, 0.0021, 0)</f>
        <v>153.19470000000001</v>
      </c>
      <c r="D908" s="14">
        <f>153.1926 * CHOOSE(CONTROL!$C$9, $D$9, 100%, $F$9) + CHOOSE(CONTROL!$C$27, 0.0021, 0)</f>
        <v>153.19470000000001</v>
      </c>
      <c r="E908" s="14">
        <f>153.0559 * CHOOSE(CONTROL!$C$9, $D$9, 100%, $F$9) + CHOOSE(CONTROL!$C$27, 0.0021, 0)</f>
        <v>153.05800000000002</v>
      </c>
      <c r="F908" s="14">
        <f>153.0559 * CHOOSE(CONTROL!$C$9, $D$9, 100%, $F$9) + CHOOSE(CONTROL!$C$27, 0.0021, 0)</f>
        <v>153.05800000000002</v>
      </c>
      <c r="G908" s="14">
        <f>153.3273 * CHOOSE(CONTROL!$C$9, $D$9, 100%, $F$9) + CHOOSE(CONTROL!$C$27, 0.0021, 0)</f>
        <v>153.32940000000002</v>
      </c>
      <c r="H908" s="14">
        <f>153.1926 * CHOOSE(CONTROL!$C$9, $D$9, 100%, $F$9) + CHOOSE(CONTROL!$C$27, 0.0021, 0)</f>
        <v>153.19470000000001</v>
      </c>
      <c r="I908" s="14">
        <f>153.1926 * CHOOSE(CONTROL!$C$9, $D$9, 100%, $F$9) + CHOOSE(CONTROL!$C$27, 0.0021, 0)</f>
        <v>153.19470000000001</v>
      </c>
      <c r="J908" s="14">
        <f>153.1926 * CHOOSE(CONTROL!$C$9, $D$9, 100%, $F$9) + CHOOSE(CONTROL!$C$27, 0.0021, 0)</f>
        <v>153.19470000000001</v>
      </c>
      <c r="K908" s="14">
        <f>153.1926 * CHOOSE(CONTROL!$C$9, $D$9, 100%, $F$9) + CHOOSE(CONTROL!$C$27, 0.0021, 0)</f>
        <v>153.19470000000001</v>
      </c>
      <c r="L908" s="14"/>
    </row>
    <row r="909" spans="1:12" ht="15.75" x14ac:dyDescent="0.25">
      <c r="A909" s="31">
        <v>68606</v>
      </c>
      <c r="B909" s="14">
        <f>148.3916 * CHOOSE(CONTROL!$C$9, $D$9, 100%, $F$9) + CHOOSE(CONTROL!$C$27, 0.0021, 0)</f>
        <v>148.39370000000002</v>
      </c>
      <c r="C909" s="14">
        <f>147.9593 * CHOOSE(CONTROL!$C$9, $D$9, 100%, $F$9) + CHOOSE(CONTROL!$C$27, 0.0021, 0)</f>
        <v>147.96140000000003</v>
      </c>
      <c r="D909" s="14">
        <f>147.9593 * CHOOSE(CONTROL!$C$9, $D$9, 100%, $F$9) + CHOOSE(CONTROL!$C$27, 0.0021, 0)</f>
        <v>147.96140000000003</v>
      </c>
      <c r="E909" s="14">
        <f>147.8227 * CHOOSE(CONTROL!$C$9, $D$9, 100%, $F$9) + CHOOSE(CONTROL!$C$27, 0.0021, 0)</f>
        <v>147.82480000000001</v>
      </c>
      <c r="F909" s="14">
        <f>147.8227 * CHOOSE(CONTROL!$C$9, $D$9, 100%, $F$9) + CHOOSE(CONTROL!$C$27, 0.0021, 0)</f>
        <v>147.82480000000001</v>
      </c>
      <c r="G909" s="14">
        <f>148.094 * CHOOSE(CONTROL!$C$9, $D$9, 100%, $F$9) + CHOOSE(CONTROL!$C$27, 0.0021, 0)</f>
        <v>148.09610000000001</v>
      </c>
      <c r="H909" s="14">
        <f>147.9593 * CHOOSE(CONTROL!$C$9, $D$9, 100%, $F$9) + CHOOSE(CONTROL!$C$27, 0.0021, 0)</f>
        <v>147.96140000000003</v>
      </c>
      <c r="I909" s="14">
        <f>147.9593 * CHOOSE(CONTROL!$C$9, $D$9, 100%, $F$9) + CHOOSE(CONTROL!$C$27, 0.0021, 0)</f>
        <v>147.96140000000003</v>
      </c>
      <c r="J909" s="14">
        <f>147.9593 * CHOOSE(CONTROL!$C$9, $D$9, 100%, $F$9) + CHOOSE(CONTROL!$C$27, 0.0021, 0)</f>
        <v>147.96140000000003</v>
      </c>
      <c r="K909" s="14">
        <f>147.9593 * CHOOSE(CONTROL!$C$9, $D$9, 100%, $F$9) + CHOOSE(CONTROL!$C$27, 0.0021, 0)</f>
        <v>147.96140000000003</v>
      </c>
      <c r="L909" s="14"/>
    </row>
    <row r="910" spans="1:12" ht="15.75" x14ac:dyDescent="0.25">
      <c r="A910" s="31">
        <v>68636</v>
      </c>
      <c r="B910" s="14">
        <f>147.3506 * CHOOSE(CONTROL!$C$9, $D$9, 100%, $F$9) + CHOOSE(CONTROL!$C$27, 0.0021, 0)</f>
        <v>147.3527</v>
      </c>
      <c r="C910" s="14">
        <f>146.9183 * CHOOSE(CONTROL!$C$9, $D$9, 100%, $F$9) + CHOOSE(CONTROL!$C$27, 0.0021, 0)</f>
        <v>146.9204</v>
      </c>
      <c r="D910" s="14">
        <f>146.9183 * CHOOSE(CONTROL!$C$9, $D$9, 100%, $F$9) + CHOOSE(CONTROL!$C$27, 0.0021, 0)</f>
        <v>146.9204</v>
      </c>
      <c r="E910" s="14">
        <f>146.7817 * CHOOSE(CONTROL!$C$9, $D$9, 100%, $F$9) + CHOOSE(CONTROL!$C$27, 0.0021, 0)</f>
        <v>146.78380000000001</v>
      </c>
      <c r="F910" s="14">
        <f>146.7817 * CHOOSE(CONTROL!$C$9, $D$9, 100%, $F$9) + CHOOSE(CONTROL!$C$27, 0.0021, 0)</f>
        <v>146.78380000000001</v>
      </c>
      <c r="G910" s="14">
        <f>147.053 * CHOOSE(CONTROL!$C$9, $D$9, 100%, $F$9) + CHOOSE(CONTROL!$C$27, 0.0021, 0)</f>
        <v>147.05510000000001</v>
      </c>
      <c r="H910" s="14">
        <f>146.9183 * CHOOSE(CONTROL!$C$9, $D$9, 100%, $F$9) + CHOOSE(CONTROL!$C$27, 0.0021, 0)</f>
        <v>146.9204</v>
      </c>
      <c r="I910" s="14">
        <f>146.9183 * CHOOSE(CONTROL!$C$9, $D$9, 100%, $F$9) + CHOOSE(CONTROL!$C$27, 0.0021, 0)</f>
        <v>146.9204</v>
      </c>
      <c r="J910" s="14">
        <f>146.9183 * CHOOSE(CONTROL!$C$9, $D$9, 100%, $F$9) + CHOOSE(CONTROL!$C$27, 0.0021, 0)</f>
        <v>146.9204</v>
      </c>
      <c r="K910" s="14">
        <f>146.9183 * CHOOSE(CONTROL!$C$9, $D$9, 100%, $F$9) + CHOOSE(CONTROL!$C$27, 0.0021, 0)</f>
        <v>146.9204</v>
      </c>
      <c r="L910" s="14"/>
    </row>
    <row r="911" spans="1:12" ht="15.75" x14ac:dyDescent="0.25">
      <c r="A911" s="31">
        <v>68667</v>
      </c>
      <c r="B911" s="14">
        <f>143.046 * CHOOSE(CONTROL!$C$9, $D$9, 100%, $F$9) + CHOOSE(CONTROL!$C$27, 0.0021, 0)</f>
        <v>143.04810000000001</v>
      </c>
      <c r="C911" s="14">
        <f>142.6137 * CHOOSE(CONTROL!$C$9, $D$9, 100%, $F$9) + CHOOSE(CONTROL!$C$27, 0.0021, 0)</f>
        <v>142.61580000000001</v>
      </c>
      <c r="D911" s="14">
        <f>142.6137 * CHOOSE(CONTROL!$C$9, $D$9, 100%, $F$9) + CHOOSE(CONTROL!$C$27, 0.0021, 0)</f>
        <v>142.61580000000001</v>
      </c>
      <c r="E911" s="14">
        <f>142.4771 * CHOOSE(CONTROL!$C$9, $D$9, 100%, $F$9) + CHOOSE(CONTROL!$C$27, 0.0021, 0)</f>
        <v>142.47920000000002</v>
      </c>
      <c r="F911" s="14">
        <f>142.4771 * CHOOSE(CONTROL!$C$9, $D$9, 100%, $F$9) + CHOOSE(CONTROL!$C$27, 0.0021, 0)</f>
        <v>142.47920000000002</v>
      </c>
      <c r="G911" s="14">
        <f>142.7484 * CHOOSE(CONTROL!$C$9, $D$9, 100%, $F$9) + CHOOSE(CONTROL!$C$27, 0.0021, 0)</f>
        <v>142.75050000000002</v>
      </c>
      <c r="H911" s="14">
        <f>142.6137 * CHOOSE(CONTROL!$C$9, $D$9, 100%, $F$9) + CHOOSE(CONTROL!$C$27, 0.0021, 0)</f>
        <v>142.61580000000001</v>
      </c>
      <c r="I911" s="14">
        <f>142.6137 * CHOOSE(CONTROL!$C$9, $D$9, 100%, $F$9) + CHOOSE(CONTROL!$C$27, 0.0021, 0)</f>
        <v>142.61580000000001</v>
      </c>
      <c r="J911" s="14">
        <f>142.6137 * CHOOSE(CONTROL!$C$9, $D$9, 100%, $F$9) + CHOOSE(CONTROL!$C$27, 0.0021, 0)</f>
        <v>142.61580000000001</v>
      </c>
      <c r="K911" s="14">
        <f>142.6137 * CHOOSE(CONTROL!$C$9, $D$9, 100%, $F$9) + CHOOSE(CONTROL!$C$27, 0.0021, 0)</f>
        <v>142.61580000000001</v>
      </c>
      <c r="L911" s="14"/>
    </row>
    <row r="912" spans="1:12" ht="15.75" x14ac:dyDescent="0.25">
      <c r="A912" s="31">
        <v>68698</v>
      </c>
      <c r="B912" s="14">
        <f>142.2079 * CHOOSE(CONTROL!$C$9, $D$9, 100%, $F$9) + CHOOSE(CONTROL!$C$27, 0.0021, 0)</f>
        <v>142.21</v>
      </c>
      <c r="C912" s="14">
        <f>141.7757 * CHOOSE(CONTROL!$C$9, $D$9, 100%, $F$9) + CHOOSE(CONTROL!$C$27, 0.0021, 0)</f>
        <v>141.77780000000001</v>
      </c>
      <c r="D912" s="14">
        <f>141.7757 * CHOOSE(CONTROL!$C$9, $D$9, 100%, $F$9) + CHOOSE(CONTROL!$C$27, 0.0021, 0)</f>
        <v>141.77780000000001</v>
      </c>
      <c r="E912" s="14">
        <f>141.639 * CHOOSE(CONTROL!$C$9, $D$9, 100%, $F$9) + CHOOSE(CONTROL!$C$27, 0.0021, 0)</f>
        <v>141.64110000000002</v>
      </c>
      <c r="F912" s="14">
        <f>141.639 * CHOOSE(CONTROL!$C$9, $D$9, 100%, $F$9) + CHOOSE(CONTROL!$C$27, 0.0021, 0)</f>
        <v>141.64110000000002</v>
      </c>
      <c r="G912" s="14">
        <f>141.9104 * CHOOSE(CONTROL!$C$9, $D$9, 100%, $F$9) + CHOOSE(CONTROL!$C$27, 0.0021, 0)</f>
        <v>141.91250000000002</v>
      </c>
      <c r="H912" s="14">
        <f>141.7757 * CHOOSE(CONTROL!$C$9, $D$9, 100%, $F$9) + CHOOSE(CONTROL!$C$27, 0.0021, 0)</f>
        <v>141.77780000000001</v>
      </c>
      <c r="I912" s="14">
        <f>141.7757 * CHOOSE(CONTROL!$C$9, $D$9, 100%, $F$9) + CHOOSE(CONTROL!$C$27, 0.0021, 0)</f>
        <v>141.77780000000001</v>
      </c>
      <c r="J912" s="14">
        <f>141.7757 * CHOOSE(CONTROL!$C$9, $D$9, 100%, $F$9) + CHOOSE(CONTROL!$C$27, 0.0021, 0)</f>
        <v>141.77780000000001</v>
      </c>
      <c r="K912" s="14">
        <f>141.7757 * CHOOSE(CONTROL!$C$9, $D$9, 100%, $F$9) + CHOOSE(CONTROL!$C$27, 0.0021, 0)</f>
        <v>141.77780000000001</v>
      </c>
      <c r="L912" s="14"/>
    </row>
    <row r="913" spans="1:12" ht="15.75" x14ac:dyDescent="0.25">
      <c r="A913" s="31">
        <v>68727</v>
      </c>
      <c r="B913" s="14">
        <f>141.819 * CHOOSE(CONTROL!$C$9, $D$9, 100%, $F$9) + CHOOSE(CONTROL!$C$27, 0.0021, 0)</f>
        <v>141.8211</v>
      </c>
      <c r="C913" s="14">
        <f>141.3867 * CHOOSE(CONTROL!$C$9, $D$9, 100%, $F$9) + CHOOSE(CONTROL!$C$27, 0.0021, 0)</f>
        <v>141.3888</v>
      </c>
      <c r="D913" s="14">
        <f>141.3867 * CHOOSE(CONTROL!$C$9, $D$9, 100%, $F$9) + CHOOSE(CONTROL!$C$27, 0.0021, 0)</f>
        <v>141.3888</v>
      </c>
      <c r="E913" s="14">
        <f>141.2501 * CHOOSE(CONTROL!$C$9, $D$9, 100%, $F$9) + CHOOSE(CONTROL!$C$27, 0.0021, 0)</f>
        <v>141.25220000000002</v>
      </c>
      <c r="F913" s="14">
        <f>141.2501 * CHOOSE(CONTROL!$C$9, $D$9, 100%, $F$9) + CHOOSE(CONTROL!$C$27, 0.0021, 0)</f>
        <v>141.25220000000002</v>
      </c>
      <c r="G913" s="14">
        <f>141.5215 * CHOOSE(CONTROL!$C$9, $D$9, 100%, $F$9) + CHOOSE(CONTROL!$C$27, 0.0021, 0)</f>
        <v>141.52360000000002</v>
      </c>
      <c r="H913" s="14">
        <f>141.3867 * CHOOSE(CONTROL!$C$9, $D$9, 100%, $F$9) + CHOOSE(CONTROL!$C$27, 0.0021, 0)</f>
        <v>141.3888</v>
      </c>
      <c r="I913" s="14">
        <f>141.3867 * CHOOSE(CONTROL!$C$9, $D$9, 100%, $F$9) + CHOOSE(CONTROL!$C$27, 0.0021, 0)</f>
        <v>141.3888</v>
      </c>
      <c r="J913" s="14">
        <f>141.3867 * CHOOSE(CONTROL!$C$9, $D$9, 100%, $F$9) + CHOOSE(CONTROL!$C$27, 0.0021, 0)</f>
        <v>141.3888</v>
      </c>
      <c r="K913" s="14">
        <f>141.3867 * CHOOSE(CONTROL!$C$9, $D$9, 100%, $F$9) + CHOOSE(CONTROL!$C$27, 0.0021, 0)</f>
        <v>141.3888</v>
      </c>
      <c r="L913" s="14"/>
    </row>
    <row r="914" spans="1:12" ht="15.75" x14ac:dyDescent="0.25">
      <c r="A914" s="31">
        <v>68758</v>
      </c>
      <c r="B914" s="14">
        <f>149.1728 * CHOOSE(CONTROL!$C$9, $D$9, 100%, $F$9) + CHOOSE(CONTROL!$C$27, 0.0021, 0)</f>
        <v>149.17490000000001</v>
      </c>
      <c r="C914" s="14">
        <f>148.7406 * CHOOSE(CONTROL!$C$9, $D$9, 100%, $F$9) + CHOOSE(CONTROL!$C$27, 0.0021, 0)</f>
        <v>148.74270000000001</v>
      </c>
      <c r="D914" s="14">
        <f>148.7406 * CHOOSE(CONTROL!$C$9, $D$9, 100%, $F$9) + CHOOSE(CONTROL!$C$27, 0.0021, 0)</f>
        <v>148.74270000000001</v>
      </c>
      <c r="E914" s="14">
        <f>148.6039 * CHOOSE(CONTROL!$C$9, $D$9, 100%, $F$9) + CHOOSE(CONTROL!$C$27, 0.0021, 0)</f>
        <v>148.60600000000002</v>
      </c>
      <c r="F914" s="14">
        <f>148.6039 * CHOOSE(CONTROL!$C$9, $D$9, 100%, $F$9) + CHOOSE(CONTROL!$C$27, 0.0021, 0)</f>
        <v>148.60600000000002</v>
      </c>
      <c r="G914" s="14">
        <f>148.8753 * CHOOSE(CONTROL!$C$9, $D$9, 100%, $F$9) + CHOOSE(CONTROL!$C$27, 0.0021, 0)</f>
        <v>148.87740000000002</v>
      </c>
      <c r="H914" s="14">
        <f>148.7406 * CHOOSE(CONTROL!$C$9, $D$9, 100%, $F$9) + CHOOSE(CONTROL!$C$27, 0.0021, 0)</f>
        <v>148.74270000000001</v>
      </c>
      <c r="I914" s="14">
        <f>148.7406 * CHOOSE(CONTROL!$C$9, $D$9, 100%, $F$9) + CHOOSE(CONTROL!$C$27, 0.0021, 0)</f>
        <v>148.74270000000001</v>
      </c>
      <c r="J914" s="14">
        <f>148.7406 * CHOOSE(CONTROL!$C$9, $D$9, 100%, $F$9) + CHOOSE(CONTROL!$C$27, 0.0021, 0)</f>
        <v>148.74270000000001</v>
      </c>
      <c r="K914" s="14">
        <f>148.7406 * CHOOSE(CONTROL!$C$9, $D$9, 100%, $F$9) + CHOOSE(CONTROL!$C$27, 0.0021, 0)</f>
        <v>148.74270000000001</v>
      </c>
      <c r="L914" s="14"/>
    </row>
    <row r="915" spans="1:12" ht="15.75" x14ac:dyDescent="0.25">
      <c r="A915" s="31">
        <v>68788</v>
      </c>
      <c r="B915" s="14">
        <f>158.709 * CHOOSE(CONTROL!$C$9, $D$9, 100%, $F$9) + CHOOSE(CONTROL!$C$27, 0.0021, 0)</f>
        <v>158.71110000000002</v>
      </c>
      <c r="C915" s="14">
        <f>158.2768 * CHOOSE(CONTROL!$C$9, $D$9, 100%, $F$9) + CHOOSE(CONTROL!$C$27, 0.0021, 0)</f>
        <v>158.27890000000002</v>
      </c>
      <c r="D915" s="14">
        <f>158.2768 * CHOOSE(CONTROL!$C$9, $D$9, 100%, $F$9) + CHOOSE(CONTROL!$C$27, 0.0021, 0)</f>
        <v>158.27890000000002</v>
      </c>
      <c r="E915" s="14">
        <f>158.1401 * CHOOSE(CONTROL!$C$9, $D$9, 100%, $F$9) + CHOOSE(CONTROL!$C$27, 0.0021, 0)</f>
        <v>158.1422</v>
      </c>
      <c r="F915" s="14">
        <f>158.1401 * CHOOSE(CONTROL!$C$9, $D$9, 100%, $F$9) + CHOOSE(CONTROL!$C$27, 0.0021, 0)</f>
        <v>158.1422</v>
      </c>
      <c r="G915" s="14">
        <f>158.4115 * CHOOSE(CONTROL!$C$9, $D$9, 100%, $F$9) + CHOOSE(CONTROL!$C$27, 0.0021, 0)</f>
        <v>158.4136</v>
      </c>
      <c r="H915" s="14">
        <f>158.2768 * CHOOSE(CONTROL!$C$9, $D$9, 100%, $F$9) + CHOOSE(CONTROL!$C$27, 0.0021, 0)</f>
        <v>158.27890000000002</v>
      </c>
      <c r="I915" s="14">
        <f>158.2768 * CHOOSE(CONTROL!$C$9, $D$9, 100%, $F$9) + CHOOSE(CONTROL!$C$27, 0.0021, 0)</f>
        <v>158.27890000000002</v>
      </c>
      <c r="J915" s="14">
        <f>158.2768 * CHOOSE(CONTROL!$C$9, $D$9, 100%, $F$9) + CHOOSE(CONTROL!$C$27, 0.0021, 0)</f>
        <v>158.27890000000002</v>
      </c>
      <c r="K915" s="14">
        <f>158.2768 * CHOOSE(CONTROL!$C$9, $D$9, 100%, $F$9) + CHOOSE(CONTROL!$C$27, 0.0021, 0)</f>
        <v>158.27890000000002</v>
      </c>
      <c r="L915" s="14"/>
    </row>
    <row r="916" spans="1:12" ht="15.75" x14ac:dyDescent="0.25">
      <c r="A916" s="31">
        <v>68819</v>
      </c>
      <c r="B916" s="14">
        <f>163.9581 * CHOOSE(CONTROL!$C$9, $D$9, 100%, $F$9) + CHOOSE(CONTROL!$C$27, 0.0021, 0)</f>
        <v>163.96020000000001</v>
      </c>
      <c r="C916" s="14">
        <f>163.5258 * CHOOSE(CONTROL!$C$9, $D$9, 100%, $F$9) + CHOOSE(CONTROL!$C$27, 0.0021, 0)</f>
        <v>163.52790000000002</v>
      </c>
      <c r="D916" s="14">
        <f>163.5258 * CHOOSE(CONTROL!$C$9, $D$9, 100%, $F$9) + CHOOSE(CONTROL!$C$27, 0.0021, 0)</f>
        <v>163.52790000000002</v>
      </c>
      <c r="E916" s="14">
        <f>163.3892 * CHOOSE(CONTROL!$C$9, $D$9, 100%, $F$9) + CHOOSE(CONTROL!$C$27, 0.0021, 0)</f>
        <v>163.3913</v>
      </c>
      <c r="F916" s="14">
        <f>163.3892 * CHOOSE(CONTROL!$C$9, $D$9, 100%, $F$9) + CHOOSE(CONTROL!$C$27, 0.0021, 0)</f>
        <v>163.3913</v>
      </c>
      <c r="G916" s="14">
        <f>163.6605 * CHOOSE(CONTROL!$C$9, $D$9, 100%, $F$9) + CHOOSE(CONTROL!$C$27, 0.0021, 0)</f>
        <v>163.66260000000003</v>
      </c>
      <c r="H916" s="14">
        <f>163.5258 * CHOOSE(CONTROL!$C$9, $D$9, 100%, $F$9) + CHOOSE(CONTROL!$C$27, 0.0021, 0)</f>
        <v>163.52790000000002</v>
      </c>
      <c r="I916" s="14">
        <f>163.5258 * CHOOSE(CONTROL!$C$9, $D$9, 100%, $F$9) + CHOOSE(CONTROL!$C$27, 0.0021, 0)</f>
        <v>163.52790000000002</v>
      </c>
      <c r="J916" s="14">
        <f>163.5258 * CHOOSE(CONTROL!$C$9, $D$9, 100%, $F$9) + CHOOSE(CONTROL!$C$27, 0.0021, 0)</f>
        <v>163.52790000000002</v>
      </c>
      <c r="K916" s="14">
        <f>163.5258 * CHOOSE(CONTROL!$C$9, $D$9, 100%, $F$9) + CHOOSE(CONTROL!$C$27, 0.0021, 0)</f>
        <v>163.52790000000002</v>
      </c>
      <c r="L916" s="14"/>
    </row>
    <row r="917" spans="1:12" ht="15.75" x14ac:dyDescent="0.25">
      <c r="A917" s="31">
        <v>68849</v>
      </c>
      <c r="B917" s="14">
        <f>166.2875 * CHOOSE(CONTROL!$C$9, $D$9, 100%, $F$9) + CHOOSE(CONTROL!$C$27, 0.0021, 0)</f>
        <v>166.28960000000001</v>
      </c>
      <c r="C917" s="14">
        <f>165.8553 * CHOOSE(CONTROL!$C$9, $D$9, 100%, $F$9) + CHOOSE(CONTROL!$C$27, 0.0021, 0)</f>
        <v>165.85740000000001</v>
      </c>
      <c r="D917" s="14">
        <f>165.8553 * CHOOSE(CONTROL!$C$9, $D$9, 100%, $F$9) + CHOOSE(CONTROL!$C$27, 0.0021, 0)</f>
        <v>165.85740000000001</v>
      </c>
      <c r="E917" s="14">
        <f>165.7186 * CHOOSE(CONTROL!$C$9, $D$9, 100%, $F$9) + CHOOSE(CONTROL!$C$27, 0.0021, 0)</f>
        <v>165.72070000000002</v>
      </c>
      <c r="F917" s="14">
        <f>165.7186 * CHOOSE(CONTROL!$C$9, $D$9, 100%, $F$9) + CHOOSE(CONTROL!$C$27, 0.0021, 0)</f>
        <v>165.72070000000002</v>
      </c>
      <c r="G917" s="14">
        <f>165.99 * CHOOSE(CONTROL!$C$9, $D$9, 100%, $F$9) + CHOOSE(CONTROL!$C$27, 0.0021, 0)</f>
        <v>165.99210000000002</v>
      </c>
      <c r="H917" s="14">
        <f>165.8553 * CHOOSE(CONTROL!$C$9, $D$9, 100%, $F$9) + CHOOSE(CONTROL!$C$27, 0.0021, 0)</f>
        <v>165.85740000000001</v>
      </c>
      <c r="I917" s="14">
        <f>165.8553 * CHOOSE(CONTROL!$C$9, $D$9, 100%, $F$9) + CHOOSE(CONTROL!$C$27, 0.0021, 0)</f>
        <v>165.85740000000001</v>
      </c>
      <c r="J917" s="14">
        <f>165.8553 * CHOOSE(CONTROL!$C$9, $D$9, 100%, $F$9) + CHOOSE(CONTROL!$C$27, 0.0021, 0)</f>
        <v>165.85740000000001</v>
      </c>
      <c r="K917" s="14">
        <f>165.8553 * CHOOSE(CONTROL!$C$9, $D$9, 100%, $F$9) + CHOOSE(CONTROL!$C$27, 0.0021, 0)</f>
        <v>165.85740000000001</v>
      </c>
      <c r="L917" s="14"/>
    </row>
    <row r="918" spans="1:12" ht="15.75" x14ac:dyDescent="0.25">
      <c r="A918" s="31">
        <v>68880</v>
      </c>
      <c r="B918" s="14">
        <f>165.5205 * CHOOSE(CONTROL!$C$9, $D$9, 100%, $F$9) + CHOOSE(CONTROL!$C$27, 0.0021, 0)</f>
        <v>165.52260000000001</v>
      </c>
      <c r="C918" s="14">
        <f>165.0883 * CHOOSE(CONTROL!$C$9, $D$9, 100%, $F$9) + CHOOSE(CONTROL!$C$27, 0.0021, 0)</f>
        <v>165.09040000000002</v>
      </c>
      <c r="D918" s="14">
        <f>165.0883 * CHOOSE(CONTROL!$C$9, $D$9, 100%, $F$9) + CHOOSE(CONTROL!$C$27, 0.0021, 0)</f>
        <v>165.09040000000002</v>
      </c>
      <c r="E918" s="14">
        <f>164.9516 * CHOOSE(CONTROL!$C$9, $D$9, 100%, $F$9) + CHOOSE(CONTROL!$C$27, 0.0021, 0)</f>
        <v>164.95370000000003</v>
      </c>
      <c r="F918" s="14">
        <f>164.9516 * CHOOSE(CONTROL!$C$9, $D$9, 100%, $F$9) + CHOOSE(CONTROL!$C$27, 0.0021, 0)</f>
        <v>164.95370000000003</v>
      </c>
      <c r="G918" s="14">
        <f>165.223 * CHOOSE(CONTROL!$C$9, $D$9, 100%, $F$9) + CHOOSE(CONTROL!$C$27, 0.0021, 0)</f>
        <v>165.22510000000003</v>
      </c>
      <c r="H918" s="14">
        <f>165.0883 * CHOOSE(CONTROL!$C$9, $D$9, 100%, $F$9) + CHOOSE(CONTROL!$C$27, 0.0021, 0)</f>
        <v>165.09040000000002</v>
      </c>
      <c r="I918" s="14">
        <f>165.0883 * CHOOSE(CONTROL!$C$9, $D$9, 100%, $F$9) + CHOOSE(CONTROL!$C$27, 0.0021, 0)</f>
        <v>165.09040000000002</v>
      </c>
      <c r="J918" s="14">
        <f>165.0883 * CHOOSE(CONTROL!$C$9, $D$9, 100%, $F$9) + CHOOSE(CONTROL!$C$27, 0.0021, 0)</f>
        <v>165.09040000000002</v>
      </c>
      <c r="K918" s="14">
        <f>165.0883 * CHOOSE(CONTROL!$C$9, $D$9, 100%, $F$9) + CHOOSE(CONTROL!$C$27, 0.0021, 0)</f>
        <v>165.09040000000002</v>
      </c>
      <c r="L918" s="14"/>
    </row>
    <row r="919" spans="1:12" ht="15.75" x14ac:dyDescent="0.25">
      <c r="A919" s="31">
        <v>68911</v>
      </c>
      <c r="B919" s="14">
        <f>161.7207 * CHOOSE(CONTROL!$C$9, $D$9, 100%, $F$9) + CHOOSE(CONTROL!$C$27, 0.0021, 0)</f>
        <v>161.72280000000001</v>
      </c>
      <c r="C919" s="14">
        <f>161.2884 * CHOOSE(CONTROL!$C$9, $D$9, 100%, $F$9) + CHOOSE(CONTROL!$C$27, 0.0021, 0)</f>
        <v>161.29050000000001</v>
      </c>
      <c r="D919" s="14">
        <f>161.2884 * CHOOSE(CONTROL!$C$9, $D$9, 100%, $F$9) + CHOOSE(CONTROL!$C$27, 0.0021, 0)</f>
        <v>161.29050000000001</v>
      </c>
      <c r="E919" s="14">
        <f>161.1518 * CHOOSE(CONTROL!$C$9, $D$9, 100%, $F$9) + CHOOSE(CONTROL!$C$27, 0.0021, 0)</f>
        <v>161.15390000000002</v>
      </c>
      <c r="F919" s="14">
        <f>161.1518 * CHOOSE(CONTROL!$C$9, $D$9, 100%, $F$9) + CHOOSE(CONTROL!$C$27, 0.0021, 0)</f>
        <v>161.15390000000002</v>
      </c>
      <c r="G919" s="14">
        <f>161.4231 * CHOOSE(CONTROL!$C$9, $D$9, 100%, $F$9) + CHOOSE(CONTROL!$C$27, 0.0021, 0)</f>
        <v>161.42520000000002</v>
      </c>
      <c r="H919" s="14">
        <f>161.2884 * CHOOSE(CONTROL!$C$9, $D$9, 100%, $F$9) + CHOOSE(CONTROL!$C$27, 0.0021, 0)</f>
        <v>161.29050000000001</v>
      </c>
      <c r="I919" s="14">
        <f>161.2884 * CHOOSE(CONTROL!$C$9, $D$9, 100%, $F$9) + CHOOSE(CONTROL!$C$27, 0.0021, 0)</f>
        <v>161.29050000000001</v>
      </c>
      <c r="J919" s="14">
        <f>161.2884 * CHOOSE(CONTROL!$C$9, $D$9, 100%, $F$9) + CHOOSE(CONTROL!$C$27, 0.0021, 0)</f>
        <v>161.29050000000001</v>
      </c>
      <c r="K919" s="14">
        <f>161.2884 * CHOOSE(CONTROL!$C$9, $D$9, 100%, $F$9) + CHOOSE(CONTROL!$C$27, 0.0021, 0)</f>
        <v>161.29050000000001</v>
      </c>
      <c r="L919" s="14"/>
    </row>
    <row r="920" spans="1:12" ht="15.75" x14ac:dyDescent="0.25">
      <c r="A920" s="31">
        <v>68941</v>
      </c>
      <c r="B920" s="14">
        <f>156.4215 * CHOOSE(CONTROL!$C$9, $D$9, 100%, $F$9) + CHOOSE(CONTROL!$C$27, 0.0021, 0)</f>
        <v>156.42360000000002</v>
      </c>
      <c r="C920" s="14">
        <f>155.9893 * CHOOSE(CONTROL!$C$9, $D$9, 100%, $F$9) + CHOOSE(CONTROL!$C$27, 0.0021, 0)</f>
        <v>155.9914</v>
      </c>
      <c r="D920" s="14">
        <f>155.9893 * CHOOSE(CONTROL!$C$9, $D$9, 100%, $F$9) + CHOOSE(CONTROL!$C$27, 0.0021, 0)</f>
        <v>155.9914</v>
      </c>
      <c r="E920" s="14">
        <f>155.8526 * CHOOSE(CONTROL!$C$9, $D$9, 100%, $F$9) + CHOOSE(CONTROL!$C$27, 0.0021, 0)</f>
        <v>155.85470000000001</v>
      </c>
      <c r="F920" s="14">
        <f>155.8526 * CHOOSE(CONTROL!$C$9, $D$9, 100%, $F$9) + CHOOSE(CONTROL!$C$27, 0.0021, 0)</f>
        <v>155.85470000000001</v>
      </c>
      <c r="G920" s="14">
        <f>156.124 * CHOOSE(CONTROL!$C$9, $D$9, 100%, $F$9) + CHOOSE(CONTROL!$C$27, 0.0021, 0)</f>
        <v>156.12610000000001</v>
      </c>
      <c r="H920" s="14">
        <f>155.9893 * CHOOSE(CONTROL!$C$9, $D$9, 100%, $F$9) + CHOOSE(CONTROL!$C$27, 0.0021, 0)</f>
        <v>155.9914</v>
      </c>
      <c r="I920" s="14">
        <f>155.9893 * CHOOSE(CONTROL!$C$9, $D$9, 100%, $F$9) + CHOOSE(CONTROL!$C$27, 0.0021, 0)</f>
        <v>155.9914</v>
      </c>
      <c r="J920" s="14">
        <f>155.9893 * CHOOSE(CONTROL!$C$9, $D$9, 100%, $F$9) + CHOOSE(CONTROL!$C$27, 0.0021, 0)</f>
        <v>155.9914</v>
      </c>
      <c r="K920" s="14">
        <f>155.9893 * CHOOSE(CONTROL!$C$9, $D$9, 100%, $F$9) + CHOOSE(CONTROL!$C$27, 0.0021, 0)</f>
        <v>155.9914</v>
      </c>
      <c r="L920" s="14"/>
    </row>
    <row r="921" spans="1:12" ht="15.75" x14ac:dyDescent="0.25">
      <c r="A921" s="31">
        <v>68972</v>
      </c>
      <c r="B921" s="14">
        <f>151.0916 * CHOOSE(CONTROL!$C$9, $D$9, 100%, $F$9) + CHOOSE(CONTROL!$C$27, 0.0021, 0)</f>
        <v>151.09370000000001</v>
      </c>
      <c r="C921" s="14">
        <f>150.6594 * CHOOSE(CONTROL!$C$9, $D$9, 100%, $F$9) + CHOOSE(CONTROL!$C$27, 0.0021, 0)</f>
        <v>150.66150000000002</v>
      </c>
      <c r="D921" s="14">
        <f>150.6594 * CHOOSE(CONTROL!$C$9, $D$9, 100%, $F$9) + CHOOSE(CONTROL!$C$27, 0.0021, 0)</f>
        <v>150.66150000000002</v>
      </c>
      <c r="E921" s="14">
        <f>150.5227 * CHOOSE(CONTROL!$C$9, $D$9, 100%, $F$9) + CHOOSE(CONTROL!$C$27, 0.0021, 0)</f>
        <v>150.5248</v>
      </c>
      <c r="F921" s="14">
        <f>150.5227 * CHOOSE(CONTROL!$C$9, $D$9, 100%, $F$9) + CHOOSE(CONTROL!$C$27, 0.0021, 0)</f>
        <v>150.5248</v>
      </c>
      <c r="G921" s="14">
        <f>150.7941 * CHOOSE(CONTROL!$C$9, $D$9, 100%, $F$9) + CHOOSE(CONTROL!$C$27, 0.0021, 0)</f>
        <v>150.7962</v>
      </c>
      <c r="H921" s="14">
        <f>150.6594 * CHOOSE(CONTROL!$C$9, $D$9, 100%, $F$9) + CHOOSE(CONTROL!$C$27, 0.0021, 0)</f>
        <v>150.66150000000002</v>
      </c>
      <c r="I921" s="14">
        <f>150.6594 * CHOOSE(CONTROL!$C$9, $D$9, 100%, $F$9) + CHOOSE(CONTROL!$C$27, 0.0021, 0)</f>
        <v>150.66150000000002</v>
      </c>
      <c r="J921" s="14">
        <f>150.6594 * CHOOSE(CONTROL!$C$9, $D$9, 100%, $F$9) + CHOOSE(CONTROL!$C$27, 0.0021, 0)</f>
        <v>150.66150000000002</v>
      </c>
      <c r="K921" s="14">
        <f>150.6594 * CHOOSE(CONTROL!$C$9, $D$9, 100%, $F$9) + CHOOSE(CONTROL!$C$27, 0.0021, 0)</f>
        <v>150.66150000000002</v>
      </c>
      <c r="L921" s="14"/>
    </row>
    <row r="922" spans="1:12" ht="15.75" x14ac:dyDescent="0.25">
      <c r="A922" s="31">
        <v>69002</v>
      </c>
      <c r="B922" s="14">
        <f>150.0314 * CHOOSE(CONTROL!$C$9, $D$9, 100%, $F$9) + CHOOSE(CONTROL!$C$27, 0.0021, 0)</f>
        <v>150.0335</v>
      </c>
      <c r="C922" s="14">
        <f>149.5991 * CHOOSE(CONTROL!$C$9, $D$9, 100%, $F$9) + CHOOSE(CONTROL!$C$27, 0.0021, 0)</f>
        <v>149.60120000000001</v>
      </c>
      <c r="D922" s="14">
        <f>149.5991 * CHOOSE(CONTROL!$C$9, $D$9, 100%, $F$9) + CHOOSE(CONTROL!$C$27, 0.0021, 0)</f>
        <v>149.60120000000001</v>
      </c>
      <c r="E922" s="14">
        <f>149.4625 * CHOOSE(CONTROL!$C$9, $D$9, 100%, $F$9) + CHOOSE(CONTROL!$C$27, 0.0021, 0)</f>
        <v>149.46460000000002</v>
      </c>
      <c r="F922" s="14">
        <f>149.4625 * CHOOSE(CONTROL!$C$9, $D$9, 100%, $F$9) + CHOOSE(CONTROL!$C$27, 0.0021, 0)</f>
        <v>149.46460000000002</v>
      </c>
      <c r="G922" s="14">
        <f>149.7338 * CHOOSE(CONTROL!$C$9, $D$9, 100%, $F$9) + CHOOSE(CONTROL!$C$27, 0.0021, 0)</f>
        <v>149.73590000000002</v>
      </c>
      <c r="H922" s="14">
        <f>149.5991 * CHOOSE(CONTROL!$C$9, $D$9, 100%, $F$9) + CHOOSE(CONTROL!$C$27, 0.0021, 0)</f>
        <v>149.60120000000001</v>
      </c>
      <c r="I922" s="14">
        <f>149.5991 * CHOOSE(CONTROL!$C$9, $D$9, 100%, $F$9) + CHOOSE(CONTROL!$C$27, 0.0021, 0)</f>
        <v>149.60120000000001</v>
      </c>
      <c r="J922" s="14">
        <f>149.5991 * CHOOSE(CONTROL!$C$9, $D$9, 100%, $F$9) + CHOOSE(CONTROL!$C$27, 0.0021, 0)</f>
        <v>149.60120000000001</v>
      </c>
      <c r="K922" s="14">
        <f>149.5991 * CHOOSE(CONTROL!$C$9, $D$9, 100%, $F$9) + CHOOSE(CONTROL!$C$27, 0.0021, 0)</f>
        <v>149.60120000000001</v>
      </c>
      <c r="L922" s="14"/>
    </row>
    <row r="923" spans="1:12" ht="15.75" x14ac:dyDescent="0.25">
      <c r="A923" s="31">
        <v>69033</v>
      </c>
      <c r="B923" s="14">
        <f>145.6472 * CHOOSE(CONTROL!$C$9, $D$9, 100%, $F$9) + CHOOSE(CONTROL!$C$27, 0.0021, 0)</f>
        <v>145.64930000000001</v>
      </c>
      <c r="C923" s="14">
        <f>145.215 * CHOOSE(CONTROL!$C$9, $D$9, 100%, $F$9) + CHOOSE(CONTROL!$C$27, 0.0021, 0)</f>
        <v>145.21710000000002</v>
      </c>
      <c r="D923" s="14">
        <f>145.215 * CHOOSE(CONTROL!$C$9, $D$9, 100%, $F$9) + CHOOSE(CONTROL!$C$27, 0.0021, 0)</f>
        <v>145.21710000000002</v>
      </c>
      <c r="E923" s="14">
        <f>145.0783 * CHOOSE(CONTROL!$C$9, $D$9, 100%, $F$9) + CHOOSE(CONTROL!$C$27, 0.0021, 0)</f>
        <v>145.08040000000003</v>
      </c>
      <c r="F923" s="14">
        <f>145.0783 * CHOOSE(CONTROL!$C$9, $D$9, 100%, $F$9) + CHOOSE(CONTROL!$C$27, 0.0021, 0)</f>
        <v>145.08040000000003</v>
      </c>
      <c r="G923" s="14">
        <f>145.3497 * CHOOSE(CONTROL!$C$9, $D$9, 100%, $F$9) + CHOOSE(CONTROL!$C$27, 0.0021, 0)</f>
        <v>145.35180000000003</v>
      </c>
      <c r="H923" s="14">
        <f>145.215 * CHOOSE(CONTROL!$C$9, $D$9, 100%, $F$9) + CHOOSE(CONTROL!$C$27, 0.0021, 0)</f>
        <v>145.21710000000002</v>
      </c>
      <c r="I923" s="14">
        <f>145.215 * CHOOSE(CONTROL!$C$9, $D$9, 100%, $F$9) + CHOOSE(CONTROL!$C$27, 0.0021, 0)</f>
        <v>145.21710000000002</v>
      </c>
      <c r="J923" s="14">
        <f>145.215 * CHOOSE(CONTROL!$C$9, $D$9, 100%, $F$9) + CHOOSE(CONTROL!$C$27, 0.0021, 0)</f>
        <v>145.21710000000002</v>
      </c>
      <c r="K923" s="14">
        <f>145.215 * CHOOSE(CONTROL!$C$9, $D$9, 100%, $F$9) + CHOOSE(CONTROL!$C$27, 0.0021, 0)</f>
        <v>145.21710000000002</v>
      </c>
      <c r="L923" s="14"/>
    </row>
    <row r="924" spans="1:12" ht="15.75" x14ac:dyDescent="0.25">
      <c r="A924" s="31">
        <v>69064</v>
      </c>
      <c r="B924" s="14">
        <f>144.7936 * CHOOSE(CONTROL!$C$9, $D$9, 100%, $F$9) + CHOOSE(CONTROL!$C$27, 0.0021, 0)</f>
        <v>144.79570000000001</v>
      </c>
      <c r="C924" s="14">
        <f>144.3614 * CHOOSE(CONTROL!$C$9, $D$9, 100%, $F$9) + CHOOSE(CONTROL!$C$27, 0.0021, 0)</f>
        <v>144.36350000000002</v>
      </c>
      <c r="D924" s="14">
        <f>144.3614 * CHOOSE(CONTROL!$C$9, $D$9, 100%, $F$9) + CHOOSE(CONTROL!$C$27, 0.0021, 0)</f>
        <v>144.36350000000002</v>
      </c>
      <c r="E924" s="14">
        <f>144.2247 * CHOOSE(CONTROL!$C$9, $D$9, 100%, $F$9) + CHOOSE(CONTROL!$C$27, 0.0021, 0)</f>
        <v>144.22680000000003</v>
      </c>
      <c r="F924" s="14">
        <f>144.2247 * CHOOSE(CONTROL!$C$9, $D$9, 100%, $F$9) + CHOOSE(CONTROL!$C$27, 0.0021, 0)</f>
        <v>144.22680000000003</v>
      </c>
      <c r="G924" s="14">
        <f>144.4961 * CHOOSE(CONTROL!$C$9, $D$9, 100%, $F$9) + CHOOSE(CONTROL!$C$27, 0.0021, 0)</f>
        <v>144.49820000000003</v>
      </c>
      <c r="H924" s="14">
        <f>144.3614 * CHOOSE(CONTROL!$C$9, $D$9, 100%, $F$9) + CHOOSE(CONTROL!$C$27, 0.0021, 0)</f>
        <v>144.36350000000002</v>
      </c>
      <c r="I924" s="14">
        <f>144.3614 * CHOOSE(CONTROL!$C$9, $D$9, 100%, $F$9) + CHOOSE(CONTROL!$C$27, 0.0021, 0)</f>
        <v>144.36350000000002</v>
      </c>
      <c r="J924" s="14">
        <f>144.3614 * CHOOSE(CONTROL!$C$9, $D$9, 100%, $F$9) + CHOOSE(CONTROL!$C$27, 0.0021, 0)</f>
        <v>144.36350000000002</v>
      </c>
      <c r="K924" s="14">
        <f>144.3614 * CHOOSE(CONTROL!$C$9, $D$9, 100%, $F$9) + CHOOSE(CONTROL!$C$27, 0.0021, 0)</f>
        <v>144.36350000000002</v>
      </c>
      <c r="L924" s="14"/>
    </row>
    <row r="925" spans="1:12" ht="15.75" x14ac:dyDescent="0.25">
      <c r="A925" s="31">
        <v>69092</v>
      </c>
      <c r="B925" s="14">
        <f>144.3975 * CHOOSE(CONTROL!$C$9, $D$9, 100%, $F$9) + CHOOSE(CONTROL!$C$27, 0.0021, 0)</f>
        <v>144.39960000000002</v>
      </c>
      <c r="C925" s="14">
        <f>143.9653 * CHOOSE(CONTROL!$C$9, $D$9, 100%, $F$9) + CHOOSE(CONTROL!$C$27, 0.0021, 0)</f>
        <v>143.96740000000003</v>
      </c>
      <c r="D925" s="14">
        <f>143.9653 * CHOOSE(CONTROL!$C$9, $D$9, 100%, $F$9) + CHOOSE(CONTROL!$C$27, 0.0021, 0)</f>
        <v>143.96740000000003</v>
      </c>
      <c r="E925" s="14">
        <f>143.8286 * CHOOSE(CONTROL!$C$9, $D$9, 100%, $F$9) + CHOOSE(CONTROL!$C$27, 0.0021, 0)</f>
        <v>143.83070000000001</v>
      </c>
      <c r="F925" s="14">
        <f>143.8286 * CHOOSE(CONTROL!$C$9, $D$9, 100%, $F$9) + CHOOSE(CONTROL!$C$27, 0.0021, 0)</f>
        <v>143.83070000000001</v>
      </c>
      <c r="G925" s="14">
        <f>144.1 * CHOOSE(CONTROL!$C$9, $D$9, 100%, $F$9) + CHOOSE(CONTROL!$C$27, 0.0021, 0)</f>
        <v>144.10210000000001</v>
      </c>
      <c r="H925" s="14">
        <f>143.9653 * CHOOSE(CONTROL!$C$9, $D$9, 100%, $F$9) + CHOOSE(CONTROL!$C$27, 0.0021, 0)</f>
        <v>143.96740000000003</v>
      </c>
      <c r="I925" s="14">
        <f>143.9653 * CHOOSE(CONTROL!$C$9, $D$9, 100%, $F$9) + CHOOSE(CONTROL!$C$27, 0.0021, 0)</f>
        <v>143.96740000000003</v>
      </c>
      <c r="J925" s="14">
        <f>143.9653 * CHOOSE(CONTROL!$C$9, $D$9, 100%, $F$9) + CHOOSE(CONTROL!$C$27, 0.0021, 0)</f>
        <v>143.96740000000003</v>
      </c>
      <c r="K925" s="14">
        <f>143.9653 * CHOOSE(CONTROL!$C$9, $D$9, 100%, $F$9) + CHOOSE(CONTROL!$C$27, 0.0021, 0)</f>
        <v>143.96740000000003</v>
      </c>
      <c r="L925" s="14"/>
    </row>
    <row r="926" spans="1:12" ht="15.75" x14ac:dyDescent="0.25">
      <c r="A926" s="31">
        <v>69123</v>
      </c>
      <c r="B926" s="14">
        <f>151.8873 * CHOOSE(CONTROL!$C$9, $D$9, 100%, $F$9) + CHOOSE(CONTROL!$C$27, 0.0021, 0)</f>
        <v>151.88940000000002</v>
      </c>
      <c r="C926" s="14">
        <f>151.4551 * CHOOSE(CONTROL!$C$9, $D$9, 100%, $F$9) + CHOOSE(CONTROL!$C$27, 0.0021, 0)</f>
        <v>151.4572</v>
      </c>
      <c r="D926" s="14">
        <f>151.4551 * CHOOSE(CONTROL!$C$9, $D$9, 100%, $F$9) + CHOOSE(CONTROL!$C$27, 0.0021, 0)</f>
        <v>151.4572</v>
      </c>
      <c r="E926" s="14">
        <f>151.3184 * CHOOSE(CONTROL!$C$9, $D$9, 100%, $F$9) + CHOOSE(CONTROL!$C$27, 0.0021, 0)</f>
        <v>151.32050000000001</v>
      </c>
      <c r="F926" s="14">
        <f>151.3184 * CHOOSE(CONTROL!$C$9, $D$9, 100%, $F$9) + CHOOSE(CONTROL!$C$27, 0.0021, 0)</f>
        <v>151.32050000000001</v>
      </c>
      <c r="G926" s="14">
        <f>151.5898 * CHOOSE(CONTROL!$C$9, $D$9, 100%, $F$9) + CHOOSE(CONTROL!$C$27, 0.0021, 0)</f>
        <v>151.59190000000001</v>
      </c>
      <c r="H926" s="14">
        <f>151.4551 * CHOOSE(CONTROL!$C$9, $D$9, 100%, $F$9) + CHOOSE(CONTROL!$C$27, 0.0021, 0)</f>
        <v>151.4572</v>
      </c>
      <c r="I926" s="14">
        <f>151.4551 * CHOOSE(CONTROL!$C$9, $D$9, 100%, $F$9) + CHOOSE(CONTROL!$C$27, 0.0021, 0)</f>
        <v>151.4572</v>
      </c>
      <c r="J926" s="14">
        <f>151.4551 * CHOOSE(CONTROL!$C$9, $D$9, 100%, $F$9) + CHOOSE(CONTROL!$C$27, 0.0021, 0)</f>
        <v>151.4572</v>
      </c>
      <c r="K926" s="14">
        <f>151.4551 * CHOOSE(CONTROL!$C$9, $D$9, 100%, $F$9) + CHOOSE(CONTROL!$C$27, 0.0021, 0)</f>
        <v>151.4572</v>
      </c>
      <c r="L926" s="14"/>
    </row>
    <row r="927" spans="1:12" ht="15.75" x14ac:dyDescent="0.25">
      <c r="A927" s="31">
        <v>69153</v>
      </c>
      <c r="B927" s="14">
        <f>161.5997 * CHOOSE(CONTROL!$C$9, $D$9, 100%, $F$9) + CHOOSE(CONTROL!$C$27, 0.0021, 0)</f>
        <v>161.60180000000003</v>
      </c>
      <c r="C927" s="14">
        <f>161.1675 * CHOOSE(CONTROL!$C$9, $D$9, 100%, $F$9) + CHOOSE(CONTROL!$C$27, 0.0021, 0)</f>
        <v>161.1696</v>
      </c>
      <c r="D927" s="14">
        <f>161.1675 * CHOOSE(CONTROL!$C$9, $D$9, 100%, $F$9) + CHOOSE(CONTROL!$C$27, 0.0021, 0)</f>
        <v>161.1696</v>
      </c>
      <c r="E927" s="14">
        <f>161.0308 * CHOOSE(CONTROL!$C$9, $D$9, 100%, $F$9) + CHOOSE(CONTROL!$C$27, 0.0021, 0)</f>
        <v>161.03290000000001</v>
      </c>
      <c r="F927" s="14">
        <f>161.0308 * CHOOSE(CONTROL!$C$9, $D$9, 100%, $F$9) + CHOOSE(CONTROL!$C$27, 0.0021, 0)</f>
        <v>161.03290000000001</v>
      </c>
      <c r="G927" s="14">
        <f>161.3022 * CHOOSE(CONTROL!$C$9, $D$9, 100%, $F$9) + CHOOSE(CONTROL!$C$27, 0.0021, 0)</f>
        <v>161.30430000000001</v>
      </c>
      <c r="H927" s="14">
        <f>161.1675 * CHOOSE(CONTROL!$C$9, $D$9, 100%, $F$9) + CHOOSE(CONTROL!$C$27, 0.0021, 0)</f>
        <v>161.1696</v>
      </c>
      <c r="I927" s="14">
        <f>161.1675 * CHOOSE(CONTROL!$C$9, $D$9, 100%, $F$9) + CHOOSE(CONTROL!$C$27, 0.0021, 0)</f>
        <v>161.1696</v>
      </c>
      <c r="J927" s="14">
        <f>161.1675 * CHOOSE(CONTROL!$C$9, $D$9, 100%, $F$9) + CHOOSE(CONTROL!$C$27, 0.0021, 0)</f>
        <v>161.1696</v>
      </c>
      <c r="K927" s="14">
        <f>161.1675 * CHOOSE(CONTROL!$C$9, $D$9, 100%, $F$9) + CHOOSE(CONTROL!$C$27, 0.0021, 0)</f>
        <v>161.1696</v>
      </c>
      <c r="L927" s="14"/>
    </row>
    <row r="928" spans="1:12" ht="15.75" x14ac:dyDescent="0.25">
      <c r="A928" s="31">
        <v>69184</v>
      </c>
      <c r="B928" s="14">
        <f>166.9458 * CHOOSE(CONTROL!$C$9, $D$9, 100%, $F$9) + CHOOSE(CONTROL!$C$27, 0.0021, 0)</f>
        <v>166.9479</v>
      </c>
      <c r="C928" s="14">
        <f>166.5135 * CHOOSE(CONTROL!$C$9, $D$9, 100%, $F$9) + CHOOSE(CONTROL!$C$27, 0.0021, 0)</f>
        <v>166.51560000000001</v>
      </c>
      <c r="D928" s="14">
        <f>166.5135 * CHOOSE(CONTROL!$C$9, $D$9, 100%, $F$9) + CHOOSE(CONTROL!$C$27, 0.0021, 0)</f>
        <v>166.51560000000001</v>
      </c>
      <c r="E928" s="14">
        <f>166.3769 * CHOOSE(CONTROL!$C$9, $D$9, 100%, $F$9) + CHOOSE(CONTROL!$C$27, 0.0021, 0)</f>
        <v>166.37900000000002</v>
      </c>
      <c r="F928" s="14">
        <f>166.3769 * CHOOSE(CONTROL!$C$9, $D$9, 100%, $F$9) + CHOOSE(CONTROL!$C$27, 0.0021, 0)</f>
        <v>166.37900000000002</v>
      </c>
      <c r="G928" s="14">
        <f>166.6483 * CHOOSE(CONTROL!$C$9, $D$9, 100%, $F$9) + CHOOSE(CONTROL!$C$27, 0.0021, 0)</f>
        <v>166.65040000000002</v>
      </c>
      <c r="H928" s="14">
        <f>166.5135 * CHOOSE(CONTROL!$C$9, $D$9, 100%, $F$9) + CHOOSE(CONTROL!$C$27, 0.0021, 0)</f>
        <v>166.51560000000001</v>
      </c>
      <c r="I928" s="14">
        <f>166.5135 * CHOOSE(CONTROL!$C$9, $D$9, 100%, $F$9) + CHOOSE(CONTROL!$C$27, 0.0021, 0)</f>
        <v>166.51560000000001</v>
      </c>
      <c r="J928" s="14">
        <f>166.5135 * CHOOSE(CONTROL!$C$9, $D$9, 100%, $F$9) + CHOOSE(CONTROL!$C$27, 0.0021, 0)</f>
        <v>166.51560000000001</v>
      </c>
      <c r="K928" s="14">
        <f>166.5135 * CHOOSE(CONTROL!$C$9, $D$9, 100%, $F$9) + CHOOSE(CONTROL!$C$27, 0.0021, 0)</f>
        <v>166.51560000000001</v>
      </c>
      <c r="L928" s="14"/>
    </row>
    <row r="929" spans="1:12" ht="15.75" x14ac:dyDescent="0.25">
      <c r="A929" s="31">
        <v>69214</v>
      </c>
      <c r="B929" s="14">
        <f>169.3183 * CHOOSE(CONTROL!$C$9, $D$9, 100%, $F$9) + CHOOSE(CONTROL!$C$27, 0.0021, 0)</f>
        <v>169.32040000000001</v>
      </c>
      <c r="C929" s="14">
        <f>168.886 * CHOOSE(CONTROL!$C$9, $D$9, 100%, $F$9) + CHOOSE(CONTROL!$C$27, 0.0021, 0)</f>
        <v>168.88810000000001</v>
      </c>
      <c r="D929" s="14">
        <f>168.886 * CHOOSE(CONTROL!$C$9, $D$9, 100%, $F$9) + CHOOSE(CONTROL!$C$27, 0.0021, 0)</f>
        <v>168.88810000000001</v>
      </c>
      <c r="E929" s="14">
        <f>168.7494 * CHOOSE(CONTROL!$C$9, $D$9, 100%, $F$9) + CHOOSE(CONTROL!$C$27, 0.0021, 0)</f>
        <v>168.75150000000002</v>
      </c>
      <c r="F929" s="14">
        <f>168.7494 * CHOOSE(CONTROL!$C$9, $D$9, 100%, $F$9) + CHOOSE(CONTROL!$C$27, 0.0021, 0)</f>
        <v>168.75150000000002</v>
      </c>
      <c r="G929" s="14">
        <f>169.0207 * CHOOSE(CONTROL!$C$9, $D$9, 100%, $F$9) + CHOOSE(CONTROL!$C$27, 0.0021, 0)</f>
        <v>169.02280000000002</v>
      </c>
      <c r="H929" s="14">
        <f>168.886 * CHOOSE(CONTROL!$C$9, $D$9, 100%, $F$9) + CHOOSE(CONTROL!$C$27, 0.0021, 0)</f>
        <v>168.88810000000001</v>
      </c>
      <c r="I929" s="14">
        <f>168.886 * CHOOSE(CONTROL!$C$9, $D$9, 100%, $F$9) + CHOOSE(CONTROL!$C$27, 0.0021, 0)</f>
        <v>168.88810000000001</v>
      </c>
      <c r="J929" s="14">
        <f>168.886 * CHOOSE(CONTROL!$C$9, $D$9, 100%, $F$9) + CHOOSE(CONTROL!$C$27, 0.0021, 0)</f>
        <v>168.88810000000001</v>
      </c>
      <c r="K929" s="14">
        <f>168.886 * CHOOSE(CONTROL!$C$9, $D$9, 100%, $F$9) + CHOOSE(CONTROL!$C$27, 0.0021, 0)</f>
        <v>168.88810000000001</v>
      </c>
      <c r="L929" s="14"/>
    </row>
    <row r="930" spans="1:12" ht="15.75" x14ac:dyDescent="0.25">
      <c r="A930" s="31">
        <v>69245</v>
      </c>
      <c r="B930" s="14">
        <f>168.5371 * CHOOSE(CONTROL!$C$9, $D$9, 100%, $F$9) + CHOOSE(CONTROL!$C$27, 0.0021, 0)</f>
        <v>168.53920000000002</v>
      </c>
      <c r="C930" s="14">
        <f>168.1049 * CHOOSE(CONTROL!$C$9, $D$9, 100%, $F$9) + CHOOSE(CONTROL!$C$27, 0.0021, 0)</f>
        <v>168.107</v>
      </c>
      <c r="D930" s="14">
        <f>168.1049 * CHOOSE(CONTROL!$C$9, $D$9, 100%, $F$9) + CHOOSE(CONTROL!$C$27, 0.0021, 0)</f>
        <v>168.107</v>
      </c>
      <c r="E930" s="14">
        <f>167.9682 * CHOOSE(CONTROL!$C$9, $D$9, 100%, $F$9) + CHOOSE(CONTROL!$C$27, 0.0021, 0)</f>
        <v>167.97030000000001</v>
      </c>
      <c r="F930" s="14">
        <f>167.9682 * CHOOSE(CONTROL!$C$9, $D$9, 100%, $F$9) + CHOOSE(CONTROL!$C$27, 0.0021, 0)</f>
        <v>167.97030000000001</v>
      </c>
      <c r="G930" s="14">
        <f>168.2396 * CHOOSE(CONTROL!$C$9, $D$9, 100%, $F$9) + CHOOSE(CONTROL!$C$27, 0.0021, 0)</f>
        <v>168.24170000000001</v>
      </c>
      <c r="H930" s="14">
        <f>168.1049 * CHOOSE(CONTROL!$C$9, $D$9, 100%, $F$9) + CHOOSE(CONTROL!$C$27, 0.0021, 0)</f>
        <v>168.107</v>
      </c>
      <c r="I930" s="14">
        <f>168.1049 * CHOOSE(CONTROL!$C$9, $D$9, 100%, $F$9) + CHOOSE(CONTROL!$C$27, 0.0021, 0)</f>
        <v>168.107</v>
      </c>
      <c r="J930" s="14">
        <f>168.1049 * CHOOSE(CONTROL!$C$9, $D$9, 100%, $F$9) + CHOOSE(CONTROL!$C$27, 0.0021, 0)</f>
        <v>168.107</v>
      </c>
      <c r="K930" s="14">
        <f>168.1049 * CHOOSE(CONTROL!$C$9, $D$9, 100%, $F$9) + CHOOSE(CONTROL!$C$27, 0.0021, 0)</f>
        <v>168.107</v>
      </c>
      <c r="L930" s="14"/>
    </row>
    <row r="931" spans="1:12" ht="15.75" x14ac:dyDescent="0.25">
      <c r="A931" s="31">
        <v>69276</v>
      </c>
      <c r="B931" s="14">
        <f>164.667 * CHOOSE(CONTROL!$C$9, $D$9, 100%, $F$9) + CHOOSE(CONTROL!$C$27, 0.0021, 0)</f>
        <v>164.66910000000001</v>
      </c>
      <c r="C931" s="14">
        <f>164.2348 * CHOOSE(CONTROL!$C$9, $D$9, 100%, $F$9) + CHOOSE(CONTROL!$C$27, 0.0021, 0)</f>
        <v>164.23690000000002</v>
      </c>
      <c r="D931" s="14">
        <f>164.2348 * CHOOSE(CONTROL!$C$9, $D$9, 100%, $F$9) + CHOOSE(CONTROL!$C$27, 0.0021, 0)</f>
        <v>164.23690000000002</v>
      </c>
      <c r="E931" s="14">
        <f>164.0981 * CHOOSE(CONTROL!$C$9, $D$9, 100%, $F$9) + CHOOSE(CONTROL!$C$27, 0.0021, 0)</f>
        <v>164.1002</v>
      </c>
      <c r="F931" s="14">
        <f>164.0981 * CHOOSE(CONTROL!$C$9, $D$9, 100%, $F$9) + CHOOSE(CONTROL!$C$27, 0.0021, 0)</f>
        <v>164.1002</v>
      </c>
      <c r="G931" s="14">
        <f>164.3695 * CHOOSE(CONTROL!$C$9, $D$9, 100%, $F$9) + CHOOSE(CONTROL!$C$27, 0.0021, 0)</f>
        <v>164.3716</v>
      </c>
      <c r="H931" s="14">
        <f>164.2348 * CHOOSE(CONTROL!$C$9, $D$9, 100%, $F$9) + CHOOSE(CONTROL!$C$27, 0.0021, 0)</f>
        <v>164.23690000000002</v>
      </c>
      <c r="I931" s="14">
        <f>164.2348 * CHOOSE(CONTROL!$C$9, $D$9, 100%, $F$9) + CHOOSE(CONTROL!$C$27, 0.0021, 0)</f>
        <v>164.23690000000002</v>
      </c>
      <c r="J931" s="14">
        <f>164.2348 * CHOOSE(CONTROL!$C$9, $D$9, 100%, $F$9) + CHOOSE(CONTROL!$C$27, 0.0021, 0)</f>
        <v>164.23690000000002</v>
      </c>
      <c r="K931" s="14">
        <f>164.2348 * CHOOSE(CONTROL!$C$9, $D$9, 100%, $F$9) + CHOOSE(CONTROL!$C$27, 0.0021, 0)</f>
        <v>164.23690000000002</v>
      </c>
      <c r="L931" s="14"/>
    </row>
    <row r="932" spans="1:12" ht="15.75" x14ac:dyDescent="0.25">
      <c r="A932" s="31">
        <v>69306</v>
      </c>
      <c r="B932" s="14">
        <f>159.27 * CHOOSE(CONTROL!$C$9, $D$9, 100%, $F$9) + CHOOSE(CONTROL!$C$27, 0.0021, 0)</f>
        <v>159.27210000000002</v>
      </c>
      <c r="C932" s="14">
        <f>158.8377 * CHOOSE(CONTROL!$C$9, $D$9, 100%, $F$9) + CHOOSE(CONTROL!$C$27, 0.0021, 0)</f>
        <v>158.83980000000003</v>
      </c>
      <c r="D932" s="14">
        <f>158.8377 * CHOOSE(CONTROL!$C$9, $D$9, 100%, $F$9) + CHOOSE(CONTROL!$C$27, 0.0021, 0)</f>
        <v>158.83980000000003</v>
      </c>
      <c r="E932" s="14">
        <f>158.7011 * CHOOSE(CONTROL!$C$9, $D$9, 100%, $F$9) + CHOOSE(CONTROL!$C$27, 0.0021, 0)</f>
        <v>158.70320000000001</v>
      </c>
      <c r="F932" s="14">
        <f>158.7011 * CHOOSE(CONTROL!$C$9, $D$9, 100%, $F$9) + CHOOSE(CONTROL!$C$27, 0.0021, 0)</f>
        <v>158.70320000000001</v>
      </c>
      <c r="G932" s="14">
        <f>158.9724 * CHOOSE(CONTROL!$C$9, $D$9, 100%, $F$9) + CHOOSE(CONTROL!$C$27, 0.0021, 0)</f>
        <v>158.97450000000001</v>
      </c>
      <c r="H932" s="14">
        <f>158.8377 * CHOOSE(CONTROL!$C$9, $D$9, 100%, $F$9) + CHOOSE(CONTROL!$C$27, 0.0021, 0)</f>
        <v>158.83980000000003</v>
      </c>
      <c r="I932" s="14">
        <f>158.8377 * CHOOSE(CONTROL!$C$9, $D$9, 100%, $F$9) + CHOOSE(CONTROL!$C$27, 0.0021, 0)</f>
        <v>158.83980000000003</v>
      </c>
      <c r="J932" s="14">
        <f>158.8377 * CHOOSE(CONTROL!$C$9, $D$9, 100%, $F$9) + CHOOSE(CONTROL!$C$27, 0.0021, 0)</f>
        <v>158.83980000000003</v>
      </c>
      <c r="K932" s="14">
        <f>158.8377 * CHOOSE(CONTROL!$C$9, $D$9, 100%, $F$9) + CHOOSE(CONTROL!$C$27, 0.0021, 0)</f>
        <v>158.83980000000003</v>
      </c>
      <c r="L932" s="14"/>
    </row>
    <row r="933" spans="1:12" ht="15.75" x14ac:dyDescent="0.25">
      <c r="A933" s="31">
        <v>69337</v>
      </c>
      <c r="B933" s="14">
        <f>153.8415 * CHOOSE(CONTROL!$C$9, $D$9, 100%, $F$9) + CHOOSE(CONTROL!$C$27, 0.0021, 0)</f>
        <v>153.84360000000001</v>
      </c>
      <c r="C933" s="14">
        <f>153.4093 * CHOOSE(CONTROL!$C$9, $D$9, 100%, $F$9) + CHOOSE(CONTROL!$C$27, 0.0021, 0)</f>
        <v>153.41140000000001</v>
      </c>
      <c r="D933" s="14">
        <f>153.4093 * CHOOSE(CONTROL!$C$9, $D$9, 100%, $F$9) + CHOOSE(CONTROL!$C$27, 0.0021, 0)</f>
        <v>153.41140000000001</v>
      </c>
      <c r="E933" s="14">
        <f>153.2726 * CHOOSE(CONTROL!$C$9, $D$9, 100%, $F$9) + CHOOSE(CONTROL!$C$27, 0.0021, 0)</f>
        <v>153.27470000000002</v>
      </c>
      <c r="F933" s="14">
        <f>153.2726 * CHOOSE(CONTROL!$C$9, $D$9, 100%, $F$9) + CHOOSE(CONTROL!$C$27, 0.0021, 0)</f>
        <v>153.27470000000002</v>
      </c>
      <c r="G933" s="14">
        <f>153.544 * CHOOSE(CONTROL!$C$9, $D$9, 100%, $F$9) + CHOOSE(CONTROL!$C$27, 0.0021, 0)</f>
        <v>153.54610000000002</v>
      </c>
      <c r="H933" s="14">
        <f>153.4093 * CHOOSE(CONTROL!$C$9, $D$9, 100%, $F$9) + CHOOSE(CONTROL!$C$27, 0.0021, 0)</f>
        <v>153.41140000000001</v>
      </c>
      <c r="I933" s="14">
        <f>153.4093 * CHOOSE(CONTROL!$C$9, $D$9, 100%, $F$9) + CHOOSE(CONTROL!$C$27, 0.0021, 0)</f>
        <v>153.41140000000001</v>
      </c>
      <c r="J933" s="14">
        <f>153.4093 * CHOOSE(CONTROL!$C$9, $D$9, 100%, $F$9) + CHOOSE(CONTROL!$C$27, 0.0021, 0)</f>
        <v>153.41140000000001</v>
      </c>
      <c r="K933" s="14">
        <f>153.4093 * CHOOSE(CONTROL!$C$9, $D$9, 100%, $F$9) + CHOOSE(CONTROL!$C$27, 0.0021, 0)</f>
        <v>153.41140000000001</v>
      </c>
      <c r="L933" s="14"/>
    </row>
    <row r="934" spans="1:12" ht="15.75" x14ac:dyDescent="0.25">
      <c r="A934" s="31">
        <v>69367</v>
      </c>
      <c r="B934" s="14">
        <f>152.7617 * CHOOSE(CONTROL!$C$9, $D$9, 100%, $F$9) + CHOOSE(CONTROL!$C$27, 0.0021, 0)</f>
        <v>152.7638</v>
      </c>
      <c r="C934" s="14">
        <f>152.3294 * CHOOSE(CONTROL!$C$9, $D$9, 100%, $F$9) + CHOOSE(CONTROL!$C$27, 0.0021, 0)</f>
        <v>152.33150000000001</v>
      </c>
      <c r="D934" s="14">
        <f>152.3294 * CHOOSE(CONTROL!$C$9, $D$9, 100%, $F$9) + CHOOSE(CONTROL!$C$27, 0.0021, 0)</f>
        <v>152.33150000000001</v>
      </c>
      <c r="E934" s="14">
        <f>152.1928 * CHOOSE(CONTROL!$C$9, $D$9, 100%, $F$9) + CHOOSE(CONTROL!$C$27, 0.0021, 0)</f>
        <v>152.19490000000002</v>
      </c>
      <c r="F934" s="14">
        <f>152.1928 * CHOOSE(CONTROL!$C$9, $D$9, 100%, $F$9) + CHOOSE(CONTROL!$C$27, 0.0021, 0)</f>
        <v>152.19490000000002</v>
      </c>
      <c r="G934" s="14">
        <f>152.4642 * CHOOSE(CONTROL!$C$9, $D$9, 100%, $F$9) + CHOOSE(CONTROL!$C$27, 0.0021, 0)</f>
        <v>152.46630000000002</v>
      </c>
      <c r="H934" s="14">
        <f>152.3294 * CHOOSE(CONTROL!$C$9, $D$9, 100%, $F$9) + CHOOSE(CONTROL!$C$27, 0.0021, 0)</f>
        <v>152.33150000000001</v>
      </c>
      <c r="I934" s="14">
        <f>152.3294 * CHOOSE(CONTROL!$C$9, $D$9, 100%, $F$9) + CHOOSE(CONTROL!$C$27, 0.0021, 0)</f>
        <v>152.33150000000001</v>
      </c>
      <c r="J934" s="14">
        <f>152.3294 * CHOOSE(CONTROL!$C$9, $D$9, 100%, $F$9) + CHOOSE(CONTROL!$C$27, 0.0021, 0)</f>
        <v>152.33150000000001</v>
      </c>
      <c r="K934" s="14">
        <f>152.3294 * CHOOSE(CONTROL!$C$9, $D$9, 100%, $F$9) + CHOOSE(CONTROL!$C$27, 0.0021, 0)</f>
        <v>152.33150000000001</v>
      </c>
      <c r="L934" s="14"/>
    </row>
    <row r="935" spans="1:12" ht="15.75" x14ac:dyDescent="0.25">
      <c r="A935" s="31">
        <v>69398</v>
      </c>
      <c r="B935" s="14">
        <f>148.2965 * CHOOSE(CONTROL!$C$9, $D$9, 100%, $F$9) + CHOOSE(CONTROL!$C$27, 0.0021, 0)</f>
        <v>148.29860000000002</v>
      </c>
      <c r="C935" s="14">
        <f>147.8643 * CHOOSE(CONTROL!$C$9, $D$9, 100%, $F$9) + CHOOSE(CONTROL!$C$27, 0.0021, 0)</f>
        <v>147.8664</v>
      </c>
      <c r="D935" s="14">
        <f>147.8643 * CHOOSE(CONTROL!$C$9, $D$9, 100%, $F$9) + CHOOSE(CONTROL!$C$27, 0.0021, 0)</f>
        <v>147.8664</v>
      </c>
      <c r="E935" s="14">
        <f>147.7276 * CHOOSE(CONTROL!$C$9, $D$9, 100%, $F$9) + CHOOSE(CONTROL!$C$27, 0.0021, 0)</f>
        <v>147.72970000000001</v>
      </c>
      <c r="F935" s="14">
        <f>147.7276 * CHOOSE(CONTROL!$C$9, $D$9, 100%, $F$9) + CHOOSE(CONTROL!$C$27, 0.0021, 0)</f>
        <v>147.72970000000001</v>
      </c>
      <c r="G935" s="14">
        <f>147.999 * CHOOSE(CONTROL!$C$9, $D$9, 100%, $F$9) + CHOOSE(CONTROL!$C$27, 0.0021, 0)</f>
        <v>148.00110000000001</v>
      </c>
      <c r="H935" s="14">
        <f>147.8643 * CHOOSE(CONTROL!$C$9, $D$9, 100%, $F$9) + CHOOSE(CONTROL!$C$27, 0.0021, 0)</f>
        <v>147.8664</v>
      </c>
      <c r="I935" s="14">
        <f>147.8643 * CHOOSE(CONTROL!$C$9, $D$9, 100%, $F$9) + CHOOSE(CONTROL!$C$27, 0.0021, 0)</f>
        <v>147.8664</v>
      </c>
      <c r="J935" s="14">
        <f>147.8643 * CHOOSE(CONTROL!$C$9, $D$9, 100%, $F$9) + CHOOSE(CONTROL!$C$27, 0.0021, 0)</f>
        <v>147.8664</v>
      </c>
      <c r="K935" s="14">
        <f>147.8643 * CHOOSE(CONTROL!$C$9, $D$9, 100%, $F$9) + CHOOSE(CONTROL!$C$27, 0.0021, 0)</f>
        <v>147.8664</v>
      </c>
      <c r="L935" s="14"/>
    </row>
    <row r="936" spans="1:12" ht="15.75" x14ac:dyDescent="0.25">
      <c r="A936" s="31">
        <v>69429</v>
      </c>
      <c r="B936" s="14">
        <f>147.4272 * CHOOSE(CONTROL!$C$9, $D$9, 100%, $F$9) + CHOOSE(CONTROL!$C$27, 0.0021, 0)</f>
        <v>147.42930000000001</v>
      </c>
      <c r="C936" s="14">
        <f>146.9949 * CHOOSE(CONTROL!$C$9, $D$9, 100%, $F$9) + CHOOSE(CONTROL!$C$27, 0.0021, 0)</f>
        <v>146.99700000000001</v>
      </c>
      <c r="D936" s="14">
        <f>146.9949 * CHOOSE(CONTROL!$C$9, $D$9, 100%, $F$9) + CHOOSE(CONTROL!$C$27, 0.0021, 0)</f>
        <v>146.99700000000001</v>
      </c>
      <c r="E936" s="14">
        <f>146.8583 * CHOOSE(CONTROL!$C$9, $D$9, 100%, $F$9) + CHOOSE(CONTROL!$C$27, 0.0021, 0)</f>
        <v>146.86040000000003</v>
      </c>
      <c r="F936" s="14">
        <f>146.8583 * CHOOSE(CONTROL!$C$9, $D$9, 100%, $F$9) + CHOOSE(CONTROL!$C$27, 0.0021, 0)</f>
        <v>146.86040000000003</v>
      </c>
      <c r="G936" s="14">
        <f>147.1296 * CHOOSE(CONTROL!$C$9, $D$9, 100%, $F$9) + CHOOSE(CONTROL!$C$27, 0.0021, 0)</f>
        <v>147.13170000000002</v>
      </c>
      <c r="H936" s="14">
        <f>146.9949 * CHOOSE(CONTROL!$C$9, $D$9, 100%, $F$9) + CHOOSE(CONTROL!$C$27, 0.0021, 0)</f>
        <v>146.99700000000001</v>
      </c>
      <c r="I936" s="14">
        <f>146.9949 * CHOOSE(CONTROL!$C$9, $D$9, 100%, $F$9) + CHOOSE(CONTROL!$C$27, 0.0021, 0)</f>
        <v>146.99700000000001</v>
      </c>
      <c r="J936" s="14">
        <f>146.9949 * CHOOSE(CONTROL!$C$9, $D$9, 100%, $F$9) + CHOOSE(CONTROL!$C$27, 0.0021, 0)</f>
        <v>146.99700000000001</v>
      </c>
      <c r="K936" s="14">
        <f>146.9949 * CHOOSE(CONTROL!$C$9, $D$9, 100%, $F$9) + CHOOSE(CONTROL!$C$27, 0.0021, 0)</f>
        <v>146.99700000000001</v>
      </c>
      <c r="L936" s="14"/>
    </row>
    <row r="937" spans="1:12" ht="15.75" x14ac:dyDescent="0.25">
      <c r="A937" s="31">
        <v>69457</v>
      </c>
      <c r="B937" s="14">
        <f>147.0238 * CHOOSE(CONTROL!$C$9, $D$9, 100%, $F$9) + CHOOSE(CONTROL!$C$27, 0.0021, 0)</f>
        <v>147.02590000000001</v>
      </c>
      <c r="C937" s="14">
        <f>146.5915 * CHOOSE(CONTROL!$C$9, $D$9, 100%, $F$9) + CHOOSE(CONTROL!$C$27, 0.0021, 0)</f>
        <v>146.59360000000001</v>
      </c>
      <c r="D937" s="14">
        <f>146.5915 * CHOOSE(CONTROL!$C$9, $D$9, 100%, $F$9) + CHOOSE(CONTROL!$C$27, 0.0021, 0)</f>
        <v>146.59360000000001</v>
      </c>
      <c r="E937" s="14">
        <f>146.4548 * CHOOSE(CONTROL!$C$9, $D$9, 100%, $F$9) + CHOOSE(CONTROL!$C$27, 0.0021, 0)</f>
        <v>146.45690000000002</v>
      </c>
      <c r="F937" s="14">
        <f>146.4548 * CHOOSE(CONTROL!$C$9, $D$9, 100%, $F$9) + CHOOSE(CONTROL!$C$27, 0.0021, 0)</f>
        <v>146.45690000000002</v>
      </c>
      <c r="G937" s="14">
        <f>146.7262 * CHOOSE(CONTROL!$C$9, $D$9, 100%, $F$9) + CHOOSE(CONTROL!$C$27, 0.0021, 0)</f>
        <v>146.72830000000002</v>
      </c>
      <c r="H937" s="14">
        <f>146.5915 * CHOOSE(CONTROL!$C$9, $D$9, 100%, $F$9) + CHOOSE(CONTROL!$C$27, 0.0021, 0)</f>
        <v>146.59360000000001</v>
      </c>
      <c r="I937" s="14">
        <f>146.5915 * CHOOSE(CONTROL!$C$9, $D$9, 100%, $F$9) + CHOOSE(CONTROL!$C$27, 0.0021, 0)</f>
        <v>146.59360000000001</v>
      </c>
      <c r="J937" s="14">
        <f>146.5915 * CHOOSE(CONTROL!$C$9, $D$9, 100%, $F$9) + CHOOSE(CONTROL!$C$27, 0.0021, 0)</f>
        <v>146.59360000000001</v>
      </c>
      <c r="K937" s="14">
        <f>146.5915 * CHOOSE(CONTROL!$C$9, $D$9, 100%, $F$9) + CHOOSE(CONTROL!$C$27, 0.0021, 0)</f>
        <v>146.59360000000001</v>
      </c>
      <c r="L937" s="14"/>
    </row>
    <row r="938" spans="1:12" ht="15.75" x14ac:dyDescent="0.25">
      <c r="A938" s="31">
        <v>69488</v>
      </c>
      <c r="B938" s="14">
        <f>154.6519 * CHOOSE(CONTROL!$C$9, $D$9, 100%, $F$9) + CHOOSE(CONTROL!$C$27, 0.0021, 0)</f>
        <v>154.65400000000002</v>
      </c>
      <c r="C938" s="14">
        <f>154.2197 * CHOOSE(CONTROL!$C$9, $D$9, 100%, $F$9) + CHOOSE(CONTROL!$C$27, 0.0021, 0)</f>
        <v>154.2218</v>
      </c>
      <c r="D938" s="14">
        <f>154.2197 * CHOOSE(CONTROL!$C$9, $D$9, 100%, $F$9) + CHOOSE(CONTROL!$C$27, 0.0021, 0)</f>
        <v>154.2218</v>
      </c>
      <c r="E938" s="14">
        <f>154.083 * CHOOSE(CONTROL!$C$9, $D$9, 100%, $F$9) + CHOOSE(CONTROL!$C$27, 0.0021, 0)</f>
        <v>154.08510000000001</v>
      </c>
      <c r="F938" s="14">
        <f>154.083 * CHOOSE(CONTROL!$C$9, $D$9, 100%, $F$9) + CHOOSE(CONTROL!$C$27, 0.0021, 0)</f>
        <v>154.08510000000001</v>
      </c>
      <c r="G938" s="14">
        <f>154.3544 * CHOOSE(CONTROL!$C$9, $D$9, 100%, $F$9) + CHOOSE(CONTROL!$C$27, 0.0021, 0)</f>
        <v>154.35650000000001</v>
      </c>
      <c r="H938" s="14">
        <f>154.2197 * CHOOSE(CONTROL!$C$9, $D$9, 100%, $F$9) + CHOOSE(CONTROL!$C$27, 0.0021, 0)</f>
        <v>154.2218</v>
      </c>
      <c r="I938" s="14">
        <f>154.2197 * CHOOSE(CONTROL!$C$9, $D$9, 100%, $F$9) + CHOOSE(CONTROL!$C$27, 0.0021, 0)</f>
        <v>154.2218</v>
      </c>
      <c r="J938" s="14">
        <f>154.2197 * CHOOSE(CONTROL!$C$9, $D$9, 100%, $F$9) + CHOOSE(CONTROL!$C$27, 0.0021, 0)</f>
        <v>154.2218</v>
      </c>
      <c r="K938" s="14">
        <f>154.2197 * CHOOSE(CONTROL!$C$9, $D$9, 100%, $F$9) + CHOOSE(CONTROL!$C$27, 0.0021, 0)</f>
        <v>154.2218</v>
      </c>
      <c r="L938" s="14"/>
    </row>
    <row r="939" spans="1:12" ht="15.75" x14ac:dyDescent="0.25">
      <c r="A939" s="31">
        <v>69518</v>
      </c>
      <c r="B939" s="14">
        <f>164.5439 * CHOOSE(CONTROL!$C$9, $D$9, 100%, $F$9) + CHOOSE(CONTROL!$C$27, 0.0021, 0)</f>
        <v>164.54600000000002</v>
      </c>
      <c r="C939" s="14">
        <f>164.1116 * CHOOSE(CONTROL!$C$9, $D$9, 100%, $F$9) + CHOOSE(CONTROL!$C$27, 0.0021, 0)</f>
        <v>164.11370000000002</v>
      </c>
      <c r="D939" s="14">
        <f>164.1116 * CHOOSE(CONTROL!$C$9, $D$9, 100%, $F$9) + CHOOSE(CONTROL!$C$27, 0.0021, 0)</f>
        <v>164.11370000000002</v>
      </c>
      <c r="E939" s="14">
        <f>163.975 * CHOOSE(CONTROL!$C$9, $D$9, 100%, $F$9) + CHOOSE(CONTROL!$C$27, 0.0021, 0)</f>
        <v>163.97710000000001</v>
      </c>
      <c r="F939" s="14">
        <f>163.975 * CHOOSE(CONTROL!$C$9, $D$9, 100%, $F$9) + CHOOSE(CONTROL!$C$27, 0.0021, 0)</f>
        <v>163.97710000000001</v>
      </c>
      <c r="G939" s="14">
        <f>164.2463 * CHOOSE(CONTROL!$C$9, $D$9, 100%, $F$9) + CHOOSE(CONTROL!$C$27, 0.0021, 0)</f>
        <v>164.2484</v>
      </c>
      <c r="H939" s="14">
        <f>164.1116 * CHOOSE(CONTROL!$C$9, $D$9, 100%, $F$9) + CHOOSE(CONTROL!$C$27, 0.0021, 0)</f>
        <v>164.11370000000002</v>
      </c>
      <c r="I939" s="14">
        <f>164.1116 * CHOOSE(CONTROL!$C$9, $D$9, 100%, $F$9) + CHOOSE(CONTROL!$C$27, 0.0021, 0)</f>
        <v>164.11370000000002</v>
      </c>
      <c r="J939" s="14">
        <f>164.1116 * CHOOSE(CONTROL!$C$9, $D$9, 100%, $F$9) + CHOOSE(CONTROL!$C$27, 0.0021, 0)</f>
        <v>164.11370000000002</v>
      </c>
      <c r="K939" s="14">
        <f>164.1116 * CHOOSE(CONTROL!$C$9, $D$9, 100%, $F$9) + CHOOSE(CONTROL!$C$27, 0.0021, 0)</f>
        <v>164.11370000000002</v>
      </c>
      <c r="L939" s="14"/>
    </row>
    <row r="940" spans="1:12" ht="15.75" x14ac:dyDescent="0.25">
      <c r="A940" s="31">
        <v>69549</v>
      </c>
      <c r="B940" s="14">
        <f>169.9887 * CHOOSE(CONTROL!$C$9, $D$9, 100%, $F$9) + CHOOSE(CONTROL!$C$27, 0.0021, 0)</f>
        <v>169.99080000000001</v>
      </c>
      <c r="C940" s="14">
        <f>169.5565 * CHOOSE(CONTROL!$C$9, $D$9, 100%, $F$9) + CHOOSE(CONTROL!$C$27, 0.0021, 0)</f>
        <v>169.55860000000001</v>
      </c>
      <c r="D940" s="14">
        <f>169.5565 * CHOOSE(CONTROL!$C$9, $D$9, 100%, $F$9) + CHOOSE(CONTROL!$C$27, 0.0021, 0)</f>
        <v>169.55860000000001</v>
      </c>
      <c r="E940" s="14">
        <f>169.4198 * CHOOSE(CONTROL!$C$9, $D$9, 100%, $F$9) + CHOOSE(CONTROL!$C$27, 0.0021, 0)</f>
        <v>169.42190000000002</v>
      </c>
      <c r="F940" s="14">
        <f>169.4198 * CHOOSE(CONTROL!$C$9, $D$9, 100%, $F$9) + CHOOSE(CONTROL!$C$27, 0.0021, 0)</f>
        <v>169.42190000000002</v>
      </c>
      <c r="G940" s="14">
        <f>169.6912 * CHOOSE(CONTROL!$C$9, $D$9, 100%, $F$9) + CHOOSE(CONTROL!$C$27, 0.0021, 0)</f>
        <v>169.69330000000002</v>
      </c>
      <c r="H940" s="14">
        <f>169.5565 * CHOOSE(CONTROL!$C$9, $D$9, 100%, $F$9) + CHOOSE(CONTROL!$C$27, 0.0021, 0)</f>
        <v>169.55860000000001</v>
      </c>
      <c r="I940" s="14">
        <f>169.5565 * CHOOSE(CONTROL!$C$9, $D$9, 100%, $F$9) + CHOOSE(CONTROL!$C$27, 0.0021, 0)</f>
        <v>169.55860000000001</v>
      </c>
      <c r="J940" s="14">
        <f>169.5565 * CHOOSE(CONTROL!$C$9, $D$9, 100%, $F$9) + CHOOSE(CONTROL!$C$27, 0.0021, 0)</f>
        <v>169.55860000000001</v>
      </c>
      <c r="K940" s="14">
        <f>169.5565 * CHOOSE(CONTROL!$C$9, $D$9, 100%, $F$9) + CHOOSE(CONTROL!$C$27, 0.0021, 0)</f>
        <v>169.55860000000001</v>
      </c>
      <c r="L940" s="14"/>
    </row>
    <row r="941" spans="1:12" ht="15.75" x14ac:dyDescent="0.25">
      <c r="A941" s="31">
        <v>69579</v>
      </c>
      <c r="B941" s="14">
        <f>172.405 * CHOOSE(CONTROL!$C$9, $D$9, 100%, $F$9) + CHOOSE(CONTROL!$C$27, 0.0021, 0)</f>
        <v>172.40710000000001</v>
      </c>
      <c r="C941" s="14">
        <f>171.9728 * CHOOSE(CONTROL!$C$9, $D$9, 100%, $F$9) + CHOOSE(CONTROL!$C$27, 0.0021, 0)</f>
        <v>171.97490000000002</v>
      </c>
      <c r="D941" s="14">
        <f>171.9728 * CHOOSE(CONTROL!$C$9, $D$9, 100%, $F$9) + CHOOSE(CONTROL!$C$27, 0.0021, 0)</f>
        <v>171.97490000000002</v>
      </c>
      <c r="E941" s="14">
        <f>171.8361 * CHOOSE(CONTROL!$C$9, $D$9, 100%, $F$9) + CHOOSE(CONTROL!$C$27, 0.0021, 0)</f>
        <v>171.8382</v>
      </c>
      <c r="F941" s="14">
        <f>171.8361 * CHOOSE(CONTROL!$C$9, $D$9, 100%, $F$9) + CHOOSE(CONTROL!$C$27, 0.0021, 0)</f>
        <v>171.8382</v>
      </c>
      <c r="G941" s="14">
        <f>172.1075 * CHOOSE(CONTROL!$C$9, $D$9, 100%, $F$9) + CHOOSE(CONTROL!$C$27, 0.0021, 0)</f>
        <v>172.1096</v>
      </c>
      <c r="H941" s="14">
        <f>171.9728 * CHOOSE(CONTROL!$C$9, $D$9, 100%, $F$9) + CHOOSE(CONTROL!$C$27, 0.0021, 0)</f>
        <v>171.97490000000002</v>
      </c>
      <c r="I941" s="14">
        <f>171.9728 * CHOOSE(CONTROL!$C$9, $D$9, 100%, $F$9) + CHOOSE(CONTROL!$C$27, 0.0021, 0)</f>
        <v>171.97490000000002</v>
      </c>
      <c r="J941" s="14">
        <f>171.9728 * CHOOSE(CONTROL!$C$9, $D$9, 100%, $F$9) + CHOOSE(CONTROL!$C$27, 0.0021, 0)</f>
        <v>171.97490000000002</v>
      </c>
      <c r="K941" s="14">
        <f>171.9728 * CHOOSE(CONTROL!$C$9, $D$9, 100%, $F$9) + CHOOSE(CONTROL!$C$27, 0.0021, 0)</f>
        <v>171.97490000000002</v>
      </c>
      <c r="L941" s="14"/>
    </row>
    <row r="942" spans="1:12" ht="15.75" x14ac:dyDescent="0.25">
      <c r="A942" s="31">
        <v>69610</v>
      </c>
      <c r="B942" s="14">
        <f>171.6095 * CHOOSE(CONTROL!$C$9, $D$9, 100%, $F$9) + CHOOSE(CONTROL!$C$27, 0.0021, 0)</f>
        <v>171.61160000000001</v>
      </c>
      <c r="C942" s="14">
        <f>171.1772 * CHOOSE(CONTROL!$C$9, $D$9, 100%, $F$9) + CHOOSE(CONTROL!$C$27, 0.0021, 0)</f>
        <v>171.17930000000001</v>
      </c>
      <c r="D942" s="14">
        <f>171.1772 * CHOOSE(CONTROL!$C$9, $D$9, 100%, $F$9) + CHOOSE(CONTROL!$C$27, 0.0021, 0)</f>
        <v>171.17930000000001</v>
      </c>
      <c r="E942" s="14">
        <f>171.0406 * CHOOSE(CONTROL!$C$9, $D$9, 100%, $F$9) + CHOOSE(CONTROL!$C$27, 0.0021, 0)</f>
        <v>171.04270000000002</v>
      </c>
      <c r="F942" s="14">
        <f>171.0406 * CHOOSE(CONTROL!$C$9, $D$9, 100%, $F$9) + CHOOSE(CONTROL!$C$27, 0.0021, 0)</f>
        <v>171.04270000000002</v>
      </c>
      <c r="G942" s="14">
        <f>171.3119 * CHOOSE(CONTROL!$C$9, $D$9, 100%, $F$9) + CHOOSE(CONTROL!$C$27, 0.0021, 0)</f>
        <v>171.31400000000002</v>
      </c>
      <c r="H942" s="14">
        <f>171.1772 * CHOOSE(CONTROL!$C$9, $D$9, 100%, $F$9) + CHOOSE(CONTROL!$C$27, 0.0021, 0)</f>
        <v>171.17930000000001</v>
      </c>
      <c r="I942" s="14">
        <f>171.1772 * CHOOSE(CONTROL!$C$9, $D$9, 100%, $F$9) + CHOOSE(CONTROL!$C$27, 0.0021, 0)</f>
        <v>171.17930000000001</v>
      </c>
      <c r="J942" s="14">
        <f>171.1772 * CHOOSE(CONTROL!$C$9, $D$9, 100%, $F$9) + CHOOSE(CONTROL!$C$27, 0.0021, 0)</f>
        <v>171.17930000000001</v>
      </c>
      <c r="K942" s="14">
        <f>171.1772 * CHOOSE(CONTROL!$C$9, $D$9, 100%, $F$9) + CHOOSE(CONTROL!$C$27, 0.0021, 0)</f>
        <v>171.17930000000001</v>
      </c>
      <c r="L942" s="14"/>
    </row>
    <row r="943" spans="1:12" ht="15.75" x14ac:dyDescent="0.25">
      <c r="A943" s="31">
        <v>69641</v>
      </c>
      <c r="B943" s="14">
        <f>167.6678 * CHOOSE(CONTROL!$C$9, $D$9, 100%, $F$9) + CHOOSE(CONTROL!$C$27, 0.0021, 0)</f>
        <v>167.66990000000001</v>
      </c>
      <c r="C943" s="14">
        <f>167.2356 * CHOOSE(CONTROL!$C$9, $D$9, 100%, $F$9) + CHOOSE(CONTROL!$C$27, 0.0021, 0)</f>
        <v>167.23770000000002</v>
      </c>
      <c r="D943" s="14">
        <f>167.2356 * CHOOSE(CONTROL!$C$9, $D$9, 100%, $F$9) + CHOOSE(CONTROL!$C$27, 0.0021, 0)</f>
        <v>167.23770000000002</v>
      </c>
      <c r="E943" s="14">
        <f>167.0989 * CHOOSE(CONTROL!$C$9, $D$9, 100%, $F$9) + CHOOSE(CONTROL!$C$27, 0.0021, 0)</f>
        <v>167.101</v>
      </c>
      <c r="F943" s="14">
        <f>167.0989 * CHOOSE(CONTROL!$C$9, $D$9, 100%, $F$9) + CHOOSE(CONTROL!$C$27, 0.0021, 0)</f>
        <v>167.101</v>
      </c>
      <c r="G943" s="14">
        <f>167.3703 * CHOOSE(CONTROL!$C$9, $D$9, 100%, $F$9) + CHOOSE(CONTROL!$C$27, 0.0021, 0)</f>
        <v>167.3724</v>
      </c>
      <c r="H943" s="14">
        <f>167.2356 * CHOOSE(CONTROL!$C$9, $D$9, 100%, $F$9) + CHOOSE(CONTROL!$C$27, 0.0021, 0)</f>
        <v>167.23770000000002</v>
      </c>
      <c r="I943" s="14">
        <f>167.2356 * CHOOSE(CONTROL!$C$9, $D$9, 100%, $F$9) + CHOOSE(CONTROL!$C$27, 0.0021, 0)</f>
        <v>167.23770000000002</v>
      </c>
      <c r="J943" s="14">
        <f>167.2356 * CHOOSE(CONTROL!$C$9, $D$9, 100%, $F$9) + CHOOSE(CONTROL!$C$27, 0.0021, 0)</f>
        <v>167.23770000000002</v>
      </c>
      <c r="K943" s="14">
        <f>167.2356 * CHOOSE(CONTROL!$C$9, $D$9, 100%, $F$9) + CHOOSE(CONTROL!$C$27, 0.0021, 0)</f>
        <v>167.23770000000002</v>
      </c>
      <c r="L943" s="14"/>
    </row>
    <row r="944" spans="1:12" ht="15.75" x14ac:dyDescent="0.25">
      <c r="A944" s="31">
        <v>69671</v>
      </c>
      <c r="B944" s="14">
        <f>162.171 * CHOOSE(CONTROL!$C$9, $D$9, 100%, $F$9) + CHOOSE(CONTROL!$C$27, 0.0021, 0)</f>
        <v>162.17310000000001</v>
      </c>
      <c r="C944" s="14">
        <f>161.7388 * CHOOSE(CONTROL!$C$9, $D$9, 100%, $F$9) + CHOOSE(CONTROL!$C$27, 0.0021, 0)</f>
        <v>161.74090000000001</v>
      </c>
      <c r="D944" s="14">
        <f>161.7388 * CHOOSE(CONTROL!$C$9, $D$9, 100%, $F$9) + CHOOSE(CONTROL!$C$27, 0.0021, 0)</f>
        <v>161.74090000000001</v>
      </c>
      <c r="E944" s="14">
        <f>161.6021 * CHOOSE(CONTROL!$C$9, $D$9, 100%, $F$9) + CHOOSE(CONTROL!$C$27, 0.0021, 0)</f>
        <v>161.60420000000002</v>
      </c>
      <c r="F944" s="14">
        <f>161.6021 * CHOOSE(CONTROL!$C$9, $D$9, 100%, $F$9) + CHOOSE(CONTROL!$C$27, 0.0021, 0)</f>
        <v>161.60420000000002</v>
      </c>
      <c r="G944" s="14">
        <f>161.8735 * CHOOSE(CONTROL!$C$9, $D$9, 100%, $F$9) + CHOOSE(CONTROL!$C$27, 0.0021, 0)</f>
        <v>161.87560000000002</v>
      </c>
      <c r="H944" s="14">
        <f>161.7388 * CHOOSE(CONTROL!$C$9, $D$9, 100%, $F$9) + CHOOSE(CONTROL!$C$27, 0.0021, 0)</f>
        <v>161.74090000000001</v>
      </c>
      <c r="I944" s="14">
        <f>161.7388 * CHOOSE(CONTROL!$C$9, $D$9, 100%, $F$9) + CHOOSE(CONTROL!$C$27, 0.0021, 0)</f>
        <v>161.74090000000001</v>
      </c>
      <c r="J944" s="14">
        <f>161.7388 * CHOOSE(CONTROL!$C$9, $D$9, 100%, $F$9) + CHOOSE(CONTROL!$C$27, 0.0021, 0)</f>
        <v>161.74090000000001</v>
      </c>
      <c r="K944" s="14">
        <f>161.7388 * CHOOSE(CONTROL!$C$9, $D$9, 100%, $F$9) + CHOOSE(CONTROL!$C$27, 0.0021, 0)</f>
        <v>161.74090000000001</v>
      </c>
      <c r="L944" s="14"/>
    </row>
    <row r="945" spans="1:12" ht="15.75" x14ac:dyDescent="0.25">
      <c r="A945" s="31">
        <v>69702</v>
      </c>
      <c r="B945" s="14">
        <f>156.6423 * CHOOSE(CONTROL!$C$9, $D$9, 100%, $F$9) + CHOOSE(CONTROL!$C$27, 0.0021, 0)</f>
        <v>156.64440000000002</v>
      </c>
      <c r="C945" s="14">
        <f>156.21 * CHOOSE(CONTROL!$C$9, $D$9, 100%, $F$9) + CHOOSE(CONTROL!$C$27, 0.0021, 0)</f>
        <v>156.21210000000002</v>
      </c>
      <c r="D945" s="14">
        <f>156.21 * CHOOSE(CONTROL!$C$9, $D$9, 100%, $F$9) + CHOOSE(CONTROL!$C$27, 0.0021, 0)</f>
        <v>156.21210000000002</v>
      </c>
      <c r="E945" s="14">
        <f>156.0734 * CHOOSE(CONTROL!$C$9, $D$9, 100%, $F$9) + CHOOSE(CONTROL!$C$27, 0.0021, 0)</f>
        <v>156.07550000000001</v>
      </c>
      <c r="F945" s="14">
        <f>156.0734 * CHOOSE(CONTROL!$C$9, $D$9, 100%, $F$9) + CHOOSE(CONTROL!$C$27, 0.0021, 0)</f>
        <v>156.07550000000001</v>
      </c>
      <c r="G945" s="14">
        <f>156.3447 * CHOOSE(CONTROL!$C$9, $D$9, 100%, $F$9) + CHOOSE(CONTROL!$C$27, 0.0021, 0)</f>
        <v>156.3468</v>
      </c>
      <c r="H945" s="14">
        <f>156.21 * CHOOSE(CONTROL!$C$9, $D$9, 100%, $F$9) + CHOOSE(CONTROL!$C$27, 0.0021, 0)</f>
        <v>156.21210000000002</v>
      </c>
      <c r="I945" s="14">
        <f>156.21 * CHOOSE(CONTROL!$C$9, $D$9, 100%, $F$9) + CHOOSE(CONTROL!$C$27, 0.0021, 0)</f>
        <v>156.21210000000002</v>
      </c>
      <c r="J945" s="14">
        <f>156.21 * CHOOSE(CONTROL!$C$9, $D$9, 100%, $F$9) + CHOOSE(CONTROL!$C$27, 0.0021, 0)</f>
        <v>156.21210000000002</v>
      </c>
      <c r="K945" s="14">
        <f>156.21 * CHOOSE(CONTROL!$C$9, $D$9, 100%, $F$9) + CHOOSE(CONTROL!$C$27, 0.0021, 0)</f>
        <v>156.21210000000002</v>
      </c>
      <c r="L945" s="14"/>
    </row>
    <row r="946" spans="1:12" ht="15.75" x14ac:dyDescent="0.25">
      <c r="A946" s="31">
        <v>69732</v>
      </c>
      <c r="B946" s="14">
        <f>155.5425 * CHOOSE(CONTROL!$C$9, $D$9, 100%, $F$9) + CHOOSE(CONTROL!$C$27, 0.0021, 0)</f>
        <v>155.5446</v>
      </c>
      <c r="C946" s="14">
        <f>155.1102 * CHOOSE(CONTROL!$C$9, $D$9, 100%, $F$9) + CHOOSE(CONTROL!$C$27, 0.0021, 0)</f>
        <v>155.1123</v>
      </c>
      <c r="D946" s="14">
        <f>155.1102 * CHOOSE(CONTROL!$C$9, $D$9, 100%, $F$9) + CHOOSE(CONTROL!$C$27, 0.0021, 0)</f>
        <v>155.1123</v>
      </c>
      <c r="E946" s="14">
        <f>154.9736 * CHOOSE(CONTROL!$C$9, $D$9, 100%, $F$9) + CHOOSE(CONTROL!$C$27, 0.0021, 0)</f>
        <v>154.97570000000002</v>
      </c>
      <c r="F946" s="14">
        <f>154.9736 * CHOOSE(CONTROL!$C$9, $D$9, 100%, $F$9) + CHOOSE(CONTROL!$C$27, 0.0021, 0)</f>
        <v>154.97570000000002</v>
      </c>
      <c r="G946" s="14">
        <f>155.2449 * CHOOSE(CONTROL!$C$9, $D$9, 100%, $F$9) + CHOOSE(CONTROL!$C$27, 0.0021, 0)</f>
        <v>155.24700000000001</v>
      </c>
      <c r="H946" s="14">
        <f>155.1102 * CHOOSE(CONTROL!$C$9, $D$9, 100%, $F$9) + CHOOSE(CONTROL!$C$27, 0.0021, 0)</f>
        <v>155.1123</v>
      </c>
      <c r="I946" s="14">
        <f>155.1102 * CHOOSE(CONTROL!$C$9, $D$9, 100%, $F$9) + CHOOSE(CONTROL!$C$27, 0.0021, 0)</f>
        <v>155.1123</v>
      </c>
      <c r="J946" s="14">
        <f>155.1102 * CHOOSE(CONTROL!$C$9, $D$9, 100%, $F$9) + CHOOSE(CONTROL!$C$27, 0.0021, 0)</f>
        <v>155.1123</v>
      </c>
      <c r="K946" s="14">
        <f>155.1102 * CHOOSE(CONTROL!$C$9, $D$9, 100%, $F$9) + CHOOSE(CONTROL!$C$27, 0.0021, 0)</f>
        <v>155.1123</v>
      </c>
      <c r="L946" s="14"/>
    </row>
    <row r="947" spans="1:12" ht="15.75" x14ac:dyDescent="0.25">
      <c r="A947" s="31">
        <v>69763</v>
      </c>
      <c r="B947" s="14">
        <f>150.9948 * CHOOSE(CONTROL!$C$9, $D$9, 100%, $F$9) + CHOOSE(CONTROL!$C$27, 0.0021, 0)</f>
        <v>150.99690000000001</v>
      </c>
      <c r="C947" s="14">
        <f>150.5625 * CHOOSE(CONTROL!$C$9, $D$9, 100%, $F$9) + CHOOSE(CONTROL!$C$27, 0.0021, 0)</f>
        <v>150.56460000000001</v>
      </c>
      <c r="D947" s="14">
        <f>150.5625 * CHOOSE(CONTROL!$C$9, $D$9, 100%, $F$9) + CHOOSE(CONTROL!$C$27, 0.0021, 0)</f>
        <v>150.56460000000001</v>
      </c>
      <c r="E947" s="14">
        <f>150.4259 * CHOOSE(CONTROL!$C$9, $D$9, 100%, $F$9) + CHOOSE(CONTROL!$C$27, 0.0021, 0)</f>
        <v>150.42800000000003</v>
      </c>
      <c r="F947" s="14">
        <f>150.4259 * CHOOSE(CONTROL!$C$9, $D$9, 100%, $F$9) + CHOOSE(CONTROL!$C$27, 0.0021, 0)</f>
        <v>150.42800000000003</v>
      </c>
      <c r="G947" s="14">
        <f>150.6972 * CHOOSE(CONTROL!$C$9, $D$9, 100%, $F$9) + CHOOSE(CONTROL!$C$27, 0.0021, 0)</f>
        <v>150.69930000000002</v>
      </c>
      <c r="H947" s="14">
        <f>150.5625 * CHOOSE(CONTROL!$C$9, $D$9, 100%, $F$9) + CHOOSE(CONTROL!$C$27, 0.0021, 0)</f>
        <v>150.56460000000001</v>
      </c>
      <c r="I947" s="14">
        <f>150.5625 * CHOOSE(CONTROL!$C$9, $D$9, 100%, $F$9) + CHOOSE(CONTROL!$C$27, 0.0021, 0)</f>
        <v>150.56460000000001</v>
      </c>
      <c r="J947" s="14">
        <f>150.5625 * CHOOSE(CONTROL!$C$9, $D$9, 100%, $F$9) + CHOOSE(CONTROL!$C$27, 0.0021, 0)</f>
        <v>150.56460000000001</v>
      </c>
      <c r="K947" s="14">
        <f>150.5625 * CHOOSE(CONTROL!$C$9, $D$9, 100%, $F$9) + CHOOSE(CONTROL!$C$27, 0.0021, 0)</f>
        <v>150.56460000000001</v>
      </c>
      <c r="L947" s="14"/>
    </row>
    <row r="948" spans="1:12" ht="15.75" x14ac:dyDescent="0.25">
      <c r="A948" s="31">
        <v>69794</v>
      </c>
      <c r="B948" s="14">
        <f>150.1094 * CHOOSE(CONTROL!$C$9, $D$9, 100%, $F$9) + CHOOSE(CONTROL!$C$27, 0.0021, 0)</f>
        <v>150.11150000000001</v>
      </c>
      <c r="C948" s="14">
        <f>149.6771 * CHOOSE(CONTROL!$C$9, $D$9, 100%, $F$9) + CHOOSE(CONTROL!$C$27, 0.0021, 0)</f>
        <v>149.67920000000001</v>
      </c>
      <c r="D948" s="14">
        <f>149.6771 * CHOOSE(CONTROL!$C$9, $D$9, 100%, $F$9) + CHOOSE(CONTROL!$C$27, 0.0021, 0)</f>
        <v>149.67920000000001</v>
      </c>
      <c r="E948" s="14">
        <f>149.5405 * CHOOSE(CONTROL!$C$9, $D$9, 100%, $F$9) + CHOOSE(CONTROL!$C$27, 0.0021, 0)</f>
        <v>149.54260000000002</v>
      </c>
      <c r="F948" s="14">
        <f>149.5405 * CHOOSE(CONTROL!$C$9, $D$9, 100%, $F$9) + CHOOSE(CONTROL!$C$27, 0.0021, 0)</f>
        <v>149.54260000000002</v>
      </c>
      <c r="G948" s="14">
        <f>149.8118 * CHOOSE(CONTROL!$C$9, $D$9, 100%, $F$9) + CHOOSE(CONTROL!$C$27, 0.0021, 0)</f>
        <v>149.81390000000002</v>
      </c>
      <c r="H948" s="14">
        <f>149.6771 * CHOOSE(CONTROL!$C$9, $D$9, 100%, $F$9) + CHOOSE(CONTROL!$C$27, 0.0021, 0)</f>
        <v>149.67920000000001</v>
      </c>
      <c r="I948" s="14">
        <f>149.6771 * CHOOSE(CONTROL!$C$9, $D$9, 100%, $F$9) + CHOOSE(CONTROL!$C$27, 0.0021, 0)</f>
        <v>149.67920000000001</v>
      </c>
      <c r="J948" s="14">
        <f>149.6771 * CHOOSE(CONTROL!$C$9, $D$9, 100%, $F$9) + CHOOSE(CONTROL!$C$27, 0.0021, 0)</f>
        <v>149.67920000000001</v>
      </c>
      <c r="K948" s="14">
        <f>149.6771 * CHOOSE(CONTROL!$C$9, $D$9, 100%, $F$9) + CHOOSE(CONTROL!$C$27, 0.0021, 0)</f>
        <v>149.67920000000001</v>
      </c>
      <c r="L948" s="14"/>
    </row>
    <row r="949" spans="1:12" ht="15.75" x14ac:dyDescent="0.25">
      <c r="A949" s="31">
        <v>69822</v>
      </c>
      <c r="B949" s="14">
        <f>149.6985 * CHOOSE(CONTROL!$C$9, $D$9, 100%, $F$9) + CHOOSE(CONTROL!$C$27, 0.0021, 0)</f>
        <v>149.70060000000001</v>
      </c>
      <c r="C949" s="14">
        <f>149.2662 * CHOOSE(CONTROL!$C$9, $D$9, 100%, $F$9) + CHOOSE(CONTROL!$C$27, 0.0021, 0)</f>
        <v>149.26830000000001</v>
      </c>
      <c r="D949" s="14">
        <f>149.2662 * CHOOSE(CONTROL!$C$9, $D$9, 100%, $F$9) + CHOOSE(CONTROL!$C$27, 0.0021, 0)</f>
        <v>149.26830000000001</v>
      </c>
      <c r="E949" s="14">
        <f>149.1296 * CHOOSE(CONTROL!$C$9, $D$9, 100%, $F$9) + CHOOSE(CONTROL!$C$27, 0.0021, 0)</f>
        <v>149.13170000000002</v>
      </c>
      <c r="F949" s="14">
        <f>149.1296 * CHOOSE(CONTROL!$C$9, $D$9, 100%, $F$9) + CHOOSE(CONTROL!$C$27, 0.0021, 0)</f>
        <v>149.13170000000002</v>
      </c>
      <c r="G949" s="14">
        <f>149.401 * CHOOSE(CONTROL!$C$9, $D$9, 100%, $F$9) + CHOOSE(CONTROL!$C$27, 0.0021, 0)</f>
        <v>149.40310000000002</v>
      </c>
      <c r="H949" s="14">
        <f>149.2662 * CHOOSE(CONTROL!$C$9, $D$9, 100%, $F$9) + CHOOSE(CONTROL!$C$27, 0.0021, 0)</f>
        <v>149.26830000000001</v>
      </c>
      <c r="I949" s="14">
        <f>149.2662 * CHOOSE(CONTROL!$C$9, $D$9, 100%, $F$9) + CHOOSE(CONTROL!$C$27, 0.0021, 0)</f>
        <v>149.26830000000001</v>
      </c>
      <c r="J949" s="14">
        <f>149.2662 * CHOOSE(CONTROL!$C$9, $D$9, 100%, $F$9) + CHOOSE(CONTROL!$C$27, 0.0021, 0)</f>
        <v>149.26830000000001</v>
      </c>
      <c r="K949" s="14">
        <f>149.2662 * CHOOSE(CONTROL!$C$9, $D$9, 100%, $F$9) + CHOOSE(CONTROL!$C$27, 0.0021, 0)</f>
        <v>149.26830000000001</v>
      </c>
      <c r="L949" s="14"/>
    </row>
    <row r="950" spans="1:12" ht="15.75" x14ac:dyDescent="0.25">
      <c r="A950" s="31">
        <v>69853</v>
      </c>
      <c r="B950" s="14">
        <f>157.4677 * CHOOSE(CONTROL!$C$9, $D$9, 100%, $F$9) + CHOOSE(CONTROL!$C$27, 0.0021, 0)</f>
        <v>157.46980000000002</v>
      </c>
      <c r="C950" s="14">
        <f>157.0354 * CHOOSE(CONTROL!$C$9, $D$9, 100%, $F$9) + CHOOSE(CONTROL!$C$27, 0.0021, 0)</f>
        <v>157.03750000000002</v>
      </c>
      <c r="D950" s="14">
        <f>157.0354 * CHOOSE(CONTROL!$C$9, $D$9, 100%, $F$9) + CHOOSE(CONTROL!$C$27, 0.0021, 0)</f>
        <v>157.03750000000002</v>
      </c>
      <c r="E950" s="14">
        <f>156.8987 * CHOOSE(CONTROL!$C$9, $D$9, 100%, $F$9) + CHOOSE(CONTROL!$C$27, 0.0021, 0)</f>
        <v>156.9008</v>
      </c>
      <c r="F950" s="14">
        <f>156.8987 * CHOOSE(CONTROL!$C$9, $D$9, 100%, $F$9) + CHOOSE(CONTROL!$C$27, 0.0021, 0)</f>
        <v>156.9008</v>
      </c>
      <c r="G950" s="14">
        <f>157.1701 * CHOOSE(CONTROL!$C$9, $D$9, 100%, $F$9) + CHOOSE(CONTROL!$C$27, 0.0021, 0)</f>
        <v>157.1722</v>
      </c>
      <c r="H950" s="14">
        <f>157.0354 * CHOOSE(CONTROL!$C$9, $D$9, 100%, $F$9) + CHOOSE(CONTROL!$C$27, 0.0021, 0)</f>
        <v>157.03750000000002</v>
      </c>
      <c r="I950" s="14">
        <f>157.0354 * CHOOSE(CONTROL!$C$9, $D$9, 100%, $F$9) + CHOOSE(CONTROL!$C$27, 0.0021, 0)</f>
        <v>157.03750000000002</v>
      </c>
      <c r="J950" s="14">
        <f>157.0354 * CHOOSE(CONTROL!$C$9, $D$9, 100%, $F$9) + CHOOSE(CONTROL!$C$27, 0.0021, 0)</f>
        <v>157.03750000000002</v>
      </c>
      <c r="K950" s="14">
        <f>157.0354 * CHOOSE(CONTROL!$C$9, $D$9, 100%, $F$9) + CHOOSE(CONTROL!$C$27, 0.0021, 0)</f>
        <v>157.03750000000002</v>
      </c>
      <c r="L950" s="14"/>
    </row>
    <row r="951" spans="1:12" ht="15.75" x14ac:dyDescent="0.25">
      <c r="A951" s="31">
        <v>69883</v>
      </c>
      <c r="B951" s="14">
        <f>167.5424 * CHOOSE(CONTROL!$C$9, $D$9, 100%, $F$9) + CHOOSE(CONTROL!$C$27, 0.0021, 0)</f>
        <v>167.5445</v>
      </c>
      <c r="C951" s="14">
        <f>167.1101 * CHOOSE(CONTROL!$C$9, $D$9, 100%, $F$9) + CHOOSE(CONTROL!$C$27, 0.0021, 0)</f>
        <v>167.1122</v>
      </c>
      <c r="D951" s="14">
        <f>167.1101 * CHOOSE(CONTROL!$C$9, $D$9, 100%, $F$9) + CHOOSE(CONTROL!$C$27, 0.0021, 0)</f>
        <v>167.1122</v>
      </c>
      <c r="E951" s="14">
        <f>166.9735 * CHOOSE(CONTROL!$C$9, $D$9, 100%, $F$9) + CHOOSE(CONTROL!$C$27, 0.0021, 0)</f>
        <v>166.97560000000001</v>
      </c>
      <c r="F951" s="14">
        <f>166.9735 * CHOOSE(CONTROL!$C$9, $D$9, 100%, $F$9) + CHOOSE(CONTROL!$C$27, 0.0021, 0)</f>
        <v>166.97560000000001</v>
      </c>
      <c r="G951" s="14">
        <f>167.2449 * CHOOSE(CONTROL!$C$9, $D$9, 100%, $F$9) + CHOOSE(CONTROL!$C$27, 0.0021, 0)</f>
        <v>167.24700000000001</v>
      </c>
      <c r="H951" s="14">
        <f>167.1101 * CHOOSE(CONTROL!$C$9, $D$9, 100%, $F$9) + CHOOSE(CONTROL!$C$27, 0.0021, 0)</f>
        <v>167.1122</v>
      </c>
      <c r="I951" s="14">
        <f>167.1101 * CHOOSE(CONTROL!$C$9, $D$9, 100%, $F$9) + CHOOSE(CONTROL!$C$27, 0.0021, 0)</f>
        <v>167.1122</v>
      </c>
      <c r="J951" s="14">
        <f>167.1101 * CHOOSE(CONTROL!$C$9, $D$9, 100%, $F$9) + CHOOSE(CONTROL!$C$27, 0.0021, 0)</f>
        <v>167.1122</v>
      </c>
      <c r="K951" s="14">
        <f>167.1101 * CHOOSE(CONTROL!$C$9, $D$9, 100%, $F$9) + CHOOSE(CONTROL!$C$27, 0.0021, 0)</f>
        <v>167.1122</v>
      </c>
      <c r="L951" s="14"/>
    </row>
    <row r="952" spans="1:12" ht="15.75" x14ac:dyDescent="0.25">
      <c r="A952" s="31">
        <v>69914</v>
      </c>
      <c r="B952" s="14">
        <f>173.0879 * CHOOSE(CONTROL!$C$9, $D$9, 100%, $F$9) + CHOOSE(CONTROL!$C$27, 0.0021, 0)</f>
        <v>173.09</v>
      </c>
      <c r="C952" s="14">
        <f>172.6556 * CHOOSE(CONTROL!$C$9, $D$9, 100%, $F$9) + CHOOSE(CONTROL!$C$27, 0.0021, 0)</f>
        <v>172.65770000000001</v>
      </c>
      <c r="D952" s="14">
        <f>172.6556 * CHOOSE(CONTROL!$C$9, $D$9, 100%, $F$9) + CHOOSE(CONTROL!$C$27, 0.0021, 0)</f>
        <v>172.65770000000001</v>
      </c>
      <c r="E952" s="14">
        <f>172.5189 * CHOOSE(CONTROL!$C$9, $D$9, 100%, $F$9) + CHOOSE(CONTROL!$C$27, 0.0021, 0)</f>
        <v>172.52100000000002</v>
      </c>
      <c r="F952" s="14">
        <f>172.5189 * CHOOSE(CONTROL!$C$9, $D$9, 100%, $F$9) + CHOOSE(CONTROL!$C$27, 0.0021, 0)</f>
        <v>172.52100000000002</v>
      </c>
      <c r="G952" s="14">
        <f>172.7903 * CHOOSE(CONTROL!$C$9, $D$9, 100%, $F$9) + CHOOSE(CONTROL!$C$27, 0.0021, 0)</f>
        <v>172.79240000000001</v>
      </c>
      <c r="H952" s="14">
        <f>172.6556 * CHOOSE(CONTROL!$C$9, $D$9, 100%, $F$9) + CHOOSE(CONTROL!$C$27, 0.0021, 0)</f>
        <v>172.65770000000001</v>
      </c>
      <c r="I952" s="14">
        <f>172.6556 * CHOOSE(CONTROL!$C$9, $D$9, 100%, $F$9) + CHOOSE(CONTROL!$C$27, 0.0021, 0)</f>
        <v>172.65770000000001</v>
      </c>
      <c r="J952" s="14">
        <f>172.6556 * CHOOSE(CONTROL!$C$9, $D$9, 100%, $F$9) + CHOOSE(CONTROL!$C$27, 0.0021, 0)</f>
        <v>172.65770000000001</v>
      </c>
      <c r="K952" s="14">
        <f>172.6556 * CHOOSE(CONTROL!$C$9, $D$9, 100%, $F$9) + CHOOSE(CONTROL!$C$27, 0.0021, 0)</f>
        <v>172.65770000000001</v>
      </c>
      <c r="L952" s="14"/>
    </row>
    <row r="953" spans="1:12" ht="15.75" x14ac:dyDescent="0.25">
      <c r="A953" s="31">
        <v>69944</v>
      </c>
      <c r="B953" s="14">
        <f>175.5488 * CHOOSE(CONTROL!$C$9, $D$9, 100%, $F$9) + CHOOSE(CONTROL!$C$27, 0.0021, 0)</f>
        <v>175.55090000000001</v>
      </c>
      <c r="C953" s="14">
        <f>175.1166 * CHOOSE(CONTROL!$C$9, $D$9, 100%, $F$9) + CHOOSE(CONTROL!$C$27, 0.0021, 0)</f>
        <v>175.11870000000002</v>
      </c>
      <c r="D953" s="14">
        <f>175.1166 * CHOOSE(CONTROL!$C$9, $D$9, 100%, $F$9) + CHOOSE(CONTROL!$C$27, 0.0021, 0)</f>
        <v>175.11870000000002</v>
      </c>
      <c r="E953" s="14">
        <f>174.9799 * CHOOSE(CONTROL!$C$9, $D$9, 100%, $F$9) + CHOOSE(CONTROL!$C$27, 0.0021, 0)</f>
        <v>174.982</v>
      </c>
      <c r="F953" s="14">
        <f>174.9799 * CHOOSE(CONTROL!$C$9, $D$9, 100%, $F$9) + CHOOSE(CONTROL!$C$27, 0.0021, 0)</f>
        <v>174.982</v>
      </c>
      <c r="G953" s="14">
        <f>175.2513 * CHOOSE(CONTROL!$C$9, $D$9, 100%, $F$9) + CHOOSE(CONTROL!$C$27, 0.0021, 0)</f>
        <v>175.2534</v>
      </c>
      <c r="H953" s="14">
        <f>175.1166 * CHOOSE(CONTROL!$C$9, $D$9, 100%, $F$9) + CHOOSE(CONTROL!$C$27, 0.0021, 0)</f>
        <v>175.11870000000002</v>
      </c>
      <c r="I953" s="14">
        <f>175.1166 * CHOOSE(CONTROL!$C$9, $D$9, 100%, $F$9) + CHOOSE(CONTROL!$C$27, 0.0021, 0)</f>
        <v>175.11870000000002</v>
      </c>
      <c r="J953" s="14">
        <f>175.1166 * CHOOSE(CONTROL!$C$9, $D$9, 100%, $F$9) + CHOOSE(CONTROL!$C$27, 0.0021, 0)</f>
        <v>175.11870000000002</v>
      </c>
      <c r="K953" s="14">
        <f>175.1166 * CHOOSE(CONTROL!$C$9, $D$9, 100%, $F$9) + CHOOSE(CONTROL!$C$27, 0.0021, 0)</f>
        <v>175.11870000000002</v>
      </c>
      <c r="L953" s="14"/>
    </row>
    <row r="954" spans="1:12" ht="15.75" x14ac:dyDescent="0.25">
      <c r="A954" s="31">
        <v>69975</v>
      </c>
      <c r="B954" s="14">
        <f>174.7386 * CHOOSE(CONTROL!$C$9, $D$9, 100%, $F$9) + CHOOSE(CONTROL!$C$27, 0.0021, 0)</f>
        <v>174.7407</v>
      </c>
      <c r="C954" s="14">
        <f>174.3063 * CHOOSE(CONTROL!$C$9, $D$9, 100%, $F$9) + CHOOSE(CONTROL!$C$27, 0.0021, 0)</f>
        <v>174.30840000000001</v>
      </c>
      <c r="D954" s="14">
        <f>174.3063 * CHOOSE(CONTROL!$C$9, $D$9, 100%, $F$9) + CHOOSE(CONTROL!$C$27, 0.0021, 0)</f>
        <v>174.30840000000001</v>
      </c>
      <c r="E954" s="14">
        <f>174.1697 * CHOOSE(CONTROL!$C$9, $D$9, 100%, $F$9) + CHOOSE(CONTROL!$C$27, 0.0021, 0)</f>
        <v>174.17180000000002</v>
      </c>
      <c r="F954" s="14">
        <f>174.1697 * CHOOSE(CONTROL!$C$9, $D$9, 100%, $F$9) + CHOOSE(CONTROL!$C$27, 0.0021, 0)</f>
        <v>174.17180000000002</v>
      </c>
      <c r="G954" s="14">
        <f>174.441 * CHOOSE(CONTROL!$C$9, $D$9, 100%, $F$9) + CHOOSE(CONTROL!$C$27, 0.0021, 0)</f>
        <v>174.44310000000002</v>
      </c>
      <c r="H954" s="14">
        <f>174.3063 * CHOOSE(CONTROL!$C$9, $D$9, 100%, $F$9) + CHOOSE(CONTROL!$C$27, 0.0021, 0)</f>
        <v>174.30840000000001</v>
      </c>
      <c r="I954" s="14">
        <f>174.3063 * CHOOSE(CONTROL!$C$9, $D$9, 100%, $F$9) + CHOOSE(CONTROL!$C$27, 0.0021, 0)</f>
        <v>174.30840000000001</v>
      </c>
      <c r="J954" s="14">
        <f>174.3063 * CHOOSE(CONTROL!$C$9, $D$9, 100%, $F$9) + CHOOSE(CONTROL!$C$27, 0.0021, 0)</f>
        <v>174.30840000000001</v>
      </c>
      <c r="K954" s="14">
        <f>174.3063 * CHOOSE(CONTROL!$C$9, $D$9, 100%, $F$9) + CHOOSE(CONTROL!$C$27, 0.0021, 0)</f>
        <v>174.30840000000001</v>
      </c>
      <c r="L954" s="14"/>
    </row>
    <row r="955" spans="1:12" ht="15.75" x14ac:dyDescent="0.25">
      <c r="A955" s="31">
        <v>70006</v>
      </c>
      <c r="B955" s="14">
        <f>170.7241 * CHOOSE(CONTROL!$C$9, $D$9, 100%, $F$9) + CHOOSE(CONTROL!$C$27, 0.0021, 0)</f>
        <v>170.72620000000001</v>
      </c>
      <c r="C955" s="14">
        <f>170.2918 * CHOOSE(CONTROL!$C$9, $D$9, 100%, $F$9) + CHOOSE(CONTROL!$C$27, 0.0021, 0)</f>
        <v>170.29390000000001</v>
      </c>
      <c r="D955" s="14">
        <f>170.2918 * CHOOSE(CONTROL!$C$9, $D$9, 100%, $F$9) + CHOOSE(CONTROL!$C$27, 0.0021, 0)</f>
        <v>170.29390000000001</v>
      </c>
      <c r="E955" s="14">
        <f>170.1552 * CHOOSE(CONTROL!$C$9, $D$9, 100%, $F$9) + CHOOSE(CONTROL!$C$27, 0.0021, 0)</f>
        <v>170.15730000000002</v>
      </c>
      <c r="F955" s="14">
        <f>170.1552 * CHOOSE(CONTROL!$C$9, $D$9, 100%, $F$9) + CHOOSE(CONTROL!$C$27, 0.0021, 0)</f>
        <v>170.15730000000002</v>
      </c>
      <c r="G955" s="14">
        <f>170.4266 * CHOOSE(CONTROL!$C$9, $D$9, 100%, $F$9) + CHOOSE(CONTROL!$C$27, 0.0021, 0)</f>
        <v>170.42870000000002</v>
      </c>
      <c r="H955" s="14">
        <f>170.2918 * CHOOSE(CONTROL!$C$9, $D$9, 100%, $F$9) + CHOOSE(CONTROL!$C$27, 0.0021, 0)</f>
        <v>170.29390000000001</v>
      </c>
      <c r="I955" s="14">
        <f>170.2918 * CHOOSE(CONTROL!$C$9, $D$9, 100%, $F$9) + CHOOSE(CONTROL!$C$27, 0.0021, 0)</f>
        <v>170.29390000000001</v>
      </c>
      <c r="J955" s="14">
        <f>170.2918 * CHOOSE(CONTROL!$C$9, $D$9, 100%, $F$9) + CHOOSE(CONTROL!$C$27, 0.0021, 0)</f>
        <v>170.29390000000001</v>
      </c>
      <c r="K955" s="14">
        <f>170.2918 * CHOOSE(CONTROL!$C$9, $D$9, 100%, $F$9) + CHOOSE(CONTROL!$C$27, 0.0021, 0)</f>
        <v>170.29390000000001</v>
      </c>
      <c r="L955" s="14"/>
    </row>
    <row r="956" spans="1:12" ht="15.75" x14ac:dyDescent="0.25">
      <c r="A956" s="31">
        <v>70036</v>
      </c>
      <c r="B956" s="14">
        <f>165.1257 * CHOOSE(CONTROL!$C$9, $D$9, 100%, $F$9) + CHOOSE(CONTROL!$C$27, 0.0021, 0)</f>
        <v>165.12780000000001</v>
      </c>
      <c r="C956" s="14">
        <f>164.6935 * CHOOSE(CONTROL!$C$9, $D$9, 100%, $F$9) + CHOOSE(CONTROL!$C$27, 0.0021, 0)</f>
        <v>164.69560000000001</v>
      </c>
      <c r="D956" s="14">
        <f>164.6935 * CHOOSE(CONTROL!$C$9, $D$9, 100%, $F$9) + CHOOSE(CONTROL!$C$27, 0.0021, 0)</f>
        <v>164.69560000000001</v>
      </c>
      <c r="E956" s="14">
        <f>164.5568 * CHOOSE(CONTROL!$C$9, $D$9, 100%, $F$9) + CHOOSE(CONTROL!$C$27, 0.0021, 0)</f>
        <v>164.55890000000002</v>
      </c>
      <c r="F956" s="14">
        <f>164.5568 * CHOOSE(CONTROL!$C$9, $D$9, 100%, $F$9) + CHOOSE(CONTROL!$C$27, 0.0021, 0)</f>
        <v>164.55890000000002</v>
      </c>
      <c r="G956" s="14">
        <f>164.8282 * CHOOSE(CONTROL!$C$9, $D$9, 100%, $F$9) + CHOOSE(CONTROL!$C$27, 0.0021, 0)</f>
        <v>164.83030000000002</v>
      </c>
      <c r="H956" s="14">
        <f>164.6935 * CHOOSE(CONTROL!$C$9, $D$9, 100%, $F$9) + CHOOSE(CONTROL!$C$27, 0.0021, 0)</f>
        <v>164.69560000000001</v>
      </c>
      <c r="I956" s="14">
        <f>164.6935 * CHOOSE(CONTROL!$C$9, $D$9, 100%, $F$9) + CHOOSE(CONTROL!$C$27, 0.0021, 0)</f>
        <v>164.69560000000001</v>
      </c>
      <c r="J956" s="14">
        <f>164.6935 * CHOOSE(CONTROL!$C$9, $D$9, 100%, $F$9) + CHOOSE(CONTROL!$C$27, 0.0021, 0)</f>
        <v>164.69560000000001</v>
      </c>
      <c r="K956" s="14">
        <f>164.6935 * CHOOSE(CONTROL!$C$9, $D$9, 100%, $F$9) + CHOOSE(CONTROL!$C$27, 0.0021, 0)</f>
        <v>164.69560000000001</v>
      </c>
      <c r="L956" s="14"/>
    </row>
    <row r="957" spans="1:12" ht="15.75" x14ac:dyDescent="0.25">
      <c r="A957" s="31">
        <v>70067</v>
      </c>
      <c r="B957" s="14">
        <f>159.4948 * CHOOSE(CONTROL!$C$9, $D$9, 100%, $F$9) + CHOOSE(CONTROL!$C$27, 0.0021, 0)</f>
        <v>159.49690000000001</v>
      </c>
      <c r="C957" s="14">
        <f>159.0625 * CHOOSE(CONTROL!$C$9, $D$9, 100%, $F$9) + CHOOSE(CONTROL!$C$27, 0.0021, 0)</f>
        <v>159.06460000000001</v>
      </c>
      <c r="D957" s="14">
        <f>159.0625 * CHOOSE(CONTROL!$C$9, $D$9, 100%, $F$9) + CHOOSE(CONTROL!$C$27, 0.0021, 0)</f>
        <v>159.06460000000001</v>
      </c>
      <c r="E957" s="14">
        <f>158.9259 * CHOOSE(CONTROL!$C$9, $D$9, 100%, $F$9) + CHOOSE(CONTROL!$C$27, 0.0021, 0)</f>
        <v>158.92800000000003</v>
      </c>
      <c r="F957" s="14">
        <f>158.9259 * CHOOSE(CONTROL!$C$9, $D$9, 100%, $F$9) + CHOOSE(CONTROL!$C$27, 0.0021, 0)</f>
        <v>158.92800000000003</v>
      </c>
      <c r="G957" s="14">
        <f>159.1972 * CHOOSE(CONTROL!$C$9, $D$9, 100%, $F$9) + CHOOSE(CONTROL!$C$27, 0.0021, 0)</f>
        <v>159.19930000000002</v>
      </c>
      <c r="H957" s="14">
        <f>159.0625 * CHOOSE(CONTROL!$C$9, $D$9, 100%, $F$9) + CHOOSE(CONTROL!$C$27, 0.0021, 0)</f>
        <v>159.06460000000001</v>
      </c>
      <c r="I957" s="14">
        <f>159.0625 * CHOOSE(CONTROL!$C$9, $D$9, 100%, $F$9) + CHOOSE(CONTROL!$C$27, 0.0021, 0)</f>
        <v>159.06460000000001</v>
      </c>
      <c r="J957" s="14">
        <f>159.0625 * CHOOSE(CONTROL!$C$9, $D$9, 100%, $F$9) + CHOOSE(CONTROL!$C$27, 0.0021, 0)</f>
        <v>159.06460000000001</v>
      </c>
      <c r="K957" s="14">
        <f>159.0625 * CHOOSE(CONTROL!$C$9, $D$9, 100%, $F$9) + CHOOSE(CONTROL!$C$27, 0.0021, 0)</f>
        <v>159.06460000000001</v>
      </c>
      <c r="L957" s="14"/>
    </row>
    <row r="958" spans="1:12" ht="15.75" x14ac:dyDescent="0.25">
      <c r="A958" s="31">
        <v>70097</v>
      </c>
      <c r="B958" s="14">
        <f>158.3747 * CHOOSE(CONTROL!$C$9, $D$9, 100%, $F$9) + CHOOSE(CONTROL!$C$27, 0.0021, 0)</f>
        <v>158.3768</v>
      </c>
      <c r="C958" s="14">
        <f>157.9424 * CHOOSE(CONTROL!$C$9, $D$9, 100%, $F$9) + CHOOSE(CONTROL!$C$27, 0.0021, 0)</f>
        <v>157.94450000000001</v>
      </c>
      <c r="D958" s="14">
        <f>157.9424 * CHOOSE(CONTROL!$C$9, $D$9, 100%, $F$9) + CHOOSE(CONTROL!$C$27, 0.0021, 0)</f>
        <v>157.94450000000001</v>
      </c>
      <c r="E958" s="14">
        <f>157.8058 * CHOOSE(CONTROL!$C$9, $D$9, 100%, $F$9) + CHOOSE(CONTROL!$C$27, 0.0021, 0)</f>
        <v>157.80790000000002</v>
      </c>
      <c r="F958" s="14">
        <f>157.8058 * CHOOSE(CONTROL!$C$9, $D$9, 100%, $F$9) + CHOOSE(CONTROL!$C$27, 0.0021, 0)</f>
        <v>157.80790000000002</v>
      </c>
      <c r="G958" s="14">
        <f>158.0771 * CHOOSE(CONTROL!$C$9, $D$9, 100%, $F$9) + CHOOSE(CONTROL!$C$27, 0.0021, 0)</f>
        <v>158.07920000000001</v>
      </c>
      <c r="H958" s="14">
        <f>157.9424 * CHOOSE(CONTROL!$C$9, $D$9, 100%, $F$9) + CHOOSE(CONTROL!$C$27, 0.0021, 0)</f>
        <v>157.94450000000001</v>
      </c>
      <c r="I958" s="14">
        <f>157.9424 * CHOOSE(CONTROL!$C$9, $D$9, 100%, $F$9) + CHOOSE(CONTROL!$C$27, 0.0021, 0)</f>
        <v>157.94450000000001</v>
      </c>
      <c r="J958" s="14">
        <f>157.9424 * CHOOSE(CONTROL!$C$9, $D$9, 100%, $F$9) + CHOOSE(CONTROL!$C$27, 0.0021, 0)</f>
        <v>157.94450000000001</v>
      </c>
      <c r="K958" s="14">
        <f>157.9424 * CHOOSE(CONTROL!$C$9, $D$9, 100%, $F$9) + CHOOSE(CONTROL!$C$27, 0.0021, 0)</f>
        <v>157.94450000000001</v>
      </c>
      <c r="L958" s="14"/>
    </row>
    <row r="959" spans="1:12" ht="15.75" x14ac:dyDescent="0.25">
      <c r="A959" s="31">
        <v>70128</v>
      </c>
      <c r="B959" s="14">
        <f>153.7429 * CHOOSE(CONTROL!$C$9, $D$9, 100%, $F$9) + CHOOSE(CONTROL!$C$27, 0.0021, 0)</f>
        <v>153.745</v>
      </c>
      <c r="C959" s="14">
        <f>153.3107 * CHOOSE(CONTROL!$C$9, $D$9, 100%, $F$9) + CHOOSE(CONTROL!$C$27, 0.0021, 0)</f>
        <v>153.31280000000001</v>
      </c>
      <c r="D959" s="14">
        <f>153.3107 * CHOOSE(CONTROL!$C$9, $D$9, 100%, $F$9) + CHOOSE(CONTROL!$C$27, 0.0021, 0)</f>
        <v>153.31280000000001</v>
      </c>
      <c r="E959" s="14">
        <f>153.174 * CHOOSE(CONTROL!$C$9, $D$9, 100%, $F$9) + CHOOSE(CONTROL!$C$27, 0.0021, 0)</f>
        <v>153.17610000000002</v>
      </c>
      <c r="F959" s="14">
        <f>153.174 * CHOOSE(CONTROL!$C$9, $D$9, 100%, $F$9) + CHOOSE(CONTROL!$C$27, 0.0021, 0)</f>
        <v>153.17610000000002</v>
      </c>
      <c r="G959" s="14">
        <f>153.4454 * CHOOSE(CONTROL!$C$9, $D$9, 100%, $F$9) + CHOOSE(CONTROL!$C$27, 0.0021, 0)</f>
        <v>153.44750000000002</v>
      </c>
      <c r="H959" s="14">
        <f>153.3107 * CHOOSE(CONTROL!$C$9, $D$9, 100%, $F$9) + CHOOSE(CONTROL!$C$27, 0.0021, 0)</f>
        <v>153.31280000000001</v>
      </c>
      <c r="I959" s="14">
        <f>153.3107 * CHOOSE(CONTROL!$C$9, $D$9, 100%, $F$9) + CHOOSE(CONTROL!$C$27, 0.0021, 0)</f>
        <v>153.31280000000001</v>
      </c>
      <c r="J959" s="14">
        <f>153.3107 * CHOOSE(CONTROL!$C$9, $D$9, 100%, $F$9) + CHOOSE(CONTROL!$C$27, 0.0021, 0)</f>
        <v>153.31280000000001</v>
      </c>
      <c r="K959" s="14">
        <f>153.3107 * CHOOSE(CONTROL!$C$9, $D$9, 100%, $F$9) + CHOOSE(CONTROL!$C$27, 0.0021, 0)</f>
        <v>153.31280000000001</v>
      </c>
      <c r="L959" s="14"/>
    </row>
    <row r="960" spans="1:12" ht="15.75" x14ac:dyDescent="0.25">
      <c r="A960" s="31">
        <v>70159</v>
      </c>
      <c r="B960" s="14">
        <f>152.8411 * CHOOSE(CONTROL!$C$9, $D$9, 100%, $F$9) + CHOOSE(CONTROL!$C$27, 0.0021, 0)</f>
        <v>152.84320000000002</v>
      </c>
      <c r="C960" s="14">
        <f>152.4089 * CHOOSE(CONTROL!$C$9, $D$9, 100%, $F$9) + CHOOSE(CONTROL!$C$27, 0.0021, 0)</f>
        <v>152.411</v>
      </c>
      <c r="D960" s="14">
        <f>152.4089 * CHOOSE(CONTROL!$C$9, $D$9, 100%, $F$9) + CHOOSE(CONTROL!$C$27, 0.0021, 0)</f>
        <v>152.411</v>
      </c>
      <c r="E960" s="14">
        <f>152.2722 * CHOOSE(CONTROL!$C$9, $D$9, 100%, $F$9) + CHOOSE(CONTROL!$C$27, 0.0021, 0)</f>
        <v>152.27430000000001</v>
      </c>
      <c r="F960" s="14">
        <f>152.2722 * CHOOSE(CONTROL!$C$9, $D$9, 100%, $F$9) + CHOOSE(CONTROL!$C$27, 0.0021, 0)</f>
        <v>152.27430000000001</v>
      </c>
      <c r="G960" s="14">
        <f>152.5436 * CHOOSE(CONTROL!$C$9, $D$9, 100%, $F$9) + CHOOSE(CONTROL!$C$27, 0.0021, 0)</f>
        <v>152.54570000000001</v>
      </c>
      <c r="H960" s="14">
        <f>152.4089 * CHOOSE(CONTROL!$C$9, $D$9, 100%, $F$9) + CHOOSE(CONTROL!$C$27, 0.0021, 0)</f>
        <v>152.411</v>
      </c>
      <c r="I960" s="14">
        <f>152.4089 * CHOOSE(CONTROL!$C$9, $D$9, 100%, $F$9) + CHOOSE(CONTROL!$C$27, 0.0021, 0)</f>
        <v>152.411</v>
      </c>
      <c r="J960" s="14">
        <f>152.4089 * CHOOSE(CONTROL!$C$9, $D$9, 100%, $F$9) + CHOOSE(CONTROL!$C$27, 0.0021, 0)</f>
        <v>152.411</v>
      </c>
      <c r="K960" s="14">
        <f>152.4089 * CHOOSE(CONTROL!$C$9, $D$9, 100%, $F$9) + CHOOSE(CONTROL!$C$27, 0.0021, 0)</f>
        <v>152.411</v>
      </c>
      <c r="L960" s="14"/>
    </row>
    <row r="961" spans="1:12" ht="15.75" x14ac:dyDescent="0.25">
      <c r="A961" s="31">
        <v>70188</v>
      </c>
      <c r="B961" s="14">
        <f>152.4227 * CHOOSE(CONTROL!$C$9, $D$9, 100%, $F$9) + CHOOSE(CONTROL!$C$27, 0.0021, 0)</f>
        <v>152.4248</v>
      </c>
      <c r="C961" s="14">
        <f>151.9904 * CHOOSE(CONTROL!$C$9, $D$9, 100%, $F$9) + CHOOSE(CONTROL!$C$27, 0.0021, 0)</f>
        <v>151.99250000000001</v>
      </c>
      <c r="D961" s="14">
        <f>151.9904 * CHOOSE(CONTROL!$C$9, $D$9, 100%, $F$9) + CHOOSE(CONTROL!$C$27, 0.0021, 0)</f>
        <v>151.99250000000001</v>
      </c>
      <c r="E961" s="14">
        <f>151.8538 * CHOOSE(CONTROL!$C$9, $D$9, 100%, $F$9) + CHOOSE(CONTROL!$C$27, 0.0021, 0)</f>
        <v>151.85590000000002</v>
      </c>
      <c r="F961" s="14">
        <f>151.8538 * CHOOSE(CONTROL!$C$9, $D$9, 100%, $F$9) + CHOOSE(CONTROL!$C$27, 0.0021, 0)</f>
        <v>151.85590000000002</v>
      </c>
      <c r="G961" s="14">
        <f>152.1251 * CHOOSE(CONTROL!$C$9, $D$9, 100%, $F$9) + CHOOSE(CONTROL!$C$27, 0.0021, 0)</f>
        <v>152.12720000000002</v>
      </c>
      <c r="H961" s="14">
        <f>151.9904 * CHOOSE(CONTROL!$C$9, $D$9, 100%, $F$9) + CHOOSE(CONTROL!$C$27, 0.0021, 0)</f>
        <v>151.99250000000001</v>
      </c>
      <c r="I961" s="14">
        <f>151.9904 * CHOOSE(CONTROL!$C$9, $D$9, 100%, $F$9) + CHOOSE(CONTROL!$C$27, 0.0021, 0)</f>
        <v>151.99250000000001</v>
      </c>
      <c r="J961" s="14">
        <f>151.9904 * CHOOSE(CONTROL!$C$9, $D$9, 100%, $F$9) + CHOOSE(CONTROL!$C$27, 0.0021, 0)</f>
        <v>151.99250000000001</v>
      </c>
      <c r="K961" s="14">
        <f>151.9904 * CHOOSE(CONTROL!$C$9, $D$9, 100%, $F$9) + CHOOSE(CONTROL!$C$27, 0.0021, 0)</f>
        <v>151.99250000000001</v>
      </c>
      <c r="L961" s="14"/>
    </row>
    <row r="962" spans="1:12" ht="15.75" x14ac:dyDescent="0.25">
      <c r="A962" s="31">
        <v>70219</v>
      </c>
      <c r="B962" s="14">
        <f>160.3354 * CHOOSE(CONTROL!$C$9, $D$9, 100%, $F$9) + CHOOSE(CONTROL!$C$27, 0.0021, 0)</f>
        <v>160.33750000000001</v>
      </c>
      <c r="C962" s="14">
        <f>159.9032 * CHOOSE(CONTROL!$C$9, $D$9, 100%, $F$9) + CHOOSE(CONTROL!$C$27, 0.0021, 0)</f>
        <v>159.90530000000001</v>
      </c>
      <c r="D962" s="14">
        <f>159.9032 * CHOOSE(CONTROL!$C$9, $D$9, 100%, $F$9) + CHOOSE(CONTROL!$C$27, 0.0021, 0)</f>
        <v>159.90530000000001</v>
      </c>
      <c r="E962" s="14">
        <f>159.7665 * CHOOSE(CONTROL!$C$9, $D$9, 100%, $F$9) + CHOOSE(CONTROL!$C$27, 0.0021, 0)</f>
        <v>159.76860000000002</v>
      </c>
      <c r="F962" s="14">
        <f>159.7665 * CHOOSE(CONTROL!$C$9, $D$9, 100%, $F$9) + CHOOSE(CONTROL!$C$27, 0.0021, 0)</f>
        <v>159.76860000000002</v>
      </c>
      <c r="G962" s="14">
        <f>160.0379 * CHOOSE(CONTROL!$C$9, $D$9, 100%, $F$9) + CHOOSE(CONTROL!$C$27, 0.0021, 0)</f>
        <v>160.04000000000002</v>
      </c>
      <c r="H962" s="14">
        <f>159.9032 * CHOOSE(CONTROL!$C$9, $D$9, 100%, $F$9) + CHOOSE(CONTROL!$C$27, 0.0021, 0)</f>
        <v>159.90530000000001</v>
      </c>
      <c r="I962" s="14">
        <f>159.9032 * CHOOSE(CONTROL!$C$9, $D$9, 100%, $F$9) + CHOOSE(CONTROL!$C$27, 0.0021, 0)</f>
        <v>159.90530000000001</v>
      </c>
      <c r="J962" s="14">
        <f>159.9032 * CHOOSE(CONTROL!$C$9, $D$9, 100%, $F$9) + CHOOSE(CONTROL!$C$27, 0.0021, 0)</f>
        <v>159.90530000000001</v>
      </c>
      <c r="K962" s="14">
        <f>159.9032 * CHOOSE(CONTROL!$C$9, $D$9, 100%, $F$9) + CHOOSE(CONTROL!$C$27, 0.0021, 0)</f>
        <v>159.90530000000001</v>
      </c>
      <c r="L962" s="14"/>
    </row>
    <row r="963" spans="1:12" ht="15.75" x14ac:dyDescent="0.25">
      <c r="A963" s="31">
        <v>70249</v>
      </c>
      <c r="B963" s="14">
        <f>170.5963 * CHOOSE(CONTROL!$C$9, $D$9, 100%, $F$9) + CHOOSE(CONTROL!$C$27, 0.0021, 0)</f>
        <v>170.59840000000003</v>
      </c>
      <c r="C963" s="14">
        <f>170.1641 * CHOOSE(CONTROL!$C$9, $D$9, 100%, $F$9) + CHOOSE(CONTROL!$C$27, 0.0021, 0)</f>
        <v>170.1662</v>
      </c>
      <c r="D963" s="14">
        <f>170.1641 * CHOOSE(CONTROL!$C$9, $D$9, 100%, $F$9) + CHOOSE(CONTROL!$C$27, 0.0021, 0)</f>
        <v>170.1662</v>
      </c>
      <c r="E963" s="14">
        <f>170.0274 * CHOOSE(CONTROL!$C$9, $D$9, 100%, $F$9) + CHOOSE(CONTROL!$C$27, 0.0021, 0)</f>
        <v>170.02950000000001</v>
      </c>
      <c r="F963" s="14">
        <f>170.0274 * CHOOSE(CONTROL!$C$9, $D$9, 100%, $F$9) + CHOOSE(CONTROL!$C$27, 0.0021, 0)</f>
        <v>170.02950000000001</v>
      </c>
      <c r="G963" s="14">
        <f>170.2988 * CHOOSE(CONTROL!$C$9, $D$9, 100%, $F$9) + CHOOSE(CONTROL!$C$27, 0.0021, 0)</f>
        <v>170.30090000000001</v>
      </c>
      <c r="H963" s="14">
        <f>170.1641 * CHOOSE(CONTROL!$C$9, $D$9, 100%, $F$9) + CHOOSE(CONTROL!$C$27, 0.0021, 0)</f>
        <v>170.1662</v>
      </c>
      <c r="I963" s="14">
        <f>170.1641 * CHOOSE(CONTROL!$C$9, $D$9, 100%, $F$9) + CHOOSE(CONTROL!$C$27, 0.0021, 0)</f>
        <v>170.1662</v>
      </c>
      <c r="J963" s="14">
        <f>170.1641 * CHOOSE(CONTROL!$C$9, $D$9, 100%, $F$9) + CHOOSE(CONTROL!$C$27, 0.0021, 0)</f>
        <v>170.1662</v>
      </c>
      <c r="K963" s="14">
        <f>170.1641 * CHOOSE(CONTROL!$C$9, $D$9, 100%, $F$9) + CHOOSE(CONTROL!$C$27, 0.0021, 0)</f>
        <v>170.1662</v>
      </c>
      <c r="L963" s="14"/>
    </row>
    <row r="964" spans="1:12" ht="15.75" x14ac:dyDescent="0.25">
      <c r="A964" s="31">
        <v>70280</v>
      </c>
      <c r="B964" s="14">
        <f>176.2443 * CHOOSE(CONTROL!$C$9, $D$9, 100%, $F$9) + CHOOSE(CONTROL!$C$27, 0.0021, 0)</f>
        <v>176.24640000000002</v>
      </c>
      <c r="C964" s="14">
        <f>175.812 * CHOOSE(CONTROL!$C$9, $D$9, 100%, $F$9) + CHOOSE(CONTROL!$C$27, 0.0021, 0)</f>
        <v>175.81410000000002</v>
      </c>
      <c r="D964" s="14">
        <f>175.812 * CHOOSE(CONTROL!$C$9, $D$9, 100%, $F$9) + CHOOSE(CONTROL!$C$27, 0.0021, 0)</f>
        <v>175.81410000000002</v>
      </c>
      <c r="E964" s="14">
        <f>175.6754 * CHOOSE(CONTROL!$C$9, $D$9, 100%, $F$9) + CHOOSE(CONTROL!$C$27, 0.0021, 0)</f>
        <v>175.67750000000001</v>
      </c>
      <c r="F964" s="14">
        <f>175.6754 * CHOOSE(CONTROL!$C$9, $D$9, 100%, $F$9) + CHOOSE(CONTROL!$C$27, 0.0021, 0)</f>
        <v>175.67750000000001</v>
      </c>
      <c r="G964" s="14">
        <f>175.9468 * CHOOSE(CONTROL!$C$9, $D$9, 100%, $F$9) + CHOOSE(CONTROL!$C$27, 0.0021, 0)</f>
        <v>175.94890000000001</v>
      </c>
      <c r="H964" s="14">
        <f>175.812 * CHOOSE(CONTROL!$C$9, $D$9, 100%, $F$9) + CHOOSE(CONTROL!$C$27, 0.0021, 0)</f>
        <v>175.81410000000002</v>
      </c>
      <c r="I964" s="14">
        <f>175.812 * CHOOSE(CONTROL!$C$9, $D$9, 100%, $F$9) + CHOOSE(CONTROL!$C$27, 0.0021, 0)</f>
        <v>175.81410000000002</v>
      </c>
      <c r="J964" s="14">
        <f>175.812 * CHOOSE(CONTROL!$C$9, $D$9, 100%, $F$9) + CHOOSE(CONTROL!$C$27, 0.0021, 0)</f>
        <v>175.81410000000002</v>
      </c>
      <c r="K964" s="14">
        <f>175.812 * CHOOSE(CONTROL!$C$9, $D$9, 100%, $F$9) + CHOOSE(CONTROL!$C$27, 0.0021, 0)</f>
        <v>175.81410000000002</v>
      </c>
      <c r="L964" s="14"/>
    </row>
    <row r="965" spans="1:12" ht="15.75" x14ac:dyDescent="0.25">
      <c r="A965" s="31">
        <v>70310</v>
      </c>
      <c r="B965" s="14">
        <f>178.7507 * CHOOSE(CONTROL!$C$9, $D$9, 100%, $F$9) + CHOOSE(CONTROL!$C$27, 0.0021, 0)</f>
        <v>178.75280000000001</v>
      </c>
      <c r="C965" s="14">
        <f>178.3185 * CHOOSE(CONTROL!$C$9, $D$9, 100%, $F$9) + CHOOSE(CONTROL!$C$27, 0.0021, 0)</f>
        <v>178.32060000000001</v>
      </c>
      <c r="D965" s="14">
        <f>178.3185 * CHOOSE(CONTROL!$C$9, $D$9, 100%, $F$9) + CHOOSE(CONTROL!$C$27, 0.0021, 0)</f>
        <v>178.32060000000001</v>
      </c>
      <c r="E965" s="14">
        <f>178.1818 * CHOOSE(CONTROL!$C$9, $D$9, 100%, $F$9) + CHOOSE(CONTROL!$C$27, 0.0021, 0)</f>
        <v>178.18390000000002</v>
      </c>
      <c r="F965" s="14">
        <f>178.1818 * CHOOSE(CONTROL!$C$9, $D$9, 100%, $F$9) + CHOOSE(CONTROL!$C$27, 0.0021, 0)</f>
        <v>178.18390000000002</v>
      </c>
      <c r="G965" s="14">
        <f>178.4532 * CHOOSE(CONTROL!$C$9, $D$9, 100%, $F$9) + CHOOSE(CONTROL!$C$27, 0.0021, 0)</f>
        <v>178.45530000000002</v>
      </c>
      <c r="H965" s="14">
        <f>178.3185 * CHOOSE(CONTROL!$C$9, $D$9, 100%, $F$9) + CHOOSE(CONTROL!$C$27, 0.0021, 0)</f>
        <v>178.32060000000001</v>
      </c>
      <c r="I965" s="14">
        <f>178.3185 * CHOOSE(CONTROL!$C$9, $D$9, 100%, $F$9) + CHOOSE(CONTROL!$C$27, 0.0021, 0)</f>
        <v>178.32060000000001</v>
      </c>
      <c r="J965" s="14">
        <f>178.3185 * CHOOSE(CONTROL!$C$9, $D$9, 100%, $F$9) + CHOOSE(CONTROL!$C$27, 0.0021, 0)</f>
        <v>178.32060000000001</v>
      </c>
      <c r="K965" s="14">
        <f>178.3185 * CHOOSE(CONTROL!$C$9, $D$9, 100%, $F$9) + CHOOSE(CONTROL!$C$27, 0.0021, 0)</f>
        <v>178.32060000000001</v>
      </c>
      <c r="L965" s="14"/>
    </row>
    <row r="966" spans="1:12" ht="15.75" x14ac:dyDescent="0.25">
      <c r="A966" s="31">
        <v>70341</v>
      </c>
      <c r="B966" s="14">
        <f>177.9255 * CHOOSE(CONTROL!$C$9, $D$9, 100%, $F$9) + CHOOSE(CONTROL!$C$27, 0.0021, 0)</f>
        <v>177.92760000000001</v>
      </c>
      <c r="C966" s="14">
        <f>177.4933 * CHOOSE(CONTROL!$C$9, $D$9, 100%, $F$9) + CHOOSE(CONTROL!$C$27, 0.0021, 0)</f>
        <v>177.49540000000002</v>
      </c>
      <c r="D966" s="14">
        <f>177.4933 * CHOOSE(CONTROL!$C$9, $D$9, 100%, $F$9) + CHOOSE(CONTROL!$C$27, 0.0021, 0)</f>
        <v>177.49540000000002</v>
      </c>
      <c r="E966" s="14">
        <f>177.3566 * CHOOSE(CONTROL!$C$9, $D$9, 100%, $F$9) + CHOOSE(CONTROL!$C$27, 0.0021, 0)</f>
        <v>177.3587</v>
      </c>
      <c r="F966" s="14">
        <f>177.3566 * CHOOSE(CONTROL!$C$9, $D$9, 100%, $F$9) + CHOOSE(CONTROL!$C$27, 0.0021, 0)</f>
        <v>177.3587</v>
      </c>
      <c r="G966" s="14">
        <f>177.628 * CHOOSE(CONTROL!$C$9, $D$9, 100%, $F$9) + CHOOSE(CONTROL!$C$27, 0.0021, 0)</f>
        <v>177.6301</v>
      </c>
      <c r="H966" s="14">
        <f>177.4933 * CHOOSE(CONTROL!$C$9, $D$9, 100%, $F$9) + CHOOSE(CONTROL!$C$27, 0.0021, 0)</f>
        <v>177.49540000000002</v>
      </c>
      <c r="I966" s="14">
        <f>177.4933 * CHOOSE(CONTROL!$C$9, $D$9, 100%, $F$9) + CHOOSE(CONTROL!$C$27, 0.0021, 0)</f>
        <v>177.49540000000002</v>
      </c>
      <c r="J966" s="14">
        <f>177.4933 * CHOOSE(CONTROL!$C$9, $D$9, 100%, $F$9) + CHOOSE(CONTROL!$C$27, 0.0021, 0)</f>
        <v>177.49540000000002</v>
      </c>
      <c r="K966" s="14">
        <f>177.4933 * CHOOSE(CONTROL!$C$9, $D$9, 100%, $F$9) + CHOOSE(CONTROL!$C$27, 0.0021, 0)</f>
        <v>177.49540000000002</v>
      </c>
      <c r="L966" s="14"/>
    </row>
    <row r="967" spans="1:12" ht="15.75" x14ac:dyDescent="0.25">
      <c r="A967" s="31">
        <v>70372</v>
      </c>
      <c r="B967" s="14">
        <f>173.8368 * CHOOSE(CONTROL!$C$9, $D$9, 100%, $F$9) + CHOOSE(CONTROL!$C$27, 0.0021, 0)</f>
        <v>173.83890000000002</v>
      </c>
      <c r="C967" s="14">
        <f>173.4046 * CHOOSE(CONTROL!$C$9, $D$9, 100%, $F$9) + CHOOSE(CONTROL!$C$27, 0.0021, 0)</f>
        <v>173.4067</v>
      </c>
      <c r="D967" s="14">
        <f>173.4046 * CHOOSE(CONTROL!$C$9, $D$9, 100%, $F$9) + CHOOSE(CONTROL!$C$27, 0.0021, 0)</f>
        <v>173.4067</v>
      </c>
      <c r="E967" s="14">
        <f>173.2679 * CHOOSE(CONTROL!$C$9, $D$9, 100%, $F$9) + CHOOSE(CONTROL!$C$27, 0.0021, 0)</f>
        <v>173.27</v>
      </c>
      <c r="F967" s="14">
        <f>173.2679 * CHOOSE(CONTROL!$C$9, $D$9, 100%, $F$9) + CHOOSE(CONTROL!$C$27, 0.0021, 0)</f>
        <v>173.27</v>
      </c>
      <c r="G967" s="14">
        <f>173.5393 * CHOOSE(CONTROL!$C$9, $D$9, 100%, $F$9) + CHOOSE(CONTROL!$C$27, 0.0021, 0)</f>
        <v>173.54140000000001</v>
      </c>
      <c r="H967" s="14">
        <f>173.4046 * CHOOSE(CONTROL!$C$9, $D$9, 100%, $F$9) + CHOOSE(CONTROL!$C$27, 0.0021, 0)</f>
        <v>173.4067</v>
      </c>
      <c r="I967" s="14">
        <f>173.4046 * CHOOSE(CONTROL!$C$9, $D$9, 100%, $F$9) + CHOOSE(CONTROL!$C$27, 0.0021, 0)</f>
        <v>173.4067</v>
      </c>
      <c r="J967" s="14">
        <f>173.4046 * CHOOSE(CONTROL!$C$9, $D$9, 100%, $F$9) + CHOOSE(CONTROL!$C$27, 0.0021, 0)</f>
        <v>173.4067</v>
      </c>
      <c r="K967" s="14">
        <f>173.4046 * CHOOSE(CONTROL!$C$9, $D$9, 100%, $F$9) + CHOOSE(CONTROL!$C$27, 0.0021, 0)</f>
        <v>173.4067</v>
      </c>
      <c r="L967" s="14"/>
    </row>
    <row r="968" spans="1:12" ht="15.75" x14ac:dyDescent="0.25">
      <c r="A968" s="31">
        <v>70402</v>
      </c>
      <c r="B968" s="14">
        <f>168.135 * CHOOSE(CONTROL!$C$9, $D$9, 100%, $F$9) + CHOOSE(CONTROL!$C$27, 0.0021, 0)</f>
        <v>168.1371</v>
      </c>
      <c r="C968" s="14">
        <f>167.7027 * CHOOSE(CONTROL!$C$9, $D$9, 100%, $F$9) + CHOOSE(CONTROL!$C$27, 0.0021, 0)</f>
        <v>167.70480000000001</v>
      </c>
      <c r="D968" s="14">
        <f>167.7027 * CHOOSE(CONTROL!$C$9, $D$9, 100%, $F$9) + CHOOSE(CONTROL!$C$27, 0.0021, 0)</f>
        <v>167.70480000000001</v>
      </c>
      <c r="E968" s="14">
        <f>167.5661 * CHOOSE(CONTROL!$C$9, $D$9, 100%, $F$9) + CHOOSE(CONTROL!$C$27, 0.0021, 0)</f>
        <v>167.56820000000002</v>
      </c>
      <c r="F968" s="14">
        <f>167.5661 * CHOOSE(CONTROL!$C$9, $D$9, 100%, $F$9) + CHOOSE(CONTROL!$C$27, 0.0021, 0)</f>
        <v>167.56820000000002</v>
      </c>
      <c r="G968" s="14">
        <f>167.8375 * CHOOSE(CONTROL!$C$9, $D$9, 100%, $F$9) + CHOOSE(CONTROL!$C$27, 0.0021, 0)</f>
        <v>167.83960000000002</v>
      </c>
      <c r="H968" s="14">
        <f>167.7027 * CHOOSE(CONTROL!$C$9, $D$9, 100%, $F$9) + CHOOSE(CONTROL!$C$27, 0.0021, 0)</f>
        <v>167.70480000000001</v>
      </c>
      <c r="I968" s="14">
        <f>167.7027 * CHOOSE(CONTROL!$C$9, $D$9, 100%, $F$9) + CHOOSE(CONTROL!$C$27, 0.0021, 0)</f>
        <v>167.70480000000001</v>
      </c>
      <c r="J968" s="14">
        <f>167.7027 * CHOOSE(CONTROL!$C$9, $D$9, 100%, $F$9) + CHOOSE(CONTROL!$C$27, 0.0021, 0)</f>
        <v>167.70480000000001</v>
      </c>
      <c r="K968" s="14">
        <f>167.7027 * CHOOSE(CONTROL!$C$9, $D$9, 100%, $F$9) + CHOOSE(CONTROL!$C$27, 0.0021, 0)</f>
        <v>167.70480000000001</v>
      </c>
      <c r="L968" s="14"/>
    </row>
    <row r="969" spans="1:12" ht="15.75" x14ac:dyDescent="0.25">
      <c r="A969" s="31">
        <v>70433</v>
      </c>
      <c r="B969" s="14">
        <f>162.4 * CHOOSE(CONTROL!$C$9, $D$9, 100%, $F$9) + CHOOSE(CONTROL!$C$27, 0.0021, 0)</f>
        <v>162.40210000000002</v>
      </c>
      <c r="C969" s="14">
        <f>161.9677 * CHOOSE(CONTROL!$C$9, $D$9, 100%, $F$9) + CHOOSE(CONTROL!$C$27, 0.0021, 0)</f>
        <v>161.96980000000002</v>
      </c>
      <c r="D969" s="14">
        <f>161.9677 * CHOOSE(CONTROL!$C$9, $D$9, 100%, $F$9) + CHOOSE(CONTROL!$C$27, 0.0021, 0)</f>
        <v>161.96980000000002</v>
      </c>
      <c r="E969" s="14">
        <f>161.8311 * CHOOSE(CONTROL!$C$9, $D$9, 100%, $F$9) + CHOOSE(CONTROL!$C$27, 0.0021, 0)</f>
        <v>161.83320000000001</v>
      </c>
      <c r="F969" s="14">
        <f>161.8311 * CHOOSE(CONTROL!$C$9, $D$9, 100%, $F$9) + CHOOSE(CONTROL!$C$27, 0.0021, 0)</f>
        <v>161.83320000000001</v>
      </c>
      <c r="G969" s="14">
        <f>162.1025 * CHOOSE(CONTROL!$C$9, $D$9, 100%, $F$9) + CHOOSE(CONTROL!$C$27, 0.0021, 0)</f>
        <v>162.1046</v>
      </c>
      <c r="H969" s="14">
        <f>161.9677 * CHOOSE(CONTROL!$C$9, $D$9, 100%, $F$9) + CHOOSE(CONTROL!$C$27, 0.0021, 0)</f>
        <v>161.96980000000002</v>
      </c>
      <c r="I969" s="14">
        <f>161.9677 * CHOOSE(CONTROL!$C$9, $D$9, 100%, $F$9) + CHOOSE(CONTROL!$C$27, 0.0021, 0)</f>
        <v>161.96980000000002</v>
      </c>
      <c r="J969" s="14">
        <f>161.9677 * CHOOSE(CONTROL!$C$9, $D$9, 100%, $F$9) + CHOOSE(CONTROL!$C$27, 0.0021, 0)</f>
        <v>161.96980000000002</v>
      </c>
      <c r="K969" s="14">
        <f>161.9677 * CHOOSE(CONTROL!$C$9, $D$9, 100%, $F$9) + CHOOSE(CONTROL!$C$27, 0.0021, 0)</f>
        <v>161.96980000000002</v>
      </c>
      <c r="L969" s="14"/>
    </row>
    <row r="970" spans="1:12" ht="15.75" x14ac:dyDescent="0.25">
      <c r="A970" s="31">
        <v>70463</v>
      </c>
      <c r="B970" s="14">
        <f>161.2592 * CHOOSE(CONTROL!$C$9, $D$9, 100%, $F$9) + CHOOSE(CONTROL!$C$27, 0.0021, 0)</f>
        <v>161.26130000000001</v>
      </c>
      <c r="C970" s="14">
        <f>160.8269 * CHOOSE(CONTROL!$C$9, $D$9, 100%, $F$9) + CHOOSE(CONTROL!$C$27, 0.0021, 0)</f>
        <v>160.82900000000001</v>
      </c>
      <c r="D970" s="14">
        <f>160.8269 * CHOOSE(CONTROL!$C$9, $D$9, 100%, $F$9) + CHOOSE(CONTROL!$C$27, 0.0021, 0)</f>
        <v>160.82900000000001</v>
      </c>
      <c r="E970" s="14">
        <f>160.6903 * CHOOSE(CONTROL!$C$9, $D$9, 100%, $F$9) + CHOOSE(CONTROL!$C$27, 0.0021, 0)</f>
        <v>160.69240000000002</v>
      </c>
      <c r="F970" s="14">
        <f>160.6903 * CHOOSE(CONTROL!$C$9, $D$9, 100%, $F$9) + CHOOSE(CONTROL!$C$27, 0.0021, 0)</f>
        <v>160.69240000000002</v>
      </c>
      <c r="G970" s="14">
        <f>160.9616 * CHOOSE(CONTROL!$C$9, $D$9, 100%, $F$9) + CHOOSE(CONTROL!$C$27, 0.0021, 0)</f>
        <v>160.96370000000002</v>
      </c>
      <c r="H970" s="14">
        <f>160.8269 * CHOOSE(CONTROL!$C$9, $D$9, 100%, $F$9) + CHOOSE(CONTROL!$C$27, 0.0021, 0)</f>
        <v>160.82900000000001</v>
      </c>
      <c r="I970" s="14">
        <f>160.8269 * CHOOSE(CONTROL!$C$9, $D$9, 100%, $F$9) + CHOOSE(CONTROL!$C$27, 0.0021, 0)</f>
        <v>160.82900000000001</v>
      </c>
      <c r="J970" s="14">
        <f>160.8269 * CHOOSE(CONTROL!$C$9, $D$9, 100%, $F$9) + CHOOSE(CONTROL!$C$27, 0.0021, 0)</f>
        <v>160.82900000000001</v>
      </c>
      <c r="K970" s="14">
        <f>160.8269 * CHOOSE(CONTROL!$C$9, $D$9, 100%, $F$9) + CHOOSE(CONTROL!$C$27, 0.0021, 0)</f>
        <v>160.82900000000001</v>
      </c>
      <c r="L970" s="14"/>
    </row>
    <row r="971" spans="1:12" ht="15.75" x14ac:dyDescent="0.25">
      <c r="A971" s="31">
        <v>70494</v>
      </c>
      <c r="B971" s="14">
        <f>156.5418 * CHOOSE(CONTROL!$C$9, $D$9, 100%, $F$9) + CHOOSE(CONTROL!$C$27, 0.0021, 0)</f>
        <v>156.54390000000001</v>
      </c>
      <c r="C971" s="14">
        <f>156.1096 * CHOOSE(CONTROL!$C$9, $D$9, 100%, $F$9) + CHOOSE(CONTROL!$C$27, 0.0021, 0)</f>
        <v>156.11170000000001</v>
      </c>
      <c r="D971" s="14">
        <f>156.1096 * CHOOSE(CONTROL!$C$9, $D$9, 100%, $F$9) + CHOOSE(CONTROL!$C$27, 0.0021, 0)</f>
        <v>156.11170000000001</v>
      </c>
      <c r="E971" s="14">
        <f>155.9729 * CHOOSE(CONTROL!$C$9, $D$9, 100%, $F$9) + CHOOSE(CONTROL!$C$27, 0.0021, 0)</f>
        <v>155.97500000000002</v>
      </c>
      <c r="F971" s="14">
        <f>155.9729 * CHOOSE(CONTROL!$C$9, $D$9, 100%, $F$9) + CHOOSE(CONTROL!$C$27, 0.0021, 0)</f>
        <v>155.97500000000002</v>
      </c>
      <c r="G971" s="14">
        <f>156.2443 * CHOOSE(CONTROL!$C$9, $D$9, 100%, $F$9) + CHOOSE(CONTROL!$C$27, 0.0021, 0)</f>
        <v>156.24640000000002</v>
      </c>
      <c r="H971" s="14">
        <f>156.1096 * CHOOSE(CONTROL!$C$9, $D$9, 100%, $F$9) + CHOOSE(CONTROL!$C$27, 0.0021, 0)</f>
        <v>156.11170000000001</v>
      </c>
      <c r="I971" s="14">
        <f>156.1096 * CHOOSE(CONTROL!$C$9, $D$9, 100%, $F$9) + CHOOSE(CONTROL!$C$27, 0.0021, 0)</f>
        <v>156.11170000000001</v>
      </c>
      <c r="J971" s="14">
        <f>156.1096 * CHOOSE(CONTROL!$C$9, $D$9, 100%, $F$9) + CHOOSE(CONTROL!$C$27, 0.0021, 0)</f>
        <v>156.11170000000001</v>
      </c>
      <c r="K971" s="14">
        <f>156.1096 * CHOOSE(CONTROL!$C$9, $D$9, 100%, $F$9) + CHOOSE(CONTROL!$C$27, 0.0021, 0)</f>
        <v>156.11170000000001</v>
      </c>
      <c r="L971" s="14"/>
    </row>
    <row r="972" spans="1:12" ht="15.75" x14ac:dyDescent="0.25">
      <c r="A972" s="31">
        <v>70525</v>
      </c>
      <c r="B972" s="14">
        <f>155.6234 * CHOOSE(CONTROL!$C$9, $D$9, 100%, $F$9) + CHOOSE(CONTROL!$C$27, 0.0021, 0)</f>
        <v>155.62550000000002</v>
      </c>
      <c r="C972" s="14">
        <f>155.1912 * CHOOSE(CONTROL!$C$9, $D$9, 100%, $F$9) + CHOOSE(CONTROL!$C$27, 0.0021, 0)</f>
        <v>155.19330000000002</v>
      </c>
      <c r="D972" s="14">
        <f>155.1912 * CHOOSE(CONTROL!$C$9, $D$9, 100%, $F$9) + CHOOSE(CONTROL!$C$27, 0.0021, 0)</f>
        <v>155.19330000000002</v>
      </c>
      <c r="E972" s="14">
        <f>155.0545 * CHOOSE(CONTROL!$C$9, $D$9, 100%, $F$9) + CHOOSE(CONTROL!$C$27, 0.0021, 0)</f>
        <v>155.0566</v>
      </c>
      <c r="F972" s="14">
        <f>155.0545 * CHOOSE(CONTROL!$C$9, $D$9, 100%, $F$9) + CHOOSE(CONTROL!$C$27, 0.0021, 0)</f>
        <v>155.0566</v>
      </c>
      <c r="G972" s="14">
        <f>155.3259 * CHOOSE(CONTROL!$C$9, $D$9, 100%, $F$9) + CHOOSE(CONTROL!$C$27, 0.0021, 0)</f>
        <v>155.328</v>
      </c>
      <c r="H972" s="14">
        <f>155.1912 * CHOOSE(CONTROL!$C$9, $D$9, 100%, $F$9) + CHOOSE(CONTROL!$C$27, 0.0021, 0)</f>
        <v>155.19330000000002</v>
      </c>
      <c r="I972" s="14">
        <f>155.1912 * CHOOSE(CONTROL!$C$9, $D$9, 100%, $F$9) + CHOOSE(CONTROL!$C$27, 0.0021, 0)</f>
        <v>155.19330000000002</v>
      </c>
      <c r="J972" s="14">
        <f>155.1912 * CHOOSE(CONTROL!$C$9, $D$9, 100%, $F$9) + CHOOSE(CONTROL!$C$27, 0.0021, 0)</f>
        <v>155.19330000000002</v>
      </c>
      <c r="K972" s="14">
        <f>155.1912 * CHOOSE(CONTROL!$C$9, $D$9, 100%, $F$9) + CHOOSE(CONTROL!$C$27, 0.0021, 0)</f>
        <v>155.19330000000002</v>
      </c>
      <c r="L972" s="14"/>
    </row>
    <row r="973" spans="1:12" ht="15.75" x14ac:dyDescent="0.25">
      <c r="A973" s="31">
        <v>70553</v>
      </c>
      <c r="B973" s="14">
        <f>155.1972 * CHOOSE(CONTROL!$C$9, $D$9, 100%, $F$9) + CHOOSE(CONTROL!$C$27, 0.0021, 0)</f>
        <v>155.19930000000002</v>
      </c>
      <c r="C973" s="14">
        <f>154.7649 * CHOOSE(CONTROL!$C$9, $D$9, 100%, $F$9) + CHOOSE(CONTROL!$C$27, 0.0021, 0)</f>
        <v>154.76700000000002</v>
      </c>
      <c r="D973" s="14">
        <f>154.7649 * CHOOSE(CONTROL!$C$9, $D$9, 100%, $F$9) + CHOOSE(CONTROL!$C$27, 0.0021, 0)</f>
        <v>154.76700000000002</v>
      </c>
      <c r="E973" s="14">
        <f>154.6283 * CHOOSE(CONTROL!$C$9, $D$9, 100%, $F$9) + CHOOSE(CONTROL!$C$27, 0.0021, 0)</f>
        <v>154.63040000000001</v>
      </c>
      <c r="F973" s="14">
        <f>154.6283 * CHOOSE(CONTROL!$C$9, $D$9, 100%, $F$9) + CHOOSE(CONTROL!$C$27, 0.0021, 0)</f>
        <v>154.63040000000001</v>
      </c>
      <c r="G973" s="14">
        <f>154.8997 * CHOOSE(CONTROL!$C$9, $D$9, 100%, $F$9) + CHOOSE(CONTROL!$C$27, 0.0021, 0)</f>
        <v>154.90180000000001</v>
      </c>
      <c r="H973" s="14">
        <f>154.7649 * CHOOSE(CONTROL!$C$9, $D$9, 100%, $F$9) + CHOOSE(CONTROL!$C$27, 0.0021, 0)</f>
        <v>154.76700000000002</v>
      </c>
      <c r="I973" s="14">
        <f>154.7649 * CHOOSE(CONTROL!$C$9, $D$9, 100%, $F$9) + CHOOSE(CONTROL!$C$27, 0.0021, 0)</f>
        <v>154.76700000000002</v>
      </c>
      <c r="J973" s="14">
        <f>154.7649 * CHOOSE(CONTROL!$C$9, $D$9, 100%, $F$9) + CHOOSE(CONTROL!$C$27, 0.0021, 0)</f>
        <v>154.76700000000002</v>
      </c>
      <c r="K973" s="14">
        <f>154.7649 * CHOOSE(CONTROL!$C$9, $D$9, 100%, $F$9) + CHOOSE(CONTROL!$C$27, 0.0021, 0)</f>
        <v>154.76700000000002</v>
      </c>
      <c r="L973" s="14"/>
    </row>
    <row r="974" spans="1:12" ht="15.75" x14ac:dyDescent="0.25">
      <c r="A974" s="31">
        <v>70584</v>
      </c>
      <c r="B974" s="14">
        <f>163.2562 * CHOOSE(CONTROL!$C$9, $D$9, 100%, $F$9) + CHOOSE(CONTROL!$C$27, 0.0021, 0)</f>
        <v>163.25830000000002</v>
      </c>
      <c r="C974" s="14">
        <f>162.8239 * CHOOSE(CONTROL!$C$9, $D$9, 100%, $F$9) + CHOOSE(CONTROL!$C$27, 0.0021, 0)</f>
        <v>162.82600000000002</v>
      </c>
      <c r="D974" s="14">
        <f>162.8239 * CHOOSE(CONTROL!$C$9, $D$9, 100%, $F$9) + CHOOSE(CONTROL!$C$27, 0.0021, 0)</f>
        <v>162.82600000000002</v>
      </c>
      <c r="E974" s="14">
        <f>162.6873 * CHOOSE(CONTROL!$C$9, $D$9, 100%, $F$9) + CHOOSE(CONTROL!$C$27, 0.0021, 0)</f>
        <v>162.68940000000001</v>
      </c>
      <c r="F974" s="14">
        <f>162.6873 * CHOOSE(CONTROL!$C$9, $D$9, 100%, $F$9) + CHOOSE(CONTROL!$C$27, 0.0021, 0)</f>
        <v>162.68940000000001</v>
      </c>
      <c r="G974" s="14">
        <f>162.9586 * CHOOSE(CONTROL!$C$9, $D$9, 100%, $F$9) + CHOOSE(CONTROL!$C$27, 0.0021, 0)</f>
        <v>162.9607</v>
      </c>
      <c r="H974" s="14">
        <f>162.8239 * CHOOSE(CONTROL!$C$9, $D$9, 100%, $F$9) + CHOOSE(CONTROL!$C$27, 0.0021, 0)</f>
        <v>162.82600000000002</v>
      </c>
      <c r="I974" s="14">
        <f>162.8239 * CHOOSE(CONTROL!$C$9, $D$9, 100%, $F$9) + CHOOSE(CONTROL!$C$27, 0.0021, 0)</f>
        <v>162.82600000000002</v>
      </c>
      <c r="J974" s="14">
        <f>162.8239 * CHOOSE(CONTROL!$C$9, $D$9, 100%, $F$9) + CHOOSE(CONTROL!$C$27, 0.0021, 0)</f>
        <v>162.82600000000002</v>
      </c>
      <c r="K974" s="14">
        <f>162.8239 * CHOOSE(CONTROL!$C$9, $D$9, 100%, $F$9) + CHOOSE(CONTROL!$C$27, 0.0021, 0)</f>
        <v>162.82600000000002</v>
      </c>
      <c r="L974" s="14"/>
    </row>
    <row r="975" spans="1:12" ht="15.75" x14ac:dyDescent="0.25">
      <c r="A975" s="31">
        <v>70614</v>
      </c>
      <c r="B975" s="14">
        <f>173.7067 * CHOOSE(CONTROL!$C$9, $D$9, 100%, $F$9) + CHOOSE(CONTROL!$C$27, 0.0021, 0)</f>
        <v>173.70880000000002</v>
      </c>
      <c r="C975" s="14">
        <f>173.2745 * CHOOSE(CONTROL!$C$9, $D$9, 100%, $F$9) + CHOOSE(CONTROL!$C$27, 0.0021, 0)</f>
        <v>173.2766</v>
      </c>
      <c r="D975" s="14">
        <f>173.2745 * CHOOSE(CONTROL!$C$9, $D$9, 100%, $F$9) + CHOOSE(CONTROL!$C$27, 0.0021, 0)</f>
        <v>173.2766</v>
      </c>
      <c r="E975" s="14">
        <f>173.1378 * CHOOSE(CONTROL!$C$9, $D$9, 100%, $F$9) + CHOOSE(CONTROL!$C$27, 0.0021, 0)</f>
        <v>173.13990000000001</v>
      </c>
      <c r="F975" s="14">
        <f>173.1378 * CHOOSE(CONTROL!$C$9, $D$9, 100%, $F$9) + CHOOSE(CONTROL!$C$27, 0.0021, 0)</f>
        <v>173.13990000000001</v>
      </c>
      <c r="G975" s="14">
        <f>173.4092 * CHOOSE(CONTROL!$C$9, $D$9, 100%, $F$9) + CHOOSE(CONTROL!$C$27, 0.0021, 0)</f>
        <v>173.41130000000001</v>
      </c>
      <c r="H975" s="14">
        <f>173.2745 * CHOOSE(CONTROL!$C$9, $D$9, 100%, $F$9) + CHOOSE(CONTROL!$C$27, 0.0021, 0)</f>
        <v>173.2766</v>
      </c>
      <c r="I975" s="14">
        <f>173.2745 * CHOOSE(CONTROL!$C$9, $D$9, 100%, $F$9) + CHOOSE(CONTROL!$C$27, 0.0021, 0)</f>
        <v>173.2766</v>
      </c>
      <c r="J975" s="14">
        <f>173.2745 * CHOOSE(CONTROL!$C$9, $D$9, 100%, $F$9) + CHOOSE(CONTROL!$C$27, 0.0021, 0)</f>
        <v>173.2766</v>
      </c>
      <c r="K975" s="14">
        <f>173.2745 * CHOOSE(CONTROL!$C$9, $D$9, 100%, $F$9) + CHOOSE(CONTROL!$C$27, 0.0021, 0)</f>
        <v>173.2766</v>
      </c>
      <c r="L975" s="14"/>
    </row>
    <row r="976" spans="1:12" ht="15.75" x14ac:dyDescent="0.25">
      <c r="A976" s="31">
        <v>70645</v>
      </c>
      <c r="B976" s="14">
        <f>179.459 * CHOOSE(CONTROL!$C$9, $D$9, 100%, $F$9) + CHOOSE(CONTROL!$C$27, 0.0021, 0)</f>
        <v>179.46110000000002</v>
      </c>
      <c r="C976" s="14">
        <f>179.0268 * CHOOSE(CONTROL!$C$9, $D$9, 100%, $F$9) + CHOOSE(CONTROL!$C$27, 0.0021, 0)</f>
        <v>179.02890000000002</v>
      </c>
      <c r="D976" s="14">
        <f>179.0268 * CHOOSE(CONTROL!$C$9, $D$9, 100%, $F$9) + CHOOSE(CONTROL!$C$27, 0.0021, 0)</f>
        <v>179.02890000000002</v>
      </c>
      <c r="E976" s="14">
        <f>178.8901 * CHOOSE(CONTROL!$C$9, $D$9, 100%, $F$9) + CHOOSE(CONTROL!$C$27, 0.0021, 0)</f>
        <v>178.8922</v>
      </c>
      <c r="F976" s="14">
        <f>178.8901 * CHOOSE(CONTROL!$C$9, $D$9, 100%, $F$9) + CHOOSE(CONTROL!$C$27, 0.0021, 0)</f>
        <v>178.8922</v>
      </c>
      <c r="G976" s="14">
        <f>179.1615 * CHOOSE(CONTROL!$C$9, $D$9, 100%, $F$9) + CHOOSE(CONTROL!$C$27, 0.0021, 0)</f>
        <v>179.1636</v>
      </c>
      <c r="H976" s="14">
        <f>179.0268 * CHOOSE(CONTROL!$C$9, $D$9, 100%, $F$9) + CHOOSE(CONTROL!$C$27, 0.0021, 0)</f>
        <v>179.02890000000002</v>
      </c>
      <c r="I976" s="14">
        <f>179.0268 * CHOOSE(CONTROL!$C$9, $D$9, 100%, $F$9) + CHOOSE(CONTROL!$C$27, 0.0021, 0)</f>
        <v>179.02890000000002</v>
      </c>
      <c r="J976" s="14">
        <f>179.0268 * CHOOSE(CONTROL!$C$9, $D$9, 100%, $F$9) + CHOOSE(CONTROL!$C$27, 0.0021, 0)</f>
        <v>179.02890000000002</v>
      </c>
      <c r="K976" s="14">
        <f>179.0268 * CHOOSE(CONTROL!$C$9, $D$9, 100%, $F$9) + CHOOSE(CONTROL!$C$27, 0.0021, 0)</f>
        <v>179.02890000000002</v>
      </c>
      <c r="L976" s="14"/>
    </row>
    <row r="977" spans="1:12" ht="15.75" x14ac:dyDescent="0.25">
      <c r="A977" s="31">
        <v>70675</v>
      </c>
      <c r="B977" s="14">
        <f>182.0118 * CHOOSE(CONTROL!$C$9, $D$9, 100%, $F$9) + CHOOSE(CONTROL!$C$27, 0.0021, 0)</f>
        <v>182.01390000000001</v>
      </c>
      <c r="C977" s="14">
        <f>181.5796 * CHOOSE(CONTROL!$C$9, $D$9, 100%, $F$9) + CHOOSE(CONTROL!$C$27, 0.0021, 0)</f>
        <v>181.58170000000001</v>
      </c>
      <c r="D977" s="14">
        <f>181.5796 * CHOOSE(CONTROL!$C$9, $D$9, 100%, $F$9) + CHOOSE(CONTROL!$C$27, 0.0021, 0)</f>
        <v>181.58170000000001</v>
      </c>
      <c r="E977" s="14">
        <f>181.4429 * CHOOSE(CONTROL!$C$9, $D$9, 100%, $F$9) + CHOOSE(CONTROL!$C$27, 0.0021, 0)</f>
        <v>181.44500000000002</v>
      </c>
      <c r="F977" s="14">
        <f>181.4429 * CHOOSE(CONTROL!$C$9, $D$9, 100%, $F$9) + CHOOSE(CONTROL!$C$27, 0.0021, 0)</f>
        <v>181.44500000000002</v>
      </c>
      <c r="G977" s="14">
        <f>181.7143 * CHOOSE(CONTROL!$C$9, $D$9, 100%, $F$9) + CHOOSE(CONTROL!$C$27, 0.0021, 0)</f>
        <v>181.71640000000002</v>
      </c>
      <c r="H977" s="14">
        <f>181.5796 * CHOOSE(CONTROL!$C$9, $D$9, 100%, $F$9) + CHOOSE(CONTROL!$C$27, 0.0021, 0)</f>
        <v>181.58170000000001</v>
      </c>
      <c r="I977" s="14">
        <f>181.5796 * CHOOSE(CONTROL!$C$9, $D$9, 100%, $F$9) + CHOOSE(CONTROL!$C$27, 0.0021, 0)</f>
        <v>181.58170000000001</v>
      </c>
      <c r="J977" s="14">
        <f>181.5796 * CHOOSE(CONTROL!$C$9, $D$9, 100%, $F$9) + CHOOSE(CONTROL!$C$27, 0.0021, 0)</f>
        <v>181.58170000000001</v>
      </c>
      <c r="K977" s="14">
        <f>181.5796 * CHOOSE(CONTROL!$C$9, $D$9, 100%, $F$9) + CHOOSE(CONTROL!$C$27, 0.0021, 0)</f>
        <v>181.58170000000001</v>
      </c>
      <c r="L977" s="14"/>
    </row>
    <row r="978" spans="1:12" ht="15.75" x14ac:dyDescent="0.25">
      <c r="A978" s="31">
        <v>70706</v>
      </c>
      <c r="B978" s="14">
        <f>181.1713 * CHOOSE(CONTROL!$C$9, $D$9, 100%, $F$9) + CHOOSE(CONTROL!$C$27, 0.0021, 0)</f>
        <v>181.17340000000002</v>
      </c>
      <c r="C978" s="14">
        <f>180.7391 * CHOOSE(CONTROL!$C$9, $D$9, 100%, $F$9) + CHOOSE(CONTROL!$C$27, 0.0021, 0)</f>
        <v>180.74120000000002</v>
      </c>
      <c r="D978" s="14">
        <f>180.7391 * CHOOSE(CONTROL!$C$9, $D$9, 100%, $F$9) + CHOOSE(CONTROL!$C$27, 0.0021, 0)</f>
        <v>180.74120000000002</v>
      </c>
      <c r="E978" s="14">
        <f>180.6024 * CHOOSE(CONTROL!$C$9, $D$9, 100%, $F$9) + CHOOSE(CONTROL!$C$27, 0.0021, 0)</f>
        <v>180.6045</v>
      </c>
      <c r="F978" s="14">
        <f>180.6024 * CHOOSE(CONTROL!$C$9, $D$9, 100%, $F$9) + CHOOSE(CONTROL!$C$27, 0.0021, 0)</f>
        <v>180.6045</v>
      </c>
      <c r="G978" s="14">
        <f>180.8738 * CHOOSE(CONTROL!$C$9, $D$9, 100%, $F$9) + CHOOSE(CONTROL!$C$27, 0.0021, 0)</f>
        <v>180.8759</v>
      </c>
      <c r="H978" s="14">
        <f>180.7391 * CHOOSE(CONTROL!$C$9, $D$9, 100%, $F$9) + CHOOSE(CONTROL!$C$27, 0.0021, 0)</f>
        <v>180.74120000000002</v>
      </c>
      <c r="I978" s="14">
        <f>180.7391 * CHOOSE(CONTROL!$C$9, $D$9, 100%, $F$9) + CHOOSE(CONTROL!$C$27, 0.0021, 0)</f>
        <v>180.74120000000002</v>
      </c>
      <c r="J978" s="14">
        <f>180.7391 * CHOOSE(CONTROL!$C$9, $D$9, 100%, $F$9) + CHOOSE(CONTROL!$C$27, 0.0021, 0)</f>
        <v>180.74120000000002</v>
      </c>
      <c r="K978" s="14">
        <f>180.7391 * CHOOSE(CONTROL!$C$9, $D$9, 100%, $F$9) + CHOOSE(CONTROL!$C$27, 0.0021, 0)</f>
        <v>180.74120000000002</v>
      </c>
      <c r="L978" s="14"/>
    </row>
    <row r="979" spans="1:12" ht="15.75" x14ac:dyDescent="0.25">
      <c r="A979" s="31">
        <v>70737</v>
      </c>
      <c r="B979" s="14">
        <f>177.0071 * CHOOSE(CONTROL!$C$9, $D$9, 100%, $F$9) + CHOOSE(CONTROL!$C$27, 0.0021, 0)</f>
        <v>177.00920000000002</v>
      </c>
      <c r="C979" s="14">
        <f>176.5749 * CHOOSE(CONTROL!$C$9, $D$9, 100%, $F$9) + CHOOSE(CONTROL!$C$27, 0.0021, 0)</f>
        <v>176.57700000000003</v>
      </c>
      <c r="D979" s="14">
        <f>176.5749 * CHOOSE(CONTROL!$C$9, $D$9, 100%, $F$9) + CHOOSE(CONTROL!$C$27, 0.0021, 0)</f>
        <v>176.57700000000003</v>
      </c>
      <c r="E979" s="14">
        <f>176.4382 * CHOOSE(CONTROL!$C$9, $D$9, 100%, $F$9) + CHOOSE(CONTROL!$C$27, 0.0021, 0)</f>
        <v>176.44030000000001</v>
      </c>
      <c r="F979" s="14">
        <f>176.4382 * CHOOSE(CONTROL!$C$9, $D$9, 100%, $F$9) + CHOOSE(CONTROL!$C$27, 0.0021, 0)</f>
        <v>176.44030000000001</v>
      </c>
      <c r="G979" s="14">
        <f>176.7096 * CHOOSE(CONTROL!$C$9, $D$9, 100%, $F$9) + CHOOSE(CONTROL!$C$27, 0.0021, 0)</f>
        <v>176.71170000000001</v>
      </c>
      <c r="H979" s="14">
        <f>176.5749 * CHOOSE(CONTROL!$C$9, $D$9, 100%, $F$9) + CHOOSE(CONTROL!$C$27, 0.0021, 0)</f>
        <v>176.57700000000003</v>
      </c>
      <c r="I979" s="14">
        <f>176.5749 * CHOOSE(CONTROL!$C$9, $D$9, 100%, $F$9) + CHOOSE(CONTROL!$C$27, 0.0021, 0)</f>
        <v>176.57700000000003</v>
      </c>
      <c r="J979" s="14">
        <f>176.5749 * CHOOSE(CONTROL!$C$9, $D$9, 100%, $F$9) + CHOOSE(CONTROL!$C$27, 0.0021, 0)</f>
        <v>176.57700000000003</v>
      </c>
      <c r="K979" s="14">
        <f>176.5749 * CHOOSE(CONTROL!$C$9, $D$9, 100%, $F$9) + CHOOSE(CONTROL!$C$27, 0.0021, 0)</f>
        <v>176.57700000000003</v>
      </c>
      <c r="L979" s="14"/>
    </row>
    <row r="980" spans="1:12" ht="15.75" x14ac:dyDescent="0.25">
      <c r="A980" s="31">
        <v>70767</v>
      </c>
      <c r="B980" s="14">
        <f>171.1999 * CHOOSE(CONTROL!$C$9, $D$9, 100%, $F$9) + CHOOSE(CONTROL!$C$27, 0.0021, 0)</f>
        <v>171.20200000000003</v>
      </c>
      <c r="C980" s="14">
        <f>170.7676 * CHOOSE(CONTROL!$C$9, $D$9, 100%, $F$9) + CHOOSE(CONTROL!$C$27, 0.0021, 0)</f>
        <v>170.7697</v>
      </c>
      <c r="D980" s="14">
        <f>170.7676 * CHOOSE(CONTROL!$C$9, $D$9, 100%, $F$9) + CHOOSE(CONTROL!$C$27, 0.0021, 0)</f>
        <v>170.7697</v>
      </c>
      <c r="E980" s="14">
        <f>170.631 * CHOOSE(CONTROL!$C$9, $D$9, 100%, $F$9) + CHOOSE(CONTROL!$C$27, 0.0021, 0)</f>
        <v>170.63310000000001</v>
      </c>
      <c r="F980" s="14">
        <f>170.631 * CHOOSE(CONTROL!$C$9, $D$9, 100%, $F$9) + CHOOSE(CONTROL!$C$27, 0.0021, 0)</f>
        <v>170.63310000000001</v>
      </c>
      <c r="G980" s="14">
        <f>170.9024 * CHOOSE(CONTROL!$C$9, $D$9, 100%, $F$9) + CHOOSE(CONTROL!$C$27, 0.0021, 0)</f>
        <v>170.90450000000001</v>
      </c>
      <c r="H980" s="14">
        <f>170.7676 * CHOOSE(CONTROL!$C$9, $D$9, 100%, $F$9) + CHOOSE(CONTROL!$C$27, 0.0021, 0)</f>
        <v>170.7697</v>
      </c>
      <c r="I980" s="14">
        <f>170.7676 * CHOOSE(CONTROL!$C$9, $D$9, 100%, $F$9) + CHOOSE(CONTROL!$C$27, 0.0021, 0)</f>
        <v>170.7697</v>
      </c>
      <c r="J980" s="14">
        <f>170.7676 * CHOOSE(CONTROL!$C$9, $D$9, 100%, $F$9) + CHOOSE(CONTROL!$C$27, 0.0021, 0)</f>
        <v>170.7697</v>
      </c>
      <c r="K980" s="14">
        <f>170.7676 * CHOOSE(CONTROL!$C$9, $D$9, 100%, $F$9) + CHOOSE(CONTROL!$C$27, 0.0021, 0)</f>
        <v>170.7697</v>
      </c>
      <c r="L980" s="14"/>
    </row>
    <row r="981" spans="1:12" ht="15.75" x14ac:dyDescent="0.25">
      <c r="A981" s="31">
        <v>70798</v>
      </c>
      <c r="B981" s="14">
        <f>165.3589 * CHOOSE(CONTROL!$C$9, $D$9, 100%, $F$9) + CHOOSE(CONTROL!$C$27, 0.0021, 0)</f>
        <v>165.36100000000002</v>
      </c>
      <c r="C981" s="14">
        <f>164.9266 * CHOOSE(CONTROL!$C$9, $D$9, 100%, $F$9) + CHOOSE(CONTROL!$C$27, 0.0021, 0)</f>
        <v>164.92870000000002</v>
      </c>
      <c r="D981" s="14">
        <f>164.9266 * CHOOSE(CONTROL!$C$9, $D$9, 100%, $F$9) + CHOOSE(CONTROL!$C$27, 0.0021, 0)</f>
        <v>164.92870000000002</v>
      </c>
      <c r="E981" s="14">
        <f>164.79 * CHOOSE(CONTROL!$C$9, $D$9, 100%, $F$9) + CHOOSE(CONTROL!$C$27, 0.0021, 0)</f>
        <v>164.7921</v>
      </c>
      <c r="F981" s="14">
        <f>164.79 * CHOOSE(CONTROL!$C$9, $D$9, 100%, $F$9) + CHOOSE(CONTROL!$C$27, 0.0021, 0)</f>
        <v>164.7921</v>
      </c>
      <c r="G981" s="14">
        <f>165.0614 * CHOOSE(CONTROL!$C$9, $D$9, 100%, $F$9) + CHOOSE(CONTROL!$C$27, 0.0021, 0)</f>
        <v>165.0635</v>
      </c>
      <c r="H981" s="14">
        <f>164.9266 * CHOOSE(CONTROL!$C$9, $D$9, 100%, $F$9) + CHOOSE(CONTROL!$C$27, 0.0021, 0)</f>
        <v>164.92870000000002</v>
      </c>
      <c r="I981" s="14">
        <f>164.9266 * CHOOSE(CONTROL!$C$9, $D$9, 100%, $F$9) + CHOOSE(CONTROL!$C$27, 0.0021, 0)</f>
        <v>164.92870000000002</v>
      </c>
      <c r="J981" s="14">
        <f>164.9266 * CHOOSE(CONTROL!$C$9, $D$9, 100%, $F$9) + CHOOSE(CONTROL!$C$27, 0.0021, 0)</f>
        <v>164.92870000000002</v>
      </c>
      <c r="K981" s="14">
        <f>164.9266 * CHOOSE(CONTROL!$C$9, $D$9, 100%, $F$9) + CHOOSE(CONTROL!$C$27, 0.0021, 0)</f>
        <v>164.92870000000002</v>
      </c>
      <c r="L981" s="14"/>
    </row>
    <row r="982" spans="1:12" ht="15.75" x14ac:dyDescent="0.25">
      <c r="A982" s="31">
        <v>70828</v>
      </c>
      <c r="B982" s="14">
        <f>164.197 * CHOOSE(CONTROL!$C$9, $D$9, 100%, $F$9) + CHOOSE(CONTROL!$C$27, 0.0021, 0)</f>
        <v>164.19910000000002</v>
      </c>
      <c r="C982" s="14">
        <f>163.7648 * CHOOSE(CONTROL!$C$9, $D$9, 100%, $F$9) + CHOOSE(CONTROL!$C$27, 0.0021, 0)</f>
        <v>163.76690000000002</v>
      </c>
      <c r="D982" s="14">
        <f>163.7648 * CHOOSE(CONTROL!$C$9, $D$9, 100%, $F$9) + CHOOSE(CONTROL!$C$27, 0.0021, 0)</f>
        <v>163.76690000000002</v>
      </c>
      <c r="E982" s="14">
        <f>163.6281 * CHOOSE(CONTROL!$C$9, $D$9, 100%, $F$9) + CHOOSE(CONTROL!$C$27, 0.0021, 0)</f>
        <v>163.6302</v>
      </c>
      <c r="F982" s="14">
        <f>163.6281 * CHOOSE(CONTROL!$C$9, $D$9, 100%, $F$9) + CHOOSE(CONTROL!$C$27, 0.0021, 0)</f>
        <v>163.6302</v>
      </c>
      <c r="G982" s="14">
        <f>163.8995 * CHOOSE(CONTROL!$C$9, $D$9, 100%, $F$9) + CHOOSE(CONTROL!$C$27, 0.0021, 0)</f>
        <v>163.9016</v>
      </c>
      <c r="H982" s="14">
        <f>163.7648 * CHOOSE(CONTROL!$C$9, $D$9, 100%, $F$9) + CHOOSE(CONTROL!$C$27, 0.0021, 0)</f>
        <v>163.76690000000002</v>
      </c>
      <c r="I982" s="14">
        <f>163.7648 * CHOOSE(CONTROL!$C$9, $D$9, 100%, $F$9) + CHOOSE(CONTROL!$C$27, 0.0021, 0)</f>
        <v>163.76690000000002</v>
      </c>
      <c r="J982" s="14">
        <f>163.7648 * CHOOSE(CONTROL!$C$9, $D$9, 100%, $F$9) + CHOOSE(CONTROL!$C$27, 0.0021, 0)</f>
        <v>163.76690000000002</v>
      </c>
      <c r="K982" s="14">
        <f>163.7648 * CHOOSE(CONTROL!$C$9, $D$9, 100%, $F$9) + CHOOSE(CONTROL!$C$27, 0.0021, 0)</f>
        <v>163.76690000000002</v>
      </c>
      <c r="L982" s="14"/>
    </row>
    <row r="983" spans="1:12" ht="15.75" x14ac:dyDescent="0.25">
      <c r="A983" s="31">
        <v>70859</v>
      </c>
      <c r="B983" s="14">
        <f>159.3925 * CHOOSE(CONTROL!$C$9, $D$9, 100%, $F$9) + CHOOSE(CONTROL!$C$27, 0.0021, 0)</f>
        <v>159.39460000000003</v>
      </c>
      <c r="C983" s="14">
        <f>158.9602 * CHOOSE(CONTROL!$C$9, $D$9, 100%, $F$9) + CHOOSE(CONTROL!$C$27, 0.0021, 0)</f>
        <v>158.9623</v>
      </c>
      <c r="D983" s="14">
        <f>158.9602 * CHOOSE(CONTROL!$C$9, $D$9, 100%, $F$9) + CHOOSE(CONTROL!$C$27, 0.0021, 0)</f>
        <v>158.9623</v>
      </c>
      <c r="E983" s="14">
        <f>158.8236 * CHOOSE(CONTROL!$C$9, $D$9, 100%, $F$9) + CHOOSE(CONTROL!$C$27, 0.0021, 0)</f>
        <v>158.82570000000001</v>
      </c>
      <c r="F983" s="14">
        <f>158.8236 * CHOOSE(CONTROL!$C$9, $D$9, 100%, $F$9) + CHOOSE(CONTROL!$C$27, 0.0021, 0)</f>
        <v>158.82570000000001</v>
      </c>
      <c r="G983" s="14">
        <f>159.0949 * CHOOSE(CONTROL!$C$9, $D$9, 100%, $F$9) + CHOOSE(CONTROL!$C$27, 0.0021, 0)</f>
        <v>159.09700000000001</v>
      </c>
      <c r="H983" s="14">
        <f>158.9602 * CHOOSE(CONTROL!$C$9, $D$9, 100%, $F$9) + CHOOSE(CONTROL!$C$27, 0.0021, 0)</f>
        <v>158.9623</v>
      </c>
      <c r="I983" s="14">
        <f>158.9602 * CHOOSE(CONTROL!$C$9, $D$9, 100%, $F$9) + CHOOSE(CONTROL!$C$27, 0.0021, 0)</f>
        <v>158.9623</v>
      </c>
      <c r="J983" s="14">
        <f>158.9602 * CHOOSE(CONTROL!$C$9, $D$9, 100%, $F$9) + CHOOSE(CONTROL!$C$27, 0.0021, 0)</f>
        <v>158.9623</v>
      </c>
      <c r="K983" s="14">
        <f>158.9602 * CHOOSE(CONTROL!$C$9, $D$9, 100%, $F$9) + CHOOSE(CONTROL!$C$27, 0.0021, 0)</f>
        <v>158.9623</v>
      </c>
      <c r="L983" s="14"/>
    </row>
    <row r="984" spans="1:12" ht="15.75" x14ac:dyDescent="0.25">
      <c r="A984" s="31">
        <v>70890</v>
      </c>
      <c r="B984" s="14">
        <f>158.4571 * CHOOSE(CONTROL!$C$9, $D$9, 100%, $F$9) + CHOOSE(CONTROL!$C$27, 0.0021, 0)</f>
        <v>158.45920000000001</v>
      </c>
      <c r="C984" s="14">
        <f>158.0248 * CHOOSE(CONTROL!$C$9, $D$9, 100%, $F$9) + CHOOSE(CONTROL!$C$27, 0.0021, 0)</f>
        <v>158.02690000000001</v>
      </c>
      <c r="D984" s="14">
        <f>158.0248 * CHOOSE(CONTROL!$C$9, $D$9, 100%, $F$9) + CHOOSE(CONTROL!$C$27, 0.0021, 0)</f>
        <v>158.02690000000001</v>
      </c>
      <c r="E984" s="14">
        <f>157.8882 * CHOOSE(CONTROL!$C$9, $D$9, 100%, $F$9) + CHOOSE(CONTROL!$C$27, 0.0021, 0)</f>
        <v>157.89030000000002</v>
      </c>
      <c r="F984" s="14">
        <f>157.8882 * CHOOSE(CONTROL!$C$9, $D$9, 100%, $F$9) + CHOOSE(CONTROL!$C$27, 0.0021, 0)</f>
        <v>157.89030000000002</v>
      </c>
      <c r="G984" s="14">
        <f>158.1595 * CHOOSE(CONTROL!$C$9, $D$9, 100%, $F$9) + CHOOSE(CONTROL!$C$27, 0.0021, 0)</f>
        <v>158.16160000000002</v>
      </c>
      <c r="H984" s="14">
        <f>158.0248 * CHOOSE(CONTROL!$C$9, $D$9, 100%, $F$9) + CHOOSE(CONTROL!$C$27, 0.0021, 0)</f>
        <v>158.02690000000001</v>
      </c>
      <c r="I984" s="14">
        <f>158.0248 * CHOOSE(CONTROL!$C$9, $D$9, 100%, $F$9) + CHOOSE(CONTROL!$C$27, 0.0021, 0)</f>
        <v>158.02690000000001</v>
      </c>
      <c r="J984" s="14">
        <f>158.0248 * CHOOSE(CONTROL!$C$9, $D$9, 100%, $F$9) + CHOOSE(CONTROL!$C$27, 0.0021, 0)</f>
        <v>158.02690000000001</v>
      </c>
      <c r="K984" s="14">
        <f>158.0248 * CHOOSE(CONTROL!$C$9, $D$9, 100%, $F$9) + CHOOSE(CONTROL!$C$27, 0.0021, 0)</f>
        <v>158.02690000000001</v>
      </c>
      <c r="L984" s="14"/>
    </row>
    <row r="985" spans="1:12" ht="15.75" x14ac:dyDescent="0.25">
      <c r="A985" s="31">
        <v>70918</v>
      </c>
      <c r="B985" s="14">
        <f>158.023 * CHOOSE(CONTROL!$C$9, $D$9, 100%, $F$9) + CHOOSE(CONTROL!$C$27, 0.0021, 0)</f>
        <v>158.02510000000001</v>
      </c>
      <c r="C985" s="14">
        <f>157.5907 * CHOOSE(CONTROL!$C$9, $D$9, 100%, $F$9) + CHOOSE(CONTROL!$C$27, 0.0021, 0)</f>
        <v>157.59280000000001</v>
      </c>
      <c r="D985" s="14">
        <f>157.5907 * CHOOSE(CONTROL!$C$9, $D$9, 100%, $F$9) + CHOOSE(CONTROL!$C$27, 0.0021, 0)</f>
        <v>157.59280000000001</v>
      </c>
      <c r="E985" s="14">
        <f>157.4541 * CHOOSE(CONTROL!$C$9, $D$9, 100%, $F$9) + CHOOSE(CONTROL!$C$27, 0.0021, 0)</f>
        <v>157.45620000000002</v>
      </c>
      <c r="F985" s="14">
        <f>157.4541 * CHOOSE(CONTROL!$C$9, $D$9, 100%, $F$9) + CHOOSE(CONTROL!$C$27, 0.0021, 0)</f>
        <v>157.45620000000002</v>
      </c>
      <c r="G985" s="14">
        <f>157.7255 * CHOOSE(CONTROL!$C$9, $D$9, 100%, $F$9) + CHOOSE(CONTROL!$C$27, 0.0021, 0)</f>
        <v>157.72760000000002</v>
      </c>
      <c r="H985" s="14">
        <f>157.5907 * CHOOSE(CONTROL!$C$9, $D$9, 100%, $F$9) + CHOOSE(CONTROL!$C$27, 0.0021, 0)</f>
        <v>157.59280000000001</v>
      </c>
      <c r="I985" s="14">
        <f>157.5907 * CHOOSE(CONTROL!$C$9, $D$9, 100%, $F$9) + CHOOSE(CONTROL!$C$27, 0.0021, 0)</f>
        <v>157.59280000000001</v>
      </c>
      <c r="J985" s="14">
        <f>157.5907 * CHOOSE(CONTROL!$C$9, $D$9, 100%, $F$9) + CHOOSE(CONTROL!$C$27, 0.0021, 0)</f>
        <v>157.59280000000001</v>
      </c>
      <c r="K985" s="14">
        <f>157.5907 * CHOOSE(CONTROL!$C$9, $D$9, 100%, $F$9) + CHOOSE(CONTROL!$C$27, 0.0021, 0)</f>
        <v>157.59280000000001</v>
      </c>
      <c r="L985" s="14"/>
    </row>
    <row r="986" spans="1:12" ht="15.75" x14ac:dyDescent="0.25">
      <c r="A986" s="31">
        <v>70949</v>
      </c>
      <c r="B986" s="14">
        <f>166.2309 * CHOOSE(CONTROL!$C$9, $D$9, 100%, $F$9) + CHOOSE(CONTROL!$C$27, 0.0021, 0)</f>
        <v>166.233</v>
      </c>
      <c r="C986" s="14">
        <f>165.7986 * CHOOSE(CONTROL!$C$9, $D$9, 100%, $F$9) + CHOOSE(CONTROL!$C$27, 0.0021, 0)</f>
        <v>165.80070000000001</v>
      </c>
      <c r="D986" s="14">
        <f>165.7986 * CHOOSE(CONTROL!$C$9, $D$9, 100%, $F$9) + CHOOSE(CONTROL!$C$27, 0.0021, 0)</f>
        <v>165.80070000000001</v>
      </c>
      <c r="E986" s="14">
        <f>165.662 * CHOOSE(CONTROL!$C$9, $D$9, 100%, $F$9) + CHOOSE(CONTROL!$C$27, 0.0021, 0)</f>
        <v>165.66410000000002</v>
      </c>
      <c r="F986" s="14">
        <f>165.662 * CHOOSE(CONTROL!$C$9, $D$9, 100%, $F$9) + CHOOSE(CONTROL!$C$27, 0.0021, 0)</f>
        <v>165.66410000000002</v>
      </c>
      <c r="G986" s="14">
        <f>165.9334 * CHOOSE(CONTROL!$C$9, $D$9, 100%, $F$9) + CHOOSE(CONTROL!$C$27, 0.0021, 0)</f>
        <v>165.93550000000002</v>
      </c>
      <c r="H986" s="14">
        <f>165.7986 * CHOOSE(CONTROL!$C$9, $D$9, 100%, $F$9) + CHOOSE(CONTROL!$C$27, 0.0021, 0)</f>
        <v>165.80070000000001</v>
      </c>
      <c r="I986" s="14">
        <f>165.7986 * CHOOSE(CONTROL!$C$9, $D$9, 100%, $F$9) + CHOOSE(CONTROL!$C$27, 0.0021, 0)</f>
        <v>165.80070000000001</v>
      </c>
      <c r="J986" s="14">
        <f>165.7986 * CHOOSE(CONTROL!$C$9, $D$9, 100%, $F$9) + CHOOSE(CONTROL!$C$27, 0.0021, 0)</f>
        <v>165.80070000000001</v>
      </c>
      <c r="K986" s="14">
        <f>165.7986 * CHOOSE(CONTROL!$C$9, $D$9, 100%, $F$9) + CHOOSE(CONTROL!$C$27, 0.0021, 0)</f>
        <v>165.80070000000001</v>
      </c>
      <c r="L986" s="14"/>
    </row>
    <row r="987" spans="1:12" ht="15.75" x14ac:dyDescent="0.25">
      <c r="A987" s="31">
        <v>70979</v>
      </c>
      <c r="B987" s="14">
        <f>176.8746 * CHOOSE(CONTROL!$C$9, $D$9, 100%, $F$9) + CHOOSE(CONTROL!$C$27, 0.0021, 0)</f>
        <v>176.8767</v>
      </c>
      <c r="C987" s="14">
        <f>176.4423 * CHOOSE(CONTROL!$C$9, $D$9, 100%, $F$9) + CHOOSE(CONTROL!$C$27, 0.0021, 0)</f>
        <v>176.4444</v>
      </c>
      <c r="D987" s="14">
        <f>176.4423 * CHOOSE(CONTROL!$C$9, $D$9, 100%, $F$9) + CHOOSE(CONTROL!$C$27, 0.0021, 0)</f>
        <v>176.4444</v>
      </c>
      <c r="E987" s="14">
        <f>176.3057 * CHOOSE(CONTROL!$C$9, $D$9, 100%, $F$9) + CHOOSE(CONTROL!$C$27, 0.0021, 0)</f>
        <v>176.30780000000001</v>
      </c>
      <c r="F987" s="14">
        <f>176.3057 * CHOOSE(CONTROL!$C$9, $D$9, 100%, $F$9) + CHOOSE(CONTROL!$C$27, 0.0021, 0)</f>
        <v>176.30780000000001</v>
      </c>
      <c r="G987" s="14">
        <f>176.5771 * CHOOSE(CONTROL!$C$9, $D$9, 100%, $F$9) + CHOOSE(CONTROL!$C$27, 0.0021, 0)</f>
        <v>176.57920000000001</v>
      </c>
      <c r="H987" s="14">
        <f>176.4423 * CHOOSE(CONTROL!$C$9, $D$9, 100%, $F$9) + CHOOSE(CONTROL!$C$27, 0.0021, 0)</f>
        <v>176.4444</v>
      </c>
      <c r="I987" s="14">
        <f>176.4423 * CHOOSE(CONTROL!$C$9, $D$9, 100%, $F$9) + CHOOSE(CONTROL!$C$27, 0.0021, 0)</f>
        <v>176.4444</v>
      </c>
      <c r="J987" s="14">
        <f>176.4423 * CHOOSE(CONTROL!$C$9, $D$9, 100%, $F$9) + CHOOSE(CONTROL!$C$27, 0.0021, 0)</f>
        <v>176.4444</v>
      </c>
      <c r="K987" s="14">
        <f>176.4423 * CHOOSE(CONTROL!$C$9, $D$9, 100%, $F$9) + CHOOSE(CONTROL!$C$27, 0.0021, 0)</f>
        <v>176.4444</v>
      </c>
      <c r="L987" s="14"/>
    </row>
    <row r="988" spans="1:12" ht="15.75" x14ac:dyDescent="0.25">
      <c r="A988" s="31">
        <v>71010</v>
      </c>
      <c r="B988" s="14">
        <f>182.7332 * CHOOSE(CONTROL!$C$9, $D$9, 100%, $F$9) + CHOOSE(CONTROL!$C$27, 0.0021, 0)</f>
        <v>182.73530000000002</v>
      </c>
      <c r="C988" s="14">
        <f>182.301 * CHOOSE(CONTROL!$C$9, $D$9, 100%, $F$9) + CHOOSE(CONTROL!$C$27, 0.0021, 0)</f>
        <v>182.3031</v>
      </c>
      <c r="D988" s="14">
        <f>182.301 * CHOOSE(CONTROL!$C$9, $D$9, 100%, $F$9) + CHOOSE(CONTROL!$C$27, 0.0021, 0)</f>
        <v>182.3031</v>
      </c>
      <c r="E988" s="14">
        <f>182.1643 * CHOOSE(CONTROL!$C$9, $D$9, 100%, $F$9) + CHOOSE(CONTROL!$C$27, 0.0021, 0)</f>
        <v>182.16640000000001</v>
      </c>
      <c r="F988" s="14">
        <f>182.1643 * CHOOSE(CONTROL!$C$9, $D$9, 100%, $F$9) + CHOOSE(CONTROL!$C$27, 0.0021, 0)</f>
        <v>182.16640000000001</v>
      </c>
      <c r="G988" s="14">
        <f>182.4357 * CHOOSE(CONTROL!$C$9, $D$9, 100%, $F$9) + CHOOSE(CONTROL!$C$27, 0.0021, 0)</f>
        <v>182.43780000000001</v>
      </c>
      <c r="H988" s="14">
        <f>182.301 * CHOOSE(CONTROL!$C$9, $D$9, 100%, $F$9) + CHOOSE(CONTROL!$C$27, 0.0021, 0)</f>
        <v>182.3031</v>
      </c>
      <c r="I988" s="14">
        <f>182.301 * CHOOSE(CONTROL!$C$9, $D$9, 100%, $F$9) + CHOOSE(CONTROL!$C$27, 0.0021, 0)</f>
        <v>182.3031</v>
      </c>
      <c r="J988" s="14">
        <f>182.301 * CHOOSE(CONTROL!$C$9, $D$9, 100%, $F$9) + CHOOSE(CONTROL!$C$27, 0.0021, 0)</f>
        <v>182.3031</v>
      </c>
      <c r="K988" s="14">
        <f>182.301 * CHOOSE(CONTROL!$C$9, $D$9, 100%, $F$9) + CHOOSE(CONTROL!$C$27, 0.0021, 0)</f>
        <v>182.3031</v>
      </c>
      <c r="L988" s="14"/>
    </row>
    <row r="989" spans="1:12" ht="15.75" x14ac:dyDescent="0.25">
      <c r="A989" s="31">
        <v>71040</v>
      </c>
      <c r="B989" s="14">
        <f>185.3332 * CHOOSE(CONTROL!$C$9, $D$9, 100%, $F$9) + CHOOSE(CONTROL!$C$27, 0.0021, 0)</f>
        <v>185.33530000000002</v>
      </c>
      <c r="C989" s="14">
        <f>184.9009 * CHOOSE(CONTROL!$C$9, $D$9, 100%, $F$9) + CHOOSE(CONTROL!$C$27, 0.0021, 0)</f>
        <v>184.90300000000002</v>
      </c>
      <c r="D989" s="14">
        <f>184.9009 * CHOOSE(CONTROL!$C$9, $D$9, 100%, $F$9) + CHOOSE(CONTROL!$C$27, 0.0021, 0)</f>
        <v>184.90300000000002</v>
      </c>
      <c r="E989" s="14">
        <f>184.7643 * CHOOSE(CONTROL!$C$9, $D$9, 100%, $F$9) + CHOOSE(CONTROL!$C$27, 0.0021, 0)</f>
        <v>184.7664</v>
      </c>
      <c r="F989" s="14">
        <f>184.7643 * CHOOSE(CONTROL!$C$9, $D$9, 100%, $F$9) + CHOOSE(CONTROL!$C$27, 0.0021, 0)</f>
        <v>184.7664</v>
      </c>
      <c r="G989" s="14">
        <f>185.0356 * CHOOSE(CONTROL!$C$9, $D$9, 100%, $F$9) + CHOOSE(CONTROL!$C$27, 0.0021, 0)</f>
        <v>185.0377</v>
      </c>
      <c r="H989" s="14">
        <f>184.9009 * CHOOSE(CONTROL!$C$9, $D$9, 100%, $F$9) + CHOOSE(CONTROL!$C$27, 0.0021, 0)</f>
        <v>184.90300000000002</v>
      </c>
      <c r="I989" s="14">
        <f>184.9009 * CHOOSE(CONTROL!$C$9, $D$9, 100%, $F$9) + CHOOSE(CONTROL!$C$27, 0.0021, 0)</f>
        <v>184.90300000000002</v>
      </c>
      <c r="J989" s="14">
        <f>184.9009 * CHOOSE(CONTROL!$C$9, $D$9, 100%, $F$9) + CHOOSE(CONTROL!$C$27, 0.0021, 0)</f>
        <v>184.90300000000002</v>
      </c>
      <c r="K989" s="14">
        <f>184.9009 * CHOOSE(CONTROL!$C$9, $D$9, 100%, $F$9) + CHOOSE(CONTROL!$C$27, 0.0021, 0)</f>
        <v>184.90300000000002</v>
      </c>
      <c r="L989" s="14"/>
    </row>
    <row r="990" spans="1:12" ht="15.75" x14ac:dyDescent="0.25">
      <c r="A990" s="31">
        <v>71071</v>
      </c>
      <c r="B990" s="14">
        <f>184.4771 * CHOOSE(CONTROL!$C$9, $D$9, 100%, $F$9) + CHOOSE(CONTROL!$C$27, 0.0021, 0)</f>
        <v>184.47920000000002</v>
      </c>
      <c r="C990" s="14">
        <f>184.0449 * CHOOSE(CONTROL!$C$9, $D$9, 100%, $F$9) + CHOOSE(CONTROL!$C$27, 0.0021, 0)</f>
        <v>184.04700000000003</v>
      </c>
      <c r="D990" s="14">
        <f>184.0449 * CHOOSE(CONTROL!$C$9, $D$9, 100%, $F$9) + CHOOSE(CONTROL!$C$27, 0.0021, 0)</f>
        <v>184.04700000000003</v>
      </c>
      <c r="E990" s="14">
        <f>183.9082 * CHOOSE(CONTROL!$C$9, $D$9, 100%, $F$9) + CHOOSE(CONTROL!$C$27, 0.0021, 0)</f>
        <v>183.91030000000001</v>
      </c>
      <c r="F990" s="14">
        <f>183.9082 * CHOOSE(CONTROL!$C$9, $D$9, 100%, $F$9) + CHOOSE(CONTROL!$C$27, 0.0021, 0)</f>
        <v>183.91030000000001</v>
      </c>
      <c r="G990" s="14">
        <f>184.1796 * CHOOSE(CONTROL!$C$9, $D$9, 100%, $F$9) + CHOOSE(CONTROL!$C$27, 0.0021, 0)</f>
        <v>184.18170000000001</v>
      </c>
      <c r="H990" s="14">
        <f>184.0449 * CHOOSE(CONTROL!$C$9, $D$9, 100%, $F$9) + CHOOSE(CONTROL!$C$27, 0.0021, 0)</f>
        <v>184.04700000000003</v>
      </c>
      <c r="I990" s="14">
        <f>184.0449 * CHOOSE(CONTROL!$C$9, $D$9, 100%, $F$9) + CHOOSE(CONTROL!$C$27, 0.0021, 0)</f>
        <v>184.04700000000003</v>
      </c>
      <c r="J990" s="14">
        <f>184.0449 * CHOOSE(CONTROL!$C$9, $D$9, 100%, $F$9) + CHOOSE(CONTROL!$C$27, 0.0021, 0)</f>
        <v>184.04700000000003</v>
      </c>
      <c r="K990" s="14">
        <f>184.0449 * CHOOSE(CONTROL!$C$9, $D$9, 100%, $F$9) + CHOOSE(CONTROL!$C$27, 0.0021, 0)</f>
        <v>184.04700000000003</v>
      </c>
      <c r="L990" s="14"/>
    </row>
    <row r="991" spans="1:12" ht="15.75" x14ac:dyDescent="0.25">
      <c r="A991" s="31">
        <v>71102</v>
      </c>
      <c r="B991" s="14">
        <f>180.236 * CHOOSE(CONTROL!$C$9, $D$9, 100%, $F$9) + CHOOSE(CONTROL!$C$27, 0.0021, 0)</f>
        <v>180.2381</v>
      </c>
      <c r="C991" s="14">
        <f>179.8037 * CHOOSE(CONTROL!$C$9, $D$9, 100%, $F$9) + CHOOSE(CONTROL!$C$27, 0.0021, 0)</f>
        <v>179.8058</v>
      </c>
      <c r="D991" s="14">
        <f>179.8037 * CHOOSE(CONTROL!$C$9, $D$9, 100%, $F$9) + CHOOSE(CONTROL!$C$27, 0.0021, 0)</f>
        <v>179.8058</v>
      </c>
      <c r="E991" s="14">
        <f>179.6671 * CHOOSE(CONTROL!$C$9, $D$9, 100%, $F$9) + CHOOSE(CONTROL!$C$27, 0.0021, 0)</f>
        <v>179.66920000000002</v>
      </c>
      <c r="F991" s="14">
        <f>179.6671 * CHOOSE(CONTROL!$C$9, $D$9, 100%, $F$9) + CHOOSE(CONTROL!$C$27, 0.0021, 0)</f>
        <v>179.66920000000002</v>
      </c>
      <c r="G991" s="14">
        <f>179.9384 * CHOOSE(CONTROL!$C$9, $D$9, 100%, $F$9) + CHOOSE(CONTROL!$C$27, 0.0021, 0)</f>
        <v>179.94050000000001</v>
      </c>
      <c r="H991" s="14">
        <f>179.8037 * CHOOSE(CONTROL!$C$9, $D$9, 100%, $F$9) + CHOOSE(CONTROL!$C$27, 0.0021, 0)</f>
        <v>179.8058</v>
      </c>
      <c r="I991" s="14">
        <f>179.8037 * CHOOSE(CONTROL!$C$9, $D$9, 100%, $F$9) + CHOOSE(CONTROL!$C$27, 0.0021, 0)</f>
        <v>179.8058</v>
      </c>
      <c r="J991" s="14">
        <f>179.8037 * CHOOSE(CONTROL!$C$9, $D$9, 100%, $F$9) + CHOOSE(CONTROL!$C$27, 0.0021, 0)</f>
        <v>179.8058</v>
      </c>
      <c r="K991" s="14">
        <f>179.8037 * CHOOSE(CONTROL!$C$9, $D$9, 100%, $F$9) + CHOOSE(CONTROL!$C$27, 0.0021, 0)</f>
        <v>179.8058</v>
      </c>
      <c r="L991" s="14"/>
    </row>
    <row r="992" spans="1:12" ht="15.75" x14ac:dyDescent="0.25">
      <c r="A992" s="31">
        <v>71132</v>
      </c>
      <c r="B992" s="14">
        <f>174.3214 * CHOOSE(CONTROL!$C$9, $D$9, 100%, $F$9) + CHOOSE(CONTROL!$C$27, 0.0021, 0)</f>
        <v>174.32350000000002</v>
      </c>
      <c r="C992" s="14">
        <f>173.8892 * CHOOSE(CONTROL!$C$9, $D$9, 100%, $F$9) + CHOOSE(CONTROL!$C$27, 0.0021, 0)</f>
        <v>173.8913</v>
      </c>
      <c r="D992" s="14">
        <f>173.8892 * CHOOSE(CONTROL!$C$9, $D$9, 100%, $F$9) + CHOOSE(CONTROL!$C$27, 0.0021, 0)</f>
        <v>173.8913</v>
      </c>
      <c r="E992" s="14">
        <f>173.7525 * CHOOSE(CONTROL!$C$9, $D$9, 100%, $F$9) + CHOOSE(CONTROL!$C$27, 0.0021, 0)</f>
        <v>173.75460000000001</v>
      </c>
      <c r="F992" s="14">
        <f>173.7525 * CHOOSE(CONTROL!$C$9, $D$9, 100%, $F$9) + CHOOSE(CONTROL!$C$27, 0.0021, 0)</f>
        <v>173.75460000000001</v>
      </c>
      <c r="G992" s="14">
        <f>174.0239 * CHOOSE(CONTROL!$C$9, $D$9, 100%, $F$9) + CHOOSE(CONTROL!$C$27, 0.0021, 0)</f>
        <v>174.02600000000001</v>
      </c>
      <c r="H992" s="14">
        <f>173.8892 * CHOOSE(CONTROL!$C$9, $D$9, 100%, $F$9) + CHOOSE(CONTROL!$C$27, 0.0021, 0)</f>
        <v>173.8913</v>
      </c>
      <c r="I992" s="14">
        <f>173.8892 * CHOOSE(CONTROL!$C$9, $D$9, 100%, $F$9) + CHOOSE(CONTROL!$C$27, 0.0021, 0)</f>
        <v>173.8913</v>
      </c>
      <c r="J992" s="14">
        <f>173.8892 * CHOOSE(CONTROL!$C$9, $D$9, 100%, $F$9) + CHOOSE(CONTROL!$C$27, 0.0021, 0)</f>
        <v>173.8913</v>
      </c>
      <c r="K992" s="14">
        <f>173.8892 * CHOOSE(CONTROL!$C$9, $D$9, 100%, $F$9) + CHOOSE(CONTROL!$C$27, 0.0021, 0)</f>
        <v>173.8913</v>
      </c>
      <c r="L992" s="14"/>
    </row>
    <row r="993" spans="1:12" ht="15.75" x14ac:dyDescent="0.25">
      <c r="A993" s="31">
        <v>71163</v>
      </c>
      <c r="B993" s="14">
        <f>168.3725 * CHOOSE(CONTROL!$C$9, $D$9, 100%, $F$9) + CHOOSE(CONTROL!$C$27, 0.0021, 0)</f>
        <v>168.37460000000002</v>
      </c>
      <c r="C993" s="14">
        <f>167.9402 * CHOOSE(CONTROL!$C$9, $D$9, 100%, $F$9) + CHOOSE(CONTROL!$C$27, 0.0021, 0)</f>
        <v>167.94230000000002</v>
      </c>
      <c r="D993" s="14">
        <f>167.9402 * CHOOSE(CONTROL!$C$9, $D$9, 100%, $F$9) + CHOOSE(CONTROL!$C$27, 0.0021, 0)</f>
        <v>167.94230000000002</v>
      </c>
      <c r="E993" s="14">
        <f>167.8036 * CHOOSE(CONTROL!$C$9, $D$9, 100%, $F$9) + CHOOSE(CONTROL!$C$27, 0.0021, 0)</f>
        <v>167.8057</v>
      </c>
      <c r="F993" s="14">
        <f>167.8036 * CHOOSE(CONTROL!$C$9, $D$9, 100%, $F$9) + CHOOSE(CONTROL!$C$27, 0.0021, 0)</f>
        <v>167.8057</v>
      </c>
      <c r="G993" s="14">
        <f>168.075 * CHOOSE(CONTROL!$C$9, $D$9, 100%, $F$9) + CHOOSE(CONTROL!$C$27, 0.0021, 0)</f>
        <v>168.0771</v>
      </c>
      <c r="H993" s="14">
        <f>167.9402 * CHOOSE(CONTROL!$C$9, $D$9, 100%, $F$9) + CHOOSE(CONTROL!$C$27, 0.0021, 0)</f>
        <v>167.94230000000002</v>
      </c>
      <c r="I993" s="14">
        <f>167.9402 * CHOOSE(CONTROL!$C$9, $D$9, 100%, $F$9) + CHOOSE(CONTROL!$C$27, 0.0021, 0)</f>
        <v>167.94230000000002</v>
      </c>
      <c r="J993" s="14">
        <f>167.9402 * CHOOSE(CONTROL!$C$9, $D$9, 100%, $F$9) + CHOOSE(CONTROL!$C$27, 0.0021, 0)</f>
        <v>167.94230000000002</v>
      </c>
      <c r="K993" s="14">
        <f>167.9402 * CHOOSE(CONTROL!$C$9, $D$9, 100%, $F$9) + CHOOSE(CONTROL!$C$27, 0.0021, 0)</f>
        <v>167.94230000000002</v>
      </c>
      <c r="L993" s="14"/>
    </row>
    <row r="994" spans="1:12" ht="15.75" x14ac:dyDescent="0.25">
      <c r="A994" s="31">
        <v>71193</v>
      </c>
      <c r="B994" s="14">
        <f>167.1891 * CHOOSE(CONTROL!$C$9, $D$9, 100%, $F$9) + CHOOSE(CONTROL!$C$27, 0.0021, 0)</f>
        <v>167.19120000000001</v>
      </c>
      <c r="C994" s="14">
        <f>166.7569 * CHOOSE(CONTROL!$C$9, $D$9, 100%, $F$9) + CHOOSE(CONTROL!$C$27, 0.0021, 0)</f>
        <v>166.75900000000001</v>
      </c>
      <c r="D994" s="14">
        <f>166.7569 * CHOOSE(CONTROL!$C$9, $D$9, 100%, $F$9) + CHOOSE(CONTROL!$C$27, 0.0021, 0)</f>
        <v>166.75900000000001</v>
      </c>
      <c r="E994" s="14">
        <f>166.6202 * CHOOSE(CONTROL!$C$9, $D$9, 100%, $F$9) + CHOOSE(CONTROL!$C$27, 0.0021, 0)</f>
        <v>166.62230000000002</v>
      </c>
      <c r="F994" s="14">
        <f>166.6202 * CHOOSE(CONTROL!$C$9, $D$9, 100%, $F$9) + CHOOSE(CONTROL!$C$27, 0.0021, 0)</f>
        <v>166.62230000000002</v>
      </c>
      <c r="G994" s="14">
        <f>166.8916 * CHOOSE(CONTROL!$C$9, $D$9, 100%, $F$9) + CHOOSE(CONTROL!$C$27, 0.0021, 0)</f>
        <v>166.89370000000002</v>
      </c>
      <c r="H994" s="14">
        <f>166.7569 * CHOOSE(CONTROL!$C$9, $D$9, 100%, $F$9) + CHOOSE(CONTROL!$C$27, 0.0021, 0)</f>
        <v>166.75900000000001</v>
      </c>
      <c r="I994" s="14">
        <f>166.7569 * CHOOSE(CONTROL!$C$9, $D$9, 100%, $F$9) + CHOOSE(CONTROL!$C$27, 0.0021, 0)</f>
        <v>166.75900000000001</v>
      </c>
      <c r="J994" s="14">
        <f>166.7569 * CHOOSE(CONTROL!$C$9, $D$9, 100%, $F$9) + CHOOSE(CONTROL!$C$27, 0.0021, 0)</f>
        <v>166.75900000000001</v>
      </c>
      <c r="K994" s="14">
        <f>166.7569 * CHOOSE(CONTROL!$C$9, $D$9, 100%, $F$9) + CHOOSE(CONTROL!$C$27, 0.0021, 0)</f>
        <v>166.75900000000001</v>
      </c>
      <c r="L994" s="14"/>
    </row>
    <row r="995" spans="1:12" ht="15.75" x14ac:dyDescent="0.25">
      <c r="A995" s="31">
        <v>71224</v>
      </c>
      <c r="B995" s="14">
        <f>162.2958 * CHOOSE(CONTROL!$C$9, $D$9, 100%, $F$9) + CHOOSE(CONTROL!$C$27, 0.0021, 0)</f>
        <v>162.29790000000003</v>
      </c>
      <c r="C995" s="14">
        <f>161.8635 * CHOOSE(CONTROL!$C$9, $D$9, 100%, $F$9) + CHOOSE(CONTROL!$C$27, 0.0021, 0)</f>
        <v>161.8656</v>
      </c>
      <c r="D995" s="14">
        <f>161.8635 * CHOOSE(CONTROL!$C$9, $D$9, 100%, $F$9) + CHOOSE(CONTROL!$C$27, 0.0021, 0)</f>
        <v>161.8656</v>
      </c>
      <c r="E995" s="14">
        <f>161.7269 * CHOOSE(CONTROL!$C$9, $D$9, 100%, $F$9) + CHOOSE(CONTROL!$C$27, 0.0021, 0)</f>
        <v>161.72900000000001</v>
      </c>
      <c r="F995" s="14">
        <f>161.7269 * CHOOSE(CONTROL!$C$9, $D$9, 100%, $F$9) + CHOOSE(CONTROL!$C$27, 0.0021, 0)</f>
        <v>161.72900000000001</v>
      </c>
      <c r="G995" s="14">
        <f>161.9983 * CHOOSE(CONTROL!$C$9, $D$9, 100%, $F$9) + CHOOSE(CONTROL!$C$27, 0.0021, 0)</f>
        <v>162.00040000000001</v>
      </c>
      <c r="H995" s="14">
        <f>161.8635 * CHOOSE(CONTROL!$C$9, $D$9, 100%, $F$9) + CHOOSE(CONTROL!$C$27, 0.0021, 0)</f>
        <v>161.8656</v>
      </c>
      <c r="I995" s="14">
        <f>161.8635 * CHOOSE(CONTROL!$C$9, $D$9, 100%, $F$9) + CHOOSE(CONTROL!$C$27, 0.0021, 0)</f>
        <v>161.8656</v>
      </c>
      <c r="J995" s="14">
        <f>161.8635 * CHOOSE(CONTROL!$C$9, $D$9, 100%, $F$9) + CHOOSE(CONTROL!$C$27, 0.0021, 0)</f>
        <v>161.8656</v>
      </c>
      <c r="K995" s="14">
        <f>161.8635 * CHOOSE(CONTROL!$C$9, $D$9, 100%, $F$9) + CHOOSE(CONTROL!$C$27, 0.0021, 0)</f>
        <v>161.8656</v>
      </c>
      <c r="L995" s="14"/>
    </row>
    <row r="996" spans="1:12" ht="15.75" x14ac:dyDescent="0.25">
      <c r="A996" s="31">
        <v>71255</v>
      </c>
      <c r="B996" s="14">
        <f>161.3431 * CHOOSE(CONTROL!$C$9, $D$9, 100%, $F$9) + CHOOSE(CONTROL!$C$27, 0.0021, 0)</f>
        <v>161.34520000000001</v>
      </c>
      <c r="C996" s="14">
        <f>160.9109 * CHOOSE(CONTROL!$C$9, $D$9, 100%, $F$9) + CHOOSE(CONTROL!$C$27, 0.0021, 0)</f>
        <v>160.91300000000001</v>
      </c>
      <c r="D996" s="14">
        <f>160.9109 * CHOOSE(CONTROL!$C$9, $D$9, 100%, $F$9) + CHOOSE(CONTROL!$C$27, 0.0021, 0)</f>
        <v>160.91300000000001</v>
      </c>
      <c r="E996" s="14">
        <f>160.7742 * CHOOSE(CONTROL!$C$9, $D$9, 100%, $F$9) + CHOOSE(CONTROL!$C$27, 0.0021, 0)</f>
        <v>160.77630000000002</v>
      </c>
      <c r="F996" s="14">
        <f>160.7742 * CHOOSE(CONTROL!$C$9, $D$9, 100%, $F$9) + CHOOSE(CONTROL!$C$27, 0.0021, 0)</f>
        <v>160.77630000000002</v>
      </c>
      <c r="G996" s="14">
        <f>161.0456 * CHOOSE(CONTROL!$C$9, $D$9, 100%, $F$9) + CHOOSE(CONTROL!$C$27, 0.0021, 0)</f>
        <v>161.04770000000002</v>
      </c>
      <c r="H996" s="14">
        <f>160.9109 * CHOOSE(CONTROL!$C$9, $D$9, 100%, $F$9) + CHOOSE(CONTROL!$C$27, 0.0021, 0)</f>
        <v>160.91300000000001</v>
      </c>
      <c r="I996" s="14">
        <f>160.9109 * CHOOSE(CONTROL!$C$9, $D$9, 100%, $F$9) + CHOOSE(CONTROL!$C$27, 0.0021, 0)</f>
        <v>160.91300000000001</v>
      </c>
      <c r="J996" s="14">
        <f>160.9109 * CHOOSE(CONTROL!$C$9, $D$9, 100%, $F$9) + CHOOSE(CONTROL!$C$27, 0.0021, 0)</f>
        <v>160.91300000000001</v>
      </c>
      <c r="K996" s="14">
        <f>160.9109 * CHOOSE(CONTROL!$C$9, $D$9, 100%, $F$9) + CHOOSE(CONTROL!$C$27, 0.0021, 0)</f>
        <v>160.91300000000001</v>
      </c>
      <c r="L996" s="14"/>
    </row>
    <row r="997" spans="1:12" ht="15.75" x14ac:dyDescent="0.25">
      <c r="A997" s="31">
        <v>71283</v>
      </c>
      <c r="B997" s="14">
        <f>160.901 * CHOOSE(CONTROL!$C$9, $D$9, 100%, $F$9) + CHOOSE(CONTROL!$C$27, 0.0021, 0)</f>
        <v>160.90310000000002</v>
      </c>
      <c r="C997" s="14">
        <f>160.4688 * CHOOSE(CONTROL!$C$9, $D$9, 100%, $F$9) + CHOOSE(CONTROL!$C$27, 0.0021, 0)</f>
        <v>160.4709</v>
      </c>
      <c r="D997" s="14">
        <f>160.4688 * CHOOSE(CONTROL!$C$9, $D$9, 100%, $F$9) + CHOOSE(CONTROL!$C$27, 0.0021, 0)</f>
        <v>160.4709</v>
      </c>
      <c r="E997" s="14">
        <f>160.3321 * CHOOSE(CONTROL!$C$9, $D$9, 100%, $F$9) + CHOOSE(CONTROL!$C$27, 0.0021, 0)</f>
        <v>160.33420000000001</v>
      </c>
      <c r="F997" s="14">
        <f>160.3321 * CHOOSE(CONTROL!$C$9, $D$9, 100%, $F$9) + CHOOSE(CONTROL!$C$27, 0.0021, 0)</f>
        <v>160.33420000000001</v>
      </c>
      <c r="G997" s="14">
        <f>160.6035 * CHOOSE(CONTROL!$C$9, $D$9, 100%, $F$9) + CHOOSE(CONTROL!$C$27, 0.0021, 0)</f>
        <v>160.60560000000001</v>
      </c>
      <c r="H997" s="14">
        <f>160.4688 * CHOOSE(CONTROL!$C$9, $D$9, 100%, $F$9) + CHOOSE(CONTROL!$C$27, 0.0021, 0)</f>
        <v>160.4709</v>
      </c>
      <c r="I997" s="14">
        <f>160.4688 * CHOOSE(CONTROL!$C$9, $D$9, 100%, $F$9) + CHOOSE(CONTROL!$C$27, 0.0021, 0)</f>
        <v>160.4709</v>
      </c>
      <c r="J997" s="14">
        <f>160.4688 * CHOOSE(CONTROL!$C$9, $D$9, 100%, $F$9) + CHOOSE(CONTROL!$C$27, 0.0021, 0)</f>
        <v>160.4709</v>
      </c>
      <c r="K997" s="14">
        <f>160.4688 * CHOOSE(CONTROL!$C$9, $D$9, 100%, $F$9) + CHOOSE(CONTROL!$C$27, 0.0021, 0)</f>
        <v>160.4709</v>
      </c>
      <c r="L997" s="14"/>
    </row>
    <row r="998" spans="1:12" ht="15.75" x14ac:dyDescent="0.25">
      <c r="A998" s="31">
        <v>71314</v>
      </c>
      <c r="B998" s="14">
        <f>169.2606 * CHOOSE(CONTROL!$C$9, $D$9, 100%, $F$9) + CHOOSE(CONTROL!$C$27, 0.0021, 0)</f>
        <v>169.26270000000002</v>
      </c>
      <c r="C998" s="14">
        <f>168.8284 * CHOOSE(CONTROL!$C$9, $D$9, 100%, $F$9) + CHOOSE(CONTROL!$C$27, 0.0021, 0)</f>
        <v>168.8305</v>
      </c>
      <c r="D998" s="14">
        <f>168.8284 * CHOOSE(CONTROL!$C$9, $D$9, 100%, $F$9) + CHOOSE(CONTROL!$C$27, 0.0021, 0)</f>
        <v>168.8305</v>
      </c>
      <c r="E998" s="14">
        <f>168.6917 * CHOOSE(CONTROL!$C$9, $D$9, 100%, $F$9) + CHOOSE(CONTROL!$C$27, 0.0021, 0)</f>
        <v>168.69380000000001</v>
      </c>
      <c r="F998" s="14">
        <f>168.6917 * CHOOSE(CONTROL!$C$9, $D$9, 100%, $F$9) + CHOOSE(CONTROL!$C$27, 0.0021, 0)</f>
        <v>168.69380000000001</v>
      </c>
      <c r="G998" s="14">
        <f>168.9631 * CHOOSE(CONTROL!$C$9, $D$9, 100%, $F$9) + CHOOSE(CONTROL!$C$27, 0.0021, 0)</f>
        <v>168.96520000000001</v>
      </c>
      <c r="H998" s="14">
        <f>168.8284 * CHOOSE(CONTROL!$C$9, $D$9, 100%, $F$9) + CHOOSE(CONTROL!$C$27, 0.0021, 0)</f>
        <v>168.8305</v>
      </c>
      <c r="I998" s="14">
        <f>168.8284 * CHOOSE(CONTROL!$C$9, $D$9, 100%, $F$9) + CHOOSE(CONTROL!$C$27, 0.0021, 0)</f>
        <v>168.8305</v>
      </c>
      <c r="J998" s="14">
        <f>168.8284 * CHOOSE(CONTROL!$C$9, $D$9, 100%, $F$9) + CHOOSE(CONTROL!$C$27, 0.0021, 0)</f>
        <v>168.8305</v>
      </c>
      <c r="K998" s="14">
        <f>168.8284 * CHOOSE(CONTROL!$C$9, $D$9, 100%, $F$9) + CHOOSE(CONTROL!$C$27, 0.0021, 0)</f>
        <v>168.8305</v>
      </c>
      <c r="L998" s="14"/>
    </row>
    <row r="999" spans="1:12" ht="15.75" x14ac:dyDescent="0.25">
      <c r="A999" s="31">
        <v>71344</v>
      </c>
      <c r="B999" s="14">
        <f>180.101 * CHOOSE(CONTROL!$C$9, $D$9, 100%, $F$9) + CHOOSE(CONTROL!$C$27, 0.0021, 0)</f>
        <v>180.10310000000001</v>
      </c>
      <c r="C999" s="14">
        <f>179.6687 * CHOOSE(CONTROL!$C$9, $D$9, 100%, $F$9) + CHOOSE(CONTROL!$C$27, 0.0021, 0)</f>
        <v>179.67080000000001</v>
      </c>
      <c r="D999" s="14">
        <f>179.6687 * CHOOSE(CONTROL!$C$9, $D$9, 100%, $F$9) + CHOOSE(CONTROL!$C$27, 0.0021, 0)</f>
        <v>179.67080000000001</v>
      </c>
      <c r="E999" s="14">
        <f>179.5321 * CHOOSE(CONTROL!$C$9, $D$9, 100%, $F$9) + CHOOSE(CONTROL!$C$27, 0.0021, 0)</f>
        <v>179.53420000000003</v>
      </c>
      <c r="F999" s="14">
        <f>179.5321 * CHOOSE(CONTROL!$C$9, $D$9, 100%, $F$9) + CHOOSE(CONTROL!$C$27, 0.0021, 0)</f>
        <v>179.53420000000003</v>
      </c>
      <c r="G999" s="14">
        <f>179.8035 * CHOOSE(CONTROL!$C$9, $D$9, 100%, $F$9) + CHOOSE(CONTROL!$C$27, 0.0021, 0)</f>
        <v>179.80560000000003</v>
      </c>
      <c r="H999" s="14">
        <f>179.6687 * CHOOSE(CONTROL!$C$9, $D$9, 100%, $F$9) + CHOOSE(CONTROL!$C$27, 0.0021, 0)</f>
        <v>179.67080000000001</v>
      </c>
      <c r="I999" s="14">
        <f>179.6687 * CHOOSE(CONTROL!$C$9, $D$9, 100%, $F$9) + CHOOSE(CONTROL!$C$27, 0.0021, 0)</f>
        <v>179.67080000000001</v>
      </c>
      <c r="J999" s="14">
        <f>179.6687 * CHOOSE(CONTROL!$C$9, $D$9, 100%, $F$9) + CHOOSE(CONTROL!$C$27, 0.0021, 0)</f>
        <v>179.67080000000001</v>
      </c>
      <c r="K999" s="14">
        <f>179.6687 * CHOOSE(CONTROL!$C$9, $D$9, 100%, $F$9) + CHOOSE(CONTROL!$C$27, 0.0021, 0)</f>
        <v>179.67080000000001</v>
      </c>
      <c r="L999" s="14"/>
    </row>
    <row r="1000" spans="1:12" ht="15.75" x14ac:dyDescent="0.25">
      <c r="A1000" s="31">
        <v>71375</v>
      </c>
      <c r="B1000" s="14">
        <f>186.0679 * CHOOSE(CONTROL!$C$9, $D$9, 100%, $F$9) + CHOOSE(CONTROL!$C$27, 0.0021, 0)</f>
        <v>186.07000000000002</v>
      </c>
      <c r="C1000" s="14">
        <f>185.6357 * CHOOSE(CONTROL!$C$9, $D$9, 100%, $F$9) + CHOOSE(CONTROL!$C$27, 0.0021, 0)</f>
        <v>185.63780000000003</v>
      </c>
      <c r="D1000" s="14">
        <f>185.6357 * CHOOSE(CONTROL!$C$9, $D$9, 100%, $F$9) + CHOOSE(CONTROL!$C$27, 0.0021, 0)</f>
        <v>185.63780000000003</v>
      </c>
      <c r="E1000" s="14">
        <f>185.499 * CHOOSE(CONTROL!$C$9, $D$9, 100%, $F$9) + CHOOSE(CONTROL!$C$27, 0.0021, 0)</f>
        <v>185.50110000000001</v>
      </c>
      <c r="F1000" s="14">
        <f>185.499 * CHOOSE(CONTROL!$C$9, $D$9, 100%, $F$9) + CHOOSE(CONTROL!$C$27, 0.0021, 0)</f>
        <v>185.50110000000001</v>
      </c>
      <c r="G1000" s="14">
        <f>185.7704 * CHOOSE(CONTROL!$C$9, $D$9, 100%, $F$9) + CHOOSE(CONTROL!$C$27, 0.0021, 0)</f>
        <v>185.77250000000001</v>
      </c>
      <c r="H1000" s="14">
        <f>185.6357 * CHOOSE(CONTROL!$C$9, $D$9, 100%, $F$9) + CHOOSE(CONTROL!$C$27, 0.0021, 0)</f>
        <v>185.63780000000003</v>
      </c>
      <c r="I1000" s="14">
        <f>185.6357 * CHOOSE(CONTROL!$C$9, $D$9, 100%, $F$9) + CHOOSE(CONTROL!$C$27, 0.0021, 0)</f>
        <v>185.63780000000003</v>
      </c>
      <c r="J1000" s="14">
        <f>185.6357 * CHOOSE(CONTROL!$C$9, $D$9, 100%, $F$9) + CHOOSE(CONTROL!$C$27, 0.0021, 0)</f>
        <v>185.63780000000003</v>
      </c>
      <c r="K1000" s="14">
        <f>185.6357 * CHOOSE(CONTROL!$C$9, $D$9, 100%, $F$9) + CHOOSE(CONTROL!$C$27, 0.0021, 0)</f>
        <v>185.63780000000003</v>
      </c>
      <c r="L1000" s="14"/>
    </row>
    <row r="1001" spans="1:12" ht="15.75" x14ac:dyDescent="0.25">
      <c r="A1001" s="31">
        <v>71405</v>
      </c>
      <c r="B1001" s="14">
        <f>188.7159 * CHOOSE(CONTROL!$C$9, $D$9, 100%, $F$9) + CHOOSE(CONTROL!$C$27, 0.0021, 0)</f>
        <v>188.71800000000002</v>
      </c>
      <c r="C1001" s="14">
        <f>188.2837 * CHOOSE(CONTROL!$C$9, $D$9, 100%, $F$9) + CHOOSE(CONTROL!$C$27, 0.0021, 0)</f>
        <v>188.28580000000002</v>
      </c>
      <c r="D1001" s="14">
        <f>188.2837 * CHOOSE(CONTROL!$C$9, $D$9, 100%, $F$9) + CHOOSE(CONTROL!$C$27, 0.0021, 0)</f>
        <v>188.28580000000002</v>
      </c>
      <c r="E1001" s="14">
        <f>188.147 * CHOOSE(CONTROL!$C$9, $D$9, 100%, $F$9) + CHOOSE(CONTROL!$C$27, 0.0021, 0)</f>
        <v>188.1491</v>
      </c>
      <c r="F1001" s="14">
        <f>188.147 * CHOOSE(CONTROL!$C$9, $D$9, 100%, $F$9) + CHOOSE(CONTROL!$C$27, 0.0021, 0)</f>
        <v>188.1491</v>
      </c>
      <c r="G1001" s="14">
        <f>188.4184 * CHOOSE(CONTROL!$C$9, $D$9, 100%, $F$9) + CHOOSE(CONTROL!$C$27, 0.0021, 0)</f>
        <v>188.4205</v>
      </c>
      <c r="H1001" s="14">
        <f>188.2837 * CHOOSE(CONTROL!$C$9, $D$9, 100%, $F$9) + CHOOSE(CONTROL!$C$27, 0.0021, 0)</f>
        <v>188.28580000000002</v>
      </c>
      <c r="I1001" s="14">
        <f>188.2837 * CHOOSE(CONTROL!$C$9, $D$9, 100%, $F$9) + CHOOSE(CONTROL!$C$27, 0.0021, 0)</f>
        <v>188.28580000000002</v>
      </c>
      <c r="J1001" s="14">
        <f>188.2837 * CHOOSE(CONTROL!$C$9, $D$9, 100%, $F$9) + CHOOSE(CONTROL!$C$27, 0.0021, 0)</f>
        <v>188.28580000000002</v>
      </c>
      <c r="K1001" s="14">
        <f>188.2837 * CHOOSE(CONTROL!$C$9, $D$9, 100%, $F$9) + CHOOSE(CONTROL!$C$27, 0.0021, 0)</f>
        <v>188.28580000000002</v>
      </c>
      <c r="L1001" s="14"/>
    </row>
    <row r="1002" spans="1:12" ht="15.75" x14ac:dyDescent="0.25">
      <c r="A1002" s="31">
        <v>71436</v>
      </c>
      <c r="B1002" s="14">
        <f>187.8441 * CHOOSE(CONTROL!$C$9, $D$9, 100%, $F$9) + CHOOSE(CONTROL!$C$27, 0.0021, 0)</f>
        <v>187.84620000000001</v>
      </c>
      <c r="C1002" s="14">
        <f>187.4118 * CHOOSE(CONTROL!$C$9, $D$9, 100%, $F$9) + CHOOSE(CONTROL!$C$27, 0.0021, 0)</f>
        <v>187.41390000000001</v>
      </c>
      <c r="D1002" s="14">
        <f>187.4118 * CHOOSE(CONTROL!$C$9, $D$9, 100%, $F$9) + CHOOSE(CONTROL!$C$27, 0.0021, 0)</f>
        <v>187.41390000000001</v>
      </c>
      <c r="E1002" s="14">
        <f>187.2752 * CHOOSE(CONTROL!$C$9, $D$9, 100%, $F$9) + CHOOSE(CONTROL!$C$27, 0.0021, 0)</f>
        <v>187.27730000000003</v>
      </c>
      <c r="F1002" s="14">
        <f>187.2752 * CHOOSE(CONTROL!$C$9, $D$9, 100%, $F$9) + CHOOSE(CONTROL!$C$27, 0.0021, 0)</f>
        <v>187.27730000000003</v>
      </c>
      <c r="G1002" s="14">
        <f>187.5465 * CHOOSE(CONTROL!$C$9, $D$9, 100%, $F$9) + CHOOSE(CONTROL!$C$27, 0.0021, 0)</f>
        <v>187.54860000000002</v>
      </c>
      <c r="H1002" s="14">
        <f>187.4118 * CHOOSE(CONTROL!$C$9, $D$9, 100%, $F$9) + CHOOSE(CONTROL!$C$27, 0.0021, 0)</f>
        <v>187.41390000000001</v>
      </c>
      <c r="I1002" s="14">
        <f>187.4118 * CHOOSE(CONTROL!$C$9, $D$9, 100%, $F$9) + CHOOSE(CONTROL!$C$27, 0.0021, 0)</f>
        <v>187.41390000000001</v>
      </c>
      <c r="J1002" s="14">
        <f>187.4118 * CHOOSE(CONTROL!$C$9, $D$9, 100%, $F$9) + CHOOSE(CONTROL!$C$27, 0.0021, 0)</f>
        <v>187.41390000000001</v>
      </c>
      <c r="K1002" s="14">
        <f>187.4118 * CHOOSE(CONTROL!$C$9, $D$9, 100%, $F$9) + CHOOSE(CONTROL!$C$27, 0.0021, 0)</f>
        <v>187.41390000000001</v>
      </c>
      <c r="L1002" s="14"/>
    </row>
    <row r="1003" spans="1:12" ht="15.75" x14ac:dyDescent="0.25">
      <c r="A1003" s="31">
        <v>71467</v>
      </c>
      <c r="B1003" s="14">
        <f>183.5245 * CHOOSE(CONTROL!$C$9, $D$9, 100%, $F$9) + CHOOSE(CONTROL!$C$27, 0.0021, 0)</f>
        <v>183.5266</v>
      </c>
      <c r="C1003" s="14">
        <f>183.0922 * CHOOSE(CONTROL!$C$9, $D$9, 100%, $F$9) + CHOOSE(CONTROL!$C$27, 0.0021, 0)</f>
        <v>183.0943</v>
      </c>
      <c r="D1003" s="14">
        <f>183.0922 * CHOOSE(CONTROL!$C$9, $D$9, 100%, $F$9) + CHOOSE(CONTROL!$C$27, 0.0021, 0)</f>
        <v>183.0943</v>
      </c>
      <c r="E1003" s="14">
        <f>182.9556 * CHOOSE(CONTROL!$C$9, $D$9, 100%, $F$9) + CHOOSE(CONTROL!$C$27, 0.0021, 0)</f>
        <v>182.95770000000002</v>
      </c>
      <c r="F1003" s="14">
        <f>182.9556 * CHOOSE(CONTROL!$C$9, $D$9, 100%, $F$9) + CHOOSE(CONTROL!$C$27, 0.0021, 0)</f>
        <v>182.95770000000002</v>
      </c>
      <c r="G1003" s="14">
        <f>183.227 * CHOOSE(CONTROL!$C$9, $D$9, 100%, $F$9) + CHOOSE(CONTROL!$C$27, 0.0021, 0)</f>
        <v>183.22910000000002</v>
      </c>
      <c r="H1003" s="14">
        <f>183.0922 * CHOOSE(CONTROL!$C$9, $D$9, 100%, $F$9) + CHOOSE(CONTROL!$C$27, 0.0021, 0)</f>
        <v>183.0943</v>
      </c>
      <c r="I1003" s="14">
        <f>183.0922 * CHOOSE(CONTROL!$C$9, $D$9, 100%, $F$9) + CHOOSE(CONTROL!$C$27, 0.0021, 0)</f>
        <v>183.0943</v>
      </c>
      <c r="J1003" s="14">
        <f>183.0922 * CHOOSE(CONTROL!$C$9, $D$9, 100%, $F$9) + CHOOSE(CONTROL!$C$27, 0.0021, 0)</f>
        <v>183.0943</v>
      </c>
      <c r="K1003" s="14">
        <f>183.0922 * CHOOSE(CONTROL!$C$9, $D$9, 100%, $F$9) + CHOOSE(CONTROL!$C$27, 0.0021, 0)</f>
        <v>183.0943</v>
      </c>
      <c r="L1003" s="14"/>
    </row>
    <row r="1004" spans="1:12" ht="15.75" x14ac:dyDescent="0.25">
      <c r="A1004" s="31">
        <v>71497</v>
      </c>
      <c r="B1004" s="14">
        <f>177.5007 * CHOOSE(CONTROL!$C$9, $D$9, 100%, $F$9) + CHOOSE(CONTROL!$C$27, 0.0021, 0)</f>
        <v>177.50280000000001</v>
      </c>
      <c r="C1004" s="14">
        <f>177.0684 * CHOOSE(CONTROL!$C$9, $D$9, 100%, $F$9) + CHOOSE(CONTROL!$C$27, 0.0021, 0)</f>
        <v>177.07050000000001</v>
      </c>
      <c r="D1004" s="14">
        <f>177.0684 * CHOOSE(CONTROL!$C$9, $D$9, 100%, $F$9) + CHOOSE(CONTROL!$C$27, 0.0021, 0)</f>
        <v>177.07050000000001</v>
      </c>
      <c r="E1004" s="14">
        <f>176.9317 * CHOOSE(CONTROL!$C$9, $D$9, 100%, $F$9) + CHOOSE(CONTROL!$C$27, 0.0021, 0)</f>
        <v>176.93380000000002</v>
      </c>
      <c r="F1004" s="14">
        <f>176.9317 * CHOOSE(CONTROL!$C$9, $D$9, 100%, $F$9) + CHOOSE(CONTROL!$C$27, 0.0021, 0)</f>
        <v>176.93380000000002</v>
      </c>
      <c r="G1004" s="14">
        <f>177.2031 * CHOOSE(CONTROL!$C$9, $D$9, 100%, $F$9) + CHOOSE(CONTROL!$C$27, 0.0021, 0)</f>
        <v>177.20520000000002</v>
      </c>
      <c r="H1004" s="14">
        <f>177.0684 * CHOOSE(CONTROL!$C$9, $D$9, 100%, $F$9) + CHOOSE(CONTROL!$C$27, 0.0021, 0)</f>
        <v>177.07050000000001</v>
      </c>
      <c r="I1004" s="14">
        <f>177.0684 * CHOOSE(CONTROL!$C$9, $D$9, 100%, $F$9) + CHOOSE(CONTROL!$C$27, 0.0021, 0)</f>
        <v>177.07050000000001</v>
      </c>
      <c r="J1004" s="14">
        <f>177.0684 * CHOOSE(CONTROL!$C$9, $D$9, 100%, $F$9) + CHOOSE(CONTROL!$C$27, 0.0021, 0)</f>
        <v>177.07050000000001</v>
      </c>
      <c r="K1004" s="14">
        <f>177.0684 * CHOOSE(CONTROL!$C$9, $D$9, 100%, $F$9) + CHOOSE(CONTROL!$C$27, 0.0021, 0)</f>
        <v>177.07050000000001</v>
      </c>
      <c r="L1004" s="14"/>
    </row>
    <row r="1005" spans="1:12" ht="15.75" x14ac:dyDescent="0.25">
      <c r="A1005" s="31">
        <v>71528</v>
      </c>
      <c r="B1005" s="14">
        <f>171.4418 * CHOOSE(CONTROL!$C$9, $D$9, 100%, $F$9) + CHOOSE(CONTROL!$C$27, 0.0021, 0)</f>
        <v>171.44390000000001</v>
      </c>
      <c r="C1005" s="14">
        <f>171.0095 * CHOOSE(CONTROL!$C$9, $D$9, 100%, $F$9) + CHOOSE(CONTROL!$C$27, 0.0021, 0)</f>
        <v>171.01160000000002</v>
      </c>
      <c r="D1005" s="14">
        <f>171.0095 * CHOOSE(CONTROL!$C$9, $D$9, 100%, $F$9) + CHOOSE(CONTROL!$C$27, 0.0021, 0)</f>
        <v>171.01160000000002</v>
      </c>
      <c r="E1005" s="14">
        <f>170.8729 * CHOOSE(CONTROL!$C$9, $D$9, 100%, $F$9) + CHOOSE(CONTROL!$C$27, 0.0021, 0)</f>
        <v>170.875</v>
      </c>
      <c r="F1005" s="14">
        <f>170.8729 * CHOOSE(CONTROL!$C$9, $D$9, 100%, $F$9) + CHOOSE(CONTROL!$C$27, 0.0021, 0)</f>
        <v>170.875</v>
      </c>
      <c r="G1005" s="14">
        <f>171.1442 * CHOOSE(CONTROL!$C$9, $D$9, 100%, $F$9) + CHOOSE(CONTROL!$C$27, 0.0021, 0)</f>
        <v>171.14630000000002</v>
      </c>
      <c r="H1005" s="14">
        <f>171.0095 * CHOOSE(CONTROL!$C$9, $D$9, 100%, $F$9) + CHOOSE(CONTROL!$C$27, 0.0021, 0)</f>
        <v>171.01160000000002</v>
      </c>
      <c r="I1005" s="14">
        <f>171.0095 * CHOOSE(CONTROL!$C$9, $D$9, 100%, $F$9) + CHOOSE(CONTROL!$C$27, 0.0021, 0)</f>
        <v>171.01160000000002</v>
      </c>
      <c r="J1005" s="14">
        <f>171.0095 * CHOOSE(CONTROL!$C$9, $D$9, 100%, $F$9) + CHOOSE(CONTROL!$C$27, 0.0021, 0)</f>
        <v>171.01160000000002</v>
      </c>
      <c r="K1005" s="14">
        <f>171.0095 * CHOOSE(CONTROL!$C$9, $D$9, 100%, $F$9) + CHOOSE(CONTROL!$C$27, 0.0021, 0)</f>
        <v>171.01160000000002</v>
      </c>
      <c r="L1005" s="14"/>
    </row>
    <row r="1006" spans="1:12" ht="15.75" x14ac:dyDescent="0.25">
      <c r="A1006" s="31">
        <v>71558</v>
      </c>
      <c r="B1006" s="14">
        <f>170.2365 * CHOOSE(CONTROL!$C$9, $D$9, 100%, $F$9) + CHOOSE(CONTROL!$C$27, 0.0021, 0)</f>
        <v>170.23860000000002</v>
      </c>
      <c r="C1006" s="14">
        <f>169.8043 * CHOOSE(CONTROL!$C$9, $D$9, 100%, $F$9) + CHOOSE(CONTROL!$C$27, 0.0021, 0)</f>
        <v>169.80640000000002</v>
      </c>
      <c r="D1006" s="14">
        <f>169.8043 * CHOOSE(CONTROL!$C$9, $D$9, 100%, $F$9) + CHOOSE(CONTROL!$C$27, 0.0021, 0)</f>
        <v>169.80640000000002</v>
      </c>
      <c r="E1006" s="14">
        <f>169.6676 * CHOOSE(CONTROL!$C$9, $D$9, 100%, $F$9) + CHOOSE(CONTROL!$C$27, 0.0021, 0)</f>
        <v>169.66970000000001</v>
      </c>
      <c r="F1006" s="14">
        <f>169.6676 * CHOOSE(CONTROL!$C$9, $D$9, 100%, $F$9) + CHOOSE(CONTROL!$C$27, 0.0021, 0)</f>
        <v>169.66970000000001</v>
      </c>
      <c r="G1006" s="14">
        <f>169.939 * CHOOSE(CONTROL!$C$9, $D$9, 100%, $F$9) + CHOOSE(CONTROL!$C$27, 0.0021, 0)</f>
        <v>169.94110000000001</v>
      </c>
      <c r="H1006" s="14">
        <f>169.8043 * CHOOSE(CONTROL!$C$9, $D$9, 100%, $F$9) + CHOOSE(CONTROL!$C$27, 0.0021, 0)</f>
        <v>169.80640000000002</v>
      </c>
      <c r="I1006" s="14">
        <f>169.8043 * CHOOSE(CONTROL!$C$9, $D$9, 100%, $F$9) + CHOOSE(CONTROL!$C$27, 0.0021, 0)</f>
        <v>169.80640000000002</v>
      </c>
      <c r="J1006" s="14">
        <f>169.8043 * CHOOSE(CONTROL!$C$9, $D$9, 100%, $F$9) + CHOOSE(CONTROL!$C$27, 0.0021, 0)</f>
        <v>169.80640000000002</v>
      </c>
      <c r="K1006" s="14">
        <f>169.8043 * CHOOSE(CONTROL!$C$9, $D$9, 100%, $F$9) + CHOOSE(CONTROL!$C$27, 0.0021, 0)</f>
        <v>169.80640000000002</v>
      </c>
      <c r="L1006" s="14"/>
    </row>
    <row r="1007" spans="1:12" ht="15.75" x14ac:dyDescent="0.25">
      <c r="A1007" s="31">
        <v>71589</v>
      </c>
      <c r="B1007" s="14">
        <f>165.2528 * CHOOSE(CONTROL!$C$9, $D$9, 100%, $F$9) + CHOOSE(CONTROL!$C$27, 0.0021, 0)</f>
        <v>165.25490000000002</v>
      </c>
      <c r="C1007" s="14">
        <f>164.8205 * CHOOSE(CONTROL!$C$9, $D$9, 100%, $F$9) + CHOOSE(CONTROL!$C$27, 0.0021, 0)</f>
        <v>164.82260000000002</v>
      </c>
      <c r="D1007" s="14">
        <f>164.8205 * CHOOSE(CONTROL!$C$9, $D$9, 100%, $F$9) + CHOOSE(CONTROL!$C$27, 0.0021, 0)</f>
        <v>164.82260000000002</v>
      </c>
      <c r="E1007" s="14">
        <f>164.6839 * CHOOSE(CONTROL!$C$9, $D$9, 100%, $F$9) + CHOOSE(CONTROL!$C$27, 0.0021, 0)</f>
        <v>164.68600000000001</v>
      </c>
      <c r="F1007" s="14">
        <f>164.6839 * CHOOSE(CONTROL!$C$9, $D$9, 100%, $F$9) + CHOOSE(CONTROL!$C$27, 0.0021, 0)</f>
        <v>164.68600000000001</v>
      </c>
      <c r="G1007" s="14">
        <f>164.9552 * CHOOSE(CONTROL!$C$9, $D$9, 100%, $F$9) + CHOOSE(CONTROL!$C$27, 0.0021, 0)</f>
        <v>164.9573</v>
      </c>
      <c r="H1007" s="14">
        <f>164.8205 * CHOOSE(CONTROL!$C$9, $D$9, 100%, $F$9) + CHOOSE(CONTROL!$C$27, 0.0021, 0)</f>
        <v>164.82260000000002</v>
      </c>
      <c r="I1007" s="14">
        <f>164.8205 * CHOOSE(CONTROL!$C$9, $D$9, 100%, $F$9) + CHOOSE(CONTROL!$C$27, 0.0021, 0)</f>
        <v>164.82260000000002</v>
      </c>
      <c r="J1007" s="14">
        <f>164.8205 * CHOOSE(CONTROL!$C$9, $D$9, 100%, $F$9) + CHOOSE(CONTROL!$C$27, 0.0021, 0)</f>
        <v>164.82260000000002</v>
      </c>
      <c r="K1007" s="14">
        <f>164.8205 * CHOOSE(CONTROL!$C$9, $D$9, 100%, $F$9) + CHOOSE(CONTROL!$C$27, 0.0021, 0)</f>
        <v>164.82260000000002</v>
      </c>
      <c r="L1007" s="14"/>
    </row>
    <row r="1008" spans="1:12" ht="15.75" x14ac:dyDescent="0.25">
      <c r="A1008" s="31">
        <v>71620</v>
      </c>
      <c r="B1008" s="14">
        <f>164.2825 * CHOOSE(CONTROL!$C$9, $D$9, 100%, $F$9) + CHOOSE(CONTROL!$C$27, 0.0021, 0)</f>
        <v>164.28460000000001</v>
      </c>
      <c r="C1008" s="14">
        <f>163.8502 * CHOOSE(CONTROL!$C$9, $D$9, 100%, $F$9) + CHOOSE(CONTROL!$C$27, 0.0021, 0)</f>
        <v>163.85230000000001</v>
      </c>
      <c r="D1008" s="14">
        <f>163.8502 * CHOOSE(CONTROL!$C$9, $D$9, 100%, $F$9) + CHOOSE(CONTROL!$C$27, 0.0021, 0)</f>
        <v>163.85230000000001</v>
      </c>
      <c r="E1008" s="14">
        <f>163.7136 * CHOOSE(CONTROL!$C$9, $D$9, 100%, $F$9) + CHOOSE(CONTROL!$C$27, 0.0021, 0)</f>
        <v>163.71570000000003</v>
      </c>
      <c r="F1008" s="14">
        <f>163.7136 * CHOOSE(CONTROL!$C$9, $D$9, 100%, $F$9) + CHOOSE(CONTROL!$C$27, 0.0021, 0)</f>
        <v>163.71570000000003</v>
      </c>
      <c r="G1008" s="14">
        <f>163.985 * CHOOSE(CONTROL!$C$9, $D$9, 100%, $F$9) + CHOOSE(CONTROL!$C$27, 0.0021, 0)</f>
        <v>163.98710000000003</v>
      </c>
      <c r="H1008" s="14">
        <f>163.8502 * CHOOSE(CONTROL!$C$9, $D$9, 100%, $F$9) + CHOOSE(CONTROL!$C$27, 0.0021, 0)</f>
        <v>163.85230000000001</v>
      </c>
      <c r="I1008" s="14">
        <f>163.8502 * CHOOSE(CONTROL!$C$9, $D$9, 100%, $F$9) + CHOOSE(CONTROL!$C$27, 0.0021, 0)</f>
        <v>163.85230000000001</v>
      </c>
      <c r="J1008" s="14">
        <f>163.8502 * CHOOSE(CONTROL!$C$9, $D$9, 100%, $F$9) + CHOOSE(CONTROL!$C$27, 0.0021, 0)</f>
        <v>163.85230000000001</v>
      </c>
      <c r="K1008" s="14">
        <f>163.8502 * CHOOSE(CONTROL!$C$9, $D$9, 100%, $F$9) + CHOOSE(CONTROL!$C$27, 0.0021, 0)</f>
        <v>163.85230000000001</v>
      </c>
      <c r="L1008" s="14"/>
    </row>
    <row r="1009" spans="1:12" ht="15.75" x14ac:dyDescent="0.25">
      <c r="A1009" s="31">
        <v>71649</v>
      </c>
      <c r="B1009" s="14">
        <f>163.8322 * CHOOSE(CONTROL!$C$9, $D$9, 100%, $F$9) + CHOOSE(CONTROL!$C$27, 0.0021, 0)</f>
        <v>163.83430000000001</v>
      </c>
      <c r="C1009" s="14">
        <f>163.4 * CHOOSE(CONTROL!$C$9, $D$9, 100%, $F$9) + CHOOSE(CONTROL!$C$27, 0.0021, 0)</f>
        <v>163.40210000000002</v>
      </c>
      <c r="D1009" s="14">
        <f>163.4 * CHOOSE(CONTROL!$C$9, $D$9, 100%, $F$9) + CHOOSE(CONTROL!$C$27, 0.0021, 0)</f>
        <v>163.40210000000002</v>
      </c>
      <c r="E1009" s="14">
        <f>163.2633 * CHOOSE(CONTROL!$C$9, $D$9, 100%, $F$9) + CHOOSE(CONTROL!$C$27, 0.0021, 0)</f>
        <v>163.2654</v>
      </c>
      <c r="F1009" s="14">
        <f>163.2633 * CHOOSE(CONTROL!$C$9, $D$9, 100%, $F$9) + CHOOSE(CONTROL!$C$27, 0.0021, 0)</f>
        <v>163.2654</v>
      </c>
      <c r="G1009" s="14">
        <f>163.5347 * CHOOSE(CONTROL!$C$9, $D$9, 100%, $F$9) + CHOOSE(CONTROL!$C$27, 0.0021, 0)</f>
        <v>163.5368</v>
      </c>
      <c r="H1009" s="14">
        <f>163.4 * CHOOSE(CONTROL!$C$9, $D$9, 100%, $F$9) + CHOOSE(CONTROL!$C$27, 0.0021, 0)</f>
        <v>163.40210000000002</v>
      </c>
      <c r="I1009" s="14">
        <f>163.4 * CHOOSE(CONTROL!$C$9, $D$9, 100%, $F$9) + CHOOSE(CONTROL!$C$27, 0.0021, 0)</f>
        <v>163.40210000000002</v>
      </c>
      <c r="J1009" s="14">
        <f>163.4 * CHOOSE(CONTROL!$C$9, $D$9, 100%, $F$9) + CHOOSE(CONTROL!$C$27, 0.0021, 0)</f>
        <v>163.40210000000002</v>
      </c>
      <c r="K1009" s="14">
        <f>163.4 * CHOOSE(CONTROL!$C$9, $D$9, 100%, $F$9) + CHOOSE(CONTROL!$C$27, 0.0021, 0)</f>
        <v>163.40210000000002</v>
      </c>
      <c r="L1009" s="14"/>
    </row>
    <row r="1010" spans="1:12" ht="15.75" x14ac:dyDescent="0.25">
      <c r="A1010" s="31">
        <v>71680</v>
      </c>
      <c r="B1010" s="14">
        <f>172.3463 * CHOOSE(CONTROL!$C$9, $D$9, 100%, $F$9) + CHOOSE(CONTROL!$C$27, 0.0021, 0)</f>
        <v>172.34840000000003</v>
      </c>
      <c r="C1010" s="14">
        <f>171.9141 * CHOOSE(CONTROL!$C$9, $D$9, 100%, $F$9) + CHOOSE(CONTROL!$C$27, 0.0021, 0)</f>
        <v>171.9162</v>
      </c>
      <c r="D1010" s="14">
        <f>171.9141 * CHOOSE(CONTROL!$C$9, $D$9, 100%, $F$9) + CHOOSE(CONTROL!$C$27, 0.0021, 0)</f>
        <v>171.9162</v>
      </c>
      <c r="E1010" s="14">
        <f>171.7774 * CHOOSE(CONTROL!$C$9, $D$9, 100%, $F$9) + CHOOSE(CONTROL!$C$27, 0.0021, 0)</f>
        <v>171.77950000000001</v>
      </c>
      <c r="F1010" s="14">
        <f>171.7774 * CHOOSE(CONTROL!$C$9, $D$9, 100%, $F$9) + CHOOSE(CONTROL!$C$27, 0.0021, 0)</f>
        <v>171.77950000000001</v>
      </c>
      <c r="G1010" s="14">
        <f>172.0488 * CHOOSE(CONTROL!$C$9, $D$9, 100%, $F$9) + CHOOSE(CONTROL!$C$27, 0.0021, 0)</f>
        <v>172.05090000000001</v>
      </c>
      <c r="H1010" s="14">
        <f>171.9141 * CHOOSE(CONTROL!$C$9, $D$9, 100%, $F$9) + CHOOSE(CONTROL!$C$27, 0.0021, 0)</f>
        <v>171.9162</v>
      </c>
      <c r="I1010" s="14">
        <f>171.9141 * CHOOSE(CONTROL!$C$9, $D$9, 100%, $F$9) + CHOOSE(CONTROL!$C$27, 0.0021, 0)</f>
        <v>171.9162</v>
      </c>
      <c r="J1010" s="14">
        <f>171.9141 * CHOOSE(CONTROL!$C$9, $D$9, 100%, $F$9) + CHOOSE(CONTROL!$C$27, 0.0021, 0)</f>
        <v>171.9162</v>
      </c>
      <c r="K1010" s="14">
        <f>171.9141 * CHOOSE(CONTROL!$C$9, $D$9, 100%, $F$9) + CHOOSE(CONTROL!$C$27, 0.0021, 0)</f>
        <v>171.9162</v>
      </c>
      <c r="L1010" s="14"/>
    </row>
    <row r="1011" spans="1:12" ht="15.75" x14ac:dyDescent="0.25">
      <c r="A1011" s="31">
        <v>71710</v>
      </c>
      <c r="B1011" s="14">
        <f>183.387 * CHOOSE(CONTROL!$C$9, $D$9, 100%, $F$9) + CHOOSE(CONTROL!$C$27, 0.0021, 0)</f>
        <v>183.38910000000001</v>
      </c>
      <c r="C1011" s="14">
        <f>182.9548 * CHOOSE(CONTROL!$C$9, $D$9, 100%, $F$9) + CHOOSE(CONTROL!$C$27, 0.0021, 0)</f>
        <v>182.95690000000002</v>
      </c>
      <c r="D1011" s="14">
        <f>182.9548 * CHOOSE(CONTROL!$C$9, $D$9, 100%, $F$9) + CHOOSE(CONTROL!$C$27, 0.0021, 0)</f>
        <v>182.95690000000002</v>
      </c>
      <c r="E1011" s="14">
        <f>182.8181 * CHOOSE(CONTROL!$C$9, $D$9, 100%, $F$9) + CHOOSE(CONTROL!$C$27, 0.0021, 0)</f>
        <v>182.8202</v>
      </c>
      <c r="F1011" s="14">
        <f>182.8181 * CHOOSE(CONTROL!$C$9, $D$9, 100%, $F$9) + CHOOSE(CONTROL!$C$27, 0.0021, 0)</f>
        <v>182.8202</v>
      </c>
      <c r="G1011" s="14">
        <f>183.0895 * CHOOSE(CONTROL!$C$9, $D$9, 100%, $F$9) + CHOOSE(CONTROL!$C$27, 0.0021, 0)</f>
        <v>183.0916</v>
      </c>
      <c r="H1011" s="14">
        <f>182.9548 * CHOOSE(CONTROL!$C$9, $D$9, 100%, $F$9) + CHOOSE(CONTROL!$C$27, 0.0021, 0)</f>
        <v>182.95690000000002</v>
      </c>
      <c r="I1011" s="14">
        <f>182.9548 * CHOOSE(CONTROL!$C$9, $D$9, 100%, $F$9) + CHOOSE(CONTROL!$C$27, 0.0021, 0)</f>
        <v>182.95690000000002</v>
      </c>
      <c r="J1011" s="14">
        <f>182.9548 * CHOOSE(CONTROL!$C$9, $D$9, 100%, $F$9) + CHOOSE(CONTROL!$C$27, 0.0021, 0)</f>
        <v>182.95690000000002</v>
      </c>
      <c r="K1011" s="14">
        <f>182.9548 * CHOOSE(CONTROL!$C$9, $D$9, 100%, $F$9) + CHOOSE(CONTROL!$C$27, 0.0021, 0)</f>
        <v>182.95690000000002</v>
      </c>
      <c r="L1011" s="14"/>
    </row>
    <row r="1012" spans="1:12" ht="15.75" x14ac:dyDescent="0.25">
      <c r="A1012" s="31">
        <v>71741</v>
      </c>
      <c r="B1012" s="14">
        <f>189.4642 * CHOOSE(CONTROL!$C$9, $D$9, 100%, $F$9) + CHOOSE(CONTROL!$C$27, 0.0021, 0)</f>
        <v>189.46630000000002</v>
      </c>
      <c r="C1012" s="14">
        <f>189.032 * CHOOSE(CONTROL!$C$9, $D$9, 100%, $F$9) + CHOOSE(CONTROL!$C$27, 0.0021, 0)</f>
        <v>189.03410000000002</v>
      </c>
      <c r="D1012" s="14">
        <f>189.032 * CHOOSE(CONTROL!$C$9, $D$9, 100%, $F$9) + CHOOSE(CONTROL!$C$27, 0.0021, 0)</f>
        <v>189.03410000000002</v>
      </c>
      <c r="E1012" s="14">
        <f>188.8953 * CHOOSE(CONTROL!$C$9, $D$9, 100%, $F$9) + CHOOSE(CONTROL!$C$27, 0.0021, 0)</f>
        <v>188.8974</v>
      </c>
      <c r="F1012" s="14">
        <f>188.8953 * CHOOSE(CONTROL!$C$9, $D$9, 100%, $F$9) + CHOOSE(CONTROL!$C$27, 0.0021, 0)</f>
        <v>188.8974</v>
      </c>
      <c r="G1012" s="14">
        <f>189.1667 * CHOOSE(CONTROL!$C$9, $D$9, 100%, $F$9) + CHOOSE(CONTROL!$C$27, 0.0021, 0)</f>
        <v>189.1688</v>
      </c>
      <c r="H1012" s="14">
        <f>189.032 * CHOOSE(CONTROL!$C$9, $D$9, 100%, $F$9) + CHOOSE(CONTROL!$C$27, 0.0021, 0)</f>
        <v>189.03410000000002</v>
      </c>
      <c r="I1012" s="14">
        <f>189.032 * CHOOSE(CONTROL!$C$9, $D$9, 100%, $F$9) + CHOOSE(CONTROL!$C$27, 0.0021, 0)</f>
        <v>189.03410000000002</v>
      </c>
      <c r="J1012" s="14">
        <f>189.032 * CHOOSE(CONTROL!$C$9, $D$9, 100%, $F$9) + CHOOSE(CONTROL!$C$27, 0.0021, 0)</f>
        <v>189.03410000000002</v>
      </c>
      <c r="K1012" s="14">
        <f>189.032 * CHOOSE(CONTROL!$C$9, $D$9, 100%, $F$9) + CHOOSE(CONTROL!$C$27, 0.0021, 0)</f>
        <v>189.03410000000002</v>
      </c>
      <c r="L1012" s="14"/>
    </row>
    <row r="1013" spans="1:12" ht="15.75" x14ac:dyDescent="0.25">
      <c r="A1013" s="31">
        <v>71771</v>
      </c>
      <c r="B1013" s="14">
        <f>192.1612 * CHOOSE(CONTROL!$C$9, $D$9, 100%, $F$9) + CHOOSE(CONTROL!$C$27, 0.0021, 0)</f>
        <v>192.16330000000002</v>
      </c>
      <c r="C1013" s="14">
        <f>191.7289 * CHOOSE(CONTROL!$C$9, $D$9, 100%, $F$9) + CHOOSE(CONTROL!$C$27, 0.0021, 0)</f>
        <v>191.73100000000002</v>
      </c>
      <c r="D1013" s="14">
        <f>191.7289 * CHOOSE(CONTROL!$C$9, $D$9, 100%, $F$9) + CHOOSE(CONTROL!$C$27, 0.0021, 0)</f>
        <v>191.73100000000002</v>
      </c>
      <c r="E1013" s="14">
        <f>191.5923 * CHOOSE(CONTROL!$C$9, $D$9, 100%, $F$9) + CHOOSE(CONTROL!$C$27, 0.0021, 0)</f>
        <v>191.59440000000001</v>
      </c>
      <c r="F1013" s="14">
        <f>191.5923 * CHOOSE(CONTROL!$C$9, $D$9, 100%, $F$9) + CHOOSE(CONTROL!$C$27, 0.0021, 0)</f>
        <v>191.59440000000001</v>
      </c>
      <c r="G1013" s="14">
        <f>191.8636 * CHOOSE(CONTROL!$C$9, $D$9, 100%, $F$9) + CHOOSE(CONTROL!$C$27, 0.0021, 0)</f>
        <v>191.8657</v>
      </c>
      <c r="H1013" s="14">
        <f>191.7289 * CHOOSE(CONTROL!$C$9, $D$9, 100%, $F$9) + CHOOSE(CONTROL!$C$27, 0.0021, 0)</f>
        <v>191.73100000000002</v>
      </c>
      <c r="I1013" s="14">
        <f>191.7289 * CHOOSE(CONTROL!$C$9, $D$9, 100%, $F$9) + CHOOSE(CONTROL!$C$27, 0.0021, 0)</f>
        <v>191.73100000000002</v>
      </c>
      <c r="J1013" s="14">
        <f>191.7289 * CHOOSE(CONTROL!$C$9, $D$9, 100%, $F$9) + CHOOSE(CONTROL!$C$27, 0.0021, 0)</f>
        <v>191.73100000000002</v>
      </c>
      <c r="K1013" s="14">
        <f>191.7289 * CHOOSE(CONTROL!$C$9, $D$9, 100%, $F$9) + CHOOSE(CONTROL!$C$27, 0.0021, 0)</f>
        <v>191.73100000000002</v>
      </c>
      <c r="L1013" s="14"/>
    </row>
    <row r="1014" spans="1:12" ht="15.75" x14ac:dyDescent="0.25">
      <c r="A1014" s="31">
        <v>71802</v>
      </c>
      <c r="B1014" s="14">
        <f>191.2732 * CHOOSE(CONTROL!$C$9, $D$9, 100%, $F$9) + CHOOSE(CONTROL!$C$27, 0.0021, 0)</f>
        <v>191.27530000000002</v>
      </c>
      <c r="C1014" s="14">
        <f>190.8409 * CHOOSE(CONTROL!$C$9, $D$9, 100%, $F$9) + CHOOSE(CONTROL!$C$27, 0.0021, 0)</f>
        <v>190.84300000000002</v>
      </c>
      <c r="D1014" s="14">
        <f>190.8409 * CHOOSE(CONTROL!$C$9, $D$9, 100%, $F$9) + CHOOSE(CONTROL!$C$27, 0.0021, 0)</f>
        <v>190.84300000000002</v>
      </c>
      <c r="E1014" s="14">
        <f>190.7043 * CHOOSE(CONTROL!$C$9, $D$9, 100%, $F$9) + CHOOSE(CONTROL!$C$27, 0.0021, 0)</f>
        <v>190.7064</v>
      </c>
      <c r="F1014" s="14">
        <f>190.7043 * CHOOSE(CONTROL!$C$9, $D$9, 100%, $F$9) + CHOOSE(CONTROL!$C$27, 0.0021, 0)</f>
        <v>190.7064</v>
      </c>
      <c r="G1014" s="14">
        <f>190.9757 * CHOOSE(CONTROL!$C$9, $D$9, 100%, $F$9) + CHOOSE(CONTROL!$C$27, 0.0021, 0)</f>
        <v>190.9778</v>
      </c>
      <c r="H1014" s="14">
        <f>190.8409 * CHOOSE(CONTROL!$C$9, $D$9, 100%, $F$9) + CHOOSE(CONTROL!$C$27, 0.0021, 0)</f>
        <v>190.84300000000002</v>
      </c>
      <c r="I1014" s="14">
        <f>190.8409 * CHOOSE(CONTROL!$C$9, $D$9, 100%, $F$9) + CHOOSE(CONTROL!$C$27, 0.0021, 0)</f>
        <v>190.84300000000002</v>
      </c>
      <c r="J1014" s="14">
        <f>190.8409 * CHOOSE(CONTROL!$C$9, $D$9, 100%, $F$9) + CHOOSE(CONTROL!$C$27, 0.0021, 0)</f>
        <v>190.84300000000002</v>
      </c>
      <c r="K1014" s="14">
        <f>190.8409 * CHOOSE(CONTROL!$C$9, $D$9, 100%, $F$9) + CHOOSE(CONTROL!$C$27, 0.0021, 0)</f>
        <v>190.84300000000002</v>
      </c>
      <c r="L1014" s="14"/>
    </row>
    <row r="1015" spans="1:12" ht="15.75" x14ac:dyDescent="0.25">
      <c r="A1015" s="31">
        <v>71833</v>
      </c>
      <c r="B1015" s="14">
        <f>186.8738 * CHOOSE(CONTROL!$C$9, $D$9, 100%, $F$9) + CHOOSE(CONTROL!$C$27, 0.0021, 0)</f>
        <v>186.8759</v>
      </c>
      <c r="C1015" s="14">
        <f>186.4416 * CHOOSE(CONTROL!$C$9, $D$9, 100%, $F$9) + CHOOSE(CONTROL!$C$27, 0.0021, 0)</f>
        <v>186.44370000000001</v>
      </c>
      <c r="D1015" s="14">
        <f>186.4416 * CHOOSE(CONTROL!$C$9, $D$9, 100%, $F$9) + CHOOSE(CONTROL!$C$27, 0.0021, 0)</f>
        <v>186.44370000000001</v>
      </c>
      <c r="E1015" s="14">
        <f>186.3049 * CHOOSE(CONTROL!$C$9, $D$9, 100%, $F$9) + CHOOSE(CONTROL!$C$27, 0.0021, 0)</f>
        <v>186.30700000000002</v>
      </c>
      <c r="F1015" s="14">
        <f>186.3049 * CHOOSE(CONTROL!$C$9, $D$9, 100%, $F$9) + CHOOSE(CONTROL!$C$27, 0.0021, 0)</f>
        <v>186.30700000000002</v>
      </c>
      <c r="G1015" s="14">
        <f>186.5763 * CHOOSE(CONTROL!$C$9, $D$9, 100%, $F$9) + CHOOSE(CONTROL!$C$27, 0.0021, 0)</f>
        <v>186.57840000000002</v>
      </c>
      <c r="H1015" s="14">
        <f>186.4416 * CHOOSE(CONTROL!$C$9, $D$9, 100%, $F$9) + CHOOSE(CONTROL!$C$27, 0.0021, 0)</f>
        <v>186.44370000000001</v>
      </c>
      <c r="I1015" s="14">
        <f>186.4416 * CHOOSE(CONTROL!$C$9, $D$9, 100%, $F$9) + CHOOSE(CONTROL!$C$27, 0.0021, 0)</f>
        <v>186.44370000000001</v>
      </c>
      <c r="J1015" s="14">
        <f>186.4416 * CHOOSE(CONTROL!$C$9, $D$9, 100%, $F$9) + CHOOSE(CONTROL!$C$27, 0.0021, 0)</f>
        <v>186.44370000000001</v>
      </c>
      <c r="K1015" s="14">
        <f>186.4416 * CHOOSE(CONTROL!$C$9, $D$9, 100%, $F$9) + CHOOSE(CONTROL!$C$27, 0.0021, 0)</f>
        <v>186.44370000000001</v>
      </c>
      <c r="L1015" s="14"/>
    </row>
    <row r="1016" spans="1:12" ht="15.75" x14ac:dyDescent="0.25">
      <c r="A1016" s="31">
        <v>71863</v>
      </c>
      <c r="B1016" s="14">
        <f>180.7386 * CHOOSE(CONTROL!$C$9, $D$9, 100%, $F$9) + CHOOSE(CONTROL!$C$27, 0.0021, 0)</f>
        <v>180.7407</v>
      </c>
      <c r="C1016" s="14">
        <f>180.3064 * CHOOSE(CONTROL!$C$9, $D$9, 100%, $F$9) + CHOOSE(CONTROL!$C$27, 0.0021, 0)</f>
        <v>180.30850000000001</v>
      </c>
      <c r="D1016" s="14">
        <f>180.3064 * CHOOSE(CONTROL!$C$9, $D$9, 100%, $F$9) + CHOOSE(CONTROL!$C$27, 0.0021, 0)</f>
        <v>180.30850000000001</v>
      </c>
      <c r="E1016" s="14">
        <f>180.1697 * CHOOSE(CONTROL!$C$9, $D$9, 100%, $F$9) + CHOOSE(CONTROL!$C$27, 0.0021, 0)</f>
        <v>180.17180000000002</v>
      </c>
      <c r="F1016" s="14">
        <f>180.1697 * CHOOSE(CONTROL!$C$9, $D$9, 100%, $F$9) + CHOOSE(CONTROL!$C$27, 0.0021, 0)</f>
        <v>180.17180000000002</v>
      </c>
      <c r="G1016" s="14">
        <f>180.4411 * CHOOSE(CONTROL!$C$9, $D$9, 100%, $F$9) + CHOOSE(CONTROL!$C$27, 0.0021, 0)</f>
        <v>180.44320000000002</v>
      </c>
      <c r="H1016" s="14">
        <f>180.3064 * CHOOSE(CONTROL!$C$9, $D$9, 100%, $F$9) + CHOOSE(CONTROL!$C$27, 0.0021, 0)</f>
        <v>180.30850000000001</v>
      </c>
      <c r="I1016" s="14">
        <f>180.3064 * CHOOSE(CONTROL!$C$9, $D$9, 100%, $F$9) + CHOOSE(CONTROL!$C$27, 0.0021, 0)</f>
        <v>180.30850000000001</v>
      </c>
      <c r="J1016" s="14">
        <f>180.3064 * CHOOSE(CONTROL!$C$9, $D$9, 100%, $F$9) + CHOOSE(CONTROL!$C$27, 0.0021, 0)</f>
        <v>180.30850000000001</v>
      </c>
      <c r="K1016" s="14">
        <f>180.3064 * CHOOSE(CONTROL!$C$9, $D$9, 100%, $F$9) + CHOOSE(CONTROL!$C$27, 0.0021, 0)</f>
        <v>180.30850000000001</v>
      </c>
      <c r="L1016" s="14"/>
    </row>
    <row r="1017" spans="1:12" ht="15.75" x14ac:dyDescent="0.25">
      <c r="A1017" s="31">
        <v>71894</v>
      </c>
      <c r="B1017" s="14">
        <f>174.5678 * CHOOSE(CONTROL!$C$9, $D$9, 100%, $F$9) + CHOOSE(CONTROL!$C$27, 0.0021, 0)</f>
        <v>174.56990000000002</v>
      </c>
      <c r="C1017" s="14">
        <f>174.1355 * CHOOSE(CONTROL!$C$9, $D$9, 100%, $F$9) + CHOOSE(CONTROL!$C$27, 0.0021, 0)</f>
        <v>174.13760000000002</v>
      </c>
      <c r="D1017" s="14">
        <f>174.1355 * CHOOSE(CONTROL!$C$9, $D$9, 100%, $F$9) + CHOOSE(CONTROL!$C$27, 0.0021, 0)</f>
        <v>174.13760000000002</v>
      </c>
      <c r="E1017" s="14">
        <f>173.9989 * CHOOSE(CONTROL!$C$9, $D$9, 100%, $F$9) + CHOOSE(CONTROL!$C$27, 0.0021, 0)</f>
        <v>174.001</v>
      </c>
      <c r="F1017" s="14">
        <f>173.9989 * CHOOSE(CONTROL!$C$9, $D$9, 100%, $F$9) + CHOOSE(CONTROL!$C$27, 0.0021, 0)</f>
        <v>174.001</v>
      </c>
      <c r="G1017" s="14">
        <f>174.2702 * CHOOSE(CONTROL!$C$9, $D$9, 100%, $F$9) + CHOOSE(CONTROL!$C$27, 0.0021, 0)</f>
        <v>174.2723</v>
      </c>
      <c r="H1017" s="14">
        <f>174.1355 * CHOOSE(CONTROL!$C$9, $D$9, 100%, $F$9) + CHOOSE(CONTROL!$C$27, 0.0021, 0)</f>
        <v>174.13760000000002</v>
      </c>
      <c r="I1017" s="14">
        <f>174.1355 * CHOOSE(CONTROL!$C$9, $D$9, 100%, $F$9) + CHOOSE(CONTROL!$C$27, 0.0021, 0)</f>
        <v>174.13760000000002</v>
      </c>
      <c r="J1017" s="14">
        <f>174.1355 * CHOOSE(CONTROL!$C$9, $D$9, 100%, $F$9) + CHOOSE(CONTROL!$C$27, 0.0021, 0)</f>
        <v>174.13760000000002</v>
      </c>
      <c r="K1017" s="14">
        <f>174.1355 * CHOOSE(CONTROL!$C$9, $D$9, 100%, $F$9) + CHOOSE(CONTROL!$C$27, 0.0021, 0)</f>
        <v>174.13760000000002</v>
      </c>
      <c r="L1017" s="14"/>
    </row>
    <row r="1018" spans="1:12" ht="15.75" x14ac:dyDescent="0.25">
      <c r="A1018" s="31">
        <v>71924</v>
      </c>
      <c r="B1018" s="14">
        <f>173.3403 * CHOOSE(CONTROL!$C$9, $D$9, 100%, $F$9) + CHOOSE(CONTROL!$C$27, 0.0021, 0)</f>
        <v>173.34240000000003</v>
      </c>
      <c r="C1018" s="14">
        <f>172.908 * CHOOSE(CONTROL!$C$9, $D$9, 100%, $F$9) + CHOOSE(CONTROL!$C$27, 0.0021, 0)</f>
        <v>172.9101</v>
      </c>
      <c r="D1018" s="14">
        <f>172.908 * CHOOSE(CONTROL!$C$9, $D$9, 100%, $F$9) + CHOOSE(CONTROL!$C$27, 0.0021, 0)</f>
        <v>172.9101</v>
      </c>
      <c r="E1018" s="14">
        <f>172.7714 * CHOOSE(CONTROL!$C$9, $D$9, 100%, $F$9) + CHOOSE(CONTROL!$C$27, 0.0021, 0)</f>
        <v>172.77350000000001</v>
      </c>
      <c r="F1018" s="14">
        <f>172.7714 * CHOOSE(CONTROL!$C$9, $D$9, 100%, $F$9) + CHOOSE(CONTROL!$C$27, 0.0021, 0)</f>
        <v>172.77350000000001</v>
      </c>
      <c r="G1018" s="14">
        <f>173.0427 * CHOOSE(CONTROL!$C$9, $D$9, 100%, $F$9) + CHOOSE(CONTROL!$C$27, 0.0021, 0)</f>
        <v>173.04480000000001</v>
      </c>
      <c r="H1018" s="14">
        <f>172.908 * CHOOSE(CONTROL!$C$9, $D$9, 100%, $F$9) + CHOOSE(CONTROL!$C$27, 0.0021, 0)</f>
        <v>172.9101</v>
      </c>
      <c r="I1018" s="14">
        <f>172.908 * CHOOSE(CONTROL!$C$9, $D$9, 100%, $F$9) + CHOOSE(CONTROL!$C$27, 0.0021, 0)</f>
        <v>172.9101</v>
      </c>
      <c r="J1018" s="14">
        <f>172.908 * CHOOSE(CONTROL!$C$9, $D$9, 100%, $F$9) + CHOOSE(CONTROL!$C$27, 0.0021, 0)</f>
        <v>172.9101</v>
      </c>
      <c r="K1018" s="14">
        <f>172.908 * CHOOSE(CONTROL!$C$9, $D$9, 100%, $F$9) + CHOOSE(CONTROL!$C$27, 0.0021, 0)</f>
        <v>172.9101</v>
      </c>
      <c r="L1018" s="14"/>
    </row>
    <row r="1019" spans="1:12" ht="15.75" x14ac:dyDescent="0.25">
      <c r="A1019" s="31">
        <v>71955</v>
      </c>
      <c r="B1019" s="14">
        <f>168.2644 * CHOOSE(CONTROL!$C$9, $D$9, 100%, $F$9) + CHOOSE(CONTROL!$C$27, 0.0021, 0)</f>
        <v>168.26650000000001</v>
      </c>
      <c r="C1019" s="14">
        <f>167.8322 * CHOOSE(CONTROL!$C$9, $D$9, 100%, $F$9) + CHOOSE(CONTROL!$C$27, 0.0021, 0)</f>
        <v>167.83430000000001</v>
      </c>
      <c r="D1019" s="14">
        <f>167.8322 * CHOOSE(CONTROL!$C$9, $D$9, 100%, $F$9) + CHOOSE(CONTROL!$C$27, 0.0021, 0)</f>
        <v>167.83430000000001</v>
      </c>
      <c r="E1019" s="14">
        <f>167.6955 * CHOOSE(CONTROL!$C$9, $D$9, 100%, $F$9) + CHOOSE(CONTROL!$C$27, 0.0021, 0)</f>
        <v>167.69760000000002</v>
      </c>
      <c r="F1019" s="14">
        <f>167.6955 * CHOOSE(CONTROL!$C$9, $D$9, 100%, $F$9) + CHOOSE(CONTROL!$C$27, 0.0021, 0)</f>
        <v>167.69760000000002</v>
      </c>
      <c r="G1019" s="14">
        <f>167.9669 * CHOOSE(CONTROL!$C$9, $D$9, 100%, $F$9) + CHOOSE(CONTROL!$C$27, 0.0021, 0)</f>
        <v>167.96900000000002</v>
      </c>
      <c r="H1019" s="14">
        <f>167.8322 * CHOOSE(CONTROL!$C$9, $D$9, 100%, $F$9) + CHOOSE(CONTROL!$C$27, 0.0021, 0)</f>
        <v>167.83430000000001</v>
      </c>
      <c r="I1019" s="14">
        <f>167.8322 * CHOOSE(CONTROL!$C$9, $D$9, 100%, $F$9) + CHOOSE(CONTROL!$C$27, 0.0021, 0)</f>
        <v>167.83430000000001</v>
      </c>
      <c r="J1019" s="14">
        <f>167.8322 * CHOOSE(CONTROL!$C$9, $D$9, 100%, $F$9) + CHOOSE(CONTROL!$C$27, 0.0021, 0)</f>
        <v>167.83430000000001</v>
      </c>
      <c r="K1019" s="14">
        <f>167.8322 * CHOOSE(CONTROL!$C$9, $D$9, 100%, $F$9) + CHOOSE(CONTROL!$C$27, 0.0021, 0)</f>
        <v>167.83430000000001</v>
      </c>
      <c r="L1019" s="14"/>
    </row>
    <row r="1020" spans="1:12" ht="15.75" x14ac:dyDescent="0.25">
      <c r="A1020" s="31">
        <v>71986</v>
      </c>
      <c r="B1020" s="14">
        <f>167.2762 * CHOOSE(CONTROL!$C$9, $D$9, 100%, $F$9) + CHOOSE(CONTROL!$C$27, 0.0021, 0)</f>
        <v>167.2783</v>
      </c>
      <c r="C1020" s="14">
        <f>166.8439 * CHOOSE(CONTROL!$C$9, $D$9, 100%, $F$9) + CHOOSE(CONTROL!$C$27, 0.0021, 0)</f>
        <v>166.846</v>
      </c>
      <c r="D1020" s="14">
        <f>166.8439 * CHOOSE(CONTROL!$C$9, $D$9, 100%, $F$9) + CHOOSE(CONTROL!$C$27, 0.0021, 0)</f>
        <v>166.846</v>
      </c>
      <c r="E1020" s="14">
        <f>166.7073 * CHOOSE(CONTROL!$C$9, $D$9, 100%, $F$9) + CHOOSE(CONTROL!$C$27, 0.0021, 0)</f>
        <v>166.70940000000002</v>
      </c>
      <c r="F1020" s="14">
        <f>166.7073 * CHOOSE(CONTROL!$C$9, $D$9, 100%, $F$9) + CHOOSE(CONTROL!$C$27, 0.0021, 0)</f>
        <v>166.70940000000002</v>
      </c>
      <c r="G1020" s="14">
        <f>166.9787 * CHOOSE(CONTROL!$C$9, $D$9, 100%, $F$9) + CHOOSE(CONTROL!$C$27, 0.0021, 0)</f>
        <v>166.98080000000002</v>
      </c>
      <c r="H1020" s="14">
        <f>166.8439 * CHOOSE(CONTROL!$C$9, $D$9, 100%, $F$9) + CHOOSE(CONTROL!$C$27, 0.0021, 0)</f>
        <v>166.846</v>
      </c>
      <c r="I1020" s="14">
        <f>166.8439 * CHOOSE(CONTROL!$C$9, $D$9, 100%, $F$9) + CHOOSE(CONTROL!$C$27, 0.0021, 0)</f>
        <v>166.846</v>
      </c>
      <c r="J1020" s="14">
        <f>166.8439 * CHOOSE(CONTROL!$C$9, $D$9, 100%, $F$9) + CHOOSE(CONTROL!$C$27, 0.0021, 0)</f>
        <v>166.846</v>
      </c>
      <c r="K1020" s="14">
        <f>166.8439 * CHOOSE(CONTROL!$C$9, $D$9, 100%, $F$9) + CHOOSE(CONTROL!$C$27, 0.0021, 0)</f>
        <v>166.846</v>
      </c>
      <c r="L1020" s="14"/>
    </row>
    <row r="1021" spans="1:12" ht="15.75" x14ac:dyDescent="0.25">
      <c r="A1021" s="31">
        <v>72014</v>
      </c>
      <c r="B1021" s="14">
        <f>166.8176 * CHOOSE(CONTROL!$C$9, $D$9, 100%, $F$9) + CHOOSE(CONTROL!$C$27, 0.0021, 0)</f>
        <v>166.81970000000001</v>
      </c>
      <c r="C1021" s="14">
        <f>166.3853 * CHOOSE(CONTROL!$C$9, $D$9, 100%, $F$9) + CHOOSE(CONTROL!$C$27, 0.0021, 0)</f>
        <v>166.38740000000001</v>
      </c>
      <c r="D1021" s="14">
        <f>166.3853 * CHOOSE(CONTROL!$C$9, $D$9, 100%, $F$9) + CHOOSE(CONTROL!$C$27, 0.0021, 0)</f>
        <v>166.38740000000001</v>
      </c>
      <c r="E1021" s="14">
        <f>166.2487 * CHOOSE(CONTROL!$C$9, $D$9, 100%, $F$9) + CHOOSE(CONTROL!$C$27, 0.0021, 0)</f>
        <v>166.25080000000003</v>
      </c>
      <c r="F1021" s="14">
        <f>166.2487 * CHOOSE(CONTROL!$C$9, $D$9, 100%, $F$9) + CHOOSE(CONTROL!$C$27, 0.0021, 0)</f>
        <v>166.25080000000003</v>
      </c>
      <c r="G1021" s="14">
        <f>166.5201 * CHOOSE(CONTROL!$C$9, $D$9, 100%, $F$9) + CHOOSE(CONTROL!$C$27, 0.0021, 0)</f>
        <v>166.52220000000003</v>
      </c>
      <c r="H1021" s="14">
        <f>166.3853 * CHOOSE(CONTROL!$C$9, $D$9, 100%, $F$9) + CHOOSE(CONTROL!$C$27, 0.0021, 0)</f>
        <v>166.38740000000001</v>
      </c>
      <c r="I1021" s="14">
        <f>166.3853 * CHOOSE(CONTROL!$C$9, $D$9, 100%, $F$9) + CHOOSE(CONTROL!$C$27, 0.0021, 0)</f>
        <v>166.38740000000001</v>
      </c>
      <c r="J1021" s="14">
        <f>166.3853 * CHOOSE(CONTROL!$C$9, $D$9, 100%, $F$9) + CHOOSE(CONTROL!$C$27, 0.0021, 0)</f>
        <v>166.38740000000001</v>
      </c>
      <c r="K1021" s="14">
        <f>166.3853 * CHOOSE(CONTROL!$C$9, $D$9, 100%, $F$9) + CHOOSE(CONTROL!$C$27, 0.0021, 0)</f>
        <v>166.38740000000001</v>
      </c>
      <c r="L1021" s="14"/>
    </row>
    <row r="1022" spans="1:12" ht="15.75" x14ac:dyDescent="0.25">
      <c r="A1022" s="31">
        <v>72045</v>
      </c>
      <c r="B1022" s="14">
        <f>175.489 * CHOOSE(CONTROL!$C$9, $D$9, 100%, $F$9) + CHOOSE(CONTROL!$C$27, 0.0021, 0)</f>
        <v>175.49110000000002</v>
      </c>
      <c r="C1022" s="14">
        <f>175.0568 * CHOOSE(CONTROL!$C$9, $D$9, 100%, $F$9) + CHOOSE(CONTROL!$C$27, 0.0021, 0)</f>
        <v>175.05890000000002</v>
      </c>
      <c r="D1022" s="14">
        <f>175.0568 * CHOOSE(CONTROL!$C$9, $D$9, 100%, $F$9) + CHOOSE(CONTROL!$C$27, 0.0021, 0)</f>
        <v>175.05890000000002</v>
      </c>
      <c r="E1022" s="14">
        <f>174.9201 * CHOOSE(CONTROL!$C$9, $D$9, 100%, $F$9) + CHOOSE(CONTROL!$C$27, 0.0021, 0)</f>
        <v>174.9222</v>
      </c>
      <c r="F1022" s="14">
        <f>174.9201 * CHOOSE(CONTROL!$C$9, $D$9, 100%, $F$9) + CHOOSE(CONTROL!$C$27, 0.0021, 0)</f>
        <v>174.9222</v>
      </c>
      <c r="G1022" s="14">
        <f>175.1915 * CHOOSE(CONTROL!$C$9, $D$9, 100%, $F$9) + CHOOSE(CONTROL!$C$27, 0.0021, 0)</f>
        <v>175.1936</v>
      </c>
      <c r="H1022" s="14">
        <f>175.0568 * CHOOSE(CONTROL!$C$9, $D$9, 100%, $F$9) + CHOOSE(CONTROL!$C$27, 0.0021, 0)</f>
        <v>175.05890000000002</v>
      </c>
      <c r="I1022" s="14">
        <f>175.0568 * CHOOSE(CONTROL!$C$9, $D$9, 100%, $F$9) + CHOOSE(CONTROL!$C$27, 0.0021, 0)</f>
        <v>175.05890000000002</v>
      </c>
      <c r="J1022" s="14">
        <f>175.0568 * CHOOSE(CONTROL!$C$9, $D$9, 100%, $F$9) + CHOOSE(CONTROL!$C$27, 0.0021, 0)</f>
        <v>175.05890000000002</v>
      </c>
      <c r="K1022" s="14">
        <f>175.0568 * CHOOSE(CONTROL!$C$9, $D$9, 100%, $F$9) + CHOOSE(CONTROL!$C$27, 0.0021, 0)</f>
        <v>175.05890000000002</v>
      </c>
      <c r="L1022" s="14"/>
    </row>
    <row r="1023" spans="1:12" ht="15.75" x14ac:dyDescent="0.25">
      <c r="A1023" s="31">
        <v>72075</v>
      </c>
      <c r="B1023" s="14">
        <f>186.7338 * CHOOSE(CONTROL!$C$9, $D$9, 100%, $F$9) + CHOOSE(CONTROL!$C$27, 0.0021, 0)</f>
        <v>186.73590000000002</v>
      </c>
      <c r="C1023" s="14">
        <f>186.3016 * CHOOSE(CONTROL!$C$9, $D$9, 100%, $F$9) + CHOOSE(CONTROL!$C$27, 0.0021, 0)</f>
        <v>186.30370000000002</v>
      </c>
      <c r="D1023" s="14">
        <f>186.3016 * CHOOSE(CONTROL!$C$9, $D$9, 100%, $F$9) + CHOOSE(CONTROL!$C$27, 0.0021, 0)</f>
        <v>186.30370000000002</v>
      </c>
      <c r="E1023" s="14">
        <f>186.1649 * CHOOSE(CONTROL!$C$9, $D$9, 100%, $F$9) + CHOOSE(CONTROL!$C$27, 0.0021, 0)</f>
        <v>186.167</v>
      </c>
      <c r="F1023" s="14">
        <f>186.1649 * CHOOSE(CONTROL!$C$9, $D$9, 100%, $F$9) + CHOOSE(CONTROL!$C$27, 0.0021, 0)</f>
        <v>186.167</v>
      </c>
      <c r="G1023" s="14">
        <f>186.4363 * CHOOSE(CONTROL!$C$9, $D$9, 100%, $F$9) + CHOOSE(CONTROL!$C$27, 0.0021, 0)</f>
        <v>186.4384</v>
      </c>
      <c r="H1023" s="14">
        <f>186.3016 * CHOOSE(CONTROL!$C$9, $D$9, 100%, $F$9) + CHOOSE(CONTROL!$C$27, 0.0021, 0)</f>
        <v>186.30370000000002</v>
      </c>
      <c r="I1023" s="14">
        <f>186.3016 * CHOOSE(CONTROL!$C$9, $D$9, 100%, $F$9) + CHOOSE(CONTROL!$C$27, 0.0021, 0)</f>
        <v>186.30370000000002</v>
      </c>
      <c r="J1023" s="14">
        <f>186.3016 * CHOOSE(CONTROL!$C$9, $D$9, 100%, $F$9) + CHOOSE(CONTROL!$C$27, 0.0021, 0)</f>
        <v>186.30370000000002</v>
      </c>
      <c r="K1023" s="14">
        <f>186.3016 * CHOOSE(CONTROL!$C$9, $D$9, 100%, $F$9) + CHOOSE(CONTROL!$C$27, 0.0021, 0)</f>
        <v>186.30370000000002</v>
      </c>
      <c r="L1023" s="14"/>
    </row>
    <row r="1024" spans="1:12" ht="15.75" x14ac:dyDescent="0.25">
      <c r="A1024" s="31">
        <v>72106</v>
      </c>
      <c r="B1024" s="14">
        <f>192.9233 * CHOOSE(CONTROL!$C$9, $D$9, 100%, $F$9) + CHOOSE(CONTROL!$C$27, 0.0021, 0)</f>
        <v>192.92540000000002</v>
      </c>
      <c r="C1024" s="14">
        <f>192.491 * CHOOSE(CONTROL!$C$9, $D$9, 100%, $F$9) + CHOOSE(CONTROL!$C$27, 0.0021, 0)</f>
        <v>192.49310000000003</v>
      </c>
      <c r="D1024" s="14">
        <f>192.491 * CHOOSE(CONTROL!$C$9, $D$9, 100%, $F$9) + CHOOSE(CONTROL!$C$27, 0.0021, 0)</f>
        <v>192.49310000000003</v>
      </c>
      <c r="E1024" s="14">
        <f>192.3544 * CHOOSE(CONTROL!$C$9, $D$9, 100%, $F$9) + CHOOSE(CONTROL!$C$27, 0.0021, 0)</f>
        <v>192.35650000000001</v>
      </c>
      <c r="F1024" s="14">
        <f>192.3544 * CHOOSE(CONTROL!$C$9, $D$9, 100%, $F$9) + CHOOSE(CONTROL!$C$27, 0.0021, 0)</f>
        <v>192.35650000000001</v>
      </c>
      <c r="G1024" s="14">
        <f>192.6258 * CHOOSE(CONTROL!$C$9, $D$9, 100%, $F$9) + CHOOSE(CONTROL!$C$27, 0.0021, 0)</f>
        <v>192.62790000000001</v>
      </c>
      <c r="H1024" s="14">
        <f>192.491 * CHOOSE(CONTROL!$C$9, $D$9, 100%, $F$9) + CHOOSE(CONTROL!$C$27, 0.0021, 0)</f>
        <v>192.49310000000003</v>
      </c>
      <c r="I1024" s="14">
        <f>192.491 * CHOOSE(CONTROL!$C$9, $D$9, 100%, $F$9) + CHOOSE(CONTROL!$C$27, 0.0021, 0)</f>
        <v>192.49310000000003</v>
      </c>
      <c r="J1024" s="14">
        <f>192.491 * CHOOSE(CONTROL!$C$9, $D$9, 100%, $F$9) + CHOOSE(CONTROL!$C$27, 0.0021, 0)</f>
        <v>192.49310000000003</v>
      </c>
      <c r="K1024" s="14">
        <f>192.491 * CHOOSE(CONTROL!$C$9, $D$9, 100%, $F$9) + CHOOSE(CONTROL!$C$27, 0.0021, 0)</f>
        <v>192.49310000000003</v>
      </c>
      <c r="L1024" s="14"/>
    </row>
    <row r="1025" spans="1:12" ht="15.75" x14ac:dyDescent="0.25">
      <c r="A1025" s="31">
        <v>72136</v>
      </c>
      <c r="B1025" s="14">
        <f>195.6701 * CHOOSE(CONTROL!$C$9, $D$9, 100%, $F$9) + CHOOSE(CONTROL!$C$27, 0.0021, 0)</f>
        <v>195.6722</v>
      </c>
      <c r="C1025" s="14">
        <f>195.2378 * CHOOSE(CONTROL!$C$9, $D$9, 100%, $F$9) + CHOOSE(CONTROL!$C$27, 0.0021, 0)</f>
        <v>195.23990000000001</v>
      </c>
      <c r="D1025" s="14">
        <f>195.2378 * CHOOSE(CONTROL!$C$9, $D$9, 100%, $F$9) + CHOOSE(CONTROL!$C$27, 0.0021, 0)</f>
        <v>195.23990000000001</v>
      </c>
      <c r="E1025" s="14">
        <f>195.1012 * CHOOSE(CONTROL!$C$9, $D$9, 100%, $F$9) + CHOOSE(CONTROL!$C$27, 0.0021, 0)</f>
        <v>195.10330000000002</v>
      </c>
      <c r="F1025" s="14">
        <f>195.1012 * CHOOSE(CONTROL!$C$9, $D$9, 100%, $F$9) + CHOOSE(CONTROL!$C$27, 0.0021, 0)</f>
        <v>195.10330000000002</v>
      </c>
      <c r="G1025" s="14">
        <f>195.3725 * CHOOSE(CONTROL!$C$9, $D$9, 100%, $F$9) + CHOOSE(CONTROL!$C$27, 0.0021, 0)</f>
        <v>195.37460000000002</v>
      </c>
      <c r="H1025" s="14">
        <f>195.2378 * CHOOSE(CONTROL!$C$9, $D$9, 100%, $F$9) + CHOOSE(CONTROL!$C$27, 0.0021, 0)</f>
        <v>195.23990000000001</v>
      </c>
      <c r="I1025" s="14">
        <f>195.2378 * CHOOSE(CONTROL!$C$9, $D$9, 100%, $F$9) + CHOOSE(CONTROL!$C$27, 0.0021, 0)</f>
        <v>195.23990000000001</v>
      </c>
      <c r="J1025" s="14">
        <f>195.2378 * CHOOSE(CONTROL!$C$9, $D$9, 100%, $F$9) + CHOOSE(CONTROL!$C$27, 0.0021, 0)</f>
        <v>195.23990000000001</v>
      </c>
      <c r="K1025" s="14">
        <f>195.2378 * CHOOSE(CONTROL!$C$9, $D$9, 100%, $F$9) + CHOOSE(CONTROL!$C$27, 0.0021, 0)</f>
        <v>195.23990000000001</v>
      </c>
      <c r="L1025" s="14"/>
    </row>
    <row r="1026" spans="1:12" ht="15.75" x14ac:dyDescent="0.25">
      <c r="A1026" s="31">
        <v>72167</v>
      </c>
      <c r="B1026" s="14">
        <f>194.7657 * CHOOSE(CONTROL!$C$9, $D$9, 100%, $F$9) + CHOOSE(CONTROL!$C$27, 0.0021, 0)</f>
        <v>194.76780000000002</v>
      </c>
      <c r="C1026" s="14">
        <f>194.3335 * CHOOSE(CONTROL!$C$9, $D$9, 100%, $F$9) + CHOOSE(CONTROL!$C$27, 0.0021, 0)</f>
        <v>194.3356</v>
      </c>
      <c r="D1026" s="14">
        <f>194.3335 * CHOOSE(CONTROL!$C$9, $D$9, 100%, $F$9) + CHOOSE(CONTROL!$C$27, 0.0021, 0)</f>
        <v>194.3356</v>
      </c>
      <c r="E1026" s="14">
        <f>194.1968 * CHOOSE(CONTROL!$C$9, $D$9, 100%, $F$9) + CHOOSE(CONTROL!$C$27, 0.0021, 0)</f>
        <v>194.19890000000001</v>
      </c>
      <c r="F1026" s="14">
        <f>194.1968 * CHOOSE(CONTROL!$C$9, $D$9, 100%, $F$9) + CHOOSE(CONTROL!$C$27, 0.0021, 0)</f>
        <v>194.19890000000001</v>
      </c>
      <c r="G1026" s="14">
        <f>194.4682 * CHOOSE(CONTROL!$C$9, $D$9, 100%, $F$9) + CHOOSE(CONTROL!$C$27, 0.0021, 0)</f>
        <v>194.47030000000001</v>
      </c>
      <c r="H1026" s="14">
        <f>194.3335 * CHOOSE(CONTROL!$C$9, $D$9, 100%, $F$9) + CHOOSE(CONTROL!$C$27, 0.0021, 0)</f>
        <v>194.3356</v>
      </c>
      <c r="I1026" s="14">
        <f>194.3335 * CHOOSE(CONTROL!$C$9, $D$9, 100%, $F$9) + CHOOSE(CONTROL!$C$27, 0.0021, 0)</f>
        <v>194.3356</v>
      </c>
      <c r="J1026" s="14">
        <f>194.3335 * CHOOSE(CONTROL!$C$9, $D$9, 100%, $F$9) + CHOOSE(CONTROL!$C$27, 0.0021, 0)</f>
        <v>194.3356</v>
      </c>
      <c r="K1026" s="14">
        <f>194.3335 * CHOOSE(CONTROL!$C$9, $D$9, 100%, $F$9) + CHOOSE(CONTROL!$C$27, 0.0021, 0)</f>
        <v>194.3356</v>
      </c>
      <c r="L1026" s="14"/>
    </row>
    <row r="1027" spans="1:12" ht="15.75" x14ac:dyDescent="0.25">
      <c r="A1027" s="31">
        <v>72198</v>
      </c>
      <c r="B1027" s="14">
        <f>190.285 * CHOOSE(CONTROL!$C$9, $D$9, 100%, $F$9) + CHOOSE(CONTROL!$C$27, 0.0021, 0)</f>
        <v>190.28710000000001</v>
      </c>
      <c r="C1027" s="14">
        <f>189.8528 * CHOOSE(CONTROL!$C$9, $D$9, 100%, $F$9) + CHOOSE(CONTROL!$C$27, 0.0021, 0)</f>
        <v>189.85490000000001</v>
      </c>
      <c r="D1027" s="14">
        <f>189.8528 * CHOOSE(CONTROL!$C$9, $D$9, 100%, $F$9) + CHOOSE(CONTROL!$C$27, 0.0021, 0)</f>
        <v>189.85490000000001</v>
      </c>
      <c r="E1027" s="14">
        <f>189.7161 * CHOOSE(CONTROL!$C$9, $D$9, 100%, $F$9) + CHOOSE(CONTROL!$C$27, 0.0021, 0)</f>
        <v>189.71820000000002</v>
      </c>
      <c r="F1027" s="14">
        <f>189.7161 * CHOOSE(CONTROL!$C$9, $D$9, 100%, $F$9) + CHOOSE(CONTROL!$C$27, 0.0021, 0)</f>
        <v>189.71820000000002</v>
      </c>
      <c r="G1027" s="14">
        <f>189.9875 * CHOOSE(CONTROL!$C$9, $D$9, 100%, $F$9) + CHOOSE(CONTROL!$C$27, 0.0021, 0)</f>
        <v>189.98960000000002</v>
      </c>
      <c r="H1027" s="14">
        <f>189.8528 * CHOOSE(CONTROL!$C$9, $D$9, 100%, $F$9) + CHOOSE(CONTROL!$C$27, 0.0021, 0)</f>
        <v>189.85490000000001</v>
      </c>
      <c r="I1027" s="14">
        <f>189.8528 * CHOOSE(CONTROL!$C$9, $D$9, 100%, $F$9) + CHOOSE(CONTROL!$C$27, 0.0021, 0)</f>
        <v>189.85490000000001</v>
      </c>
      <c r="J1027" s="14">
        <f>189.8528 * CHOOSE(CONTROL!$C$9, $D$9, 100%, $F$9) + CHOOSE(CONTROL!$C$27, 0.0021, 0)</f>
        <v>189.85490000000001</v>
      </c>
      <c r="K1027" s="14">
        <f>189.8528 * CHOOSE(CONTROL!$C$9, $D$9, 100%, $F$9) + CHOOSE(CONTROL!$C$27, 0.0021, 0)</f>
        <v>189.85490000000001</v>
      </c>
      <c r="L1027" s="14"/>
    </row>
    <row r="1028" spans="1:12" ht="15.75" x14ac:dyDescent="0.25">
      <c r="A1028" s="31">
        <v>72228</v>
      </c>
      <c r="B1028" s="14">
        <f>184.0365 * CHOOSE(CONTROL!$C$9, $D$9, 100%, $F$9) + CHOOSE(CONTROL!$C$27, 0.0021, 0)</f>
        <v>184.0386</v>
      </c>
      <c r="C1028" s="14">
        <f>183.6042 * CHOOSE(CONTROL!$C$9, $D$9, 100%, $F$9) + CHOOSE(CONTROL!$C$27, 0.0021, 0)</f>
        <v>183.6063</v>
      </c>
      <c r="D1028" s="14">
        <f>183.6042 * CHOOSE(CONTROL!$C$9, $D$9, 100%, $F$9) + CHOOSE(CONTROL!$C$27, 0.0021, 0)</f>
        <v>183.6063</v>
      </c>
      <c r="E1028" s="14">
        <f>183.4675 * CHOOSE(CONTROL!$C$9, $D$9, 100%, $F$9) + CHOOSE(CONTROL!$C$27, 0.0021, 0)</f>
        <v>183.46960000000001</v>
      </c>
      <c r="F1028" s="14">
        <f>183.4675 * CHOOSE(CONTROL!$C$9, $D$9, 100%, $F$9) + CHOOSE(CONTROL!$C$27, 0.0021, 0)</f>
        <v>183.46960000000001</v>
      </c>
      <c r="G1028" s="14">
        <f>183.7389 * CHOOSE(CONTROL!$C$9, $D$9, 100%, $F$9) + CHOOSE(CONTROL!$C$27, 0.0021, 0)</f>
        <v>183.74100000000001</v>
      </c>
      <c r="H1028" s="14">
        <f>183.6042 * CHOOSE(CONTROL!$C$9, $D$9, 100%, $F$9) + CHOOSE(CONTROL!$C$27, 0.0021, 0)</f>
        <v>183.6063</v>
      </c>
      <c r="I1028" s="14">
        <f>183.6042 * CHOOSE(CONTROL!$C$9, $D$9, 100%, $F$9) + CHOOSE(CONTROL!$C$27, 0.0021, 0)</f>
        <v>183.6063</v>
      </c>
      <c r="J1028" s="14">
        <f>183.6042 * CHOOSE(CONTROL!$C$9, $D$9, 100%, $F$9) + CHOOSE(CONTROL!$C$27, 0.0021, 0)</f>
        <v>183.6063</v>
      </c>
      <c r="K1028" s="14">
        <f>183.6042 * CHOOSE(CONTROL!$C$9, $D$9, 100%, $F$9) + CHOOSE(CONTROL!$C$27, 0.0021, 0)</f>
        <v>183.6063</v>
      </c>
      <c r="L1028" s="14"/>
    </row>
    <row r="1029" spans="1:12" ht="15.75" x14ac:dyDescent="0.25">
      <c r="A1029" s="31">
        <v>72259</v>
      </c>
      <c r="B1029" s="14">
        <f>177.7516 * CHOOSE(CONTROL!$C$9, $D$9, 100%, $F$9) + CHOOSE(CONTROL!$C$27, 0.0021, 0)</f>
        <v>177.75370000000001</v>
      </c>
      <c r="C1029" s="14">
        <f>177.3193 * CHOOSE(CONTROL!$C$9, $D$9, 100%, $F$9) + CHOOSE(CONTROL!$C$27, 0.0021, 0)</f>
        <v>177.32140000000001</v>
      </c>
      <c r="D1029" s="14">
        <f>177.3193 * CHOOSE(CONTROL!$C$9, $D$9, 100%, $F$9) + CHOOSE(CONTROL!$C$27, 0.0021, 0)</f>
        <v>177.32140000000001</v>
      </c>
      <c r="E1029" s="14">
        <f>177.1827 * CHOOSE(CONTROL!$C$9, $D$9, 100%, $F$9) + CHOOSE(CONTROL!$C$27, 0.0021, 0)</f>
        <v>177.18480000000002</v>
      </c>
      <c r="F1029" s="14">
        <f>177.1827 * CHOOSE(CONTROL!$C$9, $D$9, 100%, $F$9) + CHOOSE(CONTROL!$C$27, 0.0021, 0)</f>
        <v>177.18480000000002</v>
      </c>
      <c r="G1029" s="14">
        <f>177.454 * CHOOSE(CONTROL!$C$9, $D$9, 100%, $F$9) + CHOOSE(CONTROL!$C$27, 0.0021, 0)</f>
        <v>177.45610000000002</v>
      </c>
      <c r="H1029" s="14">
        <f>177.3193 * CHOOSE(CONTROL!$C$9, $D$9, 100%, $F$9) + CHOOSE(CONTROL!$C$27, 0.0021, 0)</f>
        <v>177.32140000000001</v>
      </c>
      <c r="I1029" s="14">
        <f>177.3193 * CHOOSE(CONTROL!$C$9, $D$9, 100%, $F$9) + CHOOSE(CONTROL!$C$27, 0.0021, 0)</f>
        <v>177.32140000000001</v>
      </c>
      <c r="J1029" s="14">
        <f>177.3193 * CHOOSE(CONTROL!$C$9, $D$9, 100%, $F$9) + CHOOSE(CONTROL!$C$27, 0.0021, 0)</f>
        <v>177.32140000000001</v>
      </c>
      <c r="K1029" s="14">
        <f>177.3193 * CHOOSE(CONTROL!$C$9, $D$9, 100%, $F$9) + CHOOSE(CONTROL!$C$27, 0.0021, 0)</f>
        <v>177.32140000000001</v>
      </c>
      <c r="L1029" s="14"/>
    </row>
    <row r="1030" spans="1:12" ht="15.75" x14ac:dyDescent="0.25">
      <c r="A1030" s="31">
        <v>72289</v>
      </c>
      <c r="B1030" s="14">
        <f>176.5014 * CHOOSE(CONTROL!$C$9, $D$9, 100%, $F$9) + CHOOSE(CONTROL!$C$27, 0.0021, 0)</f>
        <v>176.5035</v>
      </c>
      <c r="C1030" s="14">
        <f>176.0691 * CHOOSE(CONTROL!$C$9, $D$9, 100%, $F$9) + CHOOSE(CONTROL!$C$27, 0.0021, 0)</f>
        <v>176.0712</v>
      </c>
      <c r="D1030" s="14">
        <f>176.0691 * CHOOSE(CONTROL!$C$9, $D$9, 100%, $F$9) + CHOOSE(CONTROL!$C$27, 0.0021, 0)</f>
        <v>176.0712</v>
      </c>
      <c r="E1030" s="14">
        <f>175.9325 * CHOOSE(CONTROL!$C$9, $D$9, 100%, $F$9) + CHOOSE(CONTROL!$C$27, 0.0021, 0)</f>
        <v>175.93460000000002</v>
      </c>
      <c r="F1030" s="14">
        <f>175.9325 * CHOOSE(CONTROL!$C$9, $D$9, 100%, $F$9) + CHOOSE(CONTROL!$C$27, 0.0021, 0)</f>
        <v>175.93460000000002</v>
      </c>
      <c r="G1030" s="14">
        <f>176.2038 * CHOOSE(CONTROL!$C$9, $D$9, 100%, $F$9) + CHOOSE(CONTROL!$C$27, 0.0021, 0)</f>
        <v>176.20590000000001</v>
      </c>
      <c r="H1030" s="14">
        <f>176.0691 * CHOOSE(CONTROL!$C$9, $D$9, 100%, $F$9) + CHOOSE(CONTROL!$C$27, 0.0021, 0)</f>
        <v>176.0712</v>
      </c>
      <c r="I1030" s="14">
        <f>176.0691 * CHOOSE(CONTROL!$C$9, $D$9, 100%, $F$9) + CHOOSE(CONTROL!$C$27, 0.0021, 0)</f>
        <v>176.0712</v>
      </c>
      <c r="J1030" s="14">
        <f>176.0691 * CHOOSE(CONTROL!$C$9, $D$9, 100%, $F$9) + CHOOSE(CONTROL!$C$27, 0.0021, 0)</f>
        <v>176.0712</v>
      </c>
      <c r="K1030" s="14">
        <f>176.0691 * CHOOSE(CONTROL!$C$9, $D$9, 100%, $F$9) + CHOOSE(CONTROL!$C$27, 0.0021, 0)</f>
        <v>176.0712</v>
      </c>
      <c r="L1030" s="14"/>
    </row>
    <row r="1031" spans="1:12" ht="15.75" x14ac:dyDescent="0.25">
      <c r="A1031" s="31">
        <v>72320</v>
      </c>
      <c r="B1031" s="14">
        <f>171.3317 * CHOOSE(CONTROL!$C$9, $D$9, 100%, $F$9) + CHOOSE(CONTROL!$C$27, 0.0021, 0)</f>
        <v>171.33380000000002</v>
      </c>
      <c r="C1031" s="14">
        <f>170.8995 * CHOOSE(CONTROL!$C$9, $D$9, 100%, $F$9) + CHOOSE(CONTROL!$C$27, 0.0021, 0)</f>
        <v>170.9016</v>
      </c>
      <c r="D1031" s="14">
        <f>170.8995 * CHOOSE(CONTROL!$C$9, $D$9, 100%, $F$9) + CHOOSE(CONTROL!$C$27, 0.0021, 0)</f>
        <v>170.9016</v>
      </c>
      <c r="E1031" s="14">
        <f>170.7628 * CHOOSE(CONTROL!$C$9, $D$9, 100%, $F$9) + CHOOSE(CONTROL!$C$27, 0.0021, 0)</f>
        <v>170.76490000000001</v>
      </c>
      <c r="F1031" s="14">
        <f>170.7628 * CHOOSE(CONTROL!$C$9, $D$9, 100%, $F$9) + CHOOSE(CONTROL!$C$27, 0.0021, 0)</f>
        <v>170.76490000000001</v>
      </c>
      <c r="G1031" s="14">
        <f>171.0342 * CHOOSE(CONTROL!$C$9, $D$9, 100%, $F$9) + CHOOSE(CONTROL!$C$27, 0.0021, 0)</f>
        <v>171.03630000000001</v>
      </c>
      <c r="H1031" s="14">
        <f>170.8995 * CHOOSE(CONTROL!$C$9, $D$9, 100%, $F$9) + CHOOSE(CONTROL!$C$27, 0.0021, 0)</f>
        <v>170.9016</v>
      </c>
      <c r="I1031" s="14">
        <f>170.8995 * CHOOSE(CONTROL!$C$9, $D$9, 100%, $F$9) + CHOOSE(CONTROL!$C$27, 0.0021, 0)</f>
        <v>170.9016</v>
      </c>
      <c r="J1031" s="14">
        <f>170.8995 * CHOOSE(CONTROL!$C$9, $D$9, 100%, $F$9) + CHOOSE(CONTROL!$C$27, 0.0021, 0)</f>
        <v>170.9016</v>
      </c>
      <c r="K1031" s="14">
        <f>170.8995 * CHOOSE(CONTROL!$C$9, $D$9, 100%, $F$9) + CHOOSE(CONTROL!$C$27, 0.0021, 0)</f>
        <v>170.9016</v>
      </c>
      <c r="L1031" s="14"/>
    </row>
    <row r="1032" spans="1:12" ht="15.75" x14ac:dyDescent="0.25">
      <c r="A1032" s="31">
        <v>72351</v>
      </c>
      <c r="B1032" s="14">
        <f>170.3252 * CHOOSE(CONTROL!$C$9, $D$9, 100%, $F$9) + CHOOSE(CONTROL!$C$27, 0.0021, 0)</f>
        <v>170.32730000000001</v>
      </c>
      <c r="C1032" s="14">
        <f>169.893 * CHOOSE(CONTROL!$C$9, $D$9, 100%, $F$9) + CHOOSE(CONTROL!$C$27, 0.0021, 0)</f>
        <v>169.89510000000001</v>
      </c>
      <c r="D1032" s="14">
        <f>169.893 * CHOOSE(CONTROL!$C$9, $D$9, 100%, $F$9) + CHOOSE(CONTROL!$C$27, 0.0021, 0)</f>
        <v>169.89510000000001</v>
      </c>
      <c r="E1032" s="14">
        <f>169.7563 * CHOOSE(CONTROL!$C$9, $D$9, 100%, $F$9) + CHOOSE(CONTROL!$C$27, 0.0021, 0)</f>
        <v>169.75840000000002</v>
      </c>
      <c r="F1032" s="14">
        <f>169.7563 * CHOOSE(CONTROL!$C$9, $D$9, 100%, $F$9) + CHOOSE(CONTROL!$C$27, 0.0021, 0)</f>
        <v>169.75840000000002</v>
      </c>
      <c r="G1032" s="14">
        <f>170.0277 * CHOOSE(CONTROL!$C$9, $D$9, 100%, $F$9) + CHOOSE(CONTROL!$C$27, 0.0021, 0)</f>
        <v>170.02980000000002</v>
      </c>
      <c r="H1032" s="14">
        <f>169.893 * CHOOSE(CONTROL!$C$9, $D$9, 100%, $F$9) + CHOOSE(CONTROL!$C$27, 0.0021, 0)</f>
        <v>169.89510000000001</v>
      </c>
      <c r="I1032" s="14">
        <f>169.893 * CHOOSE(CONTROL!$C$9, $D$9, 100%, $F$9) + CHOOSE(CONTROL!$C$27, 0.0021, 0)</f>
        <v>169.89510000000001</v>
      </c>
      <c r="J1032" s="14">
        <f>169.893 * CHOOSE(CONTROL!$C$9, $D$9, 100%, $F$9) + CHOOSE(CONTROL!$C$27, 0.0021, 0)</f>
        <v>169.89510000000001</v>
      </c>
      <c r="K1032" s="14">
        <f>169.893 * CHOOSE(CONTROL!$C$9, $D$9, 100%, $F$9) + CHOOSE(CONTROL!$C$27, 0.0021, 0)</f>
        <v>169.89510000000001</v>
      </c>
      <c r="L1032" s="14"/>
    </row>
    <row r="1033" spans="1:12" ht="15.75" x14ac:dyDescent="0.25">
      <c r="A1033" s="31">
        <v>72379</v>
      </c>
      <c r="B1033" s="14">
        <f>169.8581 * CHOOSE(CONTROL!$C$9, $D$9, 100%, $F$9) + CHOOSE(CONTROL!$C$27, 0.0021, 0)</f>
        <v>169.86020000000002</v>
      </c>
      <c r="C1033" s="14">
        <f>169.4259 * CHOOSE(CONTROL!$C$9, $D$9, 100%, $F$9) + CHOOSE(CONTROL!$C$27, 0.0021, 0)</f>
        <v>169.42800000000003</v>
      </c>
      <c r="D1033" s="14">
        <f>169.4259 * CHOOSE(CONTROL!$C$9, $D$9, 100%, $F$9) + CHOOSE(CONTROL!$C$27, 0.0021, 0)</f>
        <v>169.42800000000003</v>
      </c>
      <c r="E1033" s="14">
        <f>169.2892 * CHOOSE(CONTROL!$C$9, $D$9, 100%, $F$9) + CHOOSE(CONTROL!$C$27, 0.0021, 0)</f>
        <v>169.29130000000001</v>
      </c>
      <c r="F1033" s="14">
        <f>169.2892 * CHOOSE(CONTROL!$C$9, $D$9, 100%, $F$9) + CHOOSE(CONTROL!$C$27, 0.0021, 0)</f>
        <v>169.29130000000001</v>
      </c>
      <c r="G1033" s="14">
        <f>169.5606 * CHOOSE(CONTROL!$C$9, $D$9, 100%, $F$9) + CHOOSE(CONTROL!$C$27, 0.0021, 0)</f>
        <v>169.56270000000001</v>
      </c>
      <c r="H1033" s="14">
        <f>169.4259 * CHOOSE(CONTROL!$C$9, $D$9, 100%, $F$9) + CHOOSE(CONTROL!$C$27, 0.0021, 0)</f>
        <v>169.42800000000003</v>
      </c>
      <c r="I1033" s="14">
        <f>169.4259 * CHOOSE(CONTROL!$C$9, $D$9, 100%, $F$9) + CHOOSE(CONTROL!$C$27, 0.0021, 0)</f>
        <v>169.42800000000003</v>
      </c>
      <c r="J1033" s="14">
        <f>169.4259 * CHOOSE(CONTROL!$C$9, $D$9, 100%, $F$9) + CHOOSE(CONTROL!$C$27, 0.0021, 0)</f>
        <v>169.42800000000003</v>
      </c>
      <c r="K1033" s="14">
        <f>169.4259 * CHOOSE(CONTROL!$C$9, $D$9, 100%, $F$9) + CHOOSE(CONTROL!$C$27, 0.0021, 0)</f>
        <v>169.42800000000003</v>
      </c>
      <c r="L1033" s="14"/>
    </row>
    <row r="1034" spans="1:12" ht="15.75" x14ac:dyDescent="0.25">
      <c r="A1034" s="31">
        <v>72410</v>
      </c>
      <c r="B1034" s="14">
        <f>178.6898 * CHOOSE(CONTROL!$C$9, $D$9, 100%, $F$9) + CHOOSE(CONTROL!$C$27, 0.0021, 0)</f>
        <v>178.6919</v>
      </c>
      <c r="C1034" s="14">
        <f>178.2576 * CHOOSE(CONTROL!$C$9, $D$9, 100%, $F$9) + CHOOSE(CONTROL!$C$27, 0.0021, 0)</f>
        <v>178.25970000000001</v>
      </c>
      <c r="D1034" s="14">
        <f>178.2576 * CHOOSE(CONTROL!$C$9, $D$9, 100%, $F$9) + CHOOSE(CONTROL!$C$27, 0.0021, 0)</f>
        <v>178.25970000000001</v>
      </c>
      <c r="E1034" s="14">
        <f>178.1209 * CHOOSE(CONTROL!$C$9, $D$9, 100%, $F$9) + CHOOSE(CONTROL!$C$27, 0.0021, 0)</f>
        <v>178.12300000000002</v>
      </c>
      <c r="F1034" s="14">
        <f>178.1209 * CHOOSE(CONTROL!$C$9, $D$9, 100%, $F$9) + CHOOSE(CONTROL!$C$27, 0.0021, 0)</f>
        <v>178.12300000000002</v>
      </c>
      <c r="G1034" s="14">
        <f>178.3923 * CHOOSE(CONTROL!$C$9, $D$9, 100%, $F$9) + CHOOSE(CONTROL!$C$27, 0.0021, 0)</f>
        <v>178.39440000000002</v>
      </c>
      <c r="H1034" s="14">
        <f>178.2576 * CHOOSE(CONTROL!$C$9, $D$9, 100%, $F$9) + CHOOSE(CONTROL!$C$27, 0.0021, 0)</f>
        <v>178.25970000000001</v>
      </c>
      <c r="I1034" s="14">
        <f>178.2576 * CHOOSE(CONTROL!$C$9, $D$9, 100%, $F$9) + CHOOSE(CONTROL!$C$27, 0.0021, 0)</f>
        <v>178.25970000000001</v>
      </c>
      <c r="J1034" s="14">
        <f>178.2576 * CHOOSE(CONTROL!$C$9, $D$9, 100%, $F$9) + CHOOSE(CONTROL!$C$27, 0.0021, 0)</f>
        <v>178.25970000000001</v>
      </c>
      <c r="K1034" s="14">
        <f>178.2576 * CHOOSE(CONTROL!$C$9, $D$9, 100%, $F$9) + CHOOSE(CONTROL!$C$27, 0.0021, 0)</f>
        <v>178.25970000000001</v>
      </c>
      <c r="L1034" s="14"/>
    </row>
    <row r="1035" spans="1:12" ht="15.75" x14ac:dyDescent="0.25">
      <c r="A1035" s="31">
        <v>72440</v>
      </c>
      <c r="B1035" s="14">
        <f>190.1424 * CHOOSE(CONTROL!$C$9, $D$9, 100%, $F$9) + CHOOSE(CONTROL!$C$27, 0.0021, 0)</f>
        <v>190.14450000000002</v>
      </c>
      <c r="C1035" s="14">
        <f>189.7102 * CHOOSE(CONTROL!$C$9, $D$9, 100%, $F$9) + CHOOSE(CONTROL!$C$27, 0.0021, 0)</f>
        <v>189.7123</v>
      </c>
      <c r="D1035" s="14">
        <f>189.7102 * CHOOSE(CONTROL!$C$9, $D$9, 100%, $F$9) + CHOOSE(CONTROL!$C$27, 0.0021, 0)</f>
        <v>189.7123</v>
      </c>
      <c r="E1035" s="14">
        <f>189.5735 * CHOOSE(CONTROL!$C$9, $D$9, 100%, $F$9) + CHOOSE(CONTROL!$C$27, 0.0021, 0)</f>
        <v>189.57560000000001</v>
      </c>
      <c r="F1035" s="14">
        <f>189.5735 * CHOOSE(CONTROL!$C$9, $D$9, 100%, $F$9) + CHOOSE(CONTROL!$C$27, 0.0021, 0)</f>
        <v>189.57560000000001</v>
      </c>
      <c r="G1035" s="14">
        <f>189.8449 * CHOOSE(CONTROL!$C$9, $D$9, 100%, $F$9) + CHOOSE(CONTROL!$C$27, 0.0021, 0)</f>
        <v>189.84700000000001</v>
      </c>
      <c r="H1035" s="14">
        <f>189.7102 * CHOOSE(CONTROL!$C$9, $D$9, 100%, $F$9) + CHOOSE(CONTROL!$C$27, 0.0021, 0)</f>
        <v>189.7123</v>
      </c>
      <c r="I1035" s="14">
        <f>189.7102 * CHOOSE(CONTROL!$C$9, $D$9, 100%, $F$9) + CHOOSE(CONTROL!$C$27, 0.0021, 0)</f>
        <v>189.7123</v>
      </c>
      <c r="J1035" s="14">
        <f>189.7102 * CHOOSE(CONTROL!$C$9, $D$9, 100%, $F$9) + CHOOSE(CONTROL!$C$27, 0.0021, 0)</f>
        <v>189.7123</v>
      </c>
      <c r="K1035" s="14">
        <f>189.7102 * CHOOSE(CONTROL!$C$9, $D$9, 100%, $F$9) + CHOOSE(CONTROL!$C$27, 0.0021, 0)</f>
        <v>189.7123</v>
      </c>
      <c r="L1035" s="14"/>
    </row>
    <row r="1036" spans="1:12" ht="15.75" x14ac:dyDescent="0.25">
      <c r="A1036" s="31">
        <v>72471</v>
      </c>
      <c r="B1036" s="14">
        <f>196.4463 * CHOOSE(CONTROL!$C$9, $D$9, 100%, $F$9) + CHOOSE(CONTROL!$C$27, 0.0021, 0)</f>
        <v>196.44840000000002</v>
      </c>
      <c r="C1036" s="14">
        <f>196.014 * CHOOSE(CONTROL!$C$9, $D$9, 100%, $F$9) + CHOOSE(CONTROL!$C$27, 0.0021, 0)</f>
        <v>196.01610000000002</v>
      </c>
      <c r="D1036" s="14">
        <f>196.014 * CHOOSE(CONTROL!$C$9, $D$9, 100%, $F$9) + CHOOSE(CONTROL!$C$27, 0.0021, 0)</f>
        <v>196.01610000000002</v>
      </c>
      <c r="E1036" s="14">
        <f>195.8774 * CHOOSE(CONTROL!$C$9, $D$9, 100%, $F$9) + CHOOSE(CONTROL!$C$27, 0.0021, 0)</f>
        <v>195.87950000000001</v>
      </c>
      <c r="F1036" s="14">
        <f>195.8774 * CHOOSE(CONTROL!$C$9, $D$9, 100%, $F$9) + CHOOSE(CONTROL!$C$27, 0.0021, 0)</f>
        <v>195.87950000000001</v>
      </c>
      <c r="G1036" s="14">
        <f>196.1488 * CHOOSE(CONTROL!$C$9, $D$9, 100%, $F$9) + CHOOSE(CONTROL!$C$27, 0.0021, 0)</f>
        <v>196.15090000000001</v>
      </c>
      <c r="H1036" s="14">
        <f>196.014 * CHOOSE(CONTROL!$C$9, $D$9, 100%, $F$9) + CHOOSE(CONTROL!$C$27, 0.0021, 0)</f>
        <v>196.01610000000002</v>
      </c>
      <c r="I1036" s="14">
        <f>196.014 * CHOOSE(CONTROL!$C$9, $D$9, 100%, $F$9) + CHOOSE(CONTROL!$C$27, 0.0021, 0)</f>
        <v>196.01610000000002</v>
      </c>
      <c r="J1036" s="14">
        <f>196.014 * CHOOSE(CONTROL!$C$9, $D$9, 100%, $F$9) + CHOOSE(CONTROL!$C$27, 0.0021, 0)</f>
        <v>196.01610000000002</v>
      </c>
      <c r="K1036" s="14">
        <f>196.014 * CHOOSE(CONTROL!$C$9, $D$9, 100%, $F$9) + CHOOSE(CONTROL!$C$27, 0.0021, 0)</f>
        <v>196.01610000000002</v>
      </c>
      <c r="L1036" s="14"/>
    </row>
    <row r="1037" spans="1:12" ht="15.75" x14ac:dyDescent="0.25">
      <c r="A1037" s="31">
        <v>72501</v>
      </c>
      <c r="B1037" s="14">
        <f>199.2438 * CHOOSE(CONTROL!$C$9, $D$9, 100%, $F$9) + CHOOSE(CONTROL!$C$27, 0.0021, 0)</f>
        <v>199.24590000000001</v>
      </c>
      <c r="C1037" s="14">
        <f>198.8116 * CHOOSE(CONTROL!$C$9, $D$9, 100%, $F$9) + CHOOSE(CONTROL!$C$27, 0.0021, 0)</f>
        <v>198.81370000000001</v>
      </c>
      <c r="D1037" s="14">
        <f>198.8116 * CHOOSE(CONTROL!$C$9, $D$9, 100%, $F$9) + CHOOSE(CONTROL!$C$27, 0.0021, 0)</f>
        <v>198.81370000000001</v>
      </c>
      <c r="E1037" s="14">
        <f>198.6749 * CHOOSE(CONTROL!$C$9, $D$9, 100%, $F$9) + CHOOSE(CONTROL!$C$27, 0.0021, 0)</f>
        <v>198.67700000000002</v>
      </c>
      <c r="F1037" s="14">
        <f>198.6749 * CHOOSE(CONTROL!$C$9, $D$9, 100%, $F$9) + CHOOSE(CONTROL!$C$27, 0.0021, 0)</f>
        <v>198.67700000000002</v>
      </c>
      <c r="G1037" s="14">
        <f>198.9463 * CHOOSE(CONTROL!$C$9, $D$9, 100%, $F$9) + CHOOSE(CONTROL!$C$27, 0.0021, 0)</f>
        <v>198.94840000000002</v>
      </c>
      <c r="H1037" s="14">
        <f>198.8116 * CHOOSE(CONTROL!$C$9, $D$9, 100%, $F$9) + CHOOSE(CONTROL!$C$27, 0.0021, 0)</f>
        <v>198.81370000000001</v>
      </c>
      <c r="I1037" s="14">
        <f>198.8116 * CHOOSE(CONTROL!$C$9, $D$9, 100%, $F$9) + CHOOSE(CONTROL!$C$27, 0.0021, 0)</f>
        <v>198.81370000000001</v>
      </c>
      <c r="J1037" s="14">
        <f>198.8116 * CHOOSE(CONTROL!$C$9, $D$9, 100%, $F$9) + CHOOSE(CONTROL!$C$27, 0.0021, 0)</f>
        <v>198.81370000000001</v>
      </c>
      <c r="K1037" s="14">
        <f>198.8116 * CHOOSE(CONTROL!$C$9, $D$9, 100%, $F$9) + CHOOSE(CONTROL!$C$27, 0.0021, 0)</f>
        <v>198.81370000000001</v>
      </c>
      <c r="L1037" s="14"/>
    </row>
    <row r="1038" spans="1:12" ht="15.75" x14ac:dyDescent="0.25">
      <c r="A1038" s="31">
        <v>72532</v>
      </c>
      <c r="B1038" s="14">
        <f>198.3228 * CHOOSE(CONTROL!$C$9, $D$9, 100%, $F$9) + CHOOSE(CONTROL!$C$27, 0.0021, 0)</f>
        <v>198.32490000000001</v>
      </c>
      <c r="C1038" s="14">
        <f>197.8905 * CHOOSE(CONTROL!$C$9, $D$9, 100%, $F$9) + CHOOSE(CONTROL!$C$27, 0.0021, 0)</f>
        <v>197.89260000000002</v>
      </c>
      <c r="D1038" s="14">
        <f>197.8905 * CHOOSE(CONTROL!$C$9, $D$9, 100%, $F$9) + CHOOSE(CONTROL!$C$27, 0.0021, 0)</f>
        <v>197.89260000000002</v>
      </c>
      <c r="E1038" s="14">
        <f>197.7539 * CHOOSE(CONTROL!$C$9, $D$9, 100%, $F$9) + CHOOSE(CONTROL!$C$27, 0.0021, 0)</f>
        <v>197.756</v>
      </c>
      <c r="F1038" s="14">
        <f>197.7539 * CHOOSE(CONTROL!$C$9, $D$9, 100%, $F$9) + CHOOSE(CONTROL!$C$27, 0.0021, 0)</f>
        <v>197.756</v>
      </c>
      <c r="G1038" s="14">
        <f>198.0252 * CHOOSE(CONTROL!$C$9, $D$9, 100%, $F$9) + CHOOSE(CONTROL!$C$27, 0.0021, 0)</f>
        <v>198.02730000000003</v>
      </c>
      <c r="H1038" s="14">
        <f>197.8905 * CHOOSE(CONTROL!$C$9, $D$9, 100%, $F$9) + CHOOSE(CONTROL!$C$27, 0.0021, 0)</f>
        <v>197.89260000000002</v>
      </c>
      <c r="I1038" s="14">
        <f>197.8905 * CHOOSE(CONTROL!$C$9, $D$9, 100%, $F$9) + CHOOSE(CONTROL!$C$27, 0.0021, 0)</f>
        <v>197.89260000000002</v>
      </c>
      <c r="J1038" s="14">
        <f>197.8905 * CHOOSE(CONTROL!$C$9, $D$9, 100%, $F$9) + CHOOSE(CONTROL!$C$27, 0.0021, 0)</f>
        <v>197.89260000000002</v>
      </c>
      <c r="K1038" s="14">
        <f>197.8905 * CHOOSE(CONTROL!$C$9, $D$9, 100%, $F$9) + CHOOSE(CONTROL!$C$27, 0.0021, 0)</f>
        <v>197.89260000000002</v>
      </c>
      <c r="L1038" s="14"/>
    </row>
    <row r="1039" spans="1:12" ht="15.75" x14ac:dyDescent="0.25">
      <c r="A1039" s="31">
        <v>72563</v>
      </c>
      <c r="B1039" s="14">
        <f>193.7593 * CHOOSE(CONTROL!$C$9, $D$9, 100%, $F$9) + CHOOSE(CONTROL!$C$27, 0.0021, 0)</f>
        <v>193.76140000000001</v>
      </c>
      <c r="C1039" s="14">
        <f>193.327 * CHOOSE(CONTROL!$C$9, $D$9, 100%, $F$9) + CHOOSE(CONTROL!$C$27, 0.0021, 0)</f>
        <v>193.32910000000001</v>
      </c>
      <c r="D1039" s="14">
        <f>193.327 * CHOOSE(CONTROL!$C$9, $D$9, 100%, $F$9) + CHOOSE(CONTROL!$C$27, 0.0021, 0)</f>
        <v>193.32910000000001</v>
      </c>
      <c r="E1039" s="14">
        <f>193.1903 * CHOOSE(CONTROL!$C$9, $D$9, 100%, $F$9) + CHOOSE(CONTROL!$C$27, 0.0021, 0)</f>
        <v>193.19240000000002</v>
      </c>
      <c r="F1039" s="14">
        <f>193.1903 * CHOOSE(CONTROL!$C$9, $D$9, 100%, $F$9) + CHOOSE(CONTROL!$C$27, 0.0021, 0)</f>
        <v>193.19240000000002</v>
      </c>
      <c r="G1039" s="14">
        <f>193.4617 * CHOOSE(CONTROL!$C$9, $D$9, 100%, $F$9) + CHOOSE(CONTROL!$C$27, 0.0021, 0)</f>
        <v>193.46380000000002</v>
      </c>
      <c r="H1039" s="14">
        <f>193.327 * CHOOSE(CONTROL!$C$9, $D$9, 100%, $F$9) + CHOOSE(CONTROL!$C$27, 0.0021, 0)</f>
        <v>193.32910000000001</v>
      </c>
      <c r="I1039" s="14">
        <f>193.327 * CHOOSE(CONTROL!$C$9, $D$9, 100%, $F$9) + CHOOSE(CONTROL!$C$27, 0.0021, 0)</f>
        <v>193.32910000000001</v>
      </c>
      <c r="J1039" s="14">
        <f>193.327 * CHOOSE(CONTROL!$C$9, $D$9, 100%, $F$9) + CHOOSE(CONTROL!$C$27, 0.0021, 0)</f>
        <v>193.32910000000001</v>
      </c>
      <c r="K1039" s="14">
        <f>193.327 * CHOOSE(CONTROL!$C$9, $D$9, 100%, $F$9) + CHOOSE(CONTROL!$C$27, 0.0021, 0)</f>
        <v>193.32910000000001</v>
      </c>
      <c r="L1039" s="14"/>
    </row>
    <row r="1040" spans="1:12" ht="15.75" x14ac:dyDescent="0.25">
      <c r="A1040" s="31">
        <v>72593</v>
      </c>
      <c r="B1040" s="14">
        <f>187.3952 * CHOOSE(CONTROL!$C$9, $D$9, 100%, $F$9) + CHOOSE(CONTROL!$C$27, 0.0021, 0)</f>
        <v>187.3973</v>
      </c>
      <c r="C1040" s="14">
        <f>186.963 * CHOOSE(CONTROL!$C$9, $D$9, 100%, $F$9) + CHOOSE(CONTROL!$C$27, 0.0021, 0)</f>
        <v>186.96510000000001</v>
      </c>
      <c r="D1040" s="14">
        <f>186.963 * CHOOSE(CONTROL!$C$9, $D$9, 100%, $F$9) + CHOOSE(CONTROL!$C$27, 0.0021, 0)</f>
        <v>186.96510000000001</v>
      </c>
      <c r="E1040" s="14">
        <f>186.8263 * CHOOSE(CONTROL!$C$9, $D$9, 100%, $F$9) + CHOOSE(CONTROL!$C$27, 0.0021, 0)</f>
        <v>186.82840000000002</v>
      </c>
      <c r="F1040" s="14">
        <f>186.8263 * CHOOSE(CONTROL!$C$9, $D$9, 100%, $F$9) + CHOOSE(CONTROL!$C$27, 0.0021, 0)</f>
        <v>186.82840000000002</v>
      </c>
      <c r="G1040" s="14">
        <f>187.0977 * CHOOSE(CONTROL!$C$9, $D$9, 100%, $F$9) + CHOOSE(CONTROL!$C$27, 0.0021, 0)</f>
        <v>187.09980000000002</v>
      </c>
      <c r="H1040" s="14">
        <f>186.963 * CHOOSE(CONTROL!$C$9, $D$9, 100%, $F$9) + CHOOSE(CONTROL!$C$27, 0.0021, 0)</f>
        <v>186.96510000000001</v>
      </c>
      <c r="I1040" s="14">
        <f>186.963 * CHOOSE(CONTROL!$C$9, $D$9, 100%, $F$9) + CHOOSE(CONTROL!$C$27, 0.0021, 0)</f>
        <v>186.96510000000001</v>
      </c>
      <c r="J1040" s="14">
        <f>186.963 * CHOOSE(CONTROL!$C$9, $D$9, 100%, $F$9) + CHOOSE(CONTROL!$C$27, 0.0021, 0)</f>
        <v>186.96510000000001</v>
      </c>
      <c r="K1040" s="14">
        <f>186.963 * CHOOSE(CONTROL!$C$9, $D$9, 100%, $F$9) + CHOOSE(CONTROL!$C$27, 0.0021, 0)</f>
        <v>186.96510000000001</v>
      </c>
      <c r="L1040" s="14"/>
    </row>
    <row r="1041" spans="1:12" ht="15.75" x14ac:dyDescent="0.25">
      <c r="A1041" s="31">
        <v>72624</v>
      </c>
      <c r="B1041" s="14">
        <f>180.9942 * CHOOSE(CONTROL!$C$9, $D$9, 100%, $F$9) + CHOOSE(CONTROL!$C$27, 0.0021, 0)</f>
        <v>180.99630000000002</v>
      </c>
      <c r="C1041" s="14">
        <f>180.5619 * CHOOSE(CONTROL!$C$9, $D$9, 100%, $F$9) + CHOOSE(CONTROL!$C$27, 0.0021, 0)</f>
        <v>180.56400000000002</v>
      </c>
      <c r="D1041" s="14">
        <f>180.5619 * CHOOSE(CONTROL!$C$9, $D$9, 100%, $F$9) + CHOOSE(CONTROL!$C$27, 0.0021, 0)</f>
        <v>180.56400000000002</v>
      </c>
      <c r="E1041" s="14">
        <f>180.4253 * CHOOSE(CONTROL!$C$9, $D$9, 100%, $F$9) + CHOOSE(CONTROL!$C$27, 0.0021, 0)</f>
        <v>180.42740000000001</v>
      </c>
      <c r="F1041" s="14">
        <f>180.4253 * CHOOSE(CONTROL!$C$9, $D$9, 100%, $F$9) + CHOOSE(CONTROL!$C$27, 0.0021, 0)</f>
        <v>180.42740000000001</v>
      </c>
      <c r="G1041" s="14">
        <f>180.6966 * CHOOSE(CONTROL!$C$9, $D$9, 100%, $F$9) + CHOOSE(CONTROL!$C$27, 0.0021, 0)</f>
        <v>180.6987</v>
      </c>
      <c r="H1041" s="14">
        <f>180.5619 * CHOOSE(CONTROL!$C$9, $D$9, 100%, $F$9) + CHOOSE(CONTROL!$C$27, 0.0021, 0)</f>
        <v>180.56400000000002</v>
      </c>
      <c r="I1041" s="14">
        <f>180.5619 * CHOOSE(CONTROL!$C$9, $D$9, 100%, $F$9) + CHOOSE(CONTROL!$C$27, 0.0021, 0)</f>
        <v>180.56400000000002</v>
      </c>
      <c r="J1041" s="14">
        <f>180.5619 * CHOOSE(CONTROL!$C$9, $D$9, 100%, $F$9) + CHOOSE(CONTROL!$C$27, 0.0021, 0)</f>
        <v>180.56400000000002</v>
      </c>
      <c r="K1041" s="14">
        <f>180.5619 * CHOOSE(CONTROL!$C$9, $D$9, 100%, $F$9) + CHOOSE(CONTROL!$C$27, 0.0021, 0)</f>
        <v>180.56400000000002</v>
      </c>
      <c r="L1041" s="14"/>
    </row>
    <row r="1042" spans="1:12" ht="15.75" x14ac:dyDescent="0.25">
      <c r="A1042" s="31">
        <v>72654</v>
      </c>
      <c r="B1042" s="14">
        <f>179.7209 * CHOOSE(CONTROL!$C$9, $D$9, 100%, $F$9) + CHOOSE(CONTROL!$C$27, 0.0021, 0)</f>
        <v>179.72300000000001</v>
      </c>
      <c r="C1042" s="14">
        <f>179.2886 * CHOOSE(CONTROL!$C$9, $D$9, 100%, $F$9) + CHOOSE(CONTROL!$C$27, 0.0021, 0)</f>
        <v>179.29070000000002</v>
      </c>
      <c r="D1042" s="14">
        <f>179.2886 * CHOOSE(CONTROL!$C$9, $D$9, 100%, $F$9) + CHOOSE(CONTROL!$C$27, 0.0021, 0)</f>
        <v>179.29070000000002</v>
      </c>
      <c r="E1042" s="14">
        <f>179.152 * CHOOSE(CONTROL!$C$9, $D$9, 100%, $F$9) + CHOOSE(CONTROL!$C$27, 0.0021, 0)</f>
        <v>179.1541</v>
      </c>
      <c r="F1042" s="14">
        <f>179.152 * CHOOSE(CONTROL!$C$9, $D$9, 100%, $F$9) + CHOOSE(CONTROL!$C$27, 0.0021, 0)</f>
        <v>179.1541</v>
      </c>
      <c r="G1042" s="14">
        <f>179.4233 * CHOOSE(CONTROL!$C$9, $D$9, 100%, $F$9) + CHOOSE(CONTROL!$C$27, 0.0021, 0)</f>
        <v>179.42540000000002</v>
      </c>
      <c r="H1042" s="14">
        <f>179.2886 * CHOOSE(CONTROL!$C$9, $D$9, 100%, $F$9) + CHOOSE(CONTROL!$C$27, 0.0021, 0)</f>
        <v>179.29070000000002</v>
      </c>
      <c r="I1042" s="14">
        <f>179.2886 * CHOOSE(CONTROL!$C$9, $D$9, 100%, $F$9) + CHOOSE(CONTROL!$C$27, 0.0021, 0)</f>
        <v>179.29070000000002</v>
      </c>
      <c r="J1042" s="14">
        <f>179.2886 * CHOOSE(CONTROL!$C$9, $D$9, 100%, $F$9) + CHOOSE(CONTROL!$C$27, 0.0021, 0)</f>
        <v>179.29070000000002</v>
      </c>
      <c r="K1042" s="14">
        <f>179.2886 * CHOOSE(CONTROL!$C$9, $D$9, 100%, $F$9) + CHOOSE(CONTROL!$C$27, 0.0021, 0)</f>
        <v>179.29070000000002</v>
      </c>
      <c r="L1042" s="14"/>
    </row>
    <row r="1043" spans="1:12" ht="15.75" x14ac:dyDescent="0.25">
      <c r="A1043" s="31">
        <v>72685</v>
      </c>
      <c r="B1043" s="14">
        <f>174.4557 * CHOOSE(CONTROL!$C$9, $D$9, 100%, $F$9) + CHOOSE(CONTROL!$C$27, 0.0021, 0)</f>
        <v>174.45780000000002</v>
      </c>
      <c r="C1043" s="14">
        <f>174.0234 * CHOOSE(CONTROL!$C$9, $D$9, 100%, $F$9) + CHOOSE(CONTROL!$C$27, 0.0021, 0)</f>
        <v>174.02550000000002</v>
      </c>
      <c r="D1043" s="14">
        <f>174.0234 * CHOOSE(CONTROL!$C$9, $D$9, 100%, $F$9) + CHOOSE(CONTROL!$C$27, 0.0021, 0)</f>
        <v>174.02550000000002</v>
      </c>
      <c r="E1043" s="14">
        <f>173.8868 * CHOOSE(CONTROL!$C$9, $D$9, 100%, $F$9) + CHOOSE(CONTROL!$C$27, 0.0021, 0)</f>
        <v>173.88890000000001</v>
      </c>
      <c r="F1043" s="14">
        <f>173.8868 * CHOOSE(CONTROL!$C$9, $D$9, 100%, $F$9) + CHOOSE(CONTROL!$C$27, 0.0021, 0)</f>
        <v>173.88890000000001</v>
      </c>
      <c r="G1043" s="14">
        <f>174.1581 * CHOOSE(CONTROL!$C$9, $D$9, 100%, $F$9) + CHOOSE(CONTROL!$C$27, 0.0021, 0)</f>
        <v>174.1602</v>
      </c>
      <c r="H1043" s="14">
        <f>174.0234 * CHOOSE(CONTROL!$C$9, $D$9, 100%, $F$9) + CHOOSE(CONTROL!$C$27, 0.0021, 0)</f>
        <v>174.02550000000002</v>
      </c>
      <c r="I1043" s="14">
        <f>174.0234 * CHOOSE(CONTROL!$C$9, $D$9, 100%, $F$9) + CHOOSE(CONTROL!$C$27, 0.0021, 0)</f>
        <v>174.02550000000002</v>
      </c>
      <c r="J1043" s="14">
        <f>174.0234 * CHOOSE(CONTROL!$C$9, $D$9, 100%, $F$9) + CHOOSE(CONTROL!$C$27, 0.0021, 0)</f>
        <v>174.02550000000002</v>
      </c>
      <c r="K1043" s="14">
        <f>174.0234 * CHOOSE(CONTROL!$C$9, $D$9, 100%, $F$9) + CHOOSE(CONTROL!$C$27, 0.0021, 0)</f>
        <v>174.02550000000002</v>
      </c>
      <c r="L1043" s="14"/>
    </row>
    <row r="1044" spans="1:12" ht="15.75" x14ac:dyDescent="0.25">
      <c r="A1044" s="31">
        <v>72716</v>
      </c>
      <c r="B1044" s="14">
        <f>173.4306 * CHOOSE(CONTROL!$C$9, $D$9, 100%, $F$9) + CHOOSE(CONTROL!$C$27, 0.0021, 0)</f>
        <v>173.43270000000001</v>
      </c>
      <c r="C1044" s="14">
        <f>172.9983 * CHOOSE(CONTROL!$C$9, $D$9, 100%, $F$9) + CHOOSE(CONTROL!$C$27, 0.0021, 0)</f>
        <v>173.00040000000001</v>
      </c>
      <c r="D1044" s="14">
        <f>172.9983 * CHOOSE(CONTROL!$C$9, $D$9, 100%, $F$9) + CHOOSE(CONTROL!$C$27, 0.0021, 0)</f>
        <v>173.00040000000001</v>
      </c>
      <c r="E1044" s="14">
        <f>172.8617 * CHOOSE(CONTROL!$C$9, $D$9, 100%, $F$9) + CHOOSE(CONTROL!$C$27, 0.0021, 0)</f>
        <v>172.86380000000003</v>
      </c>
      <c r="F1044" s="14">
        <f>172.8617 * CHOOSE(CONTROL!$C$9, $D$9, 100%, $F$9) + CHOOSE(CONTROL!$C$27, 0.0021, 0)</f>
        <v>172.86380000000003</v>
      </c>
      <c r="G1044" s="14">
        <f>173.1331 * CHOOSE(CONTROL!$C$9, $D$9, 100%, $F$9) + CHOOSE(CONTROL!$C$27, 0.0021, 0)</f>
        <v>173.13520000000003</v>
      </c>
      <c r="H1044" s="14">
        <f>172.9983 * CHOOSE(CONTROL!$C$9, $D$9, 100%, $F$9) + CHOOSE(CONTROL!$C$27, 0.0021, 0)</f>
        <v>173.00040000000001</v>
      </c>
      <c r="I1044" s="14">
        <f>172.9983 * CHOOSE(CONTROL!$C$9, $D$9, 100%, $F$9) + CHOOSE(CONTROL!$C$27, 0.0021, 0)</f>
        <v>173.00040000000001</v>
      </c>
      <c r="J1044" s="14">
        <f>172.9983 * CHOOSE(CONTROL!$C$9, $D$9, 100%, $F$9) + CHOOSE(CONTROL!$C$27, 0.0021, 0)</f>
        <v>173.00040000000001</v>
      </c>
      <c r="K1044" s="14">
        <f>172.9983 * CHOOSE(CONTROL!$C$9, $D$9, 100%, $F$9) + CHOOSE(CONTROL!$C$27, 0.0021, 0)</f>
        <v>173.00040000000001</v>
      </c>
      <c r="L1044" s="14"/>
    </row>
    <row r="1045" spans="1:12" ht="15.75" x14ac:dyDescent="0.25">
      <c r="A1045" s="31">
        <v>72744</v>
      </c>
      <c r="B1045" s="14">
        <f>172.9549 * CHOOSE(CONTROL!$C$9, $D$9, 100%, $F$9) + CHOOSE(CONTROL!$C$27, 0.0021, 0)</f>
        <v>172.95700000000002</v>
      </c>
      <c r="C1045" s="14">
        <f>172.5226 * CHOOSE(CONTROL!$C$9, $D$9, 100%, $F$9) + CHOOSE(CONTROL!$C$27, 0.0021, 0)</f>
        <v>172.52470000000002</v>
      </c>
      <c r="D1045" s="14">
        <f>172.5226 * CHOOSE(CONTROL!$C$9, $D$9, 100%, $F$9) + CHOOSE(CONTROL!$C$27, 0.0021, 0)</f>
        <v>172.52470000000002</v>
      </c>
      <c r="E1045" s="14">
        <f>172.386 * CHOOSE(CONTROL!$C$9, $D$9, 100%, $F$9) + CHOOSE(CONTROL!$C$27, 0.0021, 0)</f>
        <v>172.38810000000001</v>
      </c>
      <c r="F1045" s="14">
        <f>172.386 * CHOOSE(CONTROL!$C$9, $D$9, 100%, $F$9) + CHOOSE(CONTROL!$C$27, 0.0021, 0)</f>
        <v>172.38810000000001</v>
      </c>
      <c r="G1045" s="14">
        <f>172.6574 * CHOOSE(CONTROL!$C$9, $D$9, 100%, $F$9) + CHOOSE(CONTROL!$C$27, 0.0021, 0)</f>
        <v>172.65950000000001</v>
      </c>
      <c r="H1045" s="14">
        <f>172.5226 * CHOOSE(CONTROL!$C$9, $D$9, 100%, $F$9) + CHOOSE(CONTROL!$C$27, 0.0021, 0)</f>
        <v>172.52470000000002</v>
      </c>
      <c r="I1045" s="14">
        <f>172.5226 * CHOOSE(CONTROL!$C$9, $D$9, 100%, $F$9) + CHOOSE(CONTROL!$C$27, 0.0021, 0)</f>
        <v>172.52470000000002</v>
      </c>
      <c r="J1045" s="14">
        <f>172.5226 * CHOOSE(CONTROL!$C$9, $D$9, 100%, $F$9) + CHOOSE(CONTROL!$C$27, 0.0021, 0)</f>
        <v>172.52470000000002</v>
      </c>
      <c r="K1045" s="14">
        <f>172.5226 * CHOOSE(CONTROL!$C$9, $D$9, 100%, $F$9) + CHOOSE(CONTROL!$C$27, 0.0021, 0)</f>
        <v>172.52470000000002</v>
      </c>
      <c r="L1045" s="14"/>
    </row>
    <row r="1046" spans="1:12" ht="15.75" x14ac:dyDescent="0.25">
      <c r="A1046" s="31">
        <v>72775</v>
      </c>
      <c r="B1046" s="14">
        <f>181.9498 * CHOOSE(CONTROL!$C$9, $D$9, 100%, $F$9) + CHOOSE(CONTROL!$C$27, 0.0021, 0)</f>
        <v>181.95190000000002</v>
      </c>
      <c r="C1046" s="14">
        <f>181.5175 * CHOOSE(CONTROL!$C$9, $D$9, 100%, $F$9) + CHOOSE(CONTROL!$C$27, 0.0021, 0)</f>
        <v>181.51960000000003</v>
      </c>
      <c r="D1046" s="14">
        <f>181.5175 * CHOOSE(CONTROL!$C$9, $D$9, 100%, $F$9) + CHOOSE(CONTROL!$C$27, 0.0021, 0)</f>
        <v>181.51960000000003</v>
      </c>
      <c r="E1046" s="14">
        <f>181.3809 * CHOOSE(CONTROL!$C$9, $D$9, 100%, $F$9) + CHOOSE(CONTROL!$C$27, 0.0021, 0)</f>
        <v>181.38300000000001</v>
      </c>
      <c r="F1046" s="14">
        <f>181.3809 * CHOOSE(CONTROL!$C$9, $D$9, 100%, $F$9) + CHOOSE(CONTROL!$C$27, 0.0021, 0)</f>
        <v>181.38300000000001</v>
      </c>
      <c r="G1046" s="14">
        <f>181.6523 * CHOOSE(CONTROL!$C$9, $D$9, 100%, $F$9) + CHOOSE(CONTROL!$C$27, 0.0021, 0)</f>
        <v>181.65440000000001</v>
      </c>
      <c r="H1046" s="14">
        <f>181.5175 * CHOOSE(CONTROL!$C$9, $D$9, 100%, $F$9) + CHOOSE(CONTROL!$C$27, 0.0021, 0)</f>
        <v>181.51960000000003</v>
      </c>
      <c r="I1046" s="14">
        <f>181.5175 * CHOOSE(CONTROL!$C$9, $D$9, 100%, $F$9) + CHOOSE(CONTROL!$C$27, 0.0021, 0)</f>
        <v>181.51960000000003</v>
      </c>
      <c r="J1046" s="14">
        <f>181.5175 * CHOOSE(CONTROL!$C$9, $D$9, 100%, $F$9) + CHOOSE(CONTROL!$C$27, 0.0021, 0)</f>
        <v>181.51960000000003</v>
      </c>
      <c r="K1046" s="14">
        <f>181.5175 * CHOOSE(CONTROL!$C$9, $D$9, 100%, $F$9) + CHOOSE(CONTROL!$C$27, 0.0021, 0)</f>
        <v>181.51960000000003</v>
      </c>
      <c r="L1046" s="14"/>
    </row>
    <row r="1047" spans="1:12" ht="15.75" x14ac:dyDescent="0.25">
      <c r="A1047" s="31">
        <v>72805</v>
      </c>
      <c r="B1047" s="14">
        <f>193.614 * CHOOSE(CONTROL!$C$9, $D$9, 100%, $F$9) + CHOOSE(CONTROL!$C$27, 0.0021, 0)</f>
        <v>193.61610000000002</v>
      </c>
      <c r="C1047" s="14">
        <f>193.1818 * CHOOSE(CONTROL!$C$9, $D$9, 100%, $F$9) + CHOOSE(CONTROL!$C$27, 0.0021, 0)</f>
        <v>193.18390000000002</v>
      </c>
      <c r="D1047" s="14">
        <f>193.1818 * CHOOSE(CONTROL!$C$9, $D$9, 100%, $F$9) + CHOOSE(CONTROL!$C$27, 0.0021, 0)</f>
        <v>193.18390000000002</v>
      </c>
      <c r="E1047" s="14">
        <f>193.0451 * CHOOSE(CONTROL!$C$9, $D$9, 100%, $F$9) + CHOOSE(CONTROL!$C$27, 0.0021, 0)</f>
        <v>193.0472</v>
      </c>
      <c r="F1047" s="14">
        <f>193.0451 * CHOOSE(CONTROL!$C$9, $D$9, 100%, $F$9) + CHOOSE(CONTROL!$C$27, 0.0021, 0)</f>
        <v>193.0472</v>
      </c>
      <c r="G1047" s="14">
        <f>193.3165 * CHOOSE(CONTROL!$C$9, $D$9, 100%, $F$9) + CHOOSE(CONTROL!$C$27, 0.0021, 0)</f>
        <v>193.3186</v>
      </c>
      <c r="H1047" s="14">
        <f>193.1818 * CHOOSE(CONTROL!$C$9, $D$9, 100%, $F$9) + CHOOSE(CONTROL!$C$27, 0.0021, 0)</f>
        <v>193.18390000000002</v>
      </c>
      <c r="I1047" s="14">
        <f>193.1818 * CHOOSE(CONTROL!$C$9, $D$9, 100%, $F$9) + CHOOSE(CONTROL!$C$27, 0.0021, 0)</f>
        <v>193.18390000000002</v>
      </c>
      <c r="J1047" s="14">
        <f>193.1818 * CHOOSE(CONTROL!$C$9, $D$9, 100%, $F$9) + CHOOSE(CONTROL!$C$27, 0.0021, 0)</f>
        <v>193.18390000000002</v>
      </c>
      <c r="K1047" s="14">
        <f>193.1818 * CHOOSE(CONTROL!$C$9, $D$9, 100%, $F$9) + CHOOSE(CONTROL!$C$27, 0.0021, 0)</f>
        <v>193.18390000000002</v>
      </c>
      <c r="L1047" s="14"/>
    </row>
    <row r="1048" spans="1:12" ht="15.75" x14ac:dyDescent="0.25">
      <c r="A1048" s="31">
        <v>72836</v>
      </c>
      <c r="B1048" s="14">
        <f>200.0344 * CHOOSE(CONTROL!$C$9, $D$9, 100%, $F$9) + CHOOSE(CONTROL!$C$27, 0.0021, 0)</f>
        <v>200.03650000000002</v>
      </c>
      <c r="C1048" s="14">
        <f>199.6022 * CHOOSE(CONTROL!$C$9, $D$9, 100%, $F$9) + CHOOSE(CONTROL!$C$27, 0.0021, 0)</f>
        <v>199.60430000000002</v>
      </c>
      <c r="D1048" s="14">
        <f>199.6022 * CHOOSE(CONTROL!$C$9, $D$9, 100%, $F$9) + CHOOSE(CONTROL!$C$27, 0.0021, 0)</f>
        <v>199.60430000000002</v>
      </c>
      <c r="E1048" s="14">
        <f>199.4655 * CHOOSE(CONTROL!$C$9, $D$9, 100%, $F$9) + CHOOSE(CONTROL!$C$27, 0.0021, 0)</f>
        <v>199.4676</v>
      </c>
      <c r="F1048" s="14">
        <f>199.4655 * CHOOSE(CONTROL!$C$9, $D$9, 100%, $F$9) + CHOOSE(CONTROL!$C$27, 0.0021, 0)</f>
        <v>199.4676</v>
      </c>
      <c r="G1048" s="14">
        <f>199.7369 * CHOOSE(CONTROL!$C$9, $D$9, 100%, $F$9) + CHOOSE(CONTROL!$C$27, 0.0021, 0)</f>
        <v>199.739</v>
      </c>
      <c r="H1048" s="14">
        <f>199.6022 * CHOOSE(CONTROL!$C$9, $D$9, 100%, $F$9) + CHOOSE(CONTROL!$C$27, 0.0021, 0)</f>
        <v>199.60430000000002</v>
      </c>
      <c r="I1048" s="14">
        <f>199.6022 * CHOOSE(CONTROL!$C$9, $D$9, 100%, $F$9) + CHOOSE(CONTROL!$C$27, 0.0021, 0)</f>
        <v>199.60430000000002</v>
      </c>
      <c r="J1048" s="14">
        <f>199.6022 * CHOOSE(CONTROL!$C$9, $D$9, 100%, $F$9) + CHOOSE(CONTROL!$C$27, 0.0021, 0)</f>
        <v>199.60430000000002</v>
      </c>
      <c r="K1048" s="14">
        <f>199.6022 * CHOOSE(CONTROL!$C$9, $D$9, 100%, $F$9) + CHOOSE(CONTROL!$C$27, 0.0021, 0)</f>
        <v>199.60430000000002</v>
      </c>
      <c r="L1048" s="14"/>
    </row>
    <row r="1049" spans="1:12" ht="15.75" x14ac:dyDescent="0.25">
      <c r="A1049" s="31">
        <v>72866</v>
      </c>
      <c r="B1049" s="14">
        <f>202.8837 * CHOOSE(CONTROL!$C$9, $D$9, 100%, $F$9) + CHOOSE(CONTROL!$C$27, 0.0021, 0)</f>
        <v>202.88580000000002</v>
      </c>
      <c r="C1049" s="14">
        <f>202.4514 * CHOOSE(CONTROL!$C$9, $D$9, 100%, $F$9) + CHOOSE(CONTROL!$C$27, 0.0021, 0)</f>
        <v>202.45350000000002</v>
      </c>
      <c r="D1049" s="14">
        <f>202.4514 * CHOOSE(CONTROL!$C$9, $D$9, 100%, $F$9) + CHOOSE(CONTROL!$C$27, 0.0021, 0)</f>
        <v>202.45350000000002</v>
      </c>
      <c r="E1049" s="14">
        <f>202.3147 * CHOOSE(CONTROL!$C$9, $D$9, 100%, $F$9) + CHOOSE(CONTROL!$C$27, 0.0021, 0)</f>
        <v>202.3168</v>
      </c>
      <c r="F1049" s="14">
        <f>202.3147 * CHOOSE(CONTROL!$C$9, $D$9, 100%, $F$9) + CHOOSE(CONTROL!$C$27, 0.0021, 0)</f>
        <v>202.3168</v>
      </c>
      <c r="G1049" s="14">
        <f>202.5861 * CHOOSE(CONTROL!$C$9, $D$9, 100%, $F$9) + CHOOSE(CONTROL!$C$27, 0.0021, 0)</f>
        <v>202.5882</v>
      </c>
      <c r="H1049" s="14">
        <f>202.4514 * CHOOSE(CONTROL!$C$9, $D$9, 100%, $F$9) + CHOOSE(CONTROL!$C$27, 0.0021, 0)</f>
        <v>202.45350000000002</v>
      </c>
      <c r="I1049" s="14">
        <f>202.4514 * CHOOSE(CONTROL!$C$9, $D$9, 100%, $F$9) + CHOOSE(CONTROL!$C$27, 0.0021, 0)</f>
        <v>202.45350000000002</v>
      </c>
      <c r="J1049" s="14">
        <f>202.4514 * CHOOSE(CONTROL!$C$9, $D$9, 100%, $F$9) + CHOOSE(CONTROL!$C$27, 0.0021, 0)</f>
        <v>202.45350000000002</v>
      </c>
      <c r="K1049" s="14">
        <f>202.4514 * CHOOSE(CONTROL!$C$9, $D$9, 100%, $F$9) + CHOOSE(CONTROL!$C$27, 0.0021, 0)</f>
        <v>202.45350000000002</v>
      </c>
      <c r="L1049" s="14"/>
    </row>
    <row r="1050" spans="1:12" ht="15.75" x14ac:dyDescent="0.25">
      <c r="A1050" s="31">
        <v>72897</v>
      </c>
      <c r="B1050" s="14">
        <f>201.9455 * CHOOSE(CONTROL!$C$9, $D$9, 100%, $F$9) + CHOOSE(CONTROL!$C$27, 0.0021, 0)</f>
        <v>201.94760000000002</v>
      </c>
      <c r="C1050" s="14">
        <f>201.5133 * CHOOSE(CONTROL!$C$9, $D$9, 100%, $F$9) + CHOOSE(CONTROL!$C$27, 0.0021, 0)</f>
        <v>201.5154</v>
      </c>
      <c r="D1050" s="14">
        <f>201.5133 * CHOOSE(CONTROL!$C$9, $D$9, 100%, $F$9) + CHOOSE(CONTROL!$C$27, 0.0021, 0)</f>
        <v>201.5154</v>
      </c>
      <c r="E1050" s="14">
        <f>201.3766 * CHOOSE(CONTROL!$C$9, $D$9, 100%, $F$9) + CHOOSE(CONTROL!$C$27, 0.0021, 0)</f>
        <v>201.37870000000001</v>
      </c>
      <c r="F1050" s="14">
        <f>201.3766 * CHOOSE(CONTROL!$C$9, $D$9, 100%, $F$9) + CHOOSE(CONTROL!$C$27, 0.0021, 0)</f>
        <v>201.37870000000001</v>
      </c>
      <c r="G1050" s="14">
        <f>201.648 * CHOOSE(CONTROL!$C$9, $D$9, 100%, $F$9) + CHOOSE(CONTROL!$C$27, 0.0021, 0)</f>
        <v>201.65010000000001</v>
      </c>
      <c r="H1050" s="14">
        <f>201.5133 * CHOOSE(CONTROL!$C$9, $D$9, 100%, $F$9) + CHOOSE(CONTROL!$C$27, 0.0021, 0)</f>
        <v>201.5154</v>
      </c>
      <c r="I1050" s="14">
        <f>201.5133 * CHOOSE(CONTROL!$C$9, $D$9, 100%, $F$9) + CHOOSE(CONTROL!$C$27, 0.0021, 0)</f>
        <v>201.5154</v>
      </c>
      <c r="J1050" s="14">
        <f>201.5133 * CHOOSE(CONTROL!$C$9, $D$9, 100%, $F$9) + CHOOSE(CONTROL!$C$27, 0.0021, 0)</f>
        <v>201.5154</v>
      </c>
      <c r="K1050" s="14">
        <f>201.5133 * CHOOSE(CONTROL!$C$9, $D$9, 100%, $F$9) + CHOOSE(CONTROL!$C$27, 0.0021, 0)</f>
        <v>201.5154</v>
      </c>
      <c r="L1050" s="14"/>
    </row>
    <row r="1051" spans="1:12" ht="15.75" x14ac:dyDescent="0.25">
      <c r="A1051" s="31">
        <v>72928</v>
      </c>
      <c r="B1051" s="14">
        <f>197.2977 * CHOOSE(CONTROL!$C$9, $D$9, 100%, $F$9) + CHOOSE(CONTROL!$C$27, 0.0021, 0)</f>
        <v>197.2998</v>
      </c>
      <c r="C1051" s="14">
        <f>196.8655 * CHOOSE(CONTROL!$C$9, $D$9, 100%, $F$9) + CHOOSE(CONTROL!$C$27, 0.0021, 0)</f>
        <v>196.86760000000001</v>
      </c>
      <c r="D1051" s="14">
        <f>196.8655 * CHOOSE(CONTROL!$C$9, $D$9, 100%, $F$9) + CHOOSE(CONTROL!$C$27, 0.0021, 0)</f>
        <v>196.86760000000001</v>
      </c>
      <c r="E1051" s="14">
        <f>196.7288 * CHOOSE(CONTROL!$C$9, $D$9, 100%, $F$9) + CHOOSE(CONTROL!$C$27, 0.0021, 0)</f>
        <v>196.73090000000002</v>
      </c>
      <c r="F1051" s="14">
        <f>196.7288 * CHOOSE(CONTROL!$C$9, $D$9, 100%, $F$9) + CHOOSE(CONTROL!$C$27, 0.0021, 0)</f>
        <v>196.73090000000002</v>
      </c>
      <c r="G1051" s="14">
        <f>197.0002 * CHOOSE(CONTROL!$C$9, $D$9, 100%, $F$9) + CHOOSE(CONTROL!$C$27, 0.0021, 0)</f>
        <v>197.00230000000002</v>
      </c>
      <c r="H1051" s="14">
        <f>196.8655 * CHOOSE(CONTROL!$C$9, $D$9, 100%, $F$9) + CHOOSE(CONTROL!$C$27, 0.0021, 0)</f>
        <v>196.86760000000001</v>
      </c>
      <c r="I1051" s="14">
        <f>196.8655 * CHOOSE(CONTROL!$C$9, $D$9, 100%, $F$9) + CHOOSE(CONTROL!$C$27, 0.0021, 0)</f>
        <v>196.86760000000001</v>
      </c>
      <c r="J1051" s="14">
        <f>196.8655 * CHOOSE(CONTROL!$C$9, $D$9, 100%, $F$9) + CHOOSE(CONTROL!$C$27, 0.0021, 0)</f>
        <v>196.86760000000001</v>
      </c>
      <c r="K1051" s="14">
        <f>196.8655 * CHOOSE(CONTROL!$C$9, $D$9, 100%, $F$9) + CHOOSE(CONTROL!$C$27, 0.0021, 0)</f>
        <v>196.86760000000001</v>
      </c>
      <c r="L1051" s="14"/>
    </row>
    <row r="1052" spans="1:12" ht="15.75" x14ac:dyDescent="0.25">
      <c r="A1052" s="31">
        <v>72958</v>
      </c>
      <c r="B1052" s="14">
        <f>190.8161 * CHOOSE(CONTROL!$C$9, $D$9, 100%, $F$9) + CHOOSE(CONTROL!$C$27, 0.0021, 0)</f>
        <v>190.81820000000002</v>
      </c>
      <c r="C1052" s="14">
        <f>190.3838 * CHOOSE(CONTROL!$C$9, $D$9, 100%, $F$9) + CHOOSE(CONTROL!$C$27, 0.0021, 0)</f>
        <v>190.38590000000002</v>
      </c>
      <c r="D1052" s="14">
        <f>190.3838 * CHOOSE(CONTROL!$C$9, $D$9, 100%, $F$9) + CHOOSE(CONTROL!$C$27, 0.0021, 0)</f>
        <v>190.38590000000002</v>
      </c>
      <c r="E1052" s="14">
        <f>190.2472 * CHOOSE(CONTROL!$C$9, $D$9, 100%, $F$9) + CHOOSE(CONTROL!$C$27, 0.0021, 0)</f>
        <v>190.24930000000001</v>
      </c>
      <c r="F1052" s="14">
        <f>190.2472 * CHOOSE(CONTROL!$C$9, $D$9, 100%, $F$9) + CHOOSE(CONTROL!$C$27, 0.0021, 0)</f>
        <v>190.24930000000001</v>
      </c>
      <c r="G1052" s="14">
        <f>190.5185 * CHOOSE(CONTROL!$C$9, $D$9, 100%, $F$9) + CHOOSE(CONTROL!$C$27, 0.0021, 0)</f>
        <v>190.5206</v>
      </c>
      <c r="H1052" s="14">
        <f>190.3838 * CHOOSE(CONTROL!$C$9, $D$9, 100%, $F$9) + CHOOSE(CONTROL!$C$27, 0.0021, 0)</f>
        <v>190.38590000000002</v>
      </c>
      <c r="I1052" s="14">
        <f>190.3838 * CHOOSE(CONTROL!$C$9, $D$9, 100%, $F$9) + CHOOSE(CONTROL!$C$27, 0.0021, 0)</f>
        <v>190.38590000000002</v>
      </c>
      <c r="J1052" s="14">
        <f>190.3838 * CHOOSE(CONTROL!$C$9, $D$9, 100%, $F$9) + CHOOSE(CONTROL!$C$27, 0.0021, 0)</f>
        <v>190.38590000000002</v>
      </c>
      <c r="K1052" s="14">
        <f>190.3838 * CHOOSE(CONTROL!$C$9, $D$9, 100%, $F$9) + CHOOSE(CONTROL!$C$27, 0.0021, 0)</f>
        <v>190.38590000000002</v>
      </c>
      <c r="L1052" s="14"/>
    </row>
    <row r="1053" spans="1:12" ht="15.75" x14ac:dyDescent="0.25">
      <c r="A1053" s="31">
        <v>72989</v>
      </c>
      <c r="B1053" s="14">
        <f>184.2967 * CHOOSE(CONTROL!$C$9, $D$9, 100%, $F$9) + CHOOSE(CONTROL!$C$27, 0.0021, 0)</f>
        <v>184.2988</v>
      </c>
      <c r="C1053" s="14">
        <f>183.8645 * CHOOSE(CONTROL!$C$9, $D$9, 100%, $F$9) + CHOOSE(CONTROL!$C$27, 0.0021, 0)</f>
        <v>183.86660000000001</v>
      </c>
      <c r="D1053" s="14">
        <f>183.8645 * CHOOSE(CONTROL!$C$9, $D$9, 100%, $F$9) + CHOOSE(CONTROL!$C$27, 0.0021, 0)</f>
        <v>183.86660000000001</v>
      </c>
      <c r="E1053" s="14">
        <f>183.7278 * CHOOSE(CONTROL!$C$9, $D$9, 100%, $F$9) + CHOOSE(CONTROL!$C$27, 0.0021, 0)</f>
        <v>183.72990000000001</v>
      </c>
      <c r="F1053" s="14">
        <f>183.7278 * CHOOSE(CONTROL!$C$9, $D$9, 100%, $F$9) + CHOOSE(CONTROL!$C$27, 0.0021, 0)</f>
        <v>183.72990000000001</v>
      </c>
      <c r="G1053" s="14">
        <f>183.9992 * CHOOSE(CONTROL!$C$9, $D$9, 100%, $F$9) + CHOOSE(CONTROL!$C$27, 0.0021, 0)</f>
        <v>184.00130000000001</v>
      </c>
      <c r="H1053" s="14">
        <f>183.8645 * CHOOSE(CONTROL!$C$9, $D$9, 100%, $F$9) + CHOOSE(CONTROL!$C$27, 0.0021, 0)</f>
        <v>183.86660000000001</v>
      </c>
      <c r="I1053" s="14">
        <f>183.8645 * CHOOSE(CONTROL!$C$9, $D$9, 100%, $F$9) + CHOOSE(CONTROL!$C$27, 0.0021, 0)</f>
        <v>183.86660000000001</v>
      </c>
      <c r="J1053" s="14">
        <f>183.8645 * CHOOSE(CONTROL!$C$9, $D$9, 100%, $F$9) + CHOOSE(CONTROL!$C$27, 0.0021, 0)</f>
        <v>183.86660000000001</v>
      </c>
      <c r="K1053" s="14">
        <f>183.8645 * CHOOSE(CONTROL!$C$9, $D$9, 100%, $F$9) + CHOOSE(CONTROL!$C$27, 0.0021, 0)</f>
        <v>183.86660000000001</v>
      </c>
      <c r="L1053" s="14"/>
    </row>
    <row r="1054" spans="1:12" ht="15.75" x14ac:dyDescent="0.25">
      <c r="A1054" s="31">
        <v>73019</v>
      </c>
      <c r="B1054" s="14">
        <f>182.9999 * CHOOSE(CONTROL!$C$9, $D$9, 100%, $F$9) + CHOOSE(CONTROL!$C$27, 0.0021, 0)</f>
        <v>183.00200000000001</v>
      </c>
      <c r="C1054" s="14">
        <f>182.5676 * CHOOSE(CONTROL!$C$9, $D$9, 100%, $F$9) + CHOOSE(CONTROL!$C$27, 0.0021, 0)</f>
        <v>182.56970000000001</v>
      </c>
      <c r="D1054" s="14">
        <f>182.5676 * CHOOSE(CONTROL!$C$9, $D$9, 100%, $F$9) + CHOOSE(CONTROL!$C$27, 0.0021, 0)</f>
        <v>182.56970000000001</v>
      </c>
      <c r="E1054" s="14">
        <f>182.431 * CHOOSE(CONTROL!$C$9, $D$9, 100%, $F$9) + CHOOSE(CONTROL!$C$27, 0.0021, 0)</f>
        <v>182.43310000000002</v>
      </c>
      <c r="F1054" s="14">
        <f>182.431 * CHOOSE(CONTROL!$C$9, $D$9, 100%, $F$9) + CHOOSE(CONTROL!$C$27, 0.0021, 0)</f>
        <v>182.43310000000002</v>
      </c>
      <c r="G1054" s="14">
        <f>182.7024 * CHOOSE(CONTROL!$C$9, $D$9, 100%, $F$9) + CHOOSE(CONTROL!$C$27, 0.0021, 0)</f>
        <v>182.70450000000002</v>
      </c>
      <c r="H1054" s="14">
        <f>182.5676 * CHOOSE(CONTROL!$C$9, $D$9, 100%, $F$9) + CHOOSE(CONTROL!$C$27, 0.0021, 0)</f>
        <v>182.56970000000001</v>
      </c>
      <c r="I1054" s="14">
        <f>182.5676 * CHOOSE(CONTROL!$C$9, $D$9, 100%, $F$9) + CHOOSE(CONTROL!$C$27, 0.0021, 0)</f>
        <v>182.56970000000001</v>
      </c>
      <c r="J1054" s="14">
        <f>182.5676 * CHOOSE(CONTROL!$C$9, $D$9, 100%, $F$9) + CHOOSE(CONTROL!$C$27, 0.0021, 0)</f>
        <v>182.56970000000001</v>
      </c>
      <c r="K1054" s="14">
        <f>182.5676 * CHOOSE(CONTROL!$C$9, $D$9, 100%, $F$9) + CHOOSE(CONTROL!$C$27, 0.0021, 0)</f>
        <v>182.56970000000001</v>
      </c>
      <c r="L1054" s="14"/>
    </row>
    <row r="1055" spans="1:12" ht="15.75" x14ac:dyDescent="0.25">
      <c r="A1055" s="31">
        <v>73050</v>
      </c>
      <c r="B1055" s="14">
        <f>177.6374 * CHOOSE(CONTROL!$C$9, $D$9, 100%, $F$9) + CHOOSE(CONTROL!$C$27, 0.0021, 0)</f>
        <v>177.63950000000003</v>
      </c>
      <c r="C1055" s="14">
        <f>177.2051 * CHOOSE(CONTROL!$C$9, $D$9, 100%, $F$9) + CHOOSE(CONTROL!$C$27, 0.0021, 0)</f>
        <v>177.2072</v>
      </c>
      <c r="D1055" s="14">
        <f>177.2051 * CHOOSE(CONTROL!$C$9, $D$9, 100%, $F$9) + CHOOSE(CONTROL!$C$27, 0.0021, 0)</f>
        <v>177.2072</v>
      </c>
      <c r="E1055" s="14">
        <f>177.0685 * CHOOSE(CONTROL!$C$9, $D$9, 100%, $F$9) + CHOOSE(CONTROL!$C$27, 0.0021, 0)</f>
        <v>177.07060000000001</v>
      </c>
      <c r="F1055" s="14">
        <f>177.0685 * CHOOSE(CONTROL!$C$9, $D$9, 100%, $F$9) + CHOOSE(CONTROL!$C$27, 0.0021, 0)</f>
        <v>177.07060000000001</v>
      </c>
      <c r="G1055" s="14">
        <f>177.3398 * CHOOSE(CONTROL!$C$9, $D$9, 100%, $F$9) + CHOOSE(CONTROL!$C$27, 0.0021, 0)</f>
        <v>177.34190000000001</v>
      </c>
      <c r="H1055" s="14">
        <f>177.2051 * CHOOSE(CONTROL!$C$9, $D$9, 100%, $F$9) + CHOOSE(CONTROL!$C$27, 0.0021, 0)</f>
        <v>177.2072</v>
      </c>
      <c r="I1055" s="14">
        <f>177.2051 * CHOOSE(CONTROL!$C$9, $D$9, 100%, $F$9) + CHOOSE(CONTROL!$C$27, 0.0021, 0)</f>
        <v>177.2072</v>
      </c>
      <c r="J1055" s="14">
        <f>177.2051 * CHOOSE(CONTROL!$C$9, $D$9, 100%, $F$9) + CHOOSE(CONTROL!$C$27, 0.0021, 0)</f>
        <v>177.2072</v>
      </c>
      <c r="K1055" s="14">
        <f>177.2051 * CHOOSE(CONTROL!$C$9, $D$9, 100%, $F$9) + CHOOSE(CONTROL!$C$27, 0.0021, 0)</f>
        <v>177.2072</v>
      </c>
      <c r="L1055" s="14"/>
    </row>
    <row r="1056" spans="1:12" ht="15.75" x14ac:dyDescent="0.25">
      <c r="A1056" s="31">
        <v>73081</v>
      </c>
      <c r="B1056" s="14">
        <f>176.5934 * CHOOSE(CONTROL!$C$9, $D$9, 100%, $F$9) + CHOOSE(CONTROL!$C$27, 0.0021, 0)</f>
        <v>176.59550000000002</v>
      </c>
      <c r="C1056" s="14">
        <f>176.1611 * CHOOSE(CONTROL!$C$9, $D$9, 100%, $F$9) + CHOOSE(CONTROL!$C$27, 0.0021, 0)</f>
        <v>176.16320000000002</v>
      </c>
      <c r="D1056" s="14">
        <f>176.1611 * CHOOSE(CONTROL!$C$9, $D$9, 100%, $F$9) + CHOOSE(CONTROL!$C$27, 0.0021, 0)</f>
        <v>176.16320000000002</v>
      </c>
      <c r="E1056" s="14">
        <f>176.0244 * CHOOSE(CONTROL!$C$9, $D$9, 100%, $F$9) + CHOOSE(CONTROL!$C$27, 0.0021, 0)</f>
        <v>176.02650000000003</v>
      </c>
      <c r="F1056" s="14">
        <f>176.0244 * CHOOSE(CONTROL!$C$9, $D$9, 100%, $F$9) + CHOOSE(CONTROL!$C$27, 0.0021, 0)</f>
        <v>176.02650000000003</v>
      </c>
      <c r="G1056" s="14">
        <f>176.2958 * CHOOSE(CONTROL!$C$9, $D$9, 100%, $F$9) + CHOOSE(CONTROL!$C$27, 0.0021, 0)</f>
        <v>176.29790000000003</v>
      </c>
      <c r="H1056" s="14">
        <f>176.1611 * CHOOSE(CONTROL!$C$9, $D$9, 100%, $F$9) + CHOOSE(CONTROL!$C$27, 0.0021, 0)</f>
        <v>176.16320000000002</v>
      </c>
      <c r="I1056" s="14">
        <f>176.1611 * CHOOSE(CONTROL!$C$9, $D$9, 100%, $F$9) + CHOOSE(CONTROL!$C$27, 0.0021, 0)</f>
        <v>176.16320000000002</v>
      </c>
      <c r="J1056" s="14">
        <f>176.1611 * CHOOSE(CONTROL!$C$9, $D$9, 100%, $F$9) + CHOOSE(CONTROL!$C$27, 0.0021, 0)</f>
        <v>176.16320000000002</v>
      </c>
      <c r="K1056" s="14">
        <f>176.1611 * CHOOSE(CONTROL!$C$9, $D$9, 100%, $F$9) + CHOOSE(CONTROL!$C$27, 0.0021, 0)</f>
        <v>176.16320000000002</v>
      </c>
      <c r="L1056" s="14"/>
    </row>
    <row r="1057" spans="1:12" ht="15.75" x14ac:dyDescent="0.25">
      <c r="A1057" s="31">
        <v>73109</v>
      </c>
      <c r="B1057" s="14">
        <f>176.1089 * CHOOSE(CONTROL!$C$9, $D$9, 100%, $F$9) + CHOOSE(CONTROL!$C$27, 0.0021, 0)</f>
        <v>176.11100000000002</v>
      </c>
      <c r="C1057" s="14">
        <f>175.6766 * CHOOSE(CONTROL!$C$9, $D$9, 100%, $F$9) + CHOOSE(CONTROL!$C$27, 0.0021, 0)</f>
        <v>175.67870000000002</v>
      </c>
      <c r="D1057" s="14">
        <f>175.6766 * CHOOSE(CONTROL!$C$9, $D$9, 100%, $F$9) + CHOOSE(CONTROL!$C$27, 0.0021, 0)</f>
        <v>175.67870000000002</v>
      </c>
      <c r="E1057" s="14">
        <f>175.5399 * CHOOSE(CONTROL!$C$9, $D$9, 100%, $F$9) + CHOOSE(CONTROL!$C$27, 0.0021, 0)</f>
        <v>175.542</v>
      </c>
      <c r="F1057" s="14">
        <f>175.5399 * CHOOSE(CONTROL!$C$9, $D$9, 100%, $F$9) + CHOOSE(CONTROL!$C$27, 0.0021, 0)</f>
        <v>175.542</v>
      </c>
      <c r="G1057" s="14">
        <f>175.8113 * CHOOSE(CONTROL!$C$9, $D$9, 100%, $F$9) + CHOOSE(CONTROL!$C$27, 0.0021, 0)</f>
        <v>175.8134</v>
      </c>
      <c r="H1057" s="14">
        <f>175.6766 * CHOOSE(CONTROL!$C$9, $D$9, 100%, $F$9) + CHOOSE(CONTROL!$C$27, 0.0021, 0)</f>
        <v>175.67870000000002</v>
      </c>
      <c r="I1057" s="14">
        <f>175.6766 * CHOOSE(CONTROL!$C$9, $D$9, 100%, $F$9) + CHOOSE(CONTROL!$C$27, 0.0021, 0)</f>
        <v>175.67870000000002</v>
      </c>
      <c r="J1057" s="14">
        <f>175.6766 * CHOOSE(CONTROL!$C$9, $D$9, 100%, $F$9) + CHOOSE(CONTROL!$C$27, 0.0021, 0)</f>
        <v>175.67870000000002</v>
      </c>
      <c r="K1057" s="14">
        <f>175.6766 * CHOOSE(CONTROL!$C$9, $D$9, 100%, $F$9) + CHOOSE(CONTROL!$C$27, 0.0021, 0)</f>
        <v>175.67870000000002</v>
      </c>
      <c r="L1057" s="14"/>
    </row>
    <row r="1058" spans="1:12" ht="15.75" x14ac:dyDescent="0.25">
      <c r="A1058" s="31">
        <v>73140</v>
      </c>
      <c r="B1058" s="14">
        <f>185.27 * CHOOSE(CONTROL!$C$9, $D$9, 100%, $F$9) + CHOOSE(CONTROL!$C$27, 0.0021, 0)</f>
        <v>185.27210000000002</v>
      </c>
      <c r="C1058" s="14">
        <f>184.8377 * CHOOSE(CONTROL!$C$9, $D$9, 100%, $F$9) + CHOOSE(CONTROL!$C$27, 0.0021, 0)</f>
        <v>184.83980000000003</v>
      </c>
      <c r="D1058" s="14">
        <f>184.8377 * CHOOSE(CONTROL!$C$9, $D$9, 100%, $F$9) + CHOOSE(CONTROL!$C$27, 0.0021, 0)</f>
        <v>184.83980000000003</v>
      </c>
      <c r="E1058" s="14">
        <f>184.7011 * CHOOSE(CONTROL!$C$9, $D$9, 100%, $F$9) + CHOOSE(CONTROL!$C$27, 0.0021, 0)</f>
        <v>184.70320000000001</v>
      </c>
      <c r="F1058" s="14">
        <f>184.7011 * CHOOSE(CONTROL!$C$9, $D$9, 100%, $F$9) + CHOOSE(CONTROL!$C$27, 0.0021, 0)</f>
        <v>184.70320000000001</v>
      </c>
      <c r="G1058" s="14">
        <f>184.9725 * CHOOSE(CONTROL!$C$9, $D$9, 100%, $F$9) + CHOOSE(CONTROL!$C$27, 0.0021, 0)</f>
        <v>184.97460000000001</v>
      </c>
      <c r="H1058" s="14">
        <f>184.8377 * CHOOSE(CONTROL!$C$9, $D$9, 100%, $F$9) + CHOOSE(CONTROL!$C$27, 0.0021, 0)</f>
        <v>184.83980000000003</v>
      </c>
      <c r="I1058" s="14">
        <f>184.8377 * CHOOSE(CONTROL!$C$9, $D$9, 100%, $F$9) + CHOOSE(CONTROL!$C$27, 0.0021, 0)</f>
        <v>184.83980000000003</v>
      </c>
      <c r="J1058" s="14">
        <f>184.8377 * CHOOSE(CONTROL!$C$9, $D$9, 100%, $F$9) + CHOOSE(CONTROL!$C$27, 0.0021, 0)</f>
        <v>184.83980000000003</v>
      </c>
      <c r="K1058" s="14">
        <f>184.8377 * CHOOSE(CONTROL!$C$9, $D$9, 100%, $F$9) + CHOOSE(CONTROL!$C$27, 0.0021, 0)</f>
        <v>184.83980000000003</v>
      </c>
      <c r="L1058" s="14"/>
    </row>
    <row r="1059" spans="1:12" ht="15.75" x14ac:dyDescent="0.25">
      <c r="A1059" s="31">
        <v>73170</v>
      </c>
      <c r="B1059" s="14">
        <f>197.1498 * CHOOSE(CONTROL!$C$9, $D$9, 100%, $F$9) + CHOOSE(CONTROL!$C$27, 0.0021, 0)</f>
        <v>197.15190000000001</v>
      </c>
      <c r="C1059" s="14">
        <f>196.7175 * CHOOSE(CONTROL!$C$9, $D$9, 100%, $F$9) + CHOOSE(CONTROL!$C$27, 0.0021, 0)</f>
        <v>196.71960000000001</v>
      </c>
      <c r="D1059" s="14">
        <f>196.7175 * CHOOSE(CONTROL!$C$9, $D$9, 100%, $F$9) + CHOOSE(CONTROL!$C$27, 0.0021, 0)</f>
        <v>196.71960000000001</v>
      </c>
      <c r="E1059" s="14">
        <f>196.5809 * CHOOSE(CONTROL!$C$9, $D$9, 100%, $F$9) + CHOOSE(CONTROL!$C$27, 0.0021, 0)</f>
        <v>196.58300000000003</v>
      </c>
      <c r="F1059" s="14">
        <f>196.5809 * CHOOSE(CONTROL!$C$9, $D$9, 100%, $F$9) + CHOOSE(CONTROL!$C$27, 0.0021, 0)</f>
        <v>196.58300000000003</v>
      </c>
      <c r="G1059" s="14">
        <f>196.8523 * CHOOSE(CONTROL!$C$9, $D$9, 100%, $F$9) + CHOOSE(CONTROL!$C$27, 0.0021, 0)</f>
        <v>196.85440000000003</v>
      </c>
      <c r="H1059" s="14">
        <f>196.7175 * CHOOSE(CONTROL!$C$9, $D$9, 100%, $F$9) + CHOOSE(CONTROL!$C$27, 0.0021, 0)</f>
        <v>196.71960000000001</v>
      </c>
      <c r="I1059" s="14">
        <f>196.7175 * CHOOSE(CONTROL!$C$9, $D$9, 100%, $F$9) + CHOOSE(CONTROL!$C$27, 0.0021, 0)</f>
        <v>196.71960000000001</v>
      </c>
      <c r="J1059" s="14">
        <f>196.7175 * CHOOSE(CONTROL!$C$9, $D$9, 100%, $F$9) + CHOOSE(CONTROL!$C$27, 0.0021, 0)</f>
        <v>196.71960000000001</v>
      </c>
      <c r="K1059" s="14">
        <f>196.7175 * CHOOSE(CONTROL!$C$9, $D$9, 100%, $F$9) + CHOOSE(CONTROL!$C$27, 0.0021, 0)</f>
        <v>196.71960000000001</v>
      </c>
      <c r="L1059" s="14"/>
    </row>
    <row r="1060" spans="1:12" ht="15.75" x14ac:dyDescent="0.25">
      <c r="A1060" s="31">
        <v>73201</v>
      </c>
      <c r="B1060" s="14">
        <f>203.6888 * CHOOSE(CONTROL!$C$9, $D$9, 100%, $F$9) + CHOOSE(CONTROL!$C$27, 0.0021, 0)</f>
        <v>203.6909</v>
      </c>
      <c r="C1060" s="14">
        <f>203.2566 * CHOOSE(CONTROL!$C$9, $D$9, 100%, $F$9) + CHOOSE(CONTROL!$C$27, 0.0021, 0)</f>
        <v>203.2587</v>
      </c>
      <c r="D1060" s="14">
        <f>203.2566 * CHOOSE(CONTROL!$C$9, $D$9, 100%, $F$9) + CHOOSE(CONTROL!$C$27, 0.0021, 0)</f>
        <v>203.2587</v>
      </c>
      <c r="E1060" s="14">
        <f>203.1199 * CHOOSE(CONTROL!$C$9, $D$9, 100%, $F$9) + CHOOSE(CONTROL!$C$27, 0.0021, 0)</f>
        <v>203.12200000000001</v>
      </c>
      <c r="F1060" s="14">
        <f>203.1199 * CHOOSE(CONTROL!$C$9, $D$9, 100%, $F$9) + CHOOSE(CONTROL!$C$27, 0.0021, 0)</f>
        <v>203.12200000000001</v>
      </c>
      <c r="G1060" s="14">
        <f>203.3913 * CHOOSE(CONTROL!$C$9, $D$9, 100%, $F$9) + CHOOSE(CONTROL!$C$27, 0.0021, 0)</f>
        <v>203.39340000000001</v>
      </c>
      <c r="H1060" s="14">
        <f>203.2566 * CHOOSE(CONTROL!$C$9, $D$9, 100%, $F$9) + CHOOSE(CONTROL!$C$27, 0.0021, 0)</f>
        <v>203.2587</v>
      </c>
      <c r="I1060" s="14">
        <f>203.2566 * CHOOSE(CONTROL!$C$9, $D$9, 100%, $F$9) + CHOOSE(CONTROL!$C$27, 0.0021, 0)</f>
        <v>203.2587</v>
      </c>
      <c r="J1060" s="14">
        <f>203.2566 * CHOOSE(CONTROL!$C$9, $D$9, 100%, $F$9) + CHOOSE(CONTROL!$C$27, 0.0021, 0)</f>
        <v>203.2587</v>
      </c>
      <c r="K1060" s="14">
        <f>203.2566 * CHOOSE(CONTROL!$C$9, $D$9, 100%, $F$9) + CHOOSE(CONTROL!$C$27, 0.0021, 0)</f>
        <v>203.2587</v>
      </c>
      <c r="L1060" s="14"/>
    </row>
    <row r="1061" spans="1:12" ht="15.75" x14ac:dyDescent="0.25">
      <c r="A1061" s="31">
        <v>73231</v>
      </c>
      <c r="B1061" s="14">
        <f>206.5907 * CHOOSE(CONTROL!$C$9, $D$9, 100%, $F$9) + CHOOSE(CONTROL!$C$27, 0.0021, 0)</f>
        <v>206.59280000000001</v>
      </c>
      <c r="C1061" s="14">
        <f>206.1585 * CHOOSE(CONTROL!$C$9, $D$9, 100%, $F$9) + CHOOSE(CONTROL!$C$27, 0.0021, 0)</f>
        <v>206.16060000000002</v>
      </c>
      <c r="D1061" s="14">
        <f>206.1585 * CHOOSE(CONTROL!$C$9, $D$9, 100%, $F$9) + CHOOSE(CONTROL!$C$27, 0.0021, 0)</f>
        <v>206.16060000000002</v>
      </c>
      <c r="E1061" s="14">
        <f>206.0218 * CHOOSE(CONTROL!$C$9, $D$9, 100%, $F$9) + CHOOSE(CONTROL!$C$27, 0.0021, 0)</f>
        <v>206.02390000000003</v>
      </c>
      <c r="F1061" s="14">
        <f>206.0218 * CHOOSE(CONTROL!$C$9, $D$9, 100%, $F$9) + CHOOSE(CONTROL!$C$27, 0.0021, 0)</f>
        <v>206.02390000000003</v>
      </c>
      <c r="G1061" s="14">
        <f>206.2932 * CHOOSE(CONTROL!$C$9, $D$9, 100%, $F$9) + CHOOSE(CONTROL!$C$27, 0.0021, 0)</f>
        <v>206.29530000000003</v>
      </c>
      <c r="H1061" s="14">
        <f>206.1585 * CHOOSE(CONTROL!$C$9, $D$9, 100%, $F$9) + CHOOSE(CONTROL!$C$27, 0.0021, 0)</f>
        <v>206.16060000000002</v>
      </c>
      <c r="I1061" s="14">
        <f>206.1585 * CHOOSE(CONTROL!$C$9, $D$9, 100%, $F$9) + CHOOSE(CONTROL!$C$27, 0.0021, 0)</f>
        <v>206.16060000000002</v>
      </c>
      <c r="J1061" s="14">
        <f>206.1585 * CHOOSE(CONTROL!$C$9, $D$9, 100%, $F$9) + CHOOSE(CONTROL!$C$27, 0.0021, 0)</f>
        <v>206.16060000000002</v>
      </c>
      <c r="K1061" s="14">
        <f>206.1585 * CHOOSE(CONTROL!$C$9, $D$9, 100%, $F$9) + CHOOSE(CONTROL!$C$27, 0.0021, 0)</f>
        <v>206.16060000000002</v>
      </c>
      <c r="L1061" s="14"/>
    </row>
    <row r="1062" spans="1:12" ht="15.75" x14ac:dyDescent="0.25">
      <c r="A1062" s="31">
        <v>73262</v>
      </c>
      <c r="B1062" s="14">
        <f>205.6353 * CHOOSE(CONTROL!$C$9, $D$9, 100%, $F$9) + CHOOSE(CONTROL!$C$27, 0.0021, 0)</f>
        <v>205.63740000000001</v>
      </c>
      <c r="C1062" s="14">
        <f>205.203 * CHOOSE(CONTROL!$C$9, $D$9, 100%, $F$9) + CHOOSE(CONTROL!$C$27, 0.0021, 0)</f>
        <v>205.20510000000002</v>
      </c>
      <c r="D1062" s="14">
        <f>205.203 * CHOOSE(CONTROL!$C$9, $D$9, 100%, $F$9) + CHOOSE(CONTROL!$C$27, 0.0021, 0)</f>
        <v>205.20510000000002</v>
      </c>
      <c r="E1062" s="14">
        <f>205.0664 * CHOOSE(CONTROL!$C$9, $D$9, 100%, $F$9) + CHOOSE(CONTROL!$C$27, 0.0021, 0)</f>
        <v>205.0685</v>
      </c>
      <c r="F1062" s="14">
        <f>205.0664 * CHOOSE(CONTROL!$C$9, $D$9, 100%, $F$9) + CHOOSE(CONTROL!$C$27, 0.0021, 0)</f>
        <v>205.0685</v>
      </c>
      <c r="G1062" s="14">
        <f>205.3378 * CHOOSE(CONTROL!$C$9, $D$9, 100%, $F$9) + CHOOSE(CONTROL!$C$27, 0.0021, 0)</f>
        <v>205.3399</v>
      </c>
      <c r="H1062" s="14">
        <f>205.203 * CHOOSE(CONTROL!$C$9, $D$9, 100%, $F$9) + CHOOSE(CONTROL!$C$27, 0.0021, 0)</f>
        <v>205.20510000000002</v>
      </c>
      <c r="I1062" s="14">
        <f>205.203 * CHOOSE(CONTROL!$C$9, $D$9, 100%, $F$9) + CHOOSE(CONTROL!$C$27, 0.0021, 0)</f>
        <v>205.20510000000002</v>
      </c>
      <c r="J1062" s="14">
        <f>205.203 * CHOOSE(CONTROL!$C$9, $D$9, 100%, $F$9) + CHOOSE(CONTROL!$C$27, 0.0021, 0)</f>
        <v>205.20510000000002</v>
      </c>
      <c r="K1062" s="14">
        <f>205.203 * CHOOSE(CONTROL!$C$9, $D$9, 100%, $F$9) + CHOOSE(CONTROL!$C$27, 0.0021, 0)</f>
        <v>205.20510000000002</v>
      </c>
      <c r="L1062" s="14"/>
    </row>
    <row r="1063" spans="1:12" ht="15.75" x14ac:dyDescent="0.25">
      <c r="A1063" s="31">
        <v>73293</v>
      </c>
      <c r="B1063" s="14">
        <f>200.9015 * CHOOSE(CONTROL!$C$9, $D$9, 100%, $F$9) + CHOOSE(CONTROL!$C$27, 0.0021, 0)</f>
        <v>200.90360000000001</v>
      </c>
      <c r="C1063" s="14">
        <f>200.4693 * CHOOSE(CONTROL!$C$9, $D$9, 100%, $F$9) + CHOOSE(CONTROL!$C$27, 0.0021, 0)</f>
        <v>200.47140000000002</v>
      </c>
      <c r="D1063" s="14">
        <f>200.4693 * CHOOSE(CONTROL!$C$9, $D$9, 100%, $F$9) + CHOOSE(CONTROL!$C$27, 0.0021, 0)</f>
        <v>200.47140000000002</v>
      </c>
      <c r="E1063" s="14">
        <f>200.3326 * CHOOSE(CONTROL!$C$9, $D$9, 100%, $F$9) + CHOOSE(CONTROL!$C$27, 0.0021, 0)</f>
        <v>200.33470000000003</v>
      </c>
      <c r="F1063" s="14">
        <f>200.3326 * CHOOSE(CONTROL!$C$9, $D$9, 100%, $F$9) + CHOOSE(CONTROL!$C$27, 0.0021, 0)</f>
        <v>200.33470000000003</v>
      </c>
      <c r="G1063" s="14">
        <f>200.604 * CHOOSE(CONTROL!$C$9, $D$9, 100%, $F$9) + CHOOSE(CONTROL!$C$27, 0.0021, 0)</f>
        <v>200.60610000000003</v>
      </c>
      <c r="H1063" s="14">
        <f>200.4693 * CHOOSE(CONTROL!$C$9, $D$9, 100%, $F$9) + CHOOSE(CONTROL!$C$27, 0.0021, 0)</f>
        <v>200.47140000000002</v>
      </c>
      <c r="I1063" s="14">
        <f>200.4693 * CHOOSE(CONTROL!$C$9, $D$9, 100%, $F$9) + CHOOSE(CONTROL!$C$27, 0.0021, 0)</f>
        <v>200.47140000000002</v>
      </c>
      <c r="J1063" s="14">
        <f>200.4693 * CHOOSE(CONTROL!$C$9, $D$9, 100%, $F$9) + CHOOSE(CONTROL!$C$27, 0.0021, 0)</f>
        <v>200.47140000000002</v>
      </c>
      <c r="K1063" s="14">
        <f>200.4693 * CHOOSE(CONTROL!$C$9, $D$9, 100%, $F$9) + CHOOSE(CONTROL!$C$27, 0.0021, 0)</f>
        <v>200.47140000000002</v>
      </c>
      <c r="L1063" s="14"/>
    </row>
    <row r="1064" spans="1:12" ht="15.75" x14ac:dyDescent="0.25">
      <c r="A1064" s="31">
        <v>73323</v>
      </c>
      <c r="B1064" s="14">
        <f>194.3001 * CHOOSE(CONTROL!$C$9, $D$9, 100%, $F$9) + CHOOSE(CONTROL!$C$27, 0.0021, 0)</f>
        <v>194.3022</v>
      </c>
      <c r="C1064" s="14">
        <f>193.8679 * CHOOSE(CONTROL!$C$9, $D$9, 100%, $F$9) + CHOOSE(CONTROL!$C$27, 0.0021, 0)</f>
        <v>193.87</v>
      </c>
      <c r="D1064" s="14">
        <f>193.8679 * CHOOSE(CONTROL!$C$9, $D$9, 100%, $F$9) + CHOOSE(CONTROL!$C$27, 0.0021, 0)</f>
        <v>193.87</v>
      </c>
      <c r="E1064" s="14">
        <f>193.7312 * CHOOSE(CONTROL!$C$9, $D$9, 100%, $F$9) + CHOOSE(CONTROL!$C$27, 0.0021, 0)</f>
        <v>193.73330000000001</v>
      </c>
      <c r="F1064" s="14">
        <f>193.7312 * CHOOSE(CONTROL!$C$9, $D$9, 100%, $F$9) + CHOOSE(CONTROL!$C$27, 0.0021, 0)</f>
        <v>193.73330000000001</v>
      </c>
      <c r="G1064" s="14">
        <f>194.0026 * CHOOSE(CONTROL!$C$9, $D$9, 100%, $F$9) + CHOOSE(CONTROL!$C$27, 0.0021, 0)</f>
        <v>194.00470000000001</v>
      </c>
      <c r="H1064" s="14">
        <f>193.8679 * CHOOSE(CONTROL!$C$9, $D$9, 100%, $F$9) + CHOOSE(CONTROL!$C$27, 0.0021, 0)</f>
        <v>193.87</v>
      </c>
      <c r="I1064" s="14">
        <f>193.8679 * CHOOSE(CONTROL!$C$9, $D$9, 100%, $F$9) + CHOOSE(CONTROL!$C$27, 0.0021, 0)</f>
        <v>193.87</v>
      </c>
      <c r="J1064" s="14">
        <f>193.8679 * CHOOSE(CONTROL!$C$9, $D$9, 100%, $F$9) + CHOOSE(CONTROL!$C$27, 0.0021, 0)</f>
        <v>193.87</v>
      </c>
      <c r="K1064" s="14">
        <f>193.8679 * CHOOSE(CONTROL!$C$9, $D$9, 100%, $F$9) + CHOOSE(CONTROL!$C$27, 0.0021, 0)</f>
        <v>193.87</v>
      </c>
      <c r="L1064" s="14"/>
    </row>
    <row r="1065" spans="1:12" ht="15.75" x14ac:dyDescent="0.25">
      <c r="A1065" s="31">
        <v>73354</v>
      </c>
      <c r="B1065" s="14">
        <f>187.6603 * CHOOSE(CONTROL!$C$9, $D$9, 100%, $F$9) + CHOOSE(CONTROL!$C$27, 0.0021, 0)</f>
        <v>187.66240000000002</v>
      </c>
      <c r="C1065" s="14">
        <f>187.228 * CHOOSE(CONTROL!$C$9, $D$9, 100%, $F$9) + CHOOSE(CONTROL!$C$27, 0.0021, 0)</f>
        <v>187.23010000000002</v>
      </c>
      <c r="D1065" s="14">
        <f>187.228 * CHOOSE(CONTROL!$C$9, $D$9, 100%, $F$9) + CHOOSE(CONTROL!$C$27, 0.0021, 0)</f>
        <v>187.23010000000002</v>
      </c>
      <c r="E1065" s="14">
        <f>187.0914 * CHOOSE(CONTROL!$C$9, $D$9, 100%, $F$9) + CHOOSE(CONTROL!$C$27, 0.0021, 0)</f>
        <v>187.09350000000001</v>
      </c>
      <c r="F1065" s="14">
        <f>187.0914 * CHOOSE(CONTROL!$C$9, $D$9, 100%, $F$9) + CHOOSE(CONTROL!$C$27, 0.0021, 0)</f>
        <v>187.09350000000001</v>
      </c>
      <c r="G1065" s="14">
        <f>187.3628 * CHOOSE(CONTROL!$C$9, $D$9, 100%, $F$9) + CHOOSE(CONTROL!$C$27, 0.0021, 0)</f>
        <v>187.36490000000001</v>
      </c>
      <c r="H1065" s="14">
        <f>187.228 * CHOOSE(CONTROL!$C$9, $D$9, 100%, $F$9) + CHOOSE(CONTROL!$C$27, 0.0021, 0)</f>
        <v>187.23010000000002</v>
      </c>
      <c r="I1065" s="14">
        <f>187.228 * CHOOSE(CONTROL!$C$9, $D$9, 100%, $F$9) + CHOOSE(CONTROL!$C$27, 0.0021, 0)</f>
        <v>187.23010000000002</v>
      </c>
      <c r="J1065" s="14">
        <f>187.228 * CHOOSE(CONTROL!$C$9, $D$9, 100%, $F$9) + CHOOSE(CONTROL!$C$27, 0.0021, 0)</f>
        <v>187.23010000000002</v>
      </c>
      <c r="K1065" s="14">
        <f>187.228 * CHOOSE(CONTROL!$C$9, $D$9, 100%, $F$9) + CHOOSE(CONTROL!$C$27, 0.0021, 0)</f>
        <v>187.23010000000002</v>
      </c>
      <c r="L1065" s="14"/>
    </row>
    <row r="1066" spans="1:12" ht="15.75" x14ac:dyDescent="0.25">
      <c r="A1066" s="31">
        <v>73384</v>
      </c>
      <c r="B1066" s="14">
        <f>186.3395 * CHOOSE(CONTROL!$C$9, $D$9, 100%, $F$9) + CHOOSE(CONTROL!$C$27, 0.0021, 0)</f>
        <v>186.3416</v>
      </c>
      <c r="C1066" s="14">
        <f>185.9073 * CHOOSE(CONTROL!$C$9, $D$9, 100%, $F$9) + CHOOSE(CONTROL!$C$27, 0.0021, 0)</f>
        <v>185.90940000000001</v>
      </c>
      <c r="D1066" s="14">
        <f>185.9073 * CHOOSE(CONTROL!$C$9, $D$9, 100%, $F$9) + CHOOSE(CONTROL!$C$27, 0.0021, 0)</f>
        <v>185.90940000000001</v>
      </c>
      <c r="E1066" s="14">
        <f>185.7706 * CHOOSE(CONTROL!$C$9, $D$9, 100%, $F$9) + CHOOSE(CONTROL!$C$27, 0.0021, 0)</f>
        <v>185.77270000000001</v>
      </c>
      <c r="F1066" s="14">
        <f>185.7706 * CHOOSE(CONTROL!$C$9, $D$9, 100%, $F$9) + CHOOSE(CONTROL!$C$27, 0.0021, 0)</f>
        <v>185.77270000000001</v>
      </c>
      <c r="G1066" s="14">
        <f>186.042 * CHOOSE(CONTROL!$C$9, $D$9, 100%, $F$9) + CHOOSE(CONTROL!$C$27, 0.0021, 0)</f>
        <v>186.04410000000001</v>
      </c>
      <c r="H1066" s="14">
        <f>185.9073 * CHOOSE(CONTROL!$C$9, $D$9, 100%, $F$9) + CHOOSE(CONTROL!$C$27, 0.0021, 0)</f>
        <v>185.90940000000001</v>
      </c>
      <c r="I1066" s="14">
        <f>185.9073 * CHOOSE(CONTROL!$C$9, $D$9, 100%, $F$9) + CHOOSE(CONTROL!$C$27, 0.0021, 0)</f>
        <v>185.90940000000001</v>
      </c>
      <c r="J1066" s="14">
        <f>185.9073 * CHOOSE(CONTROL!$C$9, $D$9, 100%, $F$9) + CHOOSE(CONTROL!$C$27, 0.0021, 0)</f>
        <v>185.90940000000001</v>
      </c>
      <c r="K1066" s="14">
        <f>185.9073 * CHOOSE(CONTROL!$C$9, $D$9, 100%, $F$9) + CHOOSE(CONTROL!$C$27, 0.0021, 0)</f>
        <v>185.90940000000001</v>
      </c>
      <c r="L1066" s="14"/>
    </row>
    <row r="1067" spans="1:12" ht="15.75" x14ac:dyDescent="0.25">
      <c r="A1067" s="31">
        <v>73415</v>
      </c>
      <c r="B1067" s="14">
        <f>180.8779 * CHOOSE(CONTROL!$C$9, $D$9, 100%, $F$9) + CHOOSE(CONTROL!$C$27, 0.0021, 0)</f>
        <v>180.88000000000002</v>
      </c>
      <c r="C1067" s="14">
        <f>180.4456 * CHOOSE(CONTROL!$C$9, $D$9, 100%, $F$9) + CHOOSE(CONTROL!$C$27, 0.0021, 0)</f>
        <v>180.44770000000003</v>
      </c>
      <c r="D1067" s="14">
        <f>180.4456 * CHOOSE(CONTROL!$C$9, $D$9, 100%, $F$9) + CHOOSE(CONTROL!$C$27, 0.0021, 0)</f>
        <v>180.44770000000003</v>
      </c>
      <c r="E1067" s="14">
        <f>180.309 * CHOOSE(CONTROL!$C$9, $D$9, 100%, $F$9) + CHOOSE(CONTROL!$C$27, 0.0021, 0)</f>
        <v>180.31110000000001</v>
      </c>
      <c r="F1067" s="14">
        <f>180.309 * CHOOSE(CONTROL!$C$9, $D$9, 100%, $F$9) + CHOOSE(CONTROL!$C$27, 0.0021, 0)</f>
        <v>180.31110000000001</v>
      </c>
      <c r="G1067" s="14">
        <f>180.5804 * CHOOSE(CONTROL!$C$9, $D$9, 100%, $F$9) + CHOOSE(CONTROL!$C$27, 0.0021, 0)</f>
        <v>180.58250000000001</v>
      </c>
      <c r="H1067" s="14">
        <f>180.4456 * CHOOSE(CONTROL!$C$9, $D$9, 100%, $F$9) + CHOOSE(CONTROL!$C$27, 0.0021, 0)</f>
        <v>180.44770000000003</v>
      </c>
      <c r="I1067" s="14">
        <f>180.4456 * CHOOSE(CONTROL!$C$9, $D$9, 100%, $F$9) + CHOOSE(CONTROL!$C$27, 0.0021, 0)</f>
        <v>180.44770000000003</v>
      </c>
      <c r="J1067" s="14">
        <f>180.4456 * CHOOSE(CONTROL!$C$9, $D$9, 100%, $F$9) + CHOOSE(CONTROL!$C$27, 0.0021, 0)</f>
        <v>180.44770000000003</v>
      </c>
      <c r="K1067" s="14">
        <f>180.4456 * CHOOSE(CONTROL!$C$9, $D$9, 100%, $F$9) + CHOOSE(CONTROL!$C$27, 0.0021, 0)</f>
        <v>180.44770000000003</v>
      </c>
      <c r="L1067" s="14"/>
    </row>
    <row r="1068" spans="1:12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  <c r="L1068" s="14"/>
    </row>
    <row r="1069" spans="1:12" ht="15" x14ac:dyDescent="0.2">
      <c r="A1069" s="10">
        <v>2013</v>
      </c>
      <c r="B1069" s="14">
        <f>AVERAGE(B12:B23)</f>
        <v>23.279674102713077</v>
      </c>
      <c r="C1069" s="14">
        <f>AVERAGE(C12:C23)</f>
        <v>22.847417270237361</v>
      </c>
      <c r="D1069" s="14"/>
      <c r="E1069" s="14">
        <f t="shared" ref="E1069:K1069" si="0">AVERAGE(E12:E23)</f>
        <v>22.710771358287687</v>
      </c>
      <c r="F1069" s="14">
        <f t="shared" si="0"/>
        <v>22.710771358287687</v>
      </c>
      <c r="G1069" s="14">
        <f t="shared" si="0"/>
        <v>22.982150760803407</v>
      </c>
      <c r="H1069" s="14">
        <f t="shared" si="0"/>
        <v>22.847417270237361</v>
      </c>
      <c r="I1069" s="14">
        <f t="shared" si="0"/>
        <v>22.847417270237361</v>
      </c>
      <c r="J1069" s="14">
        <f t="shared" si="0"/>
        <v>22.487214354285396</v>
      </c>
      <c r="K1069" s="14">
        <f t="shared" si="0"/>
        <v>22.847417270237361</v>
      </c>
      <c r="L1069" s="14"/>
    </row>
    <row r="1070" spans="1:12" ht="15" x14ac:dyDescent="0.2">
      <c r="A1070" s="10">
        <v>2014</v>
      </c>
      <c r="B1070" s="14">
        <f>AVERAGE(B24:B35)</f>
        <v>22.837591666666665</v>
      </c>
      <c r="C1070" s="14">
        <f>AVERAGE(C24:C35)</f>
        <v>22.405325000000001</v>
      </c>
      <c r="D1070" s="14"/>
      <c r="E1070" s="14">
        <f t="shared" ref="E1070:K1070" si="1">AVERAGE(E24:E35)</f>
        <v>22.268691666666665</v>
      </c>
      <c r="F1070" s="14">
        <f t="shared" si="1"/>
        <v>22.268691666666665</v>
      </c>
      <c r="G1070" s="14">
        <f t="shared" si="1"/>
        <v>22.540066666666664</v>
      </c>
      <c r="H1070" s="14">
        <f t="shared" si="1"/>
        <v>22.405325000000001</v>
      </c>
      <c r="I1070" s="14">
        <f t="shared" si="1"/>
        <v>22.405325000000001</v>
      </c>
      <c r="J1070" s="14">
        <f t="shared" si="1"/>
        <v>22.045124999999999</v>
      </c>
      <c r="K1070" s="14">
        <f t="shared" si="1"/>
        <v>22.405325000000001</v>
      </c>
      <c r="L1070" s="14"/>
    </row>
    <row r="1071" spans="1:12" ht="15" x14ac:dyDescent="0.2">
      <c r="A1071" s="10">
        <v>2015</v>
      </c>
      <c r="B1071" s="14">
        <f>AVERAGE(B36:B47)</f>
        <v>22.275066666666664</v>
      </c>
      <c r="C1071" s="14">
        <f>AVERAGE(C36:C47)</f>
        <v>21.842816666666668</v>
      </c>
      <c r="D1071" s="14"/>
      <c r="E1071" s="14">
        <f t="shared" ref="E1071:K1071" si="2">AVERAGE(E36:E47)</f>
        <v>21.706158333333331</v>
      </c>
      <c r="F1071" s="14">
        <f t="shared" si="2"/>
        <v>21.706158333333331</v>
      </c>
      <c r="G1071" s="14">
        <f t="shared" si="2"/>
        <v>21.97753333333333</v>
      </c>
      <c r="H1071" s="14">
        <f t="shared" si="2"/>
        <v>21.842816666666668</v>
      </c>
      <c r="I1071" s="14">
        <f t="shared" si="2"/>
        <v>21.842816666666668</v>
      </c>
      <c r="J1071" s="14">
        <f t="shared" si="2"/>
        <v>21.842816666666668</v>
      </c>
      <c r="K1071" s="14">
        <f t="shared" si="2"/>
        <v>21.842816666666668</v>
      </c>
      <c r="L1071" s="14"/>
    </row>
    <row r="1072" spans="1:12" ht="15" x14ac:dyDescent="0.2">
      <c r="A1072" s="10">
        <v>2016</v>
      </c>
      <c r="B1072" s="14">
        <f>AVERAGE(B48:B59)</f>
        <v>24.322466666666667</v>
      </c>
      <c r="C1072" s="14">
        <f>AVERAGE(C48:C59)</f>
        <v>23.890199999999997</v>
      </c>
      <c r="D1072" s="14"/>
      <c r="E1072" s="14">
        <f t="shared" ref="E1072:K1072" si="3">AVERAGE(E48:E59)</f>
        <v>23.753566666666668</v>
      </c>
      <c r="F1072" s="14">
        <f t="shared" si="3"/>
        <v>23.753566666666668</v>
      </c>
      <c r="G1072" s="14">
        <f t="shared" si="3"/>
        <v>24.02491666666667</v>
      </c>
      <c r="H1072" s="14">
        <f t="shared" si="3"/>
        <v>23.890199999999997</v>
      </c>
      <c r="I1072" s="14">
        <f t="shared" si="3"/>
        <v>23.890199999999997</v>
      </c>
      <c r="J1072" s="14">
        <f t="shared" si="3"/>
        <v>23.890199999999997</v>
      </c>
      <c r="K1072" s="14">
        <f t="shared" si="3"/>
        <v>23.890199999999997</v>
      </c>
      <c r="L1072" s="14"/>
    </row>
    <row r="1073" spans="1:12" ht="15" x14ac:dyDescent="0.2">
      <c r="A1073" s="10">
        <v>2017</v>
      </c>
      <c r="B1073" s="14">
        <f>AVERAGE(B60:B71)</f>
        <v>25.128666666666664</v>
      </c>
      <c r="C1073" s="14">
        <f>AVERAGE(C60:C71)</f>
        <v>24.696391666666671</v>
      </c>
      <c r="D1073" s="14"/>
      <c r="E1073" s="14">
        <f t="shared" ref="E1073:K1073" si="4">AVERAGE(E60:E71)</f>
        <v>24.559749999999994</v>
      </c>
      <c r="F1073" s="14">
        <f t="shared" si="4"/>
        <v>24.559749999999994</v>
      </c>
      <c r="G1073" s="14">
        <f t="shared" si="4"/>
        <v>24.831116666666663</v>
      </c>
      <c r="H1073" s="14">
        <f t="shared" si="4"/>
        <v>24.696391666666671</v>
      </c>
      <c r="I1073" s="14">
        <f t="shared" si="4"/>
        <v>24.696391666666671</v>
      </c>
      <c r="J1073" s="14">
        <f t="shared" si="4"/>
        <v>24.696391666666671</v>
      </c>
      <c r="K1073" s="14">
        <f t="shared" si="4"/>
        <v>24.696391666666671</v>
      </c>
      <c r="L1073" s="14"/>
    </row>
    <row r="1074" spans="1:12" ht="15" x14ac:dyDescent="0.2">
      <c r="A1074" s="10">
        <v>2018</v>
      </c>
      <c r="B1074" s="14">
        <f>AVERAGE(B72:B83)</f>
        <v>29.022149999999996</v>
      </c>
      <c r="C1074" s="14">
        <f>AVERAGE(C72:C83)</f>
        <v>28.589916666666664</v>
      </c>
      <c r="D1074" s="14"/>
      <c r="E1074" s="14">
        <f t="shared" ref="E1074:K1074" si="5">AVERAGE(E72:E83)</f>
        <v>28.45323333333333</v>
      </c>
      <c r="F1074" s="14">
        <f t="shared" si="5"/>
        <v>28.45323333333333</v>
      </c>
      <c r="G1074" s="14">
        <f t="shared" si="5"/>
        <v>28.724616666666666</v>
      </c>
      <c r="H1074" s="14">
        <f t="shared" si="5"/>
        <v>28.589916666666664</v>
      </c>
      <c r="I1074" s="14">
        <f t="shared" si="5"/>
        <v>28.589916666666664</v>
      </c>
      <c r="J1074" s="14">
        <f t="shared" si="5"/>
        <v>28.589916666666664</v>
      </c>
      <c r="K1074" s="14">
        <f t="shared" si="5"/>
        <v>28.589916666666664</v>
      </c>
      <c r="L1074" s="14"/>
    </row>
    <row r="1075" spans="1:12" ht="15" x14ac:dyDescent="0.2">
      <c r="A1075" s="10">
        <v>2019</v>
      </c>
      <c r="B1075" s="14">
        <f>AVERAGE(B84:B95)</f>
        <v>30.382450000000002</v>
      </c>
      <c r="C1075" s="14">
        <f>AVERAGE(C84:C95)</f>
        <v>29.950200000000006</v>
      </c>
      <c r="D1075" s="14"/>
      <c r="E1075" s="14">
        <f t="shared" ref="E1075:K1075" si="6">AVERAGE(E84:E95)</f>
        <v>29.813549999999992</v>
      </c>
      <c r="F1075" s="14">
        <f t="shared" si="6"/>
        <v>29.813549999999992</v>
      </c>
      <c r="G1075" s="14">
        <f t="shared" si="6"/>
        <v>30.084916666666661</v>
      </c>
      <c r="H1075" s="14">
        <f t="shared" si="6"/>
        <v>29.950200000000006</v>
      </c>
      <c r="I1075" s="14">
        <f t="shared" si="6"/>
        <v>29.950200000000006</v>
      </c>
      <c r="J1075" s="14">
        <f t="shared" si="6"/>
        <v>29.950200000000006</v>
      </c>
      <c r="K1075" s="14">
        <f t="shared" si="6"/>
        <v>29.950200000000006</v>
      </c>
      <c r="L1075" s="14"/>
    </row>
    <row r="1076" spans="1:12" ht="15" x14ac:dyDescent="0.2">
      <c r="A1076" s="10">
        <v>2020</v>
      </c>
      <c r="B1076" s="14">
        <f>AVERAGE(B96:B107)</f>
        <v>31.973575</v>
      </c>
      <c r="C1076" s="14">
        <f>AVERAGE(C96:C107)</f>
        <v>31.541349999999998</v>
      </c>
      <c r="D1076" s="14"/>
      <c r="E1076" s="14">
        <f t="shared" ref="E1076:K1076" si="7">AVERAGE(E96:E107)</f>
        <v>31.404674999999997</v>
      </c>
      <c r="F1076" s="14">
        <f t="shared" si="7"/>
        <v>31.404674999999997</v>
      </c>
      <c r="G1076" s="14">
        <f t="shared" si="7"/>
        <v>31.676066666666667</v>
      </c>
      <c r="H1076" s="14">
        <f t="shared" si="7"/>
        <v>31.541349999999998</v>
      </c>
      <c r="I1076" s="14">
        <f t="shared" si="7"/>
        <v>31.541349999999998</v>
      </c>
      <c r="J1076" s="14">
        <f t="shared" si="7"/>
        <v>31.541349999999998</v>
      </c>
      <c r="K1076" s="14">
        <f t="shared" si="7"/>
        <v>31.541349999999998</v>
      </c>
      <c r="L1076" s="14"/>
    </row>
    <row r="1077" spans="1:12" ht="15" x14ac:dyDescent="0.2">
      <c r="A1077" s="10">
        <v>2021</v>
      </c>
      <c r="B1077" s="14">
        <f>AVERAGE(B108:B119)</f>
        <v>34.254641666666664</v>
      </c>
      <c r="C1077" s="14">
        <f>AVERAGE(C108:C119)</f>
        <v>33.822400000000002</v>
      </c>
      <c r="D1077" s="14"/>
      <c r="E1077" s="14">
        <f t="shared" ref="E1077:K1077" si="8">AVERAGE(E108:E119)</f>
        <v>33.685733333333332</v>
      </c>
      <c r="F1077" s="14">
        <f t="shared" si="8"/>
        <v>33.685733333333332</v>
      </c>
      <c r="G1077" s="14">
        <f t="shared" si="8"/>
        <v>33.957108333333331</v>
      </c>
      <c r="H1077" s="14">
        <f t="shared" si="8"/>
        <v>33.822400000000002</v>
      </c>
      <c r="I1077" s="14">
        <f t="shared" si="8"/>
        <v>33.822400000000002</v>
      </c>
      <c r="J1077" s="14">
        <f t="shared" si="8"/>
        <v>33.822400000000002</v>
      </c>
      <c r="K1077" s="14">
        <f t="shared" si="8"/>
        <v>33.822400000000002</v>
      </c>
      <c r="L1077" s="14"/>
    </row>
    <row r="1078" spans="1:12" ht="15" x14ac:dyDescent="0.2">
      <c r="A1078" s="10">
        <v>2022</v>
      </c>
      <c r="B1078" s="14">
        <f>AVERAGE(B120:B131)</f>
        <v>36.744800000000005</v>
      </c>
      <c r="C1078" s="14">
        <f>AVERAGE(C120:C131)</f>
        <v>36.312541666666668</v>
      </c>
      <c r="D1078" s="14"/>
      <c r="E1078" s="14">
        <f t="shared" ref="E1078:K1078" si="9">AVERAGE(E120:E131)</f>
        <v>36.175883333333331</v>
      </c>
      <c r="F1078" s="14">
        <f t="shared" si="9"/>
        <v>36.175883333333331</v>
      </c>
      <c r="G1078" s="14">
        <f t="shared" si="9"/>
        <v>36.447266666666671</v>
      </c>
      <c r="H1078" s="14">
        <f t="shared" si="9"/>
        <v>36.312541666666668</v>
      </c>
      <c r="I1078" s="14">
        <f t="shared" si="9"/>
        <v>36.312541666666668</v>
      </c>
      <c r="J1078" s="14">
        <f t="shared" si="9"/>
        <v>36.312541666666668</v>
      </c>
      <c r="K1078" s="14">
        <f t="shared" si="9"/>
        <v>36.312541666666668</v>
      </c>
      <c r="L1078" s="14"/>
    </row>
    <row r="1079" spans="1:12" ht="15" x14ac:dyDescent="0.2">
      <c r="A1079" s="10">
        <v>2023</v>
      </c>
      <c r="B1079" s="14">
        <f>AVERAGE(B132:B143)</f>
        <v>39.278350000000003</v>
      </c>
      <c r="C1079" s="14">
        <f>AVERAGE(C132:C143)</f>
        <v>38.846091666666666</v>
      </c>
      <c r="D1079" s="14"/>
      <c r="E1079" s="14">
        <f t="shared" ref="E1079:K1079" si="10">AVERAGE(E132:E143)</f>
        <v>38.709450000000004</v>
      </c>
      <c r="F1079" s="14">
        <f t="shared" si="10"/>
        <v>38.709450000000004</v>
      </c>
      <c r="G1079" s="14">
        <f t="shared" si="10"/>
        <v>38.980808333333336</v>
      </c>
      <c r="H1079" s="14">
        <f t="shared" si="10"/>
        <v>38.846091666666666</v>
      </c>
      <c r="I1079" s="14">
        <f t="shared" si="10"/>
        <v>38.846091666666666</v>
      </c>
      <c r="J1079" s="14">
        <f t="shared" si="10"/>
        <v>38.846091666666666</v>
      </c>
      <c r="K1079" s="14">
        <f t="shared" si="10"/>
        <v>38.846091666666666</v>
      </c>
      <c r="L1079" s="14"/>
    </row>
    <row r="1080" spans="1:12" ht="15" x14ac:dyDescent="0.2">
      <c r="A1080" s="10">
        <v>2024</v>
      </c>
      <c r="B1080" s="14">
        <f>AVERAGE(B144:B155)</f>
        <v>41.871083333333338</v>
      </c>
      <c r="C1080" s="14">
        <f>AVERAGE(C144:C155)</f>
        <v>41.438849999999995</v>
      </c>
      <c r="D1080" s="14"/>
      <c r="E1080" s="14">
        <f t="shared" ref="E1080:K1080" si="11">AVERAGE(E144:E155)</f>
        <v>41.302183333333325</v>
      </c>
      <c r="F1080" s="14">
        <f t="shared" si="11"/>
        <v>41.302183333333325</v>
      </c>
      <c r="G1080" s="14">
        <f t="shared" si="11"/>
        <v>41.573574999999998</v>
      </c>
      <c r="H1080" s="14">
        <f t="shared" si="11"/>
        <v>41.438849999999995</v>
      </c>
      <c r="I1080" s="14">
        <f t="shared" si="11"/>
        <v>41.438849999999995</v>
      </c>
      <c r="J1080" s="14">
        <f t="shared" si="11"/>
        <v>41.438849999999995</v>
      </c>
      <c r="K1080" s="14">
        <f t="shared" si="11"/>
        <v>41.438849999999995</v>
      </c>
      <c r="L1080" s="14"/>
    </row>
    <row r="1081" spans="1:12" ht="15" x14ac:dyDescent="0.2">
      <c r="A1081" s="10">
        <v>2025</v>
      </c>
      <c r="B1081" s="14">
        <f>AVERAGE(B156:B167)</f>
        <v>44.504191666666664</v>
      </c>
      <c r="C1081" s="14">
        <f>AVERAGE(C156:C167)</f>
        <v>44.071941666666667</v>
      </c>
      <c r="D1081" s="14"/>
      <c r="E1081" s="14">
        <f t="shared" ref="E1081:K1081" si="12">AVERAGE(E156:E167)</f>
        <v>43.935283333333331</v>
      </c>
      <c r="F1081" s="14">
        <f t="shared" si="12"/>
        <v>43.935283333333331</v>
      </c>
      <c r="G1081" s="14">
        <f t="shared" si="12"/>
        <v>44.206650000000003</v>
      </c>
      <c r="H1081" s="14">
        <f t="shared" si="12"/>
        <v>44.071941666666667</v>
      </c>
      <c r="I1081" s="14">
        <f t="shared" si="12"/>
        <v>44.071941666666667</v>
      </c>
      <c r="J1081" s="14">
        <f t="shared" si="12"/>
        <v>44.071941666666667</v>
      </c>
      <c r="K1081" s="14">
        <f t="shared" si="12"/>
        <v>44.071941666666667</v>
      </c>
      <c r="L1081" s="14"/>
    </row>
    <row r="1082" spans="1:12" ht="15" x14ac:dyDescent="0.2">
      <c r="A1082" s="10">
        <v>2026</v>
      </c>
      <c r="B1082" s="14">
        <f>AVERAGE(B168:B179)</f>
        <v>46.482824999999991</v>
      </c>
      <c r="C1082" s="14">
        <f>AVERAGE(C168:C179)</f>
        <v>46.050566666666668</v>
      </c>
      <c r="D1082" s="14"/>
      <c r="E1082" s="14">
        <f t="shared" ref="E1082:K1082" si="13">AVERAGE(E168:E179)</f>
        <v>45.913924999999999</v>
      </c>
      <c r="F1082" s="14">
        <f t="shared" si="13"/>
        <v>45.913924999999999</v>
      </c>
      <c r="G1082" s="14">
        <f t="shared" si="13"/>
        <v>46.185308333333325</v>
      </c>
      <c r="H1082" s="14">
        <f t="shared" si="13"/>
        <v>46.050566666666668</v>
      </c>
      <c r="I1082" s="14">
        <f t="shared" si="13"/>
        <v>46.050566666666668</v>
      </c>
      <c r="J1082" s="14">
        <f t="shared" si="13"/>
        <v>46.050566666666668</v>
      </c>
      <c r="K1082" s="14">
        <f t="shared" si="13"/>
        <v>46.050566666666668</v>
      </c>
      <c r="L1082" s="14"/>
    </row>
    <row r="1083" spans="1:12" ht="15" x14ac:dyDescent="0.2">
      <c r="A1083" s="10">
        <v>2027</v>
      </c>
      <c r="B1083" s="14">
        <f>AVERAGE(B180:B191)</f>
        <v>48.498216666666671</v>
      </c>
      <c r="C1083" s="14">
        <f>AVERAGE(C180:C191)</f>
        <v>48.065991666666662</v>
      </c>
      <c r="D1083" s="14"/>
      <c r="E1083" s="14">
        <f t="shared" ref="E1083:K1083" si="14">AVERAGE(E180:E191)</f>
        <v>47.929308333333331</v>
      </c>
      <c r="F1083" s="14">
        <f t="shared" si="14"/>
        <v>47.929308333333331</v>
      </c>
      <c r="G1083" s="14">
        <f t="shared" si="14"/>
        <v>48.200691666666671</v>
      </c>
      <c r="H1083" s="14">
        <f t="shared" si="14"/>
        <v>48.065991666666662</v>
      </c>
      <c r="I1083" s="14">
        <f t="shared" si="14"/>
        <v>48.065991666666662</v>
      </c>
      <c r="J1083" s="14">
        <f t="shared" si="14"/>
        <v>48.065991666666662</v>
      </c>
      <c r="K1083" s="14">
        <f t="shared" si="14"/>
        <v>48.065991666666662</v>
      </c>
      <c r="L1083" s="14"/>
    </row>
    <row r="1084" spans="1:12" ht="15" x14ac:dyDescent="0.2">
      <c r="A1084" s="10">
        <v>2028</v>
      </c>
      <c r="B1084" s="14">
        <f>AVERAGE(B192:B203)</f>
        <v>50.511316666666659</v>
      </c>
      <c r="C1084" s="14">
        <f>AVERAGE(C192:C203)</f>
        <v>50.07906666666667</v>
      </c>
      <c r="D1084" s="14"/>
      <c r="E1084" s="14">
        <f t="shared" ref="E1084:K1084" si="15">AVERAGE(E192:E203)</f>
        <v>49.942391666666673</v>
      </c>
      <c r="F1084" s="14">
        <f t="shared" si="15"/>
        <v>49.942391666666673</v>
      </c>
      <c r="G1084" s="14">
        <f t="shared" si="15"/>
        <v>50.213774999999991</v>
      </c>
      <c r="H1084" s="14">
        <f t="shared" si="15"/>
        <v>50.07906666666667</v>
      </c>
      <c r="I1084" s="14">
        <f t="shared" si="15"/>
        <v>50.07906666666667</v>
      </c>
      <c r="J1084" s="14">
        <f t="shared" si="15"/>
        <v>50.07906666666667</v>
      </c>
      <c r="K1084" s="14">
        <f t="shared" si="15"/>
        <v>50.07906666666667</v>
      </c>
      <c r="L1084" s="14"/>
    </row>
    <row r="1085" spans="1:12" ht="15" x14ac:dyDescent="0.2">
      <c r="A1085" s="10">
        <v>2029</v>
      </c>
      <c r="B1085" s="14">
        <f>AVERAGE(B204:B215)</f>
        <v>52.639433333333336</v>
      </c>
      <c r="C1085" s="14">
        <f>AVERAGE(C204:C215)</f>
        <v>52.207158333333332</v>
      </c>
      <c r="D1085" s="14"/>
      <c r="E1085" s="14">
        <f t="shared" ref="E1085:K1085" si="16">AVERAGE(E204:E215)</f>
        <v>52.070533333333337</v>
      </c>
      <c r="F1085" s="14">
        <f t="shared" si="16"/>
        <v>52.070533333333337</v>
      </c>
      <c r="G1085" s="14">
        <f t="shared" si="16"/>
        <v>52.341883333333335</v>
      </c>
      <c r="H1085" s="14">
        <f t="shared" si="16"/>
        <v>52.207158333333332</v>
      </c>
      <c r="I1085" s="14">
        <f t="shared" si="16"/>
        <v>52.207158333333332</v>
      </c>
      <c r="J1085" s="14">
        <f t="shared" si="16"/>
        <v>52.207158333333332</v>
      </c>
      <c r="K1085" s="14">
        <f t="shared" si="16"/>
        <v>52.207158333333332</v>
      </c>
      <c r="L1085" s="14"/>
    </row>
    <row r="1086" spans="1:12" ht="15" x14ac:dyDescent="0.2">
      <c r="A1086" s="10">
        <v>2030</v>
      </c>
      <c r="B1086" s="14">
        <f>AVERAGE(B216:B227)</f>
        <v>54.692541666666664</v>
      </c>
      <c r="C1086" s="14">
        <f>AVERAGE(C216:C227)</f>
        <v>54.260308333333342</v>
      </c>
      <c r="D1086" s="14"/>
      <c r="E1086" s="14">
        <f t="shared" ref="E1086:K1086" si="17">AVERAGE(E216:E227)</f>
        <v>54.123641666666678</v>
      </c>
      <c r="F1086" s="14">
        <f t="shared" si="17"/>
        <v>54.123641666666678</v>
      </c>
      <c r="G1086" s="14">
        <f t="shared" si="17"/>
        <v>54.395024999999997</v>
      </c>
      <c r="H1086" s="14">
        <f t="shared" si="17"/>
        <v>54.260308333333342</v>
      </c>
      <c r="I1086" s="14">
        <f t="shared" si="17"/>
        <v>54.260308333333342</v>
      </c>
      <c r="J1086" s="14">
        <f t="shared" si="17"/>
        <v>54.260308333333342</v>
      </c>
      <c r="K1086" s="14">
        <f t="shared" si="17"/>
        <v>54.260308333333342</v>
      </c>
      <c r="L1086" s="14"/>
    </row>
    <row r="1087" spans="1:12" ht="15" x14ac:dyDescent="0.2">
      <c r="A1087" s="10">
        <v>2031</v>
      </c>
      <c r="B1087" s="14">
        <f>AVERAGE(B228:B239)</f>
        <v>55.848141666666663</v>
      </c>
      <c r="C1087" s="14">
        <f>AVERAGE(C228:C239)</f>
        <v>55.41589166666666</v>
      </c>
      <c r="D1087" s="14"/>
      <c r="E1087" s="14">
        <f t="shared" ref="E1087:K1087" si="18">AVERAGE(E228:E239)</f>
        <v>55.279241666666657</v>
      </c>
      <c r="F1087" s="14">
        <f t="shared" si="18"/>
        <v>55.279241666666657</v>
      </c>
      <c r="G1087" s="14">
        <f t="shared" si="18"/>
        <v>55.550608333333336</v>
      </c>
      <c r="H1087" s="14">
        <f t="shared" si="18"/>
        <v>55.41589166666666</v>
      </c>
      <c r="I1087" s="14">
        <f t="shared" si="18"/>
        <v>55.41589166666666</v>
      </c>
      <c r="J1087" s="14">
        <f t="shared" si="18"/>
        <v>55.41589166666666</v>
      </c>
      <c r="K1087" s="14">
        <f t="shared" si="18"/>
        <v>55.41589166666666</v>
      </c>
      <c r="L1087" s="14"/>
    </row>
    <row r="1088" spans="1:12" ht="15" x14ac:dyDescent="0.2">
      <c r="A1088" s="10">
        <v>2032</v>
      </c>
      <c r="B1088" s="14">
        <f>AVERAGE(B240:B251)</f>
        <v>56.837841666666669</v>
      </c>
      <c r="C1088" s="14">
        <f>AVERAGE(C240:C251)</f>
        <v>56.405624999999993</v>
      </c>
      <c r="D1088" s="14"/>
      <c r="E1088" s="14">
        <f t="shared" ref="E1088:K1088" si="19">AVERAGE(E240:E251)</f>
        <v>56.268933333333337</v>
      </c>
      <c r="F1088" s="14">
        <f t="shared" si="19"/>
        <v>56.268933333333337</v>
      </c>
      <c r="G1088" s="14">
        <f t="shared" si="19"/>
        <v>56.540333333333336</v>
      </c>
      <c r="H1088" s="14">
        <f t="shared" si="19"/>
        <v>56.405624999999993</v>
      </c>
      <c r="I1088" s="14">
        <f t="shared" si="19"/>
        <v>56.405624999999993</v>
      </c>
      <c r="J1088" s="14">
        <f t="shared" si="19"/>
        <v>56.405624999999993</v>
      </c>
      <c r="K1088" s="14">
        <f t="shared" si="19"/>
        <v>56.405624999999993</v>
      </c>
      <c r="L1088" s="14"/>
    </row>
    <row r="1089" spans="1:12" ht="15" x14ac:dyDescent="0.2">
      <c r="A1089" s="10">
        <v>2033</v>
      </c>
      <c r="B1089" s="14">
        <f>AVERAGE(B252:B263)</f>
        <v>57.845858333333332</v>
      </c>
      <c r="C1089" s="14">
        <f>AVERAGE(C252:C263)</f>
        <v>57.413608333333336</v>
      </c>
      <c r="D1089" s="14"/>
      <c r="E1089" s="14">
        <f t="shared" ref="E1089:K1089" si="20">AVERAGE(E252:E263)</f>
        <v>57.276949999999992</v>
      </c>
      <c r="F1089" s="14">
        <f t="shared" si="20"/>
        <v>57.276949999999992</v>
      </c>
      <c r="G1089" s="14">
        <f t="shared" si="20"/>
        <v>57.548324999999998</v>
      </c>
      <c r="H1089" s="14">
        <f t="shared" si="20"/>
        <v>57.413608333333336</v>
      </c>
      <c r="I1089" s="14">
        <f t="shared" si="20"/>
        <v>57.413608333333336</v>
      </c>
      <c r="J1089" s="14">
        <f t="shared" si="20"/>
        <v>57.413608333333336</v>
      </c>
      <c r="K1089" s="14">
        <f t="shared" si="20"/>
        <v>57.413608333333336</v>
      </c>
      <c r="L1089" s="14"/>
    </row>
    <row r="1090" spans="1:12" ht="15" x14ac:dyDescent="0.2">
      <c r="A1090" s="10">
        <v>2034</v>
      </c>
      <c r="B1090" s="14">
        <f>AVERAGE(B264:B275)</f>
        <v>58.872475000000001</v>
      </c>
      <c r="C1090" s="14">
        <f>AVERAGE(C264:C275)</f>
        <v>58.440249999999999</v>
      </c>
      <c r="D1090" s="14"/>
      <c r="E1090" s="14">
        <f t="shared" ref="E1090:K1090" si="21">AVERAGE(E264:E275)</f>
        <v>58.303575000000002</v>
      </c>
      <c r="F1090" s="14">
        <f t="shared" si="21"/>
        <v>58.303575000000002</v>
      </c>
      <c r="G1090" s="14">
        <f t="shared" si="21"/>
        <v>58.574958333333335</v>
      </c>
      <c r="H1090" s="14">
        <f t="shared" si="21"/>
        <v>58.440249999999999</v>
      </c>
      <c r="I1090" s="14">
        <f t="shared" si="21"/>
        <v>58.440249999999999</v>
      </c>
      <c r="J1090" s="14">
        <f t="shared" si="21"/>
        <v>58.440249999999999</v>
      </c>
      <c r="K1090" s="14">
        <f t="shared" si="21"/>
        <v>58.440249999999999</v>
      </c>
      <c r="L1090" s="14"/>
    </row>
    <row r="1091" spans="1:12" ht="15" x14ac:dyDescent="0.2">
      <c r="A1091" s="10">
        <v>2035</v>
      </c>
      <c r="B1091" s="14">
        <f>AVERAGE(B276:B287)</f>
        <v>59.918083333333328</v>
      </c>
      <c r="C1091" s="14">
        <f>AVERAGE(C276:C287)</f>
        <v>59.485866666666674</v>
      </c>
      <c r="D1091" s="14"/>
      <c r="E1091" s="14">
        <f t="shared" ref="E1091:K1091" si="22">AVERAGE(E276:E287)</f>
        <v>59.349183333333336</v>
      </c>
      <c r="F1091" s="14">
        <f t="shared" si="22"/>
        <v>59.349183333333336</v>
      </c>
      <c r="G1091" s="14">
        <f t="shared" si="22"/>
        <v>59.620574999999995</v>
      </c>
      <c r="H1091" s="14">
        <f t="shared" si="22"/>
        <v>59.485866666666674</v>
      </c>
      <c r="I1091" s="14">
        <f t="shared" si="22"/>
        <v>59.485866666666674</v>
      </c>
      <c r="J1091" s="14">
        <f t="shared" si="22"/>
        <v>59.485866666666674</v>
      </c>
      <c r="K1091" s="14">
        <f t="shared" si="22"/>
        <v>59.485866666666674</v>
      </c>
      <c r="L1091" s="14"/>
    </row>
    <row r="1092" spans="1:12" ht="15" x14ac:dyDescent="0.2">
      <c r="A1092" s="10">
        <v>2036</v>
      </c>
      <c r="B1092" s="14">
        <f>AVERAGE(B288:B299)</f>
        <v>60.983024999999998</v>
      </c>
      <c r="C1092" s="14">
        <f>AVERAGE(C288:C299)</f>
        <v>60.550791666666662</v>
      </c>
      <c r="D1092" s="14"/>
      <c r="E1092" s="14">
        <f t="shared" ref="E1092:K1092" si="23">AVERAGE(E288:E299)</f>
        <v>60.414116666666672</v>
      </c>
      <c r="F1092" s="14">
        <f t="shared" si="23"/>
        <v>60.414116666666672</v>
      </c>
      <c r="G1092" s="14">
        <f t="shared" si="23"/>
        <v>60.685499999999998</v>
      </c>
      <c r="H1092" s="14">
        <f t="shared" si="23"/>
        <v>60.550791666666662</v>
      </c>
      <c r="I1092" s="14">
        <f t="shared" si="23"/>
        <v>60.550791666666662</v>
      </c>
      <c r="J1092" s="14">
        <f t="shared" si="23"/>
        <v>60.550791666666662</v>
      </c>
      <c r="K1092" s="14">
        <f t="shared" si="23"/>
        <v>60.550791666666662</v>
      </c>
      <c r="L1092" s="14"/>
    </row>
    <row r="1093" spans="1:12" ht="15" x14ac:dyDescent="0.2">
      <c r="A1093" s="10">
        <v>2037</v>
      </c>
      <c r="B1093" s="14">
        <f>AVERAGE(B300:B311)</f>
        <v>62.067625</v>
      </c>
      <c r="C1093" s="14">
        <f>AVERAGE(C300:C311)</f>
        <v>61.63538333333333</v>
      </c>
      <c r="D1093" s="14"/>
      <c r="E1093" s="14">
        <f t="shared" ref="E1093:K1093" si="24">AVERAGE(E300:E311)</f>
        <v>61.498725</v>
      </c>
      <c r="F1093" s="14">
        <f t="shared" si="24"/>
        <v>61.498725</v>
      </c>
      <c r="G1093" s="14">
        <f t="shared" si="24"/>
        <v>61.770091666666666</v>
      </c>
      <c r="H1093" s="14">
        <f t="shared" si="24"/>
        <v>61.63538333333333</v>
      </c>
      <c r="I1093" s="14">
        <f t="shared" si="24"/>
        <v>61.63538333333333</v>
      </c>
      <c r="J1093" s="14">
        <f t="shared" si="24"/>
        <v>61.63538333333333</v>
      </c>
      <c r="K1093" s="14">
        <f t="shared" si="24"/>
        <v>61.63538333333333</v>
      </c>
      <c r="L1093" s="14"/>
    </row>
    <row r="1094" spans="1:12" ht="15" x14ac:dyDescent="0.2">
      <c r="A1094" s="10">
        <f t="shared" ref="A1094:A1125" si="25">A1093+1</f>
        <v>2038</v>
      </c>
      <c r="B1094" s="14">
        <f>AVERAGE(B312:B323)</f>
        <v>63.172274999999992</v>
      </c>
      <c r="C1094" s="14">
        <f>AVERAGE(C312:C323)</f>
        <v>62.740033333333336</v>
      </c>
      <c r="D1094" s="14"/>
      <c r="E1094" s="14">
        <f t="shared" ref="E1094:K1094" si="26">AVERAGE(E312:E323)</f>
        <v>62.603375</v>
      </c>
      <c r="F1094" s="14">
        <f t="shared" si="26"/>
        <v>62.603375</v>
      </c>
      <c r="G1094" s="14">
        <f t="shared" si="26"/>
        <v>62.874766666666659</v>
      </c>
      <c r="H1094" s="14">
        <f t="shared" si="26"/>
        <v>62.740033333333336</v>
      </c>
      <c r="I1094" s="14">
        <f t="shared" si="26"/>
        <v>62.740033333333336</v>
      </c>
      <c r="J1094" s="14">
        <f t="shared" si="26"/>
        <v>62.740033333333336</v>
      </c>
      <c r="K1094" s="14">
        <f t="shared" si="26"/>
        <v>62.740033333333336</v>
      </c>
      <c r="L1094" s="14"/>
    </row>
    <row r="1095" spans="1:12" ht="15" x14ac:dyDescent="0.2">
      <c r="A1095" s="10">
        <f t="shared" si="25"/>
        <v>2039</v>
      </c>
      <c r="B1095" s="14">
        <f>AVERAGE(B324:B335)</f>
        <v>64.297358333333321</v>
      </c>
      <c r="C1095" s="14">
        <f>AVERAGE(C324:C335)</f>
        <v>63.865100000000005</v>
      </c>
      <c r="D1095" s="14"/>
      <c r="E1095" s="14">
        <f t="shared" ref="E1095:K1095" si="27">AVERAGE(E324:E335)</f>
        <v>63.728458333333329</v>
      </c>
      <c r="F1095" s="14">
        <f t="shared" si="27"/>
        <v>63.728458333333329</v>
      </c>
      <c r="G1095" s="14">
        <f t="shared" si="27"/>
        <v>63.999824999999994</v>
      </c>
      <c r="H1095" s="14">
        <f t="shared" si="27"/>
        <v>63.865100000000005</v>
      </c>
      <c r="I1095" s="14">
        <f t="shared" si="27"/>
        <v>63.865100000000005</v>
      </c>
      <c r="J1095" s="14">
        <f t="shared" si="27"/>
        <v>63.865100000000005</v>
      </c>
      <c r="K1095" s="14">
        <f t="shared" si="27"/>
        <v>63.865100000000005</v>
      </c>
      <c r="L1095" s="14"/>
    </row>
    <row r="1096" spans="1:12" ht="15" x14ac:dyDescent="0.2">
      <c r="A1096" s="10">
        <f t="shared" si="25"/>
        <v>2040</v>
      </c>
      <c r="B1096" s="14">
        <f>AVERAGE(B336:B347)</f>
        <v>65.443208333333317</v>
      </c>
      <c r="C1096" s="14">
        <f>AVERAGE(C336:C347)</f>
        <v>65.010966666666675</v>
      </c>
      <c r="D1096" s="14"/>
      <c r="E1096" s="14">
        <f t="shared" ref="E1096:K1096" si="28">AVERAGE(E336:E347)</f>
        <v>64.874308333333332</v>
      </c>
      <c r="F1096" s="14">
        <f t="shared" si="28"/>
        <v>64.874308333333332</v>
      </c>
      <c r="G1096" s="14">
        <f t="shared" si="28"/>
        <v>65.145683333333338</v>
      </c>
      <c r="H1096" s="14">
        <f t="shared" si="28"/>
        <v>65.010966666666675</v>
      </c>
      <c r="I1096" s="14">
        <f t="shared" si="28"/>
        <v>65.010966666666675</v>
      </c>
      <c r="J1096" s="14">
        <f t="shared" si="28"/>
        <v>65.010966666666675</v>
      </c>
      <c r="K1096" s="14">
        <f t="shared" si="28"/>
        <v>65.010966666666675</v>
      </c>
      <c r="L1096" s="14"/>
    </row>
    <row r="1097" spans="1:12" ht="15" x14ac:dyDescent="0.2">
      <c r="A1097" s="10">
        <f t="shared" si="25"/>
        <v>2041</v>
      </c>
      <c r="B1097" s="14">
        <f>AVERAGE(B348:B359)</f>
        <v>66.610233333333341</v>
      </c>
      <c r="C1097" s="14">
        <f>AVERAGE(C348:C359)</f>
        <v>66.178000000000011</v>
      </c>
      <c r="D1097" s="14"/>
      <c r="E1097" s="14">
        <f t="shared" ref="E1097:K1097" si="29">AVERAGE(E348:E359)</f>
        <v>66.041333333333341</v>
      </c>
      <c r="F1097" s="14">
        <f t="shared" si="29"/>
        <v>66.041333333333341</v>
      </c>
      <c r="G1097" s="14">
        <f t="shared" si="29"/>
        <v>66.312725</v>
      </c>
      <c r="H1097" s="14">
        <f t="shared" si="29"/>
        <v>66.178000000000011</v>
      </c>
      <c r="I1097" s="14">
        <f t="shared" si="29"/>
        <v>66.178000000000011</v>
      </c>
      <c r="J1097" s="14">
        <f t="shared" si="29"/>
        <v>66.178000000000011</v>
      </c>
      <c r="K1097" s="14">
        <f t="shared" si="29"/>
        <v>66.178000000000011</v>
      </c>
      <c r="L1097" s="14"/>
    </row>
    <row r="1098" spans="1:12" ht="15" x14ac:dyDescent="0.2">
      <c r="A1098" s="10">
        <f t="shared" si="25"/>
        <v>2042</v>
      </c>
      <c r="B1098" s="14">
        <f>AVERAGE(B360:B371)</f>
        <v>67.798841666666661</v>
      </c>
      <c r="C1098" s="14">
        <f>AVERAGE(C360:C371)</f>
        <v>67.366616666666658</v>
      </c>
      <c r="D1098" s="14"/>
      <c r="E1098" s="14">
        <f t="shared" ref="E1098:K1098" si="30">AVERAGE(E360:E371)</f>
        <v>67.229941666666676</v>
      </c>
      <c r="F1098" s="14">
        <f t="shared" si="30"/>
        <v>67.229941666666676</v>
      </c>
      <c r="G1098" s="14">
        <f t="shared" si="30"/>
        <v>67.501333333333321</v>
      </c>
      <c r="H1098" s="14">
        <f t="shared" si="30"/>
        <v>67.366616666666658</v>
      </c>
      <c r="I1098" s="14">
        <f t="shared" si="30"/>
        <v>67.366616666666658</v>
      </c>
      <c r="J1098" s="14">
        <f t="shared" si="30"/>
        <v>67.366616666666658</v>
      </c>
      <c r="K1098" s="14">
        <f t="shared" si="30"/>
        <v>67.366616666666658</v>
      </c>
      <c r="L1098" s="14"/>
    </row>
    <row r="1099" spans="1:12" ht="15" x14ac:dyDescent="0.2">
      <c r="A1099" s="10">
        <f t="shared" si="25"/>
        <v>2043</v>
      </c>
      <c r="B1099" s="14">
        <f>AVERAGE(B372:B383)</f>
        <v>69.009424999999979</v>
      </c>
      <c r="C1099" s="14">
        <f>AVERAGE(C372:C383)</f>
        <v>68.577183333333338</v>
      </c>
      <c r="D1099" s="14"/>
      <c r="E1099" s="14">
        <f t="shared" ref="E1099:K1099" si="31">AVERAGE(E372:E383)</f>
        <v>68.440524999999994</v>
      </c>
      <c r="F1099" s="14">
        <f t="shared" si="31"/>
        <v>68.440524999999994</v>
      </c>
      <c r="G1099" s="14">
        <f t="shared" si="31"/>
        <v>68.711883333333333</v>
      </c>
      <c r="H1099" s="14">
        <f t="shared" si="31"/>
        <v>68.577183333333338</v>
      </c>
      <c r="I1099" s="14">
        <f t="shared" si="31"/>
        <v>68.577183333333338</v>
      </c>
      <c r="J1099" s="14">
        <f t="shared" si="31"/>
        <v>68.577183333333338</v>
      </c>
      <c r="K1099" s="14">
        <f t="shared" si="31"/>
        <v>68.577183333333338</v>
      </c>
      <c r="L1099" s="14"/>
    </row>
    <row r="1100" spans="1:12" ht="15" x14ac:dyDescent="0.2">
      <c r="A1100" s="10">
        <f t="shared" si="25"/>
        <v>2044</v>
      </c>
      <c r="B1100" s="14">
        <f>AVERAGE(B384:B395)</f>
        <v>70.242358333333328</v>
      </c>
      <c r="C1100" s="14">
        <f>AVERAGE(C384:C395)</f>
        <v>69.810108333333346</v>
      </c>
      <c r="D1100" s="14"/>
      <c r="E1100" s="14">
        <f t="shared" ref="E1100:K1100" si="32">AVERAGE(E384:E395)</f>
        <v>69.673458333333329</v>
      </c>
      <c r="F1100" s="14">
        <f t="shared" si="32"/>
        <v>69.673458333333329</v>
      </c>
      <c r="G1100" s="14">
        <f t="shared" si="32"/>
        <v>69.944841666666662</v>
      </c>
      <c r="H1100" s="14">
        <f t="shared" si="32"/>
        <v>69.810108333333346</v>
      </c>
      <c r="I1100" s="14">
        <f t="shared" si="32"/>
        <v>69.810108333333346</v>
      </c>
      <c r="J1100" s="14">
        <f t="shared" si="32"/>
        <v>69.810108333333346</v>
      </c>
      <c r="K1100" s="14">
        <f t="shared" si="32"/>
        <v>69.810108333333346</v>
      </c>
      <c r="L1100" s="14"/>
    </row>
    <row r="1101" spans="1:12" ht="15" x14ac:dyDescent="0.2">
      <c r="A1101" s="10">
        <f t="shared" si="25"/>
        <v>2045</v>
      </c>
      <c r="B1101" s="14">
        <f>AVERAGE(B396:B407)</f>
        <v>71.498091666666667</v>
      </c>
      <c r="C1101" s="14">
        <f>AVERAGE(C396:C407)</f>
        <v>71.065858333333324</v>
      </c>
      <c r="D1101" s="14"/>
      <c r="E1101" s="14">
        <f t="shared" ref="E1101:K1101" si="33">AVERAGE(E396:E407)</f>
        <v>70.929191666666668</v>
      </c>
      <c r="F1101" s="14">
        <f t="shared" si="33"/>
        <v>70.929191666666668</v>
      </c>
      <c r="G1101" s="14">
        <f t="shared" si="33"/>
        <v>71.200558333333348</v>
      </c>
      <c r="H1101" s="14">
        <f t="shared" si="33"/>
        <v>71.065858333333324</v>
      </c>
      <c r="I1101" s="14">
        <f t="shared" si="33"/>
        <v>71.065858333333324</v>
      </c>
      <c r="J1101" s="14">
        <f t="shared" si="33"/>
        <v>71.065858333333324</v>
      </c>
      <c r="K1101" s="14">
        <f t="shared" si="33"/>
        <v>71.065858333333324</v>
      </c>
      <c r="L1101" s="14"/>
    </row>
    <row r="1102" spans="1:12" ht="15" x14ac:dyDescent="0.2">
      <c r="A1102" s="10">
        <f t="shared" si="25"/>
        <v>2046</v>
      </c>
      <c r="B1102" s="14">
        <f>AVERAGE(B408:B419)</f>
        <v>72.77703333333335</v>
      </c>
      <c r="C1102" s="14">
        <f>AVERAGE(C408:C419)</f>
        <v>72.344766666666672</v>
      </c>
      <c r="D1102" s="14"/>
      <c r="E1102" s="14">
        <f t="shared" ref="E1102:K1102" si="34">AVERAGE(E408:E419)</f>
        <v>72.208124999999995</v>
      </c>
      <c r="F1102" s="14">
        <f t="shared" si="34"/>
        <v>72.208124999999995</v>
      </c>
      <c r="G1102" s="14">
        <f t="shared" si="34"/>
        <v>72.479491666666675</v>
      </c>
      <c r="H1102" s="14">
        <f t="shared" si="34"/>
        <v>72.344766666666672</v>
      </c>
      <c r="I1102" s="14">
        <f t="shared" si="34"/>
        <v>72.344766666666672</v>
      </c>
      <c r="J1102" s="14">
        <f t="shared" si="34"/>
        <v>72.344766666666672</v>
      </c>
      <c r="K1102" s="14">
        <f t="shared" si="34"/>
        <v>72.344766666666672</v>
      </c>
      <c r="L1102" s="14"/>
    </row>
    <row r="1103" spans="1:12" ht="15" x14ac:dyDescent="0.2">
      <c r="A1103" s="10">
        <f t="shared" si="25"/>
        <v>2047</v>
      </c>
      <c r="B1103" s="14">
        <f>AVERAGE(B420:B431)</f>
        <v>74.07960833333334</v>
      </c>
      <c r="C1103" s="14">
        <f>AVERAGE(C420:C431)</f>
        <v>73.647358333333329</v>
      </c>
      <c r="D1103" s="14"/>
      <c r="E1103" s="14">
        <f t="shared" ref="E1103:K1103" si="35">AVERAGE(E420:E431)</f>
        <v>73.510691666666673</v>
      </c>
      <c r="F1103" s="14">
        <f t="shared" si="35"/>
        <v>73.510691666666673</v>
      </c>
      <c r="G1103" s="14">
        <f t="shared" si="35"/>
        <v>73.782058333333339</v>
      </c>
      <c r="H1103" s="14">
        <f t="shared" si="35"/>
        <v>73.647358333333329</v>
      </c>
      <c r="I1103" s="14">
        <f t="shared" si="35"/>
        <v>73.647358333333329</v>
      </c>
      <c r="J1103" s="14">
        <f t="shared" si="35"/>
        <v>73.647358333333329</v>
      </c>
      <c r="K1103" s="14">
        <f t="shared" si="35"/>
        <v>73.647358333333329</v>
      </c>
      <c r="L1103" s="14"/>
    </row>
    <row r="1104" spans="1:12" ht="15" x14ac:dyDescent="0.2">
      <c r="A1104" s="10">
        <f t="shared" si="25"/>
        <v>2048</v>
      </c>
      <c r="B1104" s="14">
        <f>AVERAGE(B432:B443)</f>
        <v>75.406258333333327</v>
      </c>
      <c r="C1104" s="14">
        <f>AVERAGE(C432:C443)</f>
        <v>74.97399999999999</v>
      </c>
      <c r="D1104" s="14"/>
      <c r="E1104" s="14">
        <f t="shared" ref="E1104:K1104" si="36">AVERAGE(E432:E443)</f>
        <v>74.837341666666688</v>
      </c>
      <c r="F1104" s="14">
        <f t="shared" si="36"/>
        <v>74.837341666666688</v>
      </c>
      <c r="G1104" s="14">
        <f t="shared" si="36"/>
        <v>75.10870833333334</v>
      </c>
      <c r="H1104" s="14">
        <f t="shared" si="36"/>
        <v>74.97399999999999</v>
      </c>
      <c r="I1104" s="14">
        <f t="shared" si="36"/>
        <v>74.97399999999999</v>
      </c>
      <c r="J1104" s="14">
        <f t="shared" si="36"/>
        <v>74.97399999999999</v>
      </c>
      <c r="K1104" s="14">
        <f t="shared" si="36"/>
        <v>74.97399999999999</v>
      </c>
      <c r="L1104" s="14"/>
    </row>
    <row r="1105" spans="1:12" ht="15" x14ac:dyDescent="0.2">
      <c r="A1105" s="10">
        <f t="shared" si="25"/>
        <v>2049</v>
      </c>
      <c r="B1105" s="14">
        <f>AVERAGE(B444:B455)</f>
        <v>76.757400000000004</v>
      </c>
      <c r="C1105" s="14">
        <f>AVERAGE(C444:C455)</f>
        <v>76.325150000000008</v>
      </c>
      <c r="D1105" s="14"/>
      <c r="E1105" s="14">
        <f t="shared" ref="E1105:K1105" si="37">AVERAGE(E444:E455)</f>
        <v>76.188491666666664</v>
      </c>
      <c r="F1105" s="14">
        <f t="shared" si="37"/>
        <v>76.188491666666664</v>
      </c>
      <c r="G1105" s="14">
        <f t="shared" si="37"/>
        <v>76.459875000000011</v>
      </c>
      <c r="H1105" s="14">
        <f t="shared" si="37"/>
        <v>76.325150000000008</v>
      </c>
      <c r="I1105" s="14">
        <f t="shared" si="37"/>
        <v>76.325150000000008</v>
      </c>
      <c r="J1105" s="14">
        <f t="shared" si="37"/>
        <v>76.325150000000008</v>
      </c>
      <c r="K1105" s="14">
        <f t="shared" si="37"/>
        <v>76.325150000000008</v>
      </c>
      <c r="L1105" s="14"/>
    </row>
    <row r="1106" spans="1:12" ht="15" x14ac:dyDescent="0.2">
      <c r="A1106" s="10">
        <f t="shared" si="25"/>
        <v>2050</v>
      </c>
      <c r="B1106" s="14">
        <f>AVERAGE(B456:B467)</f>
        <v>78.13355</v>
      </c>
      <c r="C1106" s="14">
        <f>AVERAGE(C456:C467)</f>
        <v>77.701283333333336</v>
      </c>
      <c r="D1106" s="14"/>
      <c r="E1106" s="14">
        <f t="shared" ref="E1106:K1106" si="38">AVERAGE(E456:E467)</f>
        <v>77.56464166666666</v>
      </c>
      <c r="F1106" s="14">
        <f t="shared" si="38"/>
        <v>77.56464166666666</v>
      </c>
      <c r="G1106" s="14">
        <f t="shared" si="38"/>
        <v>77.835999999999999</v>
      </c>
      <c r="H1106" s="14">
        <f t="shared" si="38"/>
        <v>77.701283333333336</v>
      </c>
      <c r="I1106" s="14">
        <f t="shared" si="38"/>
        <v>77.701283333333336</v>
      </c>
      <c r="J1106" s="14">
        <f t="shared" si="38"/>
        <v>77.701283333333336</v>
      </c>
      <c r="K1106" s="14">
        <f t="shared" si="38"/>
        <v>77.701283333333336</v>
      </c>
      <c r="L1106" s="14"/>
    </row>
    <row r="1107" spans="1:12" ht="15" x14ac:dyDescent="0.2">
      <c r="A1107" s="10">
        <f t="shared" si="25"/>
        <v>2051</v>
      </c>
      <c r="B1107" s="14">
        <f>AVERAGE(B468:B479)</f>
        <v>79.535108333333326</v>
      </c>
      <c r="C1107" s="14">
        <f>AVERAGE(C468:C479)</f>
        <v>79.102841666666649</v>
      </c>
      <c r="D1107" s="14"/>
      <c r="E1107" s="14">
        <f t="shared" ref="E1107:K1107" si="39">AVERAGE(E468:E479)</f>
        <v>78.966208333333341</v>
      </c>
      <c r="F1107" s="14">
        <f t="shared" si="39"/>
        <v>78.966208333333341</v>
      </c>
      <c r="G1107" s="14">
        <f t="shared" si="39"/>
        <v>79.23756666666668</v>
      </c>
      <c r="H1107" s="14">
        <f t="shared" si="39"/>
        <v>79.102841666666649</v>
      </c>
      <c r="I1107" s="14">
        <f t="shared" si="39"/>
        <v>79.102841666666649</v>
      </c>
      <c r="J1107" s="14">
        <f t="shared" si="39"/>
        <v>79.102841666666649</v>
      </c>
      <c r="K1107" s="14">
        <f t="shared" si="39"/>
        <v>79.102841666666649</v>
      </c>
      <c r="L1107" s="14"/>
    </row>
    <row r="1108" spans="1:12" ht="15" x14ac:dyDescent="0.2">
      <c r="A1108" s="10">
        <f t="shared" si="25"/>
        <v>2052</v>
      </c>
      <c r="B1108" s="14">
        <f>AVERAGE(B480:B491)</f>
        <v>80.962550000000007</v>
      </c>
      <c r="C1108" s="14">
        <f>AVERAGE(C480:C491)</f>
        <v>80.530325000000005</v>
      </c>
      <c r="D1108" s="14"/>
      <c r="E1108" s="14">
        <f t="shared" ref="E1108:K1108" si="40">AVERAGE(E480:E491)</f>
        <v>80.393649999999994</v>
      </c>
      <c r="F1108" s="14">
        <f t="shared" si="40"/>
        <v>80.393649999999994</v>
      </c>
      <c r="G1108" s="14">
        <f t="shared" si="40"/>
        <v>80.665041666666667</v>
      </c>
      <c r="H1108" s="14">
        <f t="shared" si="40"/>
        <v>80.530325000000005</v>
      </c>
      <c r="I1108" s="14">
        <f t="shared" si="40"/>
        <v>80.530325000000005</v>
      </c>
      <c r="J1108" s="14">
        <f t="shared" si="40"/>
        <v>80.530325000000005</v>
      </c>
      <c r="K1108" s="14">
        <f t="shared" si="40"/>
        <v>80.530325000000005</v>
      </c>
      <c r="L1108" s="14"/>
    </row>
    <row r="1109" spans="1:12" ht="15" x14ac:dyDescent="0.2">
      <c r="A1109" s="10">
        <f t="shared" si="25"/>
        <v>2053</v>
      </c>
      <c r="B1109" s="14">
        <f>AVERAGE(B492:B503)</f>
        <v>82.416416666666677</v>
      </c>
      <c r="C1109" s="14">
        <f>AVERAGE(C492:C503)</f>
        <v>81.984166666666667</v>
      </c>
      <c r="D1109" s="14"/>
      <c r="E1109" s="14">
        <f t="shared" ref="E1109:K1109" si="41">AVERAGE(E492:E503)</f>
        <v>81.847508333333352</v>
      </c>
      <c r="F1109" s="14">
        <f t="shared" si="41"/>
        <v>81.847508333333352</v>
      </c>
      <c r="G1109" s="14">
        <f t="shared" si="41"/>
        <v>82.118866666666676</v>
      </c>
      <c r="H1109" s="14">
        <f t="shared" si="41"/>
        <v>81.984166666666667</v>
      </c>
      <c r="I1109" s="14">
        <f t="shared" si="41"/>
        <v>81.984166666666667</v>
      </c>
      <c r="J1109" s="14">
        <f t="shared" si="41"/>
        <v>81.984166666666667</v>
      </c>
      <c r="K1109" s="14">
        <f t="shared" si="41"/>
        <v>81.984166666666667</v>
      </c>
      <c r="L1109" s="14"/>
    </row>
    <row r="1110" spans="1:12" ht="15" x14ac:dyDescent="0.2">
      <c r="A1110" s="10">
        <f t="shared" si="25"/>
        <v>2054</v>
      </c>
      <c r="B1110" s="14">
        <f>AVERAGE(B504:B515)</f>
        <v>83.897125000000003</v>
      </c>
      <c r="C1110" s="14">
        <f>AVERAGE(C504:C515)</f>
        <v>83.464883333333333</v>
      </c>
      <c r="D1110" s="14"/>
      <c r="E1110" s="14">
        <f t="shared" ref="E1110:K1110" si="42">AVERAGE(E504:E515)</f>
        <v>83.328216666666677</v>
      </c>
      <c r="F1110" s="14">
        <f t="shared" si="42"/>
        <v>83.328216666666677</v>
      </c>
      <c r="G1110" s="14">
        <f t="shared" si="42"/>
        <v>83.599583333333328</v>
      </c>
      <c r="H1110" s="14">
        <f t="shared" si="42"/>
        <v>83.464883333333333</v>
      </c>
      <c r="I1110" s="14">
        <f t="shared" si="42"/>
        <v>83.464883333333333</v>
      </c>
      <c r="J1110" s="14">
        <f t="shared" si="42"/>
        <v>83.464883333333333</v>
      </c>
      <c r="K1110" s="14">
        <f t="shared" si="42"/>
        <v>83.464883333333333</v>
      </c>
      <c r="L1110" s="14"/>
    </row>
    <row r="1111" spans="1:12" ht="15" x14ac:dyDescent="0.2">
      <c r="A1111" s="10">
        <f t="shared" si="25"/>
        <v>2055</v>
      </c>
      <c r="B1111" s="14">
        <f>AVERAGE(B516:B527)</f>
        <v>85.405208333333334</v>
      </c>
      <c r="C1111" s="14">
        <f>AVERAGE(C516:C527)</f>
        <v>84.972950000000012</v>
      </c>
      <c r="D1111" s="14"/>
      <c r="E1111" s="14">
        <f t="shared" ref="E1111:K1111" si="43">AVERAGE(E516:E527)</f>
        <v>84.836300000000008</v>
      </c>
      <c r="F1111" s="14">
        <f t="shared" si="43"/>
        <v>84.836300000000008</v>
      </c>
      <c r="G1111" s="14">
        <f t="shared" si="43"/>
        <v>85.107666666666674</v>
      </c>
      <c r="H1111" s="14">
        <f t="shared" si="43"/>
        <v>84.972950000000012</v>
      </c>
      <c r="I1111" s="14">
        <f t="shared" si="43"/>
        <v>84.972950000000012</v>
      </c>
      <c r="J1111" s="14">
        <f t="shared" si="43"/>
        <v>84.972950000000012</v>
      </c>
      <c r="K1111" s="14">
        <f t="shared" si="43"/>
        <v>84.972950000000012</v>
      </c>
      <c r="L1111" s="14"/>
    </row>
    <row r="1112" spans="1:12" ht="15" x14ac:dyDescent="0.2">
      <c r="A1112" s="10">
        <f t="shared" si="25"/>
        <v>2056</v>
      </c>
      <c r="B1112" s="14">
        <f>AVERAGE(B528:B539)</f>
        <v>86.941149999999993</v>
      </c>
      <c r="C1112" s="14">
        <f>AVERAGE(C528:C539)</f>
        <v>86.508899999999997</v>
      </c>
      <c r="D1112" s="14"/>
      <c r="E1112" s="14">
        <f t="shared" ref="E1112:K1112" si="44">AVERAGE(E528:E539)</f>
        <v>86.372250000000008</v>
      </c>
      <c r="F1112" s="14">
        <f t="shared" si="44"/>
        <v>86.372250000000008</v>
      </c>
      <c r="G1112" s="14">
        <f t="shared" si="44"/>
        <v>86.643641666666667</v>
      </c>
      <c r="H1112" s="14">
        <f t="shared" si="44"/>
        <v>86.508899999999997</v>
      </c>
      <c r="I1112" s="14">
        <f t="shared" si="44"/>
        <v>86.508899999999997</v>
      </c>
      <c r="J1112" s="14">
        <f t="shared" si="44"/>
        <v>86.508899999999997</v>
      </c>
      <c r="K1112" s="14">
        <f t="shared" si="44"/>
        <v>86.508899999999997</v>
      </c>
      <c r="L1112" s="14"/>
    </row>
    <row r="1113" spans="1:12" ht="15" x14ac:dyDescent="0.2">
      <c r="A1113" s="10">
        <f t="shared" si="25"/>
        <v>2057</v>
      </c>
      <c r="B1113" s="14">
        <f>AVERAGE(B540:B551)</f>
        <v>88.505483333333345</v>
      </c>
      <c r="C1113" s="14">
        <f>AVERAGE(C540:C551)</f>
        <v>88.073241666666675</v>
      </c>
      <c r="D1113" s="14"/>
      <c r="E1113" s="14">
        <f t="shared" ref="E1113:K1113" si="45">AVERAGE(E540:E551)</f>
        <v>87.936583333333331</v>
      </c>
      <c r="F1113" s="14">
        <f t="shared" si="45"/>
        <v>87.936583333333331</v>
      </c>
      <c r="G1113" s="14">
        <f t="shared" si="45"/>
        <v>88.207949999999997</v>
      </c>
      <c r="H1113" s="14">
        <f t="shared" si="45"/>
        <v>88.073241666666675</v>
      </c>
      <c r="I1113" s="14">
        <f t="shared" si="45"/>
        <v>88.073241666666675</v>
      </c>
      <c r="J1113" s="14">
        <f t="shared" si="45"/>
        <v>88.073241666666675</v>
      </c>
      <c r="K1113" s="14">
        <f t="shared" si="45"/>
        <v>88.073241666666675</v>
      </c>
      <c r="L1113" s="14"/>
    </row>
    <row r="1114" spans="1:12" ht="15" x14ac:dyDescent="0.2">
      <c r="A1114" s="10">
        <f t="shared" si="25"/>
        <v>2058</v>
      </c>
      <c r="B1114" s="14">
        <f>AVERAGE(B552:B563)</f>
        <v>90.098733333333328</v>
      </c>
      <c r="C1114" s="14">
        <f>AVERAGE(C552:C563)</f>
        <v>89.666474999999991</v>
      </c>
      <c r="D1114" s="14"/>
      <c r="E1114" s="14">
        <f t="shared" ref="E1114:K1114" si="46">AVERAGE(E552:E563)</f>
        <v>89.529825000000017</v>
      </c>
      <c r="F1114" s="14">
        <f t="shared" si="46"/>
        <v>89.529825000000017</v>
      </c>
      <c r="G1114" s="14">
        <f t="shared" si="46"/>
        <v>89.801208333333349</v>
      </c>
      <c r="H1114" s="14">
        <f t="shared" si="46"/>
        <v>89.666474999999991</v>
      </c>
      <c r="I1114" s="14">
        <f t="shared" si="46"/>
        <v>89.666474999999991</v>
      </c>
      <c r="J1114" s="14">
        <f t="shared" si="46"/>
        <v>89.666474999999991</v>
      </c>
      <c r="K1114" s="14">
        <f t="shared" si="46"/>
        <v>89.666474999999991</v>
      </c>
      <c r="L1114" s="14"/>
    </row>
    <row r="1115" spans="1:12" ht="15" x14ac:dyDescent="0.2">
      <c r="A1115" s="10">
        <f t="shared" si="25"/>
        <v>2059</v>
      </c>
      <c r="B1115" s="14">
        <f>AVERAGE(B564:B575)</f>
        <v>91.721424999999996</v>
      </c>
      <c r="C1115" s="14">
        <f>AVERAGE(C564:C575)</f>
        <v>91.289175</v>
      </c>
      <c r="D1115" s="14"/>
      <c r="E1115" s="14">
        <f t="shared" ref="E1115:K1115" si="47">AVERAGE(E564:E575)</f>
        <v>91.152525000000011</v>
      </c>
      <c r="F1115" s="14">
        <f t="shared" si="47"/>
        <v>91.152525000000011</v>
      </c>
      <c r="G1115" s="14">
        <f t="shared" si="47"/>
        <v>91.423883333333322</v>
      </c>
      <c r="H1115" s="14">
        <f t="shared" si="47"/>
        <v>91.289175</v>
      </c>
      <c r="I1115" s="14">
        <f t="shared" si="47"/>
        <v>91.289175</v>
      </c>
      <c r="J1115" s="14">
        <f t="shared" si="47"/>
        <v>91.289175</v>
      </c>
      <c r="K1115" s="14">
        <f t="shared" si="47"/>
        <v>91.289175</v>
      </c>
      <c r="L1115" s="14"/>
    </row>
    <row r="1116" spans="1:12" ht="15" x14ac:dyDescent="0.2">
      <c r="A1116" s="10">
        <f t="shared" si="25"/>
        <v>2060</v>
      </c>
      <c r="B1116" s="14">
        <f>AVERAGE(B576:B587)</f>
        <v>93.374091666666672</v>
      </c>
      <c r="C1116" s="14">
        <f>AVERAGE(C576:C587)</f>
        <v>92.941858333333315</v>
      </c>
      <c r="D1116" s="14"/>
      <c r="E1116" s="14">
        <f t="shared" ref="E1116:K1116" si="48">AVERAGE(E576:E587)</f>
        <v>92.805191666666644</v>
      </c>
      <c r="F1116" s="14">
        <f t="shared" si="48"/>
        <v>92.805191666666644</v>
      </c>
      <c r="G1116" s="14">
        <f t="shared" si="48"/>
        <v>93.076566666666665</v>
      </c>
      <c r="H1116" s="14">
        <f t="shared" si="48"/>
        <v>92.941858333333315</v>
      </c>
      <c r="I1116" s="14">
        <f t="shared" si="48"/>
        <v>92.941858333333315</v>
      </c>
      <c r="J1116" s="14">
        <f t="shared" si="48"/>
        <v>92.941858333333315</v>
      </c>
      <c r="K1116" s="14">
        <f t="shared" si="48"/>
        <v>92.941858333333315</v>
      </c>
      <c r="L1116" s="14"/>
    </row>
    <row r="1117" spans="1:12" ht="15" x14ac:dyDescent="0.2">
      <c r="A1117" s="10">
        <f t="shared" si="25"/>
        <v>2061</v>
      </c>
      <c r="B1117" s="14">
        <f>AVERAGE(B588:B599)</f>
        <v>95.057316666666665</v>
      </c>
      <c r="C1117" s="14">
        <f>AVERAGE(C588:C599)</f>
        <v>94.625066666666669</v>
      </c>
      <c r="D1117" s="14"/>
      <c r="E1117" s="14">
        <f t="shared" ref="E1117:K1117" si="49">AVERAGE(E588:E599)</f>
        <v>94.48841666666668</v>
      </c>
      <c r="F1117" s="14">
        <f t="shared" si="49"/>
        <v>94.48841666666668</v>
      </c>
      <c r="G1117" s="14">
        <f t="shared" si="49"/>
        <v>94.759799999999998</v>
      </c>
      <c r="H1117" s="14">
        <f t="shared" si="49"/>
        <v>94.625066666666669</v>
      </c>
      <c r="I1117" s="14">
        <f t="shared" si="49"/>
        <v>94.625066666666669</v>
      </c>
      <c r="J1117" s="14">
        <f t="shared" si="49"/>
        <v>94.625066666666669</v>
      </c>
      <c r="K1117" s="14">
        <f t="shared" si="49"/>
        <v>94.625066666666669</v>
      </c>
      <c r="L1117" s="14"/>
    </row>
    <row r="1118" spans="1:12" ht="15" x14ac:dyDescent="0.2">
      <c r="A1118" s="10">
        <f t="shared" si="25"/>
        <v>2062</v>
      </c>
      <c r="B1118" s="14">
        <f t="shared" ref="B1118:C1137" ca="1" si="50">AVERAGE(OFFSET(B$600,($A1118-$A$1118)*12,0,12,1))</f>
        <v>96.771650000000008</v>
      </c>
      <c r="C1118" s="14">
        <f t="shared" ca="1" si="50"/>
        <v>96.339400000000012</v>
      </c>
      <c r="D1118" s="14"/>
      <c r="E1118" s="14">
        <f t="shared" ref="E1118:K1127" ca="1" si="51">AVERAGE(OFFSET(E$600,($A1118-$A$1118)*12,0,12,1))</f>
        <v>96.202749999999995</v>
      </c>
      <c r="F1118" s="14">
        <f t="shared" ca="1" si="51"/>
        <v>96.202749999999995</v>
      </c>
      <c r="G1118" s="14">
        <f t="shared" ca="1" si="51"/>
        <v>96.474125000000001</v>
      </c>
      <c r="H1118" s="14">
        <f t="shared" ca="1" si="51"/>
        <v>96.339400000000012</v>
      </c>
      <c r="I1118" s="14">
        <f t="shared" ca="1" si="51"/>
        <v>96.339400000000012</v>
      </c>
      <c r="J1118" s="14">
        <f t="shared" ca="1" si="51"/>
        <v>96.339400000000012</v>
      </c>
      <c r="K1118" s="14">
        <f t="shared" ca="1" si="51"/>
        <v>96.339400000000012</v>
      </c>
    </row>
    <row r="1119" spans="1:12" ht="15" x14ac:dyDescent="0.2">
      <c r="A1119" s="10">
        <f t="shared" si="25"/>
        <v>2063</v>
      </c>
      <c r="B1119" s="14">
        <f t="shared" ca="1" si="50"/>
        <v>98.51765833333333</v>
      </c>
      <c r="C1119" s="14">
        <f t="shared" ca="1" si="50"/>
        <v>98.085408333333319</v>
      </c>
      <c r="D1119" s="14"/>
      <c r="E1119" s="14">
        <f t="shared" ca="1" si="51"/>
        <v>97.948749999999976</v>
      </c>
      <c r="F1119" s="14">
        <f t="shared" ca="1" si="51"/>
        <v>97.948749999999976</v>
      </c>
      <c r="G1119" s="14">
        <f t="shared" ca="1" si="51"/>
        <v>98.220124999999996</v>
      </c>
      <c r="H1119" s="14">
        <f t="shared" ca="1" si="51"/>
        <v>98.085408333333319</v>
      </c>
      <c r="I1119" s="14">
        <f t="shared" ca="1" si="51"/>
        <v>98.085408333333319</v>
      </c>
      <c r="J1119" s="14">
        <f t="shared" ca="1" si="51"/>
        <v>98.085408333333319</v>
      </c>
      <c r="K1119" s="14">
        <f t="shared" ca="1" si="51"/>
        <v>98.085408333333319</v>
      </c>
    </row>
    <row r="1120" spans="1:12" ht="15" x14ac:dyDescent="0.2">
      <c r="A1120" s="10">
        <f t="shared" si="25"/>
        <v>2064</v>
      </c>
      <c r="B1120" s="14">
        <f t="shared" ca="1" si="50"/>
        <v>100.29595000000002</v>
      </c>
      <c r="C1120" s="14">
        <f t="shared" ca="1" si="50"/>
        <v>99.863675000000001</v>
      </c>
      <c r="D1120" s="14"/>
      <c r="E1120" s="14">
        <f t="shared" ca="1" si="51"/>
        <v>99.727016666666671</v>
      </c>
      <c r="F1120" s="14">
        <f t="shared" ca="1" si="51"/>
        <v>99.727016666666671</v>
      </c>
      <c r="G1120" s="14">
        <f t="shared" ca="1" si="51"/>
        <v>99.998391666666677</v>
      </c>
      <c r="H1120" s="14">
        <f t="shared" ca="1" si="51"/>
        <v>99.863675000000001</v>
      </c>
      <c r="I1120" s="14">
        <f t="shared" ca="1" si="51"/>
        <v>99.863675000000001</v>
      </c>
      <c r="J1120" s="14">
        <f t="shared" ca="1" si="51"/>
        <v>99.863675000000001</v>
      </c>
      <c r="K1120" s="14">
        <f t="shared" ca="1" si="51"/>
        <v>99.863675000000001</v>
      </c>
    </row>
    <row r="1121" spans="1:11" ht="15" x14ac:dyDescent="0.2">
      <c r="A1121" s="10">
        <f t="shared" si="25"/>
        <v>2065</v>
      </c>
      <c r="B1121" s="14">
        <f t="shared" ca="1" si="50"/>
        <v>102.10708333333332</v>
      </c>
      <c r="C1121" s="14">
        <f t="shared" ca="1" si="50"/>
        <v>101.67481666666667</v>
      </c>
      <c r="D1121" s="14"/>
      <c r="E1121" s="14">
        <f t="shared" ca="1" si="51"/>
        <v>101.53817499999998</v>
      </c>
      <c r="F1121" s="14">
        <f t="shared" ca="1" si="51"/>
        <v>101.53817499999998</v>
      </c>
      <c r="G1121" s="14">
        <f t="shared" ca="1" si="51"/>
        <v>101.80954166666668</v>
      </c>
      <c r="H1121" s="14">
        <f t="shared" ca="1" si="51"/>
        <v>101.67481666666667</v>
      </c>
      <c r="I1121" s="14">
        <f t="shared" ca="1" si="51"/>
        <v>101.67481666666667</v>
      </c>
      <c r="J1121" s="14">
        <f t="shared" ca="1" si="51"/>
        <v>101.67481666666667</v>
      </c>
      <c r="K1121" s="14">
        <f t="shared" ca="1" si="51"/>
        <v>101.67481666666667</v>
      </c>
    </row>
    <row r="1122" spans="1:11" ht="15" x14ac:dyDescent="0.2">
      <c r="A1122" s="10">
        <f t="shared" si="25"/>
        <v>2066</v>
      </c>
      <c r="B1122" s="14">
        <f t="shared" ca="1" si="50"/>
        <v>103.95168333333334</v>
      </c>
      <c r="C1122" s="14">
        <f t="shared" ca="1" si="50"/>
        <v>103.51943333333332</v>
      </c>
      <c r="D1122" s="14"/>
      <c r="E1122" s="14">
        <f t="shared" ca="1" si="51"/>
        <v>103.382775</v>
      </c>
      <c r="F1122" s="14">
        <f t="shared" ca="1" si="51"/>
        <v>103.382775</v>
      </c>
      <c r="G1122" s="14">
        <f t="shared" ca="1" si="51"/>
        <v>103.65415833333334</v>
      </c>
      <c r="H1122" s="14">
        <f t="shared" ca="1" si="51"/>
        <v>103.51943333333332</v>
      </c>
      <c r="I1122" s="14">
        <f t="shared" ca="1" si="51"/>
        <v>103.51943333333332</v>
      </c>
      <c r="J1122" s="14">
        <f t="shared" ca="1" si="51"/>
        <v>103.51943333333332</v>
      </c>
      <c r="K1122" s="14">
        <f t="shared" ca="1" si="51"/>
        <v>103.51943333333332</v>
      </c>
    </row>
    <row r="1123" spans="1:11" ht="15" x14ac:dyDescent="0.2">
      <c r="A1123" s="10">
        <f t="shared" si="25"/>
        <v>2067</v>
      </c>
      <c r="B1123" s="14">
        <f t="shared" ca="1" si="50"/>
        <v>105.830375</v>
      </c>
      <c r="C1123" s="14">
        <f t="shared" ca="1" si="50"/>
        <v>105.39814166666667</v>
      </c>
      <c r="D1123" s="14"/>
      <c r="E1123" s="14">
        <f t="shared" ca="1" si="51"/>
        <v>105.261475</v>
      </c>
      <c r="F1123" s="14">
        <f t="shared" ca="1" si="51"/>
        <v>105.261475</v>
      </c>
      <c r="G1123" s="14">
        <f t="shared" ca="1" si="51"/>
        <v>105.53284999999998</v>
      </c>
      <c r="H1123" s="14">
        <f t="shared" ca="1" si="51"/>
        <v>105.39814166666667</v>
      </c>
      <c r="I1123" s="14">
        <f t="shared" ca="1" si="51"/>
        <v>105.39814166666667</v>
      </c>
      <c r="J1123" s="14">
        <f t="shared" ca="1" si="51"/>
        <v>105.39814166666667</v>
      </c>
      <c r="K1123" s="14">
        <f t="shared" ca="1" si="51"/>
        <v>105.39814166666667</v>
      </c>
    </row>
    <row r="1124" spans="1:11" ht="15" x14ac:dyDescent="0.2">
      <c r="A1124" s="10">
        <f t="shared" si="25"/>
        <v>2068</v>
      </c>
      <c r="B1124" s="14">
        <f t="shared" ca="1" si="50"/>
        <v>107.74381666666666</v>
      </c>
      <c r="C1124" s="14">
        <f t="shared" ca="1" si="50"/>
        <v>107.31155833333334</v>
      </c>
      <c r="D1124" s="14"/>
      <c r="E1124" s="14">
        <f t="shared" ca="1" si="51"/>
        <v>107.17490833333333</v>
      </c>
      <c r="F1124" s="14">
        <f t="shared" ca="1" si="51"/>
        <v>107.17490833333333</v>
      </c>
      <c r="G1124" s="14">
        <f t="shared" ca="1" si="51"/>
        <v>107.44626666666665</v>
      </c>
      <c r="H1124" s="14">
        <f t="shared" ca="1" si="51"/>
        <v>107.31155833333334</v>
      </c>
      <c r="I1124" s="14">
        <f t="shared" ca="1" si="51"/>
        <v>107.31155833333334</v>
      </c>
      <c r="J1124" s="14">
        <f t="shared" ca="1" si="51"/>
        <v>107.31155833333334</v>
      </c>
      <c r="K1124" s="14">
        <f t="shared" ca="1" si="51"/>
        <v>107.31155833333334</v>
      </c>
    </row>
    <row r="1125" spans="1:11" ht="15" x14ac:dyDescent="0.2">
      <c r="A1125" s="10">
        <f t="shared" si="25"/>
        <v>2069</v>
      </c>
      <c r="B1125" s="14">
        <f t="shared" ca="1" si="50"/>
        <v>109.69259166666667</v>
      </c>
      <c r="C1125" s="14">
        <f t="shared" ca="1" si="50"/>
        <v>109.26034166666669</v>
      </c>
      <c r="D1125" s="14"/>
      <c r="E1125" s="14">
        <f t="shared" ca="1" si="51"/>
        <v>109.12369166666667</v>
      </c>
      <c r="F1125" s="14">
        <f t="shared" ca="1" si="51"/>
        <v>109.12369166666667</v>
      </c>
      <c r="G1125" s="14">
        <f t="shared" ca="1" si="51"/>
        <v>109.39505833333332</v>
      </c>
      <c r="H1125" s="14">
        <f t="shared" ca="1" si="51"/>
        <v>109.26034166666669</v>
      </c>
      <c r="I1125" s="14">
        <f t="shared" ca="1" si="51"/>
        <v>109.26034166666669</v>
      </c>
      <c r="J1125" s="14">
        <f t="shared" ca="1" si="51"/>
        <v>109.26034166666669</v>
      </c>
      <c r="K1125" s="14">
        <f t="shared" ca="1" si="51"/>
        <v>109.26034166666669</v>
      </c>
    </row>
    <row r="1126" spans="1:11" ht="15" x14ac:dyDescent="0.2">
      <c r="A1126" s="10">
        <f t="shared" ref="A1126:A1156" si="52">A1125+1</f>
        <v>2070</v>
      </c>
      <c r="B1126" s="14">
        <f t="shared" ca="1" si="50"/>
        <v>111.67738333333334</v>
      </c>
      <c r="C1126" s="14">
        <f t="shared" ca="1" si="50"/>
        <v>111.24515000000001</v>
      </c>
      <c r="D1126" s="14"/>
      <c r="E1126" s="14">
        <f t="shared" ca="1" si="51"/>
        <v>111.108475</v>
      </c>
      <c r="F1126" s="14">
        <f t="shared" ca="1" si="51"/>
        <v>111.108475</v>
      </c>
      <c r="G1126" s="14">
        <f t="shared" ca="1" si="51"/>
        <v>111.37986666666667</v>
      </c>
      <c r="H1126" s="14">
        <f t="shared" ca="1" si="51"/>
        <v>111.24515000000001</v>
      </c>
      <c r="I1126" s="14">
        <f t="shared" ca="1" si="51"/>
        <v>111.24515000000001</v>
      </c>
      <c r="J1126" s="14">
        <f t="shared" ca="1" si="51"/>
        <v>111.24515000000001</v>
      </c>
      <c r="K1126" s="14">
        <f t="shared" ca="1" si="51"/>
        <v>111.24515000000001</v>
      </c>
    </row>
    <row r="1127" spans="1:11" ht="15" x14ac:dyDescent="0.2">
      <c r="A1127" s="10">
        <f t="shared" si="52"/>
        <v>2071</v>
      </c>
      <c r="B1127" s="14">
        <f t="shared" ca="1" si="50"/>
        <v>113.69887499999999</v>
      </c>
      <c r="C1127" s="14">
        <f t="shared" ca="1" si="50"/>
        <v>113.26661666666668</v>
      </c>
      <c r="D1127" s="14"/>
      <c r="E1127" s="14">
        <f t="shared" ca="1" si="51"/>
        <v>113.12996666666668</v>
      </c>
      <c r="F1127" s="14">
        <f t="shared" ca="1" si="51"/>
        <v>113.12996666666668</v>
      </c>
      <c r="G1127" s="14">
        <f t="shared" ca="1" si="51"/>
        <v>113.401325</v>
      </c>
      <c r="H1127" s="14">
        <f t="shared" ca="1" si="51"/>
        <v>113.26661666666668</v>
      </c>
      <c r="I1127" s="14">
        <f t="shared" ca="1" si="51"/>
        <v>113.26661666666668</v>
      </c>
      <c r="J1127" s="14">
        <f t="shared" ca="1" si="51"/>
        <v>113.26661666666668</v>
      </c>
      <c r="K1127" s="14">
        <f t="shared" ca="1" si="51"/>
        <v>113.26661666666668</v>
      </c>
    </row>
    <row r="1128" spans="1:11" ht="15" x14ac:dyDescent="0.2">
      <c r="A1128" s="10">
        <f t="shared" si="52"/>
        <v>2072</v>
      </c>
      <c r="B1128" s="14">
        <f t="shared" ca="1" si="50"/>
        <v>115.7577</v>
      </c>
      <c r="C1128" s="14">
        <f t="shared" ca="1" si="50"/>
        <v>115.32545833333334</v>
      </c>
      <c r="D1128" s="14"/>
      <c r="E1128" s="14">
        <f t="shared" ref="E1128:K1137" ca="1" si="53">AVERAGE(OFFSET(E$600,($A1128-$A$1118)*12,0,12,1))</f>
        <v>115.1888</v>
      </c>
      <c r="F1128" s="14">
        <f t="shared" ca="1" si="53"/>
        <v>115.1888</v>
      </c>
      <c r="G1128" s="14">
        <f t="shared" ca="1" si="53"/>
        <v>115.46017500000004</v>
      </c>
      <c r="H1128" s="14">
        <f t="shared" ca="1" si="53"/>
        <v>115.32545833333334</v>
      </c>
      <c r="I1128" s="14">
        <f t="shared" ca="1" si="53"/>
        <v>115.32545833333334</v>
      </c>
      <c r="J1128" s="14">
        <f t="shared" ca="1" si="53"/>
        <v>115.32545833333334</v>
      </c>
      <c r="K1128" s="14">
        <f t="shared" ca="1" si="53"/>
        <v>115.32545833333334</v>
      </c>
    </row>
    <row r="1129" spans="1:11" ht="15" x14ac:dyDescent="0.2">
      <c r="A1129" s="10">
        <f t="shared" si="52"/>
        <v>2073</v>
      </c>
      <c r="B1129" s="14">
        <f t="shared" ca="1" si="50"/>
        <v>117.85459166666665</v>
      </c>
      <c r="C1129" s="14">
        <f t="shared" ca="1" si="50"/>
        <v>117.42234999999999</v>
      </c>
      <c r="D1129" s="14"/>
      <c r="E1129" s="14">
        <f t="shared" ca="1" si="53"/>
        <v>117.28568333333334</v>
      </c>
      <c r="F1129" s="14">
        <f t="shared" ca="1" si="53"/>
        <v>117.28568333333334</v>
      </c>
      <c r="G1129" s="14">
        <f t="shared" ca="1" si="53"/>
        <v>117.55706666666667</v>
      </c>
      <c r="H1129" s="14">
        <f t="shared" ca="1" si="53"/>
        <v>117.42234999999999</v>
      </c>
      <c r="I1129" s="14">
        <f t="shared" ca="1" si="53"/>
        <v>117.42234999999999</v>
      </c>
      <c r="J1129" s="14">
        <f t="shared" ca="1" si="53"/>
        <v>117.42234999999999</v>
      </c>
      <c r="K1129" s="14">
        <f t="shared" ca="1" si="53"/>
        <v>117.42234999999999</v>
      </c>
    </row>
    <row r="1130" spans="1:11" ht="15" x14ac:dyDescent="0.2">
      <c r="A1130" s="10">
        <f t="shared" si="52"/>
        <v>2074</v>
      </c>
      <c r="B1130" s="14">
        <f t="shared" ca="1" si="50"/>
        <v>119.990225</v>
      </c>
      <c r="C1130" s="14">
        <f t="shared" ca="1" si="50"/>
        <v>119.55798333333333</v>
      </c>
      <c r="D1130" s="14"/>
      <c r="E1130" s="14">
        <f t="shared" ca="1" si="53"/>
        <v>119.42131666666666</v>
      </c>
      <c r="F1130" s="14">
        <f t="shared" ca="1" si="53"/>
        <v>119.42131666666666</v>
      </c>
      <c r="G1130" s="14">
        <f t="shared" ca="1" si="53"/>
        <v>119.69269166666668</v>
      </c>
      <c r="H1130" s="14">
        <f t="shared" ca="1" si="53"/>
        <v>119.55798333333333</v>
      </c>
      <c r="I1130" s="14">
        <f t="shared" ca="1" si="53"/>
        <v>119.55798333333333</v>
      </c>
      <c r="J1130" s="14">
        <f t="shared" ca="1" si="53"/>
        <v>119.55798333333333</v>
      </c>
      <c r="K1130" s="14">
        <f t="shared" ca="1" si="53"/>
        <v>119.55798333333333</v>
      </c>
    </row>
    <row r="1131" spans="1:11" ht="15" x14ac:dyDescent="0.2">
      <c r="A1131" s="10">
        <f t="shared" si="52"/>
        <v>2075</v>
      </c>
      <c r="B1131" s="14">
        <f t="shared" ca="1" si="50"/>
        <v>122.16533333333335</v>
      </c>
      <c r="C1131" s="14">
        <f t="shared" ca="1" si="50"/>
        <v>121.73309166666668</v>
      </c>
      <c r="D1131" s="14"/>
      <c r="E1131" s="14">
        <f t="shared" ca="1" si="53"/>
        <v>121.59643333333334</v>
      </c>
      <c r="F1131" s="14">
        <f t="shared" ca="1" si="53"/>
        <v>121.59643333333334</v>
      </c>
      <c r="G1131" s="14">
        <f t="shared" ca="1" si="53"/>
        <v>121.86780833333334</v>
      </c>
      <c r="H1131" s="14">
        <f t="shared" ca="1" si="53"/>
        <v>121.73309166666668</v>
      </c>
      <c r="I1131" s="14">
        <f t="shared" ca="1" si="53"/>
        <v>121.73309166666668</v>
      </c>
      <c r="J1131" s="14">
        <f t="shared" ca="1" si="53"/>
        <v>121.73309166666668</v>
      </c>
      <c r="K1131" s="14">
        <f t="shared" ca="1" si="53"/>
        <v>121.73309166666668</v>
      </c>
    </row>
    <row r="1132" spans="1:11" ht="15" x14ac:dyDescent="0.2">
      <c r="A1132" s="10">
        <f t="shared" si="52"/>
        <v>2076</v>
      </c>
      <c r="B1132" s="14">
        <f t="shared" ca="1" si="50"/>
        <v>124.38064166666665</v>
      </c>
      <c r="C1132" s="14">
        <f t="shared" ca="1" si="50"/>
        <v>123.94839166666668</v>
      </c>
      <c r="D1132" s="14"/>
      <c r="E1132" s="14">
        <f t="shared" ca="1" si="53"/>
        <v>123.81173333333332</v>
      </c>
      <c r="F1132" s="14">
        <f t="shared" ca="1" si="53"/>
        <v>123.81173333333332</v>
      </c>
      <c r="G1132" s="14">
        <f t="shared" ca="1" si="53"/>
        <v>124.08311666666667</v>
      </c>
      <c r="H1132" s="14">
        <f t="shared" ca="1" si="53"/>
        <v>123.94839166666668</v>
      </c>
      <c r="I1132" s="14">
        <f t="shared" ca="1" si="53"/>
        <v>123.94839166666668</v>
      </c>
      <c r="J1132" s="14">
        <f t="shared" ca="1" si="53"/>
        <v>123.94839166666668</v>
      </c>
      <c r="K1132" s="14">
        <f t="shared" ca="1" si="53"/>
        <v>123.94839166666668</v>
      </c>
    </row>
    <row r="1133" spans="1:11" ht="15" x14ac:dyDescent="0.2">
      <c r="A1133" s="10">
        <f t="shared" si="52"/>
        <v>2077</v>
      </c>
      <c r="B1133" s="14">
        <f t="shared" ca="1" si="50"/>
        <v>126.63690000000001</v>
      </c>
      <c r="C1133" s="14">
        <f t="shared" ca="1" si="50"/>
        <v>126.20463333333335</v>
      </c>
      <c r="D1133" s="14"/>
      <c r="E1133" s="14">
        <f t="shared" ca="1" si="53"/>
        <v>126.06799166666667</v>
      </c>
      <c r="F1133" s="14">
        <f t="shared" ca="1" si="53"/>
        <v>126.06799166666667</v>
      </c>
      <c r="G1133" s="14">
        <f t="shared" ca="1" si="53"/>
        <v>126.33933333333334</v>
      </c>
      <c r="H1133" s="14">
        <f t="shared" ca="1" si="53"/>
        <v>126.20463333333335</v>
      </c>
      <c r="I1133" s="14">
        <f t="shared" ca="1" si="53"/>
        <v>126.20463333333335</v>
      </c>
      <c r="J1133" s="14">
        <f t="shared" ca="1" si="53"/>
        <v>126.20463333333335</v>
      </c>
      <c r="K1133" s="14">
        <f t="shared" ca="1" si="53"/>
        <v>126.20463333333335</v>
      </c>
    </row>
    <row r="1134" spans="1:11" ht="15" x14ac:dyDescent="0.2">
      <c r="A1134" s="10">
        <f t="shared" si="52"/>
        <v>2078</v>
      </c>
      <c r="B1134" s="14">
        <f t="shared" ca="1" si="50"/>
        <v>128.93483333333333</v>
      </c>
      <c r="C1134" s="14">
        <f t="shared" ca="1" si="50"/>
        <v>128.50257500000001</v>
      </c>
      <c r="D1134" s="14"/>
      <c r="E1134" s="14">
        <f t="shared" ca="1" si="53"/>
        <v>128.36593333333334</v>
      </c>
      <c r="F1134" s="14">
        <f t="shared" ca="1" si="53"/>
        <v>128.36593333333334</v>
      </c>
      <c r="G1134" s="14">
        <f t="shared" ca="1" si="53"/>
        <v>128.63730000000001</v>
      </c>
      <c r="H1134" s="14">
        <f t="shared" ca="1" si="53"/>
        <v>128.50257500000001</v>
      </c>
      <c r="I1134" s="14">
        <f t="shared" ca="1" si="53"/>
        <v>128.50257500000001</v>
      </c>
      <c r="J1134" s="14">
        <f t="shared" ca="1" si="53"/>
        <v>128.50257500000001</v>
      </c>
      <c r="K1134" s="14">
        <f t="shared" ca="1" si="53"/>
        <v>128.50257500000001</v>
      </c>
    </row>
    <row r="1135" spans="1:11" ht="15" x14ac:dyDescent="0.2">
      <c r="A1135" s="10">
        <f t="shared" si="52"/>
        <v>2079</v>
      </c>
      <c r="B1135" s="14">
        <f t="shared" ca="1" si="50"/>
        <v>131.27524166666666</v>
      </c>
      <c r="C1135" s="14">
        <f t="shared" ca="1" si="50"/>
        <v>130.84299166666668</v>
      </c>
      <c r="D1135" s="14"/>
      <c r="E1135" s="14">
        <f t="shared" ca="1" si="53"/>
        <v>130.70632499999999</v>
      </c>
      <c r="F1135" s="14">
        <f t="shared" ca="1" si="53"/>
        <v>130.70632499999999</v>
      </c>
      <c r="G1135" s="14">
        <f t="shared" ca="1" si="53"/>
        <v>130.9777</v>
      </c>
      <c r="H1135" s="14">
        <f t="shared" ca="1" si="53"/>
        <v>130.84299166666668</v>
      </c>
      <c r="I1135" s="14">
        <f t="shared" ca="1" si="53"/>
        <v>130.84299166666668</v>
      </c>
      <c r="J1135" s="14">
        <f t="shared" ca="1" si="53"/>
        <v>130.84299166666668</v>
      </c>
      <c r="K1135" s="14">
        <f t="shared" ca="1" si="53"/>
        <v>130.84299166666668</v>
      </c>
    </row>
    <row r="1136" spans="1:11" ht="15" x14ac:dyDescent="0.2">
      <c r="A1136" s="10">
        <f t="shared" si="52"/>
        <v>2080</v>
      </c>
      <c r="B1136" s="14">
        <f t="shared" ca="1" si="50"/>
        <v>133.65890000000005</v>
      </c>
      <c r="C1136" s="14">
        <f t="shared" ca="1" si="50"/>
        <v>133.22663333333335</v>
      </c>
      <c r="D1136" s="14"/>
      <c r="E1136" s="14">
        <f t="shared" ca="1" si="53"/>
        <v>133.08999166666669</v>
      </c>
      <c r="F1136" s="14">
        <f t="shared" ca="1" si="53"/>
        <v>133.08999166666669</v>
      </c>
      <c r="G1136" s="14">
        <f t="shared" ca="1" si="53"/>
        <v>133.36135833333333</v>
      </c>
      <c r="H1136" s="14">
        <f t="shared" ca="1" si="53"/>
        <v>133.22663333333335</v>
      </c>
      <c r="I1136" s="14">
        <f t="shared" ca="1" si="53"/>
        <v>133.22663333333335</v>
      </c>
      <c r="J1136" s="14">
        <f t="shared" ca="1" si="53"/>
        <v>133.22663333333335</v>
      </c>
      <c r="K1136" s="14">
        <f t="shared" ca="1" si="53"/>
        <v>133.22663333333335</v>
      </c>
    </row>
    <row r="1137" spans="1:11" ht="15" x14ac:dyDescent="0.2">
      <c r="A1137" s="10">
        <f t="shared" si="52"/>
        <v>2081</v>
      </c>
      <c r="B1137" s="14">
        <f t="shared" ca="1" si="50"/>
        <v>136.0866</v>
      </c>
      <c r="C1137" s="14">
        <f t="shared" ca="1" si="50"/>
        <v>135.65436666666668</v>
      </c>
      <c r="D1137" s="14"/>
      <c r="E1137" s="14">
        <f t="shared" ca="1" si="53"/>
        <v>135.51768333333334</v>
      </c>
      <c r="F1137" s="14">
        <f t="shared" ca="1" si="53"/>
        <v>135.51768333333334</v>
      </c>
      <c r="G1137" s="14">
        <f t="shared" ca="1" si="53"/>
        <v>135.78907500000003</v>
      </c>
      <c r="H1137" s="14">
        <f t="shared" ca="1" si="53"/>
        <v>135.65436666666668</v>
      </c>
      <c r="I1137" s="14">
        <f t="shared" ca="1" si="53"/>
        <v>135.65436666666668</v>
      </c>
      <c r="J1137" s="14">
        <f t="shared" ca="1" si="53"/>
        <v>135.65436666666668</v>
      </c>
      <c r="K1137" s="14">
        <f t="shared" ca="1" si="53"/>
        <v>135.65436666666668</v>
      </c>
    </row>
    <row r="1138" spans="1:11" ht="15" x14ac:dyDescent="0.2">
      <c r="A1138" s="10">
        <f t="shared" si="52"/>
        <v>2082</v>
      </c>
      <c r="B1138" s="14">
        <f t="shared" ref="B1138:C1156" ca="1" si="54">AVERAGE(OFFSET(B$600,($A1138-$A$1118)*12,0,12,1))</f>
        <v>138.55919166666669</v>
      </c>
      <c r="C1138" s="14">
        <f t="shared" ca="1" si="54"/>
        <v>138.12695833333333</v>
      </c>
      <c r="D1138" s="14"/>
      <c r="E1138" s="14">
        <f t="shared" ref="E1138:K1147" ca="1" si="55">AVERAGE(OFFSET(E$600,($A1138-$A$1118)*12,0,12,1))</f>
        <v>137.99028333333334</v>
      </c>
      <c r="F1138" s="14">
        <f t="shared" ca="1" si="55"/>
        <v>137.99028333333334</v>
      </c>
      <c r="G1138" s="14">
        <f t="shared" ca="1" si="55"/>
        <v>138.26165833333332</v>
      </c>
      <c r="H1138" s="14">
        <f t="shared" ca="1" si="55"/>
        <v>138.12695833333333</v>
      </c>
      <c r="I1138" s="14">
        <f t="shared" ca="1" si="55"/>
        <v>138.12695833333333</v>
      </c>
      <c r="J1138" s="14">
        <f t="shared" ca="1" si="55"/>
        <v>138.12695833333333</v>
      </c>
      <c r="K1138" s="14">
        <f t="shared" ca="1" si="55"/>
        <v>138.12695833333333</v>
      </c>
    </row>
    <row r="1139" spans="1:11" ht="15" x14ac:dyDescent="0.2">
      <c r="A1139" s="10">
        <f t="shared" si="52"/>
        <v>2083</v>
      </c>
      <c r="B1139" s="14">
        <f t="shared" ca="1" si="54"/>
        <v>141.07746666666668</v>
      </c>
      <c r="C1139" s="14">
        <f t="shared" ca="1" si="54"/>
        <v>140.64521666666667</v>
      </c>
      <c r="D1139" s="14"/>
      <c r="E1139" s="14">
        <f t="shared" ca="1" si="55"/>
        <v>140.50855833333333</v>
      </c>
      <c r="F1139" s="14">
        <f t="shared" ca="1" si="55"/>
        <v>140.50855833333333</v>
      </c>
      <c r="G1139" s="14">
        <f t="shared" ca="1" si="55"/>
        <v>140.77993333333333</v>
      </c>
      <c r="H1139" s="14">
        <f t="shared" ca="1" si="55"/>
        <v>140.64521666666667</v>
      </c>
      <c r="I1139" s="14">
        <f t="shared" ca="1" si="55"/>
        <v>140.64521666666667</v>
      </c>
      <c r="J1139" s="14">
        <f t="shared" ca="1" si="55"/>
        <v>140.64521666666667</v>
      </c>
      <c r="K1139" s="14">
        <f t="shared" ca="1" si="55"/>
        <v>140.64521666666667</v>
      </c>
    </row>
    <row r="1140" spans="1:11" ht="15" x14ac:dyDescent="0.2">
      <c r="A1140" s="10">
        <f t="shared" si="52"/>
        <v>2084</v>
      </c>
      <c r="B1140" s="14">
        <f t="shared" ca="1" si="54"/>
        <v>143.64227500000001</v>
      </c>
      <c r="C1140" s="14">
        <f t="shared" ca="1" si="54"/>
        <v>143.210025</v>
      </c>
      <c r="D1140" s="14"/>
      <c r="E1140" s="14">
        <f t="shared" ca="1" si="55"/>
        <v>143.07337500000003</v>
      </c>
      <c r="F1140" s="14">
        <f t="shared" ca="1" si="55"/>
        <v>143.07337500000003</v>
      </c>
      <c r="G1140" s="14">
        <f t="shared" ca="1" si="55"/>
        <v>143.34474166666666</v>
      </c>
      <c r="H1140" s="14">
        <f t="shared" ca="1" si="55"/>
        <v>143.210025</v>
      </c>
      <c r="I1140" s="14">
        <f t="shared" ca="1" si="55"/>
        <v>143.210025</v>
      </c>
      <c r="J1140" s="14">
        <f t="shared" ca="1" si="55"/>
        <v>143.210025</v>
      </c>
      <c r="K1140" s="14">
        <f t="shared" ca="1" si="55"/>
        <v>143.210025</v>
      </c>
    </row>
    <row r="1141" spans="1:11" ht="15" x14ac:dyDescent="0.2">
      <c r="A1141" s="10">
        <f t="shared" si="52"/>
        <v>2085</v>
      </c>
      <c r="B1141" s="14">
        <f t="shared" ca="1" si="54"/>
        <v>146.25449166666664</v>
      </c>
      <c r="C1141" s="14">
        <f t="shared" ca="1" si="54"/>
        <v>145.82224166666666</v>
      </c>
      <c r="D1141" s="14"/>
      <c r="E1141" s="14">
        <f t="shared" ca="1" si="55"/>
        <v>145.68558333333331</v>
      </c>
      <c r="F1141" s="14">
        <f t="shared" ca="1" si="55"/>
        <v>145.68558333333331</v>
      </c>
      <c r="G1141" s="14">
        <f t="shared" ca="1" si="55"/>
        <v>145.95695000000001</v>
      </c>
      <c r="H1141" s="14">
        <f t="shared" ca="1" si="55"/>
        <v>145.82224166666666</v>
      </c>
      <c r="I1141" s="14">
        <f t="shared" ca="1" si="55"/>
        <v>145.82224166666666</v>
      </c>
      <c r="J1141" s="14">
        <f t="shared" ca="1" si="55"/>
        <v>145.82224166666666</v>
      </c>
      <c r="K1141" s="14">
        <f t="shared" ca="1" si="55"/>
        <v>145.82224166666666</v>
      </c>
    </row>
    <row r="1142" spans="1:11" ht="15" x14ac:dyDescent="0.2">
      <c r="A1142" s="10">
        <f t="shared" si="52"/>
        <v>2086</v>
      </c>
      <c r="B1142" s="14">
        <f t="shared" ca="1" si="54"/>
        <v>148.914975</v>
      </c>
      <c r="C1142" s="14">
        <f t="shared" ca="1" si="54"/>
        <v>148.48273333333333</v>
      </c>
      <c r="D1142" s="14"/>
      <c r="E1142" s="14">
        <f t="shared" ca="1" si="55"/>
        <v>148.34606666666664</v>
      </c>
      <c r="F1142" s="14">
        <f t="shared" ca="1" si="55"/>
        <v>148.34606666666664</v>
      </c>
      <c r="G1142" s="14">
        <f t="shared" ca="1" si="55"/>
        <v>148.61745833333333</v>
      </c>
      <c r="H1142" s="14">
        <f t="shared" ca="1" si="55"/>
        <v>148.48273333333333</v>
      </c>
      <c r="I1142" s="14">
        <f t="shared" ca="1" si="55"/>
        <v>148.48273333333333</v>
      </c>
      <c r="J1142" s="14">
        <f t="shared" ca="1" si="55"/>
        <v>148.48273333333333</v>
      </c>
      <c r="K1142" s="14">
        <f t="shared" ca="1" si="55"/>
        <v>148.48273333333333</v>
      </c>
    </row>
    <row r="1143" spans="1:11" ht="15" x14ac:dyDescent="0.2">
      <c r="A1143" s="10">
        <f t="shared" si="52"/>
        <v>2087</v>
      </c>
      <c r="B1143" s="14">
        <f t="shared" ca="1" si="54"/>
        <v>151.62464166666666</v>
      </c>
      <c r="C1143" s="14">
        <f t="shared" ca="1" si="54"/>
        <v>151.19239166666668</v>
      </c>
      <c r="D1143" s="14"/>
      <c r="E1143" s="14">
        <f t="shared" ca="1" si="55"/>
        <v>151.05574166666668</v>
      </c>
      <c r="F1143" s="14">
        <f t="shared" ca="1" si="55"/>
        <v>151.05574166666668</v>
      </c>
      <c r="G1143" s="14">
        <f t="shared" ca="1" si="55"/>
        <v>151.32710000000003</v>
      </c>
      <c r="H1143" s="14">
        <f t="shared" ca="1" si="55"/>
        <v>151.19239166666668</v>
      </c>
      <c r="I1143" s="14">
        <f t="shared" ca="1" si="55"/>
        <v>151.19239166666668</v>
      </c>
      <c r="J1143" s="14">
        <f t="shared" ca="1" si="55"/>
        <v>151.19239166666668</v>
      </c>
      <c r="K1143" s="14">
        <f t="shared" ca="1" si="55"/>
        <v>151.19239166666668</v>
      </c>
    </row>
    <row r="1144" spans="1:11" ht="15" x14ac:dyDescent="0.2">
      <c r="A1144" s="10">
        <f t="shared" si="52"/>
        <v>2088</v>
      </c>
      <c r="B1144" s="14">
        <f t="shared" ca="1" si="54"/>
        <v>154.38436666666666</v>
      </c>
      <c r="C1144" s="14">
        <f t="shared" ca="1" si="54"/>
        <v>153.95213333333334</v>
      </c>
      <c r="D1144" s="14"/>
      <c r="E1144" s="14">
        <f t="shared" ca="1" si="55"/>
        <v>153.81546666666668</v>
      </c>
      <c r="F1144" s="14">
        <f t="shared" ca="1" si="55"/>
        <v>153.81546666666668</v>
      </c>
      <c r="G1144" s="14">
        <f t="shared" ca="1" si="55"/>
        <v>154.08684166666669</v>
      </c>
      <c r="H1144" s="14">
        <f t="shared" ca="1" si="55"/>
        <v>153.95213333333334</v>
      </c>
      <c r="I1144" s="14">
        <f t="shared" ca="1" si="55"/>
        <v>153.95213333333334</v>
      </c>
      <c r="J1144" s="14">
        <f t="shared" ca="1" si="55"/>
        <v>153.95213333333334</v>
      </c>
      <c r="K1144" s="14">
        <f t="shared" ca="1" si="55"/>
        <v>153.95213333333334</v>
      </c>
    </row>
    <row r="1145" spans="1:11" ht="15" x14ac:dyDescent="0.2">
      <c r="A1145" s="10">
        <f t="shared" si="52"/>
        <v>2089</v>
      </c>
      <c r="B1145" s="14">
        <f t="shared" ca="1" si="54"/>
        <v>157.1951</v>
      </c>
      <c r="C1145" s="14">
        <f t="shared" ca="1" si="54"/>
        <v>156.7628666666667</v>
      </c>
      <c r="D1145" s="14"/>
      <c r="E1145" s="14">
        <f t="shared" ca="1" si="55"/>
        <v>156.62620000000001</v>
      </c>
      <c r="F1145" s="14">
        <f t="shared" ca="1" si="55"/>
        <v>156.62620000000001</v>
      </c>
      <c r="G1145" s="14">
        <f t="shared" ca="1" si="55"/>
        <v>156.89758333333336</v>
      </c>
      <c r="H1145" s="14">
        <f t="shared" ca="1" si="55"/>
        <v>156.7628666666667</v>
      </c>
      <c r="I1145" s="14">
        <f t="shared" ca="1" si="55"/>
        <v>156.7628666666667</v>
      </c>
      <c r="J1145" s="14">
        <f t="shared" ca="1" si="55"/>
        <v>156.7628666666667</v>
      </c>
      <c r="K1145" s="14">
        <f t="shared" ca="1" si="55"/>
        <v>156.7628666666667</v>
      </c>
    </row>
    <row r="1146" spans="1:11" ht="15" x14ac:dyDescent="0.2">
      <c r="A1146" s="10">
        <f t="shared" si="52"/>
        <v>2090</v>
      </c>
      <c r="B1146" s="14">
        <f t="shared" ca="1" si="54"/>
        <v>160.05780000000001</v>
      </c>
      <c r="C1146" s="14">
        <f t="shared" ca="1" si="54"/>
        <v>159.62554166666666</v>
      </c>
      <c r="D1146" s="14"/>
      <c r="E1146" s="14">
        <f t="shared" ca="1" si="55"/>
        <v>159.48889166666666</v>
      </c>
      <c r="F1146" s="14">
        <f t="shared" ca="1" si="55"/>
        <v>159.48889166666666</v>
      </c>
      <c r="G1146" s="14">
        <f t="shared" ca="1" si="55"/>
        <v>159.76024166666667</v>
      </c>
      <c r="H1146" s="14">
        <f t="shared" ca="1" si="55"/>
        <v>159.62554166666666</v>
      </c>
      <c r="I1146" s="14">
        <f t="shared" ca="1" si="55"/>
        <v>159.62554166666666</v>
      </c>
      <c r="J1146" s="14">
        <f t="shared" ca="1" si="55"/>
        <v>159.62554166666666</v>
      </c>
      <c r="K1146" s="14">
        <f t="shared" ca="1" si="55"/>
        <v>159.62554166666666</v>
      </c>
    </row>
    <row r="1147" spans="1:11" ht="15" x14ac:dyDescent="0.2">
      <c r="A1147" s="10">
        <f t="shared" si="52"/>
        <v>2091</v>
      </c>
      <c r="B1147" s="14">
        <f t="shared" ca="1" si="54"/>
        <v>162.97339166666669</v>
      </c>
      <c r="C1147" s="14">
        <f t="shared" ca="1" si="54"/>
        <v>162.54111666666665</v>
      </c>
      <c r="D1147" s="14"/>
      <c r="E1147" s="14">
        <f t="shared" ca="1" si="55"/>
        <v>162.40447500000002</v>
      </c>
      <c r="F1147" s="14">
        <f t="shared" ca="1" si="55"/>
        <v>162.40447500000002</v>
      </c>
      <c r="G1147" s="14">
        <f t="shared" ca="1" si="55"/>
        <v>162.67584166666668</v>
      </c>
      <c r="H1147" s="14">
        <f t="shared" ca="1" si="55"/>
        <v>162.54111666666665</v>
      </c>
      <c r="I1147" s="14">
        <f t="shared" ca="1" si="55"/>
        <v>162.54111666666665</v>
      </c>
      <c r="J1147" s="14">
        <f t="shared" ca="1" si="55"/>
        <v>162.54111666666665</v>
      </c>
      <c r="K1147" s="14">
        <f t="shared" ca="1" si="55"/>
        <v>162.54111666666665</v>
      </c>
    </row>
    <row r="1148" spans="1:11" ht="15" x14ac:dyDescent="0.2">
      <c r="A1148" s="10">
        <f t="shared" si="52"/>
        <v>2092</v>
      </c>
      <c r="B1148" s="14">
        <f t="shared" ca="1" si="54"/>
        <v>165.94283333333331</v>
      </c>
      <c r="C1148" s="14">
        <f t="shared" ca="1" si="54"/>
        <v>165.51059166666667</v>
      </c>
      <c r="D1148" s="14"/>
      <c r="E1148" s="14">
        <f t="shared" ref="E1148:K1156" ca="1" si="56">AVERAGE(OFFSET(E$600,($A1148-$A$1118)*12,0,12,1))</f>
        <v>165.37393333333333</v>
      </c>
      <c r="F1148" s="14">
        <f t="shared" ca="1" si="56"/>
        <v>165.37393333333333</v>
      </c>
      <c r="G1148" s="14">
        <f t="shared" ca="1" si="56"/>
        <v>165.6453166666667</v>
      </c>
      <c r="H1148" s="14">
        <f t="shared" ca="1" si="56"/>
        <v>165.51059166666667</v>
      </c>
      <c r="I1148" s="14">
        <f t="shared" ca="1" si="56"/>
        <v>165.51059166666667</v>
      </c>
      <c r="J1148" s="14">
        <f t="shared" ca="1" si="56"/>
        <v>165.51059166666667</v>
      </c>
      <c r="K1148" s="14">
        <f t="shared" ca="1" si="56"/>
        <v>165.51059166666667</v>
      </c>
    </row>
    <row r="1149" spans="1:11" ht="15" x14ac:dyDescent="0.2">
      <c r="A1149" s="10">
        <f t="shared" si="52"/>
        <v>2093</v>
      </c>
      <c r="B1149" s="14">
        <f t="shared" ca="1" si="54"/>
        <v>168.96718333333337</v>
      </c>
      <c r="C1149" s="14">
        <f t="shared" ca="1" si="54"/>
        <v>168.53494166666667</v>
      </c>
      <c r="D1149" s="14"/>
      <c r="E1149" s="14">
        <f t="shared" ca="1" si="56"/>
        <v>168.39828333333335</v>
      </c>
      <c r="F1149" s="14">
        <f t="shared" ca="1" si="56"/>
        <v>168.39828333333335</v>
      </c>
      <c r="G1149" s="14">
        <f t="shared" ca="1" si="56"/>
        <v>168.66966666666667</v>
      </c>
      <c r="H1149" s="14">
        <f t="shared" ca="1" si="56"/>
        <v>168.53494166666667</v>
      </c>
      <c r="I1149" s="14">
        <f t="shared" ca="1" si="56"/>
        <v>168.53494166666667</v>
      </c>
      <c r="J1149" s="14">
        <f t="shared" ca="1" si="56"/>
        <v>168.53494166666667</v>
      </c>
      <c r="K1149" s="14">
        <f t="shared" ca="1" si="56"/>
        <v>168.53494166666667</v>
      </c>
    </row>
    <row r="1150" spans="1:11" ht="15" x14ac:dyDescent="0.2">
      <c r="A1150" s="10">
        <f t="shared" si="52"/>
        <v>2094</v>
      </c>
      <c r="B1150" s="14">
        <f t="shared" ca="1" si="54"/>
        <v>172.047425</v>
      </c>
      <c r="C1150" s="14">
        <f t="shared" ca="1" si="54"/>
        <v>171.61515833333337</v>
      </c>
      <c r="D1150" s="14"/>
      <c r="E1150" s="14">
        <f t="shared" ca="1" si="56"/>
        <v>171.47852499999999</v>
      </c>
      <c r="F1150" s="14">
        <f t="shared" ca="1" si="56"/>
        <v>171.47852499999999</v>
      </c>
      <c r="G1150" s="14">
        <f t="shared" ca="1" si="56"/>
        <v>171.74990000000003</v>
      </c>
      <c r="H1150" s="14">
        <f t="shared" ca="1" si="56"/>
        <v>171.61515833333337</v>
      </c>
      <c r="I1150" s="14">
        <f t="shared" ca="1" si="56"/>
        <v>171.61515833333337</v>
      </c>
      <c r="J1150" s="14">
        <f t="shared" ca="1" si="56"/>
        <v>171.61515833333337</v>
      </c>
      <c r="K1150" s="14">
        <f t="shared" ca="1" si="56"/>
        <v>171.61515833333337</v>
      </c>
    </row>
    <row r="1151" spans="1:11" ht="15" x14ac:dyDescent="0.2">
      <c r="A1151" s="10">
        <f t="shared" si="52"/>
        <v>2095</v>
      </c>
      <c r="B1151" s="14">
        <f t="shared" ca="1" si="54"/>
        <v>175.18459166666665</v>
      </c>
      <c r="C1151" s="14">
        <f t="shared" ca="1" si="54"/>
        <v>174.75234166666669</v>
      </c>
      <c r="D1151" s="14"/>
      <c r="E1151" s="14">
        <f t="shared" ca="1" si="56"/>
        <v>174.61568333333332</v>
      </c>
      <c r="F1151" s="14">
        <f t="shared" ca="1" si="56"/>
        <v>174.61568333333332</v>
      </c>
      <c r="G1151" s="14">
        <f t="shared" ca="1" si="56"/>
        <v>174.88705833333336</v>
      </c>
      <c r="H1151" s="14">
        <f t="shared" ca="1" si="56"/>
        <v>174.75234166666669</v>
      </c>
      <c r="I1151" s="14">
        <f t="shared" ca="1" si="56"/>
        <v>174.75234166666669</v>
      </c>
      <c r="J1151" s="14">
        <f t="shared" ca="1" si="56"/>
        <v>174.75234166666669</v>
      </c>
      <c r="K1151" s="14">
        <f t="shared" ca="1" si="56"/>
        <v>174.75234166666669</v>
      </c>
    </row>
    <row r="1152" spans="1:11" ht="15" x14ac:dyDescent="0.2">
      <c r="A1152" s="10">
        <f t="shared" si="52"/>
        <v>2096</v>
      </c>
      <c r="B1152" s="14">
        <f t="shared" ca="1" si="54"/>
        <v>178.37972500000001</v>
      </c>
      <c r="C1152" s="14">
        <f t="shared" ca="1" si="54"/>
        <v>177.94748333333337</v>
      </c>
      <c r="D1152" s="14"/>
      <c r="E1152" s="14">
        <f t="shared" ca="1" si="56"/>
        <v>177.81082500000002</v>
      </c>
      <c r="F1152" s="14">
        <f t="shared" ca="1" si="56"/>
        <v>177.81082500000002</v>
      </c>
      <c r="G1152" s="14">
        <f t="shared" ca="1" si="56"/>
        <v>178.08220000000003</v>
      </c>
      <c r="H1152" s="14">
        <f t="shared" ca="1" si="56"/>
        <v>177.94748333333337</v>
      </c>
      <c r="I1152" s="14">
        <f t="shared" ca="1" si="56"/>
        <v>177.94748333333337</v>
      </c>
      <c r="J1152" s="14">
        <f t="shared" ca="1" si="56"/>
        <v>177.94748333333337</v>
      </c>
      <c r="K1152" s="14">
        <f t="shared" ca="1" si="56"/>
        <v>177.94748333333337</v>
      </c>
    </row>
    <row r="1153" spans="1:11" ht="15" x14ac:dyDescent="0.2">
      <c r="A1153" s="10">
        <f t="shared" si="52"/>
        <v>2097</v>
      </c>
      <c r="B1153" s="14">
        <f t="shared" ca="1" si="54"/>
        <v>181.633925</v>
      </c>
      <c r="C1153" s="14">
        <f t="shared" ca="1" si="54"/>
        <v>181.20166666666668</v>
      </c>
      <c r="D1153" s="14"/>
      <c r="E1153" s="14">
        <f t="shared" ca="1" si="56"/>
        <v>181.06501666666671</v>
      </c>
      <c r="F1153" s="14">
        <f t="shared" ca="1" si="56"/>
        <v>181.06501666666671</v>
      </c>
      <c r="G1153" s="14">
        <f t="shared" ca="1" si="56"/>
        <v>181.33639166666669</v>
      </c>
      <c r="H1153" s="14">
        <f t="shared" ca="1" si="56"/>
        <v>181.20166666666668</v>
      </c>
      <c r="I1153" s="14">
        <f t="shared" ca="1" si="56"/>
        <v>181.20166666666668</v>
      </c>
      <c r="J1153" s="14">
        <f t="shared" ca="1" si="56"/>
        <v>181.20166666666668</v>
      </c>
      <c r="K1153" s="14">
        <f t="shared" ca="1" si="56"/>
        <v>181.20166666666668</v>
      </c>
    </row>
    <row r="1154" spans="1:11" ht="15" x14ac:dyDescent="0.2">
      <c r="A1154" s="10">
        <f t="shared" si="52"/>
        <v>2098</v>
      </c>
      <c r="B1154" s="14">
        <f t="shared" ca="1" si="54"/>
        <v>184.94824166666669</v>
      </c>
      <c r="C1154" s="14">
        <f t="shared" ca="1" si="54"/>
        <v>184.51599166666668</v>
      </c>
      <c r="D1154" s="14"/>
      <c r="E1154" s="14">
        <f t="shared" ca="1" si="56"/>
        <v>184.37933333333334</v>
      </c>
      <c r="F1154" s="14">
        <f t="shared" ca="1" si="56"/>
        <v>184.37933333333334</v>
      </c>
      <c r="G1154" s="14">
        <f t="shared" ca="1" si="56"/>
        <v>184.6507</v>
      </c>
      <c r="H1154" s="14">
        <f t="shared" ca="1" si="56"/>
        <v>184.51599166666668</v>
      </c>
      <c r="I1154" s="14">
        <f t="shared" ca="1" si="56"/>
        <v>184.51599166666668</v>
      </c>
      <c r="J1154" s="14">
        <f t="shared" ca="1" si="56"/>
        <v>184.51599166666668</v>
      </c>
      <c r="K1154" s="14">
        <f t="shared" ca="1" si="56"/>
        <v>184.51599166666668</v>
      </c>
    </row>
    <row r="1155" spans="1:11" ht="15" x14ac:dyDescent="0.2">
      <c r="A1155" s="10">
        <f t="shared" si="52"/>
        <v>2099</v>
      </c>
      <c r="B1155" s="14">
        <f t="shared" ca="1" si="54"/>
        <v>188.32382500000003</v>
      </c>
      <c r="C1155" s="14">
        <f t="shared" ca="1" si="54"/>
        <v>187.89156666666668</v>
      </c>
      <c r="D1155" s="14"/>
      <c r="E1155" s="14">
        <f t="shared" ca="1" si="56"/>
        <v>187.75491666666667</v>
      </c>
      <c r="F1155" s="14">
        <f t="shared" ca="1" si="56"/>
        <v>187.75491666666667</v>
      </c>
      <c r="G1155" s="14">
        <f t="shared" ca="1" si="56"/>
        <v>188.02629999999999</v>
      </c>
      <c r="H1155" s="14">
        <f t="shared" ca="1" si="56"/>
        <v>187.89156666666668</v>
      </c>
      <c r="I1155" s="14">
        <f t="shared" ca="1" si="56"/>
        <v>187.89156666666668</v>
      </c>
      <c r="J1155" s="14">
        <f t="shared" ca="1" si="56"/>
        <v>187.89156666666668</v>
      </c>
      <c r="K1155" s="14">
        <f t="shared" ca="1" si="56"/>
        <v>187.89156666666668</v>
      </c>
    </row>
    <row r="1156" spans="1:11" ht="15" x14ac:dyDescent="0.2">
      <c r="A1156" s="10">
        <f t="shared" si="52"/>
        <v>2100</v>
      </c>
      <c r="B1156" s="14">
        <f t="shared" ca="1" si="54"/>
        <v>191.76178333333337</v>
      </c>
      <c r="C1156" s="14">
        <f t="shared" ca="1" si="54"/>
        <v>191.32952499999999</v>
      </c>
      <c r="D1156" s="14"/>
      <c r="E1156" s="14">
        <f t="shared" ca="1" si="56"/>
        <v>191.19286666666673</v>
      </c>
      <c r="F1156" s="14">
        <f t="shared" ca="1" si="56"/>
        <v>191.19286666666673</v>
      </c>
      <c r="G1156" s="14">
        <f t="shared" ca="1" si="56"/>
        <v>191.46426666666665</v>
      </c>
      <c r="H1156" s="14">
        <f t="shared" ca="1" si="56"/>
        <v>191.32952499999999</v>
      </c>
      <c r="I1156" s="14">
        <f t="shared" ca="1" si="56"/>
        <v>191.32952499999999</v>
      </c>
      <c r="J1156" s="14">
        <f t="shared" ca="1" si="56"/>
        <v>191.32952499999999</v>
      </c>
      <c r="K1156" s="14">
        <f t="shared" ca="1" si="56"/>
        <v>191.32952499999999</v>
      </c>
    </row>
    <row r="1157" spans="1:11" x14ac:dyDescent="0.2">
      <c r="A1157" s="8"/>
    </row>
    <row r="1158" spans="1:11" x14ac:dyDescent="0.2">
      <c r="A1158" s="8"/>
    </row>
    <row r="1159" spans="1:11" x14ac:dyDescent="0.2">
      <c r="A1159" s="8"/>
    </row>
    <row r="1160" spans="1:11" x14ac:dyDescent="0.2">
      <c r="A1160" s="8"/>
    </row>
    <row r="1161" spans="1:11" x14ac:dyDescent="0.2">
      <c r="A1161" s="8"/>
    </row>
    <row r="1162" spans="1:11" x14ac:dyDescent="0.2">
      <c r="A1162" s="8"/>
    </row>
    <row r="1163" spans="1:11" x14ac:dyDescent="0.2">
      <c r="A1163" s="8"/>
    </row>
    <row r="1164" spans="1:11" x14ac:dyDescent="0.2">
      <c r="A1164" s="8"/>
    </row>
    <row r="1165" spans="1:11" x14ac:dyDescent="0.2">
      <c r="A1165" s="8"/>
    </row>
    <row r="1166" spans="1:11" x14ac:dyDescent="0.2">
      <c r="A1166" s="8"/>
    </row>
    <row r="1167" spans="1:11" x14ac:dyDescent="0.2">
      <c r="A1167" s="8"/>
    </row>
    <row r="1168" spans="1:1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8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6</xdr:col>
                    <xdr:colOff>104775</xdr:colOff>
                    <xdr:row>7</xdr:row>
                    <xdr:rowOff>85725</xdr:rowOff>
                  </from>
                  <to>
                    <xdr:col>7</xdr:col>
                    <xdr:colOff>104775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114300</xdr:rowOff>
                  </from>
                  <to>
                    <xdr:col>8</xdr:col>
                    <xdr:colOff>295275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76"/>
  <sheetViews>
    <sheetView zoomScale="75" workbookViewId="0">
      <pane xSplit="1" ySplit="11" topLeftCell="B12" activePane="bottomRight" state="frozen"/>
      <selection activeCell="C20" sqref="C20:C21"/>
      <selection pane="topRight" activeCell="C20" sqref="C20:C21"/>
      <selection pane="bottomLeft" activeCell="C20" sqref="C20:C21"/>
      <selection pane="bottomRight" activeCell="B12" sqref="B12"/>
    </sheetView>
  </sheetViews>
  <sheetFormatPr defaultColWidth="7.109375" defaultRowHeight="12.75" x14ac:dyDescent="0.2"/>
  <cols>
    <col min="1" max="1" width="18.44140625" style="30" customWidth="1"/>
    <col min="2" max="3" width="14.5546875" style="30" customWidth="1"/>
    <col min="4" max="4" width="16.88671875" style="30" customWidth="1"/>
    <col min="5" max="5" width="14.5546875" style="30" customWidth="1"/>
    <col min="6" max="6" width="16.77734375" style="30" customWidth="1"/>
    <col min="7" max="9" width="14.5546875" style="30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102" t="s">
        <v>91</v>
      </c>
    </row>
    <row r="2" spans="1:10" ht="15.75" x14ac:dyDescent="0.25">
      <c r="A2" s="102" t="s">
        <v>92</v>
      </c>
    </row>
    <row r="3" spans="1:10" ht="15.75" x14ac:dyDescent="0.25">
      <c r="A3" s="102" t="s">
        <v>93</v>
      </c>
    </row>
    <row r="4" spans="1:10" ht="15.75" x14ac:dyDescent="0.25">
      <c r="A4" s="102" t="s">
        <v>94</v>
      </c>
    </row>
    <row r="5" spans="1:10" ht="15.75" x14ac:dyDescent="0.25">
      <c r="A5" s="102" t="s">
        <v>96</v>
      </c>
    </row>
    <row r="6" spans="1:10" ht="15.75" x14ac:dyDescent="0.25">
      <c r="A6" s="102" t="s">
        <v>99</v>
      </c>
    </row>
    <row r="7" spans="1:10" s="22" customFormat="1" x14ac:dyDescent="0.2">
      <c r="A7" s="47"/>
      <c r="B7" s="47"/>
      <c r="C7" s="47"/>
      <c r="D7" s="47"/>
      <c r="E7" s="47"/>
      <c r="F7" s="47"/>
      <c r="G7" s="47"/>
      <c r="H7" s="47"/>
      <c r="I7" s="47"/>
    </row>
    <row r="8" spans="1:10" ht="15.75" x14ac:dyDescent="0.25">
      <c r="A8" s="46" t="s">
        <v>27</v>
      </c>
      <c r="B8" s="47"/>
      <c r="C8" s="41"/>
    </row>
    <row r="9" spans="1:10" ht="15.75" x14ac:dyDescent="0.25">
      <c r="A9" s="46"/>
      <c r="B9" s="41"/>
      <c r="C9" s="41"/>
      <c r="D9" s="40" t="s">
        <v>25</v>
      </c>
      <c r="E9" s="39">
        <f>1-0.278</f>
        <v>0.72199999999999998</v>
      </c>
      <c r="F9" s="40" t="s">
        <v>24</v>
      </c>
      <c r="G9" s="39">
        <v>1.278</v>
      </c>
    </row>
    <row r="10" spans="1:10" s="35" customFormat="1" ht="34.9" customHeight="1" x14ac:dyDescent="0.25">
      <c r="B10" s="38" t="s">
        <v>47</v>
      </c>
      <c r="C10" s="36" t="s">
        <v>46</v>
      </c>
      <c r="D10" s="38" t="s">
        <v>45</v>
      </c>
      <c r="E10" s="38" t="s">
        <v>44</v>
      </c>
      <c r="F10" s="38" t="s">
        <v>43</v>
      </c>
      <c r="G10" s="36" t="s">
        <v>42</v>
      </c>
      <c r="H10" s="36" t="s">
        <v>41</v>
      </c>
      <c r="I10" s="38" t="s">
        <v>40</v>
      </c>
      <c r="J10" s="36" t="s">
        <v>39</v>
      </c>
    </row>
    <row r="11" spans="1:10" s="35" customFormat="1" ht="13.15" customHeight="1" x14ac:dyDescent="0.25">
      <c r="A11" s="37" t="s">
        <v>15</v>
      </c>
      <c r="B11" s="37" t="s">
        <v>14</v>
      </c>
      <c r="C11" s="37" t="s">
        <v>14</v>
      </c>
      <c r="D11" s="37" t="s">
        <v>14</v>
      </c>
      <c r="E11" s="37" t="s">
        <v>14</v>
      </c>
      <c r="F11" s="37" t="s">
        <v>14</v>
      </c>
      <c r="G11" s="37" t="s">
        <v>14</v>
      </c>
      <c r="H11" s="37" t="s">
        <v>14</v>
      </c>
      <c r="I11" s="37" t="s">
        <v>14</v>
      </c>
      <c r="J11" s="37" t="s">
        <v>38</v>
      </c>
    </row>
    <row r="12" spans="1:10" ht="15" x14ac:dyDescent="0.2">
      <c r="A12" s="13">
        <v>41275</v>
      </c>
      <c r="B12" s="14">
        <v>17.5608163872467</v>
      </c>
      <c r="C12" s="14">
        <v>16.672788775099502</v>
      </c>
      <c r="D12" s="14">
        <v>16.664976275099502</v>
      </c>
      <c r="E12" s="14">
        <v>16.664976275099502</v>
      </c>
      <c r="F12" s="14">
        <v>16.6118512750995</v>
      </c>
      <c r="G12" s="14">
        <v>16.6712262750995</v>
      </c>
      <c r="H12" s="14">
        <v>16.6712262750995</v>
      </c>
      <c r="I12" s="14">
        <v>16.672788775099502</v>
      </c>
      <c r="J12" s="43">
        <f>89.51</f>
        <v>89.51</v>
      </c>
    </row>
    <row r="13" spans="1:10" ht="15" x14ac:dyDescent="0.2">
      <c r="A13" s="13">
        <v>41306</v>
      </c>
      <c r="B13" s="14">
        <v>18.139507285282502</v>
      </c>
      <c r="C13" s="14">
        <v>17.084489196554799</v>
      </c>
      <c r="D13" s="14">
        <v>17.076676696554799</v>
      </c>
      <c r="E13" s="14">
        <v>17.076676696554799</v>
      </c>
      <c r="F13" s="14">
        <v>17.023551696554801</v>
      </c>
      <c r="G13" s="14">
        <v>17.0829266965548</v>
      </c>
      <c r="H13" s="14">
        <v>17.0829266965548</v>
      </c>
      <c r="I13" s="14">
        <v>17.084489196554799</v>
      </c>
      <c r="J13" s="43">
        <f>96.24</f>
        <v>96.24</v>
      </c>
    </row>
    <row r="14" spans="1:10" ht="15" x14ac:dyDescent="0.2">
      <c r="A14" s="13">
        <v>41334</v>
      </c>
      <c r="B14" s="14">
        <v>16.456719986895401</v>
      </c>
      <c r="C14" s="14">
        <v>15.771603971900401</v>
      </c>
      <c r="D14" s="14">
        <v>15.763791471900401</v>
      </c>
      <c r="E14" s="14">
        <v>15.763791471900401</v>
      </c>
      <c r="F14" s="14">
        <v>16.456719986895401</v>
      </c>
      <c r="G14" s="14">
        <v>15.770041471900401</v>
      </c>
      <c r="H14" s="14">
        <v>15.770041471900401</v>
      </c>
      <c r="I14" s="14">
        <v>15.771603971900401</v>
      </c>
      <c r="J14" s="43">
        <f>94.46</f>
        <v>94.46</v>
      </c>
    </row>
    <row r="15" spans="1:10" ht="15" x14ac:dyDescent="0.2">
      <c r="A15" s="13">
        <v>41365</v>
      </c>
      <c r="B15" s="14">
        <v>16.071251267255601</v>
      </c>
      <c r="C15" s="14">
        <v>15.4136066904326</v>
      </c>
      <c r="D15" s="14">
        <v>15.4057941904326</v>
      </c>
      <c r="E15" s="14">
        <v>15.4057941904326</v>
      </c>
      <c r="F15" s="44">
        <v>15.915001267255599</v>
      </c>
      <c r="G15" s="14">
        <v>15.412044190432599</v>
      </c>
      <c r="H15" s="14">
        <v>15.412044190432599</v>
      </c>
      <c r="I15" s="14">
        <v>15.4136066904326</v>
      </c>
      <c r="J15" s="43">
        <f>92.96</f>
        <v>92.96</v>
      </c>
    </row>
    <row r="16" spans="1:10" ht="15" x14ac:dyDescent="0.2">
      <c r="A16" s="13">
        <v>41395</v>
      </c>
      <c r="B16" s="14">
        <v>16.0652180011265</v>
      </c>
      <c r="C16" s="14">
        <v>15.407153397421901</v>
      </c>
      <c r="D16" s="14">
        <v>15.399340897421901</v>
      </c>
      <c r="E16" s="14">
        <v>15.399340897421901</v>
      </c>
      <c r="F16" s="44">
        <v>15.9089680011265</v>
      </c>
      <c r="G16" s="14">
        <v>15.4055908974219</v>
      </c>
      <c r="H16" s="14">
        <v>15.4055908974219</v>
      </c>
      <c r="I16" s="14">
        <v>15.407153397421901</v>
      </c>
      <c r="J16" s="43">
        <f>88.76</f>
        <v>88.76</v>
      </c>
    </row>
    <row r="17" spans="1:10" ht="15" x14ac:dyDescent="0.2">
      <c r="A17" s="13">
        <v>41426</v>
      </c>
      <c r="B17" s="14">
        <v>15.9748450172556</v>
      </c>
      <c r="C17" s="14">
        <v>15.2885546070993</v>
      </c>
      <c r="D17" s="14">
        <v>15.2807421070993</v>
      </c>
      <c r="E17" s="14">
        <v>15.2807421070993</v>
      </c>
      <c r="F17" s="44">
        <v>15.8185950172556</v>
      </c>
      <c r="G17" s="14">
        <v>15.2869921070993</v>
      </c>
      <c r="H17" s="14">
        <v>15.2869921070993</v>
      </c>
      <c r="I17" s="14">
        <v>15.2885546070993</v>
      </c>
      <c r="J17" s="43">
        <f>96.16</f>
        <v>96.16</v>
      </c>
    </row>
    <row r="18" spans="1:10" ht="15" x14ac:dyDescent="0.2">
      <c r="A18" s="13">
        <v>41456</v>
      </c>
      <c r="B18" s="14">
        <f>15.9453 * CHOOSE(CONTROL!$C$15, $E$9, 100%, $G$9) + CHOOSE(CONTROL!$C$38, 0.0264, 0)</f>
        <v>15.9717</v>
      </c>
      <c r="C18" s="14">
        <f>15.2422 * CHOOSE(CONTROL!$C$15, $E$9, 100%, $G$9) + CHOOSE(CONTROL!$C$38, 0.0354, 0)</f>
        <v>15.2776</v>
      </c>
      <c r="D18" s="14">
        <f>15.2344 * CHOOSE(CONTROL!$C$15, $E$9, 100%, $G$9) + CHOOSE(CONTROL!$C$38, 0.0354, 0)</f>
        <v>15.2698</v>
      </c>
      <c r="E18" s="14">
        <f>15.2344 * CHOOSE(CONTROL!$C$15, $E$9, 100%, $G$9) + CHOOSE(CONTROL!$C$38, 0.0354, 0)</f>
        <v>15.2698</v>
      </c>
      <c r="F18" s="44">
        <f>15.7891 * CHOOSE(CONTROL!$C$15, $E$9, 100%, $G$9) + CHOOSE(CONTROL!$C$38, 0.0264, 0)</f>
        <v>15.8155</v>
      </c>
      <c r="G18" s="14">
        <f>15.2406 * CHOOSE(CONTROL!$C$15, $E$9, 100%, $G$9) + CHOOSE(CONTROL!$C$38, 0.0354, 0)</f>
        <v>15.276</v>
      </c>
      <c r="H18" s="14">
        <f>15.2406 * CHOOSE(CONTROL!$C$15, $E$9, 100%, $G$9) + CHOOSE(CONTROL!$C$38, 0.0354, 0)</f>
        <v>15.276</v>
      </c>
      <c r="I18" s="14">
        <f>15.2422 * CHOOSE(CONTROL!$C$15, $E$9, 100%, $G$9) + CHOOSE(CONTROL!$C$38, 0.0354, 0)</f>
        <v>15.2776</v>
      </c>
      <c r="J18" s="43">
        <f>93.45</f>
        <v>93.45</v>
      </c>
    </row>
    <row r="19" spans="1:10" ht="15" x14ac:dyDescent="0.2">
      <c r="A19" s="13">
        <v>41487</v>
      </c>
      <c r="B19" s="14">
        <f>15.9141 * CHOOSE(CONTROL!$C$15, $E$9, 100%, $G$9) + CHOOSE(CONTROL!$C$38, 0.0264, 0)</f>
        <v>15.9405</v>
      </c>
      <c r="C19" s="14">
        <f>15.2109 * CHOOSE(CONTROL!$C$15, $E$9, 100%, $G$9) + CHOOSE(CONTROL!$C$38, 0.0354, 0)</f>
        <v>15.2463</v>
      </c>
      <c r="D19" s="14">
        <f>15.2031 * CHOOSE(CONTROL!$C$15, $E$9, 100%, $G$9) + CHOOSE(CONTROL!$C$38, 0.0354, 0)</f>
        <v>15.238499999999998</v>
      </c>
      <c r="E19" s="14">
        <f>15.2031 * CHOOSE(CONTROL!$C$15, $E$9, 100%, $G$9) + CHOOSE(CONTROL!$C$38, 0.0354, 0)</f>
        <v>15.238499999999998</v>
      </c>
      <c r="F19" s="44">
        <f>15.7578 * CHOOSE(CONTROL!$C$15, $E$9, 100%, $G$9) + CHOOSE(CONTROL!$C$38, 0.0264, 0)</f>
        <v>15.7842</v>
      </c>
      <c r="G19" s="14">
        <f>15.2094 * CHOOSE(CONTROL!$C$15, $E$9, 100%, $G$9) + CHOOSE(CONTROL!$C$38, 0.0354, 0)</f>
        <v>15.2448</v>
      </c>
      <c r="H19" s="14">
        <f>15.2094 * CHOOSE(CONTROL!$C$15, $E$9, 100%, $G$9) + CHOOSE(CONTROL!$C$38, 0.0354, 0)</f>
        <v>15.2448</v>
      </c>
      <c r="I19" s="14">
        <f>15.2109 * CHOOSE(CONTROL!$C$15, $E$9, 100%, $G$9) + CHOOSE(CONTROL!$C$38, 0.0354, 0)</f>
        <v>15.2463</v>
      </c>
      <c r="J19" s="43">
        <f>93.67</f>
        <v>93.67</v>
      </c>
    </row>
    <row r="20" spans="1:10" ht="15" x14ac:dyDescent="0.2">
      <c r="A20" s="13">
        <v>41518</v>
      </c>
      <c r="B20" s="14">
        <f>15.9203 * CHOOSE(CONTROL!$C$15, $E$9, 100%, $G$9) + CHOOSE(CONTROL!$C$38, 0.0264, 0)</f>
        <v>15.9467</v>
      </c>
      <c r="C20" s="14">
        <f>15.1797 * CHOOSE(CONTROL!$C$15, $E$9, 100%, $G$9) + CHOOSE(CONTROL!$C$38, 0.0354, 0)</f>
        <v>15.2151</v>
      </c>
      <c r="D20" s="14">
        <f>15.1719 * CHOOSE(CONTROL!$C$15, $E$9, 100%, $G$9) + CHOOSE(CONTROL!$C$38, 0.0354, 0)</f>
        <v>15.2073</v>
      </c>
      <c r="E20" s="14">
        <f>15.1719 * CHOOSE(CONTROL!$C$15, $E$9, 100%, $G$9) + CHOOSE(CONTROL!$C$38, 0.0354, 0)</f>
        <v>15.2073</v>
      </c>
      <c r="F20" s="44">
        <f>15.7641 * CHOOSE(CONTROL!$C$15, $E$9, 100%, $G$9) + CHOOSE(CONTROL!$C$38, 0.0264, 0)</f>
        <v>15.7905</v>
      </c>
      <c r="G20" s="14">
        <f>15.1781 * CHOOSE(CONTROL!$C$15, $E$9, 100%, $G$9) + CHOOSE(CONTROL!$C$38, 0.0354, 0)</f>
        <v>15.2135</v>
      </c>
      <c r="H20" s="14">
        <f>15.1781 * CHOOSE(CONTROL!$C$15, $E$9, 100%, $G$9) + CHOOSE(CONTROL!$C$38, 0.0354, 0)</f>
        <v>15.2135</v>
      </c>
      <c r="I20" s="14">
        <f>15.1797 * CHOOSE(CONTROL!$C$15, $E$9, 100%, $G$9) + CHOOSE(CONTROL!$C$38, 0.0354, 0)</f>
        <v>15.2151</v>
      </c>
      <c r="J20" s="43">
        <f>93.73</f>
        <v>93.73</v>
      </c>
    </row>
    <row r="21" spans="1:10" ht="15" x14ac:dyDescent="0.2">
      <c r="A21" s="13">
        <v>41548</v>
      </c>
      <c r="B21" s="14">
        <f>15.8125 * CHOOSE(CONTROL!$C$15, $E$9, 100%, $G$9) + CHOOSE(CONTROL!$C$38, 0.0251, 0)</f>
        <v>15.8376</v>
      </c>
      <c r="C21" s="14">
        <f>15.0703 * CHOOSE(CONTROL!$C$15, $E$9, 100%, $G$9) + CHOOSE(CONTROL!$C$38, 0.0342, 0)</f>
        <v>15.1045</v>
      </c>
      <c r="D21" s="14">
        <f>15.0625 * CHOOSE(CONTROL!$C$15, $E$9, 100%, $G$9) + CHOOSE(CONTROL!$C$38, 0.0342, 0)</f>
        <v>15.0967</v>
      </c>
      <c r="E21" s="14">
        <f>15.0625 * CHOOSE(CONTROL!$C$15, $E$9, 100%, $G$9) + CHOOSE(CONTROL!$C$38, 0.0342, 0)</f>
        <v>15.0967</v>
      </c>
      <c r="F21" s="44">
        <f>15.6562 * CHOOSE(CONTROL!$C$15, $E$9, 100%, $G$9) + CHOOSE(CONTROL!$C$38, 0.0251, 0)</f>
        <v>15.6813</v>
      </c>
      <c r="G21" s="14">
        <f>15.0687 * CHOOSE(CONTROL!$C$15, $E$9, 100%, $G$9) + CHOOSE(CONTROL!$C$38, 0.0342, 0)</f>
        <v>15.1029</v>
      </c>
      <c r="H21" s="14">
        <f>15.0687 * CHOOSE(CONTROL!$C$15, $E$9, 100%, $G$9) + CHOOSE(CONTROL!$C$38, 0.0342, 0)</f>
        <v>15.1029</v>
      </c>
      <c r="I21" s="14">
        <f>15.0703 * CHOOSE(CONTROL!$C$15, $E$9, 100%, $G$9) + CHOOSE(CONTROL!$C$38, 0.0342, 0)</f>
        <v>15.1045</v>
      </c>
      <c r="J21" s="43">
        <f>93.55</f>
        <v>93.55</v>
      </c>
    </row>
    <row r="22" spans="1:10" ht="15" x14ac:dyDescent="0.2">
      <c r="A22" s="13">
        <v>41579</v>
      </c>
      <c r="B22" s="14">
        <f>15.8125 * CHOOSE(CONTROL!$C$15, $E$9, 100%, $G$9) + CHOOSE(CONTROL!$C$38, 0.0251, 0)</f>
        <v>15.8376</v>
      </c>
      <c r="C22" s="14">
        <f>15.0703 * CHOOSE(CONTROL!$C$15, $E$9, 100%, $G$9) + CHOOSE(CONTROL!$C$38, 0.0342, 0)</f>
        <v>15.1045</v>
      </c>
      <c r="D22" s="14">
        <f>15.0625 * CHOOSE(CONTROL!$C$15, $E$9, 100%, $G$9) + CHOOSE(CONTROL!$C$38, 0.0342, 0)</f>
        <v>15.0967</v>
      </c>
      <c r="E22" s="14">
        <f>15.0625 * CHOOSE(CONTROL!$C$15, $E$9, 100%, $G$9) + CHOOSE(CONTROL!$C$38, 0.0342, 0)</f>
        <v>15.0967</v>
      </c>
      <c r="F22" s="44">
        <f>15.6562 * CHOOSE(CONTROL!$C$15, $E$9, 100%, $G$9) + CHOOSE(CONTROL!$C$38, 0.0251, 0)</f>
        <v>15.6813</v>
      </c>
      <c r="G22" s="14">
        <f>15.0687 * CHOOSE(CONTROL!$C$15, $E$9, 100%, $G$9) + CHOOSE(CONTROL!$C$38, 0.0342, 0)</f>
        <v>15.1029</v>
      </c>
      <c r="H22" s="14">
        <f>15.0687 * CHOOSE(CONTROL!$C$15, $E$9, 100%, $G$9) + CHOOSE(CONTROL!$C$38, 0.0342, 0)</f>
        <v>15.1029</v>
      </c>
      <c r="I22" s="14">
        <f>15.0703 * CHOOSE(CONTROL!$C$15, $E$9, 100%, $G$9) + CHOOSE(CONTROL!$C$38, 0.0342, 0)</f>
        <v>15.1045</v>
      </c>
      <c r="J22" s="43">
        <f>93.2</f>
        <v>93.2</v>
      </c>
    </row>
    <row r="23" spans="1:10" ht="15" x14ac:dyDescent="0.2">
      <c r="A23" s="13">
        <v>41609</v>
      </c>
      <c r="B23" s="14">
        <f>15.8125 * CHOOSE(CONTROL!$C$15, $E$9, 100%, $G$9) + CHOOSE(CONTROL!$C$38, 0.0251, 0)</f>
        <v>15.8376</v>
      </c>
      <c r="C23" s="14">
        <f>15.0703 * CHOOSE(CONTROL!$C$15, $E$9, 100%, $G$9) + CHOOSE(CONTROL!$C$38, 0.0342, 0)</f>
        <v>15.1045</v>
      </c>
      <c r="D23" s="14">
        <f>15.0625 * CHOOSE(CONTROL!$C$15, $E$9, 100%, $G$9) + CHOOSE(CONTROL!$C$38, 0.0342, 0)</f>
        <v>15.0967</v>
      </c>
      <c r="E23" s="14">
        <f>15.0625 * CHOOSE(CONTROL!$C$15, $E$9, 100%, $G$9) + CHOOSE(CONTROL!$C$38, 0.0342, 0)</f>
        <v>15.0967</v>
      </c>
      <c r="F23" s="44">
        <f>15.6562 * CHOOSE(CONTROL!$C$15, $E$9, 100%, $G$9) + CHOOSE(CONTROL!$C$38, 0.0251, 0)</f>
        <v>15.6813</v>
      </c>
      <c r="G23" s="14">
        <f>15.0687 * CHOOSE(CONTROL!$C$15, $E$9, 100%, $G$9) + CHOOSE(CONTROL!$C$38, 0.0342, 0)</f>
        <v>15.1029</v>
      </c>
      <c r="H23" s="14">
        <f>15.0687 * CHOOSE(CONTROL!$C$15, $E$9, 100%, $G$9) + CHOOSE(CONTROL!$C$38, 0.0342, 0)</f>
        <v>15.1029</v>
      </c>
      <c r="I23" s="14">
        <f>15.0703 * CHOOSE(CONTROL!$C$15, $E$9, 100%, $G$9) + CHOOSE(CONTROL!$C$38, 0.0342, 0)</f>
        <v>15.1045</v>
      </c>
      <c r="J23" s="43">
        <f>92.76</f>
        <v>92.76</v>
      </c>
    </row>
    <row r="24" spans="1:10" ht="15" x14ac:dyDescent="0.2">
      <c r="A24" s="13">
        <v>41640</v>
      </c>
      <c r="B24" s="14">
        <f>15.7969 * CHOOSE(CONTROL!$C$15, $E$9, 100%, $G$9) + CHOOSE(CONTROL!$C$38, 0.0251, 0)</f>
        <v>15.822000000000001</v>
      </c>
      <c r="C24" s="14">
        <f>15.0156 * CHOOSE(CONTROL!$C$15, $E$9, 100%, $G$9) + CHOOSE(CONTROL!$C$38, 0.0342, 0)</f>
        <v>15.049799999999999</v>
      </c>
      <c r="D24" s="14">
        <f>15.0078 * CHOOSE(CONTROL!$C$15, $E$9, 100%, $G$9) + CHOOSE(CONTROL!$C$38, 0.0342, 0)</f>
        <v>15.042</v>
      </c>
      <c r="E24" s="45">
        <f>15.6406 * CHOOSE(CONTROL!$C$15, $E$9, 100%, $G$9) + CHOOSE(CONTROL!$C$38, 0.0342, 0)</f>
        <v>15.674799999999999</v>
      </c>
      <c r="F24" s="44">
        <f>15.6406 * CHOOSE(CONTROL!$C$15, $E$9, 100%, $G$9) + CHOOSE(CONTROL!$C$38, 0.0251, 0)</f>
        <v>15.665699999999999</v>
      </c>
      <c r="G24" s="14">
        <f>15.0141 * CHOOSE(CONTROL!$C$15, $E$9, 100%, $G$9) + CHOOSE(CONTROL!$C$38, 0.0342, 0)</f>
        <v>15.048299999999999</v>
      </c>
      <c r="H24" s="14">
        <f>15.0141 * CHOOSE(CONTROL!$C$15, $E$9, 100%, $G$9) + CHOOSE(CONTROL!$C$38, 0.0342, 0)</f>
        <v>15.048299999999999</v>
      </c>
      <c r="I24" s="14">
        <f>15.0156 * CHOOSE(CONTROL!$C$15, $E$9, 100%, $G$9) + CHOOSE(CONTROL!$C$38, 0.0342, 0)</f>
        <v>15.049799999999999</v>
      </c>
      <c r="J24" s="43">
        <f>92.3</f>
        <v>92.3</v>
      </c>
    </row>
    <row r="25" spans="1:10" ht="15" x14ac:dyDescent="0.2">
      <c r="A25" s="13">
        <v>41671</v>
      </c>
      <c r="B25" s="14">
        <f>15.7969 * CHOOSE(CONTROL!$C$15, $E$9, 100%, $G$9) + CHOOSE(CONTROL!$C$38, 0.0251, 0)</f>
        <v>15.822000000000001</v>
      </c>
      <c r="C25" s="14">
        <f>15.0156 * CHOOSE(CONTROL!$C$15, $E$9, 100%, $G$9) + CHOOSE(CONTROL!$C$38, 0.0342, 0)</f>
        <v>15.049799999999999</v>
      </c>
      <c r="D25" s="14">
        <f>15.0078 * CHOOSE(CONTROL!$C$15, $E$9, 100%, $G$9) + CHOOSE(CONTROL!$C$38, 0.0342, 0)</f>
        <v>15.042</v>
      </c>
      <c r="E25" s="45">
        <f>15.6406 * CHOOSE(CONTROL!$C$15, $E$9, 100%, $G$9) + CHOOSE(CONTROL!$C$38, 0.0342, 0)</f>
        <v>15.674799999999999</v>
      </c>
      <c r="F25" s="44">
        <f>15.6406 * CHOOSE(CONTROL!$C$15, $E$9, 100%, $G$9) + CHOOSE(CONTROL!$C$38, 0.0251, 0)</f>
        <v>15.665699999999999</v>
      </c>
      <c r="G25" s="14">
        <f>15.0141 * CHOOSE(CONTROL!$C$15, $E$9, 100%, $G$9) + CHOOSE(CONTROL!$C$38, 0.0342, 0)</f>
        <v>15.048299999999999</v>
      </c>
      <c r="H25" s="14">
        <f>15.0141 * CHOOSE(CONTROL!$C$15, $E$9, 100%, $G$9) + CHOOSE(CONTROL!$C$38, 0.0342, 0)</f>
        <v>15.048299999999999</v>
      </c>
      <c r="I25" s="14">
        <f>15.0156 * CHOOSE(CONTROL!$C$15, $E$9, 100%, $G$9) + CHOOSE(CONTROL!$C$38, 0.0342, 0)</f>
        <v>15.049799999999999</v>
      </c>
      <c r="J25" s="43">
        <f>91.87</f>
        <v>91.87</v>
      </c>
    </row>
    <row r="26" spans="1:10" ht="15" x14ac:dyDescent="0.2">
      <c r="A26" s="13">
        <v>41699</v>
      </c>
      <c r="B26" s="14">
        <f>15.7969 * CHOOSE(CONTROL!$C$15, $E$9, 100%, $G$9) + CHOOSE(CONTROL!$C$38, 0.0251, 0)</f>
        <v>15.822000000000001</v>
      </c>
      <c r="C26" s="14">
        <f>15.0156 * CHOOSE(CONTROL!$C$15, $E$9, 100%, $G$9) + CHOOSE(CONTROL!$C$38, 0.0342, 0)</f>
        <v>15.049799999999999</v>
      </c>
      <c r="D26" s="14">
        <f>15.0078 * CHOOSE(CONTROL!$C$15, $E$9, 100%, $G$9) + CHOOSE(CONTROL!$C$38, 0.0342, 0)</f>
        <v>15.042</v>
      </c>
      <c r="E26" s="45">
        <f>15.6406 * CHOOSE(CONTROL!$C$15, $E$9, 100%, $G$9) + CHOOSE(CONTROL!$C$38, 0.0342, 0)</f>
        <v>15.674799999999999</v>
      </c>
      <c r="F26" s="44">
        <f>15.6406 * CHOOSE(CONTROL!$C$15, $E$9, 100%, $G$9) + CHOOSE(CONTROL!$C$38, 0.0251, 0)</f>
        <v>15.665699999999999</v>
      </c>
      <c r="G26" s="14">
        <f>15.0141 * CHOOSE(CONTROL!$C$15, $E$9, 100%, $G$9) + CHOOSE(CONTROL!$C$38, 0.0342, 0)</f>
        <v>15.048299999999999</v>
      </c>
      <c r="H26" s="14">
        <f>15.0141 * CHOOSE(CONTROL!$C$15, $E$9, 100%, $G$9) + CHOOSE(CONTROL!$C$38, 0.0342, 0)</f>
        <v>15.048299999999999</v>
      </c>
      <c r="I26" s="14">
        <f>15.0156 * CHOOSE(CONTROL!$C$15, $E$9, 100%, $G$9) + CHOOSE(CONTROL!$C$38, 0.0342, 0)</f>
        <v>15.049799999999999</v>
      </c>
      <c r="J26" s="43">
        <f>91.48</f>
        <v>91.48</v>
      </c>
    </row>
    <row r="27" spans="1:10" ht="15" x14ac:dyDescent="0.2">
      <c r="A27" s="13">
        <v>41730</v>
      </c>
      <c r="B27" s="14">
        <f>15.5802 * CHOOSE(CONTROL!$C$15, $E$9, 100%, $G$9) + CHOOSE(CONTROL!$C$38, 0.0251, 0)</f>
        <v>15.6053</v>
      </c>
      <c r="C27" s="14">
        <f>14.799 * CHOOSE(CONTROL!$C$15, $E$9, 100%, $G$9) + CHOOSE(CONTROL!$C$38, 0.0342, 0)</f>
        <v>14.8332</v>
      </c>
      <c r="D27" s="14">
        <f>14.7911 * CHOOSE(CONTROL!$C$15, $E$9, 100%, $G$9) + CHOOSE(CONTROL!$C$38, 0.0342, 0)</f>
        <v>14.8253</v>
      </c>
      <c r="E27" s="45">
        <f>15.424 * CHOOSE(CONTROL!$C$15, $E$9, 100%, $G$9) + CHOOSE(CONTROL!$C$38, 0.0342, 0)</f>
        <v>15.4582</v>
      </c>
      <c r="F27" s="44">
        <f>15.424 * CHOOSE(CONTROL!$C$15, $E$9, 100%, $G$9) + CHOOSE(CONTROL!$C$38, 0.0251, 0)</f>
        <v>15.4491</v>
      </c>
      <c r="G27" s="14">
        <f>14.7974 * CHOOSE(CONTROL!$C$15, $E$9, 100%, $G$9) + CHOOSE(CONTROL!$C$38, 0.0342, 0)</f>
        <v>14.8316</v>
      </c>
      <c r="H27" s="14">
        <f>14.7974 * CHOOSE(CONTROL!$C$15, $E$9, 100%, $G$9) + CHOOSE(CONTROL!$C$38, 0.0342, 0)</f>
        <v>14.8316</v>
      </c>
      <c r="I27" s="14">
        <f>14.799 * CHOOSE(CONTROL!$C$15, $E$9, 100%, $G$9) + CHOOSE(CONTROL!$C$38, 0.0342, 0)</f>
        <v>14.8332</v>
      </c>
      <c r="J27" s="43">
        <f>91.11</f>
        <v>91.11</v>
      </c>
    </row>
    <row r="28" spans="1:10" ht="15" x14ac:dyDescent="0.2">
      <c r="A28" s="13">
        <v>41760</v>
      </c>
      <c r="B28" s="14">
        <f>15.5802 * CHOOSE(CONTROL!$C$15, $E$9, 100%, $G$9) + CHOOSE(CONTROL!$C$38, 0.0264, 0)</f>
        <v>15.6066</v>
      </c>
      <c r="C28" s="14">
        <f>14.799 * CHOOSE(CONTROL!$C$15, $E$9, 100%, $G$9) + CHOOSE(CONTROL!$C$38, 0.0354, 0)</f>
        <v>14.834399999999999</v>
      </c>
      <c r="D28" s="14">
        <f>14.7911 * CHOOSE(CONTROL!$C$15, $E$9, 100%, $G$9) + CHOOSE(CONTROL!$C$38, 0.0354, 0)</f>
        <v>14.826499999999999</v>
      </c>
      <c r="E28" s="45">
        <f>15.424 * CHOOSE(CONTROL!$C$15, $E$9, 100%, $G$9) + CHOOSE(CONTROL!$C$38, 0.0354, 0)</f>
        <v>15.459399999999999</v>
      </c>
      <c r="F28" s="44">
        <f>15.424 * CHOOSE(CONTROL!$C$15, $E$9, 100%, $G$9) + CHOOSE(CONTROL!$C$38, 0.0264, 0)</f>
        <v>15.4504</v>
      </c>
      <c r="G28" s="14">
        <f>14.7974 * CHOOSE(CONTROL!$C$15, $E$9, 100%, $G$9) + CHOOSE(CONTROL!$C$38, 0.0354, 0)</f>
        <v>14.832799999999999</v>
      </c>
      <c r="H28" s="14">
        <f>14.7974 * CHOOSE(CONTROL!$C$15, $E$9, 100%, $G$9) + CHOOSE(CONTROL!$C$38, 0.0354, 0)</f>
        <v>14.832799999999999</v>
      </c>
      <c r="I28" s="14">
        <f>14.799 * CHOOSE(CONTROL!$C$15, $E$9, 100%, $G$9) + CHOOSE(CONTROL!$C$38, 0.0354, 0)</f>
        <v>14.834399999999999</v>
      </c>
      <c r="J28" s="43">
        <f>90.8</f>
        <v>90.8</v>
      </c>
    </row>
    <row r="29" spans="1:10" ht="15" x14ac:dyDescent="0.2">
      <c r="A29" s="13">
        <v>41791</v>
      </c>
      <c r="B29" s="14">
        <f>15.5802 * CHOOSE(CONTROL!$C$15, $E$9, 100%, $G$9) + CHOOSE(CONTROL!$C$38, 0.0264, 0)</f>
        <v>15.6066</v>
      </c>
      <c r="C29" s="14">
        <f>14.799 * CHOOSE(CONTROL!$C$15, $E$9, 100%, $G$9) + CHOOSE(CONTROL!$C$38, 0.0354, 0)</f>
        <v>14.834399999999999</v>
      </c>
      <c r="D29" s="14">
        <f>14.7911 * CHOOSE(CONTROL!$C$15, $E$9, 100%, $G$9) + CHOOSE(CONTROL!$C$38, 0.0354, 0)</f>
        <v>14.826499999999999</v>
      </c>
      <c r="E29" s="45">
        <f>15.424 * CHOOSE(CONTROL!$C$15, $E$9, 100%, $G$9) + CHOOSE(CONTROL!$C$38, 0.0354, 0)</f>
        <v>15.459399999999999</v>
      </c>
      <c r="F29" s="44">
        <f>15.424 * CHOOSE(CONTROL!$C$15, $E$9, 100%, $G$9) + CHOOSE(CONTROL!$C$38, 0.0264, 0)</f>
        <v>15.4504</v>
      </c>
      <c r="G29" s="14">
        <f>14.7974 * CHOOSE(CONTROL!$C$15, $E$9, 100%, $G$9) + CHOOSE(CONTROL!$C$38, 0.0354, 0)</f>
        <v>14.832799999999999</v>
      </c>
      <c r="H29" s="14">
        <f>14.7974 * CHOOSE(CONTROL!$C$15, $E$9, 100%, $G$9) + CHOOSE(CONTROL!$C$38, 0.0354, 0)</f>
        <v>14.832799999999999</v>
      </c>
      <c r="I29" s="14">
        <f>14.799 * CHOOSE(CONTROL!$C$15, $E$9, 100%, $G$9) + CHOOSE(CONTROL!$C$38, 0.0354, 0)</f>
        <v>14.834399999999999</v>
      </c>
      <c r="J29" s="43">
        <f>90.56</f>
        <v>90.56</v>
      </c>
    </row>
    <row r="30" spans="1:10" ht="15" x14ac:dyDescent="0.2">
      <c r="A30" s="13">
        <v>41821</v>
      </c>
      <c r="B30" s="14">
        <f>15.5802 * CHOOSE(CONTROL!$C$15, $E$9, 100%, $G$9) + CHOOSE(CONTROL!$C$38, 0.0264, 0)</f>
        <v>15.6066</v>
      </c>
      <c r="C30" s="14">
        <f>14.799 * CHOOSE(CONTROL!$C$15, $E$9, 100%, $G$9) + CHOOSE(CONTROL!$C$38, 0.0354, 0)</f>
        <v>14.834399999999999</v>
      </c>
      <c r="D30" s="14">
        <f>14.7911 * CHOOSE(CONTROL!$C$15, $E$9, 100%, $G$9) + CHOOSE(CONTROL!$C$38, 0.0354, 0)</f>
        <v>14.826499999999999</v>
      </c>
      <c r="E30" s="45">
        <f>15.424 * CHOOSE(CONTROL!$C$15, $E$9, 100%, $G$9) + CHOOSE(CONTROL!$C$38, 0.0354, 0)</f>
        <v>15.459399999999999</v>
      </c>
      <c r="F30" s="44">
        <f>15.424 * CHOOSE(CONTROL!$C$15, $E$9, 100%, $G$9) + CHOOSE(CONTROL!$C$38, 0.0264, 0)</f>
        <v>15.4504</v>
      </c>
      <c r="G30" s="14">
        <f>14.7974 * CHOOSE(CONTROL!$C$15, $E$9, 100%, $G$9) + CHOOSE(CONTROL!$C$38, 0.0354, 0)</f>
        <v>14.832799999999999</v>
      </c>
      <c r="H30" s="14">
        <f>14.7974 * CHOOSE(CONTROL!$C$15, $E$9, 100%, $G$9) + CHOOSE(CONTROL!$C$38, 0.0354, 0)</f>
        <v>14.832799999999999</v>
      </c>
      <c r="I30" s="14">
        <f>14.799 * CHOOSE(CONTROL!$C$15, $E$9, 100%, $G$9) + CHOOSE(CONTROL!$C$38, 0.0354, 0)</f>
        <v>14.834399999999999</v>
      </c>
      <c r="J30" s="43">
        <f>90.29</f>
        <v>90.29</v>
      </c>
    </row>
    <row r="31" spans="1:10" ht="15" x14ac:dyDescent="0.2">
      <c r="A31" s="13">
        <v>41852</v>
      </c>
      <c r="B31" s="14">
        <f>15.5802 * CHOOSE(CONTROL!$C$15, $E$9, 100%, $G$9) + CHOOSE(CONTROL!$C$38, 0.0264, 0)</f>
        <v>15.6066</v>
      </c>
      <c r="C31" s="14">
        <f>14.799 * CHOOSE(CONTROL!$C$15, $E$9, 100%, $G$9) + CHOOSE(CONTROL!$C$38, 0.0354, 0)</f>
        <v>14.834399999999999</v>
      </c>
      <c r="D31" s="14">
        <f>14.7911 * CHOOSE(CONTROL!$C$15, $E$9, 100%, $G$9) + CHOOSE(CONTROL!$C$38, 0.0354, 0)</f>
        <v>14.826499999999999</v>
      </c>
      <c r="E31" s="45">
        <f>15.424 * CHOOSE(CONTROL!$C$15, $E$9, 100%, $G$9) + CHOOSE(CONTROL!$C$38, 0.0354, 0)</f>
        <v>15.459399999999999</v>
      </c>
      <c r="F31" s="44">
        <f>15.424 * CHOOSE(CONTROL!$C$15, $E$9, 100%, $G$9) + CHOOSE(CONTROL!$C$38, 0.0264, 0)</f>
        <v>15.4504</v>
      </c>
      <c r="G31" s="14">
        <f>14.7974 * CHOOSE(CONTROL!$C$15, $E$9, 100%, $G$9) + CHOOSE(CONTROL!$C$38, 0.0354, 0)</f>
        <v>14.832799999999999</v>
      </c>
      <c r="H31" s="14">
        <f>14.7974 * CHOOSE(CONTROL!$C$15, $E$9, 100%, $G$9) + CHOOSE(CONTROL!$C$38, 0.0354, 0)</f>
        <v>14.832799999999999</v>
      </c>
      <c r="I31" s="14">
        <f>14.799 * CHOOSE(CONTROL!$C$15, $E$9, 100%, $G$9) + CHOOSE(CONTROL!$C$38, 0.0354, 0)</f>
        <v>14.834399999999999</v>
      </c>
      <c r="J31" s="43">
        <f>89.99</f>
        <v>89.99</v>
      </c>
    </row>
    <row r="32" spans="1:10" ht="15" x14ac:dyDescent="0.2">
      <c r="A32" s="13">
        <v>41883</v>
      </c>
      <c r="B32" s="14">
        <f>15.5802 * CHOOSE(CONTROL!$C$15, $E$9, 100%, $G$9) + CHOOSE(CONTROL!$C$38, 0.0264, 0)</f>
        <v>15.6066</v>
      </c>
      <c r="C32" s="14">
        <f>14.799 * CHOOSE(CONTROL!$C$15, $E$9, 100%, $G$9) + CHOOSE(CONTROL!$C$38, 0.0354, 0)</f>
        <v>14.834399999999999</v>
      </c>
      <c r="D32" s="14">
        <f>14.7911 * CHOOSE(CONTROL!$C$15, $E$9, 100%, $G$9) + CHOOSE(CONTROL!$C$38, 0.0354, 0)</f>
        <v>14.826499999999999</v>
      </c>
      <c r="E32" s="45">
        <f>15.424 * CHOOSE(CONTROL!$C$15, $E$9, 100%, $G$9) + CHOOSE(CONTROL!$C$38, 0.0354, 0)</f>
        <v>15.459399999999999</v>
      </c>
      <c r="F32" s="44">
        <f>15.424 * CHOOSE(CONTROL!$C$15, $E$9, 100%, $G$9) + CHOOSE(CONTROL!$C$38, 0.0264, 0)</f>
        <v>15.4504</v>
      </c>
      <c r="G32" s="14">
        <f>14.7974 * CHOOSE(CONTROL!$C$15, $E$9, 100%, $G$9) + CHOOSE(CONTROL!$C$38, 0.0354, 0)</f>
        <v>14.832799999999999</v>
      </c>
      <c r="H32" s="14">
        <f>14.7974 * CHOOSE(CONTROL!$C$15, $E$9, 100%, $G$9) + CHOOSE(CONTROL!$C$38, 0.0354, 0)</f>
        <v>14.832799999999999</v>
      </c>
      <c r="I32" s="14">
        <f>14.799 * CHOOSE(CONTROL!$C$15, $E$9, 100%, $G$9) + CHOOSE(CONTROL!$C$38, 0.0354, 0)</f>
        <v>14.834399999999999</v>
      </c>
      <c r="J32" s="43">
        <f>89.67</f>
        <v>89.67</v>
      </c>
    </row>
    <row r="33" spans="1:10" ht="15" x14ac:dyDescent="0.2">
      <c r="A33" s="13">
        <v>41913</v>
      </c>
      <c r="B33" s="14">
        <f>15.5802 * CHOOSE(CONTROL!$C$15, $E$9, 100%, $G$9) + CHOOSE(CONTROL!$C$38, 0.0251, 0)</f>
        <v>15.6053</v>
      </c>
      <c r="C33" s="14">
        <f>14.799 * CHOOSE(CONTROL!$C$15, $E$9, 100%, $G$9) + CHOOSE(CONTROL!$C$38, 0.0342, 0)</f>
        <v>14.8332</v>
      </c>
      <c r="D33" s="14">
        <f>14.7911 * CHOOSE(CONTROL!$C$15, $E$9, 100%, $G$9) + CHOOSE(CONTROL!$C$38, 0.0342, 0)</f>
        <v>14.8253</v>
      </c>
      <c r="E33" s="45">
        <f>15.424 * CHOOSE(CONTROL!$C$15, $E$9, 100%, $G$9) + CHOOSE(CONTROL!$C$38, 0.0342, 0)</f>
        <v>15.4582</v>
      </c>
      <c r="F33" s="44">
        <f>15.424 * CHOOSE(CONTROL!$C$15, $E$9, 100%, $G$9) + CHOOSE(CONTROL!$C$38, 0.0251, 0)</f>
        <v>15.4491</v>
      </c>
      <c r="G33" s="14">
        <f>14.7974 * CHOOSE(CONTROL!$C$15, $E$9, 100%, $G$9) + CHOOSE(CONTROL!$C$38, 0.0342, 0)</f>
        <v>14.8316</v>
      </c>
      <c r="H33" s="14">
        <f>14.7974 * CHOOSE(CONTROL!$C$15, $E$9, 100%, $G$9) + CHOOSE(CONTROL!$C$38, 0.0342, 0)</f>
        <v>14.8316</v>
      </c>
      <c r="I33" s="14">
        <f>14.799 * CHOOSE(CONTROL!$C$15, $E$9, 100%, $G$9) + CHOOSE(CONTROL!$C$38, 0.0342, 0)</f>
        <v>14.8332</v>
      </c>
      <c r="J33" s="43">
        <f>89.38</f>
        <v>89.38</v>
      </c>
    </row>
    <row r="34" spans="1:10" ht="15" x14ac:dyDescent="0.2">
      <c r="A34" s="13">
        <v>41944</v>
      </c>
      <c r="B34" s="14">
        <f>15.5802 * CHOOSE(CONTROL!$C$15, $E$9, 100%, $G$9) + CHOOSE(CONTROL!$C$38, 0.0251, 0)</f>
        <v>15.6053</v>
      </c>
      <c r="C34" s="14">
        <f>14.799 * CHOOSE(CONTROL!$C$15, $E$9, 100%, $G$9) + CHOOSE(CONTROL!$C$38, 0.0342, 0)</f>
        <v>14.8332</v>
      </c>
      <c r="D34" s="14">
        <f>14.7911 * CHOOSE(CONTROL!$C$15, $E$9, 100%, $G$9) + CHOOSE(CONTROL!$C$38, 0.0342, 0)</f>
        <v>14.8253</v>
      </c>
      <c r="E34" s="45">
        <f>15.424 * CHOOSE(CONTROL!$C$15, $E$9, 100%, $G$9) + CHOOSE(CONTROL!$C$38, 0.0342, 0)</f>
        <v>15.4582</v>
      </c>
      <c r="F34" s="44">
        <f>15.424 * CHOOSE(CONTROL!$C$15, $E$9, 100%, $G$9) + CHOOSE(CONTROL!$C$38, 0.0251, 0)</f>
        <v>15.4491</v>
      </c>
      <c r="G34" s="14">
        <f>14.7974 * CHOOSE(CONTROL!$C$15, $E$9, 100%, $G$9) + CHOOSE(CONTROL!$C$38, 0.0342, 0)</f>
        <v>14.8316</v>
      </c>
      <c r="H34" s="14">
        <f>14.7974 * CHOOSE(CONTROL!$C$15, $E$9, 100%, $G$9) + CHOOSE(CONTROL!$C$38, 0.0342, 0)</f>
        <v>14.8316</v>
      </c>
      <c r="I34" s="14">
        <f>14.799 * CHOOSE(CONTROL!$C$15, $E$9, 100%, $G$9) + CHOOSE(CONTROL!$C$38, 0.0342, 0)</f>
        <v>14.8332</v>
      </c>
      <c r="J34" s="43">
        <f>89.13</f>
        <v>89.13</v>
      </c>
    </row>
    <row r="35" spans="1:10" ht="15" x14ac:dyDescent="0.2">
      <c r="A35" s="13">
        <v>41974</v>
      </c>
      <c r="B35" s="14">
        <f>15.5802 * CHOOSE(CONTROL!$C$15, $E$9, 100%, $G$9) + CHOOSE(CONTROL!$C$38, 0.0251, 0)</f>
        <v>15.6053</v>
      </c>
      <c r="C35" s="14">
        <f>14.799 * CHOOSE(CONTROL!$C$15, $E$9, 100%, $G$9) + CHOOSE(CONTROL!$C$38, 0.0342, 0)</f>
        <v>14.8332</v>
      </c>
      <c r="D35" s="14">
        <f>14.7911 * CHOOSE(CONTROL!$C$15, $E$9, 100%, $G$9) + CHOOSE(CONTROL!$C$38, 0.0342, 0)</f>
        <v>14.8253</v>
      </c>
      <c r="E35" s="45">
        <f>15.424 * CHOOSE(CONTROL!$C$15, $E$9, 100%, $G$9) + CHOOSE(CONTROL!$C$38, 0.0342, 0)</f>
        <v>15.4582</v>
      </c>
      <c r="F35" s="44">
        <f>15.424 * CHOOSE(CONTROL!$C$15, $E$9, 100%, $G$9) + CHOOSE(CONTROL!$C$38, 0.0251, 0)</f>
        <v>15.4491</v>
      </c>
      <c r="G35" s="14">
        <f>14.7974 * CHOOSE(CONTROL!$C$15, $E$9, 100%, $G$9) + CHOOSE(CONTROL!$C$38, 0.0342, 0)</f>
        <v>14.8316</v>
      </c>
      <c r="H35" s="14">
        <f>14.7974 * CHOOSE(CONTROL!$C$15, $E$9, 100%, $G$9) + CHOOSE(CONTROL!$C$38, 0.0342, 0)</f>
        <v>14.8316</v>
      </c>
      <c r="I35" s="14">
        <f>14.799 * CHOOSE(CONTROL!$C$15, $E$9, 100%, $G$9) + CHOOSE(CONTROL!$C$38, 0.0342, 0)</f>
        <v>14.8332</v>
      </c>
      <c r="J35" s="43">
        <f>88.91</f>
        <v>88.91</v>
      </c>
    </row>
    <row r="36" spans="1:10" ht="15" x14ac:dyDescent="0.2">
      <c r="A36" s="13">
        <v>42005</v>
      </c>
      <c r="B36" s="14">
        <f>15.1376 * CHOOSE(CONTROL!$C$15, $E$9, 100%, $G$9) + CHOOSE(CONTROL!$C$38, 0.0251, 0)</f>
        <v>15.162700000000001</v>
      </c>
      <c r="C36" s="14">
        <f>14.3672 * CHOOSE(CONTROL!$C$15, $E$9, 100%, $G$9) + CHOOSE(CONTROL!$C$38, 0.0342, 0)</f>
        <v>14.401400000000001</v>
      </c>
      <c r="D36" s="14">
        <f>14.3594 * CHOOSE(CONTROL!$C$15, $E$9, 100%, $G$9) + CHOOSE(CONTROL!$C$38, 0.0342, 0)</f>
        <v>14.393600000000001</v>
      </c>
      <c r="E36" s="45">
        <f>14.9814 * CHOOSE(CONTROL!$C$15, $E$9, 100%, $G$9) + CHOOSE(CONTROL!$C$38, 0.0342, 0)</f>
        <v>15.015600000000001</v>
      </c>
      <c r="F36" s="44">
        <f>14.9814 * CHOOSE(CONTROL!$C$15, $E$9, 100%, $G$9) + CHOOSE(CONTROL!$C$38, 0.0251, 0)</f>
        <v>15.006500000000001</v>
      </c>
      <c r="G36" s="14">
        <f>14.3656 * CHOOSE(CONTROL!$C$15, $E$9, 100%, $G$9) + CHOOSE(CONTROL!$C$38, 0.0342, 0)</f>
        <v>14.399800000000001</v>
      </c>
      <c r="H36" s="14">
        <f>14.3656 * CHOOSE(CONTROL!$C$15, $E$9, 100%, $G$9) + CHOOSE(CONTROL!$C$38, 0.0342, 0)</f>
        <v>14.399800000000001</v>
      </c>
      <c r="I36" s="14">
        <f>14.3672 * CHOOSE(CONTROL!$C$15, $E$9, 100%, $G$9) + CHOOSE(CONTROL!$C$38, 0.0342, 0)</f>
        <v>14.401400000000001</v>
      </c>
      <c r="J36" s="43">
        <f>88.57</f>
        <v>88.57</v>
      </c>
    </row>
    <row r="37" spans="1:10" ht="15" x14ac:dyDescent="0.2">
      <c r="A37" s="13">
        <v>42036</v>
      </c>
      <c r="B37" s="14">
        <f>15.1376 * CHOOSE(CONTROL!$C$15, $E$9, 100%, $G$9) + CHOOSE(CONTROL!$C$38, 0.0251, 0)</f>
        <v>15.162700000000001</v>
      </c>
      <c r="C37" s="14">
        <f>14.3672 * CHOOSE(CONTROL!$C$15, $E$9, 100%, $G$9) + CHOOSE(CONTROL!$C$38, 0.0342, 0)</f>
        <v>14.401400000000001</v>
      </c>
      <c r="D37" s="14">
        <f>14.3594 * CHOOSE(CONTROL!$C$15, $E$9, 100%, $G$9) + CHOOSE(CONTROL!$C$38, 0.0342, 0)</f>
        <v>14.393600000000001</v>
      </c>
      <c r="E37" s="45">
        <f>14.9814 * CHOOSE(CONTROL!$C$15, $E$9, 100%, $G$9) + CHOOSE(CONTROL!$C$38, 0.0342, 0)</f>
        <v>15.015600000000001</v>
      </c>
      <c r="F37" s="44">
        <f>14.9814 * CHOOSE(CONTROL!$C$15, $E$9, 100%, $G$9) + CHOOSE(CONTROL!$C$38, 0.0251, 0)</f>
        <v>15.006500000000001</v>
      </c>
      <c r="G37" s="14">
        <f>14.3656 * CHOOSE(CONTROL!$C$15, $E$9, 100%, $G$9) + CHOOSE(CONTROL!$C$38, 0.0342, 0)</f>
        <v>14.399800000000001</v>
      </c>
      <c r="H37" s="14">
        <f>14.3656 * CHOOSE(CONTROL!$C$15, $E$9, 100%, $G$9) + CHOOSE(CONTROL!$C$38, 0.0342, 0)</f>
        <v>14.399800000000001</v>
      </c>
      <c r="I37" s="14">
        <f>14.3672 * CHOOSE(CONTROL!$C$15, $E$9, 100%, $G$9) + CHOOSE(CONTROL!$C$38, 0.0342, 0)</f>
        <v>14.401400000000001</v>
      </c>
      <c r="J37" s="43">
        <f>88.26</f>
        <v>88.26</v>
      </c>
    </row>
    <row r="38" spans="1:10" ht="15" x14ac:dyDescent="0.2">
      <c r="A38" s="13">
        <v>42064</v>
      </c>
      <c r="B38" s="14">
        <f>15.1376 * CHOOSE(CONTROL!$C$15, $E$9, 100%, $G$9) + CHOOSE(CONTROL!$C$38, 0.0251, 0)</f>
        <v>15.162700000000001</v>
      </c>
      <c r="C38" s="14">
        <f>14.3672 * CHOOSE(CONTROL!$C$15, $E$9, 100%, $G$9) + CHOOSE(CONTROL!$C$38, 0.0342, 0)</f>
        <v>14.401400000000001</v>
      </c>
      <c r="D38" s="14">
        <f>14.3594 * CHOOSE(CONTROL!$C$15, $E$9, 100%, $G$9) + CHOOSE(CONTROL!$C$38, 0.0342, 0)</f>
        <v>14.393600000000001</v>
      </c>
      <c r="E38" s="45">
        <f>14.9814 * CHOOSE(CONTROL!$C$15, $E$9, 100%, $G$9) + CHOOSE(CONTROL!$C$38, 0.0342, 0)</f>
        <v>15.015600000000001</v>
      </c>
      <c r="F38" s="44">
        <f>14.9814 * CHOOSE(CONTROL!$C$15, $E$9, 100%, $G$9) + CHOOSE(CONTROL!$C$38, 0.0251, 0)</f>
        <v>15.006500000000001</v>
      </c>
      <c r="G38" s="14">
        <f>14.3656 * CHOOSE(CONTROL!$C$15, $E$9, 100%, $G$9) + CHOOSE(CONTROL!$C$38, 0.0342, 0)</f>
        <v>14.399800000000001</v>
      </c>
      <c r="H38" s="14">
        <f>14.3656 * CHOOSE(CONTROL!$C$15, $E$9, 100%, $G$9) + CHOOSE(CONTROL!$C$38, 0.0342, 0)</f>
        <v>14.399800000000001</v>
      </c>
      <c r="I38" s="14">
        <f>14.3672 * CHOOSE(CONTROL!$C$15, $E$9, 100%, $G$9) + CHOOSE(CONTROL!$C$38, 0.0342, 0)</f>
        <v>14.401400000000001</v>
      </c>
      <c r="J38" s="43">
        <f>87.97</f>
        <v>87.97</v>
      </c>
    </row>
    <row r="39" spans="1:10" ht="15" x14ac:dyDescent="0.2">
      <c r="A39" s="13">
        <v>42095</v>
      </c>
      <c r="B39" s="14">
        <f>15.1376 * CHOOSE(CONTROL!$C$15, $E$9, 100%, $G$9) + CHOOSE(CONTROL!$C$38, 0.0251, 0)</f>
        <v>15.162700000000001</v>
      </c>
      <c r="C39" s="14">
        <f>14.3672 * CHOOSE(CONTROL!$C$15, $E$9, 100%, $G$9) + CHOOSE(CONTROL!$C$38, 0.0342, 0)</f>
        <v>14.401400000000001</v>
      </c>
      <c r="D39" s="14">
        <f>14.3594 * CHOOSE(CONTROL!$C$15, $E$9, 100%, $G$9) + CHOOSE(CONTROL!$C$38, 0.0342, 0)</f>
        <v>14.393600000000001</v>
      </c>
      <c r="E39" s="45">
        <f>14.9814 * CHOOSE(CONTROL!$C$15, $E$9, 100%, $G$9) + CHOOSE(CONTROL!$C$38, 0.0342, 0)</f>
        <v>15.015600000000001</v>
      </c>
      <c r="F39" s="44">
        <f>14.9814 * CHOOSE(CONTROL!$C$15, $E$9, 100%, $G$9) + CHOOSE(CONTROL!$C$38, 0.0251, 0)</f>
        <v>15.006500000000001</v>
      </c>
      <c r="G39" s="14">
        <f>14.3656 * CHOOSE(CONTROL!$C$15, $E$9, 100%, $G$9) + CHOOSE(CONTROL!$C$38, 0.0342, 0)</f>
        <v>14.399800000000001</v>
      </c>
      <c r="H39" s="14">
        <f>14.3656 * CHOOSE(CONTROL!$C$15, $E$9, 100%, $G$9) + CHOOSE(CONTROL!$C$38, 0.0342, 0)</f>
        <v>14.399800000000001</v>
      </c>
      <c r="I39" s="14">
        <f>14.3672 * CHOOSE(CONTROL!$C$15, $E$9, 100%, $G$9) + CHOOSE(CONTROL!$C$38, 0.0342, 0)</f>
        <v>14.401400000000001</v>
      </c>
      <c r="J39" s="43">
        <f>87.71</f>
        <v>87.71</v>
      </c>
    </row>
    <row r="40" spans="1:10" ht="15" x14ac:dyDescent="0.2">
      <c r="A40" s="13">
        <v>42125</v>
      </c>
      <c r="B40" s="14">
        <f>15.1376 * CHOOSE(CONTROL!$C$15, $E$9, 100%, $G$9) + CHOOSE(CONTROL!$C$38, 0.0264, 0)</f>
        <v>15.164000000000001</v>
      </c>
      <c r="C40" s="14">
        <f>14.3672 * CHOOSE(CONTROL!$C$15, $E$9, 100%, $G$9) + CHOOSE(CONTROL!$C$38, 0.0354, 0)</f>
        <v>14.4026</v>
      </c>
      <c r="D40" s="14">
        <f>14.3594 * CHOOSE(CONTROL!$C$15, $E$9, 100%, $G$9) + CHOOSE(CONTROL!$C$38, 0.0354, 0)</f>
        <v>14.3948</v>
      </c>
      <c r="E40" s="45">
        <f>14.9814 * CHOOSE(CONTROL!$C$15, $E$9, 100%, $G$9) + CHOOSE(CONTROL!$C$38, 0.0354, 0)</f>
        <v>15.0168</v>
      </c>
      <c r="F40" s="44">
        <f>14.9814 * CHOOSE(CONTROL!$C$15, $E$9, 100%, $G$9) + CHOOSE(CONTROL!$C$38, 0.0264, 0)</f>
        <v>15.007800000000001</v>
      </c>
      <c r="G40" s="14">
        <f>14.3656 * CHOOSE(CONTROL!$C$15, $E$9, 100%, $G$9) + CHOOSE(CONTROL!$C$38, 0.0354, 0)</f>
        <v>14.401</v>
      </c>
      <c r="H40" s="14">
        <f>14.3656 * CHOOSE(CONTROL!$C$15, $E$9, 100%, $G$9) + CHOOSE(CONTROL!$C$38, 0.0354, 0)</f>
        <v>14.401</v>
      </c>
      <c r="I40" s="14">
        <f>14.3672 * CHOOSE(CONTROL!$C$15, $E$9, 100%, $G$9) + CHOOSE(CONTROL!$C$38, 0.0354, 0)</f>
        <v>14.4026</v>
      </c>
      <c r="J40" s="43">
        <f>87.49</f>
        <v>87.49</v>
      </c>
    </row>
    <row r="41" spans="1:10" ht="15" x14ac:dyDescent="0.2">
      <c r="A41" s="13">
        <v>42156</v>
      </c>
      <c r="B41" s="14">
        <f>15.1376 * CHOOSE(CONTROL!$C$15, $E$9, 100%, $G$9) + CHOOSE(CONTROL!$C$38, 0.0264, 0)</f>
        <v>15.164000000000001</v>
      </c>
      <c r="C41" s="14">
        <f>14.3672 * CHOOSE(CONTROL!$C$15, $E$9, 100%, $G$9) + CHOOSE(CONTROL!$C$38, 0.0354, 0)</f>
        <v>14.4026</v>
      </c>
      <c r="D41" s="14">
        <f>14.3594 * CHOOSE(CONTROL!$C$15, $E$9, 100%, $G$9) + CHOOSE(CONTROL!$C$38, 0.0354, 0)</f>
        <v>14.3948</v>
      </c>
      <c r="E41" s="45">
        <f>14.9814 * CHOOSE(CONTROL!$C$15, $E$9, 100%, $G$9) + CHOOSE(CONTROL!$C$38, 0.0354, 0)</f>
        <v>15.0168</v>
      </c>
      <c r="F41" s="44">
        <f>14.9814 * CHOOSE(CONTROL!$C$15, $E$9, 100%, $G$9) + CHOOSE(CONTROL!$C$38, 0.0264, 0)</f>
        <v>15.007800000000001</v>
      </c>
      <c r="G41" s="14">
        <f>14.3656 * CHOOSE(CONTROL!$C$15, $E$9, 100%, $G$9) + CHOOSE(CONTROL!$C$38, 0.0354, 0)</f>
        <v>14.401</v>
      </c>
      <c r="H41" s="14">
        <f>14.3656 * CHOOSE(CONTROL!$C$15, $E$9, 100%, $G$9) + CHOOSE(CONTROL!$C$38, 0.0354, 0)</f>
        <v>14.401</v>
      </c>
      <c r="I41" s="14">
        <f>14.3672 * CHOOSE(CONTROL!$C$15, $E$9, 100%, $G$9) + CHOOSE(CONTROL!$C$38, 0.0354, 0)</f>
        <v>14.4026</v>
      </c>
      <c r="J41" s="43">
        <f>87.31</f>
        <v>87.31</v>
      </c>
    </row>
    <row r="42" spans="1:10" ht="15" x14ac:dyDescent="0.2">
      <c r="A42" s="13">
        <v>42186</v>
      </c>
      <c r="B42" s="14">
        <f>15.1376 * CHOOSE(CONTROL!$C$15, $E$9, 100%, $G$9) + CHOOSE(CONTROL!$C$38, 0.0264, 0)</f>
        <v>15.164000000000001</v>
      </c>
      <c r="C42" s="14">
        <f>14.3672 * CHOOSE(CONTROL!$C$15, $E$9, 100%, $G$9) + CHOOSE(CONTROL!$C$38, 0.0354, 0)</f>
        <v>14.4026</v>
      </c>
      <c r="D42" s="14">
        <f>14.3594 * CHOOSE(CONTROL!$C$15, $E$9, 100%, $G$9) + CHOOSE(CONTROL!$C$38, 0.0354, 0)</f>
        <v>14.3948</v>
      </c>
      <c r="E42" s="45">
        <f>14.9814 * CHOOSE(CONTROL!$C$15, $E$9, 100%, $G$9) + CHOOSE(CONTROL!$C$38, 0.0354, 0)</f>
        <v>15.0168</v>
      </c>
      <c r="F42" s="44">
        <f>14.9814 * CHOOSE(CONTROL!$C$15, $E$9, 100%, $G$9) + CHOOSE(CONTROL!$C$38, 0.0264, 0)</f>
        <v>15.007800000000001</v>
      </c>
      <c r="G42" s="14">
        <f>14.3656 * CHOOSE(CONTROL!$C$15, $E$9, 100%, $G$9) + CHOOSE(CONTROL!$C$38, 0.0354, 0)</f>
        <v>14.401</v>
      </c>
      <c r="H42" s="14">
        <f>14.3656 * CHOOSE(CONTROL!$C$15, $E$9, 100%, $G$9) + CHOOSE(CONTROL!$C$38, 0.0354, 0)</f>
        <v>14.401</v>
      </c>
      <c r="I42" s="14">
        <f>14.3672 * CHOOSE(CONTROL!$C$15, $E$9, 100%, $G$9) + CHOOSE(CONTROL!$C$38, 0.0354, 0)</f>
        <v>14.4026</v>
      </c>
      <c r="J42" s="43">
        <f>87.08</f>
        <v>87.08</v>
      </c>
    </row>
    <row r="43" spans="1:10" ht="15" x14ac:dyDescent="0.2">
      <c r="A43" s="13">
        <v>42217</v>
      </c>
      <c r="B43" s="14">
        <f>15.1376 * CHOOSE(CONTROL!$C$15, $E$9, 100%, $G$9) + CHOOSE(CONTROL!$C$38, 0.0264, 0)</f>
        <v>15.164000000000001</v>
      </c>
      <c r="C43" s="14">
        <f>14.3672 * CHOOSE(CONTROL!$C$15, $E$9, 100%, $G$9) + CHOOSE(CONTROL!$C$38, 0.0354, 0)</f>
        <v>14.4026</v>
      </c>
      <c r="D43" s="14">
        <f>14.3594 * CHOOSE(CONTROL!$C$15, $E$9, 100%, $G$9) + CHOOSE(CONTROL!$C$38, 0.0354, 0)</f>
        <v>14.3948</v>
      </c>
      <c r="E43" s="45">
        <f>14.9814 * CHOOSE(CONTROL!$C$15, $E$9, 100%, $G$9) + CHOOSE(CONTROL!$C$38, 0.0354, 0)</f>
        <v>15.0168</v>
      </c>
      <c r="F43" s="44">
        <f>14.9814 * CHOOSE(CONTROL!$C$15, $E$9, 100%, $G$9) + CHOOSE(CONTROL!$C$38, 0.0264, 0)</f>
        <v>15.007800000000001</v>
      </c>
      <c r="G43" s="14">
        <f>14.3656 * CHOOSE(CONTROL!$C$15, $E$9, 100%, $G$9) + CHOOSE(CONTROL!$C$38, 0.0354, 0)</f>
        <v>14.401</v>
      </c>
      <c r="H43" s="14">
        <f>14.3656 * CHOOSE(CONTROL!$C$15, $E$9, 100%, $G$9) + CHOOSE(CONTROL!$C$38, 0.0354, 0)</f>
        <v>14.401</v>
      </c>
      <c r="I43" s="14">
        <f>14.3672 * CHOOSE(CONTROL!$C$15, $E$9, 100%, $G$9) + CHOOSE(CONTROL!$C$38, 0.0354, 0)</f>
        <v>14.4026</v>
      </c>
      <c r="J43" s="43">
        <f>86.87</f>
        <v>86.87</v>
      </c>
    </row>
    <row r="44" spans="1:10" ht="15" x14ac:dyDescent="0.2">
      <c r="A44" s="13">
        <v>42248</v>
      </c>
      <c r="B44" s="14">
        <f>15.1376 * CHOOSE(CONTROL!$C$15, $E$9, 100%, $G$9) + CHOOSE(CONTROL!$C$38, 0.0264, 0)</f>
        <v>15.164000000000001</v>
      </c>
      <c r="C44" s="14">
        <f>14.3672 * CHOOSE(CONTROL!$C$15, $E$9, 100%, $G$9) + CHOOSE(CONTROL!$C$38, 0.0354, 0)</f>
        <v>14.4026</v>
      </c>
      <c r="D44" s="14">
        <f>14.3594 * CHOOSE(CONTROL!$C$15, $E$9, 100%, $G$9) + CHOOSE(CONTROL!$C$38, 0.0354, 0)</f>
        <v>14.3948</v>
      </c>
      <c r="E44" s="45">
        <f>14.9814 * CHOOSE(CONTROL!$C$15, $E$9, 100%, $G$9) + CHOOSE(CONTROL!$C$38, 0.0354, 0)</f>
        <v>15.0168</v>
      </c>
      <c r="F44" s="44">
        <f>14.9814 * CHOOSE(CONTROL!$C$15, $E$9, 100%, $G$9) + CHOOSE(CONTROL!$C$38, 0.0264, 0)</f>
        <v>15.007800000000001</v>
      </c>
      <c r="G44" s="14">
        <f>14.3656 * CHOOSE(CONTROL!$C$15, $E$9, 100%, $G$9) + CHOOSE(CONTROL!$C$38, 0.0354, 0)</f>
        <v>14.401</v>
      </c>
      <c r="H44" s="14">
        <f>14.3656 * CHOOSE(CONTROL!$C$15, $E$9, 100%, $G$9) + CHOOSE(CONTROL!$C$38, 0.0354, 0)</f>
        <v>14.401</v>
      </c>
      <c r="I44" s="14">
        <f>14.3672 * CHOOSE(CONTROL!$C$15, $E$9, 100%, $G$9) + CHOOSE(CONTROL!$C$38, 0.0354, 0)</f>
        <v>14.4026</v>
      </c>
      <c r="J44" s="43">
        <f>86.7</f>
        <v>86.7</v>
      </c>
    </row>
    <row r="45" spans="1:10" ht="15" x14ac:dyDescent="0.2">
      <c r="A45" s="13">
        <v>42278</v>
      </c>
      <c r="B45" s="14">
        <f>15.1376 * CHOOSE(CONTROL!$C$15, $E$9, 100%, $G$9) + CHOOSE(CONTROL!$C$38, 0.0251, 0)</f>
        <v>15.162700000000001</v>
      </c>
      <c r="C45" s="14">
        <f>14.3672 * CHOOSE(CONTROL!$C$15, $E$9, 100%, $G$9) + CHOOSE(CONTROL!$C$38, 0.0342, 0)</f>
        <v>14.401400000000001</v>
      </c>
      <c r="D45" s="14">
        <f>14.3594 * CHOOSE(CONTROL!$C$15, $E$9, 100%, $G$9) + CHOOSE(CONTROL!$C$38, 0.0342, 0)</f>
        <v>14.393600000000001</v>
      </c>
      <c r="E45" s="45">
        <f>14.9814 * CHOOSE(CONTROL!$C$15, $E$9, 100%, $G$9) + CHOOSE(CONTROL!$C$38, 0.0342, 0)</f>
        <v>15.015600000000001</v>
      </c>
      <c r="F45" s="44">
        <f>14.9814 * CHOOSE(CONTROL!$C$15, $E$9, 100%, $G$9) + CHOOSE(CONTROL!$C$38, 0.0251, 0)</f>
        <v>15.006500000000001</v>
      </c>
      <c r="G45" s="14">
        <f>14.3656 * CHOOSE(CONTROL!$C$15, $E$9, 100%, $G$9) + CHOOSE(CONTROL!$C$38, 0.0342, 0)</f>
        <v>14.399800000000001</v>
      </c>
      <c r="H45" s="14">
        <f>14.3656 * CHOOSE(CONTROL!$C$15, $E$9, 100%, $G$9) + CHOOSE(CONTROL!$C$38, 0.0342, 0)</f>
        <v>14.399800000000001</v>
      </c>
      <c r="I45" s="14">
        <f>14.3672 * CHOOSE(CONTROL!$C$15, $E$9, 100%, $G$9) + CHOOSE(CONTROL!$C$38, 0.0342, 0)</f>
        <v>14.401400000000001</v>
      </c>
      <c r="J45" s="43">
        <f>86.56</f>
        <v>86.56</v>
      </c>
    </row>
    <row r="46" spans="1:10" ht="15" x14ac:dyDescent="0.2">
      <c r="A46" s="13">
        <v>42309</v>
      </c>
      <c r="B46" s="14">
        <f>15.1376 * CHOOSE(CONTROL!$C$15, $E$9, 100%, $G$9) + CHOOSE(CONTROL!$C$38, 0.0251, 0)</f>
        <v>15.162700000000001</v>
      </c>
      <c r="C46" s="14">
        <f>14.3672 * CHOOSE(CONTROL!$C$15, $E$9, 100%, $G$9) + CHOOSE(CONTROL!$C$38, 0.0342, 0)</f>
        <v>14.401400000000001</v>
      </c>
      <c r="D46" s="14">
        <f>14.3594 * CHOOSE(CONTROL!$C$15, $E$9, 100%, $G$9) + CHOOSE(CONTROL!$C$38, 0.0342, 0)</f>
        <v>14.393600000000001</v>
      </c>
      <c r="E46" s="45">
        <f>14.9814 * CHOOSE(CONTROL!$C$15, $E$9, 100%, $G$9) + CHOOSE(CONTROL!$C$38, 0.0342, 0)</f>
        <v>15.015600000000001</v>
      </c>
      <c r="F46" s="44">
        <f>14.9814 * CHOOSE(CONTROL!$C$15, $E$9, 100%, $G$9) + CHOOSE(CONTROL!$C$38, 0.0251, 0)</f>
        <v>15.006500000000001</v>
      </c>
      <c r="G46" s="14">
        <f>14.3656 * CHOOSE(CONTROL!$C$15, $E$9, 100%, $G$9) + CHOOSE(CONTROL!$C$38, 0.0342, 0)</f>
        <v>14.399800000000001</v>
      </c>
      <c r="H46" s="14">
        <f>14.3656 * CHOOSE(CONTROL!$C$15, $E$9, 100%, $G$9) + CHOOSE(CONTROL!$C$38, 0.0342, 0)</f>
        <v>14.399800000000001</v>
      </c>
      <c r="I46" s="14">
        <f>14.3672 * CHOOSE(CONTROL!$C$15, $E$9, 100%, $G$9) + CHOOSE(CONTROL!$C$38, 0.0342, 0)</f>
        <v>14.401400000000001</v>
      </c>
      <c r="J46" s="43">
        <f>86.45</f>
        <v>86.45</v>
      </c>
    </row>
    <row r="47" spans="1:10" ht="15" x14ac:dyDescent="0.2">
      <c r="A47" s="13">
        <v>42339</v>
      </c>
      <c r="B47" s="14">
        <f>15.1376 * CHOOSE(CONTROL!$C$15, $E$9, 100%, $G$9) + CHOOSE(CONTROL!$C$38, 0.0251, 0)</f>
        <v>15.162700000000001</v>
      </c>
      <c r="C47" s="14">
        <f>14.3672 * CHOOSE(CONTROL!$C$15, $E$9, 100%, $G$9) + CHOOSE(CONTROL!$C$38, 0.0342, 0)</f>
        <v>14.401400000000001</v>
      </c>
      <c r="D47" s="14">
        <f>14.3594 * CHOOSE(CONTROL!$C$15, $E$9, 100%, $G$9) + CHOOSE(CONTROL!$C$38, 0.0342, 0)</f>
        <v>14.393600000000001</v>
      </c>
      <c r="E47" s="45">
        <f>14.9814 * CHOOSE(CONTROL!$C$15, $E$9, 100%, $G$9) + CHOOSE(CONTROL!$C$38, 0.0342, 0)</f>
        <v>15.015600000000001</v>
      </c>
      <c r="F47" s="44">
        <f>14.9814 * CHOOSE(CONTROL!$C$15, $E$9, 100%, $G$9) + CHOOSE(CONTROL!$C$38, 0.0251, 0)</f>
        <v>15.006500000000001</v>
      </c>
      <c r="G47" s="14">
        <f>14.3656 * CHOOSE(CONTROL!$C$15, $E$9, 100%, $G$9) + CHOOSE(CONTROL!$C$38, 0.0342, 0)</f>
        <v>14.399800000000001</v>
      </c>
      <c r="H47" s="14">
        <f>14.3656 * CHOOSE(CONTROL!$C$15, $E$9, 100%, $G$9) + CHOOSE(CONTROL!$C$38, 0.0342, 0)</f>
        <v>14.399800000000001</v>
      </c>
      <c r="I47" s="14">
        <f>14.3672 * CHOOSE(CONTROL!$C$15, $E$9, 100%, $G$9) + CHOOSE(CONTROL!$C$38, 0.0342, 0)</f>
        <v>14.401400000000001</v>
      </c>
      <c r="J47" s="43">
        <f>86.37</f>
        <v>86.37</v>
      </c>
    </row>
    <row r="48" spans="1:10" ht="15" x14ac:dyDescent="0.2">
      <c r="A48" s="13">
        <v>42370</v>
      </c>
      <c r="B48" s="14">
        <f>16.6203 * CHOOSE(CONTROL!$C$15, $E$9, 100%, $G$9) + CHOOSE(CONTROL!$C$38, 0.0251, 0)</f>
        <v>16.645399999999999</v>
      </c>
      <c r="C48" s="14">
        <f>16.0036 * CHOOSE(CONTROL!$C$15, $E$9, 100%, $G$9) + CHOOSE(CONTROL!$C$38, 0.0342, 0)</f>
        <v>16.037799999999997</v>
      </c>
      <c r="D48" s="14">
        <f>15.9958 * CHOOSE(CONTROL!$C$15, $E$9, 100%, $G$9) + CHOOSE(CONTROL!$C$38, 0.0342, 0)</f>
        <v>16.029999999999998</v>
      </c>
      <c r="E48" s="45">
        <f>16.464 * CHOOSE(CONTROL!$C$15, $E$9, 100%, $G$9) + CHOOSE(CONTROL!$C$38, 0.0342, 0)</f>
        <v>16.498199999999997</v>
      </c>
      <c r="F48" s="44">
        <f>16.464 * CHOOSE(CONTROL!$C$15, $E$9, 100%, $G$9) + CHOOSE(CONTROL!$C$38, 0.0251, 0)</f>
        <v>16.489099999999997</v>
      </c>
      <c r="G48" s="14">
        <f>16.002 * CHOOSE(CONTROL!$C$15, $E$9, 100%, $G$9) + CHOOSE(CONTROL!$C$38, 0.0342, 0)</f>
        <v>16.036199999999997</v>
      </c>
      <c r="H48" s="14">
        <f>16.002 * CHOOSE(CONTROL!$C$15, $E$9, 100%, $G$9) + CHOOSE(CONTROL!$C$38, 0.0342, 0)</f>
        <v>16.036199999999997</v>
      </c>
      <c r="I48" s="14">
        <f>16.0036 * CHOOSE(CONTROL!$C$15, $E$9, 100%, $G$9) + CHOOSE(CONTROL!$C$38, 0.0342, 0)</f>
        <v>16.037799999999997</v>
      </c>
      <c r="J48" s="43">
        <f>86.9806</f>
        <v>86.980599999999995</v>
      </c>
    </row>
    <row r="49" spans="1:10" ht="15" x14ac:dyDescent="0.2">
      <c r="A49" s="13">
        <v>42401</v>
      </c>
      <c r="B49" s="14">
        <f>16.8944 * CHOOSE(CONTROL!$C$15, $E$9, 100%, $G$9) + CHOOSE(CONTROL!$C$38, 0.0251, 0)</f>
        <v>16.919499999999999</v>
      </c>
      <c r="C49" s="14">
        <f>16.2768 * CHOOSE(CONTROL!$C$15, $E$9, 100%, $G$9) + CHOOSE(CONTROL!$C$38, 0.0342, 0)</f>
        <v>16.311</v>
      </c>
      <c r="D49" s="14">
        <f>16.269 * CHOOSE(CONTROL!$C$15, $E$9, 100%, $G$9) + CHOOSE(CONTROL!$C$38, 0.0342, 0)</f>
        <v>16.303199999999997</v>
      </c>
      <c r="E49" s="45">
        <f>16.7382 * CHOOSE(CONTROL!$C$15, $E$9, 100%, $G$9) + CHOOSE(CONTROL!$C$38, 0.0342, 0)</f>
        <v>16.772399999999998</v>
      </c>
      <c r="F49" s="44">
        <f>16.7382 * CHOOSE(CONTROL!$C$15, $E$9, 100%, $G$9) + CHOOSE(CONTROL!$C$38, 0.0251, 0)</f>
        <v>16.763299999999997</v>
      </c>
      <c r="G49" s="14">
        <f>16.2752 * CHOOSE(CONTROL!$C$15, $E$9, 100%, $G$9) + CHOOSE(CONTROL!$C$38, 0.0342, 0)</f>
        <v>16.3094</v>
      </c>
      <c r="H49" s="14">
        <f>16.2752 * CHOOSE(CONTROL!$C$15, $E$9, 100%, $G$9) + CHOOSE(CONTROL!$C$38, 0.0342, 0)</f>
        <v>16.3094</v>
      </c>
      <c r="I49" s="14">
        <f>16.2768 * CHOOSE(CONTROL!$C$15, $E$9, 100%, $G$9) + CHOOSE(CONTROL!$C$38, 0.0342, 0)</f>
        <v>16.311</v>
      </c>
      <c r="J49" s="43">
        <f>86.9175</f>
        <v>86.917500000000004</v>
      </c>
    </row>
    <row r="50" spans="1:10" ht="15" x14ac:dyDescent="0.2">
      <c r="A50" s="13">
        <v>42430</v>
      </c>
      <c r="B50" s="14">
        <f>16.3685 * CHOOSE(CONTROL!$C$15, $E$9, 100%, $G$9) + CHOOSE(CONTROL!$C$38, 0.0251, 0)</f>
        <v>16.393599999999999</v>
      </c>
      <c r="C50" s="14">
        <f>15.7499 * CHOOSE(CONTROL!$C$15, $E$9, 100%, $G$9) + CHOOSE(CONTROL!$C$38, 0.0342, 0)</f>
        <v>15.7841</v>
      </c>
      <c r="D50" s="14">
        <f>15.7421 * CHOOSE(CONTROL!$C$15, $E$9, 100%, $G$9) + CHOOSE(CONTROL!$C$38, 0.0342, 0)</f>
        <v>15.776300000000001</v>
      </c>
      <c r="E50" s="45">
        <f>16.2122 * CHOOSE(CONTROL!$C$15, $E$9, 100%, $G$9) + CHOOSE(CONTROL!$C$38, 0.0342, 0)</f>
        <v>16.246399999999998</v>
      </c>
      <c r="F50" s="44">
        <f>16.2122 * CHOOSE(CONTROL!$C$15, $E$9, 100%, $G$9) + CHOOSE(CONTROL!$C$38, 0.0251, 0)</f>
        <v>16.237299999999998</v>
      </c>
      <c r="G50" s="14">
        <f>15.7483 * CHOOSE(CONTROL!$C$15, $E$9, 100%, $G$9) + CHOOSE(CONTROL!$C$38, 0.0342, 0)</f>
        <v>15.782500000000001</v>
      </c>
      <c r="H50" s="14">
        <f>15.7483 * CHOOSE(CONTROL!$C$15, $E$9, 100%, $G$9) + CHOOSE(CONTROL!$C$38, 0.0342, 0)</f>
        <v>15.782500000000001</v>
      </c>
      <c r="I50" s="14">
        <f>15.7499 * CHOOSE(CONTROL!$C$15, $E$9, 100%, $G$9) + CHOOSE(CONTROL!$C$38, 0.0342, 0)</f>
        <v>15.7841</v>
      </c>
      <c r="J50" s="43">
        <f>91.687</f>
        <v>91.686999999999998</v>
      </c>
    </row>
    <row r="51" spans="1:10" ht="15" x14ac:dyDescent="0.2">
      <c r="A51" s="13">
        <v>42461</v>
      </c>
      <c r="B51" s="14">
        <f>15.8577 * CHOOSE(CONTROL!$C$15, $E$9, 100%, $G$9) + CHOOSE(CONTROL!$C$38, 0.0251, 0)</f>
        <v>15.8828</v>
      </c>
      <c r="C51" s="14">
        <f>15.2382 * CHOOSE(CONTROL!$C$15, $E$9, 100%, $G$9) + CHOOSE(CONTROL!$C$38, 0.0342, 0)</f>
        <v>15.272400000000001</v>
      </c>
      <c r="D51" s="14">
        <f>15.2304 * CHOOSE(CONTROL!$C$15, $E$9, 100%, $G$9) + CHOOSE(CONTROL!$C$38, 0.0342, 0)</f>
        <v>15.2646</v>
      </c>
      <c r="E51" s="45">
        <f>15.7015 * CHOOSE(CONTROL!$C$15, $E$9, 100%, $G$9) + CHOOSE(CONTROL!$C$38, 0.0342, 0)</f>
        <v>15.7357</v>
      </c>
      <c r="F51" s="44">
        <f>15.7015 * CHOOSE(CONTROL!$C$15, $E$9, 100%, $G$9) + CHOOSE(CONTROL!$C$38, 0.0251, 0)</f>
        <v>15.726599999999999</v>
      </c>
      <c r="G51" s="14">
        <f>15.2366 * CHOOSE(CONTROL!$C$15, $E$9, 100%, $G$9) + CHOOSE(CONTROL!$C$38, 0.0342, 0)</f>
        <v>15.270799999999999</v>
      </c>
      <c r="H51" s="14">
        <f>15.2366 * CHOOSE(CONTROL!$C$15, $E$9, 100%, $G$9) + CHOOSE(CONTROL!$C$38, 0.0342, 0)</f>
        <v>15.270799999999999</v>
      </c>
      <c r="I51" s="14">
        <f>15.2382 * CHOOSE(CONTROL!$C$15, $E$9, 100%, $G$9) + CHOOSE(CONTROL!$C$38, 0.0342, 0)</f>
        <v>15.272400000000001</v>
      </c>
      <c r="J51" s="43">
        <f>97.8409</f>
        <v>97.840900000000005</v>
      </c>
    </row>
    <row r="52" spans="1:10" ht="15" x14ac:dyDescent="0.2">
      <c r="A52" s="13">
        <v>42491</v>
      </c>
      <c r="B52" s="14">
        <f>15.3218 * CHOOSE(CONTROL!$C$15, $E$9, 100%, $G$9) + CHOOSE(CONTROL!$C$38, 0.0264, 0)</f>
        <v>15.3482</v>
      </c>
      <c r="C52" s="14">
        <f>14.7013 * CHOOSE(CONTROL!$C$15, $E$9, 100%, $G$9) + CHOOSE(CONTROL!$C$38, 0.0354, 0)</f>
        <v>14.736699999999999</v>
      </c>
      <c r="D52" s="14">
        <f>14.6934 * CHOOSE(CONTROL!$C$15, $E$9, 100%, $G$9) + CHOOSE(CONTROL!$C$38, 0.0354, 0)</f>
        <v>14.7288</v>
      </c>
      <c r="E52" s="45">
        <f>15.1655 * CHOOSE(CONTROL!$C$15, $E$9, 100%, $G$9) + CHOOSE(CONTROL!$C$38, 0.0354, 0)</f>
        <v>15.200899999999999</v>
      </c>
      <c r="F52" s="44">
        <f>15.1655 * CHOOSE(CONTROL!$C$15, $E$9, 100%, $G$9) + CHOOSE(CONTROL!$C$38, 0.0264, 0)</f>
        <v>15.1919</v>
      </c>
      <c r="G52" s="14">
        <f>14.6997 * CHOOSE(CONTROL!$C$15, $E$9, 100%, $G$9) + CHOOSE(CONTROL!$C$38, 0.0354, 0)</f>
        <v>14.735099999999999</v>
      </c>
      <c r="H52" s="14">
        <f>14.6997 * CHOOSE(CONTROL!$C$15, $E$9, 100%, $G$9) + CHOOSE(CONTROL!$C$38, 0.0354, 0)</f>
        <v>14.735099999999999</v>
      </c>
      <c r="I52" s="14">
        <f>14.7013 * CHOOSE(CONTROL!$C$15, $E$9, 100%, $G$9) + CHOOSE(CONTROL!$C$38, 0.0354, 0)</f>
        <v>14.736699999999999</v>
      </c>
      <c r="J52" s="43">
        <f>101.3326</f>
        <v>101.3326</v>
      </c>
    </row>
    <row r="53" spans="1:10" ht="15" x14ac:dyDescent="0.2">
      <c r="A53" s="13">
        <v>42522</v>
      </c>
      <c r="B53" s="14">
        <f>14.9535 * CHOOSE(CONTROL!$C$15, $E$9, 100%, $G$9) + CHOOSE(CONTROL!$C$38, 0.0264, 0)</f>
        <v>14.979900000000001</v>
      </c>
      <c r="C53" s="14">
        <f>14.332 * CHOOSE(CONTROL!$C$15, $E$9, 100%, $G$9) + CHOOSE(CONTROL!$C$38, 0.0354, 0)</f>
        <v>14.3674</v>
      </c>
      <c r="D53" s="14">
        <f>14.3242 * CHOOSE(CONTROL!$C$15, $E$9, 100%, $G$9) + CHOOSE(CONTROL!$C$38, 0.0354, 0)</f>
        <v>14.359599999999999</v>
      </c>
      <c r="E53" s="45">
        <f>14.7972 * CHOOSE(CONTROL!$C$15, $E$9, 100%, $G$9) + CHOOSE(CONTROL!$C$38, 0.0354, 0)</f>
        <v>14.832599999999999</v>
      </c>
      <c r="F53" s="44">
        <f>14.7972 * CHOOSE(CONTROL!$C$15, $E$9, 100%, $G$9) + CHOOSE(CONTROL!$C$38, 0.0264, 0)</f>
        <v>14.823600000000001</v>
      </c>
      <c r="G53" s="14">
        <f>14.3304 * CHOOSE(CONTROL!$C$15, $E$9, 100%, $G$9) + CHOOSE(CONTROL!$C$38, 0.0354, 0)</f>
        <v>14.365799999999998</v>
      </c>
      <c r="H53" s="14">
        <f>14.3304 * CHOOSE(CONTROL!$C$15, $E$9, 100%, $G$9) + CHOOSE(CONTROL!$C$38, 0.0354, 0)</f>
        <v>14.365799999999998</v>
      </c>
      <c r="I53" s="14">
        <f>14.332 * CHOOSE(CONTROL!$C$15, $E$9, 100%, $G$9) + CHOOSE(CONTROL!$C$38, 0.0354, 0)</f>
        <v>14.3674</v>
      </c>
      <c r="J53" s="43">
        <f>103.0044</f>
        <v>103.0044</v>
      </c>
    </row>
    <row r="54" spans="1:10" ht="15" x14ac:dyDescent="0.2">
      <c r="A54" s="13">
        <v>42552</v>
      </c>
      <c r="B54" s="14">
        <f>14.7551 * CHOOSE(CONTROL!$C$15, $E$9, 100%, $G$9) + CHOOSE(CONTROL!$C$38, 0.0264, 0)</f>
        <v>14.781500000000001</v>
      </c>
      <c r="C54" s="14">
        <f>14.1327 * CHOOSE(CONTROL!$C$15, $E$9, 100%, $G$9) + CHOOSE(CONTROL!$C$38, 0.0354, 0)</f>
        <v>14.168099999999999</v>
      </c>
      <c r="D54" s="14">
        <f>14.1248 * CHOOSE(CONTROL!$C$15, $E$9, 100%, $G$9) + CHOOSE(CONTROL!$C$38, 0.0354, 0)</f>
        <v>14.1602</v>
      </c>
      <c r="E54" s="45">
        <f>14.5988 * CHOOSE(CONTROL!$C$15, $E$9, 100%, $G$9) + CHOOSE(CONTROL!$C$38, 0.0354, 0)</f>
        <v>14.6342</v>
      </c>
      <c r="F54" s="44">
        <f>14.5988 * CHOOSE(CONTROL!$C$15, $E$9, 100%, $G$9) + CHOOSE(CONTROL!$C$38, 0.0264, 0)</f>
        <v>14.625200000000001</v>
      </c>
      <c r="G54" s="14">
        <f>14.1311 * CHOOSE(CONTROL!$C$15, $E$9, 100%, $G$9) + CHOOSE(CONTROL!$C$38, 0.0354, 0)</f>
        <v>14.166499999999999</v>
      </c>
      <c r="H54" s="14">
        <f>14.1311 * CHOOSE(CONTROL!$C$15, $E$9, 100%, $G$9) + CHOOSE(CONTROL!$C$38, 0.0354, 0)</f>
        <v>14.166499999999999</v>
      </c>
      <c r="I54" s="14">
        <f>14.1327 * CHOOSE(CONTROL!$C$15, $E$9, 100%, $G$9) + CHOOSE(CONTROL!$C$38, 0.0354, 0)</f>
        <v>14.168099999999999</v>
      </c>
      <c r="J54" s="43">
        <f>102.7339</f>
        <v>102.73390000000001</v>
      </c>
    </row>
    <row r="55" spans="1:10" ht="15" x14ac:dyDescent="0.2">
      <c r="A55" s="13">
        <v>42583</v>
      </c>
      <c r="B55" s="14">
        <f>14.8969 * CHOOSE(CONTROL!$C$15, $E$9, 100%, $G$9) + CHOOSE(CONTROL!$C$38, 0.0264, 0)</f>
        <v>14.923300000000001</v>
      </c>
      <c r="C55" s="14">
        <f>14.2735 * CHOOSE(CONTROL!$C$15, $E$9, 100%, $G$9) + CHOOSE(CONTROL!$C$38, 0.0354, 0)</f>
        <v>14.3089</v>
      </c>
      <c r="D55" s="14">
        <f>14.2657 * CHOOSE(CONTROL!$C$15, $E$9, 100%, $G$9) + CHOOSE(CONTROL!$C$38, 0.0354, 0)</f>
        <v>14.3011</v>
      </c>
      <c r="E55" s="45">
        <f>14.7407 * CHOOSE(CONTROL!$C$15, $E$9, 100%, $G$9) + CHOOSE(CONTROL!$C$38, 0.0354, 0)</f>
        <v>14.7761</v>
      </c>
      <c r="F55" s="44">
        <f>14.7407 * CHOOSE(CONTROL!$C$15, $E$9, 100%, $G$9) + CHOOSE(CONTROL!$C$38, 0.0264, 0)</f>
        <v>14.767100000000001</v>
      </c>
      <c r="G55" s="14">
        <f>14.272 * CHOOSE(CONTROL!$C$15, $E$9, 100%, $G$9) + CHOOSE(CONTROL!$C$38, 0.0354, 0)</f>
        <v>14.307399999999999</v>
      </c>
      <c r="H55" s="14">
        <f>14.272 * CHOOSE(CONTROL!$C$15, $E$9, 100%, $G$9) + CHOOSE(CONTROL!$C$38, 0.0354, 0)</f>
        <v>14.307399999999999</v>
      </c>
      <c r="I55" s="14">
        <f>14.2735 * CHOOSE(CONTROL!$C$15, $E$9, 100%, $G$9) + CHOOSE(CONTROL!$C$38, 0.0354, 0)</f>
        <v>14.3089</v>
      </c>
      <c r="J55" s="43">
        <f>100.549</f>
        <v>100.54900000000001</v>
      </c>
    </row>
    <row r="56" spans="1:10" ht="15" x14ac:dyDescent="0.2">
      <c r="A56" s="13">
        <v>42614</v>
      </c>
      <c r="B56" s="14">
        <f>15.2331 * CHOOSE(CONTROL!$C$15, $E$9, 100%, $G$9) + CHOOSE(CONTROL!$C$38, 0.0264, 0)</f>
        <v>15.259500000000001</v>
      </c>
      <c r="C56" s="14">
        <f>14.6088 * CHOOSE(CONTROL!$C$15, $E$9, 100%, $G$9) + CHOOSE(CONTROL!$C$38, 0.0354, 0)</f>
        <v>14.6442</v>
      </c>
      <c r="D56" s="14">
        <f>14.601 * CHOOSE(CONTROL!$C$15, $E$9, 100%, $G$9) + CHOOSE(CONTROL!$C$38, 0.0354, 0)</f>
        <v>14.6364</v>
      </c>
      <c r="E56" s="45">
        <f>15.0769 * CHOOSE(CONTROL!$C$15, $E$9, 100%, $G$9) + CHOOSE(CONTROL!$C$38, 0.0354, 0)</f>
        <v>15.112299999999999</v>
      </c>
      <c r="F56" s="44">
        <f>15.0769 * CHOOSE(CONTROL!$C$15, $E$9, 100%, $G$9) + CHOOSE(CONTROL!$C$38, 0.0264, 0)</f>
        <v>15.103300000000001</v>
      </c>
      <c r="G56" s="14">
        <f>14.6072 * CHOOSE(CONTROL!$C$15, $E$9, 100%, $G$9) + CHOOSE(CONTROL!$C$38, 0.0354, 0)</f>
        <v>14.6426</v>
      </c>
      <c r="H56" s="14">
        <f>14.6072 * CHOOSE(CONTROL!$C$15, $E$9, 100%, $G$9) + CHOOSE(CONTROL!$C$38, 0.0354, 0)</f>
        <v>14.6426</v>
      </c>
      <c r="I56" s="14">
        <f>14.6088 * CHOOSE(CONTROL!$C$15, $E$9, 100%, $G$9) + CHOOSE(CONTROL!$C$38, 0.0354, 0)</f>
        <v>14.6442</v>
      </c>
      <c r="J56" s="43">
        <f>97.4071</f>
        <v>97.4071</v>
      </c>
    </row>
    <row r="57" spans="1:10" ht="15" x14ac:dyDescent="0.2">
      <c r="A57" s="13">
        <v>42644</v>
      </c>
      <c r="B57" s="14">
        <f>15.5207 * CHOOSE(CONTROL!$C$15, $E$9, 100%, $G$9) + CHOOSE(CONTROL!$C$38, 0.0251, 0)</f>
        <v>15.5458</v>
      </c>
      <c r="C57" s="14">
        <f>14.8954 * CHOOSE(CONTROL!$C$15, $E$9, 100%, $G$9) + CHOOSE(CONTROL!$C$38, 0.0342, 0)</f>
        <v>14.929600000000001</v>
      </c>
      <c r="D57" s="14">
        <f>14.8876 * CHOOSE(CONTROL!$C$15, $E$9, 100%, $G$9) + CHOOSE(CONTROL!$C$38, 0.0342, 0)</f>
        <v>14.921800000000001</v>
      </c>
      <c r="E57" s="45">
        <f>15.3645 * CHOOSE(CONTROL!$C$15, $E$9, 100%, $G$9) + CHOOSE(CONTROL!$C$38, 0.0342, 0)</f>
        <v>15.3987</v>
      </c>
      <c r="F57" s="44">
        <f>15.3645 * CHOOSE(CONTROL!$C$15, $E$9, 100%, $G$9) + CHOOSE(CONTROL!$C$38, 0.0251, 0)</f>
        <v>15.3896</v>
      </c>
      <c r="G57" s="14">
        <f>14.8938 * CHOOSE(CONTROL!$C$15, $E$9, 100%, $G$9) + CHOOSE(CONTROL!$C$38, 0.0342, 0)</f>
        <v>14.928000000000001</v>
      </c>
      <c r="H57" s="14">
        <f>14.8938 * CHOOSE(CONTROL!$C$15, $E$9, 100%, $G$9) + CHOOSE(CONTROL!$C$38, 0.0342, 0)</f>
        <v>14.928000000000001</v>
      </c>
      <c r="I57" s="14">
        <f>14.8954 * CHOOSE(CONTROL!$C$15, $E$9, 100%, $G$9) + CHOOSE(CONTROL!$C$38, 0.0342, 0)</f>
        <v>14.929600000000001</v>
      </c>
      <c r="J57" s="43">
        <f>94.2324</f>
        <v>94.232399999999998</v>
      </c>
    </row>
    <row r="58" spans="1:10" ht="15" x14ac:dyDescent="0.2">
      <c r="A58" s="13">
        <v>42675</v>
      </c>
      <c r="B58" s="14">
        <f>15.7667 * CHOOSE(CONTROL!$C$15, $E$9, 100%, $G$9) + CHOOSE(CONTROL!$C$38, 0.0251, 0)</f>
        <v>15.7918</v>
      </c>
      <c r="C58" s="14">
        <f>15.1404 * CHOOSE(CONTROL!$C$15, $E$9, 100%, $G$9) + CHOOSE(CONTROL!$C$38, 0.0342, 0)</f>
        <v>15.1746</v>
      </c>
      <c r="D58" s="14">
        <f>15.1326 * CHOOSE(CONTROL!$C$15, $E$9, 100%, $G$9) + CHOOSE(CONTROL!$C$38, 0.0342, 0)</f>
        <v>15.1668</v>
      </c>
      <c r="E58" s="45">
        <f>15.6104 * CHOOSE(CONTROL!$C$15, $E$9, 100%, $G$9) + CHOOSE(CONTROL!$C$38, 0.0342, 0)</f>
        <v>15.644600000000001</v>
      </c>
      <c r="F58" s="44">
        <f>15.6104 * CHOOSE(CONTROL!$C$15, $E$9, 100%, $G$9) + CHOOSE(CONTROL!$C$38, 0.0251, 0)</f>
        <v>15.6355</v>
      </c>
      <c r="G58" s="14">
        <f>15.1389 * CHOOSE(CONTROL!$C$15, $E$9, 100%, $G$9) + CHOOSE(CONTROL!$C$38, 0.0342, 0)</f>
        <v>15.1731</v>
      </c>
      <c r="H58" s="14">
        <f>15.1389 * CHOOSE(CONTROL!$C$15, $E$9, 100%, $G$9) + CHOOSE(CONTROL!$C$38, 0.0342, 0)</f>
        <v>15.1731</v>
      </c>
      <c r="I58" s="14">
        <f>15.1404 * CHOOSE(CONTROL!$C$15, $E$9, 100%, $G$9) + CHOOSE(CONTROL!$C$38, 0.0342, 0)</f>
        <v>15.1746</v>
      </c>
      <c r="J58" s="43">
        <f>93.7537</f>
        <v>93.753699999999995</v>
      </c>
    </row>
    <row r="59" spans="1:10" ht="15" x14ac:dyDescent="0.2">
      <c r="A59" s="13">
        <v>42705</v>
      </c>
      <c r="B59" s="14">
        <f>16.4626 * CHOOSE(CONTROL!$C$15, $E$9, 100%, $G$9) + CHOOSE(CONTROL!$C$38, 0.0251, 0)</f>
        <v>16.487699999999997</v>
      </c>
      <c r="C59" s="14">
        <f>15.8354 * CHOOSE(CONTROL!$C$15, $E$9, 100%, $G$9) + CHOOSE(CONTROL!$C$38, 0.0342, 0)</f>
        <v>15.8696</v>
      </c>
      <c r="D59" s="14">
        <f>15.8276 * CHOOSE(CONTROL!$C$15, $E$9, 100%, $G$9) + CHOOSE(CONTROL!$C$38, 0.0342, 0)</f>
        <v>15.861800000000001</v>
      </c>
      <c r="E59" s="45">
        <f>16.3064 * CHOOSE(CONTROL!$C$15, $E$9, 100%, $G$9) + CHOOSE(CONTROL!$C$38, 0.0342, 0)</f>
        <v>16.340599999999998</v>
      </c>
      <c r="F59" s="44">
        <f>16.3064 * CHOOSE(CONTROL!$C$15, $E$9, 100%, $G$9) + CHOOSE(CONTROL!$C$38, 0.0251, 0)</f>
        <v>16.331499999999998</v>
      </c>
      <c r="G59" s="14">
        <f>15.8338 * CHOOSE(CONTROL!$C$15, $E$9, 100%, $G$9) + CHOOSE(CONTROL!$C$38, 0.0342, 0)</f>
        <v>15.868</v>
      </c>
      <c r="H59" s="14">
        <f>15.8338 * CHOOSE(CONTROL!$C$15, $E$9, 100%, $G$9) + CHOOSE(CONTROL!$C$38, 0.0342, 0)</f>
        <v>15.868</v>
      </c>
      <c r="I59" s="14">
        <f>15.8354 * CHOOSE(CONTROL!$C$15, $E$9, 100%, $G$9) + CHOOSE(CONTROL!$C$38, 0.0342, 0)</f>
        <v>15.8696</v>
      </c>
      <c r="J59" s="43">
        <f>91.1589</f>
        <v>91.158900000000003</v>
      </c>
    </row>
    <row r="60" spans="1:10" ht="15" x14ac:dyDescent="0.2">
      <c r="A60" s="13">
        <v>42736</v>
      </c>
      <c r="B60" s="14">
        <f>16.7039 * CHOOSE(CONTROL!$C$15, $E$9, 100%, $G$9) + CHOOSE(CONTROL!$C$38, 0.0251, 0)</f>
        <v>16.728999999999999</v>
      </c>
      <c r="C60" s="14">
        <f>16.0868 * CHOOSE(CONTROL!$C$15, $E$9, 100%, $G$9) + CHOOSE(CONTROL!$C$38, 0.0342, 0)</f>
        <v>16.120999999999999</v>
      </c>
      <c r="D60" s="14">
        <f>16.079 * CHOOSE(CONTROL!$C$15, $E$9, 100%, $G$9) + CHOOSE(CONTROL!$C$38, 0.0342, 0)</f>
        <v>16.113199999999999</v>
      </c>
      <c r="E60" s="45">
        <f>16.5477 * CHOOSE(CONTROL!$C$15, $E$9, 100%, $G$9) + CHOOSE(CONTROL!$C$38, 0.0342, 0)</f>
        <v>16.581899999999997</v>
      </c>
      <c r="F60" s="44">
        <f>16.5477 * CHOOSE(CONTROL!$C$15, $E$9, 100%, $G$9) + CHOOSE(CONTROL!$C$38, 0.0251, 0)</f>
        <v>16.572799999999997</v>
      </c>
      <c r="G60" s="14">
        <f>16.0853 * CHOOSE(CONTROL!$C$15, $E$9, 100%, $G$9) + CHOOSE(CONTROL!$C$38, 0.0342, 0)</f>
        <v>16.119499999999999</v>
      </c>
      <c r="H60" s="14">
        <f>16.0853 * CHOOSE(CONTROL!$C$15, $E$9, 100%, $G$9) + CHOOSE(CONTROL!$C$38, 0.0342, 0)</f>
        <v>16.119499999999999</v>
      </c>
      <c r="I60" s="14">
        <f>16.0868 * CHOOSE(CONTROL!$C$15, $E$9, 100%, $G$9) + CHOOSE(CONTROL!$C$38, 0.0342, 0)</f>
        <v>16.120999999999999</v>
      </c>
      <c r="J60" s="43">
        <f>87.5261</f>
        <v>87.5261</v>
      </c>
    </row>
    <row r="61" spans="1:10" ht="15" x14ac:dyDescent="0.2">
      <c r="A61" s="13">
        <v>42767</v>
      </c>
      <c r="B61" s="14">
        <f>16.9843 * CHOOSE(CONTROL!$C$15, $E$9, 100%, $G$9) + CHOOSE(CONTROL!$C$38, 0.0251, 0)</f>
        <v>17.009399999999999</v>
      </c>
      <c r="C61" s="14">
        <f>16.3662 * CHOOSE(CONTROL!$C$15, $E$9, 100%, $G$9) + CHOOSE(CONTROL!$C$38, 0.0342, 0)</f>
        <v>16.400399999999998</v>
      </c>
      <c r="D61" s="14">
        <f>16.3584 * CHOOSE(CONTROL!$C$15, $E$9, 100%, $G$9) + CHOOSE(CONTROL!$C$38, 0.0342, 0)</f>
        <v>16.392599999999998</v>
      </c>
      <c r="E61" s="45">
        <f>16.828 * CHOOSE(CONTROL!$C$15, $E$9, 100%, $G$9) + CHOOSE(CONTROL!$C$38, 0.0342, 0)</f>
        <v>16.862199999999998</v>
      </c>
      <c r="F61" s="44">
        <f>16.828 * CHOOSE(CONTROL!$C$15, $E$9, 100%, $G$9) + CHOOSE(CONTROL!$C$38, 0.0251, 0)</f>
        <v>16.853099999999998</v>
      </c>
      <c r="G61" s="14">
        <f>16.3647 * CHOOSE(CONTROL!$C$15, $E$9, 100%, $G$9) + CHOOSE(CONTROL!$C$38, 0.0342, 0)</f>
        <v>16.398899999999998</v>
      </c>
      <c r="H61" s="14">
        <f>16.3647 * CHOOSE(CONTROL!$C$15, $E$9, 100%, $G$9) + CHOOSE(CONTROL!$C$38, 0.0342, 0)</f>
        <v>16.398899999999998</v>
      </c>
      <c r="I61" s="14">
        <f>16.3662 * CHOOSE(CONTROL!$C$15, $E$9, 100%, $G$9) + CHOOSE(CONTROL!$C$38, 0.0342, 0)</f>
        <v>16.400399999999998</v>
      </c>
      <c r="J61" s="43">
        <f>87.4626</f>
        <v>87.462599999999995</v>
      </c>
    </row>
    <row r="62" spans="1:10" ht="15" x14ac:dyDescent="0.2">
      <c r="A62" s="13">
        <v>42795</v>
      </c>
      <c r="B62" s="14">
        <f>16.4445 * CHOOSE(CONTROL!$C$15, $E$9, 100%, $G$9) + CHOOSE(CONTROL!$C$38, 0.0251, 0)</f>
        <v>16.4696</v>
      </c>
      <c r="C62" s="14">
        <f>15.8256 * CHOOSE(CONTROL!$C$15, $E$9, 100%, $G$9) + CHOOSE(CONTROL!$C$38, 0.0342, 0)</f>
        <v>15.8598</v>
      </c>
      <c r="D62" s="14">
        <f>15.8178 * CHOOSE(CONTROL!$C$15, $E$9, 100%, $G$9) + CHOOSE(CONTROL!$C$38, 0.0342, 0)</f>
        <v>15.852</v>
      </c>
      <c r="E62" s="45">
        <f>16.2883 * CHOOSE(CONTROL!$C$15, $E$9, 100%, $G$9) + CHOOSE(CONTROL!$C$38, 0.0342, 0)</f>
        <v>16.322499999999998</v>
      </c>
      <c r="F62" s="44">
        <f>16.2883 * CHOOSE(CONTROL!$C$15, $E$9, 100%, $G$9) + CHOOSE(CONTROL!$C$38, 0.0251, 0)</f>
        <v>16.313399999999998</v>
      </c>
      <c r="G62" s="14">
        <f>15.824 * CHOOSE(CONTROL!$C$15, $E$9, 100%, $G$9) + CHOOSE(CONTROL!$C$38, 0.0342, 0)</f>
        <v>15.8582</v>
      </c>
      <c r="H62" s="14">
        <f>15.824 * CHOOSE(CONTROL!$C$15, $E$9, 100%, $G$9) + CHOOSE(CONTROL!$C$38, 0.0342, 0)</f>
        <v>15.8582</v>
      </c>
      <c r="I62" s="14">
        <f>15.8256 * CHOOSE(CONTROL!$C$15, $E$9, 100%, $G$9) + CHOOSE(CONTROL!$C$38, 0.0342, 0)</f>
        <v>15.8598</v>
      </c>
      <c r="J62" s="43">
        <f>92.262</f>
        <v>92.262</v>
      </c>
    </row>
    <row r="63" spans="1:10" ht="15" x14ac:dyDescent="0.2">
      <c r="A63" s="13">
        <v>42826</v>
      </c>
      <c r="B63" s="14">
        <f>15.9203 * CHOOSE(CONTROL!$C$15, $E$9, 100%, $G$9) + CHOOSE(CONTROL!$C$38, 0.0251, 0)</f>
        <v>15.945399999999999</v>
      </c>
      <c r="C63" s="14">
        <f>15.3004 * CHOOSE(CONTROL!$C$15, $E$9, 100%, $G$9) + CHOOSE(CONTROL!$C$38, 0.0342, 0)</f>
        <v>15.3346</v>
      </c>
      <c r="D63" s="14">
        <f>15.2926 * CHOOSE(CONTROL!$C$15, $E$9, 100%, $G$9) + CHOOSE(CONTROL!$C$38, 0.0342, 0)</f>
        <v>15.3268</v>
      </c>
      <c r="E63" s="45">
        <f>15.7641 * CHOOSE(CONTROL!$C$15, $E$9, 100%, $G$9) + CHOOSE(CONTROL!$C$38, 0.0342, 0)</f>
        <v>15.798299999999999</v>
      </c>
      <c r="F63" s="44">
        <f>15.7641 * CHOOSE(CONTROL!$C$15, $E$9, 100%, $G$9) + CHOOSE(CONTROL!$C$38, 0.0251, 0)</f>
        <v>15.789199999999999</v>
      </c>
      <c r="G63" s="14">
        <f>15.2988 * CHOOSE(CONTROL!$C$15, $E$9, 100%, $G$9) + CHOOSE(CONTROL!$C$38, 0.0342, 0)</f>
        <v>15.333</v>
      </c>
      <c r="H63" s="14">
        <f>15.2988 * CHOOSE(CONTROL!$C$15, $E$9, 100%, $G$9) + CHOOSE(CONTROL!$C$38, 0.0342, 0)</f>
        <v>15.333</v>
      </c>
      <c r="I63" s="14">
        <f>15.3004 * CHOOSE(CONTROL!$C$15, $E$9, 100%, $G$9) + CHOOSE(CONTROL!$C$38, 0.0342, 0)</f>
        <v>15.3346</v>
      </c>
      <c r="J63" s="43">
        <f>98.4545</f>
        <v>98.454499999999996</v>
      </c>
    </row>
    <row r="64" spans="1:10" ht="15" x14ac:dyDescent="0.2">
      <c r="A64" s="13">
        <v>42856</v>
      </c>
      <c r="B64" s="14">
        <f>15.3703 * CHOOSE(CONTROL!$C$15, $E$9, 100%, $G$9) + CHOOSE(CONTROL!$C$38, 0.0264, 0)</f>
        <v>15.396700000000001</v>
      </c>
      <c r="C64" s="14">
        <f>14.7494 * CHOOSE(CONTROL!$C$15, $E$9, 100%, $G$9) + CHOOSE(CONTROL!$C$38, 0.0354, 0)</f>
        <v>14.784799999999999</v>
      </c>
      <c r="D64" s="14">
        <f>14.7416 * CHOOSE(CONTROL!$C$15, $E$9, 100%, $G$9) + CHOOSE(CONTROL!$C$38, 0.0354, 0)</f>
        <v>14.776999999999999</v>
      </c>
      <c r="E64" s="45">
        <f>15.2141 * CHOOSE(CONTROL!$C$15, $E$9, 100%, $G$9) + CHOOSE(CONTROL!$C$38, 0.0354, 0)</f>
        <v>15.249499999999999</v>
      </c>
      <c r="F64" s="44">
        <f>15.2141 * CHOOSE(CONTROL!$C$15, $E$9, 100%, $G$9) + CHOOSE(CONTROL!$C$38, 0.0264, 0)</f>
        <v>15.240500000000001</v>
      </c>
      <c r="G64" s="14">
        <f>14.7479 * CHOOSE(CONTROL!$C$15, $E$9, 100%, $G$9) + CHOOSE(CONTROL!$C$38, 0.0354, 0)</f>
        <v>14.783299999999999</v>
      </c>
      <c r="H64" s="14">
        <f>14.7479 * CHOOSE(CONTROL!$C$15, $E$9, 100%, $G$9) + CHOOSE(CONTROL!$C$38, 0.0354, 0)</f>
        <v>14.783299999999999</v>
      </c>
      <c r="I64" s="14">
        <f>14.7494 * CHOOSE(CONTROL!$C$15, $E$9, 100%, $G$9) + CHOOSE(CONTROL!$C$38, 0.0354, 0)</f>
        <v>14.784799999999999</v>
      </c>
      <c r="J64" s="43">
        <f>101.9681</f>
        <v>101.96810000000001</v>
      </c>
    </row>
    <row r="65" spans="1:10" ht="15" x14ac:dyDescent="0.2">
      <c r="A65" s="13">
        <v>42887</v>
      </c>
      <c r="B65" s="14">
        <f>14.9922 * CHOOSE(CONTROL!$C$15, $E$9, 100%, $G$9) + CHOOSE(CONTROL!$C$38, 0.0264, 0)</f>
        <v>15.018600000000001</v>
      </c>
      <c r="C65" s="14">
        <f>14.3703 * CHOOSE(CONTROL!$C$15, $E$9, 100%, $G$9) + CHOOSE(CONTROL!$C$38, 0.0354, 0)</f>
        <v>14.4057</v>
      </c>
      <c r="D65" s="14">
        <f>14.3625 * CHOOSE(CONTROL!$C$15, $E$9, 100%, $G$9) + CHOOSE(CONTROL!$C$38, 0.0354, 0)</f>
        <v>14.3979</v>
      </c>
      <c r="E65" s="45">
        <f>14.8359 * CHOOSE(CONTROL!$C$15, $E$9, 100%, $G$9) + CHOOSE(CONTROL!$C$38, 0.0354, 0)</f>
        <v>14.8713</v>
      </c>
      <c r="F65" s="44">
        <f>14.8359 * CHOOSE(CONTROL!$C$15, $E$9, 100%, $G$9) + CHOOSE(CONTROL!$C$38, 0.0264, 0)</f>
        <v>14.862300000000001</v>
      </c>
      <c r="G65" s="14">
        <f>14.3688 * CHOOSE(CONTROL!$C$15, $E$9, 100%, $G$9) + CHOOSE(CONTROL!$C$38, 0.0354, 0)</f>
        <v>14.404199999999999</v>
      </c>
      <c r="H65" s="14">
        <f>14.3688 * CHOOSE(CONTROL!$C$15, $E$9, 100%, $G$9) + CHOOSE(CONTROL!$C$38, 0.0354, 0)</f>
        <v>14.404199999999999</v>
      </c>
      <c r="I65" s="14">
        <f>14.3703 * CHOOSE(CONTROL!$C$15, $E$9, 100%, $G$9) + CHOOSE(CONTROL!$C$38, 0.0354, 0)</f>
        <v>14.4057</v>
      </c>
      <c r="J65" s="43">
        <f>103.6504</f>
        <v>103.6504</v>
      </c>
    </row>
    <row r="66" spans="1:10" ht="15" x14ac:dyDescent="0.2">
      <c r="A66" s="13">
        <v>42917</v>
      </c>
      <c r="B66" s="14">
        <f>14.7882 * CHOOSE(CONTROL!$C$15, $E$9, 100%, $G$9) + CHOOSE(CONTROL!$C$38, 0.0264, 0)</f>
        <v>14.8146</v>
      </c>
      <c r="C66" s="14">
        <f>14.1654 * CHOOSE(CONTROL!$C$15, $E$9, 100%, $G$9) + CHOOSE(CONTROL!$C$38, 0.0354, 0)</f>
        <v>14.200799999999999</v>
      </c>
      <c r="D66" s="14">
        <f>14.1575 * CHOOSE(CONTROL!$C$15, $E$9, 100%, $G$9) + CHOOSE(CONTROL!$C$38, 0.0354, 0)</f>
        <v>14.1929</v>
      </c>
      <c r="E66" s="45">
        <f>14.6319 * CHOOSE(CONTROL!$C$15, $E$9, 100%, $G$9) + CHOOSE(CONTROL!$C$38, 0.0354, 0)</f>
        <v>14.667299999999999</v>
      </c>
      <c r="F66" s="44">
        <f>14.6319 * CHOOSE(CONTROL!$C$15, $E$9, 100%, $G$9) + CHOOSE(CONTROL!$C$38, 0.0264, 0)</f>
        <v>14.658300000000001</v>
      </c>
      <c r="G66" s="14">
        <f>14.1638 * CHOOSE(CONTROL!$C$15, $E$9, 100%, $G$9) + CHOOSE(CONTROL!$C$38, 0.0354, 0)</f>
        <v>14.199199999999999</v>
      </c>
      <c r="H66" s="14">
        <f>14.1638 * CHOOSE(CONTROL!$C$15, $E$9, 100%, $G$9) + CHOOSE(CONTROL!$C$38, 0.0354, 0)</f>
        <v>14.199199999999999</v>
      </c>
      <c r="I66" s="14">
        <f>14.1654 * CHOOSE(CONTROL!$C$15, $E$9, 100%, $G$9) + CHOOSE(CONTROL!$C$38, 0.0354, 0)</f>
        <v>14.200799999999999</v>
      </c>
      <c r="J66" s="43">
        <f>103.3781</f>
        <v>103.3781</v>
      </c>
    </row>
    <row r="67" spans="1:10" ht="15" x14ac:dyDescent="0.2">
      <c r="A67" s="13">
        <v>42948</v>
      </c>
      <c r="B67" s="14">
        <f>14.9329 * CHOOSE(CONTROL!$C$15, $E$9, 100%, $G$9) + CHOOSE(CONTROL!$C$38, 0.0264, 0)</f>
        <v>14.959300000000001</v>
      </c>
      <c r="C67" s="14">
        <f>14.3091 * CHOOSE(CONTROL!$C$15, $E$9, 100%, $G$9) + CHOOSE(CONTROL!$C$38, 0.0354, 0)</f>
        <v>14.3445</v>
      </c>
      <c r="D67" s="14">
        <f>14.3013 * CHOOSE(CONTROL!$C$15, $E$9, 100%, $G$9) + CHOOSE(CONTROL!$C$38, 0.0354, 0)</f>
        <v>14.336699999999999</v>
      </c>
      <c r="E67" s="45">
        <f>14.7766 * CHOOSE(CONTROL!$C$15, $E$9, 100%, $G$9) + CHOOSE(CONTROL!$C$38, 0.0354, 0)</f>
        <v>14.811999999999999</v>
      </c>
      <c r="F67" s="44">
        <f>14.7766 * CHOOSE(CONTROL!$C$15, $E$9, 100%, $G$9) + CHOOSE(CONTROL!$C$38, 0.0264, 0)</f>
        <v>14.803000000000001</v>
      </c>
      <c r="G67" s="14">
        <f>14.3076 * CHOOSE(CONTROL!$C$15, $E$9, 100%, $G$9) + CHOOSE(CONTROL!$C$38, 0.0354, 0)</f>
        <v>14.343</v>
      </c>
      <c r="H67" s="14">
        <f>14.3076 * CHOOSE(CONTROL!$C$15, $E$9, 100%, $G$9) + CHOOSE(CONTROL!$C$38, 0.0354, 0)</f>
        <v>14.343</v>
      </c>
      <c r="I67" s="14">
        <f>14.3091 * CHOOSE(CONTROL!$C$15, $E$9, 100%, $G$9) + CHOOSE(CONTROL!$C$38, 0.0354, 0)</f>
        <v>14.3445</v>
      </c>
      <c r="J67" s="43">
        <f>101.1795</f>
        <v>101.1795</v>
      </c>
    </row>
    <row r="68" spans="1:10" ht="15" x14ac:dyDescent="0.2">
      <c r="A68" s="13">
        <v>42979</v>
      </c>
      <c r="B68" s="14">
        <f>15.2768 * CHOOSE(CONTROL!$C$15, $E$9, 100%, $G$9) + CHOOSE(CONTROL!$C$38, 0.0264, 0)</f>
        <v>15.3032</v>
      </c>
      <c r="C68" s="14">
        <f>14.6521 * CHOOSE(CONTROL!$C$15, $E$9, 100%, $G$9) + CHOOSE(CONTROL!$C$38, 0.0354, 0)</f>
        <v>14.6875</v>
      </c>
      <c r="D68" s="14">
        <f>14.6443 * CHOOSE(CONTROL!$C$15, $E$9, 100%, $G$9) + CHOOSE(CONTROL!$C$38, 0.0354, 0)</f>
        <v>14.679699999999999</v>
      </c>
      <c r="E68" s="45">
        <f>15.1206 * CHOOSE(CONTROL!$C$15, $E$9, 100%, $G$9) + CHOOSE(CONTROL!$C$38, 0.0354, 0)</f>
        <v>15.155999999999999</v>
      </c>
      <c r="F68" s="44">
        <f>15.1206 * CHOOSE(CONTROL!$C$15, $E$9, 100%, $G$9) + CHOOSE(CONTROL!$C$38, 0.0264, 0)</f>
        <v>15.147</v>
      </c>
      <c r="G68" s="14">
        <f>14.6505 * CHOOSE(CONTROL!$C$15, $E$9, 100%, $G$9) + CHOOSE(CONTROL!$C$38, 0.0354, 0)</f>
        <v>14.685899999999998</v>
      </c>
      <c r="H68" s="14">
        <f>14.6505 * CHOOSE(CONTROL!$C$15, $E$9, 100%, $G$9) + CHOOSE(CONTROL!$C$38, 0.0354, 0)</f>
        <v>14.685899999999998</v>
      </c>
      <c r="I68" s="14">
        <f>14.6521 * CHOOSE(CONTROL!$C$15, $E$9, 100%, $G$9) + CHOOSE(CONTROL!$C$38, 0.0354, 0)</f>
        <v>14.6875</v>
      </c>
      <c r="J68" s="43">
        <f>98.018</f>
        <v>98.018000000000001</v>
      </c>
    </row>
    <row r="69" spans="1:10" ht="15" x14ac:dyDescent="0.2">
      <c r="A69" s="13">
        <v>43009</v>
      </c>
      <c r="B69" s="14">
        <f>15.5709 * CHOOSE(CONTROL!$C$15, $E$9, 100%, $G$9) + CHOOSE(CONTROL!$C$38, 0.0251, 0)</f>
        <v>15.596</v>
      </c>
      <c r="C69" s="14">
        <f>14.9453 * CHOOSE(CONTROL!$C$15, $E$9, 100%, $G$9) + CHOOSE(CONTROL!$C$38, 0.0342, 0)</f>
        <v>14.9795</v>
      </c>
      <c r="D69" s="14">
        <f>14.9374 * CHOOSE(CONTROL!$C$15, $E$9, 100%, $G$9) + CHOOSE(CONTROL!$C$38, 0.0342, 0)</f>
        <v>14.9716</v>
      </c>
      <c r="E69" s="45">
        <f>15.4147 * CHOOSE(CONTROL!$C$15, $E$9, 100%, $G$9) + CHOOSE(CONTROL!$C$38, 0.0342, 0)</f>
        <v>15.4489</v>
      </c>
      <c r="F69" s="44">
        <f>15.4147 * CHOOSE(CONTROL!$C$15, $E$9, 100%, $G$9) + CHOOSE(CONTROL!$C$38, 0.0251, 0)</f>
        <v>15.4398</v>
      </c>
      <c r="G69" s="14">
        <f>14.9437 * CHOOSE(CONTROL!$C$15, $E$9, 100%, $G$9) + CHOOSE(CONTROL!$C$38, 0.0342, 0)</f>
        <v>14.9779</v>
      </c>
      <c r="H69" s="14">
        <f>14.9437 * CHOOSE(CONTROL!$C$15, $E$9, 100%, $G$9) + CHOOSE(CONTROL!$C$38, 0.0342, 0)</f>
        <v>14.9779</v>
      </c>
      <c r="I69" s="14">
        <f>14.9453 * CHOOSE(CONTROL!$C$15, $E$9, 100%, $G$9) + CHOOSE(CONTROL!$C$38, 0.0342, 0)</f>
        <v>14.9795</v>
      </c>
      <c r="J69" s="43">
        <f>94.8233</f>
        <v>94.823300000000003</v>
      </c>
    </row>
    <row r="70" spans="1:10" ht="15" x14ac:dyDescent="0.2">
      <c r="A70" s="13">
        <v>43040</v>
      </c>
      <c r="B70" s="14">
        <f>15.8224 * CHOOSE(CONTROL!$C$15, $E$9, 100%, $G$9) + CHOOSE(CONTROL!$C$38, 0.0251, 0)</f>
        <v>15.8475</v>
      </c>
      <c r="C70" s="14">
        <f>15.1958 * CHOOSE(CONTROL!$C$15, $E$9, 100%, $G$9) + CHOOSE(CONTROL!$C$38, 0.0342, 0)</f>
        <v>15.23</v>
      </c>
      <c r="D70" s="14">
        <f>15.1879 * CHOOSE(CONTROL!$C$15, $E$9, 100%, $G$9) + CHOOSE(CONTROL!$C$38, 0.0342, 0)</f>
        <v>15.222100000000001</v>
      </c>
      <c r="E70" s="45">
        <f>15.6662 * CHOOSE(CONTROL!$C$15, $E$9, 100%, $G$9) + CHOOSE(CONTROL!$C$38, 0.0342, 0)</f>
        <v>15.7004</v>
      </c>
      <c r="F70" s="44">
        <f>15.6662 * CHOOSE(CONTROL!$C$15, $E$9, 100%, $G$9) + CHOOSE(CONTROL!$C$38, 0.0251, 0)</f>
        <v>15.6913</v>
      </c>
      <c r="G70" s="14">
        <f>15.1942 * CHOOSE(CONTROL!$C$15, $E$9, 100%, $G$9) + CHOOSE(CONTROL!$C$38, 0.0342, 0)</f>
        <v>15.228400000000001</v>
      </c>
      <c r="H70" s="14">
        <f>15.1942 * CHOOSE(CONTROL!$C$15, $E$9, 100%, $G$9) + CHOOSE(CONTROL!$C$38, 0.0342, 0)</f>
        <v>15.228400000000001</v>
      </c>
      <c r="I70" s="14">
        <f>15.1958 * CHOOSE(CONTROL!$C$15, $E$9, 100%, $G$9) + CHOOSE(CONTROL!$C$38, 0.0342, 0)</f>
        <v>15.23</v>
      </c>
      <c r="J70" s="43">
        <f>94.3416</f>
        <v>94.3416</v>
      </c>
    </row>
    <row r="71" spans="1:10" ht="15" x14ac:dyDescent="0.2">
      <c r="A71" s="13">
        <v>43070</v>
      </c>
      <c r="B71" s="14">
        <f>16.5351 * CHOOSE(CONTROL!$C$15, $E$9, 100%, $G$9) + CHOOSE(CONTROL!$C$38, 0.0251, 0)</f>
        <v>16.560199999999998</v>
      </c>
      <c r="C71" s="14">
        <f>15.9075 * CHOOSE(CONTROL!$C$15, $E$9, 100%, $G$9) + CHOOSE(CONTROL!$C$38, 0.0342, 0)</f>
        <v>15.941700000000001</v>
      </c>
      <c r="D71" s="14">
        <f>15.8997 * CHOOSE(CONTROL!$C$15, $E$9, 100%, $G$9) + CHOOSE(CONTROL!$C$38, 0.0342, 0)</f>
        <v>15.9339</v>
      </c>
      <c r="E71" s="45">
        <f>16.3789 * CHOOSE(CONTROL!$C$15, $E$9, 100%, $G$9) + CHOOSE(CONTROL!$C$38, 0.0342, 0)</f>
        <v>16.4131</v>
      </c>
      <c r="F71" s="44">
        <f>16.3789 * CHOOSE(CONTROL!$C$15, $E$9, 100%, $G$9) + CHOOSE(CONTROL!$C$38, 0.0251, 0)</f>
        <v>16.404</v>
      </c>
      <c r="G71" s="14">
        <f>15.9059 * CHOOSE(CONTROL!$C$15, $E$9, 100%, $G$9) + CHOOSE(CONTROL!$C$38, 0.0342, 0)</f>
        <v>15.940100000000001</v>
      </c>
      <c r="H71" s="14">
        <f>15.9059 * CHOOSE(CONTROL!$C$15, $E$9, 100%, $G$9) + CHOOSE(CONTROL!$C$38, 0.0342, 0)</f>
        <v>15.940100000000001</v>
      </c>
      <c r="I71" s="14">
        <f>15.9075 * CHOOSE(CONTROL!$C$15, $E$9, 100%, $G$9) + CHOOSE(CONTROL!$C$38, 0.0342, 0)</f>
        <v>15.941700000000001</v>
      </c>
      <c r="J71" s="43">
        <f>91.7306</f>
        <v>91.730599999999995</v>
      </c>
    </row>
    <row r="72" spans="1:10" ht="15" x14ac:dyDescent="0.2">
      <c r="A72" s="13">
        <v>43101</v>
      </c>
      <c r="B72" s="14">
        <f>18.2277 * CHOOSE(CONTROL!$C$15, $E$9, 100%, $G$9) + CHOOSE(CONTROL!$C$38, 0.0251, 0)</f>
        <v>18.252799999999997</v>
      </c>
      <c r="C72" s="14">
        <f>17.7557 * CHOOSE(CONTROL!$C$15, $E$9, 100%, $G$9) + CHOOSE(CONTROL!$C$38, 0.0342, 0)</f>
        <v>17.789899999999999</v>
      </c>
      <c r="D72" s="14">
        <f>17.7479 * CHOOSE(CONTROL!$C$15, $E$9, 100%, $G$9) + CHOOSE(CONTROL!$C$38, 0.0342, 0)</f>
        <v>17.7821</v>
      </c>
      <c r="E72" s="45">
        <f>18.0715 * CHOOSE(CONTROL!$C$15, $E$9, 100%, $G$9) + CHOOSE(CONTROL!$C$38, 0.0342, 0)</f>
        <v>18.105699999999999</v>
      </c>
      <c r="F72" s="44">
        <f>18.0715 * CHOOSE(CONTROL!$C$15, $E$9, 100%, $G$9) + CHOOSE(CONTROL!$C$38, 0.0251, 0)</f>
        <v>18.096599999999999</v>
      </c>
      <c r="G72" s="14">
        <f>17.7542 * CHOOSE(CONTROL!$C$15, $E$9, 100%, $G$9) + CHOOSE(CONTROL!$C$38, 0.0342, 0)</f>
        <v>17.788399999999999</v>
      </c>
      <c r="H72" s="14">
        <f>17.7542 * CHOOSE(CONTROL!$C$15, $E$9, 100%, $G$9) + CHOOSE(CONTROL!$C$38, 0.0342, 0)</f>
        <v>17.788399999999999</v>
      </c>
      <c r="I72" s="14">
        <f>17.7557 * CHOOSE(CONTROL!$C$15, $E$9, 100%, $G$9) + CHOOSE(CONTROL!$C$38, 0.0342, 0)</f>
        <v>17.789899999999999</v>
      </c>
      <c r="J72" s="43">
        <f>100.9401</f>
        <v>100.9401</v>
      </c>
    </row>
    <row r="73" spans="1:10" ht="15" x14ac:dyDescent="0.2">
      <c r="A73" s="13">
        <v>43132</v>
      </c>
      <c r="B73" s="14">
        <f>18.5174 * CHOOSE(CONTROL!$C$15, $E$9, 100%, $G$9) + CHOOSE(CONTROL!$C$38, 0.0251, 0)</f>
        <v>18.542499999999997</v>
      </c>
      <c r="C73" s="14">
        <f>18.0447 * CHOOSE(CONTROL!$C$15, $E$9, 100%, $G$9) + CHOOSE(CONTROL!$C$38, 0.0342, 0)</f>
        <v>18.078899999999997</v>
      </c>
      <c r="D73" s="14">
        <f>18.0369 * CHOOSE(CONTROL!$C$15, $E$9, 100%, $G$9) + CHOOSE(CONTROL!$C$38, 0.0342, 0)</f>
        <v>18.071099999999998</v>
      </c>
      <c r="E73" s="45">
        <f>18.3612 * CHOOSE(CONTROL!$C$15, $E$9, 100%, $G$9) + CHOOSE(CONTROL!$C$38, 0.0342, 0)</f>
        <v>18.395399999999999</v>
      </c>
      <c r="F73" s="44">
        <f>18.3612 * CHOOSE(CONTROL!$C$15, $E$9, 100%, $G$9) + CHOOSE(CONTROL!$C$38, 0.0251, 0)</f>
        <v>18.386299999999999</v>
      </c>
      <c r="G73" s="14">
        <f>18.0432 * CHOOSE(CONTROL!$C$15, $E$9, 100%, $G$9) + CHOOSE(CONTROL!$C$38, 0.0342, 0)</f>
        <v>18.077399999999997</v>
      </c>
      <c r="H73" s="14">
        <f>18.0432 * CHOOSE(CONTROL!$C$15, $E$9, 100%, $G$9) + CHOOSE(CONTROL!$C$38, 0.0342, 0)</f>
        <v>18.077399999999997</v>
      </c>
      <c r="I73" s="14">
        <f>18.0447 * CHOOSE(CONTROL!$C$15, $E$9, 100%, $G$9) + CHOOSE(CONTROL!$C$38, 0.0342, 0)</f>
        <v>18.078899999999997</v>
      </c>
      <c r="J73" s="43">
        <f>100.8669</f>
        <v>100.8669</v>
      </c>
    </row>
    <row r="74" spans="1:10" ht="15" x14ac:dyDescent="0.2">
      <c r="A74" s="13">
        <v>43160</v>
      </c>
      <c r="B74" s="14">
        <f>17.9665 * CHOOSE(CONTROL!$C$15, $E$9, 100%, $G$9) + CHOOSE(CONTROL!$C$38, 0.0251, 0)</f>
        <v>17.991599999999998</v>
      </c>
      <c r="C74" s="14">
        <f>17.4932 * CHOOSE(CONTROL!$C$15, $E$9, 100%, $G$9) + CHOOSE(CONTROL!$C$38, 0.0342, 0)</f>
        <v>17.5274</v>
      </c>
      <c r="D74" s="14">
        <f>17.4854 * CHOOSE(CONTROL!$C$15, $E$9, 100%, $G$9) + CHOOSE(CONTROL!$C$38, 0.0342, 0)</f>
        <v>17.519599999999997</v>
      </c>
      <c r="E74" s="45">
        <f>17.8103 * CHOOSE(CONTROL!$C$15, $E$9, 100%, $G$9) + CHOOSE(CONTROL!$C$38, 0.0342, 0)</f>
        <v>17.8445</v>
      </c>
      <c r="F74" s="44">
        <f>17.8103 * CHOOSE(CONTROL!$C$15, $E$9, 100%, $G$9) + CHOOSE(CONTROL!$C$38, 0.0251, 0)</f>
        <v>17.8354</v>
      </c>
      <c r="G74" s="14">
        <f>17.4916 * CHOOSE(CONTROL!$C$15, $E$9, 100%, $G$9) + CHOOSE(CONTROL!$C$38, 0.0342, 0)</f>
        <v>17.525799999999997</v>
      </c>
      <c r="H74" s="14">
        <f>17.4916 * CHOOSE(CONTROL!$C$15, $E$9, 100%, $G$9) + CHOOSE(CONTROL!$C$38, 0.0342, 0)</f>
        <v>17.525799999999997</v>
      </c>
      <c r="I74" s="14">
        <f>17.4932 * CHOOSE(CONTROL!$C$15, $E$9, 100%, $G$9) + CHOOSE(CONTROL!$C$38, 0.0342, 0)</f>
        <v>17.5274</v>
      </c>
      <c r="J74" s="43">
        <f>106.4019</f>
        <v>106.4019</v>
      </c>
    </row>
    <row r="75" spans="1:10" ht="15" x14ac:dyDescent="0.2">
      <c r="A75" s="13">
        <v>43191</v>
      </c>
      <c r="B75" s="14">
        <f>17.4315 * CHOOSE(CONTROL!$C$15, $E$9, 100%, $G$9) + CHOOSE(CONTROL!$C$38, 0.0251, 0)</f>
        <v>17.456599999999998</v>
      </c>
      <c r="C75" s="14">
        <f>16.9575 * CHOOSE(CONTROL!$C$15, $E$9, 100%, $G$9) + CHOOSE(CONTROL!$C$38, 0.0342, 0)</f>
        <v>16.991699999999998</v>
      </c>
      <c r="D75" s="14">
        <f>16.9497 * CHOOSE(CONTROL!$C$15, $E$9, 100%, $G$9) + CHOOSE(CONTROL!$C$38, 0.0342, 0)</f>
        <v>16.983899999999998</v>
      </c>
      <c r="E75" s="45">
        <f>17.2753 * CHOOSE(CONTROL!$C$15, $E$9, 100%, $G$9) + CHOOSE(CONTROL!$C$38, 0.0342, 0)</f>
        <v>17.3095</v>
      </c>
      <c r="F75" s="44">
        <f>17.2753 * CHOOSE(CONTROL!$C$15, $E$9, 100%, $G$9) + CHOOSE(CONTROL!$C$38, 0.0251, 0)</f>
        <v>17.3004</v>
      </c>
      <c r="G75" s="14">
        <f>16.956 * CHOOSE(CONTROL!$C$15, $E$9, 100%, $G$9) + CHOOSE(CONTROL!$C$38, 0.0342, 0)</f>
        <v>16.990199999999998</v>
      </c>
      <c r="H75" s="14">
        <f>16.956 * CHOOSE(CONTROL!$C$15, $E$9, 100%, $G$9) + CHOOSE(CONTROL!$C$38, 0.0342, 0)</f>
        <v>16.990199999999998</v>
      </c>
      <c r="I75" s="14">
        <f>16.9575 * CHOOSE(CONTROL!$C$15, $E$9, 100%, $G$9) + CHOOSE(CONTROL!$C$38, 0.0342, 0)</f>
        <v>16.991699999999998</v>
      </c>
      <c r="J75" s="43">
        <f>113.5434</f>
        <v>113.54340000000001</v>
      </c>
    </row>
    <row r="76" spans="1:10" ht="15" x14ac:dyDescent="0.2">
      <c r="A76" s="13">
        <v>43221</v>
      </c>
      <c r="B76" s="14">
        <f>16.8701 * CHOOSE(CONTROL!$C$15, $E$9, 100%, $G$9) + CHOOSE(CONTROL!$C$38, 0.0264, 0)</f>
        <v>16.8965</v>
      </c>
      <c r="C76" s="14">
        <f>16.3954 * CHOOSE(CONTROL!$C$15, $E$9, 100%, $G$9) + CHOOSE(CONTROL!$C$38, 0.0354, 0)</f>
        <v>16.430799999999998</v>
      </c>
      <c r="D76" s="14">
        <f>16.3876 * CHOOSE(CONTROL!$C$15, $E$9, 100%, $G$9) + CHOOSE(CONTROL!$C$38, 0.0354, 0)</f>
        <v>16.422999999999998</v>
      </c>
      <c r="E76" s="45">
        <f>16.7138 * CHOOSE(CONTROL!$C$15, $E$9, 100%, $G$9) + CHOOSE(CONTROL!$C$38, 0.0354, 0)</f>
        <v>16.749199999999998</v>
      </c>
      <c r="F76" s="44">
        <f>16.7138 * CHOOSE(CONTROL!$C$15, $E$9, 100%, $G$9) + CHOOSE(CONTROL!$C$38, 0.0264, 0)</f>
        <v>16.740199999999998</v>
      </c>
      <c r="G76" s="14">
        <f>16.3939 * CHOOSE(CONTROL!$C$15, $E$9, 100%, $G$9) + CHOOSE(CONTROL!$C$38, 0.0354, 0)</f>
        <v>16.429299999999998</v>
      </c>
      <c r="H76" s="14">
        <f>16.3939 * CHOOSE(CONTROL!$C$15, $E$9, 100%, $G$9) + CHOOSE(CONTROL!$C$38, 0.0354, 0)</f>
        <v>16.429299999999998</v>
      </c>
      <c r="I76" s="14">
        <f>16.3954 * CHOOSE(CONTROL!$C$15, $E$9, 100%, $G$9) + CHOOSE(CONTROL!$C$38, 0.0354, 0)</f>
        <v>16.430799999999998</v>
      </c>
      <c r="J76" s="43">
        <f>117.5955</f>
        <v>117.5955</v>
      </c>
    </row>
    <row r="77" spans="1:10" ht="15" x14ac:dyDescent="0.2">
      <c r="A77" s="13">
        <v>43252</v>
      </c>
      <c r="B77" s="14">
        <f>16.4848 * CHOOSE(CONTROL!$C$15, $E$9, 100%, $G$9) + CHOOSE(CONTROL!$C$38, 0.0264, 0)</f>
        <v>16.511199999999999</v>
      </c>
      <c r="C77" s="14">
        <f>16.0095 * CHOOSE(CONTROL!$C$15, $E$9, 100%, $G$9) + CHOOSE(CONTROL!$C$38, 0.0354, 0)</f>
        <v>16.044899999999998</v>
      </c>
      <c r="D77" s="14">
        <f>16.0017 * CHOOSE(CONTROL!$C$15, $E$9, 100%, $G$9) + CHOOSE(CONTROL!$C$38, 0.0354, 0)</f>
        <v>16.037099999999999</v>
      </c>
      <c r="E77" s="45">
        <f>16.3286 * CHOOSE(CONTROL!$C$15, $E$9, 100%, $G$9) + CHOOSE(CONTROL!$C$38, 0.0354, 0)</f>
        <v>16.364000000000001</v>
      </c>
      <c r="F77" s="44">
        <f>16.3286 * CHOOSE(CONTROL!$C$15, $E$9, 100%, $G$9) + CHOOSE(CONTROL!$C$38, 0.0264, 0)</f>
        <v>16.355</v>
      </c>
      <c r="G77" s="14">
        <f>16.008 * CHOOSE(CONTROL!$C$15, $E$9, 100%, $G$9) + CHOOSE(CONTROL!$C$38, 0.0354, 0)</f>
        <v>16.043399999999998</v>
      </c>
      <c r="H77" s="14">
        <f>16.008 * CHOOSE(CONTROL!$C$15, $E$9, 100%, $G$9) + CHOOSE(CONTROL!$C$38, 0.0354, 0)</f>
        <v>16.043399999999998</v>
      </c>
      <c r="I77" s="14">
        <f>16.0095 * CHOOSE(CONTROL!$C$15, $E$9, 100%, $G$9) + CHOOSE(CONTROL!$C$38, 0.0354, 0)</f>
        <v>16.044899999999998</v>
      </c>
      <c r="J77" s="43">
        <f>119.5356</f>
        <v>119.5356</v>
      </c>
    </row>
    <row r="78" spans="1:10" ht="15" x14ac:dyDescent="0.2">
      <c r="A78" s="13">
        <v>43282</v>
      </c>
      <c r="B78" s="14">
        <f>16.278 * CHOOSE(CONTROL!$C$15, $E$9, 100%, $G$9) + CHOOSE(CONTROL!$C$38, 0.0264, 0)</f>
        <v>16.304399999999998</v>
      </c>
      <c r="C78" s="14">
        <f>15.8021 * CHOOSE(CONTROL!$C$15, $E$9, 100%, $G$9) + CHOOSE(CONTROL!$C$38, 0.0354, 0)</f>
        <v>15.837499999999999</v>
      </c>
      <c r="D78" s="14">
        <f>15.7943 * CHOOSE(CONTROL!$C$15, $E$9, 100%, $G$9) + CHOOSE(CONTROL!$C$38, 0.0354, 0)</f>
        <v>15.829699999999999</v>
      </c>
      <c r="E78" s="45">
        <f>16.1218 * CHOOSE(CONTROL!$C$15, $E$9, 100%, $G$9) + CHOOSE(CONTROL!$C$38, 0.0354, 0)</f>
        <v>16.1572</v>
      </c>
      <c r="F78" s="44">
        <f>16.1218 * CHOOSE(CONTROL!$C$15, $E$9, 100%, $G$9) + CHOOSE(CONTROL!$C$38, 0.0264, 0)</f>
        <v>16.148199999999999</v>
      </c>
      <c r="G78" s="14">
        <f>15.8005 * CHOOSE(CONTROL!$C$15, $E$9, 100%, $G$9) + CHOOSE(CONTROL!$C$38, 0.0354, 0)</f>
        <v>15.835899999999999</v>
      </c>
      <c r="H78" s="14">
        <f>15.8005 * CHOOSE(CONTROL!$C$15, $E$9, 100%, $G$9) + CHOOSE(CONTROL!$C$38, 0.0354, 0)</f>
        <v>15.835899999999999</v>
      </c>
      <c r="I78" s="14">
        <f>15.8021 * CHOOSE(CONTROL!$C$15, $E$9, 100%, $G$9) + CHOOSE(CONTROL!$C$38, 0.0354, 0)</f>
        <v>15.837499999999999</v>
      </c>
      <c r="J78" s="43">
        <f>119.2216</f>
        <v>119.2216</v>
      </c>
    </row>
    <row r="79" spans="1:10" ht="15" x14ac:dyDescent="0.2">
      <c r="A79" s="13">
        <v>43313</v>
      </c>
      <c r="B79" s="14">
        <f>16.4287 * CHOOSE(CONTROL!$C$15, $E$9, 100%, $G$9) + CHOOSE(CONTROL!$C$38, 0.0264, 0)</f>
        <v>16.455099999999998</v>
      </c>
      <c r="C79" s="14">
        <f>15.9521 * CHOOSE(CONTROL!$C$15, $E$9, 100%, $G$9) + CHOOSE(CONTROL!$C$38, 0.0354, 0)</f>
        <v>15.987499999999999</v>
      </c>
      <c r="D79" s="14">
        <f>15.9443 * CHOOSE(CONTROL!$C$15, $E$9, 100%, $G$9) + CHOOSE(CONTROL!$C$38, 0.0354, 0)</f>
        <v>15.979699999999999</v>
      </c>
      <c r="E79" s="45">
        <f>16.2725 * CHOOSE(CONTROL!$C$15, $E$9, 100%, $G$9) + CHOOSE(CONTROL!$C$38, 0.0354, 0)</f>
        <v>16.3079</v>
      </c>
      <c r="F79" s="44">
        <f>16.2725 * CHOOSE(CONTROL!$C$15, $E$9, 100%, $G$9) + CHOOSE(CONTROL!$C$38, 0.0264, 0)</f>
        <v>16.2989</v>
      </c>
      <c r="G79" s="14">
        <f>15.9505 * CHOOSE(CONTROL!$C$15, $E$9, 100%, $G$9) + CHOOSE(CONTROL!$C$38, 0.0354, 0)</f>
        <v>15.985899999999999</v>
      </c>
      <c r="H79" s="14">
        <f>15.9505 * CHOOSE(CONTROL!$C$15, $E$9, 100%, $G$9) + CHOOSE(CONTROL!$C$38, 0.0354, 0)</f>
        <v>15.985899999999999</v>
      </c>
      <c r="I79" s="14">
        <f>15.9521 * CHOOSE(CONTROL!$C$15, $E$9, 100%, $G$9) + CHOOSE(CONTROL!$C$38, 0.0354, 0)</f>
        <v>15.987499999999999</v>
      </c>
      <c r="J79" s="43">
        <f>116.6861</f>
        <v>116.6861</v>
      </c>
    </row>
    <row r="80" spans="1:10" ht="15" x14ac:dyDescent="0.2">
      <c r="A80" s="13">
        <v>43344</v>
      </c>
      <c r="B80" s="14">
        <f>16.7836 * CHOOSE(CONTROL!$C$15, $E$9, 100%, $G$9) + CHOOSE(CONTROL!$C$38, 0.0264, 0)</f>
        <v>16.809999999999999</v>
      </c>
      <c r="C80" s="14">
        <f>16.3063 * CHOOSE(CONTROL!$C$15, $E$9, 100%, $G$9) + CHOOSE(CONTROL!$C$38, 0.0354, 0)</f>
        <v>16.341699999999999</v>
      </c>
      <c r="D80" s="14">
        <f>16.2985 * CHOOSE(CONTROL!$C$15, $E$9, 100%, $G$9) + CHOOSE(CONTROL!$C$38, 0.0354, 0)</f>
        <v>16.3339</v>
      </c>
      <c r="E80" s="45">
        <f>16.6274 * CHOOSE(CONTROL!$C$15, $E$9, 100%, $G$9) + CHOOSE(CONTROL!$C$38, 0.0354, 0)</f>
        <v>16.662800000000001</v>
      </c>
      <c r="F80" s="44">
        <f>16.6274 * CHOOSE(CONTROL!$C$15, $E$9, 100%, $G$9) + CHOOSE(CONTROL!$C$38, 0.0264, 0)</f>
        <v>16.6538</v>
      </c>
      <c r="G80" s="14">
        <f>16.3048 * CHOOSE(CONTROL!$C$15, $E$9, 100%, $G$9) + CHOOSE(CONTROL!$C$38, 0.0354, 0)</f>
        <v>16.340199999999999</v>
      </c>
      <c r="H80" s="14">
        <f>16.3048 * CHOOSE(CONTROL!$C$15, $E$9, 100%, $G$9) + CHOOSE(CONTROL!$C$38, 0.0354, 0)</f>
        <v>16.340199999999999</v>
      </c>
      <c r="I80" s="14">
        <f>16.3063 * CHOOSE(CONTROL!$C$15, $E$9, 100%, $G$9) + CHOOSE(CONTROL!$C$38, 0.0354, 0)</f>
        <v>16.341699999999999</v>
      </c>
      <c r="J80" s="43">
        <f>113.04</f>
        <v>113.04</v>
      </c>
    </row>
    <row r="81" spans="1:10" ht="15" x14ac:dyDescent="0.2">
      <c r="A81" s="13">
        <v>43374</v>
      </c>
      <c r="B81" s="14">
        <f>17.0874 * CHOOSE(CONTROL!$C$15, $E$9, 100%, $G$9) + CHOOSE(CONTROL!$C$38, 0.0251, 0)</f>
        <v>17.112499999999997</v>
      </c>
      <c r="C81" s="14">
        <f>16.6095 * CHOOSE(CONTROL!$C$15, $E$9, 100%, $G$9) + CHOOSE(CONTROL!$C$38, 0.0342, 0)</f>
        <v>16.643699999999999</v>
      </c>
      <c r="D81" s="14">
        <f>16.6017 * CHOOSE(CONTROL!$C$15, $E$9, 100%, $G$9) + CHOOSE(CONTROL!$C$38, 0.0342, 0)</f>
        <v>16.635899999999999</v>
      </c>
      <c r="E81" s="45">
        <f>16.9312 * CHOOSE(CONTROL!$C$15, $E$9, 100%, $G$9) + CHOOSE(CONTROL!$C$38, 0.0342, 0)</f>
        <v>16.965399999999999</v>
      </c>
      <c r="F81" s="44">
        <f>16.9312 * CHOOSE(CONTROL!$C$15, $E$9, 100%, $G$9) + CHOOSE(CONTROL!$C$38, 0.0251, 0)</f>
        <v>16.956299999999999</v>
      </c>
      <c r="G81" s="14">
        <f>16.6079 * CHOOSE(CONTROL!$C$15, $E$9, 100%, $G$9) + CHOOSE(CONTROL!$C$38, 0.0342, 0)</f>
        <v>16.642099999999999</v>
      </c>
      <c r="H81" s="14">
        <f>16.6079 * CHOOSE(CONTROL!$C$15, $E$9, 100%, $G$9) + CHOOSE(CONTROL!$C$38, 0.0342, 0)</f>
        <v>16.642099999999999</v>
      </c>
      <c r="I81" s="14">
        <f>16.6095 * CHOOSE(CONTROL!$C$15, $E$9, 100%, $G$9) + CHOOSE(CONTROL!$C$38, 0.0342, 0)</f>
        <v>16.643699999999999</v>
      </c>
      <c r="J81" s="43">
        <f>109.3557</f>
        <v>109.3557</v>
      </c>
    </row>
    <row r="82" spans="1:10" ht="15" x14ac:dyDescent="0.2">
      <c r="A82" s="13">
        <v>43405</v>
      </c>
      <c r="B82" s="14">
        <f>17.3475 * CHOOSE(CONTROL!$C$15, $E$9, 100%, $G$9) + CHOOSE(CONTROL!$C$38, 0.0251, 0)</f>
        <v>17.372599999999998</v>
      </c>
      <c r="C82" s="14">
        <f>16.8689 * CHOOSE(CONTROL!$C$15, $E$9, 100%, $G$9) + CHOOSE(CONTROL!$C$38, 0.0342, 0)</f>
        <v>16.903099999999998</v>
      </c>
      <c r="D82" s="14">
        <f>16.8611 * CHOOSE(CONTROL!$C$15, $E$9, 100%, $G$9) + CHOOSE(CONTROL!$C$38, 0.0342, 0)</f>
        <v>16.895299999999999</v>
      </c>
      <c r="E82" s="45">
        <f>17.1913 * CHOOSE(CONTROL!$C$15, $E$9, 100%, $G$9) + CHOOSE(CONTROL!$C$38, 0.0342, 0)</f>
        <v>17.225499999999997</v>
      </c>
      <c r="F82" s="44">
        <f>17.1913 * CHOOSE(CONTROL!$C$15, $E$9, 100%, $G$9) + CHOOSE(CONTROL!$C$38, 0.0251, 0)</f>
        <v>17.216399999999997</v>
      </c>
      <c r="G82" s="14">
        <f>16.8674 * CHOOSE(CONTROL!$C$15, $E$9, 100%, $G$9) + CHOOSE(CONTROL!$C$38, 0.0342, 0)</f>
        <v>16.901599999999998</v>
      </c>
      <c r="H82" s="14">
        <f>16.8674 * CHOOSE(CONTROL!$C$15, $E$9, 100%, $G$9) + CHOOSE(CONTROL!$C$38, 0.0342, 0)</f>
        <v>16.901599999999998</v>
      </c>
      <c r="I82" s="14">
        <f>16.8689 * CHOOSE(CONTROL!$C$15, $E$9, 100%, $G$9) + CHOOSE(CONTROL!$C$38, 0.0342, 0)</f>
        <v>16.903099999999998</v>
      </c>
      <c r="J82" s="43">
        <f>108.8002</f>
        <v>108.8002</v>
      </c>
    </row>
    <row r="83" spans="1:10" ht="15" x14ac:dyDescent="0.2">
      <c r="A83" s="13">
        <v>43435</v>
      </c>
      <c r="B83" s="14">
        <f>18.0804 * CHOOSE(CONTROL!$C$15, $E$9, 100%, $G$9) + CHOOSE(CONTROL!$C$38, 0.0251, 0)</f>
        <v>18.105499999999999</v>
      </c>
      <c r="C83" s="14">
        <f>17.6011 * CHOOSE(CONTROL!$C$15, $E$9, 100%, $G$9) + CHOOSE(CONTROL!$C$38, 0.0342, 0)</f>
        <v>17.635299999999997</v>
      </c>
      <c r="D83" s="14">
        <f>17.5933 * CHOOSE(CONTROL!$C$15, $E$9, 100%, $G$9) + CHOOSE(CONTROL!$C$38, 0.0342, 0)</f>
        <v>17.627499999999998</v>
      </c>
      <c r="E83" s="45">
        <f>17.9241 * CHOOSE(CONTROL!$C$15, $E$9, 100%, $G$9) + CHOOSE(CONTROL!$C$38, 0.0342, 0)</f>
        <v>17.958299999999998</v>
      </c>
      <c r="F83" s="44">
        <f>17.9241 * CHOOSE(CONTROL!$C$15, $E$9, 100%, $G$9) + CHOOSE(CONTROL!$C$38, 0.0251, 0)</f>
        <v>17.949199999999998</v>
      </c>
      <c r="G83" s="14">
        <f>17.5996 * CHOOSE(CONTROL!$C$15, $E$9, 100%, $G$9) + CHOOSE(CONTROL!$C$38, 0.0342, 0)</f>
        <v>17.633799999999997</v>
      </c>
      <c r="H83" s="14">
        <f>17.5996 * CHOOSE(CONTROL!$C$15, $E$9, 100%, $G$9) + CHOOSE(CONTROL!$C$38, 0.0342, 0)</f>
        <v>17.633799999999997</v>
      </c>
      <c r="I83" s="14">
        <f>17.6011 * CHOOSE(CONTROL!$C$15, $E$9, 100%, $G$9) + CHOOSE(CONTROL!$C$38, 0.0342, 0)</f>
        <v>17.635299999999997</v>
      </c>
      <c r="J83" s="43">
        <f>105.789</f>
        <v>105.789</v>
      </c>
    </row>
    <row r="84" spans="1:10" ht="15" x14ac:dyDescent="0.2">
      <c r="A84" s="13">
        <v>43466</v>
      </c>
      <c r="B84" s="14">
        <f>18.7068 * CHOOSE(CONTROL!$C$15, $E$9, 100%, $G$9) + CHOOSE(CONTROL!$C$38, 0.0251, 0)</f>
        <v>18.7319</v>
      </c>
      <c r="C84" s="14">
        <f>18.2023 * CHOOSE(CONTROL!$C$15, $E$9, 100%, $G$9) + CHOOSE(CONTROL!$C$38, 0.0342, 0)</f>
        <v>18.236499999999999</v>
      </c>
      <c r="D84" s="14">
        <f>18.1945 * CHOOSE(CONTROL!$C$15, $E$9, 100%, $G$9) + CHOOSE(CONTROL!$C$38, 0.0342, 0)</f>
        <v>18.2287</v>
      </c>
      <c r="E84" s="45">
        <f>18.5505 * CHOOSE(CONTROL!$C$15, $E$9, 100%, $G$9) + CHOOSE(CONTROL!$C$38, 0.0342, 0)</f>
        <v>18.584699999999998</v>
      </c>
      <c r="F84" s="44">
        <f>18.5505 * CHOOSE(CONTROL!$C$15, $E$9, 100%, $G$9) + CHOOSE(CONTROL!$C$38, 0.0251, 0)</f>
        <v>18.575599999999998</v>
      </c>
      <c r="G84" s="14">
        <f>18.2008 * CHOOSE(CONTROL!$C$15, $E$9, 100%, $G$9) + CHOOSE(CONTROL!$C$38, 0.0342, 0)</f>
        <v>18.234999999999999</v>
      </c>
      <c r="H84" s="14">
        <f>18.2008 * CHOOSE(CONTROL!$C$15, $E$9, 100%, $G$9) + CHOOSE(CONTROL!$C$38, 0.0342, 0)</f>
        <v>18.234999999999999</v>
      </c>
      <c r="I84" s="14">
        <f>18.2023 * CHOOSE(CONTROL!$C$15, $E$9, 100%, $G$9) + CHOOSE(CONTROL!$C$38, 0.0342, 0)</f>
        <v>18.236499999999999</v>
      </c>
      <c r="J84" s="43">
        <f>103.269</f>
        <v>103.26900000000001</v>
      </c>
    </row>
    <row r="85" spans="1:10" ht="15" x14ac:dyDescent="0.2">
      <c r="A85" s="13">
        <v>43497</v>
      </c>
      <c r="B85" s="14">
        <f>19.0038 * CHOOSE(CONTROL!$C$15, $E$9, 100%, $G$9) + CHOOSE(CONTROL!$C$38, 0.0251, 0)</f>
        <v>19.028899999999997</v>
      </c>
      <c r="C85" s="14">
        <f>18.4986 * CHOOSE(CONTROL!$C$15, $E$9, 100%, $G$9) + CHOOSE(CONTROL!$C$38, 0.0342, 0)</f>
        <v>18.532799999999998</v>
      </c>
      <c r="D85" s="14">
        <f>18.4908 * CHOOSE(CONTROL!$C$15, $E$9, 100%, $G$9) + CHOOSE(CONTROL!$C$38, 0.0342, 0)</f>
        <v>18.524999999999999</v>
      </c>
      <c r="E85" s="45">
        <f>18.8475 * CHOOSE(CONTROL!$C$15, $E$9, 100%, $G$9) + CHOOSE(CONTROL!$C$38, 0.0342, 0)</f>
        <v>18.881699999999999</v>
      </c>
      <c r="F85" s="44">
        <f>18.8475 * CHOOSE(CONTROL!$C$15, $E$9, 100%, $G$9) + CHOOSE(CONTROL!$C$38, 0.0251, 0)</f>
        <v>18.872599999999998</v>
      </c>
      <c r="G85" s="14">
        <f>18.497 * CHOOSE(CONTROL!$C$15, $E$9, 100%, $G$9) + CHOOSE(CONTROL!$C$38, 0.0342, 0)</f>
        <v>18.531199999999998</v>
      </c>
      <c r="H85" s="14">
        <f>18.497 * CHOOSE(CONTROL!$C$15, $E$9, 100%, $G$9) + CHOOSE(CONTROL!$C$38, 0.0342, 0)</f>
        <v>18.531199999999998</v>
      </c>
      <c r="I85" s="14">
        <f>18.4986 * CHOOSE(CONTROL!$C$15, $E$9, 100%, $G$9) + CHOOSE(CONTROL!$C$38, 0.0342, 0)</f>
        <v>18.532799999999998</v>
      </c>
      <c r="J85" s="43">
        <f>103.194</f>
        <v>103.194</v>
      </c>
    </row>
    <row r="86" spans="1:10" ht="15" x14ac:dyDescent="0.2">
      <c r="A86" s="13">
        <v>43525</v>
      </c>
      <c r="B86" s="14">
        <f>18.4392 * CHOOSE(CONTROL!$C$15, $E$9, 100%, $G$9) + CHOOSE(CONTROL!$C$38, 0.0251, 0)</f>
        <v>18.464299999999998</v>
      </c>
      <c r="C86" s="14">
        <f>17.9333 * CHOOSE(CONTROL!$C$15, $E$9, 100%, $G$9) + CHOOSE(CONTROL!$C$38, 0.0342, 0)</f>
        <v>17.967499999999998</v>
      </c>
      <c r="D86" s="14">
        <f>17.9255 * CHOOSE(CONTROL!$C$15, $E$9, 100%, $G$9) + CHOOSE(CONTROL!$C$38, 0.0342, 0)</f>
        <v>17.959699999999998</v>
      </c>
      <c r="E86" s="45">
        <f>18.2829 * CHOOSE(CONTROL!$C$15, $E$9, 100%, $G$9) + CHOOSE(CONTROL!$C$38, 0.0342, 0)</f>
        <v>18.3171</v>
      </c>
      <c r="F86" s="44">
        <f>18.2829 * CHOOSE(CONTROL!$C$15, $E$9, 100%, $G$9) + CHOOSE(CONTROL!$C$38, 0.0251, 0)</f>
        <v>18.308</v>
      </c>
      <c r="G86" s="14">
        <f>17.9317 * CHOOSE(CONTROL!$C$15, $E$9, 100%, $G$9) + CHOOSE(CONTROL!$C$38, 0.0342, 0)</f>
        <v>17.965899999999998</v>
      </c>
      <c r="H86" s="14">
        <f>17.9317 * CHOOSE(CONTROL!$C$15, $E$9, 100%, $G$9) + CHOOSE(CONTROL!$C$38, 0.0342, 0)</f>
        <v>17.965899999999998</v>
      </c>
      <c r="I86" s="14">
        <f>17.9333 * CHOOSE(CONTROL!$C$15, $E$9, 100%, $G$9) + CHOOSE(CONTROL!$C$38, 0.0342, 0)</f>
        <v>17.967499999999998</v>
      </c>
      <c r="J86" s="43">
        <f>108.8567</f>
        <v>108.8567</v>
      </c>
    </row>
    <row r="87" spans="1:10" ht="15" x14ac:dyDescent="0.2">
      <c r="A87" s="13">
        <v>43556</v>
      </c>
      <c r="B87" s="14">
        <f>17.8909 * CHOOSE(CONTROL!$C$15, $E$9, 100%, $G$9) + CHOOSE(CONTROL!$C$38, 0.0251, 0)</f>
        <v>17.915999999999997</v>
      </c>
      <c r="C87" s="14">
        <f>17.3843 * CHOOSE(CONTROL!$C$15, $E$9, 100%, $G$9) + CHOOSE(CONTROL!$C$38, 0.0342, 0)</f>
        <v>17.418499999999998</v>
      </c>
      <c r="D87" s="14">
        <f>17.3765 * CHOOSE(CONTROL!$C$15, $E$9, 100%, $G$9) + CHOOSE(CONTROL!$C$38, 0.0342, 0)</f>
        <v>17.410699999999999</v>
      </c>
      <c r="E87" s="45">
        <f>17.7346 * CHOOSE(CONTROL!$C$15, $E$9, 100%, $G$9) + CHOOSE(CONTROL!$C$38, 0.0342, 0)</f>
        <v>17.768799999999999</v>
      </c>
      <c r="F87" s="44">
        <f>17.7346 * CHOOSE(CONTROL!$C$15, $E$9, 100%, $G$9) + CHOOSE(CONTROL!$C$38, 0.0251, 0)</f>
        <v>17.759699999999999</v>
      </c>
      <c r="G87" s="14">
        <f>17.3827 * CHOOSE(CONTROL!$C$15, $E$9, 100%, $G$9) + CHOOSE(CONTROL!$C$38, 0.0342, 0)</f>
        <v>17.416899999999998</v>
      </c>
      <c r="H87" s="14">
        <f>17.3827 * CHOOSE(CONTROL!$C$15, $E$9, 100%, $G$9) + CHOOSE(CONTROL!$C$38, 0.0342, 0)</f>
        <v>17.416899999999998</v>
      </c>
      <c r="I87" s="14">
        <f>17.3843 * CHOOSE(CONTROL!$C$15, $E$9, 100%, $G$9) + CHOOSE(CONTROL!$C$38, 0.0342, 0)</f>
        <v>17.418499999999998</v>
      </c>
      <c r="J87" s="43">
        <f>116.163</f>
        <v>116.163</v>
      </c>
    </row>
    <row r="88" spans="1:10" ht="15" x14ac:dyDescent="0.2">
      <c r="A88" s="13">
        <v>43586</v>
      </c>
      <c r="B88" s="14">
        <f>17.3155 * CHOOSE(CONTROL!$C$15, $E$9, 100%, $G$9) + CHOOSE(CONTROL!$C$38, 0.0264, 0)</f>
        <v>17.341899999999999</v>
      </c>
      <c r="C88" s="14">
        <f>16.8082 * CHOOSE(CONTROL!$C$15, $E$9, 100%, $G$9) + CHOOSE(CONTROL!$C$38, 0.0354, 0)</f>
        <v>16.843599999999999</v>
      </c>
      <c r="D88" s="14">
        <f>16.8004 * CHOOSE(CONTROL!$C$15, $E$9, 100%, $G$9) + CHOOSE(CONTROL!$C$38, 0.0354, 0)</f>
        <v>16.835799999999999</v>
      </c>
      <c r="E88" s="45">
        <f>17.1592 * CHOOSE(CONTROL!$C$15, $E$9, 100%, $G$9) + CHOOSE(CONTROL!$C$38, 0.0354, 0)</f>
        <v>17.194599999999998</v>
      </c>
      <c r="F88" s="44">
        <f>17.1592 * CHOOSE(CONTROL!$C$15, $E$9, 100%, $G$9) + CHOOSE(CONTROL!$C$38, 0.0264, 0)</f>
        <v>17.185599999999997</v>
      </c>
      <c r="G88" s="14">
        <f>16.8066 * CHOOSE(CONTROL!$C$15, $E$9, 100%, $G$9) + CHOOSE(CONTROL!$C$38, 0.0354, 0)</f>
        <v>16.841999999999999</v>
      </c>
      <c r="H88" s="14">
        <f>16.8066 * CHOOSE(CONTROL!$C$15, $E$9, 100%, $G$9) + CHOOSE(CONTROL!$C$38, 0.0354, 0)</f>
        <v>16.841999999999999</v>
      </c>
      <c r="I88" s="14">
        <f>16.8082 * CHOOSE(CONTROL!$C$15, $E$9, 100%, $G$9) + CHOOSE(CONTROL!$C$38, 0.0354, 0)</f>
        <v>16.843599999999999</v>
      </c>
      <c r="J88" s="43">
        <f>120.3085</f>
        <v>120.3085</v>
      </c>
    </row>
    <row r="89" spans="1:10" ht="15" x14ac:dyDescent="0.2">
      <c r="A89" s="13">
        <v>43617</v>
      </c>
      <c r="B89" s="14">
        <f>16.9207 * CHOOSE(CONTROL!$C$15, $E$9, 100%, $G$9) + CHOOSE(CONTROL!$C$38, 0.0264, 0)</f>
        <v>16.947099999999999</v>
      </c>
      <c r="C89" s="14">
        <f>16.4126 * CHOOSE(CONTROL!$C$15, $E$9, 100%, $G$9) + CHOOSE(CONTROL!$C$38, 0.0354, 0)</f>
        <v>16.448</v>
      </c>
      <c r="D89" s="14">
        <f>16.4048 * CHOOSE(CONTROL!$C$15, $E$9, 100%, $G$9) + CHOOSE(CONTROL!$C$38, 0.0354, 0)</f>
        <v>16.440200000000001</v>
      </c>
      <c r="E89" s="45">
        <f>16.7644 * CHOOSE(CONTROL!$C$15, $E$9, 100%, $G$9) + CHOOSE(CONTROL!$C$38, 0.0354, 0)</f>
        <v>16.799799999999998</v>
      </c>
      <c r="F89" s="44">
        <f>16.7644 * CHOOSE(CONTROL!$C$15, $E$9, 100%, $G$9) + CHOOSE(CONTROL!$C$38, 0.0264, 0)</f>
        <v>16.790799999999997</v>
      </c>
      <c r="G89" s="14">
        <f>16.4111 * CHOOSE(CONTROL!$C$15, $E$9, 100%, $G$9) + CHOOSE(CONTROL!$C$38, 0.0354, 0)</f>
        <v>16.4465</v>
      </c>
      <c r="H89" s="14">
        <f>16.4111 * CHOOSE(CONTROL!$C$15, $E$9, 100%, $G$9) + CHOOSE(CONTROL!$C$38, 0.0354, 0)</f>
        <v>16.4465</v>
      </c>
      <c r="I89" s="14">
        <f>16.4126 * CHOOSE(CONTROL!$C$15, $E$9, 100%, $G$9) + CHOOSE(CONTROL!$C$38, 0.0354, 0)</f>
        <v>16.448</v>
      </c>
      <c r="J89" s="43">
        <f>122.2934</f>
        <v>122.29340000000001</v>
      </c>
    </row>
    <row r="90" spans="1:10" ht="15" x14ac:dyDescent="0.2">
      <c r="A90" s="13">
        <v>43647</v>
      </c>
      <c r="B90" s="14">
        <f>16.7088 * CHOOSE(CONTROL!$C$15, $E$9, 100%, $G$9) + CHOOSE(CONTROL!$C$38, 0.0264, 0)</f>
        <v>16.735199999999999</v>
      </c>
      <c r="C90" s="14">
        <f>16.2 * CHOOSE(CONTROL!$C$15, $E$9, 100%, $G$9) + CHOOSE(CONTROL!$C$38, 0.0354, 0)</f>
        <v>16.235399999999998</v>
      </c>
      <c r="D90" s="14">
        <f>16.1922 * CHOOSE(CONTROL!$C$15, $E$9, 100%, $G$9) + CHOOSE(CONTROL!$C$38, 0.0354, 0)</f>
        <v>16.227599999999999</v>
      </c>
      <c r="E90" s="45">
        <f>16.5525 * CHOOSE(CONTROL!$C$15, $E$9, 100%, $G$9) + CHOOSE(CONTROL!$C$38, 0.0354, 0)</f>
        <v>16.587899999999998</v>
      </c>
      <c r="F90" s="44">
        <f>16.5525 * CHOOSE(CONTROL!$C$15, $E$9, 100%, $G$9) + CHOOSE(CONTROL!$C$38, 0.0264, 0)</f>
        <v>16.578899999999997</v>
      </c>
      <c r="G90" s="14">
        <f>16.1985 * CHOOSE(CONTROL!$C$15, $E$9, 100%, $G$9) + CHOOSE(CONTROL!$C$38, 0.0354, 0)</f>
        <v>16.233899999999998</v>
      </c>
      <c r="H90" s="14">
        <f>16.1985 * CHOOSE(CONTROL!$C$15, $E$9, 100%, $G$9) + CHOOSE(CONTROL!$C$38, 0.0354, 0)</f>
        <v>16.233899999999998</v>
      </c>
      <c r="I90" s="14">
        <f>16.2 * CHOOSE(CONTROL!$C$15, $E$9, 100%, $G$9) + CHOOSE(CONTROL!$C$38, 0.0354, 0)</f>
        <v>16.235399999999998</v>
      </c>
      <c r="J90" s="43">
        <f>121.9722</f>
        <v>121.9722</v>
      </c>
    </row>
    <row r="91" spans="1:10" ht="15" x14ac:dyDescent="0.2">
      <c r="A91" s="13">
        <v>43678</v>
      </c>
      <c r="B91" s="14">
        <f>16.8633 * CHOOSE(CONTROL!$C$15, $E$9, 100%, $G$9) + CHOOSE(CONTROL!$C$38, 0.0264, 0)</f>
        <v>16.889699999999998</v>
      </c>
      <c r="C91" s="14">
        <f>16.3538 * CHOOSE(CONTROL!$C$15, $E$9, 100%, $G$9) + CHOOSE(CONTROL!$C$38, 0.0354, 0)</f>
        <v>16.389199999999999</v>
      </c>
      <c r="D91" s="14">
        <f>16.346 * CHOOSE(CONTROL!$C$15, $E$9, 100%, $G$9) + CHOOSE(CONTROL!$C$38, 0.0354, 0)</f>
        <v>16.381399999999999</v>
      </c>
      <c r="E91" s="45">
        <f>16.7071 * CHOOSE(CONTROL!$C$15, $E$9, 100%, $G$9) + CHOOSE(CONTROL!$C$38, 0.0354, 0)</f>
        <v>16.7425</v>
      </c>
      <c r="F91" s="44">
        <f>16.7071 * CHOOSE(CONTROL!$C$15, $E$9, 100%, $G$9) + CHOOSE(CONTROL!$C$38, 0.0264, 0)</f>
        <v>16.733499999999999</v>
      </c>
      <c r="G91" s="14">
        <f>16.3523 * CHOOSE(CONTROL!$C$15, $E$9, 100%, $G$9) + CHOOSE(CONTROL!$C$38, 0.0354, 0)</f>
        <v>16.387699999999999</v>
      </c>
      <c r="H91" s="14">
        <f>16.3523 * CHOOSE(CONTROL!$C$15, $E$9, 100%, $G$9) + CHOOSE(CONTROL!$C$38, 0.0354, 0)</f>
        <v>16.387699999999999</v>
      </c>
      <c r="I91" s="14">
        <f>16.3538 * CHOOSE(CONTROL!$C$15, $E$9, 100%, $G$9) + CHOOSE(CONTROL!$C$38, 0.0354, 0)</f>
        <v>16.389199999999999</v>
      </c>
      <c r="J91" s="43">
        <f>119.3781</f>
        <v>119.3781</v>
      </c>
    </row>
    <row r="92" spans="1:10" ht="15" x14ac:dyDescent="0.2">
      <c r="A92" s="13">
        <v>43709</v>
      </c>
      <c r="B92" s="14">
        <f>17.2272 * CHOOSE(CONTROL!$C$15, $E$9, 100%, $G$9) + CHOOSE(CONTROL!$C$38, 0.0264, 0)</f>
        <v>17.253599999999999</v>
      </c>
      <c r="C92" s="14">
        <f>16.7169 * CHOOSE(CONTROL!$C$15, $E$9, 100%, $G$9) + CHOOSE(CONTROL!$C$38, 0.0354, 0)</f>
        <v>16.752299999999998</v>
      </c>
      <c r="D92" s="14">
        <f>16.7091 * CHOOSE(CONTROL!$C$15, $E$9, 100%, $G$9) + CHOOSE(CONTROL!$C$38, 0.0354, 0)</f>
        <v>16.744499999999999</v>
      </c>
      <c r="E92" s="45">
        <f>17.0709 * CHOOSE(CONTROL!$C$15, $E$9, 100%, $G$9) + CHOOSE(CONTROL!$C$38, 0.0354, 0)</f>
        <v>17.106300000000001</v>
      </c>
      <c r="F92" s="44">
        <f>17.0709 * CHOOSE(CONTROL!$C$15, $E$9, 100%, $G$9) + CHOOSE(CONTROL!$C$38, 0.0264, 0)</f>
        <v>17.097300000000001</v>
      </c>
      <c r="G92" s="14">
        <f>16.7154 * CHOOSE(CONTROL!$C$15, $E$9, 100%, $G$9) + CHOOSE(CONTROL!$C$38, 0.0354, 0)</f>
        <v>16.750799999999998</v>
      </c>
      <c r="H92" s="14">
        <f>16.7154 * CHOOSE(CONTROL!$C$15, $E$9, 100%, $G$9) + CHOOSE(CONTROL!$C$38, 0.0354, 0)</f>
        <v>16.750799999999998</v>
      </c>
      <c r="I92" s="14">
        <f>16.7169 * CHOOSE(CONTROL!$C$15, $E$9, 100%, $G$9) + CHOOSE(CONTROL!$C$38, 0.0354, 0)</f>
        <v>16.752299999999998</v>
      </c>
      <c r="J92" s="43">
        <f>115.648</f>
        <v>115.648</v>
      </c>
    </row>
    <row r="93" spans="1:10" ht="15" x14ac:dyDescent="0.2">
      <c r="A93" s="13">
        <v>43739</v>
      </c>
      <c r="B93" s="14">
        <f>17.5387 * CHOOSE(CONTROL!$C$15, $E$9, 100%, $G$9) + CHOOSE(CONTROL!$C$38, 0.0251, 0)</f>
        <v>17.563799999999997</v>
      </c>
      <c r="C93" s="14">
        <f>17.0277 * CHOOSE(CONTROL!$C$15, $E$9, 100%, $G$9) + CHOOSE(CONTROL!$C$38, 0.0342, 0)</f>
        <v>17.061899999999998</v>
      </c>
      <c r="D93" s="14">
        <f>17.0199 * CHOOSE(CONTROL!$C$15, $E$9, 100%, $G$9) + CHOOSE(CONTROL!$C$38, 0.0342, 0)</f>
        <v>17.054099999999998</v>
      </c>
      <c r="E93" s="45">
        <f>17.3824 * CHOOSE(CONTROL!$C$15, $E$9, 100%, $G$9) + CHOOSE(CONTROL!$C$38, 0.0342, 0)</f>
        <v>17.416599999999999</v>
      </c>
      <c r="F93" s="44">
        <f>17.3824 * CHOOSE(CONTROL!$C$15, $E$9, 100%, $G$9) + CHOOSE(CONTROL!$C$38, 0.0251, 0)</f>
        <v>17.407499999999999</v>
      </c>
      <c r="G93" s="14">
        <f>17.0261 * CHOOSE(CONTROL!$C$15, $E$9, 100%, $G$9) + CHOOSE(CONTROL!$C$38, 0.0342, 0)</f>
        <v>17.060299999999998</v>
      </c>
      <c r="H93" s="14">
        <f>17.0261 * CHOOSE(CONTROL!$C$15, $E$9, 100%, $G$9) + CHOOSE(CONTROL!$C$38, 0.0342, 0)</f>
        <v>17.060299999999998</v>
      </c>
      <c r="I93" s="14">
        <f>17.0277 * CHOOSE(CONTROL!$C$15, $E$9, 100%, $G$9) + CHOOSE(CONTROL!$C$38, 0.0342, 0)</f>
        <v>17.061899999999998</v>
      </c>
      <c r="J93" s="43">
        <f>111.8787</f>
        <v>111.87869999999999</v>
      </c>
    </row>
    <row r="94" spans="1:10" ht="15" x14ac:dyDescent="0.2">
      <c r="A94" s="13">
        <v>43770</v>
      </c>
      <c r="B94" s="14">
        <f>17.8054 * CHOOSE(CONTROL!$C$15, $E$9, 100%, $G$9) + CHOOSE(CONTROL!$C$38, 0.0251, 0)</f>
        <v>17.830499999999997</v>
      </c>
      <c r="C94" s="14">
        <f>17.2937 * CHOOSE(CONTROL!$C$15, $E$9, 100%, $G$9) + CHOOSE(CONTROL!$C$38, 0.0342, 0)</f>
        <v>17.3279</v>
      </c>
      <c r="D94" s="14">
        <f>17.2859 * CHOOSE(CONTROL!$C$15, $E$9, 100%, $G$9) + CHOOSE(CONTROL!$C$38, 0.0342, 0)</f>
        <v>17.3201</v>
      </c>
      <c r="E94" s="45">
        <f>17.6491 * CHOOSE(CONTROL!$C$15, $E$9, 100%, $G$9) + CHOOSE(CONTROL!$C$38, 0.0342, 0)</f>
        <v>17.683299999999999</v>
      </c>
      <c r="F94" s="44">
        <f>17.6491 * CHOOSE(CONTROL!$C$15, $E$9, 100%, $G$9) + CHOOSE(CONTROL!$C$38, 0.0251, 0)</f>
        <v>17.674199999999999</v>
      </c>
      <c r="G94" s="14">
        <f>17.2921 * CHOOSE(CONTROL!$C$15, $E$9, 100%, $G$9) + CHOOSE(CONTROL!$C$38, 0.0342, 0)</f>
        <v>17.3263</v>
      </c>
      <c r="H94" s="14">
        <f>17.2921 * CHOOSE(CONTROL!$C$15, $E$9, 100%, $G$9) + CHOOSE(CONTROL!$C$38, 0.0342, 0)</f>
        <v>17.3263</v>
      </c>
      <c r="I94" s="14">
        <f>17.2937 * CHOOSE(CONTROL!$C$15, $E$9, 100%, $G$9) + CHOOSE(CONTROL!$C$38, 0.0342, 0)</f>
        <v>17.3279</v>
      </c>
      <c r="J94" s="43">
        <f>111.3104</f>
        <v>111.3104</v>
      </c>
    </row>
    <row r="95" spans="1:10" ht="15" x14ac:dyDescent="0.2">
      <c r="A95" s="13">
        <v>43800</v>
      </c>
      <c r="B95" s="14">
        <f>18.5566 * CHOOSE(CONTROL!$C$15, $E$9, 100%, $G$9) + CHOOSE(CONTROL!$C$38, 0.0251, 0)</f>
        <v>18.581699999999998</v>
      </c>
      <c r="C95" s="14">
        <f>18.0442 * CHOOSE(CONTROL!$C$15, $E$9, 100%, $G$9) + CHOOSE(CONTROL!$C$38, 0.0342, 0)</f>
        <v>18.078399999999998</v>
      </c>
      <c r="D95" s="14">
        <f>18.0364 * CHOOSE(CONTROL!$C$15, $E$9, 100%, $G$9) + CHOOSE(CONTROL!$C$38, 0.0342, 0)</f>
        <v>18.070599999999999</v>
      </c>
      <c r="E95" s="45">
        <f>18.4004 * CHOOSE(CONTROL!$C$15, $E$9, 100%, $G$9) + CHOOSE(CONTROL!$C$38, 0.0342, 0)</f>
        <v>18.4346</v>
      </c>
      <c r="F95" s="44">
        <f>18.4004 * CHOOSE(CONTROL!$C$15, $E$9, 100%, $G$9) + CHOOSE(CONTROL!$C$38, 0.0251, 0)</f>
        <v>18.4255</v>
      </c>
      <c r="G95" s="14">
        <f>18.0426 * CHOOSE(CONTROL!$C$15, $E$9, 100%, $G$9) + CHOOSE(CONTROL!$C$38, 0.0342, 0)</f>
        <v>18.076799999999999</v>
      </c>
      <c r="H95" s="14">
        <f>18.0426 * CHOOSE(CONTROL!$C$15, $E$9, 100%, $G$9) + CHOOSE(CONTROL!$C$38, 0.0342, 0)</f>
        <v>18.076799999999999</v>
      </c>
      <c r="I95" s="14">
        <f>18.0442 * CHOOSE(CONTROL!$C$15, $E$9, 100%, $G$9) + CHOOSE(CONTROL!$C$38, 0.0342, 0)</f>
        <v>18.078399999999998</v>
      </c>
      <c r="J95" s="43">
        <f>108.2297</f>
        <v>108.22969999999999</v>
      </c>
    </row>
    <row r="96" spans="1:10" ht="15" x14ac:dyDescent="0.2">
      <c r="A96" s="13">
        <v>43831</v>
      </c>
      <c r="B96" s="14">
        <f>19.3044 * CHOOSE(CONTROL!$C$15, $E$9, 100%, $G$9) + CHOOSE(CONTROL!$C$38, 0.0251, 0)</f>
        <v>19.329499999999999</v>
      </c>
      <c r="C96" s="14">
        <f>18.6484 * CHOOSE(CONTROL!$C$15, $E$9, 100%, $G$9) + CHOOSE(CONTROL!$C$38, 0.0342, 0)</f>
        <v>18.682599999999997</v>
      </c>
      <c r="D96" s="14">
        <f>18.6405 * CHOOSE(CONTROL!$C$15, $E$9, 100%, $G$9) + CHOOSE(CONTROL!$C$38, 0.0342, 0)</f>
        <v>18.674699999999998</v>
      </c>
      <c r="E96" s="45">
        <f>19.1481 * CHOOSE(CONTROL!$C$15, $E$9, 100%, $G$9) + CHOOSE(CONTROL!$C$38, 0.0342, 0)</f>
        <v>19.182299999999998</v>
      </c>
      <c r="F96" s="44">
        <f>19.1481 * CHOOSE(CONTROL!$C$15, $E$9, 100%, $G$9) + CHOOSE(CONTROL!$C$38, 0.0251, 0)</f>
        <v>19.173199999999998</v>
      </c>
      <c r="G96" s="14">
        <f>18.6468 * CHOOSE(CONTROL!$C$15, $E$9, 100%, $G$9) + CHOOSE(CONTROL!$C$38, 0.0342, 0)</f>
        <v>18.680999999999997</v>
      </c>
      <c r="H96" s="14">
        <f>18.6468 * CHOOSE(CONTROL!$C$15, $E$9, 100%, $G$9) + CHOOSE(CONTROL!$C$38, 0.0342, 0)</f>
        <v>18.680999999999997</v>
      </c>
      <c r="I96" s="14">
        <f>18.6484 * CHOOSE(CONTROL!$C$15, $E$9, 100%, $G$9) + CHOOSE(CONTROL!$C$38, 0.0342, 0)</f>
        <v>18.682599999999997</v>
      </c>
      <c r="J96" s="43">
        <f>105.5959</f>
        <v>105.5959</v>
      </c>
    </row>
    <row r="97" spans="1:10" ht="15" x14ac:dyDescent="0.2">
      <c r="A97" s="13">
        <v>43862</v>
      </c>
      <c r="B97" s="14">
        <f>19.6091 * CHOOSE(CONTROL!$C$15, $E$9, 100%, $G$9) + CHOOSE(CONTROL!$C$38, 0.0251, 0)</f>
        <v>19.6342</v>
      </c>
      <c r="C97" s="14">
        <f>18.952 * CHOOSE(CONTROL!$C$15, $E$9, 100%, $G$9) + CHOOSE(CONTROL!$C$38, 0.0342, 0)</f>
        <v>18.9862</v>
      </c>
      <c r="D97" s="14">
        <f>18.9442 * CHOOSE(CONTROL!$C$15, $E$9, 100%, $G$9) + CHOOSE(CONTROL!$C$38, 0.0342, 0)</f>
        <v>18.978399999999997</v>
      </c>
      <c r="E97" s="45">
        <f>19.4529 * CHOOSE(CONTROL!$C$15, $E$9, 100%, $G$9) + CHOOSE(CONTROL!$C$38, 0.0342, 0)</f>
        <v>19.487099999999998</v>
      </c>
      <c r="F97" s="44">
        <f>19.4529 * CHOOSE(CONTROL!$C$15, $E$9, 100%, $G$9) + CHOOSE(CONTROL!$C$38, 0.0251, 0)</f>
        <v>19.477999999999998</v>
      </c>
      <c r="G97" s="14">
        <f>18.9505 * CHOOSE(CONTROL!$C$15, $E$9, 100%, $G$9) + CHOOSE(CONTROL!$C$38, 0.0342, 0)</f>
        <v>18.9847</v>
      </c>
      <c r="H97" s="14">
        <f>18.9505 * CHOOSE(CONTROL!$C$15, $E$9, 100%, $G$9) + CHOOSE(CONTROL!$C$38, 0.0342, 0)</f>
        <v>18.9847</v>
      </c>
      <c r="I97" s="14">
        <f>18.952 * CHOOSE(CONTROL!$C$15, $E$9, 100%, $G$9) + CHOOSE(CONTROL!$C$38, 0.0342, 0)</f>
        <v>18.9862</v>
      </c>
      <c r="J97" s="43">
        <f>105.5193</f>
        <v>105.5193</v>
      </c>
    </row>
    <row r="98" spans="1:10" ht="15" x14ac:dyDescent="0.2">
      <c r="A98" s="13">
        <v>43891</v>
      </c>
      <c r="B98" s="14">
        <f>19.0307 * CHOOSE(CONTROL!$C$15, $E$9, 100%, $G$9) + CHOOSE(CONTROL!$C$38, 0.0251, 0)</f>
        <v>19.055799999999998</v>
      </c>
      <c r="C98" s="14">
        <f>18.3726 * CHOOSE(CONTROL!$C$15, $E$9, 100%, $G$9) + CHOOSE(CONTROL!$C$38, 0.0342, 0)</f>
        <v>18.406799999999997</v>
      </c>
      <c r="D98" s="14">
        <f>18.3648 * CHOOSE(CONTROL!$C$15, $E$9, 100%, $G$9) + CHOOSE(CONTROL!$C$38, 0.0342, 0)</f>
        <v>18.398999999999997</v>
      </c>
      <c r="E98" s="45">
        <f>18.8744 * CHOOSE(CONTROL!$C$15, $E$9, 100%, $G$9) + CHOOSE(CONTROL!$C$38, 0.0342, 0)</f>
        <v>18.9086</v>
      </c>
      <c r="F98" s="44">
        <f>18.8744 * CHOOSE(CONTROL!$C$15, $E$9, 100%, $G$9) + CHOOSE(CONTROL!$C$38, 0.0251, 0)</f>
        <v>18.8995</v>
      </c>
      <c r="G98" s="14">
        <f>18.371 * CHOOSE(CONTROL!$C$15, $E$9, 100%, $G$9) + CHOOSE(CONTROL!$C$38, 0.0342, 0)</f>
        <v>18.405199999999997</v>
      </c>
      <c r="H98" s="14">
        <f>18.371 * CHOOSE(CONTROL!$C$15, $E$9, 100%, $G$9) + CHOOSE(CONTROL!$C$38, 0.0342, 0)</f>
        <v>18.405199999999997</v>
      </c>
      <c r="I98" s="14">
        <f>18.3726 * CHOOSE(CONTROL!$C$15, $E$9, 100%, $G$9) + CHOOSE(CONTROL!$C$38, 0.0342, 0)</f>
        <v>18.406799999999997</v>
      </c>
      <c r="J98" s="43">
        <f>111.3096</f>
        <v>111.3096</v>
      </c>
    </row>
    <row r="99" spans="1:10" ht="15" x14ac:dyDescent="0.2">
      <c r="A99" s="13">
        <v>43922</v>
      </c>
      <c r="B99" s="14">
        <f>18.469 * CHOOSE(CONTROL!$C$15, $E$9, 100%, $G$9) + CHOOSE(CONTROL!$C$38, 0.0251, 0)</f>
        <v>18.4941</v>
      </c>
      <c r="C99" s="14">
        <f>17.8099 * CHOOSE(CONTROL!$C$15, $E$9, 100%, $G$9) + CHOOSE(CONTROL!$C$38, 0.0342, 0)</f>
        <v>17.844099999999997</v>
      </c>
      <c r="D99" s="14">
        <f>17.8021 * CHOOSE(CONTROL!$C$15, $E$9, 100%, $G$9) + CHOOSE(CONTROL!$C$38, 0.0342, 0)</f>
        <v>17.836299999999998</v>
      </c>
      <c r="E99" s="45">
        <f>18.3128 * CHOOSE(CONTROL!$C$15, $E$9, 100%, $G$9) + CHOOSE(CONTROL!$C$38, 0.0342, 0)</f>
        <v>18.346999999999998</v>
      </c>
      <c r="F99" s="44">
        <f>18.3128 * CHOOSE(CONTROL!$C$15, $E$9, 100%, $G$9) + CHOOSE(CONTROL!$C$38, 0.0251, 0)</f>
        <v>18.337899999999998</v>
      </c>
      <c r="G99" s="14">
        <f>17.8083 * CHOOSE(CONTROL!$C$15, $E$9, 100%, $G$9) + CHOOSE(CONTROL!$C$38, 0.0342, 0)</f>
        <v>17.842499999999998</v>
      </c>
      <c r="H99" s="14">
        <f>17.8083 * CHOOSE(CONTROL!$C$15, $E$9, 100%, $G$9) + CHOOSE(CONTROL!$C$38, 0.0342, 0)</f>
        <v>17.842499999999998</v>
      </c>
      <c r="I99" s="14">
        <f>17.8099 * CHOOSE(CONTROL!$C$15, $E$9, 100%, $G$9) + CHOOSE(CONTROL!$C$38, 0.0342, 0)</f>
        <v>17.844099999999997</v>
      </c>
      <c r="J99" s="43">
        <f>118.7805</f>
        <v>118.7805</v>
      </c>
    </row>
    <row r="100" spans="1:10" ht="15" x14ac:dyDescent="0.2">
      <c r="A100" s="13">
        <v>43952</v>
      </c>
      <c r="B100" s="14">
        <f>17.8795 * CHOOSE(CONTROL!$C$15, $E$9, 100%, $G$9) + CHOOSE(CONTROL!$C$38, 0.0264, 0)</f>
        <v>17.905899999999999</v>
      </c>
      <c r="C100" s="14">
        <f>17.2194 * CHOOSE(CONTROL!$C$15, $E$9, 100%, $G$9) + CHOOSE(CONTROL!$C$38, 0.0354, 0)</f>
        <v>17.254799999999999</v>
      </c>
      <c r="D100" s="14">
        <f>17.2115 * CHOOSE(CONTROL!$C$15, $E$9, 100%, $G$9) + CHOOSE(CONTROL!$C$38, 0.0354, 0)</f>
        <v>17.2469</v>
      </c>
      <c r="E100" s="45">
        <f>17.7233 * CHOOSE(CONTROL!$C$15, $E$9, 100%, $G$9) + CHOOSE(CONTROL!$C$38, 0.0354, 0)</f>
        <v>17.758699999999997</v>
      </c>
      <c r="F100" s="44">
        <f>17.7233 * CHOOSE(CONTROL!$C$15, $E$9, 100%, $G$9) + CHOOSE(CONTROL!$C$38, 0.0264, 0)</f>
        <v>17.749699999999997</v>
      </c>
      <c r="G100" s="14">
        <f>17.2178 * CHOOSE(CONTROL!$C$15, $E$9, 100%, $G$9) + CHOOSE(CONTROL!$C$38, 0.0354, 0)</f>
        <v>17.2532</v>
      </c>
      <c r="H100" s="14">
        <f>17.2178 * CHOOSE(CONTROL!$C$15, $E$9, 100%, $G$9) + CHOOSE(CONTROL!$C$38, 0.0354, 0)</f>
        <v>17.2532</v>
      </c>
      <c r="I100" s="14">
        <f>17.2194 * CHOOSE(CONTROL!$C$15, $E$9, 100%, $G$9) + CHOOSE(CONTROL!$C$38, 0.0354, 0)</f>
        <v>17.254799999999999</v>
      </c>
      <c r="J100" s="43">
        <f>123.0194</f>
        <v>123.0194</v>
      </c>
    </row>
    <row r="101" spans="1:10" ht="15" x14ac:dyDescent="0.2">
      <c r="A101" s="13">
        <v>43983</v>
      </c>
      <c r="B101" s="14">
        <f>17.4751 * CHOOSE(CONTROL!$C$15, $E$9, 100%, $G$9) + CHOOSE(CONTROL!$C$38, 0.0264, 0)</f>
        <v>17.5015</v>
      </c>
      <c r="C101" s="14">
        <f>16.8139 * CHOOSE(CONTROL!$C$15, $E$9, 100%, $G$9) + CHOOSE(CONTROL!$C$38, 0.0354, 0)</f>
        <v>16.849299999999999</v>
      </c>
      <c r="D101" s="14">
        <f>16.8061 * CHOOSE(CONTROL!$C$15, $E$9, 100%, $G$9) + CHOOSE(CONTROL!$C$38, 0.0354, 0)</f>
        <v>16.8415</v>
      </c>
      <c r="E101" s="45">
        <f>17.3189 * CHOOSE(CONTROL!$C$15, $E$9, 100%, $G$9) + CHOOSE(CONTROL!$C$38, 0.0354, 0)</f>
        <v>17.354299999999999</v>
      </c>
      <c r="F101" s="44">
        <f>17.3189 * CHOOSE(CONTROL!$C$15, $E$9, 100%, $G$9) + CHOOSE(CONTROL!$C$38, 0.0264, 0)</f>
        <v>17.345299999999998</v>
      </c>
      <c r="G101" s="14">
        <f>16.8124 * CHOOSE(CONTROL!$C$15, $E$9, 100%, $G$9) + CHOOSE(CONTROL!$C$38, 0.0354, 0)</f>
        <v>16.847799999999999</v>
      </c>
      <c r="H101" s="14">
        <f>16.8124 * CHOOSE(CONTROL!$C$15, $E$9, 100%, $G$9) + CHOOSE(CONTROL!$C$38, 0.0354, 0)</f>
        <v>16.847799999999999</v>
      </c>
      <c r="I101" s="14">
        <f>16.8139 * CHOOSE(CONTROL!$C$15, $E$9, 100%, $G$9) + CHOOSE(CONTROL!$C$38, 0.0354, 0)</f>
        <v>16.849299999999999</v>
      </c>
      <c r="J101" s="43">
        <f>125.049</f>
        <v>125.04900000000001</v>
      </c>
    </row>
    <row r="102" spans="1:10" ht="15" x14ac:dyDescent="0.2">
      <c r="A102" s="13">
        <v>44013</v>
      </c>
      <c r="B102" s="14">
        <f>17.2583 * CHOOSE(CONTROL!$C$15, $E$9, 100%, $G$9) + CHOOSE(CONTROL!$C$38, 0.0264, 0)</f>
        <v>17.284699999999997</v>
      </c>
      <c r="C102" s="14">
        <f>16.596 * CHOOSE(CONTROL!$C$15, $E$9, 100%, $G$9) + CHOOSE(CONTROL!$C$38, 0.0354, 0)</f>
        <v>16.631399999999999</v>
      </c>
      <c r="D102" s="14">
        <f>16.5882 * CHOOSE(CONTROL!$C$15, $E$9, 100%, $G$9) + CHOOSE(CONTROL!$C$38, 0.0354, 0)</f>
        <v>16.6236</v>
      </c>
      <c r="E102" s="45">
        <f>17.102 * CHOOSE(CONTROL!$C$15, $E$9, 100%, $G$9) + CHOOSE(CONTROL!$C$38, 0.0354, 0)</f>
        <v>17.1374</v>
      </c>
      <c r="F102" s="44">
        <f>17.102 * CHOOSE(CONTROL!$C$15, $E$9, 100%, $G$9) + CHOOSE(CONTROL!$C$38, 0.0264, 0)</f>
        <v>17.128399999999999</v>
      </c>
      <c r="G102" s="14">
        <f>16.5945 * CHOOSE(CONTROL!$C$15, $E$9, 100%, $G$9) + CHOOSE(CONTROL!$C$38, 0.0354, 0)</f>
        <v>16.629899999999999</v>
      </c>
      <c r="H102" s="14">
        <f>16.5945 * CHOOSE(CONTROL!$C$15, $E$9, 100%, $G$9) + CHOOSE(CONTROL!$C$38, 0.0354, 0)</f>
        <v>16.629899999999999</v>
      </c>
      <c r="I102" s="14">
        <f>16.596 * CHOOSE(CONTROL!$C$15, $E$9, 100%, $G$9) + CHOOSE(CONTROL!$C$38, 0.0354, 0)</f>
        <v>16.631399999999999</v>
      </c>
      <c r="J102" s="43">
        <f>124.7206</f>
        <v>124.7206</v>
      </c>
    </row>
    <row r="103" spans="1:10" ht="15" x14ac:dyDescent="0.2">
      <c r="A103" s="13">
        <v>44044</v>
      </c>
      <c r="B103" s="14">
        <f>17.417 * CHOOSE(CONTROL!$C$15, $E$9, 100%, $G$9) + CHOOSE(CONTROL!$C$38, 0.0264, 0)</f>
        <v>17.4434</v>
      </c>
      <c r="C103" s="14">
        <f>16.7537 * CHOOSE(CONTROL!$C$15, $E$9, 100%, $G$9) + CHOOSE(CONTROL!$C$38, 0.0354, 0)</f>
        <v>16.789099999999998</v>
      </c>
      <c r="D103" s="14">
        <f>16.7459 * CHOOSE(CONTROL!$C$15, $E$9, 100%, $G$9) + CHOOSE(CONTROL!$C$38, 0.0354, 0)</f>
        <v>16.781299999999998</v>
      </c>
      <c r="E103" s="45">
        <f>17.2607 * CHOOSE(CONTROL!$C$15, $E$9, 100%, $G$9) + CHOOSE(CONTROL!$C$38, 0.0354, 0)</f>
        <v>17.296099999999999</v>
      </c>
      <c r="F103" s="44">
        <f>17.2607 * CHOOSE(CONTROL!$C$15, $E$9, 100%, $G$9) + CHOOSE(CONTROL!$C$38, 0.0264, 0)</f>
        <v>17.287099999999999</v>
      </c>
      <c r="G103" s="14">
        <f>16.7521 * CHOOSE(CONTROL!$C$15, $E$9, 100%, $G$9) + CHOOSE(CONTROL!$C$38, 0.0354, 0)</f>
        <v>16.787499999999998</v>
      </c>
      <c r="H103" s="14">
        <f>16.7521 * CHOOSE(CONTROL!$C$15, $E$9, 100%, $G$9) + CHOOSE(CONTROL!$C$38, 0.0354, 0)</f>
        <v>16.787499999999998</v>
      </c>
      <c r="I103" s="14">
        <f>16.7537 * CHOOSE(CONTROL!$C$15, $E$9, 100%, $G$9) + CHOOSE(CONTROL!$C$38, 0.0354, 0)</f>
        <v>16.789099999999998</v>
      </c>
      <c r="J103" s="43">
        <f>122.0681</f>
        <v>122.0681</v>
      </c>
    </row>
    <row r="104" spans="1:10" ht="15" x14ac:dyDescent="0.2">
      <c r="A104" s="13">
        <v>44075</v>
      </c>
      <c r="B104" s="14">
        <f>17.7902 * CHOOSE(CONTROL!$C$15, $E$9, 100%, $G$9) + CHOOSE(CONTROL!$C$38, 0.0264, 0)</f>
        <v>17.816599999999998</v>
      </c>
      <c r="C104" s="14">
        <f>17.1259 * CHOOSE(CONTROL!$C$15, $E$9, 100%, $G$9) + CHOOSE(CONTROL!$C$38, 0.0354, 0)</f>
        <v>17.161300000000001</v>
      </c>
      <c r="D104" s="14">
        <f>17.1181 * CHOOSE(CONTROL!$C$15, $E$9, 100%, $G$9) + CHOOSE(CONTROL!$C$38, 0.0354, 0)</f>
        <v>17.153499999999998</v>
      </c>
      <c r="E104" s="45">
        <f>17.634 * CHOOSE(CONTROL!$C$15, $E$9, 100%, $G$9) + CHOOSE(CONTROL!$C$38, 0.0354, 0)</f>
        <v>17.6694</v>
      </c>
      <c r="F104" s="44">
        <f>17.634 * CHOOSE(CONTROL!$C$15, $E$9, 100%, $G$9) + CHOOSE(CONTROL!$C$38, 0.0264, 0)</f>
        <v>17.660399999999999</v>
      </c>
      <c r="G104" s="14">
        <f>17.1243 * CHOOSE(CONTROL!$C$15, $E$9, 100%, $G$9) + CHOOSE(CONTROL!$C$38, 0.0354, 0)</f>
        <v>17.159700000000001</v>
      </c>
      <c r="H104" s="14">
        <f>17.1243 * CHOOSE(CONTROL!$C$15, $E$9, 100%, $G$9) + CHOOSE(CONTROL!$C$38, 0.0354, 0)</f>
        <v>17.159700000000001</v>
      </c>
      <c r="I104" s="14">
        <f>17.1259 * CHOOSE(CONTROL!$C$15, $E$9, 100%, $G$9) + CHOOSE(CONTROL!$C$38, 0.0354, 0)</f>
        <v>17.161300000000001</v>
      </c>
      <c r="J104" s="43">
        <f>118.2538</f>
        <v>118.2538</v>
      </c>
    </row>
    <row r="105" spans="1:10" ht="15" x14ac:dyDescent="0.2">
      <c r="A105" s="13">
        <v>44105</v>
      </c>
      <c r="B105" s="14">
        <f>18.1098 * CHOOSE(CONTROL!$C$15, $E$9, 100%, $G$9) + CHOOSE(CONTROL!$C$38, 0.0251, 0)</f>
        <v>18.134899999999998</v>
      </c>
      <c r="C105" s="14">
        <f>17.4444 * CHOOSE(CONTROL!$C$15, $E$9, 100%, $G$9) + CHOOSE(CONTROL!$C$38, 0.0342, 0)</f>
        <v>17.4786</v>
      </c>
      <c r="D105" s="14">
        <f>17.4366 * CHOOSE(CONTROL!$C$15, $E$9, 100%, $G$9) + CHOOSE(CONTROL!$C$38, 0.0342, 0)</f>
        <v>17.470799999999997</v>
      </c>
      <c r="E105" s="45">
        <f>17.9535 * CHOOSE(CONTROL!$C$15, $E$9, 100%, $G$9) + CHOOSE(CONTROL!$C$38, 0.0342, 0)</f>
        <v>17.987699999999997</v>
      </c>
      <c r="F105" s="44">
        <f>17.9535 * CHOOSE(CONTROL!$C$15, $E$9, 100%, $G$9) + CHOOSE(CONTROL!$C$38, 0.0251, 0)</f>
        <v>17.978599999999997</v>
      </c>
      <c r="G105" s="14">
        <f>17.4429 * CHOOSE(CONTROL!$C$15, $E$9, 100%, $G$9) + CHOOSE(CONTROL!$C$38, 0.0342, 0)</f>
        <v>17.4771</v>
      </c>
      <c r="H105" s="14">
        <f>17.4429 * CHOOSE(CONTROL!$C$15, $E$9, 100%, $G$9) + CHOOSE(CONTROL!$C$38, 0.0342, 0)</f>
        <v>17.4771</v>
      </c>
      <c r="I105" s="14">
        <f>17.4444 * CHOOSE(CONTROL!$C$15, $E$9, 100%, $G$9) + CHOOSE(CONTROL!$C$38, 0.0342, 0)</f>
        <v>17.4786</v>
      </c>
      <c r="J105" s="43">
        <f>114.3996</f>
        <v>114.39960000000001</v>
      </c>
    </row>
    <row r="106" spans="1:10" ht="15" x14ac:dyDescent="0.2">
      <c r="A106" s="13">
        <v>44136</v>
      </c>
      <c r="B106" s="14">
        <f>18.3835 * CHOOSE(CONTROL!$C$15, $E$9, 100%, $G$9) + CHOOSE(CONTROL!$C$38, 0.0251, 0)</f>
        <v>18.4086</v>
      </c>
      <c r="C106" s="14">
        <f>17.717 * CHOOSE(CONTROL!$C$15, $E$9, 100%, $G$9) + CHOOSE(CONTROL!$C$38, 0.0342, 0)</f>
        <v>17.751199999999997</v>
      </c>
      <c r="D106" s="14">
        <f>17.7092 * CHOOSE(CONTROL!$C$15, $E$9, 100%, $G$9) + CHOOSE(CONTROL!$C$38, 0.0342, 0)</f>
        <v>17.743399999999998</v>
      </c>
      <c r="E106" s="45">
        <f>18.2272 * CHOOSE(CONTROL!$C$15, $E$9, 100%, $G$9) + CHOOSE(CONTROL!$C$38, 0.0342, 0)</f>
        <v>18.261399999999998</v>
      </c>
      <c r="F106" s="44">
        <f>18.2272 * CHOOSE(CONTROL!$C$15, $E$9, 100%, $G$9) + CHOOSE(CONTROL!$C$38, 0.0251, 0)</f>
        <v>18.252299999999998</v>
      </c>
      <c r="G106" s="14">
        <f>17.7155 * CHOOSE(CONTROL!$C$15, $E$9, 100%, $G$9) + CHOOSE(CONTROL!$C$38, 0.0342, 0)</f>
        <v>17.749699999999997</v>
      </c>
      <c r="H106" s="14">
        <f>17.7155 * CHOOSE(CONTROL!$C$15, $E$9, 100%, $G$9) + CHOOSE(CONTROL!$C$38, 0.0342, 0)</f>
        <v>17.749699999999997</v>
      </c>
      <c r="I106" s="14">
        <f>17.717 * CHOOSE(CONTROL!$C$15, $E$9, 100%, $G$9) + CHOOSE(CONTROL!$C$38, 0.0342, 0)</f>
        <v>17.751199999999997</v>
      </c>
      <c r="J106" s="43">
        <f>113.8185</f>
        <v>113.8185</v>
      </c>
    </row>
    <row r="107" spans="1:10" ht="15" x14ac:dyDescent="0.2">
      <c r="A107" s="13">
        <v>44166</v>
      </c>
      <c r="B107" s="14">
        <f>19.1538 * CHOOSE(CONTROL!$C$15, $E$9, 100%, $G$9) + CHOOSE(CONTROL!$C$38, 0.0251, 0)</f>
        <v>19.178899999999999</v>
      </c>
      <c r="C107" s="14">
        <f>18.4863 * CHOOSE(CONTROL!$C$15, $E$9, 100%, $G$9) + CHOOSE(CONTROL!$C$38, 0.0342, 0)</f>
        <v>18.520499999999998</v>
      </c>
      <c r="D107" s="14">
        <f>18.4785 * CHOOSE(CONTROL!$C$15, $E$9, 100%, $G$9) + CHOOSE(CONTROL!$C$38, 0.0342, 0)</f>
        <v>18.512699999999999</v>
      </c>
      <c r="E107" s="45">
        <f>18.9976 * CHOOSE(CONTROL!$C$15, $E$9, 100%, $G$9) + CHOOSE(CONTROL!$C$38, 0.0342, 0)</f>
        <v>19.031799999999997</v>
      </c>
      <c r="F107" s="44">
        <f>18.9976 * CHOOSE(CONTROL!$C$15, $E$9, 100%, $G$9) + CHOOSE(CONTROL!$C$38, 0.0251, 0)</f>
        <v>19.022699999999997</v>
      </c>
      <c r="G107" s="14">
        <f>18.4848 * CHOOSE(CONTROL!$C$15, $E$9, 100%, $G$9) + CHOOSE(CONTROL!$C$38, 0.0342, 0)</f>
        <v>18.518999999999998</v>
      </c>
      <c r="H107" s="14">
        <f>18.4848 * CHOOSE(CONTROL!$C$15, $E$9, 100%, $G$9) + CHOOSE(CONTROL!$C$38, 0.0342, 0)</f>
        <v>18.518999999999998</v>
      </c>
      <c r="I107" s="14">
        <f>18.4863 * CHOOSE(CONTROL!$C$15, $E$9, 100%, $G$9) + CHOOSE(CONTROL!$C$38, 0.0342, 0)</f>
        <v>18.520499999999998</v>
      </c>
      <c r="J107" s="43">
        <f>110.6684</f>
        <v>110.66840000000001</v>
      </c>
    </row>
    <row r="108" spans="1:10" ht="15" x14ac:dyDescent="0.2">
      <c r="A108" s="13">
        <v>44197</v>
      </c>
      <c r="B108" s="14">
        <f>20.3954 * CHOOSE(CONTROL!$C$15, $E$9, 100%, $G$9) + CHOOSE(CONTROL!$C$38, 0.0251, 0)</f>
        <v>20.420499999999997</v>
      </c>
      <c r="C108" s="14">
        <f>19.4419 * CHOOSE(CONTROL!$C$15, $E$9, 100%, $G$9) + CHOOSE(CONTROL!$C$38, 0.0342, 0)</f>
        <v>19.476099999999999</v>
      </c>
      <c r="D108" s="14">
        <f>19.4341 * CHOOSE(CONTROL!$C$15, $E$9, 100%, $G$9) + CHOOSE(CONTROL!$C$38, 0.0342, 0)</f>
        <v>19.468299999999999</v>
      </c>
      <c r="E108" s="45">
        <f>20.2391 * CHOOSE(CONTROL!$C$15, $E$9, 100%, $G$9) + CHOOSE(CONTROL!$C$38, 0.0342, 0)</f>
        <v>20.273299999999999</v>
      </c>
      <c r="F108" s="44">
        <f>20.2391 * CHOOSE(CONTROL!$C$15, $E$9, 100%, $G$9) + CHOOSE(CONTROL!$C$38, 0.0251, 0)</f>
        <v>20.264199999999999</v>
      </c>
      <c r="G108" s="14">
        <f>19.4404 * CHOOSE(CONTROL!$C$15, $E$9, 100%, $G$9) + CHOOSE(CONTROL!$C$38, 0.0342, 0)</f>
        <v>19.474599999999999</v>
      </c>
      <c r="H108" s="14">
        <f>19.4404 * CHOOSE(CONTROL!$C$15, $E$9, 100%, $G$9) + CHOOSE(CONTROL!$C$38, 0.0342, 0)</f>
        <v>19.474599999999999</v>
      </c>
      <c r="I108" s="14">
        <f>19.4419 * CHOOSE(CONTROL!$C$15, $E$9, 100%, $G$9) + CHOOSE(CONTROL!$C$38, 0.0342, 0)</f>
        <v>19.476099999999999</v>
      </c>
      <c r="J108" s="43">
        <f>110.9959</f>
        <v>110.99590000000001</v>
      </c>
    </row>
    <row r="109" spans="1:10" ht="15" x14ac:dyDescent="0.2">
      <c r="A109" s="13">
        <v>44228</v>
      </c>
      <c r="B109" s="14">
        <f>20.709 * CHOOSE(CONTROL!$C$15, $E$9, 100%, $G$9) + CHOOSE(CONTROL!$C$38, 0.0251, 0)</f>
        <v>20.734099999999998</v>
      </c>
      <c r="C109" s="14">
        <f>19.7539 * CHOOSE(CONTROL!$C$15, $E$9, 100%, $G$9) + CHOOSE(CONTROL!$C$38, 0.0342, 0)</f>
        <v>19.7881</v>
      </c>
      <c r="D109" s="14">
        <f>19.7461 * CHOOSE(CONTROL!$C$15, $E$9, 100%, $G$9) + CHOOSE(CONTROL!$C$38, 0.0342, 0)</f>
        <v>19.780299999999997</v>
      </c>
      <c r="E109" s="45">
        <f>20.5527 * CHOOSE(CONTROL!$C$15, $E$9, 100%, $G$9) + CHOOSE(CONTROL!$C$38, 0.0342, 0)</f>
        <v>20.5869</v>
      </c>
      <c r="F109" s="44">
        <f>20.5527 * CHOOSE(CONTROL!$C$15, $E$9, 100%, $G$9) + CHOOSE(CONTROL!$C$38, 0.0251, 0)</f>
        <v>20.5778</v>
      </c>
      <c r="G109" s="14">
        <f>19.7523 * CHOOSE(CONTROL!$C$15, $E$9, 100%, $G$9) + CHOOSE(CONTROL!$C$38, 0.0342, 0)</f>
        <v>19.7865</v>
      </c>
      <c r="H109" s="14">
        <f>19.7523 * CHOOSE(CONTROL!$C$15, $E$9, 100%, $G$9) + CHOOSE(CONTROL!$C$38, 0.0342, 0)</f>
        <v>19.7865</v>
      </c>
      <c r="I109" s="14">
        <f>19.7539 * CHOOSE(CONTROL!$C$15, $E$9, 100%, $G$9) + CHOOSE(CONTROL!$C$38, 0.0342, 0)</f>
        <v>19.7881</v>
      </c>
      <c r="J109" s="43">
        <f>110.9153</f>
        <v>110.9153</v>
      </c>
    </row>
    <row r="110" spans="1:10" ht="15" x14ac:dyDescent="0.2">
      <c r="A110" s="13">
        <v>44256</v>
      </c>
      <c r="B110" s="14">
        <f>20.1174 * CHOOSE(CONTROL!$C$15, $E$9, 100%, $G$9) + CHOOSE(CONTROL!$C$38, 0.0251, 0)</f>
        <v>20.142499999999998</v>
      </c>
      <c r="C110" s="14">
        <f>19.1607 * CHOOSE(CONTROL!$C$15, $E$9, 100%, $G$9) + CHOOSE(CONTROL!$C$38, 0.0342, 0)</f>
        <v>19.194899999999997</v>
      </c>
      <c r="D110" s="14">
        <f>19.1528 * CHOOSE(CONTROL!$C$15, $E$9, 100%, $G$9) + CHOOSE(CONTROL!$C$38, 0.0342, 0)</f>
        <v>19.186999999999998</v>
      </c>
      <c r="E110" s="45">
        <f>19.9611 * CHOOSE(CONTROL!$C$15, $E$9, 100%, $G$9) + CHOOSE(CONTROL!$C$38, 0.0342, 0)</f>
        <v>19.995299999999997</v>
      </c>
      <c r="F110" s="44">
        <f>19.9611 * CHOOSE(CONTROL!$C$15, $E$9, 100%, $G$9) + CHOOSE(CONTROL!$C$38, 0.0251, 0)</f>
        <v>19.986199999999997</v>
      </c>
      <c r="G110" s="14">
        <f>19.1591 * CHOOSE(CONTROL!$C$15, $E$9, 100%, $G$9) + CHOOSE(CONTROL!$C$38, 0.0342, 0)</f>
        <v>19.193299999999997</v>
      </c>
      <c r="H110" s="14">
        <f>19.1591 * CHOOSE(CONTROL!$C$15, $E$9, 100%, $G$9) + CHOOSE(CONTROL!$C$38, 0.0342, 0)</f>
        <v>19.193299999999997</v>
      </c>
      <c r="I110" s="14">
        <f>19.1607 * CHOOSE(CONTROL!$C$15, $E$9, 100%, $G$9) + CHOOSE(CONTROL!$C$38, 0.0342, 0)</f>
        <v>19.194899999999997</v>
      </c>
      <c r="J110" s="43">
        <f>117.0017</f>
        <v>117.0017</v>
      </c>
    </row>
    <row r="111" spans="1:10" ht="15" x14ac:dyDescent="0.2">
      <c r="A111" s="13">
        <v>44287</v>
      </c>
      <c r="B111" s="14">
        <f>19.5429 * CHOOSE(CONTROL!$C$15, $E$9, 100%, $G$9) + CHOOSE(CONTROL!$C$38, 0.0251, 0)</f>
        <v>19.567999999999998</v>
      </c>
      <c r="C111" s="14">
        <f>18.5846 * CHOOSE(CONTROL!$C$15, $E$9, 100%, $G$9) + CHOOSE(CONTROL!$C$38, 0.0342, 0)</f>
        <v>18.618799999999997</v>
      </c>
      <c r="D111" s="14">
        <f>18.5768 * CHOOSE(CONTROL!$C$15, $E$9, 100%, $G$9) + CHOOSE(CONTROL!$C$38, 0.0342, 0)</f>
        <v>18.610999999999997</v>
      </c>
      <c r="E111" s="45">
        <f>19.3867 * CHOOSE(CONTROL!$C$15, $E$9, 100%, $G$9) + CHOOSE(CONTROL!$C$38, 0.0342, 0)</f>
        <v>19.4209</v>
      </c>
      <c r="F111" s="44">
        <f>19.3867 * CHOOSE(CONTROL!$C$15, $E$9, 100%, $G$9) + CHOOSE(CONTROL!$C$38, 0.0251, 0)</f>
        <v>19.411799999999999</v>
      </c>
      <c r="G111" s="14">
        <f>18.583 * CHOOSE(CONTROL!$C$15, $E$9, 100%, $G$9) + CHOOSE(CONTROL!$C$38, 0.0342, 0)</f>
        <v>18.617199999999997</v>
      </c>
      <c r="H111" s="14">
        <f>18.583 * CHOOSE(CONTROL!$C$15, $E$9, 100%, $G$9) + CHOOSE(CONTROL!$C$38, 0.0342, 0)</f>
        <v>18.617199999999997</v>
      </c>
      <c r="I111" s="14">
        <f>18.5846 * CHOOSE(CONTROL!$C$15, $E$9, 100%, $G$9) + CHOOSE(CONTROL!$C$38, 0.0342, 0)</f>
        <v>18.618799999999997</v>
      </c>
      <c r="J111" s="43">
        <f>124.8547</f>
        <v>124.85469999999999</v>
      </c>
    </row>
    <row r="112" spans="1:10" ht="15" x14ac:dyDescent="0.2">
      <c r="A112" s="13">
        <v>44317</v>
      </c>
      <c r="B112" s="14">
        <f>18.94 * CHOOSE(CONTROL!$C$15, $E$9, 100%, $G$9) + CHOOSE(CONTROL!$C$38, 0.0264, 0)</f>
        <v>18.9664</v>
      </c>
      <c r="C112" s="14">
        <f>17.98 * CHOOSE(CONTROL!$C$15, $E$9, 100%, $G$9) + CHOOSE(CONTROL!$C$38, 0.0354, 0)</f>
        <v>18.0154</v>
      </c>
      <c r="D112" s="14">
        <f>17.9722 * CHOOSE(CONTROL!$C$15, $E$9, 100%, $G$9) + CHOOSE(CONTROL!$C$38, 0.0354, 0)</f>
        <v>18.0076</v>
      </c>
      <c r="E112" s="45">
        <f>18.7838 * CHOOSE(CONTROL!$C$15, $E$9, 100%, $G$9) + CHOOSE(CONTROL!$C$38, 0.0354, 0)</f>
        <v>18.819199999999999</v>
      </c>
      <c r="F112" s="44">
        <f>18.7838 * CHOOSE(CONTROL!$C$15, $E$9, 100%, $G$9) + CHOOSE(CONTROL!$C$38, 0.0264, 0)</f>
        <v>18.810199999999998</v>
      </c>
      <c r="G112" s="14">
        <f>17.9784 * CHOOSE(CONTROL!$C$15, $E$9, 100%, $G$9) + CHOOSE(CONTROL!$C$38, 0.0354, 0)</f>
        <v>18.0138</v>
      </c>
      <c r="H112" s="14">
        <f>17.9784 * CHOOSE(CONTROL!$C$15, $E$9, 100%, $G$9) + CHOOSE(CONTROL!$C$38, 0.0354, 0)</f>
        <v>18.0138</v>
      </c>
      <c r="I112" s="14">
        <f>17.98 * CHOOSE(CONTROL!$C$15, $E$9, 100%, $G$9) + CHOOSE(CONTROL!$C$38, 0.0354, 0)</f>
        <v>18.0154</v>
      </c>
      <c r="J112" s="43">
        <f>129.3104</f>
        <v>129.31039999999999</v>
      </c>
    </row>
    <row r="113" spans="1:10" ht="15" x14ac:dyDescent="0.2">
      <c r="A113" s="13">
        <v>44348</v>
      </c>
      <c r="B113" s="14">
        <f>18.5268 * CHOOSE(CONTROL!$C$15, $E$9, 100%, $G$9) + CHOOSE(CONTROL!$C$38, 0.0264, 0)</f>
        <v>18.5532</v>
      </c>
      <c r="C113" s="14">
        <f>17.5651 * CHOOSE(CONTROL!$C$15, $E$9, 100%, $G$9) + CHOOSE(CONTROL!$C$38, 0.0354, 0)</f>
        <v>17.6005</v>
      </c>
      <c r="D113" s="14">
        <f>17.5573 * CHOOSE(CONTROL!$C$15, $E$9, 100%, $G$9) + CHOOSE(CONTROL!$C$38, 0.0354, 0)</f>
        <v>17.592700000000001</v>
      </c>
      <c r="E113" s="45">
        <f>18.3706 * CHOOSE(CONTROL!$C$15, $E$9, 100%, $G$9) + CHOOSE(CONTROL!$C$38, 0.0354, 0)</f>
        <v>18.405999999999999</v>
      </c>
      <c r="F113" s="44">
        <f>18.3706 * CHOOSE(CONTROL!$C$15, $E$9, 100%, $G$9) + CHOOSE(CONTROL!$C$38, 0.0264, 0)</f>
        <v>18.396999999999998</v>
      </c>
      <c r="G113" s="14">
        <f>17.5636 * CHOOSE(CONTROL!$C$15, $E$9, 100%, $G$9) + CHOOSE(CONTROL!$C$38, 0.0354, 0)</f>
        <v>17.599</v>
      </c>
      <c r="H113" s="14">
        <f>17.5636 * CHOOSE(CONTROL!$C$15, $E$9, 100%, $G$9) + CHOOSE(CONTROL!$C$38, 0.0354, 0)</f>
        <v>17.599</v>
      </c>
      <c r="I113" s="14">
        <f>17.5651 * CHOOSE(CONTROL!$C$15, $E$9, 100%, $G$9) + CHOOSE(CONTROL!$C$38, 0.0354, 0)</f>
        <v>17.6005</v>
      </c>
      <c r="J113" s="43">
        <f>131.4438</f>
        <v>131.44380000000001</v>
      </c>
    </row>
    <row r="114" spans="1:10" ht="15" x14ac:dyDescent="0.2">
      <c r="A114" s="13">
        <v>44378</v>
      </c>
      <c r="B114" s="14">
        <f>18.3058 * CHOOSE(CONTROL!$C$15, $E$9, 100%, $G$9) + CHOOSE(CONTROL!$C$38, 0.0264, 0)</f>
        <v>18.3322</v>
      </c>
      <c r="C114" s="14">
        <f>17.3425 * CHOOSE(CONTROL!$C$15, $E$9, 100%, $G$9) + CHOOSE(CONTROL!$C$38, 0.0354, 0)</f>
        <v>17.3779</v>
      </c>
      <c r="D114" s="14">
        <f>17.3347 * CHOOSE(CONTROL!$C$15, $E$9, 100%, $G$9) + CHOOSE(CONTROL!$C$38, 0.0354, 0)</f>
        <v>17.370100000000001</v>
      </c>
      <c r="E114" s="45">
        <f>18.1496 * CHOOSE(CONTROL!$C$15, $E$9, 100%, $G$9) + CHOOSE(CONTROL!$C$38, 0.0354, 0)</f>
        <v>18.184999999999999</v>
      </c>
      <c r="F114" s="44">
        <f>18.1496 * CHOOSE(CONTROL!$C$15, $E$9, 100%, $G$9) + CHOOSE(CONTROL!$C$38, 0.0264, 0)</f>
        <v>18.175999999999998</v>
      </c>
      <c r="G114" s="14">
        <f>17.3409 * CHOOSE(CONTROL!$C$15, $E$9, 100%, $G$9) + CHOOSE(CONTROL!$C$38, 0.0354, 0)</f>
        <v>17.376300000000001</v>
      </c>
      <c r="H114" s="14">
        <f>17.3409 * CHOOSE(CONTROL!$C$15, $E$9, 100%, $G$9) + CHOOSE(CONTROL!$C$38, 0.0354, 0)</f>
        <v>17.376300000000001</v>
      </c>
      <c r="I114" s="14">
        <f>17.3425 * CHOOSE(CONTROL!$C$15, $E$9, 100%, $G$9) + CHOOSE(CONTROL!$C$38, 0.0354, 0)</f>
        <v>17.3779</v>
      </c>
      <c r="J114" s="43">
        <f>131.0985</f>
        <v>131.0985</v>
      </c>
    </row>
    <row r="115" spans="1:10" ht="15" x14ac:dyDescent="0.2">
      <c r="A115" s="13">
        <v>44409</v>
      </c>
      <c r="B115" s="14">
        <f>18.4698 * CHOOSE(CONTROL!$C$15, $E$9, 100%, $G$9) + CHOOSE(CONTROL!$C$38, 0.0264, 0)</f>
        <v>18.496199999999998</v>
      </c>
      <c r="C115" s="14">
        <f>17.5048 * CHOOSE(CONTROL!$C$15, $E$9, 100%, $G$9) + CHOOSE(CONTROL!$C$38, 0.0354, 0)</f>
        <v>17.540199999999999</v>
      </c>
      <c r="D115" s="14">
        <f>17.497 * CHOOSE(CONTROL!$C$15, $E$9, 100%, $G$9) + CHOOSE(CONTROL!$C$38, 0.0354, 0)</f>
        <v>17.532399999999999</v>
      </c>
      <c r="E115" s="45">
        <f>18.3135 * CHOOSE(CONTROL!$C$15, $E$9, 100%, $G$9) + CHOOSE(CONTROL!$C$38, 0.0354, 0)</f>
        <v>18.3489</v>
      </c>
      <c r="F115" s="44">
        <f>18.3135 * CHOOSE(CONTROL!$C$15, $E$9, 100%, $G$9) + CHOOSE(CONTROL!$C$38, 0.0264, 0)</f>
        <v>18.3399</v>
      </c>
      <c r="G115" s="14">
        <f>17.5032 * CHOOSE(CONTROL!$C$15, $E$9, 100%, $G$9) + CHOOSE(CONTROL!$C$38, 0.0354, 0)</f>
        <v>17.538599999999999</v>
      </c>
      <c r="H115" s="14">
        <f>17.5032 * CHOOSE(CONTROL!$C$15, $E$9, 100%, $G$9) + CHOOSE(CONTROL!$C$38, 0.0354, 0)</f>
        <v>17.538599999999999</v>
      </c>
      <c r="I115" s="14">
        <f>17.5048 * CHOOSE(CONTROL!$C$15, $E$9, 100%, $G$9) + CHOOSE(CONTROL!$C$38, 0.0354, 0)</f>
        <v>17.540199999999999</v>
      </c>
      <c r="J115" s="43">
        <f>128.3104</f>
        <v>128.31039999999999</v>
      </c>
    </row>
    <row r="116" spans="1:10" ht="15" x14ac:dyDescent="0.2">
      <c r="A116" s="13">
        <v>44440</v>
      </c>
      <c r="B116" s="14">
        <f>18.8537 * CHOOSE(CONTROL!$C$15, $E$9, 100%, $G$9) + CHOOSE(CONTROL!$C$38, 0.0264, 0)</f>
        <v>18.880099999999999</v>
      </c>
      <c r="C116" s="14">
        <f>17.887 * CHOOSE(CONTROL!$C$15, $E$9, 100%, $G$9) + CHOOSE(CONTROL!$C$38, 0.0354, 0)</f>
        <v>17.9224</v>
      </c>
      <c r="D116" s="14">
        <f>17.8792 * CHOOSE(CONTROL!$C$15, $E$9, 100%, $G$9) + CHOOSE(CONTROL!$C$38, 0.0354, 0)</f>
        <v>17.9146</v>
      </c>
      <c r="E116" s="45">
        <f>18.6974 * CHOOSE(CONTROL!$C$15, $E$9, 100%, $G$9) + CHOOSE(CONTROL!$C$38, 0.0354, 0)</f>
        <v>18.732799999999997</v>
      </c>
      <c r="F116" s="44">
        <f>18.6974 * CHOOSE(CONTROL!$C$15, $E$9, 100%, $G$9) + CHOOSE(CONTROL!$C$38, 0.0264, 0)</f>
        <v>18.723799999999997</v>
      </c>
      <c r="G116" s="14">
        <f>17.8854 * CHOOSE(CONTROL!$C$15, $E$9, 100%, $G$9) + CHOOSE(CONTROL!$C$38, 0.0354, 0)</f>
        <v>17.9208</v>
      </c>
      <c r="H116" s="14">
        <f>17.8854 * CHOOSE(CONTROL!$C$15, $E$9, 100%, $G$9) + CHOOSE(CONTROL!$C$38, 0.0354, 0)</f>
        <v>17.9208</v>
      </c>
      <c r="I116" s="14">
        <f>17.887 * CHOOSE(CONTROL!$C$15, $E$9, 100%, $G$9) + CHOOSE(CONTROL!$C$38, 0.0354, 0)</f>
        <v>17.9224</v>
      </c>
      <c r="J116" s="43">
        <f>124.3011</f>
        <v>124.30110000000001</v>
      </c>
    </row>
    <row r="117" spans="1:10" ht="15" x14ac:dyDescent="0.2">
      <c r="A117" s="13">
        <v>44470</v>
      </c>
      <c r="B117" s="14">
        <f>19.1825 * CHOOSE(CONTROL!$C$15, $E$9, 100%, $G$9) + CHOOSE(CONTROL!$C$38, 0.0251, 0)</f>
        <v>19.207599999999999</v>
      </c>
      <c r="C117" s="14">
        <f>18.2142 * CHOOSE(CONTROL!$C$15, $E$9, 100%, $G$9) + CHOOSE(CONTROL!$C$38, 0.0342, 0)</f>
        <v>18.2484</v>
      </c>
      <c r="D117" s="14">
        <f>18.2064 * CHOOSE(CONTROL!$C$15, $E$9, 100%, $G$9) + CHOOSE(CONTROL!$C$38, 0.0342, 0)</f>
        <v>18.240599999999997</v>
      </c>
      <c r="E117" s="45">
        <f>19.0263 * CHOOSE(CONTROL!$C$15, $E$9, 100%, $G$9) + CHOOSE(CONTROL!$C$38, 0.0342, 0)</f>
        <v>19.060499999999998</v>
      </c>
      <c r="F117" s="44">
        <f>19.0263 * CHOOSE(CONTROL!$C$15, $E$9, 100%, $G$9) + CHOOSE(CONTROL!$C$38, 0.0251, 0)</f>
        <v>19.051399999999997</v>
      </c>
      <c r="G117" s="14">
        <f>18.2126 * CHOOSE(CONTROL!$C$15, $E$9, 100%, $G$9) + CHOOSE(CONTROL!$C$38, 0.0342, 0)</f>
        <v>18.246799999999997</v>
      </c>
      <c r="H117" s="14">
        <f>18.2126 * CHOOSE(CONTROL!$C$15, $E$9, 100%, $G$9) + CHOOSE(CONTROL!$C$38, 0.0342, 0)</f>
        <v>18.246799999999997</v>
      </c>
      <c r="I117" s="14">
        <f>18.2142 * CHOOSE(CONTROL!$C$15, $E$9, 100%, $G$9) + CHOOSE(CONTROL!$C$38, 0.0342, 0)</f>
        <v>18.2484</v>
      </c>
      <c r="J117" s="43">
        <f>120.2498</f>
        <v>120.24979999999999</v>
      </c>
    </row>
    <row r="118" spans="1:10" ht="15" x14ac:dyDescent="0.2">
      <c r="A118" s="13">
        <v>44501</v>
      </c>
      <c r="B118" s="14">
        <f>19.4644 * CHOOSE(CONTROL!$C$15, $E$9, 100%, $G$9) + CHOOSE(CONTROL!$C$38, 0.0251, 0)</f>
        <v>19.4895</v>
      </c>
      <c r="C118" s="14">
        <f>18.4944 * CHOOSE(CONTROL!$C$15, $E$9, 100%, $G$9) + CHOOSE(CONTROL!$C$38, 0.0342, 0)</f>
        <v>18.528599999999997</v>
      </c>
      <c r="D118" s="14">
        <f>18.4865 * CHOOSE(CONTROL!$C$15, $E$9, 100%, $G$9) + CHOOSE(CONTROL!$C$38, 0.0342, 0)</f>
        <v>18.520699999999998</v>
      </c>
      <c r="E118" s="45">
        <f>19.3081 * CHOOSE(CONTROL!$C$15, $E$9, 100%, $G$9) + CHOOSE(CONTROL!$C$38, 0.0342, 0)</f>
        <v>19.342299999999998</v>
      </c>
      <c r="F118" s="44">
        <f>19.3081 * CHOOSE(CONTROL!$C$15, $E$9, 100%, $G$9) + CHOOSE(CONTROL!$C$38, 0.0251, 0)</f>
        <v>19.333199999999998</v>
      </c>
      <c r="G118" s="14">
        <f>18.4928 * CHOOSE(CONTROL!$C$15, $E$9, 100%, $G$9) + CHOOSE(CONTROL!$C$38, 0.0342, 0)</f>
        <v>18.526999999999997</v>
      </c>
      <c r="H118" s="14">
        <f>18.4928 * CHOOSE(CONTROL!$C$15, $E$9, 100%, $G$9) + CHOOSE(CONTROL!$C$38, 0.0342, 0)</f>
        <v>18.526999999999997</v>
      </c>
      <c r="I118" s="14">
        <f>18.4944 * CHOOSE(CONTROL!$C$15, $E$9, 100%, $G$9) + CHOOSE(CONTROL!$C$38, 0.0342, 0)</f>
        <v>18.528599999999997</v>
      </c>
      <c r="J118" s="43">
        <f>119.6389</f>
        <v>119.63890000000001</v>
      </c>
    </row>
    <row r="119" spans="1:10" ht="15" x14ac:dyDescent="0.2">
      <c r="A119" s="13">
        <v>44531</v>
      </c>
      <c r="B119" s="14">
        <f>20.2553 * CHOOSE(CONTROL!$C$15, $E$9, 100%, $G$9) + CHOOSE(CONTROL!$C$38, 0.0251, 0)</f>
        <v>20.280399999999997</v>
      </c>
      <c r="C119" s="14">
        <f>19.2836 * CHOOSE(CONTROL!$C$15, $E$9, 100%, $G$9) + CHOOSE(CONTROL!$C$38, 0.0342, 0)</f>
        <v>19.317799999999998</v>
      </c>
      <c r="D119" s="14">
        <f>19.2758 * CHOOSE(CONTROL!$C$15, $E$9, 100%, $G$9) + CHOOSE(CONTROL!$C$38, 0.0342, 0)</f>
        <v>19.309999999999999</v>
      </c>
      <c r="E119" s="45">
        <f>20.099 * CHOOSE(CONTROL!$C$15, $E$9, 100%, $G$9) + CHOOSE(CONTROL!$C$38, 0.0342, 0)</f>
        <v>20.133199999999999</v>
      </c>
      <c r="F119" s="44">
        <f>20.099 * CHOOSE(CONTROL!$C$15, $E$9, 100%, $G$9) + CHOOSE(CONTROL!$C$38, 0.0251, 0)</f>
        <v>20.124099999999999</v>
      </c>
      <c r="G119" s="14">
        <f>19.282 * CHOOSE(CONTROL!$C$15, $E$9, 100%, $G$9) + CHOOSE(CONTROL!$C$38, 0.0342, 0)</f>
        <v>19.316199999999998</v>
      </c>
      <c r="H119" s="14">
        <f>19.282 * CHOOSE(CONTROL!$C$15, $E$9, 100%, $G$9) + CHOOSE(CONTROL!$C$38, 0.0342, 0)</f>
        <v>19.316199999999998</v>
      </c>
      <c r="I119" s="14">
        <f>19.2836 * CHOOSE(CONTROL!$C$15, $E$9, 100%, $G$9) + CHOOSE(CONTROL!$C$38, 0.0342, 0)</f>
        <v>19.317799999999998</v>
      </c>
      <c r="J119" s="43">
        <f>116.3278</f>
        <v>116.3278</v>
      </c>
    </row>
    <row r="120" spans="1:10" ht="15" x14ac:dyDescent="0.2">
      <c r="A120" s="13">
        <v>44562</v>
      </c>
      <c r="B120" s="14">
        <f>21.2567 * CHOOSE(CONTROL!$C$15, $E$9, 100%, $G$9) + CHOOSE(CONTROL!$C$38, 0.0251, 0)</f>
        <v>21.281799999999997</v>
      </c>
      <c r="C120" s="14">
        <f>20.2993 * CHOOSE(CONTROL!$C$15, $E$9, 100%, $G$9) + CHOOSE(CONTROL!$C$38, 0.0342, 0)</f>
        <v>20.333499999999997</v>
      </c>
      <c r="D120" s="14">
        <f>20.2915 * CHOOSE(CONTROL!$C$15, $E$9, 100%, $G$9) + CHOOSE(CONTROL!$C$38, 0.0342, 0)</f>
        <v>20.325699999999998</v>
      </c>
      <c r="E120" s="45">
        <f>21.1004 * CHOOSE(CONTROL!$C$15, $E$9, 100%, $G$9) + CHOOSE(CONTROL!$C$38, 0.0342, 0)</f>
        <v>21.134599999999999</v>
      </c>
      <c r="F120" s="44">
        <f>21.1004 * CHOOSE(CONTROL!$C$15, $E$9, 100%, $G$9) + CHOOSE(CONTROL!$C$38, 0.0251, 0)</f>
        <v>21.125499999999999</v>
      </c>
      <c r="G120" s="14">
        <f>20.2978 * CHOOSE(CONTROL!$C$15, $E$9, 100%, $G$9) + CHOOSE(CONTROL!$C$38, 0.0342, 0)</f>
        <v>20.331999999999997</v>
      </c>
      <c r="H120" s="14">
        <f>20.2978 * CHOOSE(CONTROL!$C$15, $E$9, 100%, $G$9) + CHOOSE(CONTROL!$C$38, 0.0342, 0)</f>
        <v>20.331999999999997</v>
      </c>
      <c r="I120" s="14">
        <f>20.2993 * CHOOSE(CONTROL!$C$15, $E$9, 100%, $G$9) + CHOOSE(CONTROL!$C$38, 0.0342, 0)</f>
        <v>20.333499999999997</v>
      </c>
      <c r="J120" s="43">
        <f>116.6657</f>
        <v>116.6657</v>
      </c>
    </row>
    <row r="121" spans="1:10" ht="15" x14ac:dyDescent="0.2">
      <c r="A121" s="13">
        <v>44593</v>
      </c>
      <c r="B121" s="14">
        <f>21.5789 * CHOOSE(CONTROL!$C$15, $E$9, 100%, $G$9) + CHOOSE(CONTROL!$C$38, 0.0251, 0)</f>
        <v>21.603999999999999</v>
      </c>
      <c r="C121" s="14">
        <f>20.6199 * CHOOSE(CONTROL!$C$15, $E$9, 100%, $G$9) + CHOOSE(CONTROL!$C$38, 0.0342, 0)</f>
        <v>20.6541</v>
      </c>
      <c r="D121" s="14">
        <f>20.6121 * CHOOSE(CONTROL!$C$15, $E$9, 100%, $G$9) + CHOOSE(CONTROL!$C$38, 0.0342, 0)</f>
        <v>20.6463</v>
      </c>
      <c r="E121" s="45">
        <f>21.4226 * CHOOSE(CONTROL!$C$15, $E$9, 100%, $G$9) + CHOOSE(CONTROL!$C$38, 0.0342, 0)</f>
        <v>21.456799999999998</v>
      </c>
      <c r="F121" s="44">
        <f>21.4226 * CHOOSE(CONTROL!$C$15, $E$9, 100%, $G$9) + CHOOSE(CONTROL!$C$38, 0.0251, 0)</f>
        <v>21.447699999999998</v>
      </c>
      <c r="G121" s="14">
        <f>20.6183 * CHOOSE(CONTROL!$C$15, $E$9, 100%, $G$9) + CHOOSE(CONTROL!$C$38, 0.0342, 0)</f>
        <v>20.6525</v>
      </c>
      <c r="H121" s="14">
        <f>20.6183 * CHOOSE(CONTROL!$C$15, $E$9, 100%, $G$9) + CHOOSE(CONTROL!$C$38, 0.0342, 0)</f>
        <v>20.6525</v>
      </c>
      <c r="I121" s="14">
        <f>20.6199 * CHOOSE(CONTROL!$C$15, $E$9, 100%, $G$9) + CHOOSE(CONTROL!$C$38, 0.0342, 0)</f>
        <v>20.6541</v>
      </c>
      <c r="J121" s="43">
        <f>116.5811</f>
        <v>116.58110000000001</v>
      </c>
    </row>
    <row r="122" spans="1:10" ht="15" x14ac:dyDescent="0.2">
      <c r="A122" s="13">
        <v>44621</v>
      </c>
      <c r="B122" s="14">
        <f>20.9733 * CHOOSE(CONTROL!$C$15, $E$9, 100%, $G$9) + CHOOSE(CONTROL!$C$38, 0.0251, 0)</f>
        <v>20.998399999999997</v>
      </c>
      <c r="C122" s="14">
        <f>20.0126 * CHOOSE(CONTROL!$C$15, $E$9, 100%, $G$9) + CHOOSE(CONTROL!$C$38, 0.0342, 0)</f>
        <v>20.046799999999998</v>
      </c>
      <c r="D122" s="14">
        <f>20.0048 * CHOOSE(CONTROL!$C$15, $E$9, 100%, $G$9) + CHOOSE(CONTROL!$C$38, 0.0342, 0)</f>
        <v>20.038999999999998</v>
      </c>
      <c r="E122" s="45">
        <f>20.817 * CHOOSE(CONTROL!$C$15, $E$9, 100%, $G$9) + CHOOSE(CONTROL!$C$38, 0.0342, 0)</f>
        <v>20.851199999999999</v>
      </c>
      <c r="F122" s="44">
        <f>20.817 * CHOOSE(CONTROL!$C$15, $E$9, 100%, $G$9) + CHOOSE(CONTROL!$C$38, 0.0251, 0)</f>
        <v>20.842099999999999</v>
      </c>
      <c r="G122" s="14">
        <f>20.011 * CHOOSE(CONTROL!$C$15, $E$9, 100%, $G$9) + CHOOSE(CONTROL!$C$38, 0.0342, 0)</f>
        <v>20.045199999999998</v>
      </c>
      <c r="H122" s="14">
        <f>20.011 * CHOOSE(CONTROL!$C$15, $E$9, 100%, $G$9) + CHOOSE(CONTROL!$C$38, 0.0342, 0)</f>
        <v>20.045199999999998</v>
      </c>
      <c r="I122" s="14">
        <f>20.0126 * CHOOSE(CONTROL!$C$15, $E$9, 100%, $G$9) + CHOOSE(CONTROL!$C$38, 0.0342, 0)</f>
        <v>20.046799999999998</v>
      </c>
      <c r="J122" s="43">
        <f>122.9784</f>
        <v>122.97839999999999</v>
      </c>
    </row>
    <row r="123" spans="1:10" ht="15" x14ac:dyDescent="0.2">
      <c r="A123" s="13">
        <v>44652</v>
      </c>
      <c r="B123" s="14">
        <f>20.3852 * CHOOSE(CONTROL!$C$15, $E$9, 100%, $G$9) + CHOOSE(CONTROL!$C$38, 0.0251, 0)</f>
        <v>20.410299999999999</v>
      </c>
      <c r="C123" s="14">
        <f>19.4229 * CHOOSE(CONTROL!$C$15, $E$9, 100%, $G$9) + CHOOSE(CONTROL!$C$38, 0.0342, 0)</f>
        <v>19.457099999999997</v>
      </c>
      <c r="D123" s="14">
        <f>19.4151 * CHOOSE(CONTROL!$C$15, $E$9, 100%, $G$9) + CHOOSE(CONTROL!$C$38, 0.0342, 0)</f>
        <v>19.449299999999997</v>
      </c>
      <c r="E123" s="45">
        <f>20.229 * CHOOSE(CONTROL!$C$15, $E$9, 100%, $G$9) + CHOOSE(CONTROL!$C$38, 0.0342, 0)</f>
        <v>20.263199999999998</v>
      </c>
      <c r="F123" s="44">
        <f>20.229 * CHOOSE(CONTROL!$C$15, $E$9, 100%, $G$9) + CHOOSE(CONTROL!$C$38, 0.0251, 0)</f>
        <v>20.254099999999998</v>
      </c>
      <c r="G123" s="14">
        <f>19.4213 * CHOOSE(CONTROL!$C$15, $E$9, 100%, $G$9) + CHOOSE(CONTROL!$C$38, 0.0342, 0)</f>
        <v>19.455499999999997</v>
      </c>
      <c r="H123" s="14">
        <f>19.4213 * CHOOSE(CONTROL!$C$15, $E$9, 100%, $G$9) + CHOOSE(CONTROL!$C$38, 0.0342, 0)</f>
        <v>19.455499999999997</v>
      </c>
      <c r="I123" s="14">
        <f>19.4229 * CHOOSE(CONTROL!$C$15, $E$9, 100%, $G$9) + CHOOSE(CONTROL!$C$38, 0.0342, 0)</f>
        <v>19.457099999999997</v>
      </c>
      <c r="J123" s="43">
        <f>131.2325</f>
        <v>131.23249999999999</v>
      </c>
    </row>
    <row r="124" spans="1:10" ht="15" x14ac:dyDescent="0.2">
      <c r="A124" s="13">
        <v>44682</v>
      </c>
      <c r="B124" s="14">
        <f>19.768 * CHOOSE(CONTROL!$C$15, $E$9, 100%, $G$9) + CHOOSE(CONTROL!$C$38, 0.0264, 0)</f>
        <v>19.7944</v>
      </c>
      <c r="C124" s="14">
        <f>18.804 * CHOOSE(CONTROL!$C$15, $E$9, 100%, $G$9) + CHOOSE(CONTROL!$C$38, 0.0354, 0)</f>
        <v>18.839399999999998</v>
      </c>
      <c r="D124" s="14">
        <f>18.7962 * CHOOSE(CONTROL!$C$15, $E$9, 100%, $G$9) + CHOOSE(CONTROL!$C$38, 0.0354, 0)</f>
        <v>18.831599999999998</v>
      </c>
      <c r="E124" s="45">
        <f>19.6117 * CHOOSE(CONTROL!$C$15, $E$9, 100%, $G$9) + CHOOSE(CONTROL!$C$38, 0.0354, 0)</f>
        <v>19.647099999999998</v>
      </c>
      <c r="F124" s="44">
        <f>19.6117 * CHOOSE(CONTROL!$C$15, $E$9, 100%, $G$9) + CHOOSE(CONTROL!$C$38, 0.0264, 0)</f>
        <v>19.638099999999998</v>
      </c>
      <c r="G124" s="14">
        <f>18.8024 * CHOOSE(CONTROL!$C$15, $E$9, 100%, $G$9) + CHOOSE(CONTROL!$C$38, 0.0354, 0)</f>
        <v>18.837799999999998</v>
      </c>
      <c r="H124" s="14">
        <f>18.8024 * CHOOSE(CONTROL!$C$15, $E$9, 100%, $G$9) + CHOOSE(CONTROL!$C$38, 0.0354, 0)</f>
        <v>18.837799999999998</v>
      </c>
      <c r="I124" s="14">
        <f>18.804 * CHOOSE(CONTROL!$C$15, $E$9, 100%, $G$9) + CHOOSE(CONTROL!$C$38, 0.0354, 0)</f>
        <v>18.839399999999998</v>
      </c>
      <c r="J124" s="43">
        <f>135.9158</f>
        <v>135.91579999999999</v>
      </c>
    </row>
    <row r="125" spans="1:10" ht="15" x14ac:dyDescent="0.2">
      <c r="A125" s="13">
        <v>44713</v>
      </c>
      <c r="B125" s="14">
        <f>19.3452 * CHOOSE(CONTROL!$C$15, $E$9, 100%, $G$9) + CHOOSE(CONTROL!$C$38, 0.0264, 0)</f>
        <v>19.371599999999997</v>
      </c>
      <c r="C125" s="14">
        <f>18.3796 * CHOOSE(CONTROL!$C$15, $E$9, 100%, $G$9) + CHOOSE(CONTROL!$C$38, 0.0354, 0)</f>
        <v>18.414999999999999</v>
      </c>
      <c r="D125" s="14">
        <f>18.3718 * CHOOSE(CONTROL!$C$15, $E$9, 100%, $G$9) + CHOOSE(CONTROL!$C$38, 0.0354, 0)</f>
        <v>18.4072</v>
      </c>
      <c r="E125" s="45">
        <f>19.1889 * CHOOSE(CONTROL!$C$15, $E$9, 100%, $G$9) + CHOOSE(CONTROL!$C$38, 0.0354, 0)</f>
        <v>19.224299999999999</v>
      </c>
      <c r="F125" s="44">
        <f>19.1889 * CHOOSE(CONTROL!$C$15, $E$9, 100%, $G$9) + CHOOSE(CONTROL!$C$38, 0.0264, 0)</f>
        <v>19.215299999999999</v>
      </c>
      <c r="G125" s="14">
        <f>18.378 * CHOOSE(CONTROL!$C$15, $E$9, 100%, $G$9) + CHOOSE(CONTROL!$C$38, 0.0354, 0)</f>
        <v>18.413399999999999</v>
      </c>
      <c r="H125" s="14">
        <f>18.378 * CHOOSE(CONTROL!$C$15, $E$9, 100%, $G$9) + CHOOSE(CONTROL!$C$38, 0.0354, 0)</f>
        <v>18.413399999999999</v>
      </c>
      <c r="I125" s="14">
        <f>18.3796 * CHOOSE(CONTROL!$C$15, $E$9, 100%, $G$9) + CHOOSE(CONTROL!$C$38, 0.0354, 0)</f>
        <v>18.414999999999999</v>
      </c>
      <c r="J125" s="43">
        <f>138.1582</f>
        <v>138.15819999999999</v>
      </c>
    </row>
    <row r="126" spans="1:10" ht="15" x14ac:dyDescent="0.2">
      <c r="A126" s="13">
        <v>44743</v>
      </c>
      <c r="B126" s="14">
        <f>19.1195 * CHOOSE(CONTROL!$C$15, $E$9, 100%, $G$9) + CHOOSE(CONTROL!$C$38, 0.0264, 0)</f>
        <v>19.145899999999997</v>
      </c>
      <c r="C126" s="14">
        <f>18.1522 * CHOOSE(CONTROL!$C$15, $E$9, 100%, $G$9) + CHOOSE(CONTROL!$C$38, 0.0354, 0)</f>
        <v>18.1876</v>
      </c>
      <c r="D126" s="14">
        <f>18.1443 * CHOOSE(CONTROL!$C$15, $E$9, 100%, $G$9) + CHOOSE(CONTROL!$C$38, 0.0354, 0)</f>
        <v>18.1797</v>
      </c>
      <c r="E126" s="45">
        <f>18.9632 * CHOOSE(CONTROL!$C$15, $E$9, 100%, $G$9) + CHOOSE(CONTROL!$C$38, 0.0354, 0)</f>
        <v>18.9986</v>
      </c>
      <c r="F126" s="44">
        <f>18.9632 * CHOOSE(CONTROL!$C$15, $E$9, 100%, $G$9) + CHOOSE(CONTROL!$C$38, 0.0264, 0)</f>
        <v>18.989599999999999</v>
      </c>
      <c r="G126" s="14">
        <f>18.1506 * CHOOSE(CONTROL!$C$15, $E$9, 100%, $G$9) + CHOOSE(CONTROL!$C$38, 0.0354, 0)</f>
        <v>18.186</v>
      </c>
      <c r="H126" s="14">
        <f>18.1506 * CHOOSE(CONTROL!$C$15, $E$9, 100%, $G$9) + CHOOSE(CONTROL!$C$38, 0.0354, 0)</f>
        <v>18.186</v>
      </c>
      <c r="I126" s="14">
        <f>18.1522 * CHOOSE(CONTROL!$C$15, $E$9, 100%, $G$9) + CHOOSE(CONTROL!$C$38, 0.0354, 0)</f>
        <v>18.1876</v>
      </c>
      <c r="J126" s="43">
        <f>137.7953</f>
        <v>137.7953</v>
      </c>
    </row>
    <row r="127" spans="1:10" ht="15" x14ac:dyDescent="0.2">
      <c r="A127" s="13">
        <v>44774</v>
      </c>
      <c r="B127" s="14">
        <f>19.2883 * CHOOSE(CONTROL!$C$15, $E$9, 100%, $G$9) + CHOOSE(CONTROL!$C$38, 0.0264, 0)</f>
        <v>19.314699999999998</v>
      </c>
      <c r="C127" s="14">
        <f>18.3193 * CHOOSE(CONTROL!$C$15, $E$9, 100%, $G$9) + CHOOSE(CONTROL!$C$38, 0.0354, 0)</f>
        <v>18.354699999999998</v>
      </c>
      <c r="D127" s="14">
        <f>18.3115 * CHOOSE(CONTROL!$C$15, $E$9, 100%, $G$9) + CHOOSE(CONTROL!$C$38, 0.0354, 0)</f>
        <v>18.346899999999998</v>
      </c>
      <c r="E127" s="45">
        <f>19.132 * CHOOSE(CONTROL!$C$15, $E$9, 100%, $G$9) + CHOOSE(CONTROL!$C$38, 0.0354, 0)</f>
        <v>19.167400000000001</v>
      </c>
      <c r="F127" s="44">
        <f>19.132 * CHOOSE(CONTROL!$C$15, $E$9, 100%, $G$9) + CHOOSE(CONTROL!$C$38, 0.0264, 0)</f>
        <v>19.1584</v>
      </c>
      <c r="G127" s="14">
        <f>18.3178 * CHOOSE(CONTROL!$C$15, $E$9, 100%, $G$9) + CHOOSE(CONTROL!$C$38, 0.0354, 0)</f>
        <v>18.353199999999998</v>
      </c>
      <c r="H127" s="14">
        <f>18.3178 * CHOOSE(CONTROL!$C$15, $E$9, 100%, $G$9) + CHOOSE(CONTROL!$C$38, 0.0354, 0)</f>
        <v>18.353199999999998</v>
      </c>
      <c r="I127" s="14">
        <f>18.3193 * CHOOSE(CONTROL!$C$15, $E$9, 100%, $G$9) + CHOOSE(CONTROL!$C$38, 0.0354, 0)</f>
        <v>18.354699999999998</v>
      </c>
      <c r="J127" s="43">
        <f>134.8647</f>
        <v>134.8647</v>
      </c>
    </row>
    <row r="128" spans="1:10" ht="15" x14ac:dyDescent="0.2">
      <c r="A128" s="13">
        <v>44805</v>
      </c>
      <c r="B128" s="14">
        <f>19.6825 * CHOOSE(CONTROL!$C$15, $E$9, 100%, $G$9) + CHOOSE(CONTROL!$C$38, 0.0264, 0)</f>
        <v>19.7089</v>
      </c>
      <c r="C128" s="14">
        <f>18.7119 * CHOOSE(CONTROL!$C$15, $E$9, 100%, $G$9) + CHOOSE(CONTROL!$C$38, 0.0354, 0)</f>
        <v>18.747299999999999</v>
      </c>
      <c r="D128" s="14">
        <f>18.7041 * CHOOSE(CONTROL!$C$15, $E$9, 100%, $G$9) + CHOOSE(CONTROL!$C$38, 0.0354, 0)</f>
        <v>18.7395</v>
      </c>
      <c r="E128" s="45">
        <f>19.5263 * CHOOSE(CONTROL!$C$15, $E$9, 100%, $G$9) + CHOOSE(CONTROL!$C$38, 0.0354, 0)</f>
        <v>19.561699999999998</v>
      </c>
      <c r="F128" s="44">
        <f>19.5263 * CHOOSE(CONTROL!$C$15, $E$9, 100%, $G$9) + CHOOSE(CONTROL!$C$38, 0.0264, 0)</f>
        <v>19.552699999999998</v>
      </c>
      <c r="G128" s="14">
        <f>18.7103 * CHOOSE(CONTROL!$C$15, $E$9, 100%, $G$9) + CHOOSE(CONTROL!$C$38, 0.0354, 0)</f>
        <v>18.745699999999999</v>
      </c>
      <c r="H128" s="14">
        <f>18.7103 * CHOOSE(CONTROL!$C$15, $E$9, 100%, $G$9) + CHOOSE(CONTROL!$C$38, 0.0354, 0)</f>
        <v>18.745699999999999</v>
      </c>
      <c r="I128" s="14">
        <f>18.7119 * CHOOSE(CONTROL!$C$15, $E$9, 100%, $G$9) + CHOOSE(CONTROL!$C$38, 0.0354, 0)</f>
        <v>18.747299999999999</v>
      </c>
      <c r="J128" s="43">
        <f>130.6506</f>
        <v>130.6506</v>
      </c>
    </row>
    <row r="129" spans="1:10" ht="15" x14ac:dyDescent="0.2">
      <c r="A129" s="13">
        <v>44835</v>
      </c>
      <c r="B129" s="14">
        <f>20.0204 * CHOOSE(CONTROL!$C$15, $E$9, 100%, $G$9) + CHOOSE(CONTROL!$C$38, 0.0251, 0)</f>
        <v>20.045499999999997</v>
      </c>
      <c r="C129" s="14">
        <f>19.0481 * CHOOSE(CONTROL!$C$15, $E$9, 100%, $G$9) + CHOOSE(CONTROL!$C$38, 0.0342, 0)</f>
        <v>19.0823</v>
      </c>
      <c r="D129" s="14">
        <f>19.0403 * CHOOSE(CONTROL!$C$15, $E$9, 100%, $G$9) + CHOOSE(CONTROL!$C$38, 0.0342, 0)</f>
        <v>19.074499999999997</v>
      </c>
      <c r="E129" s="45">
        <f>19.8641 * CHOOSE(CONTROL!$C$15, $E$9, 100%, $G$9) + CHOOSE(CONTROL!$C$38, 0.0342, 0)</f>
        <v>19.898299999999999</v>
      </c>
      <c r="F129" s="44">
        <f>19.8641 * CHOOSE(CONTROL!$C$15, $E$9, 100%, $G$9) + CHOOSE(CONTROL!$C$38, 0.0251, 0)</f>
        <v>19.889199999999999</v>
      </c>
      <c r="G129" s="14">
        <f>19.0465 * CHOOSE(CONTROL!$C$15, $E$9, 100%, $G$9) + CHOOSE(CONTROL!$C$38, 0.0342, 0)</f>
        <v>19.0807</v>
      </c>
      <c r="H129" s="14">
        <f>19.0465 * CHOOSE(CONTROL!$C$15, $E$9, 100%, $G$9) + CHOOSE(CONTROL!$C$38, 0.0342, 0)</f>
        <v>19.0807</v>
      </c>
      <c r="I129" s="14">
        <f>19.0481 * CHOOSE(CONTROL!$C$15, $E$9, 100%, $G$9) + CHOOSE(CONTROL!$C$38, 0.0342, 0)</f>
        <v>19.0823</v>
      </c>
      <c r="J129" s="43">
        <f>126.3924</f>
        <v>126.39239999999999</v>
      </c>
    </row>
    <row r="130" spans="1:10" ht="15" x14ac:dyDescent="0.2">
      <c r="A130" s="13">
        <v>44866</v>
      </c>
      <c r="B130" s="14">
        <f>20.31 * CHOOSE(CONTROL!$C$15, $E$9, 100%, $G$9) + CHOOSE(CONTROL!$C$38, 0.0251, 0)</f>
        <v>20.335099999999997</v>
      </c>
      <c r="C130" s="14">
        <f>19.336 * CHOOSE(CONTROL!$C$15, $E$9, 100%, $G$9) + CHOOSE(CONTROL!$C$38, 0.0342, 0)</f>
        <v>19.370199999999997</v>
      </c>
      <c r="D130" s="14">
        <f>19.3282 * CHOOSE(CONTROL!$C$15, $E$9, 100%, $G$9) + CHOOSE(CONTROL!$C$38, 0.0342, 0)</f>
        <v>19.362399999999997</v>
      </c>
      <c r="E130" s="45">
        <f>20.1538 * CHOOSE(CONTROL!$C$15, $E$9, 100%, $G$9) + CHOOSE(CONTROL!$C$38, 0.0342, 0)</f>
        <v>20.187999999999999</v>
      </c>
      <c r="F130" s="44">
        <f>20.1538 * CHOOSE(CONTROL!$C$15, $E$9, 100%, $G$9) + CHOOSE(CONTROL!$C$38, 0.0251, 0)</f>
        <v>20.178899999999999</v>
      </c>
      <c r="G130" s="14">
        <f>19.3345 * CHOOSE(CONTROL!$C$15, $E$9, 100%, $G$9) + CHOOSE(CONTROL!$C$38, 0.0342, 0)</f>
        <v>19.368699999999997</v>
      </c>
      <c r="H130" s="14">
        <f>19.3345 * CHOOSE(CONTROL!$C$15, $E$9, 100%, $G$9) + CHOOSE(CONTROL!$C$38, 0.0342, 0)</f>
        <v>19.368699999999997</v>
      </c>
      <c r="I130" s="14">
        <f>19.336 * CHOOSE(CONTROL!$C$15, $E$9, 100%, $G$9) + CHOOSE(CONTROL!$C$38, 0.0342, 0)</f>
        <v>19.370199999999997</v>
      </c>
      <c r="J130" s="43">
        <f>125.7503</f>
        <v>125.7503</v>
      </c>
    </row>
    <row r="131" spans="1:10" ht="15" x14ac:dyDescent="0.2">
      <c r="A131" s="13">
        <v>44896</v>
      </c>
      <c r="B131" s="14">
        <f>21.1215 * CHOOSE(CONTROL!$C$15, $E$9, 100%, $G$9) + CHOOSE(CONTROL!$C$38, 0.0251, 0)</f>
        <v>21.146599999999999</v>
      </c>
      <c r="C131" s="14">
        <f>20.1458 * CHOOSE(CONTROL!$C$15, $E$9, 100%, $G$9) + CHOOSE(CONTROL!$C$38, 0.0342, 0)</f>
        <v>20.18</v>
      </c>
      <c r="D131" s="14">
        <f>20.138 * CHOOSE(CONTROL!$C$15, $E$9, 100%, $G$9) + CHOOSE(CONTROL!$C$38, 0.0342, 0)</f>
        <v>20.1722</v>
      </c>
      <c r="E131" s="45">
        <f>20.9652 * CHOOSE(CONTROL!$C$15, $E$9, 100%, $G$9) + CHOOSE(CONTROL!$C$38, 0.0342, 0)</f>
        <v>20.999399999999998</v>
      </c>
      <c r="F131" s="44">
        <f>20.9652 * CHOOSE(CONTROL!$C$15, $E$9, 100%, $G$9) + CHOOSE(CONTROL!$C$38, 0.0251, 0)</f>
        <v>20.990299999999998</v>
      </c>
      <c r="G131" s="14">
        <f>20.1442 * CHOOSE(CONTROL!$C$15, $E$9, 100%, $G$9) + CHOOSE(CONTROL!$C$38, 0.0342, 0)</f>
        <v>20.1784</v>
      </c>
      <c r="H131" s="14">
        <f>20.1442 * CHOOSE(CONTROL!$C$15, $E$9, 100%, $G$9) + CHOOSE(CONTROL!$C$38, 0.0342, 0)</f>
        <v>20.1784</v>
      </c>
      <c r="I131" s="14">
        <f>20.1458 * CHOOSE(CONTROL!$C$15, $E$9, 100%, $G$9) + CHOOSE(CONTROL!$C$38, 0.0342, 0)</f>
        <v>20.18</v>
      </c>
      <c r="J131" s="43">
        <f>122.27</f>
        <v>122.27</v>
      </c>
    </row>
    <row r="132" spans="1:10" ht="15" x14ac:dyDescent="0.2">
      <c r="A132" s="13">
        <v>44927</v>
      </c>
      <c r="B132" s="14">
        <f>22.3759 * CHOOSE(CONTROL!$C$15, $E$9, 100%, $G$9) + CHOOSE(CONTROL!$C$38, 0.0251, 0)</f>
        <v>22.401</v>
      </c>
      <c r="C132" s="14">
        <f>21.2536 * CHOOSE(CONTROL!$C$15, $E$9, 100%, $G$9) + CHOOSE(CONTROL!$C$38, 0.0342, 0)</f>
        <v>21.287799999999997</v>
      </c>
      <c r="D132" s="14">
        <f>21.2458 * CHOOSE(CONTROL!$C$15, $E$9, 100%, $G$9) + CHOOSE(CONTROL!$C$38, 0.0342, 0)</f>
        <v>21.279999999999998</v>
      </c>
      <c r="E132" s="45">
        <f>22.2197 * CHOOSE(CONTROL!$C$15, $E$9, 100%, $G$9) + CHOOSE(CONTROL!$C$38, 0.0342, 0)</f>
        <v>22.253899999999998</v>
      </c>
      <c r="F132" s="44">
        <f>22.2197 * CHOOSE(CONTROL!$C$15, $E$9, 100%, $G$9) + CHOOSE(CONTROL!$C$38, 0.0251, 0)</f>
        <v>22.244799999999998</v>
      </c>
      <c r="G132" s="14">
        <f>21.2521 * CHOOSE(CONTROL!$C$15, $E$9, 100%, $G$9) + CHOOSE(CONTROL!$C$38, 0.0342, 0)</f>
        <v>21.286299999999997</v>
      </c>
      <c r="H132" s="14">
        <f>21.2521 * CHOOSE(CONTROL!$C$15, $E$9, 100%, $G$9) + CHOOSE(CONTROL!$C$38, 0.0342, 0)</f>
        <v>21.286299999999997</v>
      </c>
      <c r="I132" s="14">
        <f>21.2536 * CHOOSE(CONTROL!$C$15, $E$9, 100%, $G$9) + CHOOSE(CONTROL!$C$38, 0.0342, 0)</f>
        <v>21.287799999999997</v>
      </c>
      <c r="J132" s="43">
        <f>122.6189</f>
        <v>122.6189</v>
      </c>
    </row>
    <row r="133" spans="1:10" ht="15" x14ac:dyDescent="0.2">
      <c r="A133" s="13">
        <v>44958</v>
      </c>
      <c r="B133" s="14">
        <f>22.7074 * CHOOSE(CONTROL!$C$15, $E$9, 100%, $G$9) + CHOOSE(CONTROL!$C$38, 0.0251, 0)</f>
        <v>22.732499999999998</v>
      </c>
      <c r="C133" s="14">
        <f>21.5831 * CHOOSE(CONTROL!$C$15, $E$9, 100%, $G$9) + CHOOSE(CONTROL!$C$38, 0.0342, 0)</f>
        <v>21.6173</v>
      </c>
      <c r="D133" s="14">
        <f>21.5753 * CHOOSE(CONTROL!$C$15, $E$9, 100%, $G$9) + CHOOSE(CONTROL!$C$38, 0.0342, 0)</f>
        <v>21.609499999999997</v>
      </c>
      <c r="E133" s="45">
        <f>22.5512 * CHOOSE(CONTROL!$C$15, $E$9, 100%, $G$9) + CHOOSE(CONTROL!$C$38, 0.0342, 0)</f>
        <v>22.5854</v>
      </c>
      <c r="F133" s="44">
        <f>22.5512 * CHOOSE(CONTROL!$C$15, $E$9, 100%, $G$9) + CHOOSE(CONTROL!$C$38, 0.0251, 0)</f>
        <v>22.5763</v>
      </c>
      <c r="G133" s="14">
        <f>21.5816 * CHOOSE(CONTROL!$C$15, $E$9, 100%, $G$9) + CHOOSE(CONTROL!$C$38, 0.0342, 0)</f>
        <v>21.6158</v>
      </c>
      <c r="H133" s="14">
        <f>21.5816 * CHOOSE(CONTROL!$C$15, $E$9, 100%, $G$9) + CHOOSE(CONTROL!$C$38, 0.0342, 0)</f>
        <v>21.6158</v>
      </c>
      <c r="I133" s="14">
        <f>21.5831 * CHOOSE(CONTROL!$C$15, $E$9, 100%, $G$9) + CHOOSE(CONTROL!$C$38, 0.0342, 0)</f>
        <v>21.6173</v>
      </c>
      <c r="J133" s="43">
        <f>122.53</f>
        <v>122.53</v>
      </c>
    </row>
    <row r="134" spans="1:10" ht="15" x14ac:dyDescent="0.2">
      <c r="A134" s="13">
        <v>44986</v>
      </c>
      <c r="B134" s="14">
        <f>22.0879 * CHOOSE(CONTROL!$C$15, $E$9, 100%, $G$9) + CHOOSE(CONTROL!$C$38, 0.0251, 0)</f>
        <v>22.113</v>
      </c>
      <c r="C134" s="14">
        <f>20.9616 * CHOOSE(CONTROL!$C$15, $E$9, 100%, $G$9) + CHOOSE(CONTROL!$C$38, 0.0342, 0)</f>
        <v>20.995799999999999</v>
      </c>
      <c r="D134" s="14">
        <f>20.9538 * CHOOSE(CONTROL!$C$15, $E$9, 100%, $G$9) + CHOOSE(CONTROL!$C$38, 0.0342, 0)</f>
        <v>20.988</v>
      </c>
      <c r="E134" s="45">
        <f>21.9316 * CHOOSE(CONTROL!$C$15, $E$9, 100%, $G$9) + CHOOSE(CONTROL!$C$38, 0.0342, 0)</f>
        <v>21.965799999999998</v>
      </c>
      <c r="F134" s="44">
        <f>21.9316 * CHOOSE(CONTROL!$C$15, $E$9, 100%, $G$9) + CHOOSE(CONTROL!$C$38, 0.0251, 0)</f>
        <v>21.956699999999998</v>
      </c>
      <c r="G134" s="14">
        <f>20.9601 * CHOOSE(CONTROL!$C$15, $E$9, 100%, $G$9) + CHOOSE(CONTROL!$C$38, 0.0342, 0)</f>
        <v>20.994299999999999</v>
      </c>
      <c r="H134" s="14">
        <f>20.9601 * CHOOSE(CONTROL!$C$15, $E$9, 100%, $G$9) + CHOOSE(CONTROL!$C$38, 0.0342, 0)</f>
        <v>20.994299999999999</v>
      </c>
      <c r="I134" s="14">
        <f>20.9616 * CHOOSE(CONTROL!$C$15, $E$9, 100%, $G$9) + CHOOSE(CONTROL!$C$38, 0.0342, 0)</f>
        <v>20.995799999999999</v>
      </c>
      <c r="J134" s="43">
        <f>129.2537</f>
        <v>129.25370000000001</v>
      </c>
    </row>
    <row r="135" spans="1:10" ht="15" x14ac:dyDescent="0.2">
      <c r="A135" s="13">
        <v>45017</v>
      </c>
      <c r="B135" s="14">
        <f>21.4864 * CHOOSE(CONTROL!$C$15, $E$9, 100%, $G$9) + CHOOSE(CONTROL!$C$38, 0.0251, 0)</f>
        <v>21.511499999999998</v>
      </c>
      <c r="C135" s="14">
        <f>20.3581 * CHOOSE(CONTROL!$C$15, $E$9, 100%, $G$9) + CHOOSE(CONTROL!$C$38, 0.0342, 0)</f>
        <v>20.392299999999999</v>
      </c>
      <c r="D135" s="14">
        <f>20.3503 * CHOOSE(CONTROL!$C$15, $E$9, 100%, $G$9) + CHOOSE(CONTROL!$C$38, 0.0342, 0)</f>
        <v>20.384499999999999</v>
      </c>
      <c r="E135" s="45">
        <f>21.3302 * CHOOSE(CONTROL!$C$15, $E$9, 100%, $G$9) + CHOOSE(CONTROL!$C$38, 0.0342, 0)</f>
        <v>21.3644</v>
      </c>
      <c r="F135" s="44">
        <f>21.3302 * CHOOSE(CONTROL!$C$15, $E$9, 100%, $G$9) + CHOOSE(CONTROL!$C$38, 0.0251, 0)</f>
        <v>21.3553</v>
      </c>
      <c r="G135" s="14">
        <f>20.3566 * CHOOSE(CONTROL!$C$15, $E$9, 100%, $G$9) + CHOOSE(CONTROL!$C$38, 0.0342, 0)</f>
        <v>20.390799999999999</v>
      </c>
      <c r="H135" s="14">
        <f>20.3566 * CHOOSE(CONTROL!$C$15, $E$9, 100%, $G$9) + CHOOSE(CONTROL!$C$38, 0.0342, 0)</f>
        <v>20.390799999999999</v>
      </c>
      <c r="I135" s="14">
        <f>20.3581 * CHOOSE(CONTROL!$C$15, $E$9, 100%, $G$9) + CHOOSE(CONTROL!$C$38, 0.0342, 0)</f>
        <v>20.392299999999999</v>
      </c>
      <c r="J135" s="43">
        <f>137.929</f>
        <v>137.929</v>
      </c>
    </row>
    <row r="136" spans="1:10" ht="15" x14ac:dyDescent="0.2">
      <c r="A136" s="13">
        <v>45047</v>
      </c>
      <c r="B136" s="14">
        <f>20.855 * CHOOSE(CONTROL!$C$15, $E$9, 100%, $G$9) + CHOOSE(CONTROL!$C$38, 0.0264, 0)</f>
        <v>20.881399999999999</v>
      </c>
      <c r="C136" s="14">
        <f>19.7247 * CHOOSE(CONTROL!$C$15, $E$9, 100%, $G$9) + CHOOSE(CONTROL!$C$38, 0.0354, 0)</f>
        <v>19.760099999999998</v>
      </c>
      <c r="D136" s="14">
        <f>19.7169 * CHOOSE(CONTROL!$C$15, $E$9, 100%, $G$9) + CHOOSE(CONTROL!$C$38, 0.0354, 0)</f>
        <v>19.752299999999998</v>
      </c>
      <c r="E136" s="45">
        <f>20.6987 * CHOOSE(CONTROL!$C$15, $E$9, 100%, $G$9) + CHOOSE(CONTROL!$C$38, 0.0354, 0)</f>
        <v>20.734099999999998</v>
      </c>
      <c r="F136" s="44">
        <f>20.6987 * CHOOSE(CONTROL!$C$15, $E$9, 100%, $G$9) + CHOOSE(CONTROL!$C$38, 0.0264, 0)</f>
        <v>20.725099999999998</v>
      </c>
      <c r="G136" s="14">
        <f>19.7232 * CHOOSE(CONTROL!$C$15, $E$9, 100%, $G$9) + CHOOSE(CONTROL!$C$38, 0.0354, 0)</f>
        <v>19.758599999999998</v>
      </c>
      <c r="H136" s="14">
        <f>19.7232 * CHOOSE(CONTROL!$C$15, $E$9, 100%, $G$9) + CHOOSE(CONTROL!$C$38, 0.0354, 0)</f>
        <v>19.758599999999998</v>
      </c>
      <c r="I136" s="14">
        <f>19.7247 * CHOOSE(CONTROL!$C$15, $E$9, 100%, $G$9) + CHOOSE(CONTROL!$C$38, 0.0354, 0)</f>
        <v>19.760099999999998</v>
      </c>
      <c r="J136" s="43">
        <f>142.8513</f>
        <v>142.85130000000001</v>
      </c>
    </row>
    <row r="137" spans="1:10" ht="15" x14ac:dyDescent="0.2">
      <c r="A137" s="13">
        <v>45078</v>
      </c>
      <c r="B137" s="14">
        <f>20.4229 * CHOOSE(CONTROL!$C$15, $E$9, 100%, $G$9) + CHOOSE(CONTROL!$C$38, 0.0264, 0)</f>
        <v>20.449299999999997</v>
      </c>
      <c r="C137" s="14">
        <f>19.2906 * CHOOSE(CONTROL!$C$15, $E$9, 100%, $G$9) + CHOOSE(CONTROL!$C$38, 0.0354, 0)</f>
        <v>19.326000000000001</v>
      </c>
      <c r="D137" s="14">
        <f>19.2828 * CHOOSE(CONTROL!$C$15, $E$9, 100%, $G$9) + CHOOSE(CONTROL!$C$38, 0.0354, 0)</f>
        <v>19.318200000000001</v>
      </c>
      <c r="E137" s="45">
        <f>20.2666 * CHOOSE(CONTROL!$C$15, $E$9, 100%, $G$9) + CHOOSE(CONTROL!$C$38, 0.0354, 0)</f>
        <v>20.302</v>
      </c>
      <c r="F137" s="44">
        <f>20.2666 * CHOOSE(CONTROL!$C$15, $E$9, 100%, $G$9) + CHOOSE(CONTROL!$C$38, 0.0264, 0)</f>
        <v>20.292999999999999</v>
      </c>
      <c r="G137" s="14">
        <f>19.2891 * CHOOSE(CONTROL!$C$15, $E$9, 100%, $G$9) + CHOOSE(CONTROL!$C$38, 0.0354, 0)</f>
        <v>19.3245</v>
      </c>
      <c r="H137" s="14">
        <f>19.2891 * CHOOSE(CONTROL!$C$15, $E$9, 100%, $G$9) + CHOOSE(CONTROL!$C$38, 0.0354, 0)</f>
        <v>19.3245</v>
      </c>
      <c r="I137" s="14">
        <f>19.2906 * CHOOSE(CONTROL!$C$15, $E$9, 100%, $G$9) + CHOOSE(CONTROL!$C$38, 0.0354, 0)</f>
        <v>19.326000000000001</v>
      </c>
      <c r="J137" s="43">
        <f>145.2081</f>
        <v>145.2081</v>
      </c>
    </row>
    <row r="138" spans="1:10" ht="15" x14ac:dyDescent="0.2">
      <c r="A138" s="13">
        <v>45108</v>
      </c>
      <c r="B138" s="14">
        <f>20.1928 * CHOOSE(CONTROL!$C$15, $E$9, 100%, $G$9) + CHOOSE(CONTROL!$C$38, 0.0264, 0)</f>
        <v>20.219199999999997</v>
      </c>
      <c r="C138" s="14">
        <f>19.0585 * CHOOSE(CONTROL!$C$15, $E$9, 100%, $G$9) + CHOOSE(CONTROL!$C$38, 0.0354, 0)</f>
        <v>19.093899999999998</v>
      </c>
      <c r="D138" s="14">
        <f>19.0507 * CHOOSE(CONTROL!$C$15, $E$9, 100%, $G$9) + CHOOSE(CONTROL!$C$38, 0.0354, 0)</f>
        <v>19.086099999999998</v>
      </c>
      <c r="E138" s="45">
        <f>20.0365 * CHOOSE(CONTROL!$C$15, $E$9, 100%, $G$9) + CHOOSE(CONTROL!$C$38, 0.0354, 0)</f>
        <v>20.071899999999999</v>
      </c>
      <c r="F138" s="44">
        <f>20.0365 * CHOOSE(CONTROL!$C$15, $E$9, 100%, $G$9) + CHOOSE(CONTROL!$C$38, 0.0264, 0)</f>
        <v>20.062899999999999</v>
      </c>
      <c r="G138" s="14">
        <f>19.0569 * CHOOSE(CONTROL!$C$15, $E$9, 100%, $G$9) + CHOOSE(CONTROL!$C$38, 0.0354, 0)</f>
        <v>19.092299999999998</v>
      </c>
      <c r="H138" s="14">
        <f>19.0569 * CHOOSE(CONTROL!$C$15, $E$9, 100%, $G$9) + CHOOSE(CONTROL!$C$38, 0.0354, 0)</f>
        <v>19.092299999999998</v>
      </c>
      <c r="I138" s="14">
        <f>19.0585 * CHOOSE(CONTROL!$C$15, $E$9, 100%, $G$9) + CHOOSE(CONTROL!$C$38, 0.0354, 0)</f>
        <v>19.093899999999998</v>
      </c>
      <c r="J138" s="43">
        <f>144.8267</f>
        <v>144.82669999999999</v>
      </c>
    </row>
    <row r="139" spans="1:10" ht="15" x14ac:dyDescent="0.2">
      <c r="A139" s="13">
        <v>45139</v>
      </c>
      <c r="B139" s="14">
        <f>20.3671 * CHOOSE(CONTROL!$C$15, $E$9, 100%, $G$9) + CHOOSE(CONTROL!$C$38, 0.0264, 0)</f>
        <v>20.3935</v>
      </c>
      <c r="C139" s="14">
        <f>19.2308 * CHOOSE(CONTROL!$C$15, $E$9, 100%, $G$9) + CHOOSE(CONTROL!$C$38, 0.0354, 0)</f>
        <v>19.266199999999998</v>
      </c>
      <c r="D139" s="14">
        <f>19.223 * CHOOSE(CONTROL!$C$15, $E$9, 100%, $G$9) + CHOOSE(CONTROL!$C$38, 0.0354, 0)</f>
        <v>19.258399999999998</v>
      </c>
      <c r="E139" s="45">
        <f>20.2108 * CHOOSE(CONTROL!$C$15, $E$9, 100%, $G$9) + CHOOSE(CONTROL!$C$38, 0.0354, 0)</f>
        <v>20.246199999999998</v>
      </c>
      <c r="F139" s="44">
        <f>20.2108 * CHOOSE(CONTROL!$C$15, $E$9, 100%, $G$9) + CHOOSE(CONTROL!$C$38, 0.0264, 0)</f>
        <v>20.237199999999998</v>
      </c>
      <c r="G139" s="14">
        <f>19.2292 * CHOOSE(CONTROL!$C$15, $E$9, 100%, $G$9) + CHOOSE(CONTROL!$C$38, 0.0354, 0)</f>
        <v>19.264599999999998</v>
      </c>
      <c r="H139" s="14">
        <f>19.2292 * CHOOSE(CONTROL!$C$15, $E$9, 100%, $G$9) + CHOOSE(CONTROL!$C$38, 0.0354, 0)</f>
        <v>19.264599999999998</v>
      </c>
      <c r="I139" s="14">
        <f>19.2308 * CHOOSE(CONTROL!$C$15, $E$9, 100%, $G$9) + CHOOSE(CONTROL!$C$38, 0.0354, 0)</f>
        <v>19.266199999999998</v>
      </c>
      <c r="J139" s="43">
        <f>141.7466</f>
        <v>141.7466</v>
      </c>
    </row>
    <row r="140" spans="1:10" ht="15" x14ac:dyDescent="0.2">
      <c r="A140" s="13">
        <v>45170</v>
      </c>
      <c r="B140" s="14">
        <f>20.7724 * CHOOSE(CONTROL!$C$15, $E$9, 100%, $G$9) + CHOOSE(CONTROL!$C$38, 0.0264, 0)</f>
        <v>20.7988</v>
      </c>
      <c r="C140" s="14">
        <f>19.6341 * CHOOSE(CONTROL!$C$15, $E$9, 100%, $G$9) + CHOOSE(CONTROL!$C$38, 0.0354, 0)</f>
        <v>19.669499999999999</v>
      </c>
      <c r="D140" s="14">
        <f>19.6263 * CHOOSE(CONTROL!$C$15, $E$9, 100%, $G$9) + CHOOSE(CONTROL!$C$38, 0.0354, 0)</f>
        <v>19.6617</v>
      </c>
      <c r="E140" s="45">
        <f>20.6162 * CHOOSE(CONTROL!$C$15, $E$9, 100%, $G$9) + CHOOSE(CONTROL!$C$38, 0.0354, 0)</f>
        <v>20.651599999999998</v>
      </c>
      <c r="F140" s="44">
        <f>20.6162 * CHOOSE(CONTROL!$C$15, $E$9, 100%, $G$9) + CHOOSE(CONTROL!$C$38, 0.0264, 0)</f>
        <v>20.642599999999998</v>
      </c>
      <c r="G140" s="14">
        <f>19.6326 * CHOOSE(CONTROL!$C$15, $E$9, 100%, $G$9) + CHOOSE(CONTROL!$C$38, 0.0354, 0)</f>
        <v>19.667999999999999</v>
      </c>
      <c r="H140" s="14">
        <f>19.6326 * CHOOSE(CONTROL!$C$15, $E$9, 100%, $G$9) + CHOOSE(CONTROL!$C$38, 0.0354, 0)</f>
        <v>19.667999999999999</v>
      </c>
      <c r="I140" s="14">
        <f>19.6341 * CHOOSE(CONTROL!$C$15, $E$9, 100%, $G$9) + CHOOSE(CONTROL!$C$38, 0.0354, 0)</f>
        <v>19.669499999999999</v>
      </c>
      <c r="J140" s="43">
        <f>137.3174</f>
        <v>137.31739999999999</v>
      </c>
    </row>
    <row r="141" spans="1:10" ht="15" x14ac:dyDescent="0.2">
      <c r="A141" s="13">
        <v>45200</v>
      </c>
      <c r="B141" s="14">
        <f>21.12 * CHOOSE(CONTROL!$C$15, $E$9, 100%, $G$9) + CHOOSE(CONTROL!$C$38, 0.0251, 0)</f>
        <v>21.145099999999999</v>
      </c>
      <c r="C141" s="14">
        <f>19.9797 * CHOOSE(CONTROL!$C$15, $E$9, 100%, $G$9) + CHOOSE(CONTROL!$C$38, 0.0342, 0)</f>
        <v>20.0139</v>
      </c>
      <c r="D141" s="14">
        <f>19.9719 * CHOOSE(CONTROL!$C$15, $E$9, 100%, $G$9) + CHOOSE(CONTROL!$C$38, 0.0342, 0)</f>
        <v>20.0061</v>
      </c>
      <c r="E141" s="45">
        <f>20.9637 * CHOOSE(CONTROL!$C$15, $E$9, 100%, $G$9) + CHOOSE(CONTROL!$C$38, 0.0342, 0)</f>
        <v>20.997899999999998</v>
      </c>
      <c r="F141" s="44">
        <f>20.9637 * CHOOSE(CONTROL!$C$15, $E$9, 100%, $G$9) + CHOOSE(CONTROL!$C$38, 0.0251, 0)</f>
        <v>20.988799999999998</v>
      </c>
      <c r="G141" s="14">
        <f>19.9781 * CHOOSE(CONTROL!$C$15, $E$9, 100%, $G$9) + CHOOSE(CONTROL!$C$38, 0.0342, 0)</f>
        <v>20.0123</v>
      </c>
      <c r="H141" s="14">
        <f>19.9781 * CHOOSE(CONTROL!$C$15, $E$9, 100%, $G$9) + CHOOSE(CONTROL!$C$38, 0.0342, 0)</f>
        <v>20.0123</v>
      </c>
      <c r="I141" s="14">
        <f>19.9797 * CHOOSE(CONTROL!$C$15, $E$9, 100%, $G$9) + CHOOSE(CONTROL!$C$38, 0.0342, 0)</f>
        <v>20.0139</v>
      </c>
      <c r="J141" s="43">
        <f>132.8419</f>
        <v>132.84190000000001</v>
      </c>
    </row>
    <row r="142" spans="1:10" ht="15" x14ac:dyDescent="0.2">
      <c r="A142" s="13">
        <v>45231</v>
      </c>
      <c r="B142" s="14">
        <f>21.4181 * CHOOSE(CONTROL!$C$15, $E$9, 100%, $G$9) + CHOOSE(CONTROL!$C$38, 0.0251, 0)</f>
        <v>21.443199999999997</v>
      </c>
      <c r="C142" s="14">
        <f>20.2758 * CHOOSE(CONTROL!$C$15, $E$9, 100%, $G$9) + CHOOSE(CONTROL!$C$38, 0.0342, 0)</f>
        <v>20.309999999999999</v>
      </c>
      <c r="D142" s="14">
        <f>20.268 * CHOOSE(CONTROL!$C$15, $E$9, 100%, $G$9) + CHOOSE(CONTROL!$C$38, 0.0342, 0)</f>
        <v>20.302199999999999</v>
      </c>
      <c r="E142" s="45">
        <f>21.2619 * CHOOSE(CONTROL!$C$15, $E$9, 100%, $G$9) + CHOOSE(CONTROL!$C$38, 0.0342, 0)</f>
        <v>21.296099999999999</v>
      </c>
      <c r="F142" s="44">
        <f>21.2619 * CHOOSE(CONTROL!$C$15, $E$9, 100%, $G$9) + CHOOSE(CONTROL!$C$38, 0.0251, 0)</f>
        <v>21.286999999999999</v>
      </c>
      <c r="G142" s="14">
        <f>20.2742 * CHOOSE(CONTROL!$C$15, $E$9, 100%, $G$9) + CHOOSE(CONTROL!$C$38, 0.0342, 0)</f>
        <v>20.308399999999999</v>
      </c>
      <c r="H142" s="14">
        <f>20.2742 * CHOOSE(CONTROL!$C$15, $E$9, 100%, $G$9) + CHOOSE(CONTROL!$C$38, 0.0342, 0)</f>
        <v>20.308399999999999</v>
      </c>
      <c r="I142" s="14">
        <f>20.2758 * CHOOSE(CONTROL!$C$15, $E$9, 100%, $G$9) + CHOOSE(CONTROL!$C$38, 0.0342, 0)</f>
        <v>20.309999999999999</v>
      </c>
      <c r="J142" s="43">
        <f>132.1671</f>
        <v>132.1671</v>
      </c>
    </row>
    <row r="143" spans="1:10" ht="15" x14ac:dyDescent="0.2">
      <c r="A143" s="13">
        <v>45261</v>
      </c>
      <c r="B143" s="14">
        <f>22.2512 * CHOOSE(CONTROL!$C$15, $E$9, 100%, $G$9) + CHOOSE(CONTROL!$C$38, 0.0251, 0)</f>
        <v>22.276299999999999</v>
      </c>
      <c r="C143" s="14">
        <f>21.1068 * CHOOSE(CONTROL!$C$15, $E$9, 100%, $G$9) + CHOOSE(CONTROL!$C$38, 0.0342, 0)</f>
        <v>21.140999999999998</v>
      </c>
      <c r="D143" s="14">
        <f>21.099 * CHOOSE(CONTROL!$C$15, $E$9, 100%, $G$9) + CHOOSE(CONTROL!$C$38, 0.0342, 0)</f>
        <v>21.133199999999999</v>
      </c>
      <c r="E143" s="45">
        <f>22.0949 * CHOOSE(CONTROL!$C$15, $E$9, 100%, $G$9) + CHOOSE(CONTROL!$C$38, 0.0342, 0)</f>
        <v>22.129099999999998</v>
      </c>
      <c r="F143" s="44">
        <f>22.0949 * CHOOSE(CONTROL!$C$15, $E$9, 100%, $G$9) + CHOOSE(CONTROL!$C$38, 0.0251, 0)</f>
        <v>22.119999999999997</v>
      </c>
      <c r="G143" s="14">
        <f>21.1052 * CHOOSE(CONTROL!$C$15, $E$9, 100%, $G$9) + CHOOSE(CONTROL!$C$38, 0.0342, 0)</f>
        <v>21.139399999999998</v>
      </c>
      <c r="H143" s="14">
        <f>21.1052 * CHOOSE(CONTROL!$C$15, $E$9, 100%, $G$9) + CHOOSE(CONTROL!$C$38, 0.0342, 0)</f>
        <v>21.139399999999998</v>
      </c>
      <c r="I143" s="14">
        <f>21.1068 * CHOOSE(CONTROL!$C$15, $E$9, 100%, $G$9) + CHOOSE(CONTROL!$C$38, 0.0342, 0)</f>
        <v>21.140999999999998</v>
      </c>
      <c r="J143" s="43">
        <f>128.5092</f>
        <v>128.50919999999999</v>
      </c>
    </row>
    <row r="144" spans="1:10" ht="15" x14ac:dyDescent="0.2">
      <c r="A144" s="13">
        <v>45292</v>
      </c>
      <c r="B144" s="14">
        <f>23.5321 * CHOOSE(CONTROL!$C$15, $E$9, 100%, $G$9) + CHOOSE(CONTROL!$C$38, 0.0251, 0)</f>
        <v>23.557199999999998</v>
      </c>
      <c r="C144" s="14">
        <f>22.2433 * CHOOSE(CONTROL!$C$15, $E$9, 100%, $G$9) + CHOOSE(CONTROL!$C$38, 0.0342, 0)</f>
        <v>22.2775</v>
      </c>
      <c r="D144" s="14">
        <f>22.2355 * CHOOSE(CONTROL!$C$15, $E$9, 100%, $G$9) + CHOOSE(CONTROL!$C$38, 0.0342, 0)</f>
        <v>22.269699999999997</v>
      </c>
      <c r="E144" s="45">
        <f>23.3759 * CHOOSE(CONTROL!$C$15, $E$9, 100%, $G$9) + CHOOSE(CONTROL!$C$38, 0.0342, 0)</f>
        <v>23.4101</v>
      </c>
      <c r="F144" s="44">
        <f>23.3759 * CHOOSE(CONTROL!$C$15, $E$9, 100%, $G$9) + CHOOSE(CONTROL!$C$38, 0.0251, 0)</f>
        <v>23.401</v>
      </c>
      <c r="G144" s="14">
        <f>22.2417 * CHOOSE(CONTROL!$C$15, $E$9, 100%, $G$9) + CHOOSE(CONTROL!$C$38, 0.0342, 0)</f>
        <v>22.2759</v>
      </c>
      <c r="H144" s="14">
        <f>22.2417 * CHOOSE(CONTROL!$C$15, $E$9, 100%, $G$9) + CHOOSE(CONTROL!$C$38, 0.0342, 0)</f>
        <v>22.2759</v>
      </c>
      <c r="I144" s="14">
        <f>22.2433 * CHOOSE(CONTROL!$C$15, $E$9, 100%, $G$9) + CHOOSE(CONTROL!$C$38, 0.0342, 0)</f>
        <v>22.2775</v>
      </c>
      <c r="J144" s="43">
        <f>128.8694</f>
        <v>128.86940000000001</v>
      </c>
    </row>
    <row r="145" spans="1:10" ht="15" x14ac:dyDescent="0.2">
      <c r="A145" s="13">
        <v>45323</v>
      </c>
      <c r="B145" s="14">
        <f>23.8732 * CHOOSE(CONTROL!$C$15, $E$9, 100%, $G$9) + CHOOSE(CONTROL!$C$38, 0.0251, 0)</f>
        <v>23.898299999999999</v>
      </c>
      <c r="C145" s="14">
        <f>22.582 * CHOOSE(CONTROL!$C$15, $E$9, 100%, $G$9) + CHOOSE(CONTROL!$C$38, 0.0342, 0)</f>
        <v>22.616199999999999</v>
      </c>
      <c r="D145" s="14">
        <f>22.5742 * CHOOSE(CONTROL!$C$15, $E$9, 100%, $G$9) + CHOOSE(CONTROL!$C$38, 0.0342, 0)</f>
        <v>22.6084</v>
      </c>
      <c r="E145" s="45">
        <f>23.7169 * CHOOSE(CONTROL!$C$15, $E$9, 100%, $G$9) + CHOOSE(CONTROL!$C$38, 0.0342, 0)</f>
        <v>23.751099999999997</v>
      </c>
      <c r="F145" s="44">
        <f>23.7169 * CHOOSE(CONTROL!$C$15, $E$9, 100%, $G$9) + CHOOSE(CONTROL!$C$38, 0.0251, 0)</f>
        <v>23.741999999999997</v>
      </c>
      <c r="G145" s="14">
        <f>22.5805 * CHOOSE(CONTROL!$C$15, $E$9, 100%, $G$9) + CHOOSE(CONTROL!$C$38, 0.0342, 0)</f>
        <v>22.614699999999999</v>
      </c>
      <c r="H145" s="14">
        <f>22.5805 * CHOOSE(CONTROL!$C$15, $E$9, 100%, $G$9) + CHOOSE(CONTROL!$C$38, 0.0342, 0)</f>
        <v>22.614699999999999</v>
      </c>
      <c r="I145" s="14">
        <f>22.582 * CHOOSE(CONTROL!$C$15, $E$9, 100%, $G$9) + CHOOSE(CONTROL!$C$38, 0.0342, 0)</f>
        <v>22.616199999999999</v>
      </c>
      <c r="J145" s="43">
        <f>128.7759</f>
        <v>128.77590000000001</v>
      </c>
    </row>
    <row r="146" spans="1:10" ht="15" x14ac:dyDescent="0.2">
      <c r="A146" s="13">
        <v>45352</v>
      </c>
      <c r="B146" s="14">
        <f>23.2394 * CHOOSE(CONTROL!$C$15, $E$9, 100%, $G$9) + CHOOSE(CONTROL!$C$38, 0.0251, 0)</f>
        <v>23.264499999999998</v>
      </c>
      <c r="C146" s="14">
        <f>21.946 * CHOOSE(CONTROL!$C$15, $E$9, 100%, $G$9) + CHOOSE(CONTROL!$C$38, 0.0342, 0)</f>
        <v>21.9802</v>
      </c>
      <c r="D146" s="14">
        <f>21.9381 * CHOOSE(CONTROL!$C$15, $E$9, 100%, $G$9) + CHOOSE(CONTROL!$C$38, 0.0342, 0)</f>
        <v>21.972299999999997</v>
      </c>
      <c r="E146" s="45">
        <f>23.0832 * CHOOSE(CONTROL!$C$15, $E$9, 100%, $G$9) + CHOOSE(CONTROL!$C$38, 0.0342, 0)</f>
        <v>23.1174</v>
      </c>
      <c r="F146" s="44">
        <f>23.0832 * CHOOSE(CONTROL!$C$15, $E$9, 100%, $G$9) + CHOOSE(CONTROL!$C$38, 0.0251, 0)</f>
        <v>23.1083</v>
      </c>
      <c r="G146" s="14">
        <f>21.9444 * CHOOSE(CONTROL!$C$15, $E$9, 100%, $G$9) + CHOOSE(CONTROL!$C$38, 0.0342, 0)</f>
        <v>21.9786</v>
      </c>
      <c r="H146" s="14">
        <f>21.9444 * CHOOSE(CONTROL!$C$15, $E$9, 100%, $G$9) + CHOOSE(CONTROL!$C$38, 0.0342, 0)</f>
        <v>21.9786</v>
      </c>
      <c r="I146" s="14">
        <f>21.946 * CHOOSE(CONTROL!$C$15, $E$9, 100%, $G$9) + CHOOSE(CONTROL!$C$38, 0.0342, 0)</f>
        <v>21.9802</v>
      </c>
      <c r="J146" s="43">
        <f>135.8424</f>
        <v>135.8424</v>
      </c>
    </row>
    <row r="147" spans="1:10" ht="15" x14ac:dyDescent="0.2">
      <c r="A147" s="13">
        <v>45383</v>
      </c>
      <c r="B147" s="14">
        <f>22.6242 * CHOOSE(CONTROL!$C$15, $E$9, 100%, $G$9) + CHOOSE(CONTROL!$C$38, 0.0251, 0)</f>
        <v>22.649299999999997</v>
      </c>
      <c r="C147" s="14">
        <f>21.3283 * CHOOSE(CONTROL!$C$15, $E$9, 100%, $G$9) + CHOOSE(CONTROL!$C$38, 0.0342, 0)</f>
        <v>21.362499999999997</v>
      </c>
      <c r="D147" s="14">
        <f>21.3205 * CHOOSE(CONTROL!$C$15, $E$9, 100%, $G$9) + CHOOSE(CONTROL!$C$38, 0.0342, 0)</f>
        <v>21.354699999999998</v>
      </c>
      <c r="E147" s="45">
        <f>22.4679 * CHOOSE(CONTROL!$C$15, $E$9, 100%, $G$9) + CHOOSE(CONTROL!$C$38, 0.0342, 0)</f>
        <v>22.502099999999999</v>
      </c>
      <c r="F147" s="44">
        <f>22.4679 * CHOOSE(CONTROL!$C$15, $E$9, 100%, $G$9) + CHOOSE(CONTROL!$C$38, 0.0251, 0)</f>
        <v>22.492999999999999</v>
      </c>
      <c r="G147" s="14">
        <f>21.3268 * CHOOSE(CONTROL!$C$15, $E$9, 100%, $G$9) + CHOOSE(CONTROL!$C$38, 0.0342, 0)</f>
        <v>21.360999999999997</v>
      </c>
      <c r="H147" s="14">
        <f>21.3268 * CHOOSE(CONTROL!$C$15, $E$9, 100%, $G$9) + CHOOSE(CONTROL!$C$38, 0.0342, 0)</f>
        <v>21.360999999999997</v>
      </c>
      <c r="I147" s="14">
        <f>21.3283 * CHOOSE(CONTROL!$C$15, $E$9, 100%, $G$9) + CHOOSE(CONTROL!$C$38, 0.0342, 0)</f>
        <v>21.362499999999997</v>
      </c>
      <c r="J147" s="43">
        <f>144.9599</f>
        <v>144.9599</v>
      </c>
    </row>
    <row r="148" spans="1:10" ht="15" x14ac:dyDescent="0.2">
      <c r="A148" s="13">
        <v>45413</v>
      </c>
      <c r="B148" s="14">
        <f>21.9782 * CHOOSE(CONTROL!$C$15, $E$9, 100%, $G$9) + CHOOSE(CONTROL!$C$38, 0.0264, 0)</f>
        <v>22.0046</v>
      </c>
      <c r="C148" s="14">
        <f>20.6801 * CHOOSE(CONTROL!$C$15, $E$9, 100%, $G$9) + CHOOSE(CONTROL!$C$38, 0.0354, 0)</f>
        <v>20.715499999999999</v>
      </c>
      <c r="D148" s="14">
        <f>20.6722 * CHOOSE(CONTROL!$C$15, $E$9, 100%, $G$9) + CHOOSE(CONTROL!$C$38, 0.0354, 0)</f>
        <v>20.707599999999999</v>
      </c>
      <c r="E148" s="45">
        <f>21.822 * CHOOSE(CONTROL!$C$15, $E$9, 100%, $G$9) + CHOOSE(CONTROL!$C$38, 0.0354, 0)</f>
        <v>21.857399999999998</v>
      </c>
      <c r="F148" s="44">
        <f>21.822 * CHOOSE(CONTROL!$C$15, $E$9, 100%, $G$9) + CHOOSE(CONTROL!$C$38, 0.0264, 0)</f>
        <v>21.848399999999998</v>
      </c>
      <c r="G148" s="14">
        <f>20.6785 * CHOOSE(CONTROL!$C$15, $E$9, 100%, $G$9) + CHOOSE(CONTROL!$C$38, 0.0354, 0)</f>
        <v>20.713899999999999</v>
      </c>
      <c r="H148" s="14">
        <f>20.6785 * CHOOSE(CONTROL!$C$15, $E$9, 100%, $G$9) + CHOOSE(CONTROL!$C$38, 0.0354, 0)</f>
        <v>20.713899999999999</v>
      </c>
      <c r="I148" s="14">
        <f>20.6801 * CHOOSE(CONTROL!$C$15, $E$9, 100%, $G$9) + CHOOSE(CONTROL!$C$38, 0.0354, 0)</f>
        <v>20.715499999999999</v>
      </c>
      <c r="J148" s="43">
        <f>150.1331</f>
        <v>150.13310000000001</v>
      </c>
    </row>
    <row r="149" spans="1:10" ht="15" x14ac:dyDescent="0.2">
      <c r="A149" s="13">
        <v>45444</v>
      </c>
      <c r="B149" s="14">
        <f>21.5366 * CHOOSE(CONTROL!$C$15, $E$9, 100%, $G$9) + CHOOSE(CONTROL!$C$38, 0.0264, 0)</f>
        <v>21.562999999999999</v>
      </c>
      <c r="C149" s="14">
        <f>20.2361 * CHOOSE(CONTROL!$C$15, $E$9, 100%, $G$9) + CHOOSE(CONTROL!$C$38, 0.0354, 0)</f>
        <v>20.2715</v>
      </c>
      <c r="D149" s="14">
        <f>20.2283 * CHOOSE(CONTROL!$C$15, $E$9, 100%, $G$9) + CHOOSE(CONTROL!$C$38, 0.0354, 0)</f>
        <v>20.2637</v>
      </c>
      <c r="E149" s="45">
        <f>21.3804 * CHOOSE(CONTROL!$C$15, $E$9, 100%, $G$9) + CHOOSE(CONTROL!$C$38, 0.0354, 0)</f>
        <v>21.415800000000001</v>
      </c>
      <c r="F149" s="44">
        <f>21.3804 * CHOOSE(CONTROL!$C$15, $E$9, 100%, $G$9) + CHOOSE(CONTROL!$C$38, 0.0264, 0)</f>
        <v>21.4068</v>
      </c>
      <c r="G149" s="14">
        <f>20.2345 * CHOOSE(CONTROL!$C$15, $E$9, 100%, $G$9) + CHOOSE(CONTROL!$C$38, 0.0354, 0)</f>
        <v>20.2699</v>
      </c>
      <c r="H149" s="14">
        <f>20.2345 * CHOOSE(CONTROL!$C$15, $E$9, 100%, $G$9) + CHOOSE(CONTROL!$C$38, 0.0354, 0)</f>
        <v>20.2699</v>
      </c>
      <c r="I149" s="14">
        <f>20.2361 * CHOOSE(CONTROL!$C$15, $E$9, 100%, $G$9) + CHOOSE(CONTROL!$C$38, 0.0354, 0)</f>
        <v>20.2715</v>
      </c>
      <c r="J149" s="43">
        <f>152.6101</f>
        <v>152.61009999999999</v>
      </c>
    </row>
    <row r="150" spans="1:10" ht="15" x14ac:dyDescent="0.2">
      <c r="A150" s="13">
        <v>45474</v>
      </c>
      <c r="B150" s="14">
        <f>21.302 * CHOOSE(CONTROL!$C$15, $E$9, 100%, $G$9) + CHOOSE(CONTROL!$C$38, 0.0264, 0)</f>
        <v>21.328399999999998</v>
      </c>
      <c r="C150" s="14">
        <f>19.9991 * CHOOSE(CONTROL!$C$15, $E$9, 100%, $G$9) + CHOOSE(CONTROL!$C$38, 0.0354, 0)</f>
        <v>20.034499999999998</v>
      </c>
      <c r="D150" s="14">
        <f>19.9913 * CHOOSE(CONTROL!$C$15, $E$9, 100%, $G$9) + CHOOSE(CONTROL!$C$38, 0.0354, 0)</f>
        <v>20.026699999999998</v>
      </c>
      <c r="E150" s="45">
        <f>21.1457 * CHOOSE(CONTROL!$C$15, $E$9, 100%, $G$9) + CHOOSE(CONTROL!$C$38, 0.0354, 0)</f>
        <v>21.181100000000001</v>
      </c>
      <c r="F150" s="44">
        <f>21.1457 * CHOOSE(CONTROL!$C$15, $E$9, 100%, $G$9) + CHOOSE(CONTROL!$C$38, 0.0264, 0)</f>
        <v>21.1721</v>
      </c>
      <c r="G150" s="14">
        <f>19.9975 * CHOOSE(CONTROL!$C$15, $E$9, 100%, $G$9) + CHOOSE(CONTROL!$C$38, 0.0354, 0)</f>
        <v>20.032899999999998</v>
      </c>
      <c r="H150" s="14">
        <f>19.9975 * CHOOSE(CONTROL!$C$15, $E$9, 100%, $G$9) + CHOOSE(CONTROL!$C$38, 0.0354, 0)</f>
        <v>20.032899999999998</v>
      </c>
      <c r="I150" s="14">
        <f>19.9991 * CHOOSE(CONTROL!$C$15, $E$9, 100%, $G$9) + CHOOSE(CONTROL!$C$38, 0.0354, 0)</f>
        <v>20.034499999999998</v>
      </c>
      <c r="J150" s="43">
        <f>152.2093</f>
        <v>152.20930000000001</v>
      </c>
    </row>
    <row r="151" spans="1:10" ht="15" x14ac:dyDescent="0.2">
      <c r="A151" s="13">
        <v>45505</v>
      </c>
      <c r="B151" s="14">
        <f>21.4819 * CHOOSE(CONTROL!$C$15, $E$9, 100%, $G$9) + CHOOSE(CONTROL!$C$38, 0.0264, 0)</f>
        <v>21.508299999999998</v>
      </c>
      <c r="C151" s="14">
        <f>20.1767 * CHOOSE(CONTROL!$C$15, $E$9, 100%, $G$9) + CHOOSE(CONTROL!$C$38, 0.0354, 0)</f>
        <v>20.2121</v>
      </c>
      <c r="D151" s="14">
        <f>20.1689 * CHOOSE(CONTROL!$C$15, $E$9, 100%, $G$9) + CHOOSE(CONTROL!$C$38, 0.0354, 0)</f>
        <v>20.2043</v>
      </c>
      <c r="E151" s="45">
        <f>21.3257 * CHOOSE(CONTROL!$C$15, $E$9, 100%, $G$9) + CHOOSE(CONTROL!$C$38, 0.0354, 0)</f>
        <v>21.3611</v>
      </c>
      <c r="F151" s="44">
        <f>21.3257 * CHOOSE(CONTROL!$C$15, $E$9, 100%, $G$9) + CHOOSE(CONTROL!$C$38, 0.0264, 0)</f>
        <v>21.3521</v>
      </c>
      <c r="G151" s="14">
        <f>20.1751 * CHOOSE(CONTROL!$C$15, $E$9, 100%, $G$9) + CHOOSE(CONTROL!$C$38, 0.0354, 0)</f>
        <v>20.2105</v>
      </c>
      <c r="H151" s="14">
        <f>20.1751 * CHOOSE(CONTROL!$C$15, $E$9, 100%, $G$9) + CHOOSE(CONTROL!$C$38, 0.0354, 0)</f>
        <v>20.2105</v>
      </c>
      <c r="I151" s="14">
        <f>20.1767 * CHOOSE(CONTROL!$C$15, $E$9, 100%, $G$9) + CHOOSE(CONTROL!$C$38, 0.0354, 0)</f>
        <v>20.2121</v>
      </c>
      <c r="J151" s="43">
        <f>148.9721</f>
        <v>148.97210000000001</v>
      </c>
    </row>
    <row r="152" spans="1:10" ht="15" x14ac:dyDescent="0.2">
      <c r="A152" s="13">
        <v>45536</v>
      </c>
      <c r="B152" s="14">
        <f>21.8987 * CHOOSE(CONTROL!$C$15, $E$9, 100%, $G$9) + CHOOSE(CONTROL!$C$38, 0.0264, 0)</f>
        <v>21.9251</v>
      </c>
      <c r="C152" s="14">
        <f>20.5911 * CHOOSE(CONTROL!$C$15, $E$9, 100%, $G$9) + CHOOSE(CONTROL!$C$38, 0.0354, 0)</f>
        <v>20.6265</v>
      </c>
      <c r="D152" s="14">
        <f>20.5833 * CHOOSE(CONTROL!$C$15, $E$9, 100%, $G$9) + CHOOSE(CONTROL!$C$38, 0.0354, 0)</f>
        <v>20.6187</v>
      </c>
      <c r="E152" s="45">
        <f>21.7425 * CHOOSE(CONTROL!$C$15, $E$9, 100%, $G$9) + CHOOSE(CONTROL!$C$38, 0.0354, 0)</f>
        <v>21.777899999999999</v>
      </c>
      <c r="F152" s="44">
        <f>21.7425 * CHOOSE(CONTROL!$C$15, $E$9, 100%, $G$9) + CHOOSE(CONTROL!$C$38, 0.0264, 0)</f>
        <v>21.768899999999999</v>
      </c>
      <c r="G152" s="14">
        <f>20.5895 * CHOOSE(CONTROL!$C$15, $E$9, 100%, $G$9) + CHOOSE(CONTROL!$C$38, 0.0354, 0)</f>
        <v>20.6249</v>
      </c>
      <c r="H152" s="14">
        <f>20.5895 * CHOOSE(CONTROL!$C$15, $E$9, 100%, $G$9) + CHOOSE(CONTROL!$C$38, 0.0354, 0)</f>
        <v>20.6249</v>
      </c>
      <c r="I152" s="14">
        <f>20.5911 * CHOOSE(CONTROL!$C$15, $E$9, 100%, $G$9) + CHOOSE(CONTROL!$C$38, 0.0354, 0)</f>
        <v>20.6265</v>
      </c>
      <c r="J152" s="43">
        <f>144.3172</f>
        <v>144.31720000000001</v>
      </c>
    </row>
    <row r="153" spans="1:10" ht="15" x14ac:dyDescent="0.2">
      <c r="A153" s="13">
        <v>45566</v>
      </c>
      <c r="B153" s="14">
        <f>22.2563 * CHOOSE(CONTROL!$C$15, $E$9, 100%, $G$9) + CHOOSE(CONTROL!$C$38, 0.0251, 0)</f>
        <v>22.281399999999998</v>
      </c>
      <c r="C153" s="14">
        <f>20.9463 * CHOOSE(CONTROL!$C$15, $E$9, 100%, $G$9) + CHOOSE(CONTROL!$C$38, 0.0342, 0)</f>
        <v>20.980499999999999</v>
      </c>
      <c r="D153" s="14">
        <f>20.9385 * CHOOSE(CONTROL!$C$15, $E$9, 100%, $G$9) + CHOOSE(CONTROL!$C$38, 0.0342, 0)</f>
        <v>20.9727</v>
      </c>
      <c r="E153" s="45">
        <f>22.1 * CHOOSE(CONTROL!$C$15, $E$9, 100%, $G$9) + CHOOSE(CONTROL!$C$38, 0.0342, 0)</f>
        <v>22.1342</v>
      </c>
      <c r="F153" s="44">
        <f>22.1 * CHOOSE(CONTROL!$C$15, $E$9, 100%, $G$9) + CHOOSE(CONTROL!$C$38, 0.0251, 0)</f>
        <v>22.1251</v>
      </c>
      <c r="G153" s="14">
        <f>20.9447 * CHOOSE(CONTROL!$C$15, $E$9, 100%, $G$9) + CHOOSE(CONTROL!$C$38, 0.0342, 0)</f>
        <v>20.978899999999999</v>
      </c>
      <c r="H153" s="14">
        <f>20.9447 * CHOOSE(CONTROL!$C$15, $E$9, 100%, $G$9) + CHOOSE(CONTROL!$C$38, 0.0342, 0)</f>
        <v>20.978899999999999</v>
      </c>
      <c r="I153" s="14">
        <f>20.9463 * CHOOSE(CONTROL!$C$15, $E$9, 100%, $G$9) + CHOOSE(CONTROL!$C$38, 0.0342, 0)</f>
        <v>20.980499999999999</v>
      </c>
      <c r="J153" s="43">
        <f>139.6136</f>
        <v>139.61359999999999</v>
      </c>
    </row>
    <row r="154" spans="1:10" ht="15" x14ac:dyDescent="0.2">
      <c r="A154" s="13">
        <v>45597</v>
      </c>
      <c r="B154" s="14">
        <f>22.5631 * CHOOSE(CONTROL!$C$15, $E$9, 100%, $G$9) + CHOOSE(CONTROL!$C$38, 0.0251, 0)</f>
        <v>22.588199999999997</v>
      </c>
      <c r="C154" s="14">
        <f>21.2508 * CHOOSE(CONTROL!$C$15, $E$9, 100%, $G$9) + CHOOSE(CONTROL!$C$38, 0.0342, 0)</f>
        <v>21.285</v>
      </c>
      <c r="D154" s="14">
        <f>21.243 * CHOOSE(CONTROL!$C$15, $E$9, 100%, $G$9) + CHOOSE(CONTROL!$C$38, 0.0342, 0)</f>
        <v>21.277199999999997</v>
      </c>
      <c r="E154" s="45">
        <f>22.4069 * CHOOSE(CONTROL!$C$15, $E$9, 100%, $G$9) + CHOOSE(CONTROL!$C$38, 0.0342, 0)</f>
        <v>22.441099999999999</v>
      </c>
      <c r="F154" s="44">
        <f>22.4069 * CHOOSE(CONTROL!$C$15, $E$9, 100%, $G$9) + CHOOSE(CONTROL!$C$38, 0.0251, 0)</f>
        <v>22.431999999999999</v>
      </c>
      <c r="G154" s="14">
        <f>21.2492 * CHOOSE(CONTROL!$C$15, $E$9, 100%, $G$9) + CHOOSE(CONTROL!$C$38, 0.0342, 0)</f>
        <v>21.283399999999997</v>
      </c>
      <c r="H154" s="14">
        <f>21.2492 * CHOOSE(CONTROL!$C$15, $E$9, 100%, $G$9) + CHOOSE(CONTROL!$C$38, 0.0342, 0)</f>
        <v>21.283399999999997</v>
      </c>
      <c r="I154" s="14">
        <f>21.2508 * CHOOSE(CONTROL!$C$15, $E$9, 100%, $G$9) + CHOOSE(CONTROL!$C$38, 0.0342, 0)</f>
        <v>21.285</v>
      </c>
      <c r="J154" s="43">
        <f>138.9043</f>
        <v>138.90430000000001</v>
      </c>
    </row>
    <row r="155" spans="1:10" ht="15" x14ac:dyDescent="0.2">
      <c r="A155" s="13">
        <v>45627</v>
      </c>
      <c r="B155" s="14">
        <f>23.4183 * CHOOSE(CONTROL!$C$15, $E$9, 100%, $G$9) + CHOOSE(CONTROL!$C$38, 0.0251, 0)</f>
        <v>23.443399999999997</v>
      </c>
      <c r="C155" s="14">
        <f>22.1035 * CHOOSE(CONTROL!$C$15, $E$9, 100%, $G$9) + CHOOSE(CONTROL!$C$38, 0.0342, 0)</f>
        <v>22.137699999999999</v>
      </c>
      <c r="D155" s="14">
        <f>22.0957 * CHOOSE(CONTROL!$C$15, $E$9, 100%, $G$9) + CHOOSE(CONTROL!$C$38, 0.0342, 0)</f>
        <v>22.129899999999999</v>
      </c>
      <c r="E155" s="45">
        <f>23.262 * CHOOSE(CONTROL!$C$15, $E$9, 100%, $G$9) + CHOOSE(CONTROL!$C$38, 0.0342, 0)</f>
        <v>23.296199999999999</v>
      </c>
      <c r="F155" s="44">
        <f>23.262 * CHOOSE(CONTROL!$C$15, $E$9, 100%, $G$9) + CHOOSE(CONTROL!$C$38, 0.0251, 0)</f>
        <v>23.287099999999999</v>
      </c>
      <c r="G155" s="14">
        <f>22.102 * CHOOSE(CONTROL!$C$15, $E$9, 100%, $G$9) + CHOOSE(CONTROL!$C$38, 0.0342, 0)</f>
        <v>22.136199999999999</v>
      </c>
      <c r="H155" s="14">
        <f>22.102 * CHOOSE(CONTROL!$C$15, $E$9, 100%, $G$9) + CHOOSE(CONTROL!$C$38, 0.0342, 0)</f>
        <v>22.136199999999999</v>
      </c>
      <c r="I155" s="14">
        <f>22.1035 * CHOOSE(CONTROL!$C$15, $E$9, 100%, $G$9) + CHOOSE(CONTROL!$C$38, 0.0342, 0)</f>
        <v>22.137699999999999</v>
      </c>
      <c r="J155" s="43">
        <f>135.0599</f>
        <v>135.0599</v>
      </c>
    </row>
    <row r="156" spans="1:10" ht="15" x14ac:dyDescent="0.2">
      <c r="A156" s="13">
        <v>45658</v>
      </c>
      <c r="B156" s="14">
        <f>24.6951 * CHOOSE(CONTROL!$C$15, $E$9, 100%, $G$9) + CHOOSE(CONTROL!$C$38, 0.0251, 0)</f>
        <v>24.720199999999998</v>
      </c>
      <c r="C156" s="14">
        <f>23.2382 * CHOOSE(CONTROL!$C$15, $E$9, 100%, $G$9) + CHOOSE(CONTROL!$C$38, 0.0342, 0)</f>
        <v>23.272399999999998</v>
      </c>
      <c r="D156" s="14">
        <f>23.2304 * CHOOSE(CONTROL!$C$15, $E$9, 100%, $G$9) + CHOOSE(CONTROL!$C$38, 0.0342, 0)</f>
        <v>23.264599999999998</v>
      </c>
      <c r="E156" s="45">
        <f>24.5389 * CHOOSE(CONTROL!$C$15, $E$9, 100%, $G$9) + CHOOSE(CONTROL!$C$38, 0.0342, 0)</f>
        <v>24.5731</v>
      </c>
      <c r="F156" s="44">
        <f>24.5389 * CHOOSE(CONTROL!$C$15, $E$9, 100%, $G$9) + CHOOSE(CONTROL!$C$38, 0.0251, 0)</f>
        <v>24.564</v>
      </c>
      <c r="G156" s="14">
        <f>23.2366 * CHOOSE(CONTROL!$C$15, $E$9, 100%, $G$9) + CHOOSE(CONTROL!$C$38, 0.0342, 0)</f>
        <v>23.270799999999998</v>
      </c>
      <c r="H156" s="14">
        <f>23.2366 * CHOOSE(CONTROL!$C$15, $E$9, 100%, $G$9) + CHOOSE(CONTROL!$C$38, 0.0342, 0)</f>
        <v>23.270799999999998</v>
      </c>
      <c r="I156" s="14">
        <f>23.2382 * CHOOSE(CONTROL!$C$15, $E$9, 100%, $G$9) + CHOOSE(CONTROL!$C$38, 0.0342, 0)</f>
        <v>23.272399999999998</v>
      </c>
      <c r="J156" s="43">
        <f>135.432</f>
        <v>135.43199999999999</v>
      </c>
    </row>
    <row r="157" spans="1:10" ht="15" x14ac:dyDescent="0.2">
      <c r="A157" s="13">
        <v>45689</v>
      </c>
      <c r="B157" s="14">
        <f>25.0459 * CHOOSE(CONTROL!$C$15, $E$9, 100%, $G$9) + CHOOSE(CONTROL!$C$38, 0.0251, 0)</f>
        <v>25.070999999999998</v>
      </c>
      <c r="C157" s="14">
        <f>23.5863 * CHOOSE(CONTROL!$C$15, $E$9, 100%, $G$9) + CHOOSE(CONTROL!$C$38, 0.0342, 0)</f>
        <v>23.6205</v>
      </c>
      <c r="D157" s="14">
        <f>23.5785 * CHOOSE(CONTROL!$C$15, $E$9, 100%, $G$9) + CHOOSE(CONTROL!$C$38, 0.0342, 0)</f>
        <v>23.612699999999997</v>
      </c>
      <c r="E157" s="45">
        <f>24.8897 * CHOOSE(CONTROL!$C$15, $E$9, 100%, $G$9) + CHOOSE(CONTROL!$C$38, 0.0342, 0)</f>
        <v>24.9239</v>
      </c>
      <c r="F157" s="44">
        <f>24.8897 * CHOOSE(CONTROL!$C$15, $E$9, 100%, $G$9) + CHOOSE(CONTROL!$C$38, 0.0251, 0)</f>
        <v>24.9148</v>
      </c>
      <c r="G157" s="14">
        <f>23.5848 * CHOOSE(CONTROL!$C$15, $E$9, 100%, $G$9) + CHOOSE(CONTROL!$C$38, 0.0342, 0)</f>
        <v>23.619</v>
      </c>
      <c r="H157" s="14">
        <f>23.5848 * CHOOSE(CONTROL!$C$15, $E$9, 100%, $G$9) + CHOOSE(CONTROL!$C$38, 0.0342, 0)</f>
        <v>23.619</v>
      </c>
      <c r="I157" s="14">
        <f>23.5863 * CHOOSE(CONTROL!$C$15, $E$9, 100%, $G$9) + CHOOSE(CONTROL!$C$38, 0.0342, 0)</f>
        <v>23.6205</v>
      </c>
      <c r="J157" s="43">
        <f>135.3337</f>
        <v>135.33369999999999</v>
      </c>
    </row>
    <row r="158" spans="1:10" ht="15" x14ac:dyDescent="0.2">
      <c r="A158" s="13">
        <v>45717</v>
      </c>
      <c r="B158" s="14">
        <f>24.3976 * CHOOSE(CONTROL!$C$15, $E$9, 100%, $G$9) + CHOOSE(CONTROL!$C$38, 0.0251, 0)</f>
        <v>24.422699999999999</v>
      </c>
      <c r="C158" s="14">
        <f>22.9353 * CHOOSE(CONTROL!$C$15, $E$9, 100%, $G$9) + CHOOSE(CONTROL!$C$38, 0.0342, 0)</f>
        <v>22.9695</v>
      </c>
      <c r="D158" s="14">
        <f>22.9274 * CHOOSE(CONTROL!$C$15, $E$9, 100%, $G$9) + CHOOSE(CONTROL!$C$38, 0.0342, 0)</f>
        <v>22.961599999999997</v>
      </c>
      <c r="E158" s="45">
        <f>24.2413 * CHOOSE(CONTROL!$C$15, $E$9, 100%, $G$9) + CHOOSE(CONTROL!$C$38, 0.0342, 0)</f>
        <v>24.275499999999997</v>
      </c>
      <c r="F158" s="44">
        <f>24.2413 * CHOOSE(CONTROL!$C$15, $E$9, 100%, $G$9) + CHOOSE(CONTROL!$C$38, 0.0251, 0)</f>
        <v>24.266399999999997</v>
      </c>
      <c r="G158" s="14">
        <f>22.9337 * CHOOSE(CONTROL!$C$15, $E$9, 100%, $G$9) + CHOOSE(CONTROL!$C$38, 0.0342, 0)</f>
        <v>22.9679</v>
      </c>
      <c r="H158" s="14">
        <f>22.9337 * CHOOSE(CONTROL!$C$15, $E$9, 100%, $G$9) + CHOOSE(CONTROL!$C$38, 0.0342, 0)</f>
        <v>22.9679</v>
      </c>
      <c r="I158" s="14">
        <f>22.9353 * CHOOSE(CONTROL!$C$15, $E$9, 100%, $G$9) + CHOOSE(CONTROL!$C$38, 0.0342, 0)</f>
        <v>22.9695</v>
      </c>
      <c r="J158" s="43">
        <f>142.7601</f>
        <v>142.76009999999999</v>
      </c>
    </row>
    <row r="159" spans="1:10" ht="15" x14ac:dyDescent="0.2">
      <c r="A159" s="13">
        <v>45748</v>
      </c>
      <c r="B159" s="14">
        <f>23.7681 * CHOOSE(CONTROL!$C$15, $E$9, 100%, $G$9) + CHOOSE(CONTROL!$C$38, 0.0251, 0)</f>
        <v>23.793199999999999</v>
      </c>
      <c r="C159" s="14">
        <f>22.3031 * CHOOSE(CONTROL!$C$15, $E$9, 100%, $G$9) + CHOOSE(CONTROL!$C$38, 0.0342, 0)</f>
        <v>22.337299999999999</v>
      </c>
      <c r="D159" s="14">
        <f>22.2953 * CHOOSE(CONTROL!$C$15, $E$9, 100%, $G$9) + CHOOSE(CONTROL!$C$38, 0.0342, 0)</f>
        <v>22.329499999999999</v>
      </c>
      <c r="E159" s="45">
        <f>23.6119 * CHOOSE(CONTROL!$C$15, $E$9, 100%, $G$9) + CHOOSE(CONTROL!$C$38, 0.0342, 0)</f>
        <v>23.646099999999997</v>
      </c>
      <c r="F159" s="44">
        <f>23.6119 * CHOOSE(CONTROL!$C$15, $E$9, 100%, $G$9) + CHOOSE(CONTROL!$C$38, 0.0251, 0)</f>
        <v>23.636999999999997</v>
      </c>
      <c r="G159" s="14">
        <f>22.3016 * CHOOSE(CONTROL!$C$15, $E$9, 100%, $G$9) + CHOOSE(CONTROL!$C$38, 0.0342, 0)</f>
        <v>22.335799999999999</v>
      </c>
      <c r="H159" s="14">
        <f>22.3016 * CHOOSE(CONTROL!$C$15, $E$9, 100%, $G$9) + CHOOSE(CONTROL!$C$38, 0.0342, 0)</f>
        <v>22.335799999999999</v>
      </c>
      <c r="I159" s="14">
        <f>22.3031 * CHOOSE(CONTROL!$C$15, $E$9, 100%, $G$9) + CHOOSE(CONTROL!$C$38, 0.0342, 0)</f>
        <v>22.337299999999999</v>
      </c>
      <c r="J159" s="43">
        <f>152.3419</f>
        <v>152.34190000000001</v>
      </c>
    </row>
    <row r="160" spans="1:10" ht="15" x14ac:dyDescent="0.2">
      <c r="A160" s="13">
        <v>45778</v>
      </c>
      <c r="B160" s="14">
        <f>23.1073 * CHOOSE(CONTROL!$C$15, $E$9, 100%, $G$9) + CHOOSE(CONTROL!$C$38, 0.0264, 0)</f>
        <v>23.133699999999997</v>
      </c>
      <c r="C160" s="14">
        <f>21.6396 * CHOOSE(CONTROL!$C$15, $E$9, 100%, $G$9) + CHOOSE(CONTROL!$C$38, 0.0354, 0)</f>
        <v>21.675000000000001</v>
      </c>
      <c r="D160" s="14">
        <f>21.6318 * CHOOSE(CONTROL!$C$15, $E$9, 100%, $G$9) + CHOOSE(CONTROL!$C$38, 0.0354, 0)</f>
        <v>21.667199999999998</v>
      </c>
      <c r="E160" s="45">
        <f>22.951 * CHOOSE(CONTROL!$C$15, $E$9, 100%, $G$9) + CHOOSE(CONTROL!$C$38, 0.0354, 0)</f>
        <v>22.9864</v>
      </c>
      <c r="F160" s="44">
        <f>22.951 * CHOOSE(CONTROL!$C$15, $E$9, 100%, $G$9) + CHOOSE(CONTROL!$C$38, 0.0264, 0)</f>
        <v>22.977399999999999</v>
      </c>
      <c r="G160" s="14">
        <f>21.638 * CHOOSE(CONTROL!$C$15, $E$9, 100%, $G$9) + CHOOSE(CONTROL!$C$38, 0.0354, 0)</f>
        <v>21.673400000000001</v>
      </c>
      <c r="H160" s="14">
        <f>21.638 * CHOOSE(CONTROL!$C$15, $E$9, 100%, $G$9) + CHOOSE(CONTROL!$C$38, 0.0354, 0)</f>
        <v>21.673400000000001</v>
      </c>
      <c r="I160" s="14">
        <f>21.6396 * CHOOSE(CONTROL!$C$15, $E$9, 100%, $G$9) + CHOOSE(CONTROL!$C$38, 0.0354, 0)</f>
        <v>21.675000000000001</v>
      </c>
      <c r="J160" s="43">
        <f>157.7785</f>
        <v>157.77850000000001</v>
      </c>
    </row>
    <row r="161" spans="1:10" ht="15" x14ac:dyDescent="0.2">
      <c r="A161" s="13">
        <v>45809</v>
      </c>
      <c r="B161" s="14">
        <f>22.6558 * CHOOSE(CONTROL!$C$15, $E$9, 100%, $G$9) + CHOOSE(CONTROL!$C$38, 0.0264, 0)</f>
        <v>22.682199999999998</v>
      </c>
      <c r="C161" s="14">
        <f>21.1854 * CHOOSE(CONTROL!$C$15, $E$9, 100%, $G$9) + CHOOSE(CONTROL!$C$38, 0.0354, 0)</f>
        <v>21.220800000000001</v>
      </c>
      <c r="D161" s="14">
        <f>21.1776 * CHOOSE(CONTROL!$C$15, $E$9, 100%, $G$9) + CHOOSE(CONTROL!$C$38, 0.0354, 0)</f>
        <v>21.213000000000001</v>
      </c>
      <c r="E161" s="45">
        <f>22.4996 * CHOOSE(CONTROL!$C$15, $E$9, 100%, $G$9) + CHOOSE(CONTROL!$C$38, 0.0354, 0)</f>
        <v>22.535</v>
      </c>
      <c r="F161" s="44">
        <f>22.4996 * CHOOSE(CONTROL!$C$15, $E$9, 100%, $G$9) + CHOOSE(CONTROL!$C$38, 0.0264, 0)</f>
        <v>22.526</v>
      </c>
      <c r="G161" s="14">
        <f>21.1839 * CHOOSE(CONTROL!$C$15, $E$9, 100%, $G$9) + CHOOSE(CONTROL!$C$38, 0.0354, 0)</f>
        <v>21.2193</v>
      </c>
      <c r="H161" s="14">
        <f>21.1839 * CHOOSE(CONTROL!$C$15, $E$9, 100%, $G$9) + CHOOSE(CONTROL!$C$38, 0.0354, 0)</f>
        <v>21.2193</v>
      </c>
      <c r="I161" s="14">
        <f>21.1854 * CHOOSE(CONTROL!$C$15, $E$9, 100%, $G$9) + CHOOSE(CONTROL!$C$38, 0.0354, 0)</f>
        <v>21.220800000000001</v>
      </c>
      <c r="J161" s="43">
        <f>160.3816</f>
        <v>160.38159999999999</v>
      </c>
    </row>
    <row r="162" spans="1:10" ht="15" x14ac:dyDescent="0.2">
      <c r="A162" s="13">
        <v>45839</v>
      </c>
      <c r="B162" s="14">
        <f>22.4166 * CHOOSE(CONTROL!$C$15, $E$9, 100%, $G$9) + CHOOSE(CONTROL!$C$38, 0.0264, 0)</f>
        <v>22.442999999999998</v>
      </c>
      <c r="C162" s="14">
        <f>20.9435 * CHOOSE(CONTROL!$C$15, $E$9, 100%, $G$9) + CHOOSE(CONTROL!$C$38, 0.0354, 0)</f>
        <v>20.978899999999999</v>
      </c>
      <c r="D162" s="14">
        <f>20.9357 * CHOOSE(CONTROL!$C$15, $E$9, 100%, $G$9) + CHOOSE(CONTROL!$C$38, 0.0354, 0)</f>
        <v>20.9711</v>
      </c>
      <c r="E162" s="45">
        <f>22.2603 * CHOOSE(CONTROL!$C$15, $E$9, 100%, $G$9) + CHOOSE(CONTROL!$C$38, 0.0354, 0)</f>
        <v>22.2957</v>
      </c>
      <c r="F162" s="44">
        <f>22.2603 * CHOOSE(CONTROL!$C$15, $E$9, 100%, $G$9) + CHOOSE(CONTROL!$C$38, 0.0264, 0)</f>
        <v>22.2867</v>
      </c>
      <c r="G162" s="14">
        <f>20.9419 * CHOOSE(CONTROL!$C$15, $E$9, 100%, $G$9) + CHOOSE(CONTROL!$C$38, 0.0354, 0)</f>
        <v>20.9773</v>
      </c>
      <c r="H162" s="14">
        <f>20.9419 * CHOOSE(CONTROL!$C$15, $E$9, 100%, $G$9) + CHOOSE(CONTROL!$C$38, 0.0354, 0)</f>
        <v>20.9773</v>
      </c>
      <c r="I162" s="14">
        <f>20.9435 * CHOOSE(CONTROL!$C$15, $E$9, 100%, $G$9) + CHOOSE(CONTROL!$C$38, 0.0354, 0)</f>
        <v>20.978899999999999</v>
      </c>
      <c r="J162" s="43">
        <f>159.9604</f>
        <v>159.96039999999999</v>
      </c>
    </row>
    <row r="163" spans="1:10" ht="15" x14ac:dyDescent="0.2">
      <c r="A163" s="13">
        <v>45870</v>
      </c>
      <c r="B163" s="14">
        <f>22.6023 * CHOOSE(CONTROL!$C$15, $E$9, 100%, $G$9) + CHOOSE(CONTROL!$C$38, 0.0264, 0)</f>
        <v>22.628699999999998</v>
      </c>
      <c r="C163" s="14">
        <f>21.1265 * CHOOSE(CONTROL!$C$15, $E$9, 100%, $G$9) + CHOOSE(CONTROL!$C$38, 0.0354, 0)</f>
        <v>21.161899999999999</v>
      </c>
      <c r="D163" s="14">
        <f>21.1186 * CHOOSE(CONTROL!$C$15, $E$9, 100%, $G$9) + CHOOSE(CONTROL!$C$38, 0.0354, 0)</f>
        <v>21.154</v>
      </c>
      <c r="E163" s="45">
        <f>22.446 * CHOOSE(CONTROL!$C$15, $E$9, 100%, $G$9) + CHOOSE(CONTROL!$C$38, 0.0354, 0)</f>
        <v>22.481400000000001</v>
      </c>
      <c r="F163" s="44">
        <f>22.446 * CHOOSE(CONTROL!$C$15, $E$9, 100%, $G$9) + CHOOSE(CONTROL!$C$38, 0.0264, 0)</f>
        <v>22.4724</v>
      </c>
      <c r="G163" s="14">
        <f>21.1249 * CHOOSE(CONTROL!$C$15, $E$9, 100%, $G$9) + CHOOSE(CONTROL!$C$38, 0.0354, 0)</f>
        <v>21.160299999999999</v>
      </c>
      <c r="H163" s="14">
        <f>21.1249 * CHOOSE(CONTROL!$C$15, $E$9, 100%, $G$9) + CHOOSE(CONTROL!$C$38, 0.0354, 0)</f>
        <v>21.160299999999999</v>
      </c>
      <c r="I163" s="14">
        <f>21.1265 * CHOOSE(CONTROL!$C$15, $E$9, 100%, $G$9) + CHOOSE(CONTROL!$C$38, 0.0354, 0)</f>
        <v>21.161899999999999</v>
      </c>
      <c r="J163" s="43">
        <f>156.5584</f>
        <v>156.55840000000001</v>
      </c>
    </row>
    <row r="164" spans="1:10" ht="15" x14ac:dyDescent="0.2">
      <c r="A164" s="13">
        <v>45901</v>
      </c>
      <c r="B164" s="14">
        <f>23.0307 * CHOOSE(CONTROL!$C$15, $E$9, 100%, $G$9) + CHOOSE(CONTROL!$C$38, 0.0264, 0)</f>
        <v>23.057099999999998</v>
      </c>
      <c r="C164" s="14">
        <f>21.5522 * CHOOSE(CONTROL!$C$15, $E$9, 100%, $G$9) + CHOOSE(CONTROL!$C$38, 0.0354, 0)</f>
        <v>21.587599999999998</v>
      </c>
      <c r="D164" s="14">
        <f>21.5443 * CHOOSE(CONTROL!$C$15, $E$9, 100%, $G$9) + CHOOSE(CONTROL!$C$38, 0.0354, 0)</f>
        <v>21.579699999999999</v>
      </c>
      <c r="E164" s="45">
        <f>22.8744 * CHOOSE(CONTROL!$C$15, $E$9, 100%, $G$9) + CHOOSE(CONTROL!$C$38, 0.0354, 0)</f>
        <v>22.909800000000001</v>
      </c>
      <c r="F164" s="44">
        <f>22.8744 * CHOOSE(CONTROL!$C$15, $E$9, 100%, $G$9) + CHOOSE(CONTROL!$C$38, 0.0264, 0)</f>
        <v>22.9008</v>
      </c>
      <c r="G164" s="14">
        <f>21.5506 * CHOOSE(CONTROL!$C$15, $E$9, 100%, $G$9) + CHOOSE(CONTROL!$C$38, 0.0354, 0)</f>
        <v>21.585999999999999</v>
      </c>
      <c r="H164" s="14">
        <f>21.5506 * CHOOSE(CONTROL!$C$15, $E$9, 100%, $G$9) + CHOOSE(CONTROL!$C$38, 0.0354, 0)</f>
        <v>21.585999999999999</v>
      </c>
      <c r="I164" s="14">
        <f>21.5522 * CHOOSE(CONTROL!$C$15, $E$9, 100%, $G$9) + CHOOSE(CONTROL!$C$38, 0.0354, 0)</f>
        <v>21.587599999999998</v>
      </c>
      <c r="J164" s="43">
        <f>151.6664</f>
        <v>151.66640000000001</v>
      </c>
    </row>
    <row r="165" spans="1:10" ht="15" x14ac:dyDescent="0.2">
      <c r="A165" s="13">
        <v>45931</v>
      </c>
      <c r="B165" s="14">
        <f>23.3984 * CHOOSE(CONTROL!$C$15, $E$9, 100%, $G$9) + CHOOSE(CONTROL!$C$38, 0.0251, 0)</f>
        <v>23.423499999999997</v>
      </c>
      <c r="C165" s="14">
        <f>21.9172 * CHOOSE(CONTROL!$C$15, $E$9, 100%, $G$9) + CHOOSE(CONTROL!$C$38, 0.0342, 0)</f>
        <v>21.9514</v>
      </c>
      <c r="D165" s="14">
        <f>21.9093 * CHOOSE(CONTROL!$C$15, $E$9, 100%, $G$9) + CHOOSE(CONTROL!$C$38, 0.0342, 0)</f>
        <v>21.9435</v>
      </c>
      <c r="E165" s="45">
        <f>23.2422 * CHOOSE(CONTROL!$C$15, $E$9, 100%, $G$9) + CHOOSE(CONTROL!$C$38, 0.0342, 0)</f>
        <v>23.276399999999999</v>
      </c>
      <c r="F165" s="44">
        <f>23.2422 * CHOOSE(CONTROL!$C$15, $E$9, 100%, $G$9) + CHOOSE(CONTROL!$C$38, 0.0251, 0)</f>
        <v>23.267299999999999</v>
      </c>
      <c r="G165" s="14">
        <f>21.9156 * CHOOSE(CONTROL!$C$15, $E$9, 100%, $G$9) + CHOOSE(CONTROL!$C$38, 0.0342, 0)</f>
        <v>21.9498</v>
      </c>
      <c r="H165" s="14">
        <f>21.9156 * CHOOSE(CONTROL!$C$15, $E$9, 100%, $G$9) + CHOOSE(CONTROL!$C$38, 0.0342, 0)</f>
        <v>21.9498</v>
      </c>
      <c r="I165" s="14">
        <f>21.9172 * CHOOSE(CONTROL!$C$15, $E$9, 100%, $G$9) + CHOOSE(CONTROL!$C$38, 0.0342, 0)</f>
        <v>21.9514</v>
      </c>
      <c r="J165" s="43">
        <f>146.7233</f>
        <v>146.72329999999999</v>
      </c>
    </row>
    <row r="166" spans="1:10" ht="15" x14ac:dyDescent="0.2">
      <c r="A166" s="13">
        <v>45962</v>
      </c>
      <c r="B166" s="14">
        <f>23.7142 * CHOOSE(CONTROL!$C$15, $E$9, 100%, $G$9) + CHOOSE(CONTROL!$C$38, 0.0251, 0)</f>
        <v>23.7393</v>
      </c>
      <c r="C166" s="14">
        <f>22.2302 * CHOOSE(CONTROL!$C$15, $E$9, 100%, $G$9) + CHOOSE(CONTROL!$C$38, 0.0342, 0)</f>
        <v>22.264399999999998</v>
      </c>
      <c r="D166" s="14">
        <f>22.2224 * CHOOSE(CONTROL!$C$15, $E$9, 100%, $G$9) + CHOOSE(CONTROL!$C$38, 0.0342, 0)</f>
        <v>22.256599999999999</v>
      </c>
      <c r="E166" s="45">
        <f>23.558 * CHOOSE(CONTROL!$C$15, $E$9, 100%, $G$9) + CHOOSE(CONTROL!$C$38, 0.0342, 0)</f>
        <v>23.592199999999998</v>
      </c>
      <c r="F166" s="44">
        <f>23.558 * CHOOSE(CONTROL!$C$15, $E$9, 100%, $G$9) + CHOOSE(CONTROL!$C$38, 0.0251, 0)</f>
        <v>23.583099999999998</v>
      </c>
      <c r="G166" s="14">
        <f>22.2287 * CHOOSE(CONTROL!$C$15, $E$9, 100%, $G$9) + CHOOSE(CONTROL!$C$38, 0.0342, 0)</f>
        <v>22.262899999999998</v>
      </c>
      <c r="H166" s="14">
        <f>22.2287 * CHOOSE(CONTROL!$C$15, $E$9, 100%, $G$9) + CHOOSE(CONTROL!$C$38, 0.0342, 0)</f>
        <v>22.262899999999998</v>
      </c>
      <c r="I166" s="14">
        <f>22.2302 * CHOOSE(CONTROL!$C$15, $E$9, 100%, $G$9) + CHOOSE(CONTROL!$C$38, 0.0342, 0)</f>
        <v>22.264399999999998</v>
      </c>
      <c r="J166" s="43">
        <f>145.9779</f>
        <v>145.97790000000001</v>
      </c>
    </row>
    <row r="167" spans="1:10" ht="15" x14ac:dyDescent="0.2">
      <c r="A167" s="13">
        <v>45992</v>
      </c>
      <c r="B167" s="14">
        <f>24.592 * CHOOSE(CONTROL!$C$15, $E$9, 100%, $G$9) + CHOOSE(CONTROL!$C$38, 0.0251, 0)</f>
        <v>24.617099999999997</v>
      </c>
      <c r="C167" s="14">
        <f>23.1052 * CHOOSE(CONTROL!$C$15, $E$9, 100%, $G$9) + CHOOSE(CONTROL!$C$38, 0.0342, 0)</f>
        <v>23.139399999999998</v>
      </c>
      <c r="D167" s="14">
        <f>23.0974 * CHOOSE(CONTROL!$C$15, $E$9, 100%, $G$9) + CHOOSE(CONTROL!$C$38, 0.0342, 0)</f>
        <v>23.131599999999999</v>
      </c>
      <c r="E167" s="45">
        <f>24.4357 * CHOOSE(CONTROL!$C$15, $E$9, 100%, $G$9) + CHOOSE(CONTROL!$C$38, 0.0342, 0)</f>
        <v>24.469899999999999</v>
      </c>
      <c r="F167" s="44">
        <f>24.4357 * CHOOSE(CONTROL!$C$15, $E$9, 100%, $G$9) + CHOOSE(CONTROL!$C$38, 0.0251, 0)</f>
        <v>24.460799999999999</v>
      </c>
      <c r="G167" s="14">
        <f>23.1037 * CHOOSE(CONTROL!$C$15, $E$9, 100%, $G$9) + CHOOSE(CONTROL!$C$38, 0.0342, 0)</f>
        <v>23.137899999999998</v>
      </c>
      <c r="H167" s="14">
        <f>23.1037 * CHOOSE(CONTROL!$C$15, $E$9, 100%, $G$9) + CHOOSE(CONTROL!$C$38, 0.0342, 0)</f>
        <v>23.137899999999998</v>
      </c>
      <c r="I167" s="14">
        <f>23.1052 * CHOOSE(CONTROL!$C$15, $E$9, 100%, $G$9) + CHOOSE(CONTROL!$C$38, 0.0342, 0)</f>
        <v>23.139399999999998</v>
      </c>
      <c r="J167" s="43">
        <f>141.9377</f>
        <v>141.93770000000001</v>
      </c>
    </row>
    <row r="168" spans="1:10" ht="15" x14ac:dyDescent="0.2">
      <c r="A168" s="13">
        <v>46023</v>
      </c>
      <c r="B168" s="14">
        <f>25.2649 * CHOOSE(CONTROL!$C$15, $E$9, 100%, $G$9) + CHOOSE(CONTROL!$C$38, 0.0251, 0)</f>
        <v>25.29</v>
      </c>
      <c r="C168" s="14">
        <f>23.8016 * CHOOSE(CONTROL!$C$15, $E$9, 100%, $G$9) + CHOOSE(CONTROL!$C$38, 0.0342, 0)</f>
        <v>23.835799999999999</v>
      </c>
      <c r="D168" s="14">
        <f>23.7938 * CHOOSE(CONTROL!$C$15, $E$9, 100%, $G$9) + CHOOSE(CONTROL!$C$38, 0.0342, 0)</f>
        <v>23.827999999999999</v>
      </c>
      <c r="E168" s="45">
        <f>25.1087 * CHOOSE(CONTROL!$C$15, $E$9, 100%, $G$9) + CHOOSE(CONTROL!$C$38, 0.0342, 0)</f>
        <v>25.142899999999997</v>
      </c>
      <c r="F168" s="44">
        <f>25.1087 * CHOOSE(CONTROL!$C$15, $E$9, 100%, $G$9) + CHOOSE(CONTROL!$C$38, 0.0251, 0)</f>
        <v>25.133799999999997</v>
      </c>
      <c r="G168" s="14">
        <f>23.8001 * CHOOSE(CONTROL!$C$15, $E$9, 100%, $G$9) + CHOOSE(CONTROL!$C$38, 0.0342, 0)</f>
        <v>23.834299999999999</v>
      </c>
      <c r="H168" s="14">
        <f>23.8001 * CHOOSE(CONTROL!$C$15, $E$9, 100%, $G$9) + CHOOSE(CONTROL!$C$38, 0.0342, 0)</f>
        <v>23.834299999999999</v>
      </c>
      <c r="I168" s="14">
        <f>23.8016 * CHOOSE(CONTROL!$C$15, $E$9, 100%, $G$9) + CHOOSE(CONTROL!$C$38, 0.0342, 0)</f>
        <v>23.835799999999999</v>
      </c>
      <c r="J168" s="43">
        <f>138.8436</f>
        <v>138.84360000000001</v>
      </c>
    </row>
    <row r="169" spans="1:10" ht="15" x14ac:dyDescent="0.2">
      <c r="A169" s="13">
        <v>46054</v>
      </c>
      <c r="B169" s="14">
        <f>25.6245 * CHOOSE(CONTROL!$C$15, $E$9, 100%, $G$9) + CHOOSE(CONTROL!$C$38, 0.0251, 0)</f>
        <v>25.6496</v>
      </c>
      <c r="C169" s="14">
        <f>24.1584 * CHOOSE(CONTROL!$C$15, $E$9, 100%, $G$9) + CHOOSE(CONTROL!$C$38, 0.0342, 0)</f>
        <v>24.192599999999999</v>
      </c>
      <c r="D169" s="14">
        <f>24.1506 * CHOOSE(CONTROL!$C$15, $E$9, 100%, $G$9) + CHOOSE(CONTROL!$C$38, 0.0342, 0)</f>
        <v>24.184799999999999</v>
      </c>
      <c r="E169" s="45">
        <f>25.4682 * CHOOSE(CONTROL!$C$15, $E$9, 100%, $G$9) + CHOOSE(CONTROL!$C$38, 0.0342, 0)</f>
        <v>25.502399999999998</v>
      </c>
      <c r="F169" s="44">
        <f>25.4682 * CHOOSE(CONTROL!$C$15, $E$9, 100%, $G$9) + CHOOSE(CONTROL!$C$38, 0.0251, 0)</f>
        <v>25.493299999999998</v>
      </c>
      <c r="G169" s="14">
        <f>24.1569 * CHOOSE(CONTROL!$C$15, $E$9, 100%, $G$9) + CHOOSE(CONTROL!$C$38, 0.0342, 0)</f>
        <v>24.191099999999999</v>
      </c>
      <c r="H169" s="14">
        <f>24.1569 * CHOOSE(CONTROL!$C$15, $E$9, 100%, $G$9) + CHOOSE(CONTROL!$C$38, 0.0342, 0)</f>
        <v>24.191099999999999</v>
      </c>
      <c r="I169" s="14">
        <f>24.1584 * CHOOSE(CONTROL!$C$15, $E$9, 100%, $G$9) + CHOOSE(CONTROL!$C$38, 0.0342, 0)</f>
        <v>24.192599999999999</v>
      </c>
      <c r="J169" s="43">
        <f>138.7429</f>
        <v>138.74289999999999</v>
      </c>
    </row>
    <row r="170" spans="1:10" ht="15" x14ac:dyDescent="0.2">
      <c r="A170" s="13">
        <v>46082</v>
      </c>
      <c r="B170" s="14">
        <f>24.9598 * CHOOSE(CONTROL!$C$15, $E$9, 100%, $G$9) + CHOOSE(CONTROL!$C$38, 0.0251, 0)</f>
        <v>24.9849</v>
      </c>
      <c r="C170" s="14">
        <f>23.4911 * CHOOSE(CONTROL!$C$15, $E$9, 100%, $G$9) + CHOOSE(CONTROL!$C$38, 0.0342, 0)</f>
        <v>23.525299999999998</v>
      </c>
      <c r="D170" s="14">
        <f>23.4833 * CHOOSE(CONTROL!$C$15, $E$9, 100%, $G$9) + CHOOSE(CONTROL!$C$38, 0.0342, 0)</f>
        <v>23.517499999999998</v>
      </c>
      <c r="E170" s="45">
        <f>24.8036 * CHOOSE(CONTROL!$C$15, $E$9, 100%, $G$9) + CHOOSE(CONTROL!$C$38, 0.0342, 0)</f>
        <v>24.837799999999998</v>
      </c>
      <c r="F170" s="44">
        <f>24.8036 * CHOOSE(CONTROL!$C$15, $E$9, 100%, $G$9) + CHOOSE(CONTROL!$C$38, 0.0251, 0)</f>
        <v>24.828699999999998</v>
      </c>
      <c r="G170" s="14">
        <f>23.4895 * CHOOSE(CONTROL!$C$15, $E$9, 100%, $G$9) + CHOOSE(CONTROL!$C$38, 0.0342, 0)</f>
        <v>23.523699999999998</v>
      </c>
      <c r="H170" s="14">
        <f>23.4895 * CHOOSE(CONTROL!$C$15, $E$9, 100%, $G$9) + CHOOSE(CONTROL!$C$38, 0.0342, 0)</f>
        <v>23.523699999999998</v>
      </c>
      <c r="I170" s="14">
        <f>23.4911 * CHOOSE(CONTROL!$C$15, $E$9, 100%, $G$9) + CHOOSE(CONTROL!$C$38, 0.0342, 0)</f>
        <v>23.525299999999998</v>
      </c>
      <c r="J170" s="43">
        <f>146.3563</f>
        <v>146.3563</v>
      </c>
    </row>
    <row r="171" spans="1:10" ht="15" x14ac:dyDescent="0.2">
      <c r="A171" s="13">
        <v>46113</v>
      </c>
      <c r="B171" s="14">
        <f>24.3146 * CHOOSE(CONTROL!$C$15, $E$9, 100%, $G$9) + CHOOSE(CONTROL!$C$38, 0.0251, 0)</f>
        <v>24.339699999999997</v>
      </c>
      <c r="C171" s="14">
        <f>22.8432 * CHOOSE(CONTROL!$C$15, $E$9, 100%, $G$9) + CHOOSE(CONTROL!$C$38, 0.0342, 0)</f>
        <v>22.877399999999998</v>
      </c>
      <c r="D171" s="14">
        <f>22.8354 * CHOOSE(CONTROL!$C$15, $E$9, 100%, $G$9) + CHOOSE(CONTROL!$C$38, 0.0342, 0)</f>
        <v>22.869599999999998</v>
      </c>
      <c r="E171" s="45">
        <f>24.1583 * CHOOSE(CONTROL!$C$15, $E$9, 100%, $G$9) + CHOOSE(CONTROL!$C$38, 0.0342, 0)</f>
        <v>24.192499999999999</v>
      </c>
      <c r="F171" s="44">
        <f>24.1583 * CHOOSE(CONTROL!$C$15, $E$9, 100%, $G$9) + CHOOSE(CONTROL!$C$38, 0.0251, 0)</f>
        <v>24.183399999999999</v>
      </c>
      <c r="G171" s="14">
        <f>22.8416 * CHOOSE(CONTROL!$C$15, $E$9, 100%, $G$9) + CHOOSE(CONTROL!$C$38, 0.0342, 0)</f>
        <v>22.875799999999998</v>
      </c>
      <c r="H171" s="14">
        <f>22.8416 * CHOOSE(CONTROL!$C$15, $E$9, 100%, $G$9) + CHOOSE(CONTROL!$C$38, 0.0342, 0)</f>
        <v>22.875799999999998</v>
      </c>
      <c r="I171" s="14">
        <f>22.8432 * CHOOSE(CONTROL!$C$15, $E$9, 100%, $G$9) + CHOOSE(CONTROL!$C$38, 0.0342, 0)</f>
        <v>22.877399999999998</v>
      </c>
      <c r="J171" s="43">
        <f>156.1795</f>
        <v>156.17949999999999</v>
      </c>
    </row>
    <row r="172" spans="1:10" ht="15" x14ac:dyDescent="0.2">
      <c r="A172" s="13">
        <v>46143</v>
      </c>
      <c r="B172" s="14">
        <f>23.6371 * CHOOSE(CONTROL!$C$15, $E$9, 100%, $G$9) + CHOOSE(CONTROL!$C$38, 0.0264, 0)</f>
        <v>23.663499999999999</v>
      </c>
      <c r="C172" s="14">
        <f>22.163 * CHOOSE(CONTROL!$C$15, $E$9, 100%, $G$9) + CHOOSE(CONTROL!$C$38, 0.0354, 0)</f>
        <v>22.198399999999999</v>
      </c>
      <c r="D172" s="14">
        <f>22.1552 * CHOOSE(CONTROL!$C$15, $E$9, 100%, $G$9) + CHOOSE(CONTROL!$C$38, 0.0354, 0)</f>
        <v>22.1906</v>
      </c>
      <c r="E172" s="45">
        <f>23.4809 * CHOOSE(CONTROL!$C$15, $E$9, 100%, $G$9) + CHOOSE(CONTROL!$C$38, 0.0354, 0)</f>
        <v>23.516299999999998</v>
      </c>
      <c r="F172" s="44">
        <f>23.4809 * CHOOSE(CONTROL!$C$15, $E$9, 100%, $G$9) + CHOOSE(CONTROL!$C$38, 0.0264, 0)</f>
        <v>23.507299999999997</v>
      </c>
      <c r="G172" s="14">
        <f>22.1614 * CHOOSE(CONTROL!$C$15, $E$9, 100%, $G$9) + CHOOSE(CONTROL!$C$38, 0.0354, 0)</f>
        <v>22.1968</v>
      </c>
      <c r="H172" s="14">
        <f>22.1614 * CHOOSE(CONTROL!$C$15, $E$9, 100%, $G$9) + CHOOSE(CONTROL!$C$38, 0.0354, 0)</f>
        <v>22.1968</v>
      </c>
      <c r="I172" s="14">
        <f>22.163 * CHOOSE(CONTROL!$C$15, $E$9, 100%, $G$9) + CHOOSE(CONTROL!$C$38, 0.0354, 0)</f>
        <v>22.198399999999999</v>
      </c>
      <c r="J172" s="43">
        <f>161.7531</f>
        <v>161.75309999999999</v>
      </c>
    </row>
    <row r="173" spans="1:10" ht="15" x14ac:dyDescent="0.2">
      <c r="A173" s="13">
        <v>46174</v>
      </c>
      <c r="B173" s="14">
        <f>23.1743 * CHOOSE(CONTROL!$C$15, $E$9, 100%, $G$9) + CHOOSE(CONTROL!$C$38, 0.0264, 0)</f>
        <v>23.200699999999998</v>
      </c>
      <c r="C173" s="14">
        <f>21.6975 * CHOOSE(CONTROL!$C$15, $E$9, 100%, $G$9) + CHOOSE(CONTROL!$C$38, 0.0354, 0)</f>
        <v>21.732900000000001</v>
      </c>
      <c r="D173" s="14">
        <f>21.6897 * CHOOSE(CONTROL!$C$15, $E$9, 100%, $G$9) + CHOOSE(CONTROL!$C$38, 0.0354, 0)</f>
        <v>21.725099999999998</v>
      </c>
      <c r="E173" s="45">
        <f>23.0181 * CHOOSE(CONTROL!$C$15, $E$9, 100%, $G$9) + CHOOSE(CONTROL!$C$38, 0.0354, 0)</f>
        <v>23.0535</v>
      </c>
      <c r="F173" s="44">
        <f>23.0181 * CHOOSE(CONTROL!$C$15, $E$9, 100%, $G$9) + CHOOSE(CONTROL!$C$38, 0.0264, 0)</f>
        <v>23.044499999999999</v>
      </c>
      <c r="G173" s="14">
        <f>21.6959 * CHOOSE(CONTROL!$C$15, $E$9, 100%, $G$9) + CHOOSE(CONTROL!$C$38, 0.0354, 0)</f>
        <v>21.731300000000001</v>
      </c>
      <c r="H173" s="14">
        <f>21.6959 * CHOOSE(CONTROL!$C$15, $E$9, 100%, $G$9) + CHOOSE(CONTROL!$C$38, 0.0354, 0)</f>
        <v>21.731300000000001</v>
      </c>
      <c r="I173" s="14">
        <f>21.6975 * CHOOSE(CONTROL!$C$15, $E$9, 100%, $G$9) + CHOOSE(CONTROL!$C$38, 0.0354, 0)</f>
        <v>21.732900000000001</v>
      </c>
      <c r="J173" s="43">
        <f>164.4217</f>
        <v>164.42169999999999</v>
      </c>
    </row>
    <row r="174" spans="1:10" ht="15" x14ac:dyDescent="0.2">
      <c r="A174" s="13">
        <v>46204</v>
      </c>
      <c r="B174" s="14">
        <f>22.929 * CHOOSE(CONTROL!$C$15, $E$9, 100%, $G$9) + CHOOSE(CONTROL!$C$38, 0.0264, 0)</f>
        <v>22.955399999999997</v>
      </c>
      <c r="C174" s="14">
        <f>21.4495 * CHOOSE(CONTROL!$C$15, $E$9, 100%, $G$9) + CHOOSE(CONTROL!$C$38, 0.0354, 0)</f>
        <v>21.4849</v>
      </c>
      <c r="D174" s="14">
        <f>21.4417 * CHOOSE(CONTROL!$C$15, $E$9, 100%, $G$9) + CHOOSE(CONTROL!$C$38, 0.0354, 0)</f>
        <v>21.4771</v>
      </c>
      <c r="E174" s="45">
        <f>22.7728 * CHOOSE(CONTROL!$C$15, $E$9, 100%, $G$9) + CHOOSE(CONTROL!$C$38, 0.0354, 0)</f>
        <v>22.808199999999999</v>
      </c>
      <c r="F174" s="44">
        <f>22.7728 * CHOOSE(CONTROL!$C$15, $E$9, 100%, $G$9) + CHOOSE(CONTROL!$C$38, 0.0264, 0)</f>
        <v>22.799199999999999</v>
      </c>
      <c r="G174" s="14">
        <f>21.4479 * CHOOSE(CONTROL!$C$15, $E$9, 100%, $G$9) + CHOOSE(CONTROL!$C$38, 0.0354, 0)</f>
        <v>21.4833</v>
      </c>
      <c r="H174" s="14">
        <f>21.4479 * CHOOSE(CONTROL!$C$15, $E$9, 100%, $G$9) + CHOOSE(CONTROL!$C$38, 0.0354, 0)</f>
        <v>21.4833</v>
      </c>
      <c r="I174" s="14">
        <f>21.4495 * CHOOSE(CONTROL!$C$15, $E$9, 100%, $G$9) + CHOOSE(CONTROL!$C$38, 0.0354, 0)</f>
        <v>21.4849</v>
      </c>
      <c r="J174" s="43">
        <f>163.9899</f>
        <v>163.98990000000001</v>
      </c>
    </row>
    <row r="175" spans="1:10" ht="15" x14ac:dyDescent="0.2">
      <c r="A175" s="13">
        <v>46235</v>
      </c>
      <c r="B175" s="14">
        <f>23.1193 * CHOOSE(CONTROL!$C$15, $E$9, 100%, $G$9) + CHOOSE(CONTROL!$C$38, 0.0264, 0)</f>
        <v>23.145699999999998</v>
      </c>
      <c r="C175" s="14">
        <f>21.637 * CHOOSE(CONTROL!$C$15, $E$9, 100%, $G$9) + CHOOSE(CONTROL!$C$38, 0.0354, 0)</f>
        <v>21.6724</v>
      </c>
      <c r="D175" s="14">
        <f>21.6292 * CHOOSE(CONTROL!$C$15, $E$9, 100%, $G$9) + CHOOSE(CONTROL!$C$38, 0.0354, 0)</f>
        <v>21.6646</v>
      </c>
      <c r="E175" s="45">
        <f>22.963 * CHOOSE(CONTROL!$C$15, $E$9, 100%, $G$9) + CHOOSE(CONTROL!$C$38, 0.0354, 0)</f>
        <v>22.9984</v>
      </c>
      <c r="F175" s="44">
        <f>22.963 * CHOOSE(CONTROL!$C$15, $E$9, 100%, $G$9) + CHOOSE(CONTROL!$C$38, 0.0264, 0)</f>
        <v>22.9894</v>
      </c>
      <c r="G175" s="14">
        <f>21.6354 * CHOOSE(CONTROL!$C$15, $E$9, 100%, $G$9) + CHOOSE(CONTROL!$C$38, 0.0354, 0)</f>
        <v>21.6708</v>
      </c>
      <c r="H175" s="14">
        <f>21.6354 * CHOOSE(CONTROL!$C$15, $E$9, 100%, $G$9) + CHOOSE(CONTROL!$C$38, 0.0354, 0)</f>
        <v>21.6708</v>
      </c>
      <c r="I175" s="14">
        <f>21.637 * CHOOSE(CONTROL!$C$15, $E$9, 100%, $G$9) + CHOOSE(CONTROL!$C$38, 0.0354, 0)</f>
        <v>21.6724</v>
      </c>
      <c r="J175" s="43">
        <f>160.5022</f>
        <v>160.50219999999999</v>
      </c>
    </row>
    <row r="176" spans="1:10" ht="15" x14ac:dyDescent="0.2">
      <c r="A176" s="13">
        <v>46266</v>
      </c>
      <c r="B176" s="14">
        <f>23.5584 * CHOOSE(CONTROL!$C$15, $E$9, 100%, $G$9) + CHOOSE(CONTROL!$C$38, 0.0264, 0)</f>
        <v>23.584799999999998</v>
      </c>
      <c r="C176" s="14">
        <f>22.0733 * CHOOSE(CONTROL!$C$15, $E$9, 100%, $G$9) + CHOOSE(CONTROL!$C$38, 0.0354, 0)</f>
        <v>22.108699999999999</v>
      </c>
      <c r="D176" s="14">
        <f>22.0655 * CHOOSE(CONTROL!$C$15, $E$9, 100%, $G$9) + CHOOSE(CONTROL!$C$38, 0.0354, 0)</f>
        <v>22.100899999999999</v>
      </c>
      <c r="E176" s="45">
        <f>23.4021 * CHOOSE(CONTROL!$C$15, $E$9, 100%, $G$9) + CHOOSE(CONTROL!$C$38, 0.0354, 0)</f>
        <v>23.4375</v>
      </c>
      <c r="F176" s="44">
        <f>23.4021 * CHOOSE(CONTROL!$C$15, $E$9, 100%, $G$9) + CHOOSE(CONTROL!$C$38, 0.0264, 0)</f>
        <v>23.4285</v>
      </c>
      <c r="G176" s="14">
        <f>22.0718 * CHOOSE(CONTROL!$C$15, $E$9, 100%, $G$9) + CHOOSE(CONTROL!$C$38, 0.0354, 0)</f>
        <v>22.107199999999999</v>
      </c>
      <c r="H176" s="14">
        <f>22.0718 * CHOOSE(CONTROL!$C$15, $E$9, 100%, $G$9) + CHOOSE(CONTROL!$C$38, 0.0354, 0)</f>
        <v>22.107199999999999</v>
      </c>
      <c r="I176" s="14">
        <f>22.0733 * CHOOSE(CONTROL!$C$15, $E$9, 100%, $G$9) + CHOOSE(CONTROL!$C$38, 0.0354, 0)</f>
        <v>22.108699999999999</v>
      </c>
      <c r="J176" s="43">
        <f>155.487</f>
        <v>155.48699999999999</v>
      </c>
    </row>
    <row r="177" spans="1:10" ht="15" x14ac:dyDescent="0.2">
      <c r="A177" s="13">
        <v>46296</v>
      </c>
      <c r="B177" s="14">
        <f>23.9352 * CHOOSE(CONTROL!$C$15, $E$9, 100%, $G$9) + CHOOSE(CONTROL!$C$38, 0.0251, 0)</f>
        <v>23.960299999999997</v>
      </c>
      <c r="C177" s="14">
        <f>22.4474 * CHOOSE(CONTROL!$C$15, $E$9, 100%, $G$9) + CHOOSE(CONTROL!$C$38, 0.0342, 0)</f>
        <v>22.481599999999997</v>
      </c>
      <c r="D177" s="14">
        <f>22.4396 * CHOOSE(CONTROL!$C$15, $E$9, 100%, $G$9) + CHOOSE(CONTROL!$C$38, 0.0342, 0)</f>
        <v>22.473799999999997</v>
      </c>
      <c r="E177" s="45">
        <f>23.779 * CHOOSE(CONTROL!$C$15, $E$9, 100%, $G$9) + CHOOSE(CONTROL!$C$38, 0.0342, 0)</f>
        <v>23.813199999999998</v>
      </c>
      <c r="F177" s="44">
        <f>23.779 * CHOOSE(CONTROL!$C$15, $E$9, 100%, $G$9) + CHOOSE(CONTROL!$C$38, 0.0251, 0)</f>
        <v>23.804099999999998</v>
      </c>
      <c r="G177" s="14">
        <f>22.4459 * CHOOSE(CONTROL!$C$15, $E$9, 100%, $G$9) + CHOOSE(CONTROL!$C$38, 0.0342, 0)</f>
        <v>22.4801</v>
      </c>
      <c r="H177" s="14">
        <f>22.4459 * CHOOSE(CONTROL!$C$15, $E$9, 100%, $G$9) + CHOOSE(CONTROL!$C$38, 0.0342, 0)</f>
        <v>22.4801</v>
      </c>
      <c r="I177" s="14">
        <f>22.4474 * CHOOSE(CONTROL!$C$15, $E$9, 100%, $G$9) + CHOOSE(CONTROL!$C$38, 0.0342, 0)</f>
        <v>22.481599999999997</v>
      </c>
      <c r="J177" s="43">
        <f>150.4193</f>
        <v>150.41929999999999</v>
      </c>
    </row>
    <row r="178" spans="1:10" ht="15" x14ac:dyDescent="0.2">
      <c r="A178" s="13">
        <v>46327</v>
      </c>
      <c r="B178" s="14">
        <f>24.2588 * CHOOSE(CONTROL!$C$15, $E$9, 100%, $G$9) + CHOOSE(CONTROL!$C$38, 0.0251, 0)</f>
        <v>24.283899999999999</v>
      </c>
      <c r="C178" s="14">
        <f>22.7683 * CHOOSE(CONTROL!$C$15, $E$9, 100%, $G$9) + CHOOSE(CONTROL!$C$38, 0.0342, 0)</f>
        <v>22.802499999999998</v>
      </c>
      <c r="D178" s="14">
        <f>22.7605 * CHOOSE(CONTROL!$C$15, $E$9, 100%, $G$9) + CHOOSE(CONTROL!$C$38, 0.0342, 0)</f>
        <v>22.794699999999999</v>
      </c>
      <c r="E178" s="45">
        <f>24.1026 * CHOOSE(CONTROL!$C$15, $E$9, 100%, $G$9) + CHOOSE(CONTROL!$C$38, 0.0342, 0)</f>
        <v>24.136799999999997</v>
      </c>
      <c r="F178" s="44">
        <f>24.1026 * CHOOSE(CONTROL!$C$15, $E$9, 100%, $G$9) + CHOOSE(CONTROL!$C$38, 0.0251, 0)</f>
        <v>24.127699999999997</v>
      </c>
      <c r="G178" s="14">
        <f>22.7668 * CHOOSE(CONTROL!$C$15, $E$9, 100%, $G$9) + CHOOSE(CONTROL!$C$38, 0.0342, 0)</f>
        <v>22.800999999999998</v>
      </c>
      <c r="H178" s="14">
        <f>22.7668 * CHOOSE(CONTROL!$C$15, $E$9, 100%, $G$9) + CHOOSE(CONTROL!$C$38, 0.0342, 0)</f>
        <v>22.800999999999998</v>
      </c>
      <c r="I178" s="14">
        <f>22.7683 * CHOOSE(CONTROL!$C$15, $E$9, 100%, $G$9) + CHOOSE(CONTROL!$C$38, 0.0342, 0)</f>
        <v>22.802499999999998</v>
      </c>
      <c r="J178" s="43">
        <f>149.6551</f>
        <v>149.6551</v>
      </c>
    </row>
    <row r="179" spans="1:10" ht="15" x14ac:dyDescent="0.2">
      <c r="A179" s="13">
        <v>46357</v>
      </c>
      <c r="B179" s="14">
        <f>25.1585 * CHOOSE(CONTROL!$C$15, $E$9, 100%, $G$9) + CHOOSE(CONTROL!$C$38, 0.0251, 0)</f>
        <v>25.183599999999998</v>
      </c>
      <c r="C179" s="14">
        <f>23.6652 * CHOOSE(CONTROL!$C$15, $E$9, 100%, $G$9) + CHOOSE(CONTROL!$C$38, 0.0342, 0)</f>
        <v>23.699399999999997</v>
      </c>
      <c r="D179" s="14">
        <f>23.6574 * CHOOSE(CONTROL!$C$15, $E$9, 100%, $G$9) + CHOOSE(CONTROL!$C$38, 0.0342, 0)</f>
        <v>23.691599999999998</v>
      </c>
      <c r="E179" s="45">
        <f>25.0022 * CHOOSE(CONTROL!$C$15, $E$9, 100%, $G$9) + CHOOSE(CONTROL!$C$38, 0.0342, 0)</f>
        <v>25.036399999999997</v>
      </c>
      <c r="F179" s="44">
        <f>25.0022 * CHOOSE(CONTROL!$C$15, $E$9, 100%, $G$9) + CHOOSE(CONTROL!$C$38, 0.0251, 0)</f>
        <v>25.027299999999997</v>
      </c>
      <c r="G179" s="14">
        <f>23.6637 * CHOOSE(CONTROL!$C$15, $E$9, 100%, $G$9) + CHOOSE(CONTROL!$C$38, 0.0342, 0)</f>
        <v>23.697899999999997</v>
      </c>
      <c r="H179" s="14">
        <f>23.6637 * CHOOSE(CONTROL!$C$15, $E$9, 100%, $G$9) + CHOOSE(CONTROL!$C$38, 0.0342, 0)</f>
        <v>23.697899999999997</v>
      </c>
      <c r="I179" s="14">
        <f>23.6652 * CHOOSE(CONTROL!$C$15, $E$9, 100%, $G$9) + CHOOSE(CONTROL!$C$38, 0.0342, 0)</f>
        <v>23.699399999999997</v>
      </c>
      <c r="J179" s="43">
        <f>145.5132</f>
        <v>145.51320000000001</v>
      </c>
    </row>
    <row r="180" spans="1:10" ht="15" x14ac:dyDescent="0.2">
      <c r="A180" s="13">
        <v>46388</v>
      </c>
      <c r="B180" s="14">
        <f>25.8917 * CHOOSE(CONTROL!$C$15, $E$9, 100%, $G$9) + CHOOSE(CONTROL!$C$38, 0.0251, 0)</f>
        <v>25.916799999999999</v>
      </c>
      <c r="C180" s="14">
        <f>24.422 * CHOOSE(CONTROL!$C$15, $E$9, 100%, $G$9) + CHOOSE(CONTROL!$C$38, 0.0342, 0)</f>
        <v>24.456199999999999</v>
      </c>
      <c r="D180" s="14">
        <f>24.4142 * CHOOSE(CONTROL!$C$15, $E$9, 100%, $G$9) + CHOOSE(CONTROL!$C$38, 0.0342, 0)</f>
        <v>24.448399999999999</v>
      </c>
      <c r="E180" s="45">
        <f>25.7354 * CHOOSE(CONTROL!$C$15, $E$9, 100%, $G$9) + CHOOSE(CONTROL!$C$38, 0.0342, 0)</f>
        <v>25.769599999999997</v>
      </c>
      <c r="F180" s="44">
        <f>25.7354 * CHOOSE(CONTROL!$C$15, $E$9, 100%, $G$9) + CHOOSE(CONTROL!$C$38, 0.0251, 0)</f>
        <v>25.760499999999997</v>
      </c>
      <c r="G180" s="14">
        <f>24.4204 * CHOOSE(CONTROL!$C$15, $E$9, 100%, $G$9) + CHOOSE(CONTROL!$C$38, 0.0342, 0)</f>
        <v>24.454599999999999</v>
      </c>
      <c r="H180" s="14">
        <f>24.4204 * CHOOSE(CONTROL!$C$15, $E$9, 100%, $G$9) + CHOOSE(CONTROL!$C$38, 0.0342, 0)</f>
        <v>24.454599999999999</v>
      </c>
      <c r="I180" s="14">
        <f>24.422 * CHOOSE(CONTROL!$C$15, $E$9, 100%, $G$9) + CHOOSE(CONTROL!$C$38, 0.0342, 0)</f>
        <v>24.456199999999999</v>
      </c>
      <c r="J180" s="43">
        <f>142.3411</f>
        <v>142.34110000000001</v>
      </c>
    </row>
    <row r="181" spans="1:10" ht="15" x14ac:dyDescent="0.2">
      <c r="A181" s="13">
        <v>46419</v>
      </c>
      <c r="B181" s="14">
        <f>26.2602 * CHOOSE(CONTROL!$C$15, $E$9, 100%, $G$9) + CHOOSE(CONTROL!$C$38, 0.0251, 0)</f>
        <v>26.285299999999999</v>
      </c>
      <c r="C181" s="14">
        <f>24.7878 * CHOOSE(CONTROL!$C$15, $E$9, 100%, $G$9) + CHOOSE(CONTROL!$C$38, 0.0342, 0)</f>
        <v>24.821999999999999</v>
      </c>
      <c r="D181" s="14">
        <f>24.78 * CHOOSE(CONTROL!$C$15, $E$9, 100%, $G$9) + CHOOSE(CONTROL!$C$38, 0.0342, 0)</f>
        <v>24.8142</v>
      </c>
      <c r="E181" s="45">
        <f>26.104 * CHOOSE(CONTROL!$C$15, $E$9, 100%, $G$9) + CHOOSE(CONTROL!$C$38, 0.0342, 0)</f>
        <v>26.138199999999998</v>
      </c>
      <c r="F181" s="44">
        <f>26.104 * CHOOSE(CONTROL!$C$15, $E$9, 100%, $G$9) + CHOOSE(CONTROL!$C$38, 0.0251, 0)</f>
        <v>26.129099999999998</v>
      </c>
      <c r="G181" s="14">
        <f>24.7862 * CHOOSE(CONTROL!$C$15, $E$9, 100%, $G$9) + CHOOSE(CONTROL!$C$38, 0.0342, 0)</f>
        <v>24.820399999999999</v>
      </c>
      <c r="H181" s="14">
        <f>24.7862 * CHOOSE(CONTROL!$C$15, $E$9, 100%, $G$9) + CHOOSE(CONTROL!$C$38, 0.0342, 0)</f>
        <v>24.820399999999999</v>
      </c>
      <c r="I181" s="14">
        <f>24.7878 * CHOOSE(CONTROL!$C$15, $E$9, 100%, $G$9) + CHOOSE(CONTROL!$C$38, 0.0342, 0)</f>
        <v>24.821999999999999</v>
      </c>
      <c r="J181" s="43">
        <f>142.2378</f>
        <v>142.23779999999999</v>
      </c>
    </row>
    <row r="182" spans="1:10" ht="15" x14ac:dyDescent="0.2">
      <c r="A182" s="13">
        <v>46447</v>
      </c>
      <c r="B182" s="14">
        <f>25.579 * CHOOSE(CONTROL!$C$15, $E$9, 100%, $G$9) + CHOOSE(CONTROL!$C$38, 0.0251, 0)</f>
        <v>25.604099999999999</v>
      </c>
      <c r="C182" s="14">
        <f>24.1038 * CHOOSE(CONTROL!$C$15, $E$9, 100%, $G$9) + CHOOSE(CONTROL!$C$38, 0.0342, 0)</f>
        <v>24.137999999999998</v>
      </c>
      <c r="D182" s="14">
        <f>24.096 * CHOOSE(CONTROL!$C$15, $E$9, 100%, $G$9) + CHOOSE(CONTROL!$C$38, 0.0342, 0)</f>
        <v>24.130199999999999</v>
      </c>
      <c r="E182" s="45">
        <f>25.4227 * CHOOSE(CONTROL!$C$15, $E$9, 100%, $G$9) + CHOOSE(CONTROL!$C$38, 0.0342, 0)</f>
        <v>25.456899999999997</v>
      </c>
      <c r="F182" s="44">
        <f>25.4227 * CHOOSE(CONTROL!$C$15, $E$9, 100%, $G$9) + CHOOSE(CONTROL!$C$38, 0.0251, 0)</f>
        <v>25.447799999999997</v>
      </c>
      <c r="G182" s="14">
        <f>24.1023 * CHOOSE(CONTROL!$C$15, $E$9, 100%, $G$9) + CHOOSE(CONTROL!$C$38, 0.0342, 0)</f>
        <v>24.136499999999998</v>
      </c>
      <c r="H182" s="14">
        <f>24.1023 * CHOOSE(CONTROL!$C$15, $E$9, 100%, $G$9) + CHOOSE(CONTROL!$C$38, 0.0342, 0)</f>
        <v>24.136499999999998</v>
      </c>
      <c r="I182" s="14">
        <f>24.1038 * CHOOSE(CONTROL!$C$15, $E$9, 100%, $G$9) + CHOOSE(CONTROL!$C$38, 0.0342, 0)</f>
        <v>24.137999999999998</v>
      </c>
      <c r="J182" s="43">
        <f>150.043</f>
        <v>150.04300000000001</v>
      </c>
    </row>
    <row r="183" spans="1:10" ht="15" x14ac:dyDescent="0.2">
      <c r="A183" s="13">
        <v>46478</v>
      </c>
      <c r="B183" s="14">
        <f>24.9176 * CHOOSE(CONTROL!$C$15, $E$9, 100%, $G$9) + CHOOSE(CONTROL!$C$38, 0.0251, 0)</f>
        <v>24.942699999999999</v>
      </c>
      <c r="C183" s="14">
        <f>23.4398 * CHOOSE(CONTROL!$C$15, $E$9, 100%, $G$9) + CHOOSE(CONTROL!$C$38, 0.0342, 0)</f>
        <v>23.474</v>
      </c>
      <c r="D183" s="14">
        <f>23.432 * CHOOSE(CONTROL!$C$15, $E$9, 100%, $G$9) + CHOOSE(CONTROL!$C$38, 0.0342, 0)</f>
        <v>23.466199999999997</v>
      </c>
      <c r="E183" s="45">
        <f>24.7614 * CHOOSE(CONTROL!$C$15, $E$9, 100%, $G$9) + CHOOSE(CONTROL!$C$38, 0.0342, 0)</f>
        <v>24.795599999999997</v>
      </c>
      <c r="F183" s="44">
        <f>24.7614 * CHOOSE(CONTROL!$C$15, $E$9, 100%, $G$9) + CHOOSE(CONTROL!$C$38, 0.0251, 0)</f>
        <v>24.786499999999997</v>
      </c>
      <c r="G183" s="14">
        <f>23.4382 * CHOOSE(CONTROL!$C$15, $E$9, 100%, $G$9) + CHOOSE(CONTROL!$C$38, 0.0342, 0)</f>
        <v>23.472399999999997</v>
      </c>
      <c r="H183" s="14">
        <f>23.4382 * CHOOSE(CONTROL!$C$15, $E$9, 100%, $G$9) + CHOOSE(CONTROL!$C$38, 0.0342, 0)</f>
        <v>23.472399999999997</v>
      </c>
      <c r="I183" s="14">
        <f>23.4398 * CHOOSE(CONTROL!$C$15, $E$9, 100%, $G$9) + CHOOSE(CONTROL!$C$38, 0.0342, 0)</f>
        <v>23.474</v>
      </c>
      <c r="J183" s="43">
        <f>160.1136</f>
        <v>160.11359999999999</v>
      </c>
    </row>
    <row r="184" spans="1:10" ht="15" x14ac:dyDescent="0.2">
      <c r="A184" s="13">
        <v>46508</v>
      </c>
      <c r="B184" s="14">
        <f>24.2233 * CHOOSE(CONTROL!$C$15, $E$9, 100%, $G$9) + CHOOSE(CONTROL!$C$38, 0.0264, 0)</f>
        <v>24.249699999999997</v>
      </c>
      <c r="C184" s="14">
        <f>22.7427 * CHOOSE(CONTROL!$C$15, $E$9, 100%, $G$9) + CHOOSE(CONTROL!$C$38, 0.0354, 0)</f>
        <v>22.778099999999998</v>
      </c>
      <c r="D184" s="14">
        <f>22.7349 * CHOOSE(CONTROL!$C$15, $E$9, 100%, $G$9) + CHOOSE(CONTROL!$C$38, 0.0354, 0)</f>
        <v>22.770299999999999</v>
      </c>
      <c r="E184" s="45">
        <f>24.067 * CHOOSE(CONTROL!$C$15, $E$9, 100%, $G$9) + CHOOSE(CONTROL!$C$38, 0.0354, 0)</f>
        <v>24.102399999999999</v>
      </c>
      <c r="F184" s="44">
        <f>24.067 * CHOOSE(CONTROL!$C$15, $E$9, 100%, $G$9) + CHOOSE(CONTROL!$C$38, 0.0264, 0)</f>
        <v>24.093399999999999</v>
      </c>
      <c r="G184" s="14">
        <f>22.7411 * CHOOSE(CONTROL!$C$15, $E$9, 100%, $G$9) + CHOOSE(CONTROL!$C$38, 0.0354, 0)</f>
        <v>22.776499999999999</v>
      </c>
      <c r="H184" s="14">
        <f>22.7411 * CHOOSE(CONTROL!$C$15, $E$9, 100%, $G$9) + CHOOSE(CONTROL!$C$38, 0.0354, 0)</f>
        <v>22.776499999999999</v>
      </c>
      <c r="I184" s="14">
        <f>22.7427 * CHOOSE(CONTROL!$C$15, $E$9, 100%, $G$9) + CHOOSE(CONTROL!$C$38, 0.0354, 0)</f>
        <v>22.778099999999998</v>
      </c>
      <c r="J184" s="43">
        <f>165.8276</f>
        <v>165.82759999999999</v>
      </c>
    </row>
    <row r="185" spans="1:10" ht="15" x14ac:dyDescent="0.2">
      <c r="A185" s="13">
        <v>46539</v>
      </c>
      <c r="B185" s="14">
        <f>23.7489 * CHOOSE(CONTROL!$C$15, $E$9, 100%, $G$9) + CHOOSE(CONTROL!$C$38, 0.0264, 0)</f>
        <v>23.775299999999998</v>
      </c>
      <c r="C185" s="14">
        <f>22.2656 * CHOOSE(CONTROL!$C$15, $E$9, 100%, $G$9) + CHOOSE(CONTROL!$C$38, 0.0354, 0)</f>
        <v>22.300999999999998</v>
      </c>
      <c r="D185" s="14">
        <f>22.2578 * CHOOSE(CONTROL!$C$15, $E$9, 100%, $G$9) + CHOOSE(CONTROL!$C$38, 0.0354, 0)</f>
        <v>22.293199999999999</v>
      </c>
      <c r="E185" s="45">
        <f>23.5927 * CHOOSE(CONTROL!$C$15, $E$9, 100%, $G$9) + CHOOSE(CONTROL!$C$38, 0.0354, 0)</f>
        <v>23.6281</v>
      </c>
      <c r="F185" s="44">
        <f>23.5927 * CHOOSE(CONTROL!$C$15, $E$9, 100%, $G$9) + CHOOSE(CONTROL!$C$38, 0.0264, 0)</f>
        <v>23.6191</v>
      </c>
      <c r="G185" s="14">
        <f>22.2641 * CHOOSE(CONTROL!$C$15, $E$9, 100%, $G$9) + CHOOSE(CONTROL!$C$38, 0.0354, 0)</f>
        <v>22.299499999999998</v>
      </c>
      <c r="H185" s="14">
        <f>22.2641 * CHOOSE(CONTROL!$C$15, $E$9, 100%, $G$9) + CHOOSE(CONTROL!$C$38, 0.0354, 0)</f>
        <v>22.299499999999998</v>
      </c>
      <c r="I185" s="14">
        <f>22.2656 * CHOOSE(CONTROL!$C$15, $E$9, 100%, $G$9) + CHOOSE(CONTROL!$C$38, 0.0354, 0)</f>
        <v>22.300999999999998</v>
      </c>
      <c r="J185" s="43">
        <f>168.5635</f>
        <v>168.5635</v>
      </c>
    </row>
    <row r="186" spans="1:10" ht="15" x14ac:dyDescent="0.2">
      <c r="A186" s="13">
        <v>46569</v>
      </c>
      <c r="B186" s="14">
        <f>23.4975 * CHOOSE(CONTROL!$C$15, $E$9, 100%, $G$9) + CHOOSE(CONTROL!$C$38, 0.0264, 0)</f>
        <v>23.523899999999998</v>
      </c>
      <c r="C186" s="14">
        <f>22.0115 * CHOOSE(CONTROL!$C$15, $E$9, 100%, $G$9) + CHOOSE(CONTROL!$C$38, 0.0354, 0)</f>
        <v>22.046900000000001</v>
      </c>
      <c r="D186" s="14">
        <f>22.0037 * CHOOSE(CONTROL!$C$15, $E$9, 100%, $G$9) + CHOOSE(CONTROL!$C$38, 0.0354, 0)</f>
        <v>22.039099999999998</v>
      </c>
      <c r="E186" s="45">
        <f>23.3413 * CHOOSE(CONTROL!$C$15, $E$9, 100%, $G$9) + CHOOSE(CONTROL!$C$38, 0.0354, 0)</f>
        <v>23.3767</v>
      </c>
      <c r="F186" s="44">
        <f>23.3413 * CHOOSE(CONTROL!$C$15, $E$9, 100%, $G$9) + CHOOSE(CONTROL!$C$38, 0.0264, 0)</f>
        <v>23.367699999999999</v>
      </c>
      <c r="G186" s="14">
        <f>22.0099 * CHOOSE(CONTROL!$C$15, $E$9, 100%, $G$9) + CHOOSE(CONTROL!$C$38, 0.0354, 0)</f>
        <v>22.045299999999997</v>
      </c>
      <c r="H186" s="14">
        <f>22.0099 * CHOOSE(CONTROL!$C$15, $E$9, 100%, $G$9) + CHOOSE(CONTROL!$C$38, 0.0354, 0)</f>
        <v>22.045299999999997</v>
      </c>
      <c r="I186" s="14">
        <f>22.0115 * CHOOSE(CONTROL!$C$15, $E$9, 100%, $G$9) + CHOOSE(CONTROL!$C$38, 0.0354, 0)</f>
        <v>22.046900000000001</v>
      </c>
      <c r="J186" s="43">
        <f>168.1208</f>
        <v>168.1208</v>
      </c>
    </row>
    <row r="187" spans="1:10" ht="15" x14ac:dyDescent="0.2">
      <c r="A187" s="13">
        <v>46600</v>
      </c>
      <c r="B187" s="14">
        <f>23.6926 * CHOOSE(CONTROL!$C$15, $E$9, 100%, $G$9) + CHOOSE(CONTROL!$C$38, 0.0264, 0)</f>
        <v>23.718999999999998</v>
      </c>
      <c r="C187" s="14">
        <f>22.2038 * CHOOSE(CONTROL!$C$15, $E$9, 100%, $G$9) + CHOOSE(CONTROL!$C$38, 0.0354, 0)</f>
        <v>22.2392</v>
      </c>
      <c r="D187" s="14">
        <f>22.196 * CHOOSE(CONTROL!$C$15, $E$9, 100%, $G$9) + CHOOSE(CONTROL!$C$38, 0.0354, 0)</f>
        <v>22.231400000000001</v>
      </c>
      <c r="E187" s="45">
        <f>23.5363 * CHOOSE(CONTROL!$C$15, $E$9, 100%, $G$9) + CHOOSE(CONTROL!$C$38, 0.0354, 0)</f>
        <v>23.5717</v>
      </c>
      <c r="F187" s="44">
        <f>23.5363 * CHOOSE(CONTROL!$C$15, $E$9, 100%, $G$9) + CHOOSE(CONTROL!$C$38, 0.0264, 0)</f>
        <v>23.5627</v>
      </c>
      <c r="G187" s="14">
        <f>22.2022 * CHOOSE(CONTROL!$C$15, $E$9, 100%, $G$9) + CHOOSE(CONTROL!$C$38, 0.0354, 0)</f>
        <v>22.2376</v>
      </c>
      <c r="H187" s="14">
        <f>22.2022 * CHOOSE(CONTROL!$C$15, $E$9, 100%, $G$9) + CHOOSE(CONTROL!$C$38, 0.0354, 0)</f>
        <v>22.2376</v>
      </c>
      <c r="I187" s="14">
        <f>22.2038 * CHOOSE(CONTROL!$C$15, $E$9, 100%, $G$9) + CHOOSE(CONTROL!$C$38, 0.0354, 0)</f>
        <v>22.2392</v>
      </c>
      <c r="J187" s="43">
        <f>164.5452</f>
        <v>164.54519999999999</v>
      </c>
    </row>
    <row r="188" spans="1:10" ht="15" x14ac:dyDescent="0.2">
      <c r="A188" s="13">
        <v>46631</v>
      </c>
      <c r="B188" s="14">
        <f>24.1426 * CHOOSE(CONTROL!$C$15, $E$9, 100%, $G$9) + CHOOSE(CONTROL!$C$38, 0.0264, 0)</f>
        <v>24.169</v>
      </c>
      <c r="C188" s="14">
        <f>22.6511 * CHOOSE(CONTROL!$C$15, $E$9, 100%, $G$9) + CHOOSE(CONTROL!$C$38, 0.0354, 0)</f>
        <v>22.686499999999999</v>
      </c>
      <c r="D188" s="14">
        <f>22.6433 * CHOOSE(CONTROL!$C$15, $E$9, 100%, $G$9) + CHOOSE(CONTROL!$C$38, 0.0354, 0)</f>
        <v>22.678699999999999</v>
      </c>
      <c r="E188" s="45">
        <f>23.9864 * CHOOSE(CONTROL!$C$15, $E$9, 100%, $G$9) + CHOOSE(CONTROL!$C$38, 0.0354, 0)</f>
        <v>24.021799999999999</v>
      </c>
      <c r="F188" s="44">
        <f>23.9864 * CHOOSE(CONTROL!$C$15, $E$9, 100%, $G$9) + CHOOSE(CONTROL!$C$38, 0.0264, 0)</f>
        <v>24.012799999999999</v>
      </c>
      <c r="G188" s="14">
        <f>22.6495 * CHOOSE(CONTROL!$C$15, $E$9, 100%, $G$9) + CHOOSE(CONTROL!$C$38, 0.0354, 0)</f>
        <v>22.684899999999999</v>
      </c>
      <c r="H188" s="14">
        <f>22.6495 * CHOOSE(CONTROL!$C$15, $E$9, 100%, $G$9) + CHOOSE(CONTROL!$C$38, 0.0354, 0)</f>
        <v>22.684899999999999</v>
      </c>
      <c r="I188" s="14">
        <f>22.6511 * CHOOSE(CONTROL!$C$15, $E$9, 100%, $G$9) + CHOOSE(CONTROL!$C$38, 0.0354, 0)</f>
        <v>22.686499999999999</v>
      </c>
      <c r="J188" s="43">
        <f>159.4037</f>
        <v>159.40369999999999</v>
      </c>
    </row>
    <row r="189" spans="1:10" ht="15" x14ac:dyDescent="0.2">
      <c r="A189" s="13">
        <v>46661</v>
      </c>
      <c r="B189" s="14">
        <f>24.5289 * CHOOSE(CONTROL!$C$15, $E$9, 100%, $G$9) + CHOOSE(CONTROL!$C$38, 0.0251, 0)</f>
        <v>24.553999999999998</v>
      </c>
      <c r="C189" s="14">
        <f>23.0346 * CHOOSE(CONTROL!$C$15, $E$9, 100%, $G$9) + CHOOSE(CONTROL!$C$38, 0.0342, 0)</f>
        <v>23.0688</v>
      </c>
      <c r="D189" s="14">
        <f>23.0268 * CHOOSE(CONTROL!$C$15, $E$9, 100%, $G$9) + CHOOSE(CONTROL!$C$38, 0.0342, 0)</f>
        <v>23.061</v>
      </c>
      <c r="E189" s="45">
        <f>24.3727 * CHOOSE(CONTROL!$C$15, $E$9, 100%, $G$9) + CHOOSE(CONTROL!$C$38, 0.0342, 0)</f>
        <v>24.406899999999997</v>
      </c>
      <c r="F189" s="44">
        <f>24.3727 * CHOOSE(CONTROL!$C$15, $E$9, 100%, $G$9) + CHOOSE(CONTROL!$C$38, 0.0251, 0)</f>
        <v>24.397799999999997</v>
      </c>
      <c r="G189" s="14">
        <f>23.0331 * CHOOSE(CONTROL!$C$15, $E$9, 100%, $G$9) + CHOOSE(CONTROL!$C$38, 0.0342, 0)</f>
        <v>23.067299999999999</v>
      </c>
      <c r="H189" s="14">
        <f>23.0331 * CHOOSE(CONTROL!$C$15, $E$9, 100%, $G$9) + CHOOSE(CONTROL!$C$38, 0.0342, 0)</f>
        <v>23.067299999999999</v>
      </c>
      <c r="I189" s="14">
        <f>23.0346 * CHOOSE(CONTROL!$C$15, $E$9, 100%, $G$9) + CHOOSE(CONTROL!$C$38, 0.0342, 0)</f>
        <v>23.0688</v>
      </c>
      <c r="J189" s="43">
        <f>154.2083</f>
        <v>154.20830000000001</v>
      </c>
    </row>
    <row r="190" spans="1:10" ht="15" x14ac:dyDescent="0.2">
      <c r="A190" s="13">
        <v>46692</v>
      </c>
      <c r="B190" s="14">
        <f>24.8606 * CHOOSE(CONTROL!$C$15, $E$9, 100%, $G$9) + CHOOSE(CONTROL!$C$38, 0.0251, 0)</f>
        <v>24.8857</v>
      </c>
      <c r="C190" s="14">
        <f>23.3636 * CHOOSE(CONTROL!$C$15, $E$9, 100%, $G$9) + CHOOSE(CONTROL!$C$38, 0.0342, 0)</f>
        <v>23.3978</v>
      </c>
      <c r="D190" s="14">
        <f>23.3558 * CHOOSE(CONTROL!$C$15, $E$9, 100%, $G$9) + CHOOSE(CONTROL!$C$38, 0.0342, 0)</f>
        <v>23.389999999999997</v>
      </c>
      <c r="E190" s="45">
        <f>24.7044 * CHOOSE(CONTROL!$C$15, $E$9, 100%, $G$9) + CHOOSE(CONTROL!$C$38, 0.0342, 0)</f>
        <v>24.738599999999998</v>
      </c>
      <c r="F190" s="44">
        <f>24.7044 * CHOOSE(CONTROL!$C$15, $E$9, 100%, $G$9) + CHOOSE(CONTROL!$C$38, 0.0251, 0)</f>
        <v>24.729499999999998</v>
      </c>
      <c r="G190" s="14">
        <f>23.362 * CHOOSE(CONTROL!$C$15, $E$9, 100%, $G$9) + CHOOSE(CONTROL!$C$38, 0.0342, 0)</f>
        <v>23.396199999999997</v>
      </c>
      <c r="H190" s="14">
        <f>23.362 * CHOOSE(CONTROL!$C$15, $E$9, 100%, $G$9) + CHOOSE(CONTROL!$C$38, 0.0342, 0)</f>
        <v>23.396199999999997</v>
      </c>
      <c r="I190" s="14">
        <f>23.3636 * CHOOSE(CONTROL!$C$15, $E$9, 100%, $G$9) + CHOOSE(CONTROL!$C$38, 0.0342, 0)</f>
        <v>23.3978</v>
      </c>
      <c r="J190" s="43">
        <f>153.4249</f>
        <v>153.42490000000001</v>
      </c>
    </row>
    <row r="191" spans="1:10" ht="15" x14ac:dyDescent="0.2">
      <c r="A191" s="13">
        <v>46722</v>
      </c>
      <c r="B191" s="14">
        <f>25.7828 * CHOOSE(CONTROL!$C$15, $E$9, 100%, $G$9) + CHOOSE(CONTROL!$C$38, 0.0251, 0)</f>
        <v>25.8079</v>
      </c>
      <c r="C191" s="14">
        <f>24.283 * CHOOSE(CONTROL!$C$15, $E$9, 100%, $G$9) + CHOOSE(CONTROL!$C$38, 0.0342, 0)</f>
        <v>24.3172</v>
      </c>
      <c r="D191" s="14">
        <f>24.2752 * CHOOSE(CONTROL!$C$15, $E$9, 100%, $G$9) + CHOOSE(CONTROL!$C$38, 0.0342, 0)</f>
        <v>24.3094</v>
      </c>
      <c r="E191" s="45">
        <f>25.6265 * CHOOSE(CONTROL!$C$15, $E$9, 100%, $G$9) + CHOOSE(CONTROL!$C$38, 0.0342, 0)</f>
        <v>25.660699999999999</v>
      </c>
      <c r="F191" s="44">
        <f>25.6265 * CHOOSE(CONTROL!$C$15, $E$9, 100%, $G$9) + CHOOSE(CONTROL!$C$38, 0.0251, 0)</f>
        <v>25.651599999999998</v>
      </c>
      <c r="G191" s="14">
        <f>24.2814 * CHOOSE(CONTROL!$C$15, $E$9, 100%, $G$9) + CHOOSE(CONTROL!$C$38, 0.0342, 0)</f>
        <v>24.3156</v>
      </c>
      <c r="H191" s="14">
        <f>24.2814 * CHOOSE(CONTROL!$C$15, $E$9, 100%, $G$9) + CHOOSE(CONTROL!$C$38, 0.0342, 0)</f>
        <v>24.3156</v>
      </c>
      <c r="I191" s="14">
        <f>24.283 * CHOOSE(CONTROL!$C$15, $E$9, 100%, $G$9) + CHOOSE(CONTROL!$C$38, 0.0342, 0)</f>
        <v>24.3172</v>
      </c>
      <c r="J191" s="43">
        <f>149.1787</f>
        <v>149.17869999999999</v>
      </c>
    </row>
    <row r="192" spans="1:10" ht="15" x14ac:dyDescent="0.2">
      <c r="A192" s="13">
        <v>46753</v>
      </c>
      <c r="B192" s="14">
        <f>26.4692 * CHOOSE(CONTROL!$C$15, $E$9, 100%, $G$9) + CHOOSE(CONTROL!$C$38, 0.0251, 0)</f>
        <v>26.494299999999999</v>
      </c>
      <c r="C192" s="14">
        <f>24.993 * CHOOSE(CONTROL!$C$15, $E$9, 100%, $G$9) + CHOOSE(CONTROL!$C$38, 0.0342, 0)</f>
        <v>25.027199999999997</v>
      </c>
      <c r="D192" s="14">
        <f>24.9852 * CHOOSE(CONTROL!$C$15, $E$9, 100%, $G$9) + CHOOSE(CONTROL!$C$38, 0.0342, 0)</f>
        <v>25.019399999999997</v>
      </c>
      <c r="E192" s="45">
        <f>26.3129 * CHOOSE(CONTROL!$C$15, $E$9, 100%, $G$9) + CHOOSE(CONTROL!$C$38, 0.0342, 0)</f>
        <v>26.347099999999998</v>
      </c>
      <c r="F192" s="44">
        <f>26.3129 * CHOOSE(CONTROL!$C$15, $E$9, 100%, $G$9) + CHOOSE(CONTROL!$C$38, 0.0251, 0)</f>
        <v>26.337999999999997</v>
      </c>
      <c r="G192" s="14">
        <f>24.9914 * CHOOSE(CONTROL!$C$15, $E$9, 100%, $G$9) + CHOOSE(CONTROL!$C$38, 0.0342, 0)</f>
        <v>25.025599999999997</v>
      </c>
      <c r="H192" s="14">
        <f>24.9914 * CHOOSE(CONTROL!$C$15, $E$9, 100%, $G$9) + CHOOSE(CONTROL!$C$38, 0.0342, 0)</f>
        <v>25.025599999999997</v>
      </c>
      <c r="I192" s="14">
        <f>24.993 * CHOOSE(CONTROL!$C$15, $E$9, 100%, $G$9) + CHOOSE(CONTROL!$C$38, 0.0342, 0)</f>
        <v>25.027199999999997</v>
      </c>
      <c r="J192" s="43">
        <f>145.9265</f>
        <v>145.9265</v>
      </c>
    </row>
    <row r="193" spans="1:10" ht="15" x14ac:dyDescent="0.2">
      <c r="A193" s="13">
        <v>46784</v>
      </c>
      <c r="B193" s="14">
        <f>26.8468 * CHOOSE(CONTROL!$C$15, $E$9, 100%, $G$9) + CHOOSE(CONTROL!$C$38, 0.0251, 0)</f>
        <v>26.8719</v>
      </c>
      <c r="C193" s="14">
        <f>25.3679 * CHOOSE(CONTROL!$C$15, $E$9, 100%, $G$9) + CHOOSE(CONTROL!$C$38, 0.0342, 0)</f>
        <v>25.402099999999997</v>
      </c>
      <c r="D193" s="14">
        <f>25.3601 * CHOOSE(CONTROL!$C$15, $E$9, 100%, $G$9) + CHOOSE(CONTROL!$C$38, 0.0342, 0)</f>
        <v>25.394299999999998</v>
      </c>
      <c r="E193" s="45">
        <f>26.6905 * CHOOSE(CONTROL!$C$15, $E$9, 100%, $G$9) + CHOOSE(CONTROL!$C$38, 0.0342, 0)</f>
        <v>26.724699999999999</v>
      </c>
      <c r="F193" s="44">
        <f>26.6905 * CHOOSE(CONTROL!$C$15, $E$9, 100%, $G$9) + CHOOSE(CONTROL!$C$38, 0.0251, 0)</f>
        <v>26.715599999999998</v>
      </c>
      <c r="G193" s="14">
        <f>25.3663 * CHOOSE(CONTROL!$C$15, $E$9, 100%, $G$9) + CHOOSE(CONTROL!$C$38, 0.0342, 0)</f>
        <v>25.400499999999997</v>
      </c>
      <c r="H193" s="14">
        <f>25.3663 * CHOOSE(CONTROL!$C$15, $E$9, 100%, $G$9) + CHOOSE(CONTROL!$C$38, 0.0342, 0)</f>
        <v>25.400499999999997</v>
      </c>
      <c r="I193" s="14">
        <f>25.3679 * CHOOSE(CONTROL!$C$15, $E$9, 100%, $G$9) + CHOOSE(CONTROL!$C$38, 0.0342, 0)</f>
        <v>25.402099999999997</v>
      </c>
      <c r="J193" s="43">
        <f>145.8207</f>
        <v>145.82069999999999</v>
      </c>
    </row>
    <row r="194" spans="1:10" ht="15" x14ac:dyDescent="0.2">
      <c r="A194" s="13">
        <v>46813</v>
      </c>
      <c r="B194" s="14">
        <f>26.1484 * CHOOSE(CONTROL!$C$15, $E$9, 100%, $G$9) + CHOOSE(CONTROL!$C$38, 0.0251, 0)</f>
        <v>26.173499999999997</v>
      </c>
      <c r="C194" s="14">
        <f>24.6668 * CHOOSE(CONTROL!$C$15, $E$9, 100%, $G$9) + CHOOSE(CONTROL!$C$38, 0.0342, 0)</f>
        <v>24.700999999999997</v>
      </c>
      <c r="D194" s="14">
        <f>24.659 * CHOOSE(CONTROL!$C$15, $E$9, 100%, $G$9) + CHOOSE(CONTROL!$C$38, 0.0342, 0)</f>
        <v>24.693199999999997</v>
      </c>
      <c r="E194" s="45">
        <f>25.9922 * CHOOSE(CONTROL!$C$15, $E$9, 100%, $G$9) + CHOOSE(CONTROL!$C$38, 0.0342, 0)</f>
        <v>26.026399999999999</v>
      </c>
      <c r="F194" s="44">
        <f>25.9922 * CHOOSE(CONTROL!$C$15, $E$9, 100%, $G$9) + CHOOSE(CONTROL!$C$38, 0.0251, 0)</f>
        <v>26.017299999999999</v>
      </c>
      <c r="G194" s="14">
        <f>24.6652 * CHOOSE(CONTROL!$C$15, $E$9, 100%, $G$9) + CHOOSE(CONTROL!$C$38, 0.0342, 0)</f>
        <v>24.699399999999997</v>
      </c>
      <c r="H194" s="14">
        <f>24.6652 * CHOOSE(CONTROL!$C$15, $E$9, 100%, $G$9) + CHOOSE(CONTROL!$C$38, 0.0342, 0)</f>
        <v>24.699399999999997</v>
      </c>
      <c r="I194" s="14">
        <f>24.6668 * CHOOSE(CONTROL!$C$15, $E$9, 100%, $G$9) + CHOOSE(CONTROL!$C$38, 0.0342, 0)</f>
        <v>24.700999999999997</v>
      </c>
      <c r="J194" s="43">
        <f>153.8224</f>
        <v>153.82239999999999</v>
      </c>
    </row>
    <row r="195" spans="1:10" ht="15" x14ac:dyDescent="0.2">
      <c r="A195" s="13">
        <v>46844</v>
      </c>
      <c r="B195" s="14">
        <f>25.4704 * CHOOSE(CONTROL!$C$15, $E$9, 100%, $G$9) + CHOOSE(CONTROL!$C$38, 0.0251, 0)</f>
        <v>25.4955</v>
      </c>
      <c r="C195" s="14">
        <f>23.9861 * CHOOSE(CONTROL!$C$15, $E$9, 100%, $G$9) + CHOOSE(CONTROL!$C$38, 0.0342, 0)</f>
        <v>24.020299999999999</v>
      </c>
      <c r="D195" s="14">
        <f>23.9783 * CHOOSE(CONTROL!$C$15, $E$9, 100%, $G$9) + CHOOSE(CONTROL!$C$38, 0.0342, 0)</f>
        <v>24.012499999999999</v>
      </c>
      <c r="E195" s="45">
        <f>25.3142 * CHOOSE(CONTROL!$C$15, $E$9, 100%, $G$9) + CHOOSE(CONTROL!$C$38, 0.0342, 0)</f>
        <v>25.348399999999998</v>
      </c>
      <c r="F195" s="44">
        <f>25.3142 * CHOOSE(CONTROL!$C$15, $E$9, 100%, $G$9) + CHOOSE(CONTROL!$C$38, 0.0251, 0)</f>
        <v>25.339299999999998</v>
      </c>
      <c r="G195" s="14">
        <f>23.9845 * CHOOSE(CONTROL!$C$15, $E$9, 100%, $G$9) + CHOOSE(CONTROL!$C$38, 0.0342, 0)</f>
        <v>24.018699999999999</v>
      </c>
      <c r="H195" s="14">
        <f>23.9845 * CHOOSE(CONTROL!$C$15, $E$9, 100%, $G$9) + CHOOSE(CONTROL!$C$38, 0.0342, 0)</f>
        <v>24.018699999999999</v>
      </c>
      <c r="I195" s="14">
        <f>23.9861 * CHOOSE(CONTROL!$C$15, $E$9, 100%, $G$9) + CHOOSE(CONTROL!$C$38, 0.0342, 0)</f>
        <v>24.020299999999999</v>
      </c>
      <c r="J195" s="43">
        <f>164.1468</f>
        <v>164.14680000000001</v>
      </c>
    </row>
    <row r="196" spans="1:10" ht="15" x14ac:dyDescent="0.2">
      <c r="A196" s="13">
        <v>46874</v>
      </c>
      <c r="B196" s="14">
        <f>24.7586 * CHOOSE(CONTROL!$C$15, $E$9, 100%, $G$9) + CHOOSE(CONTROL!$C$38, 0.0264, 0)</f>
        <v>24.785</v>
      </c>
      <c r="C196" s="14">
        <f>23.2715 * CHOOSE(CONTROL!$C$15, $E$9, 100%, $G$9) + CHOOSE(CONTROL!$C$38, 0.0354, 0)</f>
        <v>23.306899999999999</v>
      </c>
      <c r="D196" s="14">
        <f>23.2637 * CHOOSE(CONTROL!$C$15, $E$9, 100%, $G$9) + CHOOSE(CONTROL!$C$38, 0.0354, 0)</f>
        <v>23.299099999999999</v>
      </c>
      <c r="E196" s="45">
        <f>24.6023 * CHOOSE(CONTROL!$C$15, $E$9, 100%, $G$9) + CHOOSE(CONTROL!$C$38, 0.0354, 0)</f>
        <v>24.637699999999999</v>
      </c>
      <c r="F196" s="44">
        <f>24.6023 * CHOOSE(CONTROL!$C$15, $E$9, 100%, $G$9) + CHOOSE(CONTROL!$C$38, 0.0264, 0)</f>
        <v>24.628699999999998</v>
      </c>
      <c r="G196" s="14">
        <f>23.27 * CHOOSE(CONTROL!$C$15, $E$9, 100%, $G$9) + CHOOSE(CONTROL!$C$38, 0.0354, 0)</f>
        <v>23.305399999999999</v>
      </c>
      <c r="H196" s="14">
        <f>23.27 * CHOOSE(CONTROL!$C$15, $E$9, 100%, $G$9) + CHOOSE(CONTROL!$C$38, 0.0354, 0)</f>
        <v>23.305399999999999</v>
      </c>
      <c r="I196" s="14">
        <f>23.2715 * CHOOSE(CONTROL!$C$15, $E$9, 100%, $G$9) + CHOOSE(CONTROL!$C$38, 0.0354, 0)</f>
        <v>23.306899999999999</v>
      </c>
      <c r="J196" s="43">
        <f>170.0047</f>
        <v>170.00470000000001</v>
      </c>
    </row>
    <row r="197" spans="1:10" ht="15" x14ac:dyDescent="0.2">
      <c r="A197" s="13">
        <v>46905</v>
      </c>
      <c r="B197" s="14">
        <f>24.2723 * CHOOSE(CONTROL!$C$15, $E$9, 100%, $G$9) + CHOOSE(CONTROL!$C$38, 0.0264, 0)</f>
        <v>24.2987</v>
      </c>
      <c r="C197" s="14">
        <f>22.7825 * CHOOSE(CONTROL!$C$15, $E$9, 100%, $G$9) + CHOOSE(CONTROL!$C$38, 0.0354, 0)</f>
        <v>22.817899999999998</v>
      </c>
      <c r="D197" s="14">
        <f>22.7747 * CHOOSE(CONTROL!$C$15, $E$9, 100%, $G$9) + CHOOSE(CONTROL!$C$38, 0.0354, 0)</f>
        <v>22.810099999999998</v>
      </c>
      <c r="E197" s="45">
        <f>24.116 * CHOOSE(CONTROL!$C$15, $E$9, 100%, $G$9) + CHOOSE(CONTROL!$C$38, 0.0354, 0)</f>
        <v>24.151399999999999</v>
      </c>
      <c r="F197" s="44">
        <f>24.116 * CHOOSE(CONTROL!$C$15, $E$9, 100%, $G$9) + CHOOSE(CONTROL!$C$38, 0.0264, 0)</f>
        <v>24.142399999999999</v>
      </c>
      <c r="G197" s="14">
        <f>22.7809 * CHOOSE(CONTROL!$C$15, $E$9, 100%, $G$9) + CHOOSE(CONTROL!$C$38, 0.0354, 0)</f>
        <v>22.816299999999998</v>
      </c>
      <c r="H197" s="14">
        <f>22.7809 * CHOOSE(CONTROL!$C$15, $E$9, 100%, $G$9) + CHOOSE(CONTROL!$C$38, 0.0354, 0)</f>
        <v>22.816299999999998</v>
      </c>
      <c r="I197" s="14">
        <f>22.7825 * CHOOSE(CONTROL!$C$15, $E$9, 100%, $G$9) + CHOOSE(CONTROL!$C$38, 0.0354, 0)</f>
        <v>22.817899999999998</v>
      </c>
      <c r="J197" s="43">
        <f>172.8095</f>
        <v>172.80950000000001</v>
      </c>
    </row>
    <row r="198" spans="1:10" ht="15" x14ac:dyDescent="0.2">
      <c r="A198" s="13">
        <v>46935</v>
      </c>
      <c r="B198" s="14">
        <f>24.0145 * CHOOSE(CONTROL!$C$15, $E$9, 100%, $G$9) + CHOOSE(CONTROL!$C$38, 0.0264, 0)</f>
        <v>24.040900000000001</v>
      </c>
      <c r="C198" s="14">
        <f>22.5219 * CHOOSE(CONTROL!$C$15, $E$9, 100%, $G$9) + CHOOSE(CONTROL!$C$38, 0.0354, 0)</f>
        <v>22.557299999999998</v>
      </c>
      <c r="D198" s="14">
        <f>22.5141 * CHOOSE(CONTROL!$C$15, $E$9, 100%, $G$9) + CHOOSE(CONTROL!$C$38, 0.0354, 0)</f>
        <v>22.549499999999998</v>
      </c>
      <c r="E198" s="45">
        <f>23.8582 * CHOOSE(CONTROL!$C$15, $E$9, 100%, $G$9) + CHOOSE(CONTROL!$C$38, 0.0354, 0)</f>
        <v>23.893599999999999</v>
      </c>
      <c r="F198" s="44">
        <f>23.8582 * CHOOSE(CONTROL!$C$15, $E$9, 100%, $G$9) + CHOOSE(CONTROL!$C$38, 0.0264, 0)</f>
        <v>23.884599999999999</v>
      </c>
      <c r="G198" s="14">
        <f>22.5203 * CHOOSE(CONTROL!$C$15, $E$9, 100%, $G$9) + CHOOSE(CONTROL!$C$38, 0.0354, 0)</f>
        <v>22.555699999999998</v>
      </c>
      <c r="H198" s="14">
        <f>22.5203 * CHOOSE(CONTROL!$C$15, $E$9, 100%, $G$9) + CHOOSE(CONTROL!$C$38, 0.0354, 0)</f>
        <v>22.555699999999998</v>
      </c>
      <c r="I198" s="14">
        <f>22.5219 * CHOOSE(CONTROL!$C$15, $E$9, 100%, $G$9) + CHOOSE(CONTROL!$C$38, 0.0354, 0)</f>
        <v>22.557299999999998</v>
      </c>
      <c r="J198" s="43">
        <f>172.3556</f>
        <v>172.35560000000001</v>
      </c>
    </row>
    <row r="199" spans="1:10" ht="15" x14ac:dyDescent="0.2">
      <c r="A199" s="13">
        <v>46966</v>
      </c>
      <c r="B199" s="14">
        <f>24.2143 * CHOOSE(CONTROL!$C$15, $E$9, 100%, $G$9) + CHOOSE(CONTROL!$C$38, 0.0264, 0)</f>
        <v>24.2407</v>
      </c>
      <c r="C199" s="14">
        <f>22.7189 * CHOOSE(CONTROL!$C$15, $E$9, 100%, $G$9) + CHOOSE(CONTROL!$C$38, 0.0354, 0)</f>
        <v>22.754300000000001</v>
      </c>
      <c r="D199" s="14">
        <f>22.7111 * CHOOSE(CONTROL!$C$15, $E$9, 100%, $G$9) + CHOOSE(CONTROL!$C$38, 0.0354, 0)</f>
        <v>22.746499999999997</v>
      </c>
      <c r="E199" s="45">
        <f>24.058 * CHOOSE(CONTROL!$C$15, $E$9, 100%, $G$9) + CHOOSE(CONTROL!$C$38, 0.0354, 0)</f>
        <v>24.093399999999999</v>
      </c>
      <c r="F199" s="44">
        <f>24.058 * CHOOSE(CONTROL!$C$15, $E$9, 100%, $G$9) + CHOOSE(CONTROL!$C$38, 0.0264, 0)</f>
        <v>24.084399999999999</v>
      </c>
      <c r="G199" s="14">
        <f>22.7174 * CHOOSE(CONTROL!$C$15, $E$9, 100%, $G$9) + CHOOSE(CONTROL!$C$38, 0.0354, 0)</f>
        <v>22.752800000000001</v>
      </c>
      <c r="H199" s="14">
        <f>22.7174 * CHOOSE(CONTROL!$C$15, $E$9, 100%, $G$9) + CHOOSE(CONTROL!$C$38, 0.0354, 0)</f>
        <v>22.752800000000001</v>
      </c>
      <c r="I199" s="14">
        <f>22.7189 * CHOOSE(CONTROL!$C$15, $E$9, 100%, $G$9) + CHOOSE(CONTROL!$C$38, 0.0354, 0)</f>
        <v>22.754300000000001</v>
      </c>
      <c r="J199" s="43">
        <f>168.69</f>
        <v>168.69</v>
      </c>
    </row>
    <row r="200" spans="1:10" ht="15" x14ac:dyDescent="0.2">
      <c r="A200" s="13">
        <v>46997</v>
      </c>
      <c r="B200" s="14">
        <f>24.6755 * CHOOSE(CONTROL!$C$15, $E$9, 100%, $G$9) + CHOOSE(CONTROL!$C$38, 0.0264, 0)</f>
        <v>24.701899999999998</v>
      </c>
      <c r="C200" s="14">
        <f>23.1774 * CHOOSE(CONTROL!$C$15, $E$9, 100%, $G$9) + CHOOSE(CONTROL!$C$38, 0.0354, 0)</f>
        <v>23.212799999999998</v>
      </c>
      <c r="D200" s="14">
        <f>23.1696 * CHOOSE(CONTROL!$C$15, $E$9, 100%, $G$9) + CHOOSE(CONTROL!$C$38, 0.0354, 0)</f>
        <v>23.204999999999998</v>
      </c>
      <c r="E200" s="45">
        <f>24.5192 * CHOOSE(CONTROL!$C$15, $E$9, 100%, $G$9) + CHOOSE(CONTROL!$C$38, 0.0354, 0)</f>
        <v>24.554600000000001</v>
      </c>
      <c r="F200" s="44">
        <f>24.5192 * CHOOSE(CONTROL!$C$15, $E$9, 100%, $G$9) + CHOOSE(CONTROL!$C$38, 0.0264, 0)</f>
        <v>24.5456</v>
      </c>
      <c r="G200" s="14">
        <f>23.1758 * CHOOSE(CONTROL!$C$15, $E$9, 100%, $G$9) + CHOOSE(CONTROL!$C$38, 0.0354, 0)</f>
        <v>23.211199999999998</v>
      </c>
      <c r="H200" s="14">
        <f>23.1758 * CHOOSE(CONTROL!$C$15, $E$9, 100%, $G$9) + CHOOSE(CONTROL!$C$38, 0.0354, 0)</f>
        <v>23.211199999999998</v>
      </c>
      <c r="I200" s="14">
        <f>23.1774 * CHOOSE(CONTROL!$C$15, $E$9, 100%, $G$9) + CHOOSE(CONTROL!$C$38, 0.0354, 0)</f>
        <v>23.212799999999998</v>
      </c>
      <c r="J200" s="43">
        <f>163.419</f>
        <v>163.41900000000001</v>
      </c>
    </row>
    <row r="201" spans="1:10" ht="15" x14ac:dyDescent="0.2">
      <c r="A201" s="13">
        <v>47027</v>
      </c>
      <c r="B201" s="14">
        <f>25.0713 * CHOOSE(CONTROL!$C$15, $E$9, 100%, $G$9) + CHOOSE(CONTROL!$C$38, 0.0251, 0)</f>
        <v>25.096399999999999</v>
      </c>
      <c r="C201" s="14">
        <f>23.5705 * CHOOSE(CONTROL!$C$15, $E$9, 100%, $G$9) + CHOOSE(CONTROL!$C$38, 0.0342, 0)</f>
        <v>23.604699999999998</v>
      </c>
      <c r="D201" s="14">
        <f>23.5627 * CHOOSE(CONTROL!$C$15, $E$9, 100%, $G$9) + CHOOSE(CONTROL!$C$38, 0.0342, 0)</f>
        <v>23.596899999999998</v>
      </c>
      <c r="E201" s="45">
        <f>24.9151 * CHOOSE(CONTROL!$C$15, $E$9, 100%, $G$9) + CHOOSE(CONTROL!$C$38, 0.0342, 0)</f>
        <v>24.949299999999997</v>
      </c>
      <c r="F201" s="44">
        <f>24.9151 * CHOOSE(CONTROL!$C$15, $E$9, 100%, $G$9) + CHOOSE(CONTROL!$C$38, 0.0251, 0)</f>
        <v>24.940199999999997</v>
      </c>
      <c r="G201" s="14">
        <f>23.5689 * CHOOSE(CONTROL!$C$15, $E$9, 100%, $G$9) + CHOOSE(CONTROL!$C$38, 0.0342, 0)</f>
        <v>23.603099999999998</v>
      </c>
      <c r="H201" s="14">
        <f>23.5689 * CHOOSE(CONTROL!$C$15, $E$9, 100%, $G$9) + CHOOSE(CONTROL!$C$38, 0.0342, 0)</f>
        <v>23.603099999999998</v>
      </c>
      <c r="I201" s="14">
        <f>23.5705 * CHOOSE(CONTROL!$C$15, $E$9, 100%, $G$9) + CHOOSE(CONTROL!$C$38, 0.0342, 0)</f>
        <v>23.604699999999998</v>
      </c>
      <c r="J201" s="43">
        <f>158.0927</f>
        <v>158.09270000000001</v>
      </c>
    </row>
    <row r="202" spans="1:10" ht="15" x14ac:dyDescent="0.2">
      <c r="A202" s="13">
        <v>47058</v>
      </c>
      <c r="B202" s="14">
        <f>25.4112 * CHOOSE(CONTROL!$C$15, $E$9, 100%, $G$9) + CHOOSE(CONTROL!$C$38, 0.0251, 0)</f>
        <v>25.436299999999999</v>
      </c>
      <c r="C202" s="14">
        <f>23.9076 * CHOOSE(CONTROL!$C$15, $E$9, 100%, $G$9) + CHOOSE(CONTROL!$C$38, 0.0342, 0)</f>
        <v>23.941799999999997</v>
      </c>
      <c r="D202" s="14">
        <f>23.8998 * CHOOSE(CONTROL!$C$15, $E$9, 100%, $G$9) + CHOOSE(CONTROL!$C$38, 0.0342, 0)</f>
        <v>23.933999999999997</v>
      </c>
      <c r="E202" s="45">
        <f>25.255 * CHOOSE(CONTROL!$C$15, $E$9, 100%, $G$9) + CHOOSE(CONTROL!$C$38, 0.0342, 0)</f>
        <v>25.289199999999997</v>
      </c>
      <c r="F202" s="44">
        <f>25.255 * CHOOSE(CONTROL!$C$15, $E$9, 100%, $G$9) + CHOOSE(CONTROL!$C$38, 0.0251, 0)</f>
        <v>25.280099999999997</v>
      </c>
      <c r="G202" s="14">
        <f>23.906 * CHOOSE(CONTROL!$C$15, $E$9, 100%, $G$9) + CHOOSE(CONTROL!$C$38, 0.0342, 0)</f>
        <v>23.940199999999997</v>
      </c>
      <c r="H202" s="14">
        <f>23.906 * CHOOSE(CONTROL!$C$15, $E$9, 100%, $G$9) + CHOOSE(CONTROL!$C$38, 0.0342, 0)</f>
        <v>23.940199999999997</v>
      </c>
      <c r="I202" s="14">
        <f>23.9076 * CHOOSE(CONTROL!$C$15, $E$9, 100%, $G$9) + CHOOSE(CONTROL!$C$38, 0.0342, 0)</f>
        <v>23.941799999999997</v>
      </c>
      <c r="J202" s="43">
        <f>157.2896</f>
        <v>157.28960000000001</v>
      </c>
    </row>
    <row r="203" spans="1:10" ht="15" x14ac:dyDescent="0.2">
      <c r="A203" s="13">
        <v>47088</v>
      </c>
      <c r="B203" s="14">
        <f>26.3563 * CHOOSE(CONTROL!$C$15, $E$9, 100%, $G$9) + CHOOSE(CONTROL!$C$38, 0.0251, 0)</f>
        <v>26.381399999999999</v>
      </c>
      <c r="C203" s="14">
        <f>24.8499 * CHOOSE(CONTROL!$C$15, $E$9, 100%, $G$9) + CHOOSE(CONTROL!$C$38, 0.0342, 0)</f>
        <v>24.8841</v>
      </c>
      <c r="D203" s="14">
        <f>24.8421 * CHOOSE(CONTROL!$C$15, $E$9, 100%, $G$9) + CHOOSE(CONTROL!$C$38, 0.0342, 0)</f>
        <v>24.876299999999997</v>
      </c>
      <c r="E203" s="45">
        <f>26.2001 * CHOOSE(CONTROL!$C$15, $E$9, 100%, $G$9) + CHOOSE(CONTROL!$C$38, 0.0342, 0)</f>
        <v>26.234299999999998</v>
      </c>
      <c r="F203" s="44">
        <f>26.2001 * CHOOSE(CONTROL!$C$15, $E$9, 100%, $G$9) + CHOOSE(CONTROL!$C$38, 0.0251, 0)</f>
        <v>26.225199999999997</v>
      </c>
      <c r="G203" s="14">
        <f>24.8484 * CHOOSE(CONTROL!$C$15, $E$9, 100%, $G$9) + CHOOSE(CONTROL!$C$38, 0.0342, 0)</f>
        <v>24.8826</v>
      </c>
      <c r="H203" s="14">
        <f>24.8484 * CHOOSE(CONTROL!$C$15, $E$9, 100%, $G$9) + CHOOSE(CONTROL!$C$38, 0.0342, 0)</f>
        <v>24.8826</v>
      </c>
      <c r="I203" s="14">
        <f>24.8499 * CHOOSE(CONTROL!$C$15, $E$9, 100%, $G$9) + CHOOSE(CONTROL!$C$38, 0.0342, 0)</f>
        <v>24.8841</v>
      </c>
      <c r="J203" s="43">
        <f>152.9364</f>
        <v>152.93639999999999</v>
      </c>
    </row>
    <row r="204" spans="1:10" ht="15" x14ac:dyDescent="0.2">
      <c r="A204" s="13">
        <v>47119</v>
      </c>
      <c r="B204" s="14">
        <f>27.1295 * CHOOSE(CONTROL!$C$15, $E$9, 100%, $G$9) + CHOOSE(CONTROL!$C$38, 0.0251, 0)</f>
        <v>27.154599999999999</v>
      </c>
      <c r="C204" s="14">
        <f>25.6469 * CHOOSE(CONTROL!$C$15, $E$9, 100%, $G$9) + CHOOSE(CONTROL!$C$38, 0.0342, 0)</f>
        <v>25.681099999999997</v>
      </c>
      <c r="D204" s="14">
        <f>25.6391 * CHOOSE(CONTROL!$C$15, $E$9, 100%, $G$9) + CHOOSE(CONTROL!$C$38, 0.0342, 0)</f>
        <v>25.673299999999998</v>
      </c>
      <c r="E204" s="45">
        <f>26.9733 * CHOOSE(CONTROL!$C$15, $E$9, 100%, $G$9) + CHOOSE(CONTROL!$C$38, 0.0342, 0)</f>
        <v>27.007499999999997</v>
      </c>
      <c r="F204" s="44">
        <f>26.9733 * CHOOSE(CONTROL!$C$15, $E$9, 100%, $G$9) + CHOOSE(CONTROL!$C$38, 0.0251, 0)</f>
        <v>26.998399999999997</v>
      </c>
      <c r="G204" s="14">
        <f>25.6453 * CHOOSE(CONTROL!$C$15, $E$9, 100%, $G$9) + CHOOSE(CONTROL!$C$38, 0.0342, 0)</f>
        <v>25.679499999999997</v>
      </c>
      <c r="H204" s="14">
        <f>25.6453 * CHOOSE(CONTROL!$C$15, $E$9, 100%, $G$9) + CHOOSE(CONTROL!$C$38, 0.0342, 0)</f>
        <v>25.679499999999997</v>
      </c>
      <c r="I204" s="14">
        <f>25.6469 * CHOOSE(CONTROL!$C$15, $E$9, 100%, $G$9) + CHOOSE(CONTROL!$C$38, 0.0342, 0)</f>
        <v>25.681099999999997</v>
      </c>
      <c r="J204" s="43">
        <f>149.6023</f>
        <v>149.60230000000001</v>
      </c>
    </row>
    <row r="205" spans="1:10" ht="15" x14ac:dyDescent="0.2">
      <c r="A205" s="13">
        <v>47150</v>
      </c>
      <c r="B205" s="14">
        <f>27.5166 * CHOOSE(CONTROL!$C$15, $E$9, 100%, $G$9) + CHOOSE(CONTROL!$C$38, 0.0251, 0)</f>
        <v>27.541699999999999</v>
      </c>
      <c r="C205" s="14">
        <f>26.0312 * CHOOSE(CONTROL!$C$15, $E$9, 100%, $G$9) + CHOOSE(CONTROL!$C$38, 0.0342, 0)</f>
        <v>26.065399999999997</v>
      </c>
      <c r="D205" s="14">
        <f>26.0234 * CHOOSE(CONTROL!$C$15, $E$9, 100%, $G$9) + CHOOSE(CONTROL!$C$38, 0.0342, 0)</f>
        <v>26.057599999999997</v>
      </c>
      <c r="E205" s="45">
        <f>27.3604 * CHOOSE(CONTROL!$C$15, $E$9, 100%, $G$9) + CHOOSE(CONTROL!$C$38, 0.0342, 0)</f>
        <v>27.394599999999997</v>
      </c>
      <c r="F205" s="44">
        <f>27.3604 * CHOOSE(CONTROL!$C$15, $E$9, 100%, $G$9) + CHOOSE(CONTROL!$C$38, 0.0251, 0)</f>
        <v>27.385499999999997</v>
      </c>
      <c r="G205" s="14">
        <f>26.0297 * CHOOSE(CONTROL!$C$15, $E$9, 100%, $G$9) + CHOOSE(CONTROL!$C$38, 0.0342, 0)</f>
        <v>26.063899999999997</v>
      </c>
      <c r="H205" s="14">
        <f>26.0297 * CHOOSE(CONTROL!$C$15, $E$9, 100%, $G$9) + CHOOSE(CONTROL!$C$38, 0.0342, 0)</f>
        <v>26.063899999999997</v>
      </c>
      <c r="I205" s="14">
        <f>26.0312 * CHOOSE(CONTROL!$C$15, $E$9, 100%, $G$9) + CHOOSE(CONTROL!$C$38, 0.0342, 0)</f>
        <v>26.065399999999997</v>
      </c>
      <c r="J205" s="43">
        <f>149.4937</f>
        <v>149.49369999999999</v>
      </c>
    </row>
    <row r="206" spans="1:10" ht="15" x14ac:dyDescent="0.2">
      <c r="A206" s="13">
        <v>47178</v>
      </c>
      <c r="B206" s="14">
        <f>26.8008 * CHOOSE(CONTROL!$C$15, $E$9, 100%, $G$9) + CHOOSE(CONTROL!$C$38, 0.0251, 0)</f>
        <v>26.825899999999997</v>
      </c>
      <c r="C206" s="14">
        <f>25.3127 * CHOOSE(CONTROL!$C$15, $E$9, 100%, $G$9) + CHOOSE(CONTROL!$C$38, 0.0342, 0)</f>
        <v>25.346899999999998</v>
      </c>
      <c r="D206" s="14">
        <f>25.3049 * CHOOSE(CONTROL!$C$15, $E$9, 100%, $G$9) + CHOOSE(CONTROL!$C$38, 0.0342, 0)</f>
        <v>25.339099999999998</v>
      </c>
      <c r="E206" s="45">
        <f>26.6445 * CHOOSE(CONTROL!$C$15, $E$9, 100%, $G$9) + CHOOSE(CONTROL!$C$38, 0.0342, 0)</f>
        <v>26.678699999999999</v>
      </c>
      <c r="F206" s="44">
        <f>26.6445 * CHOOSE(CONTROL!$C$15, $E$9, 100%, $G$9) + CHOOSE(CONTROL!$C$38, 0.0251, 0)</f>
        <v>26.669599999999999</v>
      </c>
      <c r="G206" s="14">
        <f>25.3111 * CHOOSE(CONTROL!$C$15, $E$9, 100%, $G$9) + CHOOSE(CONTROL!$C$38, 0.0342, 0)</f>
        <v>25.345299999999998</v>
      </c>
      <c r="H206" s="14">
        <f>25.3111 * CHOOSE(CONTROL!$C$15, $E$9, 100%, $G$9) + CHOOSE(CONTROL!$C$38, 0.0342, 0)</f>
        <v>25.345299999999998</v>
      </c>
      <c r="I206" s="14">
        <f>25.3127 * CHOOSE(CONTROL!$C$15, $E$9, 100%, $G$9) + CHOOSE(CONTROL!$C$38, 0.0342, 0)</f>
        <v>25.346899999999998</v>
      </c>
      <c r="J206" s="43">
        <f>157.6971</f>
        <v>157.69710000000001</v>
      </c>
    </row>
    <row r="207" spans="1:10" ht="15" x14ac:dyDescent="0.2">
      <c r="A207" s="13">
        <v>47209</v>
      </c>
      <c r="B207" s="14">
        <f>26.1059 * CHOOSE(CONTROL!$C$15, $E$9, 100%, $G$9) + CHOOSE(CONTROL!$C$38, 0.0251, 0)</f>
        <v>26.130999999999997</v>
      </c>
      <c r="C207" s="14">
        <f>24.615 * CHOOSE(CONTROL!$C$15, $E$9, 100%, $G$9) + CHOOSE(CONTROL!$C$38, 0.0342, 0)</f>
        <v>24.649199999999997</v>
      </c>
      <c r="D207" s="14">
        <f>24.6072 * CHOOSE(CONTROL!$C$15, $E$9, 100%, $G$9) + CHOOSE(CONTROL!$C$38, 0.0342, 0)</f>
        <v>24.641399999999997</v>
      </c>
      <c r="E207" s="45">
        <f>25.9496 * CHOOSE(CONTROL!$C$15, $E$9, 100%, $G$9) + CHOOSE(CONTROL!$C$38, 0.0342, 0)</f>
        <v>25.983799999999999</v>
      </c>
      <c r="F207" s="44">
        <f>25.9496 * CHOOSE(CONTROL!$C$15, $E$9, 100%, $G$9) + CHOOSE(CONTROL!$C$38, 0.0251, 0)</f>
        <v>25.974699999999999</v>
      </c>
      <c r="G207" s="14">
        <f>24.6135 * CHOOSE(CONTROL!$C$15, $E$9, 100%, $G$9) + CHOOSE(CONTROL!$C$38, 0.0342, 0)</f>
        <v>24.647699999999997</v>
      </c>
      <c r="H207" s="14">
        <f>24.6135 * CHOOSE(CONTROL!$C$15, $E$9, 100%, $G$9) + CHOOSE(CONTROL!$C$38, 0.0342, 0)</f>
        <v>24.647699999999997</v>
      </c>
      <c r="I207" s="14">
        <f>24.615 * CHOOSE(CONTROL!$C$15, $E$9, 100%, $G$9) + CHOOSE(CONTROL!$C$38, 0.0342, 0)</f>
        <v>24.649199999999997</v>
      </c>
      <c r="J207" s="43">
        <f>168.2814</f>
        <v>168.28139999999999</v>
      </c>
    </row>
    <row r="208" spans="1:10" ht="15" x14ac:dyDescent="0.2">
      <c r="A208" s="13">
        <v>47239</v>
      </c>
      <c r="B208" s="14">
        <f>25.3763 * CHOOSE(CONTROL!$C$15, $E$9, 100%, $G$9) + CHOOSE(CONTROL!$C$38, 0.0264, 0)</f>
        <v>25.402699999999999</v>
      </c>
      <c r="C208" s="14">
        <f>23.8827 * CHOOSE(CONTROL!$C$15, $E$9, 100%, $G$9) + CHOOSE(CONTROL!$C$38, 0.0354, 0)</f>
        <v>23.918099999999999</v>
      </c>
      <c r="D208" s="14">
        <f>23.8749 * CHOOSE(CONTROL!$C$15, $E$9, 100%, $G$9) + CHOOSE(CONTROL!$C$38, 0.0354, 0)</f>
        <v>23.910299999999999</v>
      </c>
      <c r="E208" s="45">
        <f>25.22 * CHOOSE(CONTROL!$C$15, $E$9, 100%, $G$9) + CHOOSE(CONTROL!$C$38, 0.0354, 0)</f>
        <v>25.255399999999998</v>
      </c>
      <c r="F208" s="44">
        <f>25.22 * CHOOSE(CONTROL!$C$15, $E$9, 100%, $G$9) + CHOOSE(CONTROL!$C$38, 0.0264, 0)</f>
        <v>25.246399999999998</v>
      </c>
      <c r="G208" s="14">
        <f>23.8811 * CHOOSE(CONTROL!$C$15, $E$9, 100%, $G$9) + CHOOSE(CONTROL!$C$38, 0.0354, 0)</f>
        <v>23.916499999999999</v>
      </c>
      <c r="H208" s="14">
        <f>23.8811 * CHOOSE(CONTROL!$C$15, $E$9, 100%, $G$9) + CHOOSE(CONTROL!$C$38, 0.0354, 0)</f>
        <v>23.916499999999999</v>
      </c>
      <c r="I208" s="14">
        <f>23.8827 * CHOOSE(CONTROL!$C$15, $E$9, 100%, $G$9) + CHOOSE(CONTROL!$C$38, 0.0354, 0)</f>
        <v>23.918099999999999</v>
      </c>
      <c r="J208" s="43">
        <f>174.2869</f>
        <v>174.2869</v>
      </c>
    </row>
    <row r="209" spans="1:10" ht="15" x14ac:dyDescent="0.2">
      <c r="A209" s="13">
        <v>47270</v>
      </c>
      <c r="B209" s="14">
        <f>24.8778 * CHOOSE(CONTROL!$C$15, $E$9, 100%, $G$9) + CHOOSE(CONTROL!$C$38, 0.0264, 0)</f>
        <v>24.904199999999999</v>
      </c>
      <c r="C209" s="14">
        <f>23.3815 * CHOOSE(CONTROL!$C$15, $E$9, 100%, $G$9) + CHOOSE(CONTROL!$C$38, 0.0354, 0)</f>
        <v>23.416899999999998</v>
      </c>
      <c r="D209" s="14">
        <f>23.3737 * CHOOSE(CONTROL!$C$15, $E$9, 100%, $G$9) + CHOOSE(CONTROL!$C$38, 0.0354, 0)</f>
        <v>23.409099999999999</v>
      </c>
      <c r="E209" s="45">
        <f>24.7216 * CHOOSE(CONTROL!$C$15, $E$9, 100%, $G$9) + CHOOSE(CONTROL!$C$38, 0.0354, 0)</f>
        <v>24.756999999999998</v>
      </c>
      <c r="F209" s="44">
        <f>24.7216 * CHOOSE(CONTROL!$C$15, $E$9, 100%, $G$9) + CHOOSE(CONTROL!$C$38, 0.0264, 0)</f>
        <v>24.747999999999998</v>
      </c>
      <c r="G209" s="14">
        <f>23.3799 * CHOOSE(CONTROL!$C$15, $E$9, 100%, $G$9) + CHOOSE(CONTROL!$C$38, 0.0354, 0)</f>
        <v>23.415299999999998</v>
      </c>
      <c r="H209" s="14">
        <f>23.3799 * CHOOSE(CONTROL!$C$15, $E$9, 100%, $G$9) + CHOOSE(CONTROL!$C$38, 0.0354, 0)</f>
        <v>23.415299999999998</v>
      </c>
      <c r="I209" s="14">
        <f>23.3815 * CHOOSE(CONTROL!$C$15, $E$9, 100%, $G$9) + CHOOSE(CONTROL!$C$38, 0.0354, 0)</f>
        <v>23.416899999999998</v>
      </c>
      <c r="J209" s="43">
        <f>177.1624</f>
        <v>177.16239999999999</v>
      </c>
    </row>
    <row r="210" spans="1:10" ht="15" x14ac:dyDescent="0.2">
      <c r="A210" s="13">
        <v>47300</v>
      </c>
      <c r="B210" s="14">
        <f>24.6136 * CHOOSE(CONTROL!$C$15, $E$9, 100%, $G$9) + CHOOSE(CONTROL!$C$38, 0.0264, 0)</f>
        <v>24.64</v>
      </c>
      <c r="C210" s="14">
        <f>23.1145 * CHOOSE(CONTROL!$C$15, $E$9, 100%, $G$9) + CHOOSE(CONTROL!$C$38, 0.0354, 0)</f>
        <v>23.149899999999999</v>
      </c>
      <c r="D210" s="14">
        <f>23.1067 * CHOOSE(CONTROL!$C$15, $E$9, 100%, $G$9) + CHOOSE(CONTROL!$C$38, 0.0354, 0)</f>
        <v>23.142099999999999</v>
      </c>
      <c r="E210" s="45">
        <f>24.4574 * CHOOSE(CONTROL!$C$15, $E$9, 100%, $G$9) + CHOOSE(CONTROL!$C$38, 0.0354, 0)</f>
        <v>24.492799999999999</v>
      </c>
      <c r="F210" s="44">
        <f>24.4574 * CHOOSE(CONTROL!$C$15, $E$9, 100%, $G$9) + CHOOSE(CONTROL!$C$38, 0.0264, 0)</f>
        <v>24.483799999999999</v>
      </c>
      <c r="G210" s="14">
        <f>23.1129 * CHOOSE(CONTROL!$C$15, $E$9, 100%, $G$9) + CHOOSE(CONTROL!$C$38, 0.0354, 0)</f>
        <v>23.148299999999999</v>
      </c>
      <c r="H210" s="14">
        <f>23.1129 * CHOOSE(CONTROL!$C$15, $E$9, 100%, $G$9) + CHOOSE(CONTROL!$C$38, 0.0354, 0)</f>
        <v>23.148299999999999</v>
      </c>
      <c r="I210" s="14">
        <f>23.1145 * CHOOSE(CONTROL!$C$15, $E$9, 100%, $G$9) + CHOOSE(CONTROL!$C$38, 0.0354, 0)</f>
        <v>23.149899999999999</v>
      </c>
      <c r="J210" s="43">
        <f>176.697</f>
        <v>176.697</v>
      </c>
    </row>
    <row r="211" spans="1:10" ht="15" x14ac:dyDescent="0.2">
      <c r="A211" s="13">
        <v>47331</v>
      </c>
      <c r="B211" s="14">
        <f>24.8184 * CHOOSE(CONTROL!$C$15, $E$9, 100%, $G$9) + CHOOSE(CONTROL!$C$38, 0.0264, 0)</f>
        <v>24.844799999999999</v>
      </c>
      <c r="C211" s="14">
        <f>23.3166 * CHOOSE(CONTROL!$C$15, $E$9, 100%, $G$9) + CHOOSE(CONTROL!$C$38, 0.0354, 0)</f>
        <v>23.352</v>
      </c>
      <c r="D211" s="14">
        <f>23.3087 * CHOOSE(CONTROL!$C$15, $E$9, 100%, $G$9) + CHOOSE(CONTROL!$C$38, 0.0354, 0)</f>
        <v>23.344100000000001</v>
      </c>
      <c r="E211" s="45">
        <f>24.6622 * CHOOSE(CONTROL!$C$15, $E$9, 100%, $G$9) + CHOOSE(CONTROL!$C$38, 0.0354, 0)</f>
        <v>24.697599999999998</v>
      </c>
      <c r="F211" s="44">
        <f>24.6622 * CHOOSE(CONTROL!$C$15, $E$9, 100%, $G$9) + CHOOSE(CONTROL!$C$38, 0.0264, 0)</f>
        <v>24.688599999999997</v>
      </c>
      <c r="G211" s="14">
        <f>23.315 * CHOOSE(CONTROL!$C$15, $E$9, 100%, $G$9) + CHOOSE(CONTROL!$C$38, 0.0354, 0)</f>
        <v>23.3504</v>
      </c>
      <c r="H211" s="14">
        <f>23.315 * CHOOSE(CONTROL!$C$15, $E$9, 100%, $G$9) + CHOOSE(CONTROL!$C$38, 0.0354, 0)</f>
        <v>23.3504</v>
      </c>
      <c r="I211" s="14">
        <f>23.3166 * CHOOSE(CONTROL!$C$15, $E$9, 100%, $G$9) + CHOOSE(CONTROL!$C$38, 0.0354, 0)</f>
        <v>23.352</v>
      </c>
      <c r="J211" s="43">
        <f>172.9391</f>
        <v>172.9391</v>
      </c>
    </row>
    <row r="212" spans="1:10" ht="15" x14ac:dyDescent="0.2">
      <c r="A212" s="13">
        <v>47362</v>
      </c>
      <c r="B212" s="14">
        <f>25.2912 * CHOOSE(CONTROL!$C$15, $E$9, 100%, $G$9) + CHOOSE(CONTROL!$C$38, 0.0264, 0)</f>
        <v>25.317599999999999</v>
      </c>
      <c r="C212" s="14">
        <f>23.7865 * CHOOSE(CONTROL!$C$15, $E$9, 100%, $G$9) + CHOOSE(CONTROL!$C$38, 0.0354, 0)</f>
        <v>23.821899999999999</v>
      </c>
      <c r="D212" s="14">
        <f>23.7787 * CHOOSE(CONTROL!$C$15, $E$9, 100%, $G$9) + CHOOSE(CONTROL!$C$38, 0.0354, 0)</f>
        <v>23.8141</v>
      </c>
      <c r="E212" s="45">
        <f>25.135 * CHOOSE(CONTROL!$C$15, $E$9, 100%, $G$9) + CHOOSE(CONTROL!$C$38, 0.0354, 0)</f>
        <v>25.170400000000001</v>
      </c>
      <c r="F212" s="44">
        <f>25.135 * CHOOSE(CONTROL!$C$15, $E$9, 100%, $G$9) + CHOOSE(CONTROL!$C$38, 0.0264, 0)</f>
        <v>25.1614</v>
      </c>
      <c r="G212" s="14">
        <f>23.785 * CHOOSE(CONTROL!$C$15, $E$9, 100%, $G$9) + CHOOSE(CONTROL!$C$38, 0.0354, 0)</f>
        <v>23.820399999999999</v>
      </c>
      <c r="H212" s="14">
        <f>23.785 * CHOOSE(CONTROL!$C$15, $E$9, 100%, $G$9) + CHOOSE(CONTROL!$C$38, 0.0354, 0)</f>
        <v>23.820399999999999</v>
      </c>
      <c r="I212" s="14">
        <f>23.7865 * CHOOSE(CONTROL!$C$15, $E$9, 100%, $G$9) + CHOOSE(CONTROL!$C$38, 0.0354, 0)</f>
        <v>23.821899999999999</v>
      </c>
      <c r="J212" s="43">
        <f>167.5353</f>
        <v>167.53530000000001</v>
      </c>
    </row>
    <row r="213" spans="1:10" ht="15" x14ac:dyDescent="0.2">
      <c r="A213" s="13">
        <v>47392</v>
      </c>
      <c r="B213" s="14">
        <f>25.697 * CHOOSE(CONTROL!$C$15, $E$9, 100%, $G$9) + CHOOSE(CONTROL!$C$38, 0.0251, 0)</f>
        <v>25.722099999999998</v>
      </c>
      <c r="C213" s="14">
        <f>24.1895 * CHOOSE(CONTROL!$C$15, $E$9, 100%, $G$9) + CHOOSE(CONTROL!$C$38, 0.0342, 0)</f>
        <v>24.223699999999997</v>
      </c>
      <c r="D213" s="14">
        <f>24.1817 * CHOOSE(CONTROL!$C$15, $E$9, 100%, $G$9) + CHOOSE(CONTROL!$C$38, 0.0342, 0)</f>
        <v>24.215899999999998</v>
      </c>
      <c r="E213" s="45">
        <f>25.5407 * CHOOSE(CONTROL!$C$15, $E$9, 100%, $G$9) + CHOOSE(CONTROL!$C$38, 0.0342, 0)</f>
        <v>25.5749</v>
      </c>
      <c r="F213" s="44">
        <f>25.5407 * CHOOSE(CONTROL!$C$15, $E$9, 100%, $G$9) + CHOOSE(CONTROL!$C$38, 0.0251, 0)</f>
        <v>25.565799999999999</v>
      </c>
      <c r="G213" s="14">
        <f>24.188 * CHOOSE(CONTROL!$C$15, $E$9, 100%, $G$9) + CHOOSE(CONTROL!$C$38, 0.0342, 0)</f>
        <v>24.222199999999997</v>
      </c>
      <c r="H213" s="14">
        <f>24.188 * CHOOSE(CONTROL!$C$15, $E$9, 100%, $G$9) + CHOOSE(CONTROL!$C$38, 0.0342, 0)</f>
        <v>24.222199999999997</v>
      </c>
      <c r="I213" s="14">
        <f>24.1895 * CHOOSE(CONTROL!$C$15, $E$9, 100%, $G$9) + CHOOSE(CONTROL!$C$38, 0.0342, 0)</f>
        <v>24.223699999999997</v>
      </c>
      <c r="J213" s="43">
        <f>162.0749</f>
        <v>162.07490000000001</v>
      </c>
    </row>
    <row r="214" spans="1:10" ht="15" x14ac:dyDescent="0.2">
      <c r="A214" s="13">
        <v>47423</v>
      </c>
      <c r="B214" s="14">
        <f>26.0454 * CHOOSE(CONTROL!$C$15, $E$9, 100%, $G$9) + CHOOSE(CONTROL!$C$38, 0.0251, 0)</f>
        <v>26.070499999999999</v>
      </c>
      <c r="C214" s="14">
        <f>24.5352 * CHOOSE(CONTROL!$C$15, $E$9, 100%, $G$9) + CHOOSE(CONTROL!$C$38, 0.0342, 0)</f>
        <v>24.569399999999998</v>
      </c>
      <c r="D214" s="14">
        <f>24.5274 * CHOOSE(CONTROL!$C$15, $E$9, 100%, $G$9) + CHOOSE(CONTROL!$C$38, 0.0342, 0)</f>
        <v>24.561599999999999</v>
      </c>
      <c r="E214" s="45">
        <f>25.8891 * CHOOSE(CONTROL!$C$15, $E$9, 100%, $G$9) + CHOOSE(CONTROL!$C$38, 0.0342, 0)</f>
        <v>25.923299999999998</v>
      </c>
      <c r="F214" s="44">
        <f>25.8891 * CHOOSE(CONTROL!$C$15, $E$9, 100%, $G$9) + CHOOSE(CONTROL!$C$38, 0.0251, 0)</f>
        <v>25.914199999999997</v>
      </c>
      <c r="G214" s="14">
        <f>24.5336 * CHOOSE(CONTROL!$C$15, $E$9, 100%, $G$9) + CHOOSE(CONTROL!$C$38, 0.0342, 0)</f>
        <v>24.567799999999998</v>
      </c>
      <c r="H214" s="14">
        <f>24.5336 * CHOOSE(CONTROL!$C$15, $E$9, 100%, $G$9) + CHOOSE(CONTROL!$C$38, 0.0342, 0)</f>
        <v>24.567799999999998</v>
      </c>
      <c r="I214" s="14">
        <f>24.5352 * CHOOSE(CONTROL!$C$15, $E$9, 100%, $G$9) + CHOOSE(CONTROL!$C$38, 0.0342, 0)</f>
        <v>24.569399999999998</v>
      </c>
      <c r="J214" s="43">
        <f>161.2516</f>
        <v>161.2516</v>
      </c>
    </row>
    <row r="215" spans="1:10" ht="15" x14ac:dyDescent="0.2">
      <c r="A215" s="13">
        <v>47453</v>
      </c>
      <c r="B215" s="14">
        <f>27.0141 * CHOOSE(CONTROL!$C$15, $E$9, 100%, $G$9) + CHOOSE(CONTROL!$C$38, 0.0251, 0)</f>
        <v>27.039199999999997</v>
      </c>
      <c r="C215" s="14">
        <f>25.5011 * CHOOSE(CONTROL!$C$15, $E$9, 100%, $G$9) + CHOOSE(CONTROL!$C$38, 0.0342, 0)</f>
        <v>25.535299999999999</v>
      </c>
      <c r="D215" s="14">
        <f>25.4933 * CHOOSE(CONTROL!$C$15, $E$9, 100%, $G$9) + CHOOSE(CONTROL!$C$38, 0.0342, 0)</f>
        <v>25.5275</v>
      </c>
      <c r="E215" s="45">
        <f>26.8579 * CHOOSE(CONTROL!$C$15, $E$9, 100%, $G$9) + CHOOSE(CONTROL!$C$38, 0.0342, 0)</f>
        <v>26.892099999999999</v>
      </c>
      <c r="F215" s="44">
        <f>26.8579 * CHOOSE(CONTROL!$C$15, $E$9, 100%, $G$9) + CHOOSE(CONTROL!$C$38, 0.0251, 0)</f>
        <v>26.882999999999999</v>
      </c>
      <c r="G215" s="14">
        <f>25.4996 * CHOOSE(CONTROL!$C$15, $E$9, 100%, $G$9) + CHOOSE(CONTROL!$C$38, 0.0342, 0)</f>
        <v>25.533799999999999</v>
      </c>
      <c r="H215" s="14">
        <f>25.4996 * CHOOSE(CONTROL!$C$15, $E$9, 100%, $G$9) + CHOOSE(CONTROL!$C$38, 0.0342, 0)</f>
        <v>25.533799999999999</v>
      </c>
      <c r="I215" s="14">
        <f>25.5011 * CHOOSE(CONTROL!$C$15, $E$9, 100%, $G$9) + CHOOSE(CONTROL!$C$38, 0.0342, 0)</f>
        <v>25.535299999999999</v>
      </c>
      <c r="J215" s="43">
        <f>156.7887</f>
        <v>156.78870000000001</v>
      </c>
    </row>
    <row r="216" spans="1:10" ht="15" x14ac:dyDescent="0.2">
      <c r="A216" s="13">
        <v>47484</v>
      </c>
      <c r="B216" s="14">
        <f>27.7509 * CHOOSE(CONTROL!$C$15, $E$9, 100%, $G$9) + CHOOSE(CONTROL!$C$38, 0.0251, 0)</f>
        <v>27.776</v>
      </c>
      <c r="C216" s="14">
        <f>26.2618 * CHOOSE(CONTROL!$C$15, $E$9, 100%, $G$9) + CHOOSE(CONTROL!$C$38, 0.0342, 0)</f>
        <v>26.295999999999999</v>
      </c>
      <c r="D216" s="14">
        <f>26.254 * CHOOSE(CONTROL!$C$15, $E$9, 100%, $G$9) + CHOOSE(CONTROL!$C$38, 0.0342, 0)</f>
        <v>26.2882</v>
      </c>
      <c r="E216" s="45">
        <f>27.5947 * CHOOSE(CONTROL!$C$15, $E$9, 100%, $G$9) + CHOOSE(CONTROL!$C$38, 0.0342, 0)</f>
        <v>27.628899999999998</v>
      </c>
      <c r="F216" s="44">
        <f>27.5947 * CHOOSE(CONTROL!$C$15, $E$9, 100%, $G$9) + CHOOSE(CONTROL!$C$38, 0.0251, 0)</f>
        <v>27.619799999999998</v>
      </c>
      <c r="G216" s="14">
        <f>26.2602 * CHOOSE(CONTROL!$C$15, $E$9, 100%, $G$9) + CHOOSE(CONTROL!$C$38, 0.0342, 0)</f>
        <v>26.2944</v>
      </c>
      <c r="H216" s="14">
        <f>26.2602 * CHOOSE(CONTROL!$C$15, $E$9, 100%, $G$9) + CHOOSE(CONTROL!$C$38, 0.0342, 0)</f>
        <v>26.2944</v>
      </c>
      <c r="I216" s="14">
        <f>26.2618 * CHOOSE(CONTROL!$C$15, $E$9, 100%, $G$9) + CHOOSE(CONTROL!$C$38, 0.0342, 0)</f>
        <v>26.295999999999999</v>
      </c>
      <c r="J216" s="43">
        <f>153.3705</f>
        <v>153.37049999999999</v>
      </c>
    </row>
    <row r="217" spans="1:10" ht="15" x14ac:dyDescent="0.2">
      <c r="A217" s="13">
        <v>47515</v>
      </c>
      <c r="B217" s="14">
        <f>28.1476 * CHOOSE(CONTROL!$C$15, $E$9, 100%, $G$9) + CHOOSE(CONTROL!$C$38, 0.0251, 0)</f>
        <v>28.172699999999999</v>
      </c>
      <c r="C217" s="14">
        <f>26.6557 * CHOOSE(CONTROL!$C$15, $E$9, 100%, $G$9) + CHOOSE(CONTROL!$C$38, 0.0342, 0)</f>
        <v>26.689899999999998</v>
      </c>
      <c r="D217" s="14">
        <f>26.6479 * CHOOSE(CONTROL!$C$15, $E$9, 100%, $G$9) + CHOOSE(CONTROL!$C$38, 0.0342, 0)</f>
        <v>26.682099999999998</v>
      </c>
      <c r="E217" s="45">
        <f>27.9914 * CHOOSE(CONTROL!$C$15, $E$9, 100%, $G$9) + CHOOSE(CONTROL!$C$38, 0.0342, 0)</f>
        <v>28.025599999999997</v>
      </c>
      <c r="F217" s="44">
        <f>27.9914 * CHOOSE(CONTROL!$C$15, $E$9, 100%, $G$9) + CHOOSE(CONTROL!$C$38, 0.0251, 0)</f>
        <v>28.016499999999997</v>
      </c>
      <c r="G217" s="14">
        <f>26.6542 * CHOOSE(CONTROL!$C$15, $E$9, 100%, $G$9) + CHOOSE(CONTROL!$C$38, 0.0342, 0)</f>
        <v>26.688399999999998</v>
      </c>
      <c r="H217" s="14">
        <f>26.6542 * CHOOSE(CONTROL!$C$15, $E$9, 100%, $G$9) + CHOOSE(CONTROL!$C$38, 0.0342, 0)</f>
        <v>26.688399999999998</v>
      </c>
      <c r="I217" s="14">
        <f>26.6557 * CHOOSE(CONTROL!$C$15, $E$9, 100%, $G$9) + CHOOSE(CONTROL!$C$38, 0.0342, 0)</f>
        <v>26.689899999999998</v>
      </c>
      <c r="J217" s="43">
        <f>153.2592</f>
        <v>153.25919999999999</v>
      </c>
    </row>
    <row r="218" spans="1:10" ht="15" x14ac:dyDescent="0.2">
      <c r="A218" s="13">
        <v>47543</v>
      </c>
      <c r="B218" s="14">
        <f>27.4138 * CHOOSE(CONTROL!$C$15, $E$9, 100%, $G$9) + CHOOSE(CONTROL!$C$38, 0.0251, 0)</f>
        <v>27.438899999999997</v>
      </c>
      <c r="C218" s="14">
        <f>25.9192 * CHOOSE(CONTROL!$C$15, $E$9, 100%, $G$9) + CHOOSE(CONTROL!$C$38, 0.0342, 0)</f>
        <v>25.953399999999998</v>
      </c>
      <c r="D218" s="14">
        <f>25.9114 * CHOOSE(CONTROL!$C$15, $E$9, 100%, $G$9) + CHOOSE(CONTROL!$C$38, 0.0342, 0)</f>
        <v>25.945599999999999</v>
      </c>
      <c r="E218" s="45">
        <f>27.2576 * CHOOSE(CONTROL!$C$15, $E$9, 100%, $G$9) + CHOOSE(CONTROL!$C$38, 0.0342, 0)</f>
        <v>27.291799999999999</v>
      </c>
      <c r="F218" s="44">
        <f>27.2576 * CHOOSE(CONTROL!$C$15, $E$9, 100%, $G$9) + CHOOSE(CONTROL!$C$38, 0.0251, 0)</f>
        <v>27.282699999999998</v>
      </c>
      <c r="G218" s="14">
        <f>25.9176 * CHOOSE(CONTROL!$C$15, $E$9, 100%, $G$9) + CHOOSE(CONTROL!$C$38, 0.0342, 0)</f>
        <v>25.951799999999999</v>
      </c>
      <c r="H218" s="14">
        <f>25.9176 * CHOOSE(CONTROL!$C$15, $E$9, 100%, $G$9) + CHOOSE(CONTROL!$C$38, 0.0342, 0)</f>
        <v>25.951799999999999</v>
      </c>
      <c r="I218" s="14">
        <f>25.9192 * CHOOSE(CONTROL!$C$15, $E$9, 100%, $G$9) + CHOOSE(CONTROL!$C$38, 0.0342, 0)</f>
        <v>25.953399999999998</v>
      </c>
      <c r="J218" s="43">
        <f>161.6692</f>
        <v>161.66919999999999</v>
      </c>
    </row>
    <row r="219" spans="1:10" ht="15" x14ac:dyDescent="0.2">
      <c r="A219" s="13">
        <v>47574</v>
      </c>
      <c r="B219" s="14">
        <f>26.7015 * CHOOSE(CONTROL!$C$15, $E$9, 100%, $G$9) + CHOOSE(CONTROL!$C$38, 0.0251, 0)</f>
        <v>26.726599999999998</v>
      </c>
      <c r="C219" s="14">
        <f>25.2041 * CHOOSE(CONTROL!$C$15, $E$9, 100%, $G$9) + CHOOSE(CONTROL!$C$38, 0.0342, 0)</f>
        <v>25.238299999999999</v>
      </c>
      <c r="D219" s="14">
        <f>25.1963 * CHOOSE(CONTROL!$C$15, $E$9, 100%, $G$9) + CHOOSE(CONTROL!$C$38, 0.0342, 0)</f>
        <v>25.230499999999999</v>
      </c>
      <c r="E219" s="45">
        <f>26.5452 * CHOOSE(CONTROL!$C$15, $E$9, 100%, $G$9) + CHOOSE(CONTROL!$C$38, 0.0342, 0)</f>
        <v>26.5794</v>
      </c>
      <c r="F219" s="44">
        <f>26.5452 * CHOOSE(CONTROL!$C$15, $E$9, 100%, $G$9) + CHOOSE(CONTROL!$C$38, 0.0251, 0)</f>
        <v>26.5703</v>
      </c>
      <c r="G219" s="14">
        <f>25.2025 * CHOOSE(CONTROL!$C$15, $E$9, 100%, $G$9) + CHOOSE(CONTROL!$C$38, 0.0342, 0)</f>
        <v>25.236699999999999</v>
      </c>
      <c r="H219" s="14">
        <f>25.2025 * CHOOSE(CONTROL!$C$15, $E$9, 100%, $G$9) + CHOOSE(CONTROL!$C$38, 0.0342, 0)</f>
        <v>25.236699999999999</v>
      </c>
      <c r="I219" s="14">
        <f>25.2041 * CHOOSE(CONTROL!$C$15, $E$9, 100%, $G$9) + CHOOSE(CONTROL!$C$38, 0.0342, 0)</f>
        <v>25.238299999999999</v>
      </c>
      <c r="J219" s="43">
        <f>172.5201</f>
        <v>172.52010000000001</v>
      </c>
    </row>
    <row r="220" spans="1:10" ht="15" x14ac:dyDescent="0.2">
      <c r="A220" s="13">
        <v>47604</v>
      </c>
      <c r="B220" s="14">
        <f>25.9535 * CHOOSE(CONTROL!$C$15, $E$9, 100%, $G$9) + CHOOSE(CONTROL!$C$38, 0.0264, 0)</f>
        <v>25.979899999999997</v>
      </c>
      <c r="C220" s="14">
        <f>24.4534 * CHOOSE(CONTROL!$C$15, $E$9, 100%, $G$9) + CHOOSE(CONTROL!$C$38, 0.0354, 0)</f>
        <v>24.488799999999998</v>
      </c>
      <c r="D220" s="14">
        <f>24.4456 * CHOOSE(CONTROL!$C$15, $E$9, 100%, $G$9) + CHOOSE(CONTROL!$C$38, 0.0354, 0)</f>
        <v>24.480999999999998</v>
      </c>
      <c r="E220" s="45">
        <f>25.7973 * CHOOSE(CONTROL!$C$15, $E$9, 100%, $G$9) + CHOOSE(CONTROL!$C$38, 0.0354, 0)</f>
        <v>25.832699999999999</v>
      </c>
      <c r="F220" s="44">
        <f>25.7973 * CHOOSE(CONTROL!$C$15, $E$9, 100%, $G$9) + CHOOSE(CONTROL!$C$38, 0.0264, 0)</f>
        <v>25.823699999999999</v>
      </c>
      <c r="G220" s="14">
        <f>24.4518 * CHOOSE(CONTROL!$C$15, $E$9, 100%, $G$9) + CHOOSE(CONTROL!$C$38, 0.0354, 0)</f>
        <v>24.487199999999998</v>
      </c>
      <c r="H220" s="14">
        <f>24.4518 * CHOOSE(CONTROL!$C$15, $E$9, 100%, $G$9) + CHOOSE(CONTROL!$C$38, 0.0354, 0)</f>
        <v>24.487199999999998</v>
      </c>
      <c r="I220" s="14">
        <f>24.4534 * CHOOSE(CONTROL!$C$15, $E$9, 100%, $G$9) + CHOOSE(CONTROL!$C$38, 0.0354, 0)</f>
        <v>24.488799999999998</v>
      </c>
      <c r="J220" s="43">
        <f>178.6769</f>
        <v>178.67689999999999</v>
      </c>
    </row>
    <row r="221" spans="1:10" ht="15" x14ac:dyDescent="0.2">
      <c r="A221" s="13">
        <v>47635</v>
      </c>
      <c r="B221" s="14">
        <f>25.4425 * CHOOSE(CONTROL!$C$15, $E$9, 100%, $G$9) + CHOOSE(CONTROL!$C$38, 0.0264, 0)</f>
        <v>25.468899999999998</v>
      </c>
      <c r="C221" s="14">
        <f>23.9396 * CHOOSE(CONTROL!$C$15, $E$9, 100%, $G$9) + CHOOSE(CONTROL!$C$38, 0.0354, 0)</f>
        <v>23.974999999999998</v>
      </c>
      <c r="D221" s="14">
        <f>23.9318 * CHOOSE(CONTROL!$C$15, $E$9, 100%, $G$9) + CHOOSE(CONTROL!$C$38, 0.0354, 0)</f>
        <v>23.967199999999998</v>
      </c>
      <c r="E221" s="45">
        <f>25.2863 * CHOOSE(CONTROL!$C$15, $E$9, 100%, $G$9) + CHOOSE(CONTROL!$C$38, 0.0354, 0)</f>
        <v>25.3217</v>
      </c>
      <c r="F221" s="44">
        <f>25.2863 * CHOOSE(CONTROL!$C$15, $E$9, 100%, $G$9) + CHOOSE(CONTROL!$C$38, 0.0264, 0)</f>
        <v>25.3127</v>
      </c>
      <c r="G221" s="14">
        <f>23.9381 * CHOOSE(CONTROL!$C$15, $E$9, 100%, $G$9) + CHOOSE(CONTROL!$C$38, 0.0354, 0)</f>
        <v>23.973499999999998</v>
      </c>
      <c r="H221" s="14">
        <f>23.9381 * CHOOSE(CONTROL!$C$15, $E$9, 100%, $G$9) + CHOOSE(CONTROL!$C$38, 0.0354, 0)</f>
        <v>23.973499999999998</v>
      </c>
      <c r="I221" s="14">
        <f>23.9396 * CHOOSE(CONTROL!$C$15, $E$9, 100%, $G$9) + CHOOSE(CONTROL!$C$38, 0.0354, 0)</f>
        <v>23.974999999999998</v>
      </c>
      <c r="J221" s="43">
        <f>181.6248</f>
        <v>181.62479999999999</v>
      </c>
    </row>
    <row r="222" spans="1:10" ht="15" x14ac:dyDescent="0.2">
      <c r="A222" s="13">
        <v>47665</v>
      </c>
      <c r="B222" s="14">
        <f>25.1716 * CHOOSE(CONTROL!$C$15, $E$9, 100%, $G$9) + CHOOSE(CONTROL!$C$38, 0.0264, 0)</f>
        <v>25.198</v>
      </c>
      <c r="C222" s="14">
        <f>23.6659 * CHOOSE(CONTROL!$C$15, $E$9, 100%, $G$9) + CHOOSE(CONTROL!$C$38, 0.0354, 0)</f>
        <v>23.7013</v>
      </c>
      <c r="D222" s="14">
        <f>23.6581 * CHOOSE(CONTROL!$C$15, $E$9, 100%, $G$9) + CHOOSE(CONTROL!$C$38, 0.0354, 0)</f>
        <v>23.6935</v>
      </c>
      <c r="E222" s="45">
        <f>25.0154 * CHOOSE(CONTROL!$C$15, $E$9, 100%, $G$9) + CHOOSE(CONTROL!$C$38, 0.0354, 0)</f>
        <v>25.050799999999999</v>
      </c>
      <c r="F222" s="44">
        <f>25.0154 * CHOOSE(CONTROL!$C$15, $E$9, 100%, $G$9) + CHOOSE(CONTROL!$C$38, 0.0264, 0)</f>
        <v>25.041799999999999</v>
      </c>
      <c r="G222" s="14">
        <f>23.6644 * CHOOSE(CONTROL!$C$15, $E$9, 100%, $G$9) + CHOOSE(CONTROL!$C$38, 0.0354, 0)</f>
        <v>23.6998</v>
      </c>
      <c r="H222" s="14">
        <f>23.6644 * CHOOSE(CONTROL!$C$15, $E$9, 100%, $G$9) + CHOOSE(CONTROL!$C$38, 0.0354, 0)</f>
        <v>23.6998</v>
      </c>
      <c r="I222" s="14">
        <f>23.6659 * CHOOSE(CONTROL!$C$15, $E$9, 100%, $G$9) + CHOOSE(CONTROL!$C$38, 0.0354, 0)</f>
        <v>23.7013</v>
      </c>
      <c r="J222" s="43">
        <f>181.1477</f>
        <v>181.14769999999999</v>
      </c>
    </row>
    <row r="223" spans="1:10" ht="15" x14ac:dyDescent="0.2">
      <c r="A223" s="13">
        <v>47696</v>
      </c>
      <c r="B223" s="14">
        <f>25.3306 * CHOOSE(CONTROL!$C$15, $E$9, 100%, $G$9) + CHOOSE(CONTROL!$C$38, 0.0264, 0)</f>
        <v>25.356999999999999</v>
      </c>
      <c r="C223" s="14">
        <f>23.8249 * CHOOSE(CONTROL!$C$15, $E$9, 100%, $G$9) + CHOOSE(CONTROL!$C$38, 0.0354, 0)</f>
        <v>23.860299999999999</v>
      </c>
      <c r="D223" s="14">
        <f>23.8171 * CHOOSE(CONTROL!$C$15, $E$9, 100%, $G$9) + CHOOSE(CONTROL!$C$38, 0.0354, 0)</f>
        <v>23.852499999999999</v>
      </c>
      <c r="E223" s="45">
        <f>25.1743 * CHOOSE(CONTROL!$C$15, $E$9, 100%, $G$9) + CHOOSE(CONTROL!$C$38, 0.0354, 0)</f>
        <v>25.209699999999998</v>
      </c>
      <c r="F223" s="44">
        <f>25.1743 * CHOOSE(CONTROL!$C$15, $E$9, 100%, $G$9) + CHOOSE(CONTROL!$C$38, 0.0264, 0)</f>
        <v>25.200699999999998</v>
      </c>
      <c r="G223" s="14">
        <f>23.8233 * CHOOSE(CONTROL!$C$15, $E$9, 100%, $G$9) + CHOOSE(CONTROL!$C$38, 0.0354, 0)</f>
        <v>23.858699999999999</v>
      </c>
      <c r="H223" s="14">
        <f>23.8233 * CHOOSE(CONTROL!$C$15, $E$9, 100%, $G$9) + CHOOSE(CONTROL!$C$38, 0.0354, 0)</f>
        <v>23.858699999999999</v>
      </c>
      <c r="I223" s="14">
        <f>23.8249 * CHOOSE(CONTROL!$C$15, $E$9, 100%, $G$9) + CHOOSE(CONTROL!$C$38, 0.0354, 0)</f>
        <v>23.860299999999999</v>
      </c>
      <c r="J223" s="43">
        <f>176.9307</f>
        <v>176.9307</v>
      </c>
    </row>
    <row r="224" spans="1:10" ht="15" x14ac:dyDescent="0.2">
      <c r="A224" s="13">
        <v>47727</v>
      </c>
      <c r="B224" s="14">
        <f>25.7623 * CHOOSE(CONTROL!$C$15, $E$9, 100%, $G$9) + CHOOSE(CONTROL!$C$38, 0.0264, 0)</f>
        <v>25.788699999999999</v>
      </c>
      <c r="C224" s="14">
        <f>24.2566 * CHOOSE(CONTROL!$C$15, $E$9, 100%, $G$9) + CHOOSE(CONTROL!$C$38, 0.0354, 0)</f>
        <v>24.291999999999998</v>
      </c>
      <c r="D224" s="14">
        <f>24.2488 * CHOOSE(CONTROL!$C$15, $E$9, 100%, $G$9) + CHOOSE(CONTROL!$C$38, 0.0354, 0)</f>
        <v>24.284199999999998</v>
      </c>
      <c r="E224" s="45">
        <f>25.606 * CHOOSE(CONTROL!$C$15, $E$9, 100%, $G$9) + CHOOSE(CONTROL!$C$38, 0.0354, 0)</f>
        <v>25.641400000000001</v>
      </c>
      <c r="F224" s="44">
        <f>25.606 * CHOOSE(CONTROL!$C$15, $E$9, 100%, $G$9) + CHOOSE(CONTROL!$C$38, 0.0264, 0)</f>
        <v>25.632400000000001</v>
      </c>
      <c r="G224" s="14">
        <f>24.255 * CHOOSE(CONTROL!$C$15, $E$9, 100%, $G$9) + CHOOSE(CONTROL!$C$38, 0.0354, 0)</f>
        <v>24.290399999999998</v>
      </c>
      <c r="H224" s="14">
        <f>24.255 * CHOOSE(CONTROL!$C$15, $E$9, 100%, $G$9) + CHOOSE(CONTROL!$C$38, 0.0354, 0)</f>
        <v>24.290399999999998</v>
      </c>
      <c r="I224" s="14">
        <f>24.2566 * CHOOSE(CONTROL!$C$15, $E$9, 100%, $G$9) + CHOOSE(CONTROL!$C$38, 0.0354, 0)</f>
        <v>24.291999999999998</v>
      </c>
      <c r="J224" s="43">
        <f>171.0498</f>
        <v>171.0498</v>
      </c>
    </row>
    <row r="225" spans="1:10" ht="15" x14ac:dyDescent="0.2">
      <c r="A225" s="13">
        <v>47757</v>
      </c>
      <c r="B225" s="14">
        <f>26.1238 * CHOOSE(CONTROL!$C$15, $E$9, 100%, $G$9) + CHOOSE(CONTROL!$C$38, 0.0251, 0)</f>
        <v>26.148899999999998</v>
      </c>
      <c r="C225" s="14">
        <f>24.6181 * CHOOSE(CONTROL!$C$15, $E$9, 100%, $G$9) + CHOOSE(CONTROL!$C$38, 0.0342, 0)</f>
        <v>24.652299999999997</v>
      </c>
      <c r="D225" s="14">
        <f>24.6103 * CHOOSE(CONTROL!$C$15, $E$9, 100%, $G$9) + CHOOSE(CONTROL!$C$38, 0.0342, 0)</f>
        <v>24.644499999999997</v>
      </c>
      <c r="E225" s="45">
        <f>25.9676 * CHOOSE(CONTROL!$C$15, $E$9, 100%, $G$9) + CHOOSE(CONTROL!$C$38, 0.0342, 0)</f>
        <v>26.001799999999999</v>
      </c>
      <c r="F225" s="44">
        <f>25.9676 * CHOOSE(CONTROL!$C$15, $E$9, 100%, $G$9) + CHOOSE(CONTROL!$C$38, 0.0251, 0)</f>
        <v>25.992699999999999</v>
      </c>
      <c r="G225" s="14">
        <f>24.6166 * CHOOSE(CONTROL!$C$15, $E$9, 100%, $G$9) + CHOOSE(CONTROL!$C$38, 0.0342, 0)</f>
        <v>24.650799999999997</v>
      </c>
      <c r="H225" s="14">
        <f>24.6166 * CHOOSE(CONTROL!$C$15, $E$9, 100%, $G$9) + CHOOSE(CONTROL!$C$38, 0.0342, 0)</f>
        <v>24.650799999999997</v>
      </c>
      <c r="I225" s="14">
        <f>24.6181 * CHOOSE(CONTROL!$C$15, $E$9, 100%, $G$9) + CHOOSE(CONTROL!$C$38, 0.0342, 0)</f>
        <v>24.652299999999997</v>
      </c>
      <c r="J225" s="43">
        <f>165.1347</f>
        <v>165.13470000000001</v>
      </c>
    </row>
    <row r="226" spans="1:10" ht="15" x14ac:dyDescent="0.2">
      <c r="A226" s="13">
        <v>47788</v>
      </c>
      <c r="B226" s="14">
        <f>26.4256 * CHOOSE(CONTROL!$C$15, $E$9, 100%, $G$9) + CHOOSE(CONTROL!$C$38, 0.0251, 0)</f>
        <v>26.450699999999998</v>
      </c>
      <c r="C226" s="14">
        <f>24.9199 * CHOOSE(CONTROL!$C$15, $E$9, 100%, $G$9) + CHOOSE(CONTROL!$C$38, 0.0342, 0)</f>
        <v>24.954099999999997</v>
      </c>
      <c r="D226" s="14">
        <f>24.912 * CHOOSE(CONTROL!$C$15, $E$9, 100%, $G$9) + CHOOSE(CONTROL!$C$38, 0.0342, 0)</f>
        <v>24.946199999999997</v>
      </c>
      <c r="E226" s="45">
        <f>26.2693 * CHOOSE(CONTROL!$C$15, $E$9, 100%, $G$9) + CHOOSE(CONTROL!$C$38, 0.0342, 0)</f>
        <v>26.3035</v>
      </c>
      <c r="F226" s="44">
        <f>26.2693 * CHOOSE(CONTROL!$C$15, $E$9, 100%, $G$9) + CHOOSE(CONTROL!$C$38, 0.0251, 0)</f>
        <v>26.2944</v>
      </c>
      <c r="G226" s="14">
        <f>24.9183 * CHOOSE(CONTROL!$C$15, $E$9, 100%, $G$9) + CHOOSE(CONTROL!$C$38, 0.0342, 0)</f>
        <v>24.952499999999997</v>
      </c>
      <c r="H226" s="14">
        <f>24.9183 * CHOOSE(CONTROL!$C$15, $E$9, 100%, $G$9) + CHOOSE(CONTROL!$C$38, 0.0342, 0)</f>
        <v>24.952499999999997</v>
      </c>
      <c r="I226" s="14">
        <f>24.9199 * CHOOSE(CONTROL!$C$15, $E$9, 100%, $G$9) + CHOOSE(CONTROL!$C$38, 0.0342, 0)</f>
        <v>24.954099999999997</v>
      </c>
      <c r="J226" s="43">
        <f>163.9581</f>
        <v>163.9581</v>
      </c>
    </row>
    <row r="227" spans="1:10" ht="15" x14ac:dyDescent="0.2">
      <c r="A227" s="13">
        <v>47818</v>
      </c>
      <c r="B227" s="14">
        <f>27.3552 * CHOOSE(CONTROL!$C$15, $E$9, 100%, $G$9) + CHOOSE(CONTROL!$C$38, 0.0251, 0)</f>
        <v>27.380299999999998</v>
      </c>
      <c r="C227" s="14">
        <f>25.8495 * CHOOSE(CONTROL!$C$15, $E$9, 100%, $G$9) + CHOOSE(CONTROL!$C$38, 0.0342, 0)</f>
        <v>25.883699999999997</v>
      </c>
      <c r="D227" s="14">
        <f>25.8417 * CHOOSE(CONTROL!$C$15, $E$9, 100%, $G$9) + CHOOSE(CONTROL!$C$38, 0.0342, 0)</f>
        <v>25.875899999999998</v>
      </c>
      <c r="E227" s="45">
        <f>27.199 * CHOOSE(CONTROL!$C$15, $E$9, 100%, $G$9) + CHOOSE(CONTROL!$C$38, 0.0342, 0)</f>
        <v>27.2332</v>
      </c>
      <c r="F227" s="44">
        <f>27.199 * CHOOSE(CONTROL!$C$15, $E$9, 100%, $G$9) + CHOOSE(CONTROL!$C$38, 0.0251, 0)</f>
        <v>27.2241</v>
      </c>
      <c r="G227" s="14">
        <f>25.848 * CHOOSE(CONTROL!$C$15, $E$9, 100%, $G$9) + CHOOSE(CONTROL!$C$38, 0.0342, 0)</f>
        <v>25.882199999999997</v>
      </c>
      <c r="H227" s="14">
        <f>25.848 * CHOOSE(CONTROL!$C$15, $E$9, 100%, $G$9) + CHOOSE(CONTROL!$C$38, 0.0342, 0)</f>
        <v>25.882199999999997</v>
      </c>
      <c r="I227" s="14">
        <f>25.8495 * CHOOSE(CONTROL!$C$15, $E$9, 100%, $G$9) + CHOOSE(CONTROL!$C$38, 0.0342, 0)</f>
        <v>25.883699999999997</v>
      </c>
      <c r="J227" s="43">
        <f>159.0926</f>
        <v>159.0926</v>
      </c>
    </row>
    <row r="228" spans="1:10" ht="15" x14ac:dyDescent="0.2">
      <c r="A228" s="13">
        <v>47849</v>
      </c>
      <c r="B228" s="14">
        <f>28.5239 * CHOOSE(CONTROL!$C$15, $E$9, 100%, $G$9) + CHOOSE(CONTROL!$C$38, 0.0251, 0)</f>
        <v>28.548999999999999</v>
      </c>
      <c r="C228" s="14">
        <f>26.9955 * CHOOSE(CONTROL!$C$15, $E$9, 100%, $G$9) + CHOOSE(CONTROL!$C$38, 0.0342, 0)</f>
        <v>27.029699999999998</v>
      </c>
      <c r="D228" s="14">
        <f>26.9877 * CHOOSE(CONTROL!$C$15, $E$9, 100%, $G$9) + CHOOSE(CONTROL!$C$38, 0.0342, 0)</f>
        <v>27.021899999999999</v>
      </c>
      <c r="E228" s="45">
        <f>28.3676 * CHOOSE(CONTROL!$C$15, $E$9, 100%, $G$9) + CHOOSE(CONTROL!$C$38, 0.0342, 0)</f>
        <v>28.401799999999998</v>
      </c>
      <c r="F228" s="44">
        <f>28.3676 * CHOOSE(CONTROL!$C$15, $E$9, 100%, $G$9) + CHOOSE(CONTROL!$C$38, 0.0251, 0)</f>
        <v>28.392699999999998</v>
      </c>
      <c r="G228" s="14">
        <f>26.9939 * CHOOSE(CONTROL!$C$15, $E$9, 100%, $G$9) + CHOOSE(CONTROL!$C$38, 0.0342, 0)</f>
        <v>27.028099999999998</v>
      </c>
      <c r="H228" s="14">
        <f>26.9939 * CHOOSE(CONTROL!$C$15, $E$9, 100%, $G$9) + CHOOSE(CONTROL!$C$38, 0.0342, 0)</f>
        <v>27.028099999999998</v>
      </c>
      <c r="I228" s="14">
        <f>26.9955 * CHOOSE(CONTROL!$C$15, $E$9, 100%, $G$9) + CHOOSE(CONTROL!$C$38, 0.0342, 0)</f>
        <v>27.029699999999998</v>
      </c>
      <c r="J228" s="43">
        <f>158.9778</f>
        <v>158.9778</v>
      </c>
    </row>
    <row r="229" spans="1:10" ht="15" x14ac:dyDescent="0.2">
      <c r="A229" s="13">
        <v>47880</v>
      </c>
      <c r="B229" s="14">
        <f>28.8682 * CHOOSE(CONTROL!$C$15, $E$9, 100%, $G$9) + CHOOSE(CONTROL!$C$38, 0.0251, 0)</f>
        <v>28.8933</v>
      </c>
      <c r="C229" s="14">
        <f>27.3398 * CHOOSE(CONTROL!$C$15, $E$9, 100%, $G$9) + CHOOSE(CONTROL!$C$38, 0.0342, 0)</f>
        <v>27.373999999999999</v>
      </c>
      <c r="D229" s="14">
        <f>27.332 * CHOOSE(CONTROL!$C$15, $E$9, 100%, $G$9) + CHOOSE(CONTROL!$C$38, 0.0342, 0)</f>
        <v>27.366199999999999</v>
      </c>
      <c r="E229" s="45">
        <f>28.7119 * CHOOSE(CONTROL!$C$15, $E$9, 100%, $G$9) + CHOOSE(CONTROL!$C$38, 0.0342, 0)</f>
        <v>28.746099999999998</v>
      </c>
      <c r="F229" s="44">
        <f>28.7119 * CHOOSE(CONTROL!$C$15, $E$9, 100%, $G$9) + CHOOSE(CONTROL!$C$38, 0.0251, 0)</f>
        <v>28.736999999999998</v>
      </c>
      <c r="G229" s="14">
        <f>27.3383 * CHOOSE(CONTROL!$C$15, $E$9, 100%, $G$9) + CHOOSE(CONTROL!$C$38, 0.0342, 0)</f>
        <v>27.372499999999999</v>
      </c>
      <c r="H229" s="14">
        <f>27.3383 * CHOOSE(CONTROL!$C$15, $E$9, 100%, $G$9) + CHOOSE(CONTROL!$C$38, 0.0342, 0)</f>
        <v>27.372499999999999</v>
      </c>
      <c r="I229" s="14">
        <f>27.3398 * CHOOSE(CONTROL!$C$15, $E$9, 100%, $G$9) + CHOOSE(CONTROL!$C$38, 0.0342, 0)</f>
        <v>27.373999999999999</v>
      </c>
      <c r="J229" s="43">
        <f>158.5359</f>
        <v>158.5359</v>
      </c>
    </row>
    <row r="230" spans="1:10" ht="15" x14ac:dyDescent="0.2">
      <c r="A230" s="13">
        <v>47908</v>
      </c>
      <c r="B230" s="14">
        <f>28.0712 * CHOOSE(CONTROL!$C$15, $E$9, 100%, $G$9) + CHOOSE(CONTROL!$C$38, 0.0251, 0)</f>
        <v>28.096299999999999</v>
      </c>
      <c r="C230" s="14">
        <f>26.5428 * CHOOSE(CONTROL!$C$15, $E$9, 100%, $G$9) + CHOOSE(CONTROL!$C$38, 0.0342, 0)</f>
        <v>26.576999999999998</v>
      </c>
      <c r="D230" s="14">
        <f>26.535 * CHOOSE(CONTROL!$C$15, $E$9, 100%, $G$9) + CHOOSE(CONTROL!$C$38, 0.0342, 0)</f>
        <v>26.569199999999999</v>
      </c>
      <c r="E230" s="45">
        <f>27.9149 * CHOOSE(CONTROL!$C$15, $E$9, 100%, $G$9) + CHOOSE(CONTROL!$C$38, 0.0342, 0)</f>
        <v>27.949099999999998</v>
      </c>
      <c r="F230" s="44">
        <f>27.9149 * CHOOSE(CONTROL!$C$15, $E$9, 100%, $G$9) + CHOOSE(CONTROL!$C$38, 0.0251, 0)</f>
        <v>27.939999999999998</v>
      </c>
      <c r="G230" s="14">
        <f>26.5412 * CHOOSE(CONTROL!$C$15, $E$9, 100%, $G$9) + CHOOSE(CONTROL!$C$38, 0.0342, 0)</f>
        <v>26.575399999999998</v>
      </c>
      <c r="H230" s="14">
        <f>26.5412 * CHOOSE(CONTROL!$C$15, $E$9, 100%, $G$9) + CHOOSE(CONTROL!$C$38, 0.0342, 0)</f>
        <v>26.575399999999998</v>
      </c>
      <c r="I230" s="14">
        <f>26.5428 * CHOOSE(CONTROL!$C$15, $E$9, 100%, $G$9) + CHOOSE(CONTROL!$C$38, 0.0342, 0)</f>
        <v>26.576999999999998</v>
      </c>
      <c r="J230" s="43">
        <f>166.8916</f>
        <v>166.89160000000001</v>
      </c>
    </row>
    <row r="231" spans="1:10" ht="15" x14ac:dyDescent="0.2">
      <c r="A231" s="13">
        <v>47939</v>
      </c>
      <c r="B231" s="14">
        <f>27.2988 * CHOOSE(CONTROL!$C$15, $E$9, 100%, $G$9) + CHOOSE(CONTROL!$C$38, 0.0251, 0)</f>
        <v>27.323899999999998</v>
      </c>
      <c r="C231" s="14">
        <f>25.7705 * CHOOSE(CONTROL!$C$15, $E$9, 100%, $G$9) + CHOOSE(CONTROL!$C$38, 0.0342, 0)</f>
        <v>25.804699999999997</v>
      </c>
      <c r="D231" s="14">
        <f>25.7627 * CHOOSE(CONTROL!$C$15, $E$9, 100%, $G$9) + CHOOSE(CONTROL!$C$38, 0.0342, 0)</f>
        <v>25.796899999999997</v>
      </c>
      <c r="E231" s="45">
        <f>27.1426 * CHOOSE(CONTROL!$C$15, $E$9, 100%, $G$9) + CHOOSE(CONTROL!$C$38, 0.0342, 0)</f>
        <v>27.1768</v>
      </c>
      <c r="F231" s="44">
        <f>27.1426 * CHOOSE(CONTROL!$C$15, $E$9, 100%, $G$9) + CHOOSE(CONTROL!$C$38, 0.0251, 0)</f>
        <v>27.1677</v>
      </c>
      <c r="G231" s="14">
        <f>25.7689 * CHOOSE(CONTROL!$C$15, $E$9, 100%, $G$9) + CHOOSE(CONTROL!$C$38, 0.0342, 0)</f>
        <v>25.803099999999997</v>
      </c>
      <c r="H231" s="14">
        <f>25.7689 * CHOOSE(CONTROL!$C$15, $E$9, 100%, $G$9) + CHOOSE(CONTROL!$C$38, 0.0342, 0)</f>
        <v>25.803099999999997</v>
      </c>
      <c r="I231" s="14">
        <f>25.7705 * CHOOSE(CONTROL!$C$15, $E$9, 100%, $G$9) + CHOOSE(CONTROL!$C$38, 0.0342, 0)</f>
        <v>25.804699999999997</v>
      </c>
      <c r="J231" s="43">
        <f>177.727</f>
        <v>177.727</v>
      </c>
    </row>
    <row r="232" spans="1:10" ht="15" x14ac:dyDescent="0.2">
      <c r="A232" s="13">
        <v>47969</v>
      </c>
      <c r="B232" s="14">
        <f>26.4939 * CHOOSE(CONTROL!$C$15, $E$9, 100%, $G$9) + CHOOSE(CONTROL!$C$38, 0.0264, 0)</f>
        <v>26.520299999999999</v>
      </c>
      <c r="C232" s="14">
        <f>24.9655 * CHOOSE(CONTROL!$C$15, $E$9, 100%, $G$9) + CHOOSE(CONTROL!$C$38, 0.0354, 0)</f>
        <v>25.000899999999998</v>
      </c>
      <c r="D232" s="14">
        <f>24.9577 * CHOOSE(CONTROL!$C$15, $E$9, 100%, $G$9) + CHOOSE(CONTROL!$C$38, 0.0354, 0)</f>
        <v>24.993099999999998</v>
      </c>
      <c r="E232" s="45">
        <f>26.3376 * CHOOSE(CONTROL!$C$15, $E$9, 100%, $G$9) + CHOOSE(CONTROL!$C$38, 0.0354, 0)</f>
        <v>26.372999999999998</v>
      </c>
      <c r="F232" s="44">
        <f>26.3376 * CHOOSE(CONTROL!$C$15, $E$9, 100%, $G$9) + CHOOSE(CONTROL!$C$38, 0.0264, 0)</f>
        <v>26.363999999999997</v>
      </c>
      <c r="G232" s="14">
        <f>24.9639 * CHOOSE(CONTROL!$C$15, $E$9, 100%, $G$9) + CHOOSE(CONTROL!$C$38, 0.0354, 0)</f>
        <v>24.999299999999998</v>
      </c>
      <c r="H232" s="14">
        <f>24.9639 * CHOOSE(CONTROL!$C$15, $E$9, 100%, $G$9) + CHOOSE(CONTROL!$C$38, 0.0354, 0)</f>
        <v>24.999299999999998</v>
      </c>
      <c r="I232" s="14">
        <f>24.9655 * CHOOSE(CONTROL!$C$15, $E$9, 100%, $G$9) + CHOOSE(CONTROL!$C$38, 0.0354, 0)</f>
        <v>25.000899999999998</v>
      </c>
      <c r="J232" s="43">
        <f>183.6912</f>
        <v>183.69120000000001</v>
      </c>
    </row>
    <row r="233" spans="1:10" ht="15" x14ac:dyDescent="0.2">
      <c r="A233" s="13">
        <v>48000</v>
      </c>
      <c r="B233" s="14">
        <f>25.9295 * CHOOSE(CONTROL!$C$15, $E$9, 100%, $G$9) + CHOOSE(CONTROL!$C$38, 0.0264, 0)</f>
        <v>25.9559</v>
      </c>
      <c r="C233" s="14">
        <f>24.4012 * CHOOSE(CONTROL!$C$15, $E$9, 100%, $G$9) + CHOOSE(CONTROL!$C$38, 0.0354, 0)</f>
        <v>24.436599999999999</v>
      </c>
      <c r="D233" s="14">
        <f>24.3934 * CHOOSE(CONTROL!$C$15, $E$9, 100%, $G$9) + CHOOSE(CONTROL!$C$38, 0.0354, 0)</f>
        <v>24.428799999999999</v>
      </c>
      <c r="E233" s="45">
        <f>25.7733 * CHOOSE(CONTROL!$C$15, $E$9, 100%, $G$9) + CHOOSE(CONTROL!$C$38, 0.0354, 0)</f>
        <v>25.808699999999998</v>
      </c>
      <c r="F233" s="44">
        <f>25.7733 * CHOOSE(CONTROL!$C$15, $E$9, 100%, $G$9) + CHOOSE(CONTROL!$C$38, 0.0264, 0)</f>
        <v>25.799699999999998</v>
      </c>
      <c r="G233" s="14">
        <f>24.3996 * CHOOSE(CONTROL!$C$15, $E$9, 100%, $G$9) + CHOOSE(CONTROL!$C$38, 0.0354, 0)</f>
        <v>24.434999999999999</v>
      </c>
      <c r="H233" s="14">
        <f>24.3996 * CHOOSE(CONTROL!$C$15, $E$9, 100%, $G$9) + CHOOSE(CONTROL!$C$38, 0.0354, 0)</f>
        <v>24.434999999999999</v>
      </c>
      <c r="I233" s="14">
        <f>24.4012 * CHOOSE(CONTROL!$C$15, $E$9, 100%, $G$9) + CHOOSE(CONTROL!$C$38, 0.0354, 0)</f>
        <v>24.436599999999999</v>
      </c>
      <c r="J233" s="43">
        <f>186.338</f>
        <v>186.33799999999999</v>
      </c>
    </row>
    <row r="234" spans="1:10" ht="15" x14ac:dyDescent="0.2">
      <c r="A234" s="13">
        <v>48030</v>
      </c>
      <c r="B234" s="14">
        <f>25.6075 * CHOOSE(CONTROL!$C$15, $E$9, 100%, $G$9) + CHOOSE(CONTROL!$C$38, 0.0264, 0)</f>
        <v>25.633900000000001</v>
      </c>
      <c r="C234" s="14">
        <f>24.0791 * CHOOSE(CONTROL!$C$15, $E$9, 100%, $G$9) + CHOOSE(CONTROL!$C$38, 0.0354, 0)</f>
        <v>24.1145</v>
      </c>
      <c r="D234" s="14">
        <f>24.0713 * CHOOSE(CONTROL!$C$15, $E$9, 100%, $G$9) + CHOOSE(CONTROL!$C$38, 0.0354, 0)</f>
        <v>24.1067</v>
      </c>
      <c r="E234" s="45">
        <f>25.4512 * CHOOSE(CONTROL!$C$15, $E$9, 100%, $G$9) + CHOOSE(CONTROL!$C$38, 0.0354, 0)</f>
        <v>25.486599999999999</v>
      </c>
      <c r="F234" s="44">
        <f>25.4512 * CHOOSE(CONTROL!$C$15, $E$9, 100%, $G$9) + CHOOSE(CONTROL!$C$38, 0.0264, 0)</f>
        <v>25.477599999999999</v>
      </c>
      <c r="G234" s="14">
        <f>24.0776 * CHOOSE(CONTROL!$C$15, $E$9, 100%, $G$9) + CHOOSE(CONTROL!$C$38, 0.0354, 0)</f>
        <v>24.113</v>
      </c>
      <c r="H234" s="14">
        <f>24.0776 * CHOOSE(CONTROL!$C$15, $E$9, 100%, $G$9) + CHOOSE(CONTROL!$C$38, 0.0354, 0)</f>
        <v>24.113</v>
      </c>
      <c r="I234" s="14">
        <f>24.0791 * CHOOSE(CONTROL!$C$15, $E$9, 100%, $G$9) + CHOOSE(CONTROL!$C$38, 0.0354, 0)</f>
        <v>24.1145</v>
      </c>
      <c r="J234" s="43">
        <f>185.4666</f>
        <v>185.4666</v>
      </c>
    </row>
    <row r="235" spans="1:10" ht="15" x14ac:dyDescent="0.2">
      <c r="A235" s="13">
        <v>48061</v>
      </c>
      <c r="B235" s="14">
        <f>25.7664 * CHOOSE(CONTROL!$C$15, $E$9, 100%, $G$9) + CHOOSE(CONTROL!$C$38, 0.0264, 0)</f>
        <v>25.7928</v>
      </c>
      <c r="C235" s="14">
        <f>24.2381 * CHOOSE(CONTROL!$C$15, $E$9, 100%, $G$9) + CHOOSE(CONTROL!$C$38, 0.0354, 0)</f>
        <v>24.273499999999999</v>
      </c>
      <c r="D235" s="14">
        <f>24.2303 * CHOOSE(CONTROL!$C$15, $E$9, 100%, $G$9) + CHOOSE(CONTROL!$C$38, 0.0354, 0)</f>
        <v>24.265699999999999</v>
      </c>
      <c r="E235" s="45">
        <f>25.6102 * CHOOSE(CONTROL!$C$15, $E$9, 100%, $G$9) + CHOOSE(CONTROL!$C$38, 0.0354, 0)</f>
        <v>25.645599999999998</v>
      </c>
      <c r="F235" s="44">
        <f>25.6102 * CHOOSE(CONTROL!$C$15, $E$9, 100%, $G$9) + CHOOSE(CONTROL!$C$38, 0.0264, 0)</f>
        <v>25.636599999999998</v>
      </c>
      <c r="G235" s="14">
        <f>24.2365 * CHOOSE(CONTROL!$C$15, $E$9, 100%, $G$9) + CHOOSE(CONTROL!$C$38, 0.0354, 0)</f>
        <v>24.271899999999999</v>
      </c>
      <c r="H235" s="14">
        <f>24.2365 * CHOOSE(CONTROL!$C$15, $E$9, 100%, $G$9) + CHOOSE(CONTROL!$C$38, 0.0354, 0)</f>
        <v>24.271899999999999</v>
      </c>
      <c r="I235" s="14">
        <f>24.2381 * CHOOSE(CONTROL!$C$15, $E$9, 100%, $G$9) + CHOOSE(CONTROL!$C$38, 0.0354, 0)</f>
        <v>24.273499999999999</v>
      </c>
      <c r="J235" s="43">
        <f>181.149</f>
        <v>181.149</v>
      </c>
    </row>
    <row r="236" spans="1:10" ht="15" x14ac:dyDescent="0.2">
      <c r="A236" s="13">
        <v>48092</v>
      </c>
      <c r="B236" s="14">
        <f>26.1981 * CHOOSE(CONTROL!$C$15, $E$9, 100%, $G$9) + CHOOSE(CONTROL!$C$38, 0.0264, 0)</f>
        <v>26.224499999999999</v>
      </c>
      <c r="C236" s="14">
        <f>24.6698 * CHOOSE(CONTROL!$C$15, $E$9, 100%, $G$9) + CHOOSE(CONTROL!$C$38, 0.0354, 0)</f>
        <v>24.705199999999998</v>
      </c>
      <c r="D236" s="14">
        <f>24.662 * CHOOSE(CONTROL!$C$15, $E$9, 100%, $G$9) + CHOOSE(CONTROL!$C$38, 0.0354, 0)</f>
        <v>24.697399999999998</v>
      </c>
      <c r="E236" s="45">
        <f>26.0419 * CHOOSE(CONTROL!$C$15, $E$9, 100%, $G$9) + CHOOSE(CONTROL!$C$38, 0.0354, 0)</f>
        <v>26.077299999999997</v>
      </c>
      <c r="F236" s="44">
        <f>26.0419 * CHOOSE(CONTROL!$C$15, $E$9, 100%, $G$9) + CHOOSE(CONTROL!$C$38, 0.0264, 0)</f>
        <v>26.068299999999997</v>
      </c>
      <c r="G236" s="14">
        <f>24.6682 * CHOOSE(CONTROL!$C$15, $E$9, 100%, $G$9) + CHOOSE(CONTROL!$C$38, 0.0354, 0)</f>
        <v>24.703599999999998</v>
      </c>
      <c r="H236" s="14">
        <f>24.6682 * CHOOSE(CONTROL!$C$15, $E$9, 100%, $G$9) + CHOOSE(CONTROL!$C$38, 0.0354, 0)</f>
        <v>24.703599999999998</v>
      </c>
      <c r="I236" s="14">
        <f>24.6698 * CHOOSE(CONTROL!$C$15, $E$9, 100%, $G$9) + CHOOSE(CONTROL!$C$38, 0.0354, 0)</f>
        <v>24.705199999999998</v>
      </c>
      <c r="J236" s="43">
        <f>175.1279</f>
        <v>175.12790000000001</v>
      </c>
    </row>
    <row r="237" spans="1:10" ht="15" x14ac:dyDescent="0.2">
      <c r="A237" s="13">
        <v>48122</v>
      </c>
      <c r="B237" s="14">
        <f>26.5597 * CHOOSE(CONTROL!$C$15, $E$9, 100%, $G$9) + CHOOSE(CONTROL!$C$38, 0.0251, 0)</f>
        <v>26.584799999999998</v>
      </c>
      <c r="C237" s="14">
        <f>25.0313 * CHOOSE(CONTROL!$C$15, $E$9, 100%, $G$9) + CHOOSE(CONTROL!$C$38, 0.0342, 0)</f>
        <v>25.0655</v>
      </c>
      <c r="D237" s="14">
        <f>25.0235 * CHOOSE(CONTROL!$C$15, $E$9, 100%, $G$9) + CHOOSE(CONTROL!$C$38, 0.0342, 0)</f>
        <v>25.057699999999997</v>
      </c>
      <c r="E237" s="45">
        <f>26.4035 * CHOOSE(CONTROL!$C$15, $E$9, 100%, $G$9) + CHOOSE(CONTROL!$C$38, 0.0342, 0)</f>
        <v>26.4377</v>
      </c>
      <c r="F237" s="44">
        <f>26.4035 * CHOOSE(CONTROL!$C$15, $E$9, 100%, $G$9) + CHOOSE(CONTROL!$C$38, 0.0251, 0)</f>
        <v>26.428599999999999</v>
      </c>
      <c r="G237" s="14">
        <f>25.0298 * CHOOSE(CONTROL!$C$15, $E$9, 100%, $G$9) + CHOOSE(CONTROL!$C$38, 0.0342, 0)</f>
        <v>25.064</v>
      </c>
      <c r="H237" s="14">
        <f>25.0298 * CHOOSE(CONTROL!$C$15, $E$9, 100%, $G$9) + CHOOSE(CONTROL!$C$38, 0.0342, 0)</f>
        <v>25.064</v>
      </c>
      <c r="I237" s="14">
        <f>25.0313 * CHOOSE(CONTROL!$C$15, $E$9, 100%, $G$9) + CHOOSE(CONTROL!$C$38, 0.0342, 0)</f>
        <v>25.0655</v>
      </c>
      <c r="J237" s="43">
        <f>169.0718</f>
        <v>169.0718</v>
      </c>
    </row>
    <row r="238" spans="1:10" ht="15" x14ac:dyDescent="0.2">
      <c r="A238" s="13">
        <v>48153</v>
      </c>
      <c r="B238" s="14">
        <f>26.8614 * CHOOSE(CONTROL!$C$15, $E$9, 100%, $G$9) + CHOOSE(CONTROL!$C$38, 0.0251, 0)</f>
        <v>26.886499999999998</v>
      </c>
      <c r="C238" s="14">
        <f>25.333 * CHOOSE(CONTROL!$C$15, $E$9, 100%, $G$9) + CHOOSE(CONTROL!$C$38, 0.0342, 0)</f>
        <v>25.367199999999997</v>
      </c>
      <c r="D238" s="14">
        <f>25.3252 * CHOOSE(CONTROL!$C$15, $E$9, 100%, $G$9) + CHOOSE(CONTROL!$C$38, 0.0342, 0)</f>
        <v>25.359399999999997</v>
      </c>
      <c r="E238" s="45">
        <f>26.7052 * CHOOSE(CONTROL!$C$15, $E$9, 100%, $G$9) + CHOOSE(CONTROL!$C$38, 0.0342, 0)</f>
        <v>26.7394</v>
      </c>
      <c r="F238" s="44">
        <f>26.7052 * CHOOSE(CONTROL!$C$15, $E$9, 100%, $G$9) + CHOOSE(CONTROL!$C$38, 0.0251, 0)</f>
        <v>26.7303</v>
      </c>
      <c r="G238" s="14">
        <f>25.3315 * CHOOSE(CONTROL!$C$15, $E$9, 100%, $G$9) + CHOOSE(CONTROL!$C$38, 0.0342, 0)</f>
        <v>25.365699999999997</v>
      </c>
      <c r="H238" s="14">
        <f>25.3315 * CHOOSE(CONTROL!$C$15, $E$9, 100%, $G$9) + CHOOSE(CONTROL!$C$38, 0.0342, 0)</f>
        <v>25.365699999999997</v>
      </c>
      <c r="I238" s="14">
        <f>25.333 * CHOOSE(CONTROL!$C$15, $E$9, 100%, $G$9) + CHOOSE(CONTROL!$C$38, 0.0342, 0)</f>
        <v>25.367199999999997</v>
      </c>
      <c r="J238" s="43">
        <f>167.8671</f>
        <v>167.86709999999999</v>
      </c>
    </row>
    <row r="239" spans="1:10" ht="15" x14ac:dyDescent="0.2">
      <c r="A239" s="13">
        <v>48183</v>
      </c>
      <c r="B239" s="14">
        <f>27.7911 * CHOOSE(CONTROL!$C$15, $E$9, 100%, $G$9) + CHOOSE(CONTROL!$C$38, 0.0251, 0)</f>
        <v>27.816199999999998</v>
      </c>
      <c r="C239" s="14">
        <f>26.2627 * CHOOSE(CONTROL!$C$15, $E$9, 100%, $G$9) + CHOOSE(CONTROL!$C$38, 0.0342, 0)</f>
        <v>26.296899999999997</v>
      </c>
      <c r="D239" s="14">
        <f>26.2549 * CHOOSE(CONTROL!$C$15, $E$9, 100%, $G$9) + CHOOSE(CONTROL!$C$38, 0.0342, 0)</f>
        <v>26.289099999999998</v>
      </c>
      <c r="E239" s="45">
        <f>27.6348 * CHOOSE(CONTROL!$C$15, $E$9, 100%, $G$9) + CHOOSE(CONTROL!$C$38, 0.0342, 0)</f>
        <v>27.668999999999997</v>
      </c>
      <c r="F239" s="44">
        <f>27.6348 * CHOOSE(CONTROL!$C$15, $E$9, 100%, $G$9) + CHOOSE(CONTROL!$C$38, 0.0251, 0)</f>
        <v>27.659899999999997</v>
      </c>
      <c r="G239" s="14">
        <f>26.2611 * CHOOSE(CONTROL!$C$15, $E$9, 100%, $G$9) + CHOOSE(CONTROL!$C$38, 0.0342, 0)</f>
        <v>26.295299999999997</v>
      </c>
      <c r="H239" s="14">
        <f>26.2611 * CHOOSE(CONTROL!$C$15, $E$9, 100%, $G$9) + CHOOSE(CONTROL!$C$38, 0.0342, 0)</f>
        <v>26.295299999999997</v>
      </c>
      <c r="I239" s="14">
        <f>26.2627 * CHOOSE(CONTROL!$C$15, $E$9, 100%, $G$9) + CHOOSE(CONTROL!$C$38, 0.0342, 0)</f>
        <v>26.296899999999997</v>
      </c>
      <c r="J239" s="43">
        <f>162.8856</f>
        <v>162.88560000000001</v>
      </c>
    </row>
    <row r="240" spans="1:10" ht="15" x14ac:dyDescent="0.2">
      <c r="A240" s="13">
        <v>48214</v>
      </c>
      <c r="B240" s="14">
        <f>28.9671 * CHOOSE(CONTROL!$C$15, $E$9, 100%, $G$9) + CHOOSE(CONTROL!$C$38, 0.0251, 0)</f>
        <v>28.992199999999997</v>
      </c>
      <c r="C240" s="14">
        <f>27.4156 * CHOOSE(CONTROL!$C$15, $E$9, 100%, $G$9) + CHOOSE(CONTROL!$C$38, 0.0342, 0)</f>
        <v>27.4498</v>
      </c>
      <c r="D240" s="14">
        <f>27.4078 * CHOOSE(CONTROL!$C$15, $E$9, 100%, $G$9) + CHOOSE(CONTROL!$C$38, 0.0342, 0)</f>
        <v>27.442</v>
      </c>
      <c r="E240" s="45">
        <f>28.8108 * CHOOSE(CONTROL!$C$15, $E$9, 100%, $G$9) + CHOOSE(CONTROL!$C$38, 0.0342, 0)</f>
        <v>28.844999999999999</v>
      </c>
      <c r="F240" s="44">
        <f>28.8108 * CHOOSE(CONTROL!$C$15, $E$9, 100%, $G$9) + CHOOSE(CONTROL!$C$38, 0.0251, 0)</f>
        <v>28.835899999999999</v>
      </c>
      <c r="G240" s="14">
        <f>27.4141 * CHOOSE(CONTROL!$C$15, $E$9, 100%, $G$9) + CHOOSE(CONTROL!$C$38, 0.0342, 0)</f>
        <v>27.4483</v>
      </c>
      <c r="H240" s="14">
        <f>27.4141 * CHOOSE(CONTROL!$C$15, $E$9, 100%, $G$9) + CHOOSE(CONTROL!$C$38, 0.0342, 0)</f>
        <v>27.4483</v>
      </c>
      <c r="I240" s="14">
        <f>27.4156 * CHOOSE(CONTROL!$C$15, $E$9, 100%, $G$9) + CHOOSE(CONTROL!$C$38, 0.0342, 0)</f>
        <v>27.4498</v>
      </c>
      <c r="J240" s="43">
        <f>162.768</f>
        <v>162.768</v>
      </c>
    </row>
    <row r="241" spans="1:10" ht="15" x14ac:dyDescent="0.2">
      <c r="A241" s="13">
        <v>48245</v>
      </c>
      <c r="B241" s="14">
        <f>29.3114 * CHOOSE(CONTROL!$C$15, $E$9, 100%, $G$9) + CHOOSE(CONTROL!$C$38, 0.0251, 0)</f>
        <v>29.336499999999997</v>
      </c>
      <c r="C241" s="14">
        <f>27.76 * CHOOSE(CONTROL!$C$15, $E$9, 100%, $G$9) + CHOOSE(CONTROL!$C$38, 0.0342, 0)</f>
        <v>27.7942</v>
      </c>
      <c r="D241" s="14">
        <f>27.7521 * CHOOSE(CONTROL!$C$15, $E$9, 100%, $G$9) + CHOOSE(CONTROL!$C$38, 0.0342, 0)</f>
        <v>27.786299999999997</v>
      </c>
      <c r="E241" s="45">
        <f>29.1551 * CHOOSE(CONTROL!$C$15, $E$9, 100%, $G$9) + CHOOSE(CONTROL!$C$38, 0.0342, 0)</f>
        <v>29.189299999999999</v>
      </c>
      <c r="F241" s="44">
        <f>29.1551 * CHOOSE(CONTROL!$C$15, $E$9, 100%, $G$9) + CHOOSE(CONTROL!$C$38, 0.0251, 0)</f>
        <v>29.180199999999999</v>
      </c>
      <c r="G241" s="14">
        <f>27.7584 * CHOOSE(CONTROL!$C$15, $E$9, 100%, $G$9) + CHOOSE(CONTROL!$C$38, 0.0342, 0)</f>
        <v>27.7926</v>
      </c>
      <c r="H241" s="14">
        <f>27.7584 * CHOOSE(CONTROL!$C$15, $E$9, 100%, $G$9) + CHOOSE(CONTROL!$C$38, 0.0342, 0)</f>
        <v>27.7926</v>
      </c>
      <c r="I241" s="14">
        <f>27.76 * CHOOSE(CONTROL!$C$15, $E$9, 100%, $G$9) + CHOOSE(CONTROL!$C$38, 0.0342, 0)</f>
        <v>27.7942</v>
      </c>
      <c r="J241" s="43">
        <f>162.3156</f>
        <v>162.31559999999999</v>
      </c>
    </row>
    <row r="242" spans="1:10" ht="15" x14ac:dyDescent="0.2">
      <c r="A242" s="13">
        <v>48274</v>
      </c>
      <c r="B242" s="14">
        <f>28.5143 * CHOOSE(CONTROL!$C$15, $E$9, 100%, $G$9) + CHOOSE(CONTROL!$C$38, 0.0251, 0)</f>
        <v>28.539399999999997</v>
      </c>
      <c r="C242" s="14">
        <f>26.9629 * CHOOSE(CONTROL!$C$15, $E$9, 100%, $G$9) + CHOOSE(CONTROL!$C$38, 0.0342, 0)</f>
        <v>26.9971</v>
      </c>
      <c r="D242" s="14">
        <f>26.9551 * CHOOSE(CONTROL!$C$15, $E$9, 100%, $G$9) + CHOOSE(CONTROL!$C$38, 0.0342, 0)</f>
        <v>26.9893</v>
      </c>
      <c r="E242" s="45">
        <f>28.3581 * CHOOSE(CONTROL!$C$15, $E$9, 100%, $G$9) + CHOOSE(CONTROL!$C$38, 0.0342, 0)</f>
        <v>28.392299999999999</v>
      </c>
      <c r="F242" s="44">
        <f>28.3581 * CHOOSE(CONTROL!$C$15, $E$9, 100%, $G$9) + CHOOSE(CONTROL!$C$38, 0.0251, 0)</f>
        <v>28.383199999999999</v>
      </c>
      <c r="G242" s="14">
        <f>26.9614 * CHOOSE(CONTROL!$C$15, $E$9, 100%, $G$9) + CHOOSE(CONTROL!$C$38, 0.0342, 0)</f>
        <v>26.9956</v>
      </c>
      <c r="H242" s="14">
        <f>26.9614 * CHOOSE(CONTROL!$C$15, $E$9, 100%, $G$9) + CHOOSE(CONTROL!$C$38, 0.0342, 0)</f>
        <v>26.9956</v>
      </c>
      <c r="I242" s="14">
        <f>26.9629 * CHOOSE(CONTROL!$C$15, $E$9, 100%, $G$9) + CHOOSE(CONTROL!$C$38, 0.0342, 0)</f>
        <v>26.9971</v>
      </c>
      <c r="J242" s="43">
        <f>170.8706</f>
        <v>170.8706</v>
      </c>
    </row>
    <row r="243" spans="1:10" ht="15" x14ac:dyDescent="0.2">
      <c r="A243" s="13">
        <v>48305</v>
      </c>
      <c r="B243" s="14">
        <f>27.742 * CHOOSE(CONTROL!$C$15, $E$9, 100%, $G$9) + CHOOSE(CONTROL!$C$38, 0.0251, 0)</f>
        <v>27.767099999999999</v>
      </c>
      <c r="C243" s="14">
        <f>26.1906 * CHOOSE(CONTROL!$C$15, $E$9, 100%, $G$9) + CHOOSE(CONTROL!$C$38, 0.0342, 0)</f>
        <v>26.224799999999998</v>
      </c>
      <c r="D243" s="14">
        <f>26.1828 * CHOOSE(CONTROL!$C$15, $E$9, 100%, $G$9) + CHOOSE(CONTROL!$C$38, 0.0342, 0)</f>
        <v>26.216999999999999</v>
      </c>
      <c r="E243" s="45">
        <f>27.5858 * CHOOSE(CONTROL!$C$15, $E$9, 100%, $G$9) + CHOOSE(CONTROL!$C$38, 0.0342, 0)</f>
        <v>27.619999999999997</v>
      </c>
      <c r="F243" s="44">
        <f>27.5858 * CHOOSE(CONTROL!$C$15, $E$9, 100%, $G$9) + CHOOSE(CONTROL!$C$38, 0.0251, 0)</f>
        <v>27.610899999999997</v>
      </c>
      <c r="G243" s="14">
        <f>26.189 * CHOOSE(CONTROL!$C$15, $E$9, 100%, $G$9) + CHOOSE(CONTROL!$C$38, 0.0342, 0)</f>
        <v>26.223199999999999</v>
      </c>
      <c r="H243" s="14">
        <f>26.189 * CHOOSE(CONTROL!$C$15, $E$9, 100%, $G$9) + CHOOSE(CONTROL!$C$38, 0.0342, 0)</f>
        <v>26.223199999999999</v>
      </c>
      <c r="I243" s="14">
        <f>26.1906 * CHOOSE(CONTROL!$C$15, $E$9, 100%, $G$9) + CHOOSE(CONTROL!$C$38, 0.0342, 0)</f>
        <v>26.224799999999998</v>
      </c>
      <c r="J243" s="43">
        <f>181.9643</f>
        <v>181.96430000000001</v>
      </c>
    </row>
    <row r="244" spans="1:10" ht="15" x14ac:dyDescent="0.2">
      <c r="A244" s="13">
        <v>48335</v>
      </c>
      <c r="B244" s="14">
        <f>26.9371 * CHOOSE(CONTROL!$C$15, $E$9, 100%, $G$9) + CHOOSE(CONTROL!$C$38, 0.0264, 0)</f>
        <v>26.9635</v>
      </c>
      <c r="C244" s="14">
        <f>25.3856 * CHOOSE(CONTROL!$C$15, $E$9, 100%, $G$9) + CHOOSE(CONTROL!$C$38, 0.0354, 0)</f>
        <v>25.420999999999999</v>
      </c>
      <c r="D244" s="14">
        <f>25.3778 * CHOOSE(CONTROL!$C$15, $E$9, 100%, $G$9) + CHOOSE(CONTROL!$C$38, 0.0354, 0)</f>
        <v>25.4132</v>
      </c>
      <c r="E244" s="45">
        <f>26.7808 * CHOOSE(CONTROL!$C$15, $E$9, 100%, $G$9) + CHOOSE(CONTROL!$C$38, 0.0354, 0)</f>
        <v>26.816199999999998</v>
      </c>
      <c r="F244" s="44">
        <f>26.7808 * CHOOSE(CONTROL!$C$15, $E$9, 100%, $G$9) + CHOOSE(CONTROL!$C$38, 0.0264, 0)</f>
        <v>26.807199999999998</v>
      </c>
      <c r="G244" s="14">
        <f>25.3841 * CHOOSE(CONTROL!$C$15, $E$9, 100%, $G$9) + CHOOSE(CONTROL!$C$38, 0.0354, 0)</f>
        <v>25.419499999999999</v>
      </c>
      <c r="H244" s="14">
        <f>25.3841 * CHOOSE(CONTROL!$C$15, $E$9, 100%, $G$9) + CHOOSE(CONTROL!$C$38, 0.0354, 0)</f>
        <v>25.419499999999999</v>
      </c>
      <c r="I244" s="14">
        <f>25.3856 * CHOOSE(CONTROL!$C$15, $E$9, 100%, $G$9) + CHOOSE(CONTROL!$C$38, 0.0354, 0)</f>
        <v>25.420999999999999</v>
      </c>
      <c r="J244" s="43">
        <f>188.0707</f>
        <v>188.07069999999999</v>
      </c>
    </row>
    <row r="245" spans="1:10" ht="15" x14ac:dyDescent="0.2">
      <c r="A245" s="13">
        <v>48366</v>
      </c>
      <c r="B245" s="14">
        <f>26.3727 * CHOOSE(CONTROL!$C$15, $E$9, 100%, $G$9) + CHOOSE(CONTROL!$C$38, 0.0264, 0)</f>
        <v>26.399099999999997</v>
      </c>
      <c r="C245" s="14">
        <f>24.8213 * CHOOSE(CONTROL!$C$15, $E$9, 100%, $G$9) + CHOOSE(CONTROL!$C$38, 0.0354, 0)</f>
        <v>24.8567</v>
      </c>
      <c r="D245" s="14">
        <f>24.8135 * CHOOSE(CONTROL!$C$15, $E$9, 100%, $G$9) + CHOOSE(CONTROL!$C$38, 0.0354, 0)</f>
        <v>24.8489</v>
      </c>
      <c r="E245" s="45">
        <f>26.2165 * CHOOSE(CONTROL!$C$15, $E$9, 100%, $G$9) + CHOOSE(CONTROL!$C$38, 0.0354, 0)</f>
        <v>26.251899999999999</v>
      </c>
      <c r="F245" s="44">
        <f>26.2165 * CHOOSE(CONTROL!$C$15, $E$9, 100%, $G$9) + CHOOSE(CONTROL!$C$38, 0.0264, 0)</f>
        <v>26.242899999999999</v>
      </c>
      <c r="G245" s="14">
        <f>24.8197 * CHOOSE(CONTROL!$C$15, $E$9, 100%, $G$9) + CHOOSE(CONTROL!$C$38, 0.0354, 0)</f>
        <v>24.8551</v>
      </c>
      <c r="H245" s="14">
        <f>24.8197 * CHOOSE(CONTROL!$C$15, $E$9, 100%, $G$9) + CHOOSE(CONTROL!$C$38, 0.0354, 0)</f>
        <v>24.8551</v>
      </c>
      <c r="I245" s="14">
        <f>24.8213 * CHOOSE(CONTROL!$C$15, $E$9, 100%, $G$9) + CHOOSE(CONTROL!$C$38, 0.0354, 0)</f>
        <v>24.8567</v>
      </c>
      <c r="J245" s="43">
        <f>190.7806</f>
        <v>190.78059999999999</v>
      </c>
    </row>
    <row r="246" spans="1:10" ht="15" x14ac:dyDescent="0.2">
      <c r="A246" s="13">
        <v>48396</v>
      </c>
      <c r="B246" s="14">
        <f>26.0507 * CHOOSE(CONTROL!$C$15, $E$9, 100%, $G$9) + CHOOSE(CONTROL!$C$38, 0.0264, 0)</f>
        <v>26.077099999999998</v>
      </c>
      <c r="C246" s="14">
        <f>24.4993 * CHOOSE(CONTROL!$C$15, $E$9, 100%, $G$9) + CHOOSE(CONTROL!$C$38, 0.0354, 0)</f>
        <v>24.534700000000001</v>
      </c>
      <c r="D246" s="14">
        <f>24.4914 * CHOOSE(CONTROL!$C$15, $E$9, 100%, $G$9) + CHOOSE(CONTROL!$C$38, 0.0354, 0)</f>
        <v>24.526799999999998</v>
      </c>
      <c r="E246" s="45">
        <f>25.8944 * CHOOSE(CONTROL!$C$15, $E$9, 100%, $G$9) + CHOOSE(CONTROL!$C$38, 0.0354, 0)</f>
        <v>25.9298</v>
      </c>
      <c r="F246" s="44">
        <f>25.8944 * CHOOSE(CONTROL!$C$15, $E$9, 100%, $G$9) + CHOOSE(CONTROL!$C$38, 0.0264, 0)</f>
        <v>25.9208</v>
      </c>
      <c r="G246" s="14">
        <f>24.4977 * CHOOSE(CONTROL!$C$15, $E$9, 100%, $G$9) + CHOOSE(CONTROL!$C$38, 0.0354, 0)</f>
        <v>24.533099999999997</v>
      </c>
      <c r="H246" s="14">
        <f>24.4977 * CHOOSE(CONTROL!$C$15, $E$9, 100%, $G$9) + CHOOSE(CONTROL!$C$38, 0.0354, 0)</f>
        <v>24.533099999999997</v>
      </c>
      <c r="I246" s="14">
        <f>24.4993 * CHOOSE(CONTROL!$C$15, $E$9, 100%, $G$9) + CHOOSE(CONTROL!$C$38, 0.0354, 0)</f>
        <v>24.534700000000001</v>
      </c>
      <c r="J246" s="43">
        <f>189.8884</f>
        <v>189.88839999999999</v>
      </c>
    </row>
    <row r="247" spans="1:10" ht="15" x14ac:dyDescent="0.2">
      <c r="A247" s="13">
        <v>48427</v>
      </c>
      <c r="B247" s="14">
        <f>26.2096 * CHOOSE(CONTROL!$C$15, $E$9, 100%, $G$9) + CHOOSE(CONTROL!$C$38, 0.0264, 0)</f>
        <v>26.235999999999997</v>
      </c>
      <c r="C247" s="14">
        <f>24.6582 * CHOOSE(CONTROL!$C$15, $E$9, 100%, $G$9) + CHOOSE(CONTROL!$C$38, 0.0354, 0)</f>
        <v>24.6936</v>
      </c>
      <c r="D247" s="14">
        <f>24.6504 * CHOOSE(CONTROL!$C$15, $E$9, 100%, $G$9) + CHOOSE(CONTROL!$C$38, 0.0354, 0)</f>
        <v>24.6858</v>
      </c>
      <c r="E247" s="45">
        <f>26.0534 * CHOOSE(CONTROL!$C$15, $E$9, 100%, $G$9) + CHOOSE(CONTROL!$C$38, 0.0354, 0)</f>
        <v>26.088799999999999</v>
      </c>
      <c r="F247" s="44">
        <f>26.0534 * CHOOSE(CONTROL!$C$15, $E$9, 100%, $G$9) + CHOOSE(CONTROL!$C$38, 0.0264, 0)</f>
        <v>26.079799999999999</v>
      </c>
      <c r="G247" s="14">
        <f>24.6566 * CHOOSE(CONTROL!$C$15, $E$9, 100%, $G$9) + CHOOSE(CONTROL!$C$38, 0.0354, 0)</f>
        <v>24.692</v>
      </c>
      <c r="H247" s="14">
        <f>24.6566 * CHOOSE(CONTROL!$C$15, $E$9, 100%, $G$9) + CHOOSE(CONTROL!$C$38, 0.0354, 0)</f>
        <v>24.692</v>
      </c>
      <c r="I247" s="14">
        <f>24.6582 * CHOOSE(CONTROL!$C$15, $E$9, 100%, $G$9) + CHOOSE(CONTROL!$C$38, 0.0354, 0)</f>
        <v>24.6936</v>
      </c>
      <c r="J247" s="43">
        <f>185.4678</f>
        <v>185.46780000000001</v>
      </c>
    </row>
    <row r="248" spans="1:10" ht="15" x14ac:dyDescent="0.2">
      <c r="A248" s="13">
        <v>48458</v>
      </c>
      <c r="B248" s="14">
        <f>26.6413 * CHOOSE(CONTROL!$C$15, $E$9, 100%, $G$9) + CHOOSE(CONTROL!$C$38, 0.0264, 0)</f>
        <v>26.6677</v>
      </c>
      <c r="C248" s="14">
        <f>25.0899 * CHOOSE(CONTROL!$C$15, $E$9, 100%, $G$9) + CHOOSE(CONTROL!$C$38, 0.0354, 0)</f>
        <v>25.125299999999999</v>
      </c>
      <c r="D248" s="14">
        <f>25.0821 * CHOOSE(CONTROL!$C$15, $E$9, 100%, $G$9) + CHOOSE(CONTROL!$C$38, 0.0354, 0)</f>
        <v>25.1175</v>
      </c>
      <c r="E248" s="45">
        <f>26.4851 * CHOOSE(CONTROL!$C$15, $E$9, 100%, $G$9) + CHOOSE(CONTROL!$C$38, 0.0354, 0)</f>
        <v>26.520499999999998</v>
      </c>
      <c r="F248" s="44">
        <f>26.4851 * CHOOSE(CONTROL!$C$15, $E$9, 100%, $G$9) + CHOOSE(CONTROL!$C$38, 0.0264, 0)</f>
        <v>26.511499999999998</v>
      </c>
      <c r="G248" s="14">
        <f>25.0883 * CHOOSE(CONTROL!$C$15, $E$9, 100%, $G$9) + CHOOSE(CONTROL!$C$38, 0.0354, 0)</f>
        <v>25.123699999999999</v>
      </c>
      <c r="H248" s="14">
        <f>25.0883 * CHOOSE(CONTROL!$C$15, $E$9, 100%, $G$9) + CHOOSE(CONTROL!$C$38, 0.0354, 0)</f>
        <v>25.123699999999999</v>
      </c>
      <c r="I248" s="14">
        <f>25.0899 * CHOOSE(CONTROL!$C$15, $E$9, 100%, $G$9) + CHOOSE(CONTROL!$C$38, 0.0354, 0)</f>
        <v>25.125299999999999</v>
      </c>
      <c r="J248" s="43">
        <f>179.3032</f>
        <v>179.3032</v>
      </c>
    </row>
    <row r="249" spans="1:10" ht="15" x14ac:dyDescent="0.2">
      <c r="A249" s="13">
        <v>48488</v>
      </c>
      <c r="B249" s="14">
        <f>27.0029 * CHOOSE(CONTROL!$C$15, $E$9, 100%, $G$9) + CHOOSE(CONTROL!$C$38, 0.0251, 0)</f>
        <v>27.027999999999999</v>
      </c>
      <c r="C249" s="14">
        <f>25.4515 * CHOOSE(CONTROL!$C$15, $E$9, 100%, $G$9) + CHOOSE(CONTROL!$C$38, 0.0342, 0)</f>
        <v>25.485699999999998</v>
      </c>
      <c r="D249" s="14">
        <f>25.4437 * CHOOSE(CONTROL!$C$15, $E$9, 100%, $G$9) + CHOOSE(CONTROL!$C$38, 0.0342, 0)</f>
        <v>25.477899999999998</v>
      </c>
      <c r="E249" s="45">
        <f>26.8466 * CHOOSE(CONTROL!$C$15, $E$9, 100%, $G$9) + CHOOSE(CONTROL!$C$38, 0.0342, 0)</f>
        <v>26.880799999999997</v>
      </c>
      <c r="F249" s="44">
        <f>26.8466 * CHOOSE(CONTROL!$C$15, $E$9, 100%, $G$9) + CHOOSE(CONTROL!$C$38, 0.0251, 0)</f>
        <v>26.871699999999997</v>
      </c>
      <c r="G249" s="14">
        <f>25.4499 * CHOOSE(CONTROL!$C$15, $E$9, 100%, $G$9) + CHOOSE(CONTROL!$C$38, 0.0342, 0)</f>
        <v>25.484099999999998</v>
      </c>
      <c r="H249" s="14">
        <f>25.4499 * CHOOSE(CONTROL!$C$15, $E$9, 100%, $G$9) + CHOOSE(CONTROL!$C$38, 0.0342, 0)</f>
        <v>25.484099999999998</v>
      </c>
      <c r="I249" s="14">
        <f>25.4515 * CHOOSE(CONTROL!$C$15, $E$9, 100%, $G$9) + CHOOSE(CONTROL!$C$38, 0.0342, 0)</f>
        <v>25.485699999999998</v>
      </c>
      <c r="J249" s="43">
        <f>173.1027</f>
        <v>173.1027</v>
      </c>
    </row>
    <row r="250" spans="1:10" ht="15" x14ac:dyDescent="0.2">
      <c r="A250" s="13">
        <v>48519</v>
      </c>
      <c r="B250" s="14">
        <f>27.3046 * CHOOSE(CONTROL!$C$15, $E$9, 100%, $G$9) + CHOOSE(CONTROL!$C$38, 0.0251, 0)</f>
        <v>27.329699999999999</v>
      </c>
      <c r="C250" s="14">
        <f>25.7532 * CHOOSE(CONTROL!$C$15, $E$9, 100%, $G$9) + CHOOSE(CONTROL!$C$38, 0.0342, 0)</f>
        <v>25.787399999999998</v>
      </c>
      <c r="D250" s="14">
        <f>25.7454 * CHOOSE(CONTROL!$C$15, $E$9, 100%, $G$9) + CHOOSE(CONTROL!$C$38, 0.0342, 0)</f>
        <v>25.779599999999999</v>
      </c>
      <c r="E250" s="45">
        <f>27.1483 * CHOOSE(CONTROL!$C$15, $E$9, 100%, $G$9) + CHOOSE(CONTROL!$C$38, 0.0342, 0)</f>
        <v>27.182499999999997</v>
      </c>
      <c r="F250" s="44">
        <f>27.1483 * CHOOSE(CONTROL!$C$15, $E$9, 100%, $G$9) + CHOOSE(CONTROL!$C$38, 0.0251, 0)</f>
        <v>27.173399999999997</v>
      </c>
      <c r="G250" s="14">
        <f>25.7516 * CHOOSE(CONTROL!$C$15, $E$9, 100%, $G$9) + CHOOSE(CONTROL!$C$38, 0.0342, 0)</f>
        <v>25.785799999999998</v>
      </c>
      <c r="H250" s="14">
        <f>25.7516 * CHOOSE(CONTROL!$C$15, $E$9, 100%, $G$9) + CHOOSE(CONTROL!$C$38, 0.0342, 0)</f>
        <v>25.785799999999998</v>
      </c>
      <c r="I250" s="14">
        <f>25.7532 * CHOOSE(CONTROL!$C$15, $E$9, 100%, $G$9) + CHOOSE(CONTROL!$C$38, 0.0342, 0)</f>
        <v>25.787399999999998</v>
      </c>
      <c r="J250" s="43">
        <f>171.8693</f>
        <v>171.86930000000001</v>
      </c>
    </row>
    <row r="251" spans="1:10" ht="15" x14ac:dyDescent="0.2">
      <c r="A251" s="13">
        <v>48549</v>
      </c>
      <c r="B251" s="14">
        <f>28.2343 * CHOOSE(CONTROL!$C$15, $E$9, 100%, $G$9) + CHOOSE(CONTROL!$C$38, 0.0251, 0)</f>
        <v>28.259399999999999</v>
      </c>
      <c r="C251" s="14">
        <f>26.6828 * CHOOSE(CONTROL!$C$15, $E$9, 100%, $G$9) + CHOOSE(CONTROL!$C$38, 0.0342, 0)</f>
        <v>26.716999999999999</v>
      </c>
      <c r="D251" s="14">
        <f>26.675 * CHOOSE(CONTROL!$C$15, $E$9, 100%, $G$9) + CHOOSE(CONTROL!$C$38, 0.0342, 0)</f>
        <v>26.709199999999999</v>
      </c>
      <c r="E251" s="45">
        <f>28.078 * CHOOSE(CONTROL!$C$15, $E$9, 100%, $G$9) + CHOOSE(CONTROL!$C$38, 0.0342, 0)</f>
        <v>28.112199999999998</v>
      </c>
      <c r="F251" s="44">
        <f>28.078 * CHOOSE(CONTROL!$C$15, $E$9, 100%, $G$9) + CHOOSE(CONTROL!$C$38, 0.0251, 0)</f>
        <v>28.103099999999998</v>
      </c>
      <c r="G251" s="14">
        <f>26.6813 * CHOOSE(CONTROL!$C$15, $E$9, 100%, $G$9) + CHOOSE(CONTROL!$C$38, 0.0342, 0)</f>
        <v>26.715499999999999</v>
      </c>
      <c r="H251" s="14">
        <f>26.6813 * CHOOSE(CONTROL!$C$15, $E$9, 100%, $G$9) + CHOOSE(CONTROL!$C$38, 0.0342, 0)</f>
        <v>26.715499999999999</v>
      </c>
      <c r="I251" s="14">
        <f>26.6828 * CHOOSE(CONTROL!$C$15, $E$9, 100%, $G$9) + CHOOSE(CONTROL!$C$38, 0.0342, 0)</f>
        <v>26.716999999999999</v>
      </c>
      <c r="J251" s="43">
        <f>166.7691</f>
        <v>166.76910000000001</v>
      </c>
    </row>
    <row r="252" spans="1:10" ht="15" x14ac:dyDescent="0.2">
      <c r="A252" s="13">
        <v>48580</v>
      </c>
      <c r="B252" s="14">
        <f>29.4177 * CHOOSE(CONTROL!$C$15, $E$9, 100%, $G$9) + CHOOSE(CONTROL!$C$38, 0.0251, 0)</f>
        <v>29.442799999999998</v>
      </c>
      <c r="C252" s="14">
        <f>27.8428 * CHOOSE(CONTROL!$C$15, $E$9, 100%, $G$9) + CHOOSE(CONTROL!$C$38, 0.0342, 0)</f>
        <v>27.876999999999999</v>
      </c>
      <c r="D252" s="14">
        <f>27.835 * CHOOSE(CONTROL!$C$15, $E$9, 100%, $G$9) + CHOOSE(CONTROL!$C$38, 0.0342, 0)</f>
        <v>27.869199999999999</v>
      </c>
      <c r="E252" s="45">
        <f>29.2614 * CHOOSE(CONTROL!$C$15, $E$9, 100%, $G$9) + CHOOSE(CONTROL!$C$38, 0.0342, 0)</f>
        <v>29.295599999999997</v>
      </c>
      <c r="F252" s="44">
        <f>29.2614 * CHOOSE(CONTROL!$C$15, $E$9, 100%, $G$9) + CHOOSE(CONTROL!$C$38, 0.0251, 0)</f>
        <v>29.286499999999997</v>
      </c>
      <c r="G252" s="14">
        <f>27.8413 * CHOOSE(CONTROL!$C$15, $E$9, 100%, $G$9) + CHOOSE(CONTROL!$C$38, 0.0342, 0)</f>
        <v>27.875499999999999</v>
      </c>
      <c r="H252" s="14">
        <f>27.8413 * CHOOSE(CONTROL!$C$15, $E$9, 100%, $G$9) + CHOOSE(CONTROL!$C$38, 0.0342, 0)</f>
        <v>27.875499999999999</v>
      </c>
      <c r="I252" s="14">
        <f>27.8428 * CHOOSE(CONTROL!$C$15, $E$9, 100%, $G$9) + CHOOSE(CONTROL!$C$38, 0.0342, 0)</f>
        <v>27.876999999999999</v>
      </c>
      <c r="J252" s="43">
        <f>166.6487</f>
        <v>166.64869999999999</v>
      </c>
    </row>
    <row r="253" spans="1:10" ht="15" x14ac:dyDescent="0.2">
      <c r="A253" s="13">
        <v>48611</v>
      </c>
      <c r="B253" s="14">
        <f>29.762 * CHOOSE(CONTROL!$C$15, $E$9, 100%, $G$9) + CHOOSE(CONTROL!$C$38, 0.0251, 0)</f>
        <v>29.787099999999999</v>
      </c>
      <c r="C253" s="14">
        <f>28.1871 * CHOOSE(CONTROL!$C$15, $E$9, 100%, $G$9) + CHOOSE(CONTROL!$C$38, 0.0342, 0)</f>
        <v>28.221299999999999</v>
      </c>
      <c r="D253" s="14">
        <f>28.1793 * CHOOSE(CONTROL!$C$15, $E$9, 100%, $G$9) + CHOOSE(CONTROL!$C$38, 0.0342, 0)</f>
        <v>28.2135</v>
      </c>
      <c r="E253" s="45">
        <f>29.6058 * CHOOSE(CONTROL!$C$15, $E$9, 100%, $G$9) + CHOOSE(CONTROL!$C$38, 0.0342, 0)</f>
        <v>29.639999999999997</v>
      </c>
      <c r="F253" s="44">
        <f>29.6058 * CHOOSE(CONTROL!$C$15, $E$9, 100%, $G$9) + CHOOSE(CONTROL!$C$38, 0.0251, 0)</f>
        <v>29.630899999999997</v>
      </c>
      <c r="G253" s="14">
        <f>28.1856 * CHOOSE(CONTROL!$C$15, $E$9, 100%, $G$9) + CHOOSE(CONTROL!$C$38, 0.0342, 0)</f>
        <v>28.219799999999999</v>
      </c>
      <c r="H253" s="14">
        <f>28.1856 * CHOOSE(CONTROL!$C$15, $E$9, 100%, $G$9) + CHOOSE(CONTROL!$C$38, 0.0342, 0)</f>
        <v>28.219799999999999</v>
      </c>
      <c r="I253" s="14">
        <f>28.1871 * CHOOSE(CONTROL!$C$15, $E$9, 100%, $G$9) + CHOOSE(CONTROL!$C$38, 0.0342, 0)</f>
        <v>28.221299999999999</v>
      </c>
      <c r="J253" s="43">
        <f>166.1854</f>
        <v>166.18539999999999</v>
      </c>
    </row>
    <row r="254" spans="1:10" ht="15" x14ac:dyDescent="0.2">
      <c r="A254" s="13">
        <v>48639</v>
      </c>
      <c r="B254" s="14">
        <f>28.965 * CHOOSE(CONTROL!$C$15, $E$9, 100%, $G$9) + CHOOSE(CONTROL!$C$38, 0.0251, 0)</f>
        <v>28.990099999999998</v>
      </c>
      <c r="C254" s="14">
        <f>27.3901 * CHOOSE(CONTROL!$C$15, $E$9, 100%, $G$9) + CHOOSE(CONTROL!$C$38, 0.0342, 0)</f>
        <v>27.424299999999999</v>
      </c>
      <c r="D254" s="14">
        <f>27.3823 * CHOOSE(CONTROL!$C$15, $E$9, 100%, $G$9) + CHOOSE(CONTROL!$C$38, 0.0342, 0)</f>
        <v>27.416499999999999</v>
      </c>
      <c r="E254" s="45">
        <f>28.8087 * CHOOSE(CONTROL!$C$15, $E$9, 100%, $G$9) + CHOOSE(CONTROL!$C$38, 0.0342, 0)</f>
        <v>28.8429</v>
      </c>
      <c r="F254" s="44">
        <f>28.8087 * CHOOSE(CONTROL!$C$15, $E$9, 100%, $G$9) + CHOOSE(CONTROL!$C$38, 0.0251, 0)</f>
        <v>28.8338</v>
      </c>
      <c r="G254" s="14">
        <f>27.3885 * CHOOSE(CONTROL!$C$15, $E$9, 100%, $G$9) + CHOOSE(CONTROL!$C$38, 0.0342, 0)</f>
        <v>27.422699999999999</v>
      </c>
      <c r="H254" s="14">
        <f>27.3885 * CHOOSE(CONTROL!$C$15, $E$9, 100%, $G$9) + CHOOSE(CONTROL!$C$38, 0.0342, 0)</f>
        <v>27.422699999999999</v>
      </c>
      <c r="I254" s="14">
        <f>27.3901 * CHOOSE(CONTROL!$C$15, $E$9, 100%, $G$9) + CHOOSE(CONTROL!$C$38, 0.0342, 0)</f>
        <v>27.424299999999999</v>
      </c>
      <c r="J254" s="43">
        <f>174.9444</f>
        <v>174.9444</v>
      </c>
    </row>
    <row r="255" spans="1:10" ht="15" x14ac:dyDescent="0.2">
      <c r="A255" s="13">
        <v>48670</v>
      </c>
      <c r="B255" s="14">
        <f>28.1927 * CHOOSE(CONTROL!$C$15, $E$9, 100%, $G$9) + CHOOSE(CONTROL!$C$38, 0.0251, 0)</f>
        <v>28.217799999999997</v>
      </c>
      <c r="C255" s="14">
        <f>26.6178 * CHOOSE(CONTROL!$C$15, $E$9, 100%, $G$9) + CHOOSE(CONTROL!$C$38, 0.0342, 0)</f>
        <v>26.651999999999997</v>
      </c>
      <c r="D255" s="14">
        <f>26.61 * CHOOSE(CONTROL!$C$15, $E$9, 100%, $G$9) + CHOOSE(CONTROL!$C$38, 0.0342, 0)</f>
        <v>26.644199999999998</v>
      </c>
      <c r="E255" s="45">
        <f>28.0364 * CHOOSE(CONTROL!$C$15, $E$9, 100%, $G$9) + CHOOSE(CONTROL!$C$38, 0.0342, 0)</f>
        <v>28.070599999999999</v>
      </c>
      <c r="F255" s="44">
        <f>28.0364 * CHOOSE(CONTROL!$C$15, $E$9, 100%, $G$9) + CHOOSE(CONTROL!$C$38, 0.0251, 0)</f>
        <v>28.061499999999999</v>
      </c>
      <c r="G255" s="14">
        <f>26.6162 * CHOOSE(CONTROL!$C$15, $E$9, 100%, $G$9) + CHOOSE(CONTROL!$C$38, 0.0342, 0)</f>
        <v>26.650399999999998</v>
      </c>
      <c r="H255" s="14">
        <f>26.6162 * CHOOSE(CONTROL!$C$15, $E$9, 100%, $G$9) + CHOOSE(CONTROL!$C$38, 0.0342, 0)</f>
        <v>26.650399999999998</v>
      </c>
      <c r="I255" s="14">
        <f>26.6178 * CHOOSE(CONTROL!$C$15, $E$9, 100%, $G$9) + CHOOSE(CONTROL!$C$38, 0.0342, 0)</f>
        <v>26.651999999999997</v>
      </c>
      <c r="J255" s="43">
        <f>186.3026</f>
        <v>186.30260000000001</v>
      </c>
    </row>
    <row r="256" spans="1:10" ht="15" x14ac:dyDescent="0.2">
      <c r="A256" s="13">
        <v>48700</v>
      </c>
      <c r="B256" s="14">
        <f>27.3877 * CHOOSE(CONTROL!$C$15, $E$9, 100%, $G$9) + CHOOSE(CONTROL!$C$38, 0.0264, 0)</f>
        <v>27.414099999999998</v>
      </c>
      <c r="C256" s="14">
        <f>25.8128 * CHOOSE(CONTROL!$C$15, $E$9, 100%, $G$9) + CHOOSE(CONTROL!$C$38, 0.0354, 0)</f>
        <v>25.848199999999999</v>
      </c>
      <c r="D256" s="14">
        <f>25.805 * CHOOSE(CONTROL!$C$15, $E$9, 100%, $G$9) + CHOOSE(CONTROL!$C$38, 0.0354, 0)</f>
        <v>25.840399999999999</v>
      </c>
      <c r="E256" s="45">
        <f>27.2314 * CHOOSE(CONTROL!$C$15, $E$9, 100%, $G$9) + CHOOSE(CONTROL!$C$38, 0.0354, 0)</f>
        <v>27.2668</v>
      </c>
      <c r="F256" s="44">
        <f>27.2314 * CHOOSE(CONTROL!$C$15, $E$9, 100%, $G$9) + CHOOSE(CONTROL!$C$38, 0.0264, 0)</f>
        <v>27.2578</v>
      </c>
      <c r="G256" s="14">
        <f>25.8113 * CHOOSE(CONTROL!$C$15, $E$9, 100%, $G$9) + CHOOSE(CONTROL!$C$38, 0.0354, 0)</f>
        <v>25.846699999999998</v>
      </c>
      <c r="H256" s="14">
        <f>25.8113 * CHOOSE(CONTROL!$C$15, $E$9, 100%, $G$9) + CHOOSE(CONTROL!$C$38, 0.0354, 0)</f>
        <v>25.846699999999998</v>
      </c>
      <c r="I256" s="14">
        <f>25.8128 * CHOOSE(CONTROL!$C$15, $E$9, 100%, $G$9) + CHOOSE(CONTROL!$C$38, 0.0354, 0)</f>
        <v>25.848199999999999</v>
      </c>
      <c r="J256" s="43">
        <f>192.5546</f>
        <v>192.55459999999999</v>
      </c>
    </row>
    <row r="257" spans="1:10" ht="15" x14ac:dyDescent="0.2">
      <c r="A257" s="13">
        <v>48731</v>
      </c>
      <c r="B257" s="14">
        <f>26.8234 * CHOOSE(CONTROL!$C$15, $E$9, 100%, $G$9) + CHOOSE(CONTROL!$C$38, 0.0264, 0)</f>
        <v>26.849799999999998</v>
      </c>
      <c r="C257" s="14">
        <f>25.2485 * CHOOSE(CONTROL!$C$15, $E$9, 100%, $G$9) + CHOOSE(CONTROL!$C$38, 0.0354, 0)</f>
        <v>25.283899999999999</v>
      </c>
      <c r="D257" s="14">
        <f>25.2407 * CHOOSE(CONTROL!$C$15, $E$9, 100%, $G$9) + CHOOSE(CONTROL!$C$38, 0.0354, 0)</f>
        <v>25.2761</v>
      </c>
      <c r="E257" s="45">
        <f>26.6671 * CHOOSE(CONTROL!$C$15, $E$9, 100%, $G$9) + CHOOSE(CONTROL!$C$38, 0.0354, 0)</f>
        <v>26.702500000000001</v>
      </c>
      <c r="F257" s="44">
        <f>26.6671 * CHOOSE(CONTROL!$C$15, $E$9, 100%, $G$9) + CHOOSE(CONTROL!$C$38, 0.0264, 0)</f>
        <v>26.6935</v>
      </c>
      <c r="G257" s="14">
        <f>25.2469 * CHOOSE(CONTROL!$C$15, $E$9, 100%, $G$9) + CHOOSE(CONTROL!$C$38, 0.0354, 0)</f>
        <v>25.282299999999999</v>
      </c>
      <c r="H257" s="14">
        <f>25.2469 * CHOOSE(CONTROL!$C$15, $E$9, 100%, $G$9) + CHOOSE(CONTROL!$C$38, 0.0354, 0)</f>
        <v>25.282299999999999</v>
      </c>
      <c r="I257" s="14">
        <f>25.2485 * CHOOSE(CONTROL!$C$15, $E$9, 100%, $G$9) + CHOOSE(CONTROL!$C$38, 0.0354, 0)</f>
        <v>25.283899999999999</v>
      </c>
      <c r="J257" s="43">
        <f>195.3291</f>
        <v>195.32910000000001</v>
      </c>
    </row>
    <row r="258" spans="1:10" ht="15" x14ac:dyDescent="0.2">
      <c r="A258" s="13">
        <v>48761</v>
      </c>
      <c r="B258" s="14">
        <f>26.5013 * CHOOSE(CONTROL!$C$15, $E$9, 100%, $G$9) + CHOOSE(CONTROL!$C$38, 0.0264, 0)</f>
        <v>26.527699999999999</v>
      </c>
      <c r="C258" s="14">
        <f>24.9264 * CHOOSE(CONTROL!$C$15, $E$9, 100%, $G$9) + CHOOSE(CONTROL!$C$38, 0.0354, 0)</f>
        <v>24.9618</v>
      </c>
      <c r="D258" s="14">
        <f>24.9186 * CHOOSE(CONTROL!$C$15, $E$9, 100%, $G$9) + CHOOSE(CONTROL!$C$38, 0.0354, 0)</f>
        <v>24.954000000000001</v>
      </c>
      <c r="E258" s="45">
        <f>26.3451 * CHOOSE(CONTROL!$C$15, $E$9, 100%, $G$9) + CHOOSE(CONTROL!$C$38, 0.0354, 0)</f>
        <v>26.380499999999998</v>
      </c>
      <c r="F258" s="44">
        <f>26.3451 * CHOOSE(CONTROL!$C$15, $E$9, 100%, $G$9) + CHOOSE(CONTROL!$C$38, 0.0264, 0)</f>
        <v>26.371499999999997</v>
      </c>
      <c r="G258" s="14">
        <f>24.9249 * CHOOSE(CONTROL!$C$15, $E$9, 100%, $G$9) + CHOOSE(CONTROL!$C$38, 0.0354, 0)</f>
        <v>24.9603</v>
      </c>
      <c r="H258" s="14">
        <f>24.9249 * CHOOSE(CONTROL!$C$15, $E$9, 100%, $G$9) + CHOOSE(CONTROL!$C$38, 0.0354, 0)</f>
        <v>24.9603</v>
      </c>
      <c r="I258" s="14">
        <f>24.9264 * CHOOSE(CONTROL!$C$15, $E$9, 100%, $G$9) + CHOOSE(CONTROL!$C$38, 0.0354, 0)</f>
        <v>24.9618</v>
      </c>
      <c r="J258" s="43">
        <f>194.4156</f>
        <v>194.41560000000001</v>
      </c>
    </row>
    <row r="259" spans="1:10" ht="15" x14ac:dyDescent="0.2">
      <c r="A259" s="13">
        <v>48792</v>
      </c>
      <c r="B259" s="14">
        <f>26.6602 * CHOOSE(CONTROL!$C$15, $E$9, 100%, $G$9) + CHOOSE(CONTROL!$C$38, 0.0264, 0)</f>
        <v>26.686599999999999</v>
      </c>
      <c r="C259" s="14">
        <f>25.0854 * CHOOSE(CONTROL!$C$15, $E$9, 100%, $G$9) + CHOOSE(CONTROL!$C$38, 0.0354, 0)</f>
        <v>25.120799999999999</v>
      </c>
      <c r="D259" s="14">
        <f>25.0776 * CHOOSE(CONTROL!$C$15, $E$9, 100%, $G$9) + CHOOSE(CONTROL!$C$38, 0.0354, 0)</f>
        <v>25.113</v>
      </c>
      <c r="E259" s="45">
        <f>26.504 * CHOOSE(CONTROL!$C$15, $E$9, 100%, $G$9) + CHOOSE(CONTROL!$C$38, 0.0354, 0)</f>
        <v>26.539400000000001</v>
      </c>
      <c r="F259" s="44">
        <f>26.504 * CHOOSE(CONTROL!$C$15, $E$9, 100%, $G$9) + CHOOSE(CONTROL!$C$38, 0.0264, 0)</f>
        <v>26.5304</v>
      </c>
      <c r="G259" s="14">
        <f>25.0838 * CHOOSE(CONTROL!$C$15, $E$9, 100%, $G$9) + CHOOSE(CONTROL!$C$38, 0.0354, 0)</f>
        <v>25.119199999999999</v>
      </c>
      <c r="H259" s="14">
        <f>25.0838 * CHOOSE(CONTROL!$C$15, $E$9, 100%, $G$9) + CHOOSE(CONTROL!$C$38, 0.0354, 0)</f>
        <v>25.119199999999999</v>
      </c>
      <c r="I259" s="14">
        <f>25.0854 * CHOOSE(CONTROL!$C$15, $E$9, 100%, $G$9) + CHOOSE(CONTROL!$C$38, 0.0354, 0)</f>
        <v>25.120799999999999</v>
      </c>
      <c r="J259" s="43">
        <f>189.8897</f>
        <v>189.8897</v>
      </c>
    </row>
    <row r="260" spans="1:10" ht="15" x14ac:dyDescent="0.2">
      <c r="A260" s="13">
        <v>48823</v>
      </c>
      <c r="B260" s="14">
        <f>27.092 * CHOOSE(CONTROL!$C$15, $E$9, 100%, $G$9) + CHOOSE(CONTROL!$C$38, 0.0264, 0)</f>
        <v>27.118399999999998</v>
      </c>
      <c r="C260" s="14">
        <f>25.5171 * CHOOSE(CONTROL!$C$15, $E$9, 100%, $G$9) + CHOOSE(CONTROL!$C$38, 0.0354, 0)</f>
        <v>25.552499999999998</v>
      </c>
      <c r="D260" s="14">
        <f>25.5093 * CHOOSE(CONTROL!$C$15, $E$9, 100%, $G$9) + CHOOSE(CONTROL!$C$38, 0.0354, 0)</f>
        <v>25.544699999999999</v>
      </c>
      <c r="E260" s="45">
        <f>26.9357 * CHOOSE(CONTROL!$C$15, $E$9, 100%, $G$9) + CHOOSE(CONTROL!$C$38, 0.0354, 0)</f>
        <v>26.9711</v>
      </c>
      <c r="F260" s="44">
        <f>26.9357 * CHOOSE(CONTROL!$C$15, $E$9, 100%, $G$9) + CHOOSE(CONTROL!$C$38, 0.0264, 0)</f>
        <v>26.9621</v>
      </c>
      <c r="G260" s="14">
        <f>25.5155 * CHOOSE(CONTROL!$C$15, $E$9, 100%, $G$9) + CHOOSE(CONTROL!$C$38, 0.0354, 0)</f>
        <v>25.550899999999999</v>
      </c>
      <c r="H260" s="14">
        <f>25.5155 * CHOOSE(CONTROL!$C$15, $E$9, 100%, $G$9) + CHOOSE(CONTROL!$C$38, 0.0354, 0)</f>
        <v>25.550899999999999</v>
      </c>
      <c r="I260" s="14">
        <f>25.5171 * CHOOSE(CONTROL!$C$15, $E$9, 100%, $G$9) + CHOOSE(CONTROL!$C$38, 0.0354, 0)</f>
        <v>25.552499999999998</v>
      </c>
      <c r="J260" s="43">
        <f>183.5781</f>
        <v>183.57810000000001</v>
      </c>
    </row>
    <row r="261" spans="1:10" ht="15" x14ac:dyDescent="0.2">
      <c r="A261" s="13">
        <v>48853</v>
      </c>
      <c r="B261" s="14">
        <f>27.4535 * CHOOSE(CONTROL!$C$15, $E$9, 100%, $G$9) + CHOOSE(CONTROL!$C$38, 0.0251, 0)</f>
        <v>27.478599999999997</v>
      </c>
      <c r="C261" s="14">
        <f>25.8787 * CHOOSE(CONTROL!$C$15, $E$9, 100%, $G$9) + CHOOSE(CONTROL!$C$38, 0.0342, 0)</f>
        <v>25.912899999999997</v>
      </c>
      <c r="D261" s="14">
        <f>25.8708 * CHOOSE(CONTROL!$C$15, $E$9, 100%, $G$9) + CHOOSE(CONTROL!$C$38, 0.0342, 0)</f>
        <v>25.904999999999998</v>
      </c>
      <c r="E261" s="45">
        <f>27.2973 * CHOOSE(CONTROL!$C$15, $E$9, 100%, $G$9) + CHOOSE(CONTROL!$C$38, 0.0342, 0)</f>
        <v>27.331499999999998</v>
      </c>
      <c r="F261" s="44">
        <f>27.2973 * CHOOSE(CONTROL!$C$15, $E$9, 100%, $G$9) + CHOOSE(CONTROL!$C$38, 0.0251, 0)</f>
        <v>27.322399999999998</v>
      </c>
      <c r="G261" s="14">
        <f>25.8771 * CHOOSE(CONTROL!$C$15, $E$9, 100%, $G$9) + CHOOSE(CONTROL!$C$38, 0.0342, 0)</f>
        <v>25.911299999999997</v>
      </c>
      <c r="H261" s="14">
        <f>25.8771 * CHOOSE(CONTROL!$C$15, $E$9, 100%, $G$9) + CHOOSE(CONTROL!$C$38, 0.0342, 0)</f>
        <v>25.911299999999997</v>
      </c>
      <c r="I261" s="14">
        <f>25.8787 * CHOOSE(CONTROL!$C$15, $E$9, 100%, $G$9) + CHOOSE(CONTROL!$C$38, 0.0342, 0)</f>
        <v>25.912899999999997</v>
      </c>
      <c r="J261" s="43">
        <f>177.2297</f>
        <v>177.22970000000001</v>
      </c>
    </row>
    <row r="262" spans="1:10" ht="15" x14ac:dyDescent="0.2">
      <c r="A262" s="13">
        <v>48884</v>
      </c>
      <c r="B262" s="14">
        <f>27.7552 * CHOOSE(CONTROL!$C$15, $E$9, 100%, $G$9) + CHOOSE(CONTROL!$C$38, 0.0251, 0)</f>
        <v>27.780299999999997</v>
      </c>
      <c r="C262" s="14">
        <f>26.1804 * CHOOSE(CONTROL!$C$15, $E$9, 100%, $G$9) + CHOOSE(CONTROL!$C$38, 0.0342, 0)</f>
        <v>26.214599999999997</v>
      </c>
      <c r="D262" s="14">
        <f>26.1725 * CHOOSE(CONTROL!$C$15, $E$9, 100%, $G$9) + CHOOSE(CONTROL!$C$38, 0.0342, 0)</f>
        <v>26.206699999999998</v>
      </c>
      <c r="E262" s="45">
        <f>27.599 * CHOOSE(CONTROL!$C$15, $E$9, 100%, $G$9) + CHOOSE(CONTROL!$C$38, 0.0342, 0)</f>
        <v>27.633199999999999</v>
      </c>
      <c r="F262" s="44">
        <f>27.599 * CHOOSE(CONTROL!$C$15, $E$9, 100%, $G$9) + CHOOSE(CONTROL!$C$38, 0.0251, 0)</f>
        <v>27.624099999999999</v>
      </c>
      <c r="G262" s="14">
        <f>26.1788 * CHOOSE(CONTROL!$C$15, $E$9, 100%, $G$9) + CHOOSE(CONTROL!$C$38, 0.0342, 0)</f>
        <v>26.212999999999997</v>
      </c>
      <c r="H262" s="14">
        <f>26.1788 * CHOOSE(CONTROL!$C$15, $E$9, 100%, $G$9) + CHOOSE(CONTROL!$C$38, 0.0342, 0)</f>
        <v>26.212999999999997</v>
      </c>
      <c r="I262" s="14">
        <f>26.1804 * CHOOSE(CONTROL!$C$15, $E$9, 100%, $G$9) + CHOOSE(CONTROL!$C$38, 0.0342, 0)</f>
        <v>26.214599999999997</v>
      </c>
      <c r="J262" s="43">
        <f>175.9669</f>
        <v>175.96690000000001</v>
      </c>
    </row>
    <row r="263" spans="1:10" ht="15" x14ac:dyDescent="0.2">
      <c r="A263" s="13">
        <v>48914</v>
      </c>
      <c r="B263" s="14">
        <f>28.6849 * CHOOSE(CONTROL!$C$15, $E$9, 100%, $G$9) + CHOOSE(CONTROL!$C$38, 0.0251, 0)</f>
        <v>28.709999999999997</v>
      </c>
      <c r="C263" s="14">
        <f>27.11 * CHOOSE(CONTROL!$C$15, $E$9, 100%, $G$9) + CHOOSE(CONTROL!$C$38, 0.0342, 0)</f>
        <v>27.144199999999998</v>
      </c>
      <c r="D263" s="14">
        <f>27.1022 * CHOOSE(CONTROL!$C$15, $E$9, 100%, $G$9) + CHOOSE(CONTROL!$C$38, 0.0342, 0)</f>
        <v>27.136399999999998</v>
      </c>
      <c r="E263" s="45">
        <f>28.5286 * CHOOSE(CONTROL!$C$15, $E$9, 100%, $G$9) + CHOOSE(CONTROL!$C$38, 0.0342, 0)</f>
        <v>28.562799999999999</v>
      </c>
      <c r="F263" s="44">
        <f>28.5286 * CHOOSE(CONTROL!$C$15, $E$9, 100%, $G$9) + CHOOSE(CONTROL!$C$38, 0.0251, 0)</f>
        <v>28.553699999999999</v>
      </c>
      <c r="G263" s="14">
        <f>27.1085 * CHOOSE(CONTROL!$C$15, $E$9, 100%, $G$9) + CHOOSE(CONTROL!$C$38, 0.0342, 0)</f>
        <v>27.142699999999998</v>
      </c>
      <c r="H263" s="14">
        <f>27.1085 * CHOOSE(CONTROL!$C$15, $E$9, 100%, $G$9) + CHOOSE(CONTROL!$C$38, 0.0342, 0)</f>
        <v>27.142699999999998</v>
      </c>
      <c r="I263" s="14">
        <f>27.11 * CHOOSE(CONTROL!$C$15, $E$9, 100%, $G$9) + CHOOSE(CONTROL!$C$38, 0.0342, 0)</f>
        <v>27.144199999999998</v>
      </c>
      <c r="J263" s="43">
        <f>170.7451</f>
        <v>170.74510000000001</v>
      </c>
    </row>
    <row r="264" spans="1:10" ht="15" x14ac:dyDescent="0.2">
      <c r="A264" s="13">
        <v>48945</v>
      </c>
      <c r="B264" s="14">
        <f>29.8759 * CHOOSE(CONTROL!$C$15, $E$9, 100%, $G$9) + CHOOSE(CONTROL!$C$38, 0.0251, 0)</f>
        <v>29.901</v>
      </c>
      <c r="C264" s="14">
        <f>28.2772 * CHOOSE(CONTROL!$C$15, $E$9, 100%, $G$9) + CHOOSE(CONTROL!$C$38, 0.0342, 0)</f>
        <v>28.311399999999999</v>
      </c>
      <c r="D264" s="14">
        <f>28.2694 * CHOOSE(CONTROL!$C$15, $E$9, 100%, $G$9) + CHOOSE(CONTROL!$C$38, 0.0342, 0)</f>
        <v>28.303599999999999</v>
      </c>
      <c r="E264" s="45">
        <f>29.7196 * CHOOSE(CONTROL!$C$15, $E$9, 100%, $G$9) + CHOOSE(CONTROL!$C$38, 0.0342, 0)</f>
        <v>29.753799999999998</v>
      </c>
      <c r="F264" s="44">
        <f>29.7196 * CHOOSE(CONTROL!$C$15, $E$9, 100%, $G$9) + CHOOSE(CONTROL!$C$38, 0.0251, 0)</f>
        <v>29.744699999999998</v>
      </c>
      <c r="G264" s="14">
        <f>28.2756 * CHOOSE(CONTROL!$C$15, $E$9, 100%, $G$9) + CHOOSE(CONTROL!$C$38, 0.0342, 0)</f>
        <v>28.309799999999999</v>
      </c>
      <c r="H264" s="14">
        <f>28.2756 * CHOOSE(CONTROL!$C$15, $E$9, 100%, $G$9) + CHOOSE(CONTROL!$C$38, 0.0342, 0)</f>
        <v>28.309799999999999</v>
      </c>
      <c r="I264" s="14">
        <f>28.2772 * CHOOSE(CONTROL!$C$15, $E$9, 100%, $G$9) + CHOOSE(CONTROL!$C$38, 0.0342, 0)</f>
        <v>28.311399999999999</v>
      </c>
      <c r="J264" s="43">
        <f>170.6218</f>
        <v>170.62180000000001</v>
      </c>
    </row>
    <row r="265" spans="1:10" ht="15" x14ac:dyDescent="0.2">
      <c r="A265" s="13">
        <v>48976</v>
      </c>
      <c r="B265" s="14">
        <f>30.2202 * CHOOSE(CONTROL!$C$15, $E$9, 100%, $G$9) + CHOOSE(CONTROL!$C$38, 0.0251, 0)</f>
        <v>30.245299999999997</v>
      </c>
      <c r="C265" s="14">
        <f>28.6215 * CHOOSE(CONTROL!$C$15, $E$9, 100%, $G$9) + CHOOSE(CONTROL!$C$38, 0.0342, 0)</f>
        <v>28.6557</v>
      </c>
      <c r="D265" s="14">
        <f>28.6137 * CHOOSE(CONTROL!$C$15, $E$9, 100%, $G$9) + CHOOSE(CONTROL!$C$38, 0.0342, 0)</f>
        <v>28.6479</v>
      </c>
      <c r="E265" s="45">
        <f>30.0639 * CHOOSE(CONTROL!$C$15, $E$9, 100%, $G$9) + CHOOSE(CONTROL!$C$38, 0.0342, 0)</f>
        <v>30.098099999999999</v>
      </c>
      <c r="F265" s="44">
        <f>30.0639 * CHOOSE(CONTROL!$C$15, $E$9, 100%, $G$9) + CHOOSE(CONTROL!$C$38, 0.0251, 0)</f>
        <v>30.088999999999999</v>
      </c>
      <c r="G265" s="14">
        <f>28.6199 * CHOOSE(CONTROL!$C$15, $E$9, 100%, $G$9) + CHOOSE(CONTROL!$C$38, 0.0342, 0)</f>
        <v>28.6541</v>
      </c>
      <c r="H265" s="14">
        <f>28.6199 * CHOOSE(CONTROL!$C$15, $E$9, 100%, $G$9) + CHOOSE(CONTROL!$C$38, 0.0342, 0)</f>
        <v>28.6541</v>
      </c>
      <c r="I265" s="14">
        <f>28.6215 * CHOOSE(CONTROL!$C$15, $E$9, 100%, $G$9) + CHOOSE(CONTROL!$C$38, 0.0342, 0)</f>
        <v>28.6557</v>
      </c>
      <c r="J265" s="43">
        <f>170.1476</f>
        <v>170.14760000000001</v>
      </c>
    </row>
    <row r="266" spans="1:10" ht="15" x14ac:dyDescent="0.2">
      <c r="A266" s="13">
        <v>49004</v>
      </c>
      <c r="B266" s="14">
        <f>29.4232 * CHOOSE(CONTROL!$C$15, $E$9, 100%, $G$9) + CHOOSE(CONTROL!$C$38, 0.0251, 0)</f>
        <v>29.4483</v>
      </c>
      <c r="C266" s="14">
        <f>27.8245 * CHOOSE(CONTROL!$C$15, $E$9, 100%, $G$9) + CHOOSE(CONTROL!$C$38, 0.0342, 0)</f>
        <v>27.858699999999999</v>
      </c>
      <c r="D266" s="14">
        <f>27.8167 * CHOOSE(CONTROL!$C$15, $E$9, 100%, $G$9) + CHOOSE(CONTROL!$C$38, 0.0342, 0)</f>
        <v>27.850899999999999</v>
      </c>
      <c r="E266" s="45">
        <f>29.2669 * CHOOSE(CONTROL!$C$15, $E$9, 100%, $G$9) + CHOOSE(CONTROL!$C$38, 0.0342, 0)</f>
        <v>29.301099999999998</v>
      </c>
      <c r="F266" s="44">
        <f>29.2669 * CHOOSE(CONTROL!$C$15, $E$9, 100%, $G$9) + CHOOSE(CONTROL!$C$38, 0.0251, 0)</f>
        <v>29.291999999999998</v>
      </c>
      <c r="G266" s="14">
        <f>27.8229 * CHOOSE(CONTROL!$C$15, $E$9, 100%, $G$9) + CHOOSE(CONTROL!$C$38, 0.0342, 0)</f>
        <v>27.857099999999999</v>
      </c>
      <c r="H266" s="14">
        <f>27.8229 * CHOOSE(CONTROL!$C$15, $E$9, 100%, $G$9) + CHOOSE(CONTROL!$C$38, 0.0342, 0)</f>
        <v>27.857099999999999</v>
      </c>
      <c r="I266" s="14">
        <f>27.8245 * CHOOSE(CONTROL!$C$15, $E$9, 100%, $G$9) + CHOOSE(CONTROL!$C$38, 0.0342, 0)</f>
        <v>27.858699999999999</v>
      </c>
      <c r="J266" s="43">
        <f>179.1153</f>
        <v>179.11529999999999</v>
      </c>
    </row>
    <row r="267" spans="1:10" ht="15" x14ac:dyDescent="0.2">
      <c r="A267" s="13">
        <v>49035</v>
      </c>
      <c r="B267" s="14">
        <f>28.6509 * CHOOSE(CONTROL!$C$15, $E$9, 100%, $G$9) + CHOOSE(CONTROL!$C$38, 0.0251, 0)</f>
        <v>28.675999999999998</v>
      </c>
      <c r="C267" s="14">
        <f>27.0522 * CHOOSE(CONTROL!$C$15, $E$9, 100%, $G$9) + CHOOSE(CONTROL!$C$38, 0.0342, 0)</f>
        <v>27.086399999999998</v>
      </c>
      <c r="D267" s="14">
        <f>27.0443 * CHOOSE(CONTROL!$C$15, $E$9, 100%, $G$9) + CHOOSE(CONTROL!$C$38, 0.0342, 0)</f>
        <v>27.078499999999998</v>
      </c>
      <c r="E267" s="45">
        <f>28.4946 * CHOOSE(CONTROL!$C$15, $E$9, 100%, $G$9) + CHOOSE(CONTROL!$C$38, 0.0342, 0)</f>
        <v>28.528799999999997</v>
      </c>
      <c r="F267" s="44">
        <f>28.4946 * CHOOSE(CONTROL!$C$15, $E$9, 100%, $G$9) + CHOOSE(CONTROL!$C$38, 0.0251, 0)</f>
        <v>28.519699999999997</v>
      </c>
      <c r="G267" s="14">
        <f>27.0506 * CHOOSE(CONTROL!$C$15, $E$9, 100%, $G$9) + CHOOSE(CONTROL!$C$38, 0.0342, 0)</f>
        <v>27.084799999999998</v>
      </c>
      <c r="H267" s="14">
        <f>27.0506 * CHOOSE(CONTROL!$C$15, $E$9, 100%, $G$9) + CHOOSE(CONTROL!$C$38, 0.0342, 0)</f>
        <v>27.084799999999998</v>
      </c>
      <c r="I267" s="14">
        <f>27.0522 * CHOOSE(CONTROL!$C$15, $E$9, 100%, $G$9) + CHOOSE(CONTROL!$C$38, 0.0342, 0)</f>
        <v>27.086399999999998</v>
      </c>
      <c r="J267" s="43">
        <f>190.7444</f>
        <v>190.74440000000001</v>
      </c>
    </row>
    <row r="268" spans="1:10" ht="15" x14ac:dyDescent="0.2">
      <c r="A268" s="13">
        <v>49065</v>
      </c>
      <c r="B268" s="14">
        <f>27.8459 * CHOOSE(CONTROL!$C$15, $E$9, 100%, $G$9) + CHOOSE(CONTROL!$C$38, 0.0264, 0)</f>
        <v>27.872299999999999</v>
      </c>
      <c r="C268" s="14">
        <f>26.2472 * CHOOSE(CONTROL!$C$15, $E$9, 100%, $G$9) + CHOOSE(CONTROL!$C$38, 0.0354, 0)</f>
        <v>26.282599999999999</v>
      </c>
      <c r="D268" s="14">
        <f>26.2394 * CHOOSE(CONTROL!$C$15, $E$9, 100%, $G$9) + CHOOSE(CONTROL!$C$38, 0.0354, 0)</f>
        <v>26.274799999999999</v>
      </c>
      <c r="E268" s="45">
        <f>27.6896 * CHOOSE(CONTROL!$C$15, $E$9, 100%, $G$9) + CHOOSE(CONTROL!$C$38, 0.0354, 0)</f>
        <v>27.724999999999998</v>
      </c>
      <c r="F268" s="44">
        <f>27.6896 * CHOOSE(CONTROL!$C$15, $E$9, 100%, $G$9) + CHOOSE(CONTROL!$C$38, 0.0264, 0)</f>
        <v>27.715999999999998</v>
      </c>
      <c r="G268" s="14">
        <f>26.2456 * CHOOSE(CONTROL!$C$15, $E$9, 100%, $G$9) + CHOOSE(CONTROL!$C$38, 0.0354, 0)</f>
        <v>26.280999999999999</v>
      </c>
      <c r="H268" s="14">
        <f>26.2456 * CHOOSE(CONTROL!$C$15, $E$9, 100%, $G$9) + CHOOSE(CONTROL!$C$38, 0.0354, 0)</f>
        <v>26.280999999999999</v>
      </c>
      <c r="I268" s="14">
        <f>26.2472 * CHOOSE(CONTROL!$C$15, $E$9, 100%, $G$9) + CHOOSE(CONTROL!$C$38, 0.0354, 0)</f>
        <v>26.282599999999999</v>
      </c>
      <c r="J268" s="43">
        <f>197.1454</f>
        <v>197.1454</v>
      </c>
    </row>
    <row r="269" spans="1:10" ht="15" x14ac:dyDescent="0.2">
      <c r="A269" s="13">
        <v>49096</v>
      </c>
      <c r="B269" s="14">
        <f>27.2816 * CHOOSE(CONTROL!$C$15, $E$9, 100%, $G$9) + CHOOSE(CONTROL!$C$38, 0.0264, 0)</f>
        <v>27.308</v>
      </c>
      <c r="C269" s="14">
        <f>25.6829 * CHOOSE(CONTROL!$C$15, $E$9, 100%, $G$9) + CHOOSE(CONTROL!$C$38, 0.0354, 0)</f>
        <v>25.718299999999999</v>
      </c>
      <c r="D269" s="14">
        <f>25.675 * CHOOSE(CONTROL!$C$15, $E$9, 100%, $G$9) + CHOOSE(CONTROL!$C$38, 0.0354, 0)</f>
        <v>25.7104</v>
      </c>
      <c r="E269" s="45">
        <f>27.1253 * CHOOSE(CONTROL!$C$15, $E$9, 100%, $G$9) + CHOOSE(CONTROL!$C$38, 0.0354, 0)</f>
        <v>27.160699999999999</v>
      </c>
      <c r="F269" s="44">
        <f>27.1253 * CHOOSE(CONTROL!$C$15, $E$9, 100%, $G$9) + CHOOSE(CONTROL!$C$38, 0.0264, 0)</f>
        <v>27.151699999999998</v>
      </c>
      <c r="G269" s="14">
        <f>25.6813 * CHOOSE(CONTROL!$C$15, $E$9, 100%, $G$9) + CHOOSE(CONTROL!$C$38, 0.0354, 0)</f>
        <v>25.716699999999999</v>
      </c>
      <c r="H269" s="14">
        <f>25.6813 * CHOOSE(CONTROL!$C$15, $E$9, 100%, $G$9) + CHOOSE(CONTROL!$C$38, 0.0354, 0)</f>
        <v>25.716699999999999</v>
      </c>
      <c r="I269" s="14">
        <f>25.6829 * CHOOSE(CONTROL!$C$15, $E$9, 100%, $G$9) + CHOOSE(CONTROL!$C$38, 0.0354, 0)</f>
        <v>25.718299999999999</v>
      </c>
      <c r="J269" s="43">
        <f>199.986</f>
        <v>199.98599999999999</v>
      </c>
    </row>
    <row r="270" spans="1:10" ht="15" x14ac:dyDescent="0.2">
      <c r="A270" s="13">
        <v>49126</v>
      </c>
      <c r="B270" s="14">
        <f>26.9595 * CHOOSE(CONTROL!$C$15, $E$9, 100%, $G$9) + CHOOSE(CONTROL!$C$38, 0.0264, 0)</f>
        <v>26.985899999999997</v>
      </c>
      <c r="C270" s="14">
        <f>25.3608 * CHOOSE(CONTROL!$C$15, $E$9, 100%, $G$9) + CHOOSE(CONTROL!$C$38, 0.0354, 0)</f>
        <v>25.3962</v>
      </c>
      <c r="D270" s="14">
        <f>25.353 * CHOOSE(CONTROL!$C$15, $E$9, 100%, $G$9) + CHOOSE(CONTROL!$C$38, 0.0354, 0)</f>
        <v>25.388400000000001</v>
      </c>
      <c r="E270" s="45">
        <f>26.8033 * CHOOSE(CONTROL!$C$15, $E$9, 100%, $G$9) + CHOOSE(CONTROL!$C$38, 0.0354, 0)</f>
        <v>26.838699999999999</v>
      </c>
      <c r="F270" s="44">
        <f>26.8033 * CHOOSE(CONTROL!$C$15, $E$9, 100%, $G$9) + CHOOSE(CONTROL!$C$38, 0.0264, 0)</f>
        <v>26.829699999999999</v>
      </c>
      <c r="G270" s="14">
        <f>25.3592 * CHOOSE(CONTROL!$C$15, $E$9, 100%, $G$9) + CHOOSE(CONTROL!$C$38, 0.0354, 0)</f>
        <v>25.394600000000001</v>
      </c>
      <c r="H270" s="14">
        <f>25.3592 * CHOOSE(CONTROL!$C$15, $E$9, 100%, $G$9) + CHOOSE(CONTROL!$C$38, 0.0354, 0)</f>
        <v>25.394600000000001</v>
      </c>
      <c r="I270" s="14">
        <f>25.3608 * CHOOSE(CONTROL!$C$15, $E$9, 100%, $G$9) + CHOOSE(CONTROL!$C$38, 0.0354, 0)</f>
        <v>25.3962</v>
      </c>
      <c r="J270" s="43">
        <f>199.0507</f>
        <v>199.05070000000001</v>
      </c>
    </row>
    <row r="271" spans="1:10" ht="15" x14ac:dyDescent="0.2">
      <c r="A271" s="13">
        <v>49157</v>
      </c>
      <c r="B271" s="14">
        <f>27.1184 * CHOOSE(CONTROL!$C$15, $E$9, 100%, $G$9) + CHOOSE(CONTROL!$C$38, 0.0264, 0)</f>
        <v>27.1448</v>
      </c>
      <c r="C271" s="14">
        <f>25.5198 * CHOOSE(CONTROL!$C$15, $E$9, 100%, $G$9) + CHOOSE(CONTROL!$C$38, 0.0354, 0)</f>
        <v>25.555199999999999</v>
      </c>
      <c r="D271" s="14">
        <f>25.5119 * CHOOSE(CONTROL!$C$15, $E$9, 100%, $G$9) + CHOOSE(CONTROL!$C$38, 0.0354, 0)</f>
        <v>25.5473</v>
      </c>
      <c r="E271" s="45">
        <f>26.9622 * CHOOSE(CONTROL!$C$15, $E$9, 100%, $G$9) + CHOOSE(CONTROL!$C$38, 0.0354, 0)</f>
        <v>26.997599999999998</v>
      </c>
      <c r="F271" s="44">
        <f>26.9622 * CHOOSE(CONTROL!$C$15, $E$9, 100%, $G$9) + CHOOSE(CONTROL!$C$38, 0.0264, 0)</f>
        <v>26.988599999999998</v>
      </c>
      <c r="G271" s="14">
        <f>25.5182 * CHOOSE(CONTROL!$C$15, $E$9, 100%, $G$9) + CHOOSE(CONTROL!$C$38, 0.0354, 0)</f>
        <v>25.553599999999999</v>
      </c>
      <c r="H271" s="14">
        <f>25.5182 * CHOOSE(CONTROL!$C$15, $E$9, 100%, $G$9) + CHOOSE(CONTROL!$C$38, 0.0354, 0)</f>
        <v>25.553599999999999</v>
      </c>
      <c r="I271" s="14">
        <f>25.5198 * CHOOSE(CONTROL!$C$15, $E$9, 100%, $G$9) + CHOOSE(CONTROL!$C$38, 0.0354, 0)</f>
        <v>25.555199999999999</v>
      </c>
      <c r="J271" s="43">
        <f>194.4169</f>
        <v>194.4169</v>
      </c>
    </row>
    <row r="272" spans="1:10" ht="15" x14ac:dyDescent="0.2">
      <c r="A272" s="13">
        <v>49188</v>
      </c>
      <c r="B272" s="14">
        <f>27.5502 * CHOOSE(CONTROL!$C$15, $E$9, 100%, $G$9) + CHOOSE(CONTROL!$C$38, 0.0264, 0)</f>
        <v>27.576599999999999</v>
      </c>
      <c r="C272" s="14">
        <f>25.9515 * CHOOSE(CONTROL!$C$15, $E$9, 100%, $G$9) + CHOOSE(CONTROL!$C$38, 0.0354, 0)</f>
        <v>25.986899999999999</v>
      </c>
      <c r="D272" s="14">
        <f>25.9436 * CHOOSE(CONTROL!$C$15, $E$9, 100%, $G$9) + CHOOSE(CONTROL!$C$38, 0.0354, 0)</f>
        <v>25.978999999999999</v>
      </c>
      <c r="E272" s="45">
        <f>27.3939 * CHOOSE(CONTROL!$C$15, $E$9, 100%, $G$9) + CHOOSE(CONTROL!$C$38, 0.0354, 0)</f>
        <v>27.429299999999998</v>
      </c>
      <c r="F272" s="44">
        <f>27.3939 * CHOOSE(CONTROL!$C$15, $E$9, 100%, $G$9) + CHOOSE(CONTROL!$C$38, 0.0264, 0)</f>
        <v>27.420299999999997</v>
      </c>
      <c r="G272" s="14">
        <f>25.9499 * CHOOSE(CONTROL!$C$15, $E$9, 100%, $G$9) + CHOOSE(CONTROL!$C$38, 0.0354, 0)</f>
        <v>25.985299999999999</v>
      </c>
      <c r="H272" s="14">
        <f>25.9499 * CHOOSE(CONTROL!$C$15, $E$9, 100%, $G$9) + CHOOSE(CONTROL!$C$38, 0.0354, 0)</f>
        <v>25.985299999999999</v>
      </c>
      <c r="I272" s="14">
        <f>25.9515 * CHOOSE(CONTROL!$C$15, $E$9, 100%, $G$9) + CHOOSE(CONTROL!$C$38, 0.0354, 0)</f>
        <v>25.986899999999999</v>
      </c>
      <c r="J272" s="43">
        <f>187.9548</f>
        <v>187.95480000000001</v>
      </c>
    </row>
    <row r="273" spans="1:10" ht="15" x14ac:dyDescent="0.2">
      <c r="A273" s="13">
        <v>49218</v>
      </c>
      <c r="B273" s="14">
        <f>27.9117 * CHOOSE(CONTROL!$C$15, $E$9, 100%, $G$9) + CHOOSE(CONTROL!$C$38, 0.0251, 0)</f>
        <v>27.936799999999998</v>
      </c>
      <c r="C273" s="14">
        <f>26.313 * CHOOSE(CONTROL!$C$15, $E$9, 100%, $G$9) + CHOOSE(CONTROL!$C$38, 0.0342, 0)</f>
        <v>26.347199999999997</v>
      </c>
      <c r="D273" s="14">
        <f>26.3052 * CHOOSE(CONTROL!$C$15, $E$9, 100%, $G$9) + CHOOSE(CONTROL!$C$38, 0.0342, 0)</f>
        <v>26.339399999999998</v>
      </c>
      <c r="E273" s="45">
        <f>27.7555 * CHOOSE(CONTROL!$C$15, $E$9, 100%, $G$9) + CHOOSE(CONTROL!$C$38, 0.0342, 0)</f>
        <v>27.7897</v>
      </c>
      <c r="F273" s="44">
        <f>27.7555 * CHOOSE(CONTROL!$C$15, $E$9, 100%, $G$9) + CHOOSE(CONTROL!$C$38, 0.0251, 0)</f>
        <v>27.7806</v>
      </c>
      <c r="G273" s="14">
        <f>26.3115 * CHOOSE(CONTROL!$C$15, $E$9, 100%, $G$9) + CHOOSE(CONTROL!$C$38, 0.0342, 0)</f>
        <v>26.345699999999997</v>
      </c>
      <c r="H273" s="14">
        <f>26.3115 * CHOOSE(CONTROL!$C$15, $E$9, 100%, $G$9) + CHOOSE(CONTROL!$C$38, 0.0342, 0)</f>
        <v>26.345699999999997</v>
      </c>
      <c r="I273" s="14">
        <f>26.313 * CHOOSE(CONTROL!$C$15, $E$9, 100%, $G$9) + CHOOSE(CONTROL!$C$38, 0.0342, 0)</f>
        <v>26.347199999999997</v>
      </c>
      <c r="J273" s="43">
        <f>181.4552</f>
        <v>181.45519999999999</v>
      </c>
    </row>
    <row r="274" spans="1:10" ht="15" x14ac:dyDescent="0.2">
      <c r="A274" s="13">
        <v>49249</v>
      </c>
      <c r="B274" s="14">
        <f>28.2134 * CHOOSE(CONTROL!$C$15, $E$9, 100%, $G$9) + CHOOSE(CONTROL!$C$38, 0.0251, 0)</f>
        <v>28.238499999999998</v>
      </c>
      <c r="C274" s="14">
        <f>26.6147 * CHOOSE(CONTROL!$C$15, $E$9, 100%, $G$9) + CHOOSE(CONTROL!$C$38, 0.0342, 0)</f>
        <v>26.648899999999998</v>
      </c>
      <c r="D274" s="14">
        <f>26.6069 * CHOOSE(CONTROL!$C$15, $E$9, 100%, $G$9) + CHOOSE(CONTROL!$C$38, 0.0342, 0)</f>
        <v>26.641099999999998</v>
      </c>
      <c r="E274" s="45">
        <f>28.0572 * CHOOSE(CONTROL!$C$15, $E$9, 100%, $G$9) + CHOOSE(CONTROL!$C$38, 0.0342, 0)</f>
        <v>28.0914</v>
      </c>
      <c r="F274" s="44">
        <f>28.0572 * CHOOSE(CONTROL!$C$15, $E$9, 100%, $G$9) + CHOOSE(CONTROL!$C$38, 0.0251, 0)</f>
        <v>28.0823</v>
      </c>
      <c r="G274" s="14">
        <f>26.6132 * CHOOSE(CONTROL!$C$15, $E$9, 100%, $G$9) + CHOOSE(CONTROL!$C$38, 0.0342, 0)</f>
        <v>26.647399999999998</v>
      </c>
      <c r="H274" s="14">
        <f>26.6132 * CHOOSE(CONTROL!$C$15, $E$9, 100%, $G$9) + CHOOSE(CONTROL!$C$38, 0.0342, 0)</f>
        <v>26.647399999999998</v>
      </c>
      <c r="I274" s="14">
        <f>26.6147 * CHOOSE(CONTROL!$C$15, $E$9, 100%, $G$9) + CHOOSE(CONTROL!$C$38, 0.0342, 0)</f>
        <v>26.648899999999998</v>
      </c>
      <c r="J274" s="43">
        <f>180.1622</f>
        <v>180.16220000000001</v>
      </c>
    </row>
    <row r="275" spans="1:10" ht="15" x14ac:dyDescent="0.2">
      <c r="A275" s="13">
        <v>49279</v>
      </c>
      <c r="B275" s="14">
        <f>29.1431 * CHOOSE(CONTROL!$C$15, $E$9, 100%, $G$9) + CHOOSE(CONTROL!$C$38, 0.0251, 0)</f>
        <v>29.168199999999999</v>
      </c>
      <c r="C275" s="14">
        <f>27.5444 * CHOOSE(CONTROL!$C$15, $E$9, 100%, $G$9) + CHOOSE(CONTROL!$C$38, 0.0342, 0)</f>
        <v>27.578599999999998</v>
      </c>
      <c r="D275" s="14">
        <f>27.5366 * CHOOSE(CONTROL!$C$15, $E$9, 100%, $G$9) + CHOOSE(CONTROL!$C$38, 0.0342, 0)</f>
        <v>27.570799999999998</v>
      </c>
      <c r="E275" s="45">
        <f>28.9868 * CHOOSE(CONTROL!$C$15, $E$9, 100%, $G$9) + CHOOSE(CONTROL!$C$38, 0.0342, 0)</f>
        <v>29.020999999999997</v>
      </c>
      <c r="F275" s="44">
        <f>28.9868 * CHOOSE(CONTROL!$C$15, $E$9, 100%, $G$9) + CHOOSE(CONTROL!$C$38, 0.0251, 0)</f>
        <v>29.011899999999997</v>
      </c>
      <c r="G275" s="14">
        <f>27.5428 * CHOOSE(CONTROL!$C$15, $E$9, 100%, $G$9) + CHOOSE(CONTROL!$C$38, 0.0342, 0)</f>
        <v>27.576999999999998</v>
      </c>
      <c r="H275" s="14">
        <f>27.5428 * CHOOSE(CONTROL!$C$15, $E$9, 100%, $G$9) + CHOOSE(CONTROL!$C$38, 0.0342, 0)</f>
        <v>27.576999999999998</v>
      </c>
      <c r="I275" s="14">
        <f>27.5444 * CHOOSE(CONTROL!$C$15, $E$9, 100%, $G$9) + CHOOSE(CONTROL!$C$38, 0.0342, 0)</f>
        <v>27.578599999999998</v>
      </c>
      <c r="J275" s="43">
        <f>174.8159</f>
        <v>174.8159</v>
      </c>
    </row>
    <row r="276" spans="1:10" ht="15" x14ac:dyDescent="0.2">
      <c r="A276" s="13">
        <v>49310</v>
      </c>
      <c r="B276" s="14">
        <f>30.3418 * CHOOSE(CONTROL!$C$15, $E$9, 100%, $G$9) + CHOOSE(CONTROL!$C$38, 0.0251, 0)</f>
        <v>30.366899999999998</v>
      </c>
      <c r="C276" s="14">
        <f>28.7189 * CHOOSE(CONTROL!$C$15, $E$9, 100%, $G$9) + CHOOSE(CONTROL!$C$38, 0.0342, 0)</f>
        <v>28.7531</v>
      </c>
      <c r="D276" s="14">
        <f>28.711 * CHOOSE(CONTROL!$C$15, $E$9, 100%, $G$9) + CHOOSE(CONTROL!$C$38, 0.0342, 0)</f>
        <v>28.745199999999997</v>
      </c>
      <c r="E276" s="45">
        <f>30.1855 * CHOOSE(CONTROL!$C$15, $E$9, 100%, $G$9) + CHOOSE(CONTROL!$C$38, 0.0342, 0)</f>
        <v>30.2197</v>
      </c>
      <c r="F276" s="44">
        <f>30.1855 * CHOOSE(CONTROL!$C$15, $E$9, 100%, $G$9) + CHOOSE(CONTROL!$C$38, 0.0251, 0)</f>
        <v>30.210599999999999</v>
      </c>
      <c r="G276" s="14">
        <f>28.7173 * CHOOSE(CONTROL!$C$15, $E$9, 100%, $G$9) + CHOOSE(CONTROL!$C$38, 0.0342, 0)</f>
        <v>28.7515</v>
      </c>
      <c r="H276" s="14">
        <f>28.7173 * CHOOSE(CONTROL!$C$15, $E$9, 100%, $G$9) + CHOOSE(CONTROL!$C$38, 0.0342, 0)</f>
        <v>28.7515</v>
      </c>
      <c r="I276" s="14">
        <f>28.7189 * CHOOSE(CONTROL!$C$15, $E$9, 100%, $G$9) + CHOOSE(CONTROL!$C$38, 0.0342, 0)</f>
        <v>28.7531</v>
      </c>
      <c r="J276" s="43">
        <f>174.6897</f>
        <v>174.68969999999999</v>
      </c>
    </row>
    <row r="277" spans="1:10" ht="15" x14ac:dyDescent="0.2">
      <c r="A277" s="13">
        <v>49341</v>
      </c>
      <c r="B277" s="14">
        <f>30.6861 * CHOOSE(CONTROL!$C$15, $E$9, 100%, $G$9) + CHOOSE(CONTROL!$C$38, 0.0251, 0)</f>
        <v>30.711199999999998</v>
      </c>
      <c r="C277" s="14">
        <f>29.0632 * CHOOSE(CONTROL!$C$15, $E$9, 100%, $G$9) + CHOOSE(CONTROL!$C$38, 0.0342, 0)</f>
        <v>29.097399999999997</v>
      </c>
      <c r="D277" s="14">
        <f>29.0554 * CHOOSE(CONTROL!$C$15, $E$9, 100%, $G$9) + CHOOSE(CONTROL!$C$38, 0.0342, 0)</f>
        <v>29.089599999999997</v>
      </c>
      <c r="E277" s="45">
        <f>30.5298 * CHOOSE(CONTROL!$C$15, $E$9, 100%, $G$9) + CHOOSE(CONTROL!$C$38, 0.0342, 0)</f>
        <v>30.564</v>
      </c>
      <c r="F277" s="44">
        <f>30.5298 * CHOOSE(CONTROL!$C$15, $E$9, 100%, $G$9) + CHOOSE(CONTROL!$C$38, 0.0251, 0)</f>
        <v>30.5549</v>
      </c>
      <c r="G277" s="14">
        <f>29.0616 * CHOOSE(CONTROL!$C$15, $E$9, 100%, $G$9) + CHOOSE(CONTROL!$C$38, 0.0342, 0)</f>
        <v>29.095799999999997</v>
      </c>
      <c r="H277" s="14">
        <f>29.0616 * CHOOSE(CONTROL!$C$15, $E$9, 100%, $G$9) + CHOOSE(CONTROL!$C$38, 0.0342, 0)</f>
        <v>29.095799999999997</v>
      </c>
      <c r="I277" s="14">
        <f>29.0632 * CHOOSE(CONTROL!$C$15, $E$9, 100%, $G$9) + CHOOSE(CONTROL!$C$38, 0.0342, 0)</f>
        <v>29.097399999999997</v>
      </c>
      <c r="J277" s="43">
        <f>174.2041</f>
        <v>174.20410000000001</v>
      </c>
    </row>
    <row r="278" spans="1:10" ht="15" x14ac:dyDescent="0.2">
      <c r="A278" s="13">
        <v>49369</v>
      </c>
      <c r="B278" s="14">
        <f>29.8891 * CHOOSE(CONTROL!$C$15, $E$9, 100%, $G$9) + CHOOSE(CONTROL!$C$38, 0.0251, 0)</f>
        <v>29.914199999999997</v>
      </c>
      <c r="C278" s="14">
        <f>28.2661 * CHOOSE(CONTROL!$C$15, $E$9, 100%, $G$9) + CHOOSE(CONTROL!$C$38, 0.0342, 0)</f>
        <v>28.3003</v>
      </c>
      <c r="D278" s="14">
        <f>28.2583 * CHOOSE(CONTROL!$C$15, $E$9, 100%, $G$9) + CHOOSE(CONTROL!$C$38, 0.0342, 0)</f>
        <v>28.292499999999997</v>
      </c>
      <c r="E278" s="45">
        <f>29.7328 * CHOOSE(CONTROL!$C$15, $E$9, 100%, $G$9) + CHOOSE(CONTROL!$C$38, 0.0342, 0)</f>
        <v>29.766999999999999</v>
      </c>
      <c r="F278" s="44">
        <f>29.7328 * CHOOSE(CONTROL!$C$15, $E$9, 100%, $G$9) + CHOOSE(CONTROL!$C$38, 0.0251, 0)</f>
        <v>29.757899999999999</v>
      </c>
      <c r="G278" s="14">
        <f>28.2646 * CHOOSE(CONTROL!$C$15, $E$9, 100%, $G$9) + CHOOSE(CONTROL!$C$38, 0.0342, 0)</f>
        <v>28.2988</v>
      </c>
      <c r="H278" s="14">
        <f>28.2646 * CHOOSE(CONTROL!$C$15, $E$9, 100%, $G$9) + CHOOSE(CONTROL!$C$38, 0.0342, 0)</f>
        <v>28.2988</v>
      </c>
      <c r="I278" s="14">
        <f>28.2661 * CHOOSE(CONTROL!$C$15, $E$9, 100%, $G$9) + CHOOSE(CONTROL!$C$38, 0.0342, 0)</f>
        <v>28.3003</v>
      </c>
      <c r="J278" s="43">
        <f>183.3857</f>
        <v>183.38570000000001</v>
      </c>
    </row>
    <row r="279" spans="1:10" ht="15" x14ac:dyDescent="0.2">
      <c r="A279" s="13">
        <v>49400</v>
      </c>
      <c r="B279" s="14">
        <f>29.1167 * CHOOSE(CONTROL!$C$15, $E$9, 100%, $G$9) + CHOOSE(CONTROL!$C$38, 0.0251, 0)</f>
        <v>29.1418</v>
      </c>
      <c r="C279" s="14">
        <f>27.4938 * CHOOSE(CONTROL!$C$15, $E$9, 100%, $G$9) + CHOOSE(CONTROL!$C$38, 0.0342, 0)</f>
        <v>27.527999999999999</v>
      </c>
      <c r="D279" s="14">
        <f>27.486 * CHOOSE(CONTROL!$C$15, $E$9, 100%, $G$9) + CHOOSE(CONTROL!$C$38, 0.0342, 0)</f>
        <v>27.520199999999999</v>
      </c>
      <c r="E279" s="45">
        <f>28.9605 * CHOOSE(CONTROL!$C$15, $E$9, 100%, $G$9) + CHOOSE(CONTROL!$C$38, 0.0342, 0)</f>
        <v>28.994699999999998</v>
      </c>
      <c r="F279" s="44">
        <f>28.9605 * CHOOSE(CONTROL!$C$15, $E$9, 100%, $G$9) + CHOOSE(CONTROL!$C$38, 0.0251, 0)</f>
        <v>28.985599999999998</v>
      </c>
      <c r="G279" s="14">
        <f>27.4923 * CHOOSE(CONTROL!$C$15, $E$9, 100%, $G$9) + CHOOSE(CONTROL!$C$38, 0.0342, 0)</f>
        <v>27.526499999999999</v>
      </c>
      <c r="H279" s="14">
        <f>27.4923 * CHOOSE(CONTROL!$C$15, $E$9, 100%, $G$9) + CHOOSE(CONTROL!$C$38, 0.0342, 0)</f>
        <v>27.526499999999999</v>
      </c>
      <c r="I279" s="14">
        <f>27.4938 * CHOOSE(CONTROL!$C$15, $E$9, 100%, $G$9) + CHOOSE(CONTROL!$C$38, 0.0342, 0)</f>
        <v>27.527999999999999</v>
      </c>
      <c r="J279" s="43">
        <f>195.292</f>
        <v>195.292</v>
      </c>
    </row>
    <row r="280" spans="1:10" ht="15" x14ac:dyDescent="0.2">
      <c r="A280" s="13">
        <v>49430</v>
      </c>
      <c r="B280" s="14">
        <f>28.3118 * CHOOSE(CONTROL!$C$15, $E$9, 100%, $G$9) + CHOOSE(CONTROL!$C$38, 0.0264, 0)</f>
        <v>28.338200000000001</v>
      </c>
      <c r="C280" s="14">
        <f>26.6889 * CHOOSE(CONTROL!$C$15, $E$9, 100%, $G$9) + CHOOSE(CONTROL!$C$38, 0.0354, 0)</f>
        <v>26.724299999999999</v>
      </c>
      <c r="D280" s="14">
        <f>26.681 * CHOOSE(CONTROL!$C$15, $E$9, 100%, $G$9) + CHOOSE(CONTROL!$C$38, 0.0354, 0)</f>
        <v>26.7164</v>
      </c>
      <c r="E280" s="45">
        <f>28.1555 * CHOOSE(CONTROL!$C$15, $E$9, 100%, $G$9) + CHOOSE(CONTROL!$C$38, 0.0354, 0)</f>
        <v>28.190899999999999</v>
      </c>
      <c r="F280" s="44">
        <f>28.1555 * CHOOSE(CONTROL!$C$15, $E$9, 100%, $G$9) + CHOOSE(CONTROL!$C$38, 0.0264, 0)</f>
        <v>28.181899999999999</v>
      </c>
      <c r="G280" s="14">
        <f>26.6873 * CHOOSE(CONTROL!$C$15, $E$9, 100%, $G$9) + CHOOSE(CONTROL!$C$38, 0.0354, 0)</f>
        <v>26.7227</v>
      </c>
      <c r="H280" s="14">
        <f>26.6873 * CHOOSE(CONTROL!$C$15, $E$9, 100%, $G$9) + CHOOSE(CONTROL!$C$38, 0.0354, 0)</f>
        <v>26.7227</v>
      </c>
      <c r="I280" s="14">
        <f>26.6889 * CHOOSE(CONTROL!$C$15, $E$9, 100%, $G$9) + CHOOSE(CONTROL!$C$38, 0.0354, 0)</f>
        <v>26.724299999999999</v>
      </c>
      <c r="J280" s="43">
        <f>201.8456</f>
        <v>201.84559999999999</v>
      </c>
    </row>
    <row r="281" spans="1:10" ht="15" x14ac:dyDescent="0.2">
      <c r="A281" s="33">
        <v>49461</v>
      </c>
      <c r="B281" s="14">
        <f>27.7474 * CHOOSE(CONTROL!$C$15, $E$9, 100%, $G$9) + CHOOSE(CONTROL!$C$38, 0.0264, 0)</f>
        <v>27.773799999999998</v>
      </c>
      <c r="C281" s="14">
        <f>26.1245 * CHOOSE(CONTROL!$C$15, $E$9, 100%, $G$9) + CHOOSE(CONTROL!$C$38, 0.0354, 0)</f>
        <v>26.1599</v>
      </c>
      <c r="D281" s="14">
        <f>26.1167 * CHOOSE(CONTROL!$C$15, $E$9, 100%, $G$9) + CHOOSE(CONTROL!$C$38, 0.0354, 0)</f>
        <v>26.152100000000001</v>
      </c>
      <c r="E281" s="45">
        <f>27.5912 * CHOOSE(CONTROL!$C$15, $E$9, 100%, $G$9) + CHOOSE(CONTROL!$C$38, 0.0354, 0)</f>
        <v>27.6266</v>
      </c>
      <c r="F281" s="44">
        <f>27.5912 * CHOOSE(CONTROL!$C$15, $E$9, 100%, $G$9) + CHOOSE(CONTROL!$C$38, 0.0264, 0)</f>
        <v>27.617599999999999</v>
      </c>
      <c r="G281" s="14">
        <f>26.123 * CHOOSE(CONTROL!$C$15, $E$9, 100%, $G$9) + CHOOSE(CONTROL!$C$38, 0.0354, 0)</f>
        <v>26.1584</v>
      </c>
      <c r="H281" s="14">
        <f>26.123 * CHOOSE(CONTROL!$C$15, $E$9, 100%, $G$9) + CHOOSE(CONTROL!$C$38, 0.0354, 0)</f>
        <v>26.1584</v>
      </c>
      <c r="I281" s="14">
        <f>26.1245 * CHOOSE(CONTROL!$C$15, $E$9, 100%, $G$9) + CHOOSE(CONTROL!$C$38, 0.0354, 0)</f>
        <v>26.1599</v>
      </c>
      <c r="J281" s="43">
        <f>204.754</f>
        <v>204.75399999999999</v>
      </c>
    </row>
    <row r="282" spans="1:10" ht="15" x14ac:dyDescent="0.2">
      <c r="A282" s="33">
        <v>49491</v>
      </c>
      <c r="B282" s="14">
        <f>27.4254 * CHOOSE(CONTROL!$C$15, $E$9, 100%, $G$9) + CHOOSE(CONTROL!$C$38, 0.0264, 0)</f>
        <v>27.451799999999999</v>
      </c>
      <c r="C282" s="14">
        <f>25.8025 * CHOOSE(CONTROL!$C$15, $E$9, 100%, $G$9) + CHOOSE(CONTROL!$C$38, 0.0354, 0)</f>
        <v>25.837899999999998</v>
      </c>
      <c r="D282" s="14">
        <f>25.7947 * CHOOSE(CONTROL!$C$15, $E$9, 100%, $G$9) + CHOOSE(CONTROL!$C$38, 0.0354, 0)</f>
        <v>25.830099999999998</v>
      </c>
      <c r="E282" s="45">
        <f>27.2691 * CHOOSE(CONTROL!$C$15, $E$9, 100%, $G$9) + CHOOSE(CONTROL!$C$38, 0.0354, 0)</f>
        <v>27.304500000000001</v>
      </c>
      <c r="F282" s="44">
        <f>27.2691 * CHOOSE(CONTROL!$C$15, $E$9, 100%, $G$9) + CHOOSE(CONTROL!$C$38, 0.0264, 0)</f>
        <v>27.295500000000001</v>
      </c>
      <c r="G282" s="14">
        <f>25.8009 * CHOOSE(CONTROL!$C$15, $E$9, 100%, $G$9) + CHOOSE(CONTROL!$C$38, 0.0354, 0)</f>
        <v>25.836299999999998</v>
      </c>
      <c r="H282" s="14">
        <f>25.8009 * CHOOSE(CONTROL!$C$15, $E$9, 100%, $G$9) + CHOOSE(CONTROL!$C$38, 0.0354, 0)</f>
        <v>25.836299999999998</v>
      </c>
      <c r="I282" s="14">
        <f>25.8025 * CHOOSE(CONTROL!$C$15, $E$9, 100%, $G$9) + CHOOSE(CONTROL!$C$38, 0.0354, 0)</f>
        <v>25.837899999999998</v>
      </c>
      <c r="J282" s="43">
        <f>203.7964</f>
        <v>203.79640000000001</v>
      </c>
    </row>
    <row r="283" spans="1:10" ht="15" x14ac:dyDescent="0.2">
      <c r="A283" s="33">
        <v>49522</v>
      </c>
      <c r="B283" s="14">
        <f>27.5843 * CHOOSE(CONTROL!$C$15, $E$9, 100%, $G$9) + CHOOSE(CONTROL!$C$38, 0.0264, 0)</f>
        <v>27.610699999999998</v>
      </c>
      <c r="C283" s="14">
        <f>25.9614 * CHOOSE(CONTROL!$C$15, $E$9, 100%, $G$9) + CHOOSE(CONTROL!$C$38, 0.0354, 0)</f>
        <v>25.9968</v>
      </c>
      <c r="D283" s="14">
        <f>25.9536 * CHOOSE(CONTROL!$C$15, $E$9, 100%, $G$9) + CHOOSE(CONTROL!$C$38, 0.0354, 0)</f>
        <v>25.989000000000001</v>
      </c>
      <c r="E283" s="45">
        <f>27.4281 * CHOOSE(CONTROL!$C$15, $E$9, 100%, $G$9) + CHOOSE(CONTROL!$C$38, 0.0354, 0)</f>
        <v>27.4635</v>
      </c>
      <c r="F283" s="44">
        <f>27.4281 * CHOOSE(CONTROL!$C$15, $E$9, 100%, $G$9) + CHOOSE(CONTROL!$C$38, 0.0264, 0)</f>
        <v>27.454499999999999</v>
      </c>
      <c r="G283" s="14">
        <f>25.9599 * CHOOSE(CONTROL!$C$15, $E$9, 100%, $G$9) + CHOOSE(CONTROL!$C$38, 0.0354, 0)</f>
        <v>25.9953</v>
      </c>
      <c r="H283" s="14">
        <f>25.9599 * CHOOSE(CONTROL!$C$15, $E$9, 100%, $G$9) + CHOOSE(CONTROL!$C$38, 0.0354, 0)</f>
        <v>25.9953</v>
      </c>
      <c r="I283" s="14">
        <f>25.9614 * CHOOSE(CONTROL!$C$15, $E$9, 100%, $G$9) + CHOOSE(CONTROL!$C$38, 0.0354, 0)</f>
        <v>25.9968</v>
      </c>
      <c r="J283" s="43">
        <f>199.0521</f>
        <v>199.0521</v>
      </c>
    </row>
    <row r="284" spans="1:10" ht="15" x14ac:dyDescent="0.2">
      <c r="A284" s="33">
        <v>49553</v>
      </c>
      <c r="B284" s="14">
        <f>28.016 * CHOOSE(CONTROL!$C$15, $E$9, 100%, $G$9) + CHOOSE(CONTROL!$C$38, 0.0264, 0)</f>
        <v>28.042399999999997</v>
      </c>
      <c r="C284" s="14">
        <f>26.3931 * CHOOSE(CONTROL!$C$15, $E$9, 100%, $G$9) + CHOOSE(CONTROL!$C$38, 0.0354, 0)</f>
        <v>26.4285</v>
      </c>
      <c r="D284" s="14">
        <f>26.3853 * CHOOSE(CONTROL!$C$15, $E$9, 100%, $G$9) + CHOOSE(CONTROL!$C$38, 0.0354, 0)</f>
        <v>26.4207</v>
      </c>
      <c r="E284" s="45">
        <f>27.8598 * CHOOSE(CONTROL!$C$15, $E$9, 100%, $G$9) + CHOOSE(CONTROL!$C$38, 0.0354, 0)</f>
        <v>27.895199999999999</v>
      </c>
      <c r="F284" s="44">
        <f>27.8598 * CHOOSE(CONTROL!$C$15, $E$9, 100%, $G$9) + CHOOSE(CONTROL!$C$38, 0.0264, 0)</f>
        <v>27.886199999999999</v>
      </c>
      <c r="G284" s="14">
        <f>26.3916 * CHOOSE(CONTROL!$C$15, $E$9, 100%, $G$9) + CHOOSE(CONTROL!$C$38, 0.0354, 0)</f>
        <v>26.427</v>
      </c>
      <c r="H284" s="14">
        <f>26.3916 * CHOOSE(CONTROL!$C$15, $E$9, 100%, $G$9) + CHOOSE(CONTROL!$C$38, 0.0354, 0)</f>
        <v>26.427</v>
      </c>
      <c r="I284" s="14">
        <f>26.3931 * CHOOSE(CONTROL!$C$15, $E$9, 100%, $G$9) + CHOOSE(CONTROL!$C$38, 0.0354, 0)</f>
        <v>26.4285</v>
      </c>
      <c r="J284" s="43">
        <f>192.436</f>
        <v>192.43600000000001</v>
      </c>
    </row>
    <row r="285" spans="1:10" ht="15" x14ac:dyDescent="0.2">
      <c r="A285" s="33">
        <v>49583</v>
      </c>
      <c r="B285" s="14">
        <f>28.3776 * CHOOSE(CONTROL!$C$15, $E$9, 100%, $G$9) + CHOOSE(CONTROL!$C$38, 0.0251, 0)</f>
        <v>28.402699999999999</v>
      </c>
      <c r="C285" s="14">
        <f>26.7547 * CHOOSE(CONTROL!$C$15, $E$9, 100%, $G$9) + CHOOSE(CONTROL!$C$38, 0.0342, 0)</f>
        <v>26.788899999999998</v>
      </c>
      <c r="D285" s="14">
        <f>26.7469 * CHOOSE(CONTROL!$C$15, $E$9, 100%, $G$9) + CHOOSE(CONTROL!$C$38, 0.0342, 0)</f>
        <v>26.781099999999999</v>
      </c>
      <c r="E285" s="45">
        <f>28.2214 * CHOOSE(CONTROL!$C$15, $E$9, 100%, $G$9) + CHOOSE(CONTROL!$C$38, 0.0342, 0)</f>
        <v>28.255599999999998</v>
      </c>
      <c r="F285" s="44">
        <f>28.2214 * CHOOSE(CONTROL!$C$15, $E$9, 100%, $G$9) + CHOOSE(CONTROL!$C$38, 0.0251, 0)</f>
        <v>28.246499999999997</v>
      </c>
      <c r="G285" s="14">
        <f>26.7531 * CHOOSE(CONTROL!$C$15, $E$9, 100%, $G$9) + CHOOSE(CONTROL!$C$38, 0.0342, 0)</f>
        <v>26.787299999999998</v>
      </c>
      <c r="H285" s="14">
        <f>26.7531 * CHOOSE(CONTROL!$C$15, $E$9, 100%, $G$9) + CHOOSE(CONTROL!$C$38, 0.0342, 0)</f>
        <v>26.787299999999998</v>
      </c>
      <c r="I285" s="14">
        <f>26.7547 * CHOOSE(CONTROL!$C$15, $E$9, 100%, $G$9) + CHOOSE(CONTROL!$C$38, 0.0342, 0)</f>
        <v>26.788899999999998</v>
      </c>
      <c r="J285" s="43">
        <f>185.7813</f>
        <v>185.78129999999999</v>
      </c>
    </row>
    <row r="286" spans="1:10" ht="15" x14ac:dyDescent="0.2">
      <c r="A286" s="33">
        <v>49614</v>
      </c>
      <c r="B286" s="14">
        <f>28.6793 * CHOOSE(CONTROL!$C$15, $E$9, 100%, $G$9) + CHOOSE(CONTROL!$C$38, 0.0251, 0)</f>
        <v>28.7044</v>
      </c>
      <c r="C286" s="14">
        <f>27.0564 * CHOOSE(CONTROL!$C$15, $E$9, 100%, $G$9) + CHOOSE(CONTROL!$C$38, 0.0342, 0)</f>
        <v>27.090599999999998</v>
      </c>
      <c r="D286" s="14">
        <f>27.0486 * CHOOSE(CONTROL!$C$15, $E$9, 100%, $G$9) + CHOOSE(CONTROL!$C$38, 0.0342, 0)</f>
        <v>27.082799999999999</v>
      </c>
      <c r="E286" s="45">
        <f>28.5231 * CHOOSE(CONTROL!$C$15, $E$9, 100%, $G$9) + CHOOSE(CONTROL!$C$38, 0.0342, 0)</f>
        <v>28.557299999999998</v>
      </c>
      <c r="F286" s="44">
        <f>28.5231 * CHOOSE(CONTROL!$C$15, $E$9, 100%, $G$9) + CHOOSE(CONTROL!$C$38, 0.0251, 0)</f>
        <v>28.548199999999998</v>
      </c>
      <c r="G286" s="14">
        <f>27.0548 * CHOOSE(CONTROL!$C$15, $E$9, 100%, $G$9) + CHOOSE(CONTROL!$C$38, 0.0342, 0)</f>
        <v>27.088999999999999</v>
      </c>
      <c r="H286" s="14">
        <f>27.0548 * CHOOSE(CONTROL!$C$15, $E$9, 100%, $G$9) + CHOOSE(CONTROL!$C$38, 0.0342, 0)</f>
        <v>27.088999999999999</v>
      </c>
      <c r="I286" s="14">
        <f>27.0564 * CHOOSE(CONTROL!$C$15, $E$9, 100%, $G$9) + CHOOSE(CONTROL!$C$38, 0.0342, 0)</f>
        <v>27.090599999999998</v>
      </c>
      <c r="J286" s="43">
        <f>184.4576</f>
        <v>184.45760000000001</v>
      </c>
    </row>
    <row r="287" spans="1:10" ht="15" x14ac:dyDescent="0.2">
      <c r="A287" s="33">
        <v>49644</v>
      </c>
      <c r="B287" s="14">
        <f>29.609 * CHOOSE(CONTROL!$C$15, $E$9, 100%, $G$9) + CHOOSE(CONTROL!$C$38, 0.0251, 0)</f>
        <v>29.6341</v>
      </c>
      <c r="C287" s="14">
        <f>27.9861 * CHOOSE(CONTROL!$C$15, $E$9, 100%, $G$9) + CHOOSE(CONTROL!$C$38, 0.0342, 0)</f>
        <v>28.020299999999999</v>
      </c>
      <c r="D287" s="14">
        <f>27.9782 * CHOOSE(CONTROL!$C$15, $E$9, 100%, $G$9) + CHOOSE(CONTROL!$C$38, 0.0342, 0)</f>
        <v>28.0124</v>
      </c>
      <c r="E287" s="45">
        <f>29.4527 * CHOOSE(CONTROL!$C$15, $E$9, 100%, $G$9) + CHOOSE(CONTROL!$C$38, 0.0342, 0)</f>
        <v>29.486899999999999</v>
      </c>
      <c r="F287" s="44">
        <f>29.4527 * CHOOSE(CONTROL!$C$15, $E$9, 100%, $G$9) + CHOOSE(CONTROL!$C$38, 0.0251, 0)</f>
        <v>29.477799999999998</v>
      </c>
      <c r="G287" s="14">
        <f>27.9845 * CHOOSE(CONTROL!$C$15, $E$9, 100%, $G$9) + CHOOSE(CONTROL!$C$38, 0.0342, 0)</f>
        <v>28.018699999999999</v>
      </c>
      <c r="H287" s="14">
        <f>27.9845 * CHOOSE(CONTROL!$C$15, $E$9, 100%, $G$9) + CHOOSE(CONTROL!$C$38, 0.0342, 0)</f>
        <v>28.018699999999999</v>
      </c>
      <c r="I287" s="14">
        <f>27.9861 * CHOOSE(CONTROL!$C$15, $E$9, 100%, $G$9) + CHOOSE(CONTROL!$C$38, 0.0342, 0)</f>
        <v>28.020299999999999</v>
      </c>
      <c r="J287" s="43">
        <f>178.9838</f>
        <v>178.9838</v>
      </c>
    </row>
    <row r="288" spans="1:10" ht="15" x14ac:dyDescent="0.2">
      <c r="A288" s="33">
        <v>49675</v>
      </c>
      <c r="B288" s="14">
        <f>30.8155 * CHOOSE(CONTROL!$C$15, $E$9, 100%, $G$9) + CHOOSE(CONTROL!$C$38, 0.0251, 0)</f>
        <v>30.840599999999998</v>
      </c>
      <c r="C288" s="14">
        <f>29.1679 * CHOOSE(CONTROL!$C$15, $E$9, 100%, $G$9) + CHOOSE(CONTROL!$C$38, 0.0342, 0)</f>
        <v>29.202099999999998</v>
      </c>
      <c r="D288" s="14">
        <f>29.1601 * CHOOSE(CONTROL!$C$15, $E$9, 100%, $G$9) + CHOOSE(CONTROL!$C$38, 0.0342, 0)</f>
        <v>29.194299999999998</v>
      </c>
      <c r="E288" s="45">
        <f>30.6593 * CHOOSE(CONTROL!$C$15, $E$9, 100%, $G$9) + CHOOSE(CONTROL!$C$38, 0.0342, 0)</f>
        <v>30.6935</v>
      </c>
      <c r="F288" s="44">
        <f>30.6593 * CHOOSE(CONTROL!$C$15, $E$9, 100%, $G$9) + CHOOSE(CONTROL!$C$38, 0.0251, 0)</f>
        <v>30.6844</v>
      </c>
      <c r="G288" s="14">
        <f>29.1664 * CHOOSE(CONTROL!$C$15, $E$9, 100%, $G$9) + CHOOSE(CONTROL!$C$38, 0.0342, 0)</f>
        <v>29.200599999999998</v>
      </c>
      <c r="H288" s="14">
        <f>29.1664 * CHOOSE(CONTROL!$C$15, $E$9, 100%, $G$9) + CHOOSE(CONTROL!$C$38, 0.0342, 0)</f>
        <v>29.200599999999998</v>
      </c>
      <c r="I288" s="14">
        <f>29.1679 * CHOOSE(CONTROL!$C$15, $E$9, 100%, $G$9) + CHOOSE(CONTROL!$C$38, 0.0342, 0)</f>
        <v>29.202099999999998</v>
      </c>
      <c r="J288" s="43">
        <f>178.8546</f>
        <v>178.8546</v>
      </c>
    </row>
    <row r="289" spans="1:10" ht="15" x14ac:dyDescent="0.2">
      <c r="A289" s="33">
        <v>49706</v>
      </c>
      <c r="B289" s="14">
        <f>31.1598 * CHOOSE(CONTROL!$C$15, $E$9, 100%, $G$9) + CHOOSE(CONTROL!$C$38, 0.0251, 0)</f>
        <v>31.184899999999999</v>
      </c>
      <c r="C289" s="14">
        <f>29.5123 * CHOOSE(CONTROL!$C$15, $E$9, 100%, $G$9) + CHOOSE(CONTROL!$C$38, 0.0342, 0)</f>
        <v>29.546499999999998</v>
      </c>
      <c r="D289" s="14">
        <f>29.5044 * CHOOSE(CONTROL!$C$15, $E$9, 100%, $G$9) + CHOOSE(CONTROL!$C$38, 0.0342, 0)</f>
        <v>29.538599999999999</v>
      </c>
      <c r="E289" s="45">
        <f>31.0036 * CHOOSE(CONTROL!$C$15, $E$9, 100%, $G$9) + CHOOSE(CONTROL!$C$38, 0.0342, 0)</f>
        <v>31.037799999999997</v>
      </c>
      <c r="F289" s="44">
        <f>31.0036 * CHOOSE(CONTROL!$C$15, $E$9, 100%, $G$9) + CHOOSE(CONTROL!$C$38, 0.0251, 0)</f>
        <v>31.028699999999997</v>
      </c>
      <c r="G289" s="14">
        <f>29.5107 * CHOOSE(CONTROL!$C$15, $E$9, 100%, $G$9) + CHOOSE(CONTROL!$C$38, 0.0342, 0)</f>
        <v>29.544899999999998</v>
      </c>
      <c r="H289" s="14">
        <f>29.5107 * CHOOSE(CONTROL!$C$15, $E$9, 100%, $G$9) + CHOOSE(CONTROL!$C$38, 0.0342, 0)</f>
        <v>29.544899999999998</v>
      </c>
      <c r="I289" s="14">
        <f>29.5123 * CHOOSE(CONTROL!$C$15, $E$9, 100%, $G$9) + CHOOSE(CONTROL!$C$38, 0.0342, 0)</f>
        <v>29.546499999999998</v>
      </c>
      <c r="J289" s="43">
        <f>178.3574</f>
        <v>178.35740000000001</v>
      </c>
    </row>
    <row r="290" spans="1:10" ht="15" x14ac:dyDescent="0.2">
      <c r="A290" s="33">
        <v>49735</v>
      </c>
      <c r="B290" s="14">
        <f>30.3628 * CHOOSE(CONTROL!$C$15, $E$9, 100%, $G$9) + CHOOSE(CONTROL!$C$38, 0.0251, 0)</f>
        <v>30.387899999999998</v>
      </c>
      <c r="C290" s="14">
        <f>28.7152 * CHOOSE(CONTROL!$C$15, $E$9, 100%, $G$9) + CHOOSE(CONTROL!$C$38, 0.0342, 0)</f>
        <v>28.749399999999998</v>
      </c>
      <c r="D290" s="14">
        <f>28.7074 * CHOOSE(CONTROL!$C$15, $E$9, 100%, $G$9) + CHOOSE(CONTROL!$C$38, 0.0342, 0)</f>
        <v>28.741599999999998</v>
      </c>
      <c r="E290" s="45">
        <f>30.2065 * CHOOSE(CONTROL!$C$15, $E$9, 100%, $G$9) + CHOOSE(CONTROL!$C$38, 0.0342, 0)</f>
        <v>30.240699999999997</v>
      </c>
      <c r="F290" s="44">
        <f>30.2065 * CHOOSE(CONTROL!$C$15, $E$9, 100%, $G$9) + CHOOSE(CONTROL!$C$38, 0.0251, 0)</f>
        <v>30.231599999999997</v>
      </c>
      <c r="G290" s="14">
        <f>28.7137 * CHOOSE(CONTROL!$C$15, $E$9, 100%, $G$9) + CHOOSE(CONTROL!$C$38, 0.0342, 0)</f>
        <v>28.747899999999998</v>
      </c>
      <c r="H290" s="14">
        <f>28.7137 * CHOOSE(CONTROL!$C$15, $E$9, 100%, $G$9) + CHOOSE(CONTROL!$C$38, 0.0342, 0)</f>
        <v>28.747899999999998</v>
      </c>
      <c r="I290" s="14">
        <f>28.7152 * CHOOSE(CONTROL!$C$15, $E$9, 100%, $G$9) + CHOOSE(CONTROL!$C$38, 0.0342, 0)</f>
        <v>28.749399999999998</v>
      </c>
      <c r="J290" s="43">
        <f>187.7579</f>
        <v>187.75790000000001</v>
      </c>
    </row>
    <row r="291" spans="1:10" ht="15" x14ac:dyDescent="0.2">
      <c r="A291" s="33">
        <v>49766</v>
      </c>
      <c r="B291" s="14">
        <f>29.5905 * CHOOSE(CONTROL!$C$15, $E$9, 100%, $G$9) + CHOOSE(CONTROL!$C$38, 0.0251, 0)</f>
        <v>29.615599999999997</v>
      </c>
      <c r="C291" s="14">
        <f>27.9429 * CHOOSE(CONTROL!$C$15, $E$9, 100%, $G$9) + CHOOSE(CONTROL!$C$38, 0.0342, 0)</f>
        <v>27.9771</v>
      </c>
      <c r="D291" s="14">
        <f>27.9351 * CHOOSE(CONTROL!$C$15, $E$9, 100%, $G$9) + CHOOSE(CONTROL!$C$38, 0.0342, 0)</f>
        <v>27.969299999999997</v>
      </c>
      <c r="E291" s="45">
        <f>29.4342 * CHOOSE(CONTROL!$C$15, $E$9, 100%, $G$9) + CHOOSE(CONTROL!$C$38, 0.0342, 0)</f>
        <v>29.468399999999999</v>
      </c>
      <c r="F291" s="44">
        <f>29.4342 * CHOOSE(CONTROL!$C$15, $E$9, 100%, $G$9) + CHOOSE(CONTROL!$C$38, 0.0251, 0)</f>
        <v>29.459299999999999</v>
      </c>
      <c r="G291" s="14">
        <f>27.9413 * CHOOSE(CONTROL!$C$15, $E$9, 100%, $G$9) + CHOOSE(CONTROL!$C$38, 0.0342, 0)</f>
        <v>27.975499999999997</v>
      </c>
      <c r="H291" s="14">
        <f>27.9413 * CHOOSE(CONTROL!$C$15, $E$9, 100%, $G$9) + CHOOSE(CONTROL!$C$38, 0.0342, 0)</f>
        <v>27.975499999999997</v>
      </c>
      <c r="I291" s="14">
        <f>27.9429 * CHOOSE(CONTROL!$C$15, $E$9, 100%, $G$9) + CHOOSE(CONTROL!$C$38, 0.0342, 0)</f>
        <v>27.9771</v>
      </c>
      <c r="J291" s="43">
        <f>199.948</f>
        <v>199.94800000000001</v>
      </c>
    </row>
    <row r="292" spans="1:10" ht="15" x14ac:dyDescent="0.2">
      <c r="A292" s="33">
        <v>49796</v>
      </c>
      <c r="B292" s="14">
        <f>28.7855 * CHOOSE(CONTROL!$C$15, $E$9, 100%, $G$9) + CHOOSE(CONTROL!$C$38, 0.0264, 0)</f>
        <v>28.811899999999998</v>
      </c>
      <c r="C292" s="14">
        <f>27.1379 * CHOOSE(CONTROL!$C$15, $E$9, 100%, $G$9) + CHOOSE(CONTROL!$C$38, 0.0354, 0)</f>
        <v>27.173299999999998</v>
      </c>
      <c r="D292" s="14">
        <f>27.1301 * CHOOSE(CONTROL!$C$15, $E$9, 100%, $G$9) + CHOOSE(CONTROL!$C$38, 0.0354, 0)</f>
        <v>27.165499999999998</v>
      </c>
      <c r="E292" s="45">
        <f>28.6293 * CHOOSE(CONTROL!$C$15, $E$9, 100%, $G$9) + CHOOSE(CONTROL!$C$38, 0.0354, 0)</f>
        <v>28.6647</v>
      </c>
      <c r="F292" s="44">
        <f>28.6293 * CHOOSE(CONTROL!$C$15, $E$9, 100%, $G$9) + CHOOSE(CONTROL!$C$38, 0.0264, 0)</f>
        <v>28.6557</v>
      </c>
      <c r="G292" s="14">
        <f>27.1364 * CHOOSE(CONTROL!$C$15, $E$9, 100%, $G$9) + CHOOSE(CONTROL!$C$38, 0.0354, 0)</f>
        <v>27.171799999999998</v>
      </c>
      <c r="H292" s="14">
        <f>27.1364 * CHOOSE(CONTROL!$C$15, $E$9, 100%, $G$9) + CHOOSE(CONTROL!$C$38, 0.0354, 0)</f>
        <v>27.171799999999998</v>
      </c>
      <c r="I292" s="14">
        <f>27.1379 * CHOOSE(CONTROL!$C$15, $E$9, 100%, $G$9) + CHOOSE(CONTROL!$C$38, 0.0354, 0)</f>
        <v>27.173299999999998</v>
      </c>
      <c r="J292" s="43">
        <f>206.6579</f>
        <v>206.65790000000001</v>
      </c>
    </row>
    <row r="293" spans="1:10" ht="15" x14ac:dyDescent="0.2">
      <c r="A293" s="33">
        <v>49827</v>
      </c>
      <c r="B293" s="14">
        <f>28.2212 * CHOOSE(CONTROL!$C$15, $E$9, 100%, $G$9) + CHOOSE(CONTROL!$C$38, 0.0264, 0)</f>
        <v>28.247599999999998</v>
      </c>
      <c r="C293" s="14">
        <f>26.5736 * CHOOSE(CONTROL!$C$15, $E$9, 100%, $G$9) + CHOOSE(CONTROL!$C$38, 0.0354, 0)</f>
        <v>26.608999999999998</v>
      </c>
      <c r="D293" s="14">
        <f>26.5658 * CHOOSE(CONTROL!$C$15, $E$9, 100%, $G$9) + CHOOSE(CONTROL!$C$38, 0.0354, 0)</f>
        <v>26.601199999999999</v>
      </c>
      <c r="E293" s="45">
        <f>28.0649 * CHOOSE(CONTROL!$C$15, $E$9, 100%, $G$9) + CHOOSE(CONTROL!$C$38, 0.0354, 0)</f>
        <v>28.100300000000001</v>
      </c>
      <c r="F293" s="44">
        <f>28.0649 * CHOOSE(CONTROL!$C$15, $E$9, 100%, $G$9) + CHOOSE(CONTROL!$C$38, 0.0264, 0)</f>
        <v>28.0913</v>
      </c>
      <c r="G293" s="14">
        <f>26.572 * CHOOSE(CONTROL!$C$15, $E$9, 100%, $G$9) + CHOOSE(CONTROL!$C$38, 0.0354, 0)</f>
        <v>26.607399999999998</v>
      </c>
      <c r="H293" s="14">
        <f>26.572 * CHOOSE(CONTROL!$C$15, $E$9, 100%, $G$9) + CHOOSE(CONTROL!$C$38, 0.0354, 0)</f>
        <v>26.607399999999998</v>
      </c>
      <c r="I293" s="14">
        <f>26.5736 * CHOOSE(CONTROL!$C$15, $E$9, 100%, $G$9) + CHOOSE(CONTROL!$C$38, 0.0354, 0)</f>
        <v>26.608999999999998</v>
      </c>
      <c r="J293" s="43">
        <f>209.6356</f>
        <v>209.63560000000001</v>
      </c>
    </row>
    <row r="294" spans="1:10" ht="15" x14ac:dyDescent="0.2">
      <c r="A294" s="33">
        <v>49857</v>
      </c>
      <c r="B294" s="14">
        <f>27.8991 * CHOOSE(CONTROL!$C$15, $E$9, 100%, $G$9) + CHOOSE(CONTROL!$C$38, 0.0264, 0)</f>
        <v>27.9255</v>
      </c>
      <c r="C294" s="14">
        <f>26.2516 * CHOOSE(CONTROL!$C$15, $E$9, 100%, $G$9) + CHOOSE(CONTROL!$C$38, 0.0354, 0)</f>
        <v>26.286999999999999</v>
      </c>
      <c r="D294" s="14">
        <f>26.2437 * CHOOSE(CONTROL!$C$15, $E$9, 100%, $G$9) + CHOOSE(CONTROL!$C$38, 0.0354, 0)</f>
        <v>26.2791</v>
      </c>
      <c r="E294" s="45">
        <f>27.7429 * CHOOSE(CONTROL!$C$15, $E$9, 100%, $G$9) + CHOOSE(CONTROL!$C$38, 0.0354, 0)</f>
        <v>27.778299999999998</v>
      </c>
      <c r="F294" s="44">
        <f>27.7429 * CHOOSE(CONTROL!$C$15, $E$9, 100%, $G$9) + CHOOSE(CONTROL!$C$38, 0.0264, 0)</f>
        <v>27.769299999999998</v>
      </c>
      <c r="G294" s="14">
        <f>26.25 * CHOOSE(CONTROL!$C$15, $E$9, 100%, $G$9) + CHOOSE(CONTROL!$C$38, 0.0354, 0)</f>
        <v>26.285399999999999</v>
      </c>
      <c r="H294" s="14">
        <f>26.25 * CHOOSE(CONTROL!$C$15, $E$9, 100%, $G$9) + CHOOSE(CONTROL!$C$38, 0.0354, 0)</f>
        <v>26.285399999999999</v>
      </c>
      <c r="I294" s="14">
        <f>26.2516 * CHOOSE(CONTROL!$C$15, $E$9, 100%, $G$9) + CHOOSE(CONTROL!$C$38, 0.0354, 0)</f>
        <v>26.286999999999999</v>
      </c>
      <c r="J294" s="43">
        <f>208.6552</f>
        <v>208.65520000000001</v>
      </c>
    </row>
    <row r="295" spans="1:10" ht="15" x14ac:dyDescent="0.2">
      <c r="A295" s="33">
        <v>49888</v>
      </c>
      <c r="B295" s="14">
        <f>28.0581 * CHOOSE(CONTROL!$C$15, $E$9, 100%, $G$9) + CHOOSE(CONTROL!$C$38, 0.0264, 0)</f>
        <v>28.084499999999998</v>
      </c>
      <c r="C295" s="14">
        <f>26.4105 * CHOOSE(CONTROL!$C$15, $E$9, 100%, $G$9) + CHOOSE(CONTROL!$C$38, 0.0354, 0)</f>
        <v>26.445899999999998</v>
      </c>
      <c r="D295" s="14">
        <f>26.4027 * CHOOSE(CONTROL!$C$15, $E$9, 100%, $G$9) + CHOOSE(CONTROL!$C$38, 0.0354, 0)</f>
        <v>26.438099999999999</v>
      </c>
      <c r="E295" s="45">
        <f>27.9018 * CHOOSE(CONTROL!$C$15, $E$9, 100%, $G$9) + CHOOSE(CONTROL!$C$38, 0.0354, 0)</f>
        <v>27.937200000000001</v>
      </c>
      <c r="F295" s="44">
        <f>27.9018 * CHOOSE(CONTROL!$C$15, $E$9, 100%, $G$9) + CHOOSE(CONTROL!$C$38, 0.0264, 0)</f>
        <v>27.9282</v>
      </c>
      <c r="G295" s="14">
        <f>26.4089 * CHOOSE(CONTROL!$C$15, $E$9, 100%, $G$9) + CHOOSE(CONTROL!$C$38, 0.0354, 0)</f>
        <v>26.444299999999998</v>
      </c>
      <c r="H295" s="14">
        <f>26.4089 * CHOOSE(CONTROL!$C$15, $E$9, 100%, $G$9) + CHOOSE(CONTROL!$C$38, 0.0354, 0)</f>
        <v>26.444299999999998</v>
      </c>
      <c r="I295" s="14">
        <f>26.4105 * CHOOSE(CONTROL!$C$15, $E$9, 100%, $G$9) + CHOOSE(CONTROL!$C$38, 0.0354, 0)</f>
        <v>26.445899999999998</v>
      </c>
      <c r="J295" s="43">
        <f>203.7978</f>
        <v>203.7978</v>
      </c>
    </row>
    <row r="296" spans="1:10" ht="15" x14ac:dyDescent="0.2">
      <c r="A296" s="33">
        <v>49919</v>
      </c>
      <c r="B296" s="14">
        <f>28.4898 * CHOOSE(CONTROL!$C$15, $E$9, 100%, $G$9) + CHOOSE(CONTROL!$C$38, 0.0264, 0)</f>
        <v>28.516199999999998</v>
      </c>
      <c r="C296" s="14">
        <f>26.8422 * CHOOSE(CONTROL!$C$15, $E$9, 100%, $G$9) + CHOOSE(CONTROL!$C$38, 0.0354, 0)</f>
        <v>26.877599999999997</v>
      </c>
      <c r="D296" s="14">
        <f>26.8344 * CHOOSE(CONTROL!$C$15, $E$9, 100%, $G$9) + CHOOSE(CONTROL!$C$38, 0.0354, 0)</f>
        <v>26.869799999999998</v>
      </c>
      <c r="E296" s="45">
        <f>28.3335 * CHOOSE(CONTROL!$C$15, $E$9, 100%, $G$9) + CHOOSE(CONTROL!$C$38, 0.0354, 0)</f>
        <v>28.3689</v>
      </c>
      <c r="F296" s="44">
        <f>28.3335 * CHOOSE(CONTROL!$C$15, $E$9, 100%, $G$9) + CHOOSE(CONTROL!$C$38, 0.0264, 0)</f>
        <v>28.3599</v>
      </c>
      <c r="G296" s="14">
        <f>26.8406 * CHOOSE(CONTROL!$C$15, $E$9, 100%, $G$9) + CHOOSE(CONTROL!$C$38, 0.0354, 0)</f>
        <v>26.875999999999998</v>
      </c>
      <c r="H296" s="14">
        <f>26.8406 * CHOOSE(CONTROL!$C$15, $E$9, 100%, $G$9) + CHOOSE(CONTROL!$C$38, 0.0354, 0)</f>
        <v>26.875999999999998</v>
      </c>
      <c r="I296" s="14">
        <f>26.8422 * CHOOSE(CONTROL!$C$15, $E$9, 100%, $G$9) + CHOOSE(CONTROL!$C$38, 0.0354, 0)</f>
        <v>26.877599999999997</v>
      </c>
      <c r="J296" s="43">
        <f>197.0239</f>
        <v>197.0239</v>
      </c>
    </row>
    <row r="297" spans="1:10" ht="15" x14ac:dyDescent="0.2">
      <c r="A297" s="33">
        <v>49949</v>
      </c>
      <c r="B297" s="14">
        <f>28.8513 * CHOOSE(CONTROL!$C$15, $E$9, 100%, $G$9) + CHOOSE(CONTROL!$C$38, 0.0251, 0)</f>
        <v>28.876399999999997</v>
      </c>
      <c r="C297" s="14">
        <f>27.2038 * CHOOSE(CONTROL!$C$15, $E$9, 100%, $G$9) + CHOOSE(CONTROL!$C$38, 0.0342, 0)</f>
        <v>27.238</v>
      </c>
      <c r="D297" s="14">
        <f>27.196 * CHOOSE(CONTROL!$C$15, $E$9, 100%, $G$9) + CHOOSE(CONTROL!$C$38, 0.0342, 0)</f>
        <v>27.2302</v>
      </c>
      <c r="E297" s="45">
        <f>28.6951 * CHOOSE(CONTROL!$C$15, $E$9, 100%, $G$9) + CHOOSE(CONTROL!$C$38, 0.0342, 0)</f>
        <v>28.729299999999999</v>
      </c>
      <c r="F297" s="44">
        <f>28.6951 * CHOOSE(CONTROL!$C$15, $E$9, 100%, $G$9) + CHOOSE(CONTROL!$C$38, 0.0251, 0)</f>
        <v>28.720199999999998</v>
      </c>
      <c r="G297" s="14">
        <f>27.2022 * CHOOSE(CONTROL!$C$15, $E$9, 100%, $G$9) + CHOOSE(CONTROL!$C$38, 0.0342, 0)</f>
        <v>27.2364</v>
      </c>
      <c r="H297" s="14">
        <f>27.2022 * CHOOSE(CONTROL!$C$15, $E$9, 100%, $G$9) + CHOOSE(CONTROL!$C$38, 0.0342, 0)</f>
        <v>27.2364</v>
      </c>
      <c r="I297" s="14">
        <f>27.2038 * CHOOSE(CONTROL!$C$15, $E$9, 100%, $G$9) + CHOOSE(CONTROL!$C$38, 0.0342, 0)</f>
        <v>27.238</v>
      </c>
      <c r="J297" s="43">
        <f>190.2106</f>
        <v>190.2106</v>
      </c>
    </row>
    <row r="298" spans="1:10" ht="15" x14ac:dyDescent="0.2">
      <c r="A298" s="33">
        <v>49980</v>
      </c>
      <c r="B298" s="14">
        <f>29.153 * CHOOSE(CONTROL!$C$15, $E$9, 100%, $G$9) + CHOOSE(CONTROL!$C$38, 0.0251, 0)</f>
        <v>29.178099999999997</v>
      </c>
      <c r="C298" s="14">
        <f>27.5055 * CHOOSE(CONTROL!$C$15, $E$9, 100%, $G$9) + CHOOSE(CONTROL!$C$38, 0.0342, 0)</f>
        <v>27.5397</v>
      </c>
      <c r="D298" s="14">
        <f>27.4977 * CHOOSE(CONTROL!$C$15, $E$9, 100%, $G$9) + CHOOSE(CONTROL!$C$38, 0.0342, 0)</f>
        <v>27.531899999999997</v>
      </c>
      <c r="E298" s="45">
        <f>28.9968 * CHOOSE(CONTROL!$C$15, $E$9, 100%, $G$9) + CHOOSE(CONTROL!$C$38, 0.0342, 0)</f>
        <v>29.030999999999999</v>
      </c>
      <c r="F298" s="44">
        <f>28.9968 * CHOOSE(CONTROL!$C$15, $E$9, 100%, $G$9) + CHOOSE(CONTROL!$C$38, 0.0251, 0)</f>
        <v>29.021899999999999</v>
      </c>
      <c r="G298" s="14">
        <f>27.5039 * CHOOSE(CONTROL!$C$15, $E$9, 100%, $G$9) + CHOOSE(CONTROL!$C$38, 0.0342, 0)</f>
        <v>27.5381</v>
      </c>
      <c r="H298" s="14">
        <f>27.5039 * CHOOSE(CONTROL!$C$15, $E$9, 100%, $G$9) + CHOOSE(CONTROL!$C$38, 0.0342, 0)</f>
        <v>27.5381</v>
      </c>
      <c r="I298" s="14">
        <f>27.5055 * CHOOSE(CONTROL!$C$15, $E$9, 100%, $G$9) + CHOOSE(CONTROL!$C$38, 0.0342, 0)</f>
        <v>27.5397</v>
      </c>
      <c r="J298" s="43">
        <f>188.8553</f>
        <v>188.8553</v>
      </c>
    </row>
    <row r="299" spans="1:10" ht="15" x14ac:dyDescent="0.2">
      <c r="A299" s="33">
        <v>50010</v>
      </c>
      <c r="B299" s="14">
        <f>30.0827 * CHOOSE(CONTROL!$C$15, $E$9, 100%, $G$9) + CHOOSE(CONTROL!$C$38, 0.0251, 0)</f>
        <v>30.107799999999997</v>
      </c>
      <c r="C299" s="14">
        <f>28.4351 * CHOOSE(CONTROL!$C$15, $E$9, 100%, $G$9) + CHOOSE(CONTROL!$C$38, 0.0342, 0)</f>
        <v>28.469299999999997</v>
      </c>
      <c r="D299" s="14">
        <f>28.4273 * CHOOSE(CONTROL!$C$15, $E$9, 100%, $G$9) + CHOOSE(CONTROL!$C$38, 0.0342, 0)</f>
        <v>28.461499999999997</v>
      </c>
      <c r="E299" s="45">
        <f>29.9265 * CHOOSE(CONTROL!$C$15, $E$9, 100%, $G$9) + CHOOSE(CONTROL!$C$38, 0.0342, 0)</f>
        <v>29.960699999999999</v>
      </c>
      <c r="F299" s="44">
        <f>29.9265 * CHOOSE(CONTROL!$C$15, $E$9, 100%, $G$9) + CHOOSE(CONTROL!$C$38, 0.0251, 0)</f>
        <v>29.951599999999999</v>
      </c>
      <c r="G299" s="14">
        <f>28.4336 * CHOOSE(CONTROL!$C$15, $E$9, 100%, $G$9) + CHOOSE(CONTROL!$C$38, 0.0342, 0)</f>
        <v>28.467799999999997</v>
      </c>
      <c r="H299" s="14">
        <f>28.4336 * CHOOSE(CONTROL!$C$15, $E$9, 100%, $G$9) + CHOOSE(CONTROL!$C$38, 0.0342, 0)</f>
        <v>28.467799999999997</v>
      </c>
      <c r="I299" s="14">
        <f>28.4351 * CHOOSE(CONTROL!$C$15, $E$9, 100%, $G$9) + CHOOSE(CONTROL!$C$38, 0.0342, 0)</f>
        <v>28.469299999999997</v>
      </c>
      <c r="J299" s="43">
        <f>183.251</f>
        <v>183.251</v>
      </c>
    </row>
    <row r="300" spans="1:10" ht="15" x14ac:dyDescent="0.2">
      <c r="A300" s="33">
        <v>50041</v>
      </c>
      <c r="B300" s="14">
        <f>31.2972 * CHOOSE(CONTROL!$C$15, $E$9, 100%, $G$9) + CHOOSE(CONTROL!$C$38, 0.0251, 0)</f>
        <v>31.322299999999998</v>
      </c>
      <c r="C300" s="14">
        <f>29.6246 * CHOOSE(CONTROL!$C$15, $E$9, 100%, $G$9) + CHOOSE(CONTROL!$C$38, 0.0342, 0)</f>
        <v>29.658799999999999</v>
      </c>
      <c r="D300" s="14">
        <f>29.6168 * CHOOSE(CONTROL!$C$15, $E$9, 100%, $G$9) + CHOOSE(CONTROL!$C$38, 0.0342, 0)</f>
        <v>29.651</v>
      </c>
      <c r="E300" s="45">
        <f>31.1409 * CHOOSE(CONTROL!$C$15, $E$9, 100%, $G$9) + CHOOSE(CONTROL!$C$38, 0.0342, 0)</f>
        <v>31.175099999999997</v>
      </c>
      <c r="F300" s="44">
        <f>31.1409 * CHOOSE(CONTROL!$C$15, $E$9, 100%, $G$9) + CHOOSE(CONTROL!$C$38, 0.0251, 0)</f>
        <v>31.165999999999997</v>
      </c>
      <c r="G300" s="14">
        <f>29.623 * CHOOSE(CONTROL!$C$15, $E$9, 100%, $G$9) + CHOOSE(CONTROL!$C$38, 0.0342, 0)</f>
        <v>29.6572</v>
      </c>
      <c r="H300" s="14">
        <f>29.623 * CHOOSE(CONTROL!$C$15, $E$9, 100%, $G$9) + CHOOSE(CONTROL!$C$38, 0.0342, 0)</f>
        <v>29.6572</v>
      </c>
      <c r="I300" s="14">
        <f>29.6246 * CHOOSE(CONTROL!$C$15, $E$9, 100%, $G$9) + CHOOSE(CONTROL!$C$38, 0.0342, 0)</f>
        <v>29.658799999999999</v>
      </c>
      <c r="J300" s="43">
        <f>183.1187</f>
        <v>183.11869999999999</v>
      </c>
    </row>
    <row r="301" spans="1:10" ht="15" x14ac:dyDescent="0.2">
      <c r="A301" s="33">
        <v>50072</v>
      </c>
      <c r="B301" s="14">
        <f>31.6415 * CHOOSE(CONTROL!$C$15, $E$9, 100%, $G$9) + CHOOSE(CONTROL!$C$38, 0.0251, 0)</f>
        <v>31.666599999999999</v>
      </c>
      <c r="C301" s="14">
        <f>29.9689 * CHOOSE(CONTROL!$C$15, $E$9, 100%, $G$9) + CHOOSE(CONTROL!$C$38, 0.0342, 0)</f>
        <v>30.0031</v>
      </c>
      <c r="D301" s="14">
        <f>29.9611 * CHOOSE(CONTROL!$C$15, $E$9, 100%, $G$9) + CHOOSE(CONTROL!$C$38, 0.0342, 0)</f>
        <v>29.995299999999997</v>
      </c>
      <c r="E301" s="45">
        <f>31.4852 * CHOOSE(CONTROL!$C$15, $E$9, 100%, $G$9) + CHOOSE(CONTROL!$C$38, 0.0342, 0)</f>
        <v>31.519399999999997</v>
      </c>
      <c r="F301" s="44">
        <f>31.4852 * CHOOSE(CONTROL!$C$15, $E$9, 100%, $G$9) + CHOOSE(CONTROL!$C$38, 0.0251, 0)</f>
        <v>31.510299999999997</v>
      </c>
      <c r="G301" s="14">
        <f>29.9673 * CHOOSE(CONTROL!$C$15, $E$9, 100%, $G$9) + CHOOSE(CONTROL!$C$38, 0.0342, 0)</f>
        <v>30.0015</v>
      </c>
      <c r="H301" s="14">
        <f>29.9673 * CHOOSE(CONTROL!$C$15, $E$9, 100%, $G$9) + CHOOSE(CONTROL!$C$38, 0.0342, 0)</f>
        <v>30.0015</v>
      </c>
      <c r="I301" s="14">
        <f>29.9689 * CHOOSE(CONTROL!$C$15, $E$9, 100%, $G$9) + CHOOSE(CONTROL!$C$38, 0.0342, 0)</f>
        <v>30.0031</v>
      </c>
      <c r="J301" s="43">
        <f>182.6097</f>
        <v>182.6097</v>
      </c>
    </row>
    <row r="302" spans="1:10" ht="15" x14ac:dyDescent="0.2">
      <c r="A302" s="33">
        <v>50100</v>
      </c>
      <c r="B302" s="14">
        <f>30.8445 * CHOOSE(CONTROL!$C$15, $E$9, 100%, $G$9) + CHOOSE(CONTROL!$C$38, 0.0251, 0)</f>
        <v>30.869599999999998</v>
      </c>
      <c r="C302" s="14">
        <f>29.1718 * CHOOSE(CONTROL!$C$15, $E$9, 100%, $G$9) + CHOOSE(CONTROL!$C$38, 0.0342, 0)</f>
        <v>29.206</v>
      </c>
      <c r="D302" s="14">
        <f>29.164 * CHOOSE(CONTROL!$C$15, $E$9, 100%, $G$9) + CHOOSE(CONTROL!$C$38, 0.0342, 0)</f>
        <v>29.1982</v>
      </c>
      <c r="E302" s="45">
        <f>30.6882 * CHOOSE(CONTROL!$C$15, $E$9, 100%, $G$9) + CHOOSE(CONTROL!$C$38, 0.0342, 0)</f>
        <v>30.722399999999997</v>
      </c>
      <c r="F302" s="44">
        <f>30.6882 * CHOOSE(CONTROL!$C$15, $E$9, 100%, $G$9) + CHOOSE(CONTROL!$C$38, 0.0251, 0)</f>
        <v>30.713299999999997</v>
      </c>
      <c r="G302" s="14">
        <f>29.1703 * CHOOSE(CONTROL!$C$15, $E$9, 100%, $G$9) + CHOOSE(CONTROL!$C$38, 0.0342, 0)</f>
        <v>29.204499999999999</v>
      </c>
      <c r="H302" s="14">
        <f>29.1703 * CHOOSE(CONTROL!$C$15, $E$9, 100%, $G$9) + CHOOSE(CONTROL!$C$38, 0.0342, 0)</f>
        <v>29.204499999999999</v>
      </c>
      <c r="I302" s="14">
        <f>29.1718 * CHOOSE(CONTROL!$C$15, $E$9, 100%, $G$9) + CHOOSE(CONTROL!$C$38, 0.0342, 0)</f>
        <v>29.206</v>
      </c>
      <c r="J302" s="43">
        <f>192.2343</f>
        <v>192.23429999999999</v>
      </c>
    </row>
    <row r="303" spans="1:10" ht="15" x14ac:dyDescent="0.2">
      <c r="A303" s="33">
        <v>50131</v>
      </c>
      <c r="B303" s="14">
        <f>30.0722 * CHOOSE(CONTROL!$C$15, $E$9, 100%, $G$9) + CHOOSE(CONTROL!$C$38, 0.0251, 0)</f>
        <v>30.097299999999997</v>
      </c>
      <c r="C303" s="14">
        <f>28.3995 * CHOOSE(CONTROL!$C$15, $E$9, 100%, $G$9) + CHOOSE(CONTROL!$C$38, 0.0342, 0)</f>
        <v>28.433699999999998</v>
      </c>
      <c r="D303" s="14">
        <f>28.3917 * CHOOSE(CONTROL!$C$15, $E$9, 100%, $G$9) + CHOOSE(CONTROL!$C$38, 0.0342, 0)</f>
        <v>28.425899999999999</v>
      </c>
      <c r="E303" s="45">
        <f>29.9159 * CHOOSE(CONTROL!$C$15, $E$9, 100%, $G$9) + CHOOSE(CONTROL!$C$38, 0.0342, 0)</f>
        <v>29.950099999999999</v>
      </c>
      <c r="F303" s="44">
        <f>29.9159 * CHOOSE(CONTROL!$C$15, $E$9, 100%, $G$9) + CHOOSE(CONTROL!$C$38, 0.0251, 0)</f>
        <v>29.940999999999999</v>
      </c>
      <c r="G303" s="14">
        <f>28.398 * CHOOSE(CONTROL!$C$15, $E$9, 100%, $G$9) + CHOOSE(CONTROL!$C$38, 0.0342, 0)</f>
        <v>28.432199999999998</v>
      </c>
      <c r="H303" s="14">
        <f>28.398 * CHOOSE(CONTROL!$C$15, $E$9, 100%, $G$9) + CHOOSE(CONTROL!$C$38, 0.0342, 0)</f>
        <v>28.432199999999998</v>
      </c>
      <c r="I303" s="14">
        <f>28.3995 * CHOOSE(CONTROL!$C$15, $E$9, 100%, $G$9) + CHOOSE(CONTROL!$C$38, 0.0342, 0)</f>
        <v>28.433699999999998</v>
      </c>
      <c r="J303" s="43">
        <f>204.7151</f>
        <v>204.71510000000001</v>
      </c>
    </row>
    <row r="304" spans="1:10" ht="15" x14ac:dyDescent="0.2">
      <c r="A304" s="33">
        <v>50161</v>
      </c>
      <c r="B304" s="14">
        <f>29.2672 * CHOOSE(CONTROL!$C$15, $E$9, 100%, $G$9) + CHOOSE(CONTROL!$C$38, 0.0264, 0)</f>
        <v>29.293599999999998</v>
      </c>
      <c r="C304" s="14">
        <f>27.5946 * CHOOSE(CONTROL!$C$15, $E$9, 100%, $G$9) + CHOOSE(CONTROL!$C$38, 0.0354, 0)</f>
        <v>27.63</v>
      </c>
      <c r="D304" s="14">
        <f>27.5868 * CHOOSE(CONTROL!$C$15, $E$9, 100%, $G$9) + CHOOSE(CONTROL!$C$38, 0.0354, 0)</f>
        <v>27.622199999999999</v>
      </c>
      <c r="E304" s="45">
        <f>29.1109 * CHOOSE(CONTROL!$C$15, $E$9, 100%, $G$9) + CHOOSE(CONTROL!$C$38, 0.0354, 0)</f>
        <v>29.1463</v>
      </c>
      <c r="F304" s="44">
        <f>29.1109 * CHOOSE(CONTROL!$C$15, $E$9, 100%, $G$9) + CHOOSE(CONTROL!$C$38, 0.0264, 0)</f>
        <v>29.1373</v>
      </c>
      <c r="G304" s="14">
        <f>27.593 * CHOOSE(CONTROL!$C$15, $E$9, 100%, $G$9) + CHOOSE(CONTROL!$C$38, 0.0354, 0)</f>
        <v>27.628399999999999</v>
      </c>
      <c r="H304" s="14">
        <f>27.593 * CHOOSE(CONTROL!$C$15, $E$9, 100%, $G$9) + CHOOSE(CONTROL!$C$38, 0.0354, 0)</f>
        <v>27.628399999999999</v>
      </c>
      <c r="I304" s="14">
        <f>27.5946 * CHOOSE(CONTROL!$C$15, $E$9, 100%, $G$9) + CHOOSE(CONTROL!$C$38, 0.0354, 0)</f>
        <v>27.63</v>
      </c>
      <c r="J304" s="43">
        <f>211.5849</f>
        <v>211.5849</v>
      </c>
    </row>
    <row r="305" spans="1:10" ht="15" x14ac:dyDescent="0.2">
      <c r="A305" s="33">
        <v>50192</v>
      </c>
      <c r="B305" s="14">
        <f>28.7029 * CHOOSE(CONTROL!$C$15, $E$9, 100%, $G$9) + CHOOSE(CONTROL!$C$38, 0.0264, 0)</f>
        <v>28.729299999999999</v>
      </c>
      <c r="C305" s="14">
        <f>27.0302 * CHOOSE(CONTROL!$C$15, $E$9, 100%, $G$9) + CHOOSE(CONTROL!$C$38, 0.0354, 0)</f>
        <v>27.0656</v>
      </c>
      <c r="D305" s="14">
        <f>27.0224 * CHOOSE(CONTROL!$C$15, $E$9, 100%, $G$9) + CHOOSE(CONTROL!$C$38, 0.0354, 0)</f>
        <v>27.0578</v>
      </c>
      <c r="E305" s="45">
        <f>28.5466 * CHOOSE(CONTROL!$C$15, $E$9, 100%, $G$9) + CHOOSE(CONTROL!$C$38, 0.0354, 0)</f>
        <v>28.582000000000001</v>
      </c>
      <c r="F305" s="44">
        <f>28.5466 * CHOOSE(CONTROL!$C$15, $E$9, 100%, $G$9) + CHOOSE(CONTROL!$C$38, 0.0264, 0)</f>
        <v>28.573</v>
      </c>
      <c r="G305" s="14">
        <f>27.0287 * CHOOSE(CONTROL!$C$15, $E$9, 100%, $G$9) + CHOOSE(CONTROL!$C$38, 0.0354, 0)</f>
        <v>27.0641</v>
      </c>
      <c r="H305" s="14">
        <f>27.0287 * CHOOSE(CONTROL!$C$15, $E$9, 100%, $G$9) + CHOOSE(CONTROL!$C$38, 0.0354, 0)</f>
        <v>27.0641</v>
      </c>
      <c r="I305" s="14">
        <f>27.0302 * CHOOSE(CONTROL!$C$15, $E$9, 100%, $G$9) + CHOOSE(CONTROL!$C$38, 0.0354, 0)</f>
        <v>27.0656</v>
      </c>
      <c r="J305" s="43">
        <f>214.6336</f>
        <v>214.6336</v>
      </c>
    </row>
    <row r="306" spans="1:10" ht="15" x14ac:dyDescent="0.2">
      <c r="A306" s="33">
        <v>50222</v>
      </c>
      <c r="B306" s="14">
        <f>28.3808 * CHOOSE(CONTROL!$C$15, $E$9, 100%, $G$9) + CHOOSE(CONTROL!$C$38, 0.0264, 0)</f>
        <v>28.4072</v>
      </c>
      <c r="C306" s="14">
        <f>26.7082 * CHOOSE(CONTROL!$C$15, $E$9, 100%, $G$9) + CHOOSE(CONTROL!$C$38, 0.0354, 0)</f>
        <v>26.743600000000001</v>
      </c>
      <c r="D306" s="14">
        <f>26.7004 * CHOOSE(CONTROL!$C$15, $E$9, 100%, $G$9) + CHOOSE(CONTROL!$C$38, 0.0354, 0)</f>
        <v>26.735799999999998</v>
      </c>
      <c r="E306" s="45">
        <f>28.2245 * CHOOSE(CONTROL!$C$15, $E$9, 100%, $G$9) + CHOOSE(CONTROL!$C$38, 0.0354, 0)</f>
        <v>28.259899999999998</v>
      </c>
      <c r="F306" s="44">
        <f>28.2245 * CHOOSE(CONTROL!$C$15, $E$9, 100%, $G$9) + CHOOSE(CONTROL!$C$38, 0.0264, 0)</f>
        <v>28.250899999999998</v>
      </c>
      <c r="G306" s="14">
        <f>26.7066 * CHOOSE(CONTROL!$C$15, $E$9, 100%, $G$9) + CHOOSE(CONTROL!$C$38, 0.0354, 0)</f>
        <v>26.742000000000001</v>
      </c>
      <c r="H306" s="14">
        <f>26.7066 * CHOOSE(CONTROL!$C$15, $E$9, 100%, $G$9) + CHOOSE(CONTROL!$C$38, 0.0354, 0)</f>
        <v>26.742000000000001</v>
      </c>
      <c r="I306" s="14">
        <f>26.7082 * CHOOSE(CONTROL!$C$15, $E$9, 100%, $G$9) + CHOOSE(CONTROL!$C$38, 0.0354, 0)</f>
        <v>26.743600000000001</v>
      </c>
      <c r="J306" s="43">
        <f>213.6299</f>
        <v>213.62989999999999</v>
      </c>
    </row>
    <row r="307" spans="1:10" ht="15" x14ac:dyDescent="0.2">
      <c r="A307" s="33">
        <v>50253</v>
      </c>
      <c r="B307" s="14">
        <f>28.5397 * CHOOSE(CONTROL!$C$15, $E$9, 100%, $G$9) + CHOOSE(CONTROL!$C$38, 0.0264, 0)</f>
        <v>28.566099999999999</v>
      </c>
      <c r="C307" s="14">
        <f>26.8671 * CHOOSE(CONTROL!$C$15, $E$9, 100%, $G$9) + CHOOSE(CONTROL!$C$38, 0.0354, 0)</f>
        <v>26.9025</v>
      </c>
      <c r="D307" s="14">
        <f>26.8593 * CHOOSE(CONTROL!$C$15, $E$9, 100%, $G$9) + CHOOSE(CONTROL!$C$38, 0.0354, 0)</f>
        <v>26.8947</v>
      </c>
      <c r="E307" s="45">
        <f>28.3835 * CHOOSE(CONTROL!$C$15, $E$9, 100%, $G$9) + CHOOSE(CONTROL!$C$38, 0.0354, 0)</f>
        <v>28.418900000000001</v>
      </c>
      <c r="F307" s="44">
        <f>28.3835 * CHOOSE(CONTROL!$C$15, $E$9, 100%, $G$9) + CHOOSE(CONTROL!$C$38, 0.0264, 0)</f>
        <v>28.4099</v>
      </c>
      <c r="G307" s="14">
        <f>26.8656 * CHOOSE(CONTROL!$C$15, $E$9, 100%, $G$9) + CHOOSE(CONTROL!$C$38, 0.0354, 0)</f>
        <v>26.901</v>
      </c>
      <c r="H307" s="14">
        <f>26.8656 * CHOOSE(CONTROL!$C$15, $E$9, 100%, $G$9) + CHOOSE(CONTROL!$C$38, 0.0354, 0)</f>
        <v>26.901</v>
      </c>
      <c r="I307" s="14">
        <f>26.8671 * CHOOSE(CONTROL!$C$15, $E$9, 100%, $G$9) + CHOOSE(CONTROL!$C$38, 0.0354, 0)</f>
        <v>26.9025</v>
      </c>
      <c r="J307" s="43">
        <f>208.6567</f>
        <v>208.6567</v>
      </c>
    </row>
    <row r="308" spans="1:10" ht="15" x14ac:dyDescent="0.2">
      <c r="A308" s="33">
        <v>50284</v>
      </c>
      <c r="B308" s="14">
        <f>28.9715 * CHOOSE(CONTROL!$C$15, $E$9, 100%, $G$9) + CHOOSE(CONTROL!$C$38, 0.0264, 0)</f>
        <v>28.997899999999998</v>
      </c>
      <c r="C308" s="14">
        <f>27.2988 * CHOOSE(CONTROL!$C$15, $E$9, 100%, $G$9) + CHOOSE(CONTROL!$C$38, 0.0354, 0)</f>
        <v>27.334199999999999</v>
      </c>
      <c r="D308" s="14">
        <f>27.291 * CHOOSE(CONTROL!$C$15, $E$9, 100%, $G$9) + CHOOSE(CONTROL!$C$38, 0.0354, 0)</f>
        <v>27.3264</v>
      </c>
      <c r="E308" s="45">
        <f>28.8152 * CHOOSE(CONTROL!$C$15, $E$9, 100%, $G$9) + CHOOSE(CONTROL!$C$38, 0.0354, 0)</f>
        <v>28.8506</v>
      </c>
      <c r="F308" s="44">
        <f>28.8152 * CHOOSE(CONTROL!$C$15, $E$9, 100%, $G$9) + CHOOSE(CONTROL!$C$38, 0.0264, 0)</f>
        <v>28.8416</v>
      </c>
      <c r="G308" s="14">
        <f>27.2973 * CHOOSE(CONTROL!$C$15, $E$9, 100%, $G$9) + CHOOSE(CONTROL!$C$38, 0.0354, 0)</f>
        <v>27.332699999999999</v>
      </c>
      <c r="H308" s="14">
        <f>27.2973 * CHOOSE(CONTROL!$C$15, $E$9, 100%, $G$9) + CHOOSE(CONTROL!$C$38, 0.0354, 0)</f>
        <v>27.332699999999999</v>
      </c>
      <c r="I308" s="14">
        <f>27.2988 * CHOOSE(CONTROL!$C$15, $E$9, 100%, $G$9) + CHOOSE(CONTROL!$C$38, 0.0354, 0)</f>
        <v>27.334199999999999</v>
      </c>
      <c r="J308" s="43">
        <f>201.7213</f>
        <v>201.72130000000001</v>
      </c>
    </row>
    <row r="309" spans="1:10" ht="15" x14ac:dyDescent="0.2">
      <c r="A309" s="33">
        <v>50314</v>
      </c>
      <c r="B309" s="14">
        <f>29.333 * CHOOSE(CONTROL!$C$15, $E$9, 100%, $G$9) + CHOOSE(CONTROL!$C$38, 0.0251, 0)</f>
        <v>29.358099999999997</v>
      </c>
      <c r="C309" s="14">
        <f>27.6604 * CHOOSE(CONTROL!$C$15, $E$9, 100%, $G$9) + CHOOSE(CONTROL!$C$38, 0.0342, 0)</f>
        <v>27.694599999999998</v>
      </c>
      <c r="D309" s="14">
        <f>27.6526 * CHOOSE(CONTROL!$C$15, $E$9, 100%, $G$9) + CHOOSE(CONTROL!$C$38, 0.0342, 0)</f>
        <v>27.686799999999998</v>
      </c>
      <c r="E309" s="45">
        <f>29.1768 * CHOOSE(CONTROL!$C$15, $E$9, 100%, $G$9) + CHOOSE(CONTROL!$C$38, 0.0342, 0)</f>
        <v>29.210999999999999</v>
      </c>
      <c r="F309" s="44">
        <f>29.1768 * CHOOSE(CONTROL!$C$15, $E$9, 100%, $G$9) + CHOOSE(CONTROL!$C$38, 0.0251, 0)</f>
        <v>29.201899999999998</v>
      </c>
      <c r="G309" s="14">
        <f>27.6588 * CHOOSE(CONTROL!$C$15, $E$9, 100%, $G$9) + CHOOSE(CONTROL!$C$38, 0.0342, 0)</f>
        <v>27.692999999999998</v>
      </c>
      <c r="H309" s="14">
        <f>27.6588 * CHOOSE(CONTROL!$C$15, $E$9, 100%, $G$9) + CHOOSE(CONTROL!$C$38, 0.0342, 0)</f>
        <v>27.692999999999998</v>
      </c>
      <c r="I309" s="14">
        <f>27.6604 * CHOOSE(CONTROL!$C$15, $E$9, 100%, $G$9) + CHOOSE(CONTROL!$C$38, 0.0342, 0)</f>
        <v>27.694599999999998</v>
      </c>
      <c r="J309" s="43">
        <f>194.7455</f>
        <v>194.74549999999999</v>
      </c>
    </row>
    <row r="310" spans="1:10" ht="15" x14ac:dyDescent="0.2">
      <c r="A310" s="33">
        <v>50345</v>
      </c>
      <c r="B310" s="14">
        <f>29.6347 * CHOOSE(CONTROL!$C$15, $E$9, 100%, $G$9) + CHOOSE(CONTROL!$C$38, 0.0251, 0)</f>
        <v>29.659799999999997</v>
      </c>
      <c r="C310" s="14">
        <f>27.9621 * CHOOSE(CONTROL!$C$15, $E$9, 100%, $G$9) + CHOOSE(CONTROL!$C$38, 0.0342, 0)</f>
        <v>27.996299999999998</v>
      </c>
      <c r="D310" s="14">
        <f>27.9543 * CHOOSE(CONTROL!$C$15, $E$9, 100%, $G$9) + CHOOSE(CONTROL!$C$38, 0.0342, 0)</f>
        <v>27.988499999999998</v>
      </c>
      <c r="E310" s="45">
        <f>29.4785 * CHOOSE(CONTROL!$C$15, $E$9, 100%, $G$9) + CHOOSE(CONTROL!$C$38, 0.0342, 0)</f>
        <v>29.512699999999999</v>
      </c>
      <c r="F310" s="44">
        <f>29.4785 * CHOOSE(CONTROL!$C$15, $E$9, 100%, $G$9) + CHOOSE(CONTROL!$C$38, 0.0251, 0)</f>
        <v>29.503599999999999</v>
      </c>
      <c r="G310" s="14">
        <f>27.9605 * CHOOSE(CONTROL!$C$15, $E$9, 100%, $G$9) + CHOOSE(CONTROL!$C$38, 0.0342, 0)</f>
        <v>27.994699999999998</v>
      </c>
      <c r="H310" s="14">
        <f>27.9605 * CHOOSE(CONTROL!$C$15, $E$9, 100%, $G$9) + CHOOSE(CONTROL!$C$38, 0.0342, 0)</f>
        <v>27.994699999999998</v>
      </c>
      <c r="I310" s="14">
        <f>27.9621 * CHOOSE(CONTROL!$C$15, $E$9, 100%, $G$9) + CHOOSE(CONTROL!$C$38, 0.0342, 0)</f>
        <v>27.996299999999998</v>
      </c>
      <c r="J310" s="43">
        <f>193.3579</f>
        <v>193.3579</v>
      </c>
    </row>
    <row r="311" spans="1:10" ht="15" x14ac:dyDescent="0.2">
      <c r="A311" s="33">
        <v>50375</v>
      </c>
      <c r="B311" s="14">
        <f>30.5644 * CHOOSE(CONTROL!$C$15, $E$9, 100%, $G$9) + CHOOSE(CONTROL!$C$38, 0.0251, 0)</f>
        <v>30.589499999999997</v>
      </c>
      <c r="C311" s="14">
        <f>28.8918 * CHOOSE(CONTROL!$C$15, $E$9, 100%, $G$9) + CHOOSE(CONTROL!$C$38, 0.0342, 0)</f>
        <v>28.925999999999998</v>
      </c>
      <c r="D311" s="14">
        <f>28.884 * CHOOSE(CONTROL!$C$15, $E$9, 100%, $G$9) + CHOOSE(CONTROL!$C$38, 0.0342, 0)</f>
        <v>28.918199999999999</v>
      </c>
      <c r="E311" s="45">
        <f>30.4081 * CHOOSE(CONTROL!$C$15, $E$9, 100%, $G$9) + CHOOSE(CONTROL!$C$38, 0.0342, 0)</f>
        <v>30.442299999999999</v>
      </c>
      <c r="F311" s="44">
        <f>30.4081 * CHOOSE(CONTROL!$C$15, $E$9, 100%, $G$9) + CHOOSE(CONTROL!$C$38, 0.0251, 0)</f>
        <v>30.433199999999999</v>
      </c>
      <c r="G311" s="14">
        <f>28.8902 * CHOOSE(CONTROL!$C$15, $E$9, 100%, $G$9) + CHOOSE(CONTROL!$C$38, 0.0342, 0)</f>
        <v>28.924399999999999</v>
      </c>
      <c r="H311" s="14">
        <f>28.8902 * CHOOSE(CONTROL!$C$15, $E$9, 100%, $G$9) + CHOOSE(CONTROL!$C$38, 0.0342, 0)</f>
        <v>28.924399999999999</v>
      </c>
      <c r="I311" s="14">
        <f>28.8918 * CHOOSE(CONTROL!$C$15, $E$9, 100%, $G$9) + CHOOSE(CONTROL!$C$38, 0.0342, 0)</f>
        <v>28.925999999999998</v>
      </c>
      <c r="J311" s="43">
        <f>187.62</f>
        <v>187.62</v>
      </c>
    </row>
    <row r="312" spans="1:10" ht="15.75" x14ac:dyDescent="0.25">
      <c r="A312" s="32">
        <v>50436</v>
      </c>
      <c r="B312" s="14">
        <f>31.787 * CHOOSE(CONTROL!$C$15, $E$9, 100%, $G$9) + CHOOSE(CONTROL!$C$38, 0.0251, 0)</f>
        <v>31.812099999999997</v>
      </c>
      <c r="C312" s="14">
        <f>30.0889 * CHOOSE(CONTROL!$C$15, $E$9, 100%, $G$9) + CHOOSE(CONTROL!$C$38, 0.0342, 0)</f>
        <v>30.123099999999997</v>
      </c>
      <c r="D312" s="14">
        <f>30.0811 * CHOOSE(CONTROL!$C$15, $E$9, 100%, $G$9) + CHOOSE(CONTROL!$C$38, 0.0342, 0)</f>
        <v>30.115299999999998</v>
      </c>
      <c r="E312" s="45">
        <f>31.6307 * CHOOSE(CONTROL!$C$15, $E$9, 100%, $G$9) + CHOOSE(CONTROL!$C$38, 0.0342, 0)</f>
        <v>31.664899999999999</v>
      </c>
      <c r="F312" s="44">
        <f>31.6307 * CHOOSE(CONTROL!$C$15, $E$9, 100%, $G$9) + CHOOSE(CONTROL!$C$38, 0.0251, 0)</f>
        <v>31.655799999999999</v>
      </c>
      <c r="G312" s="14">
        <f>30.0873 * CHOOSE(CONTROL!$C$15, $E$9, 100%, $G$9) + CHOOSE(CONTROL!$C$38, 0.0342, 0)</f>
        <v>30.121499999999997</v>
      </c>
      <c r="H312" s="14">
        <f>30.0873 * CHOOSE(CONTROL!$C$15, $E$9, 100%, $G$9) + CHOOSE(CONTROL!$C$38, 0.0342, 0)</f>
        <v>30.121499999999997</v>
      </c>
      <c r="I312" s="14">
        <f>30.0889 * CHOOSE(CONTROL!$C$15, $E$9, 100%, $G$9) + CHOOSE(CONTROL!$C$38, 0.0342, 0)</f>
        <v>30.123099999999997</v>
      </c>
      <c r="J312" s="43">
        <f>187.4846</f>
        <v>187.4846</v>
      </c>
    </row>
    <row r="313" spans="1:10" ht="15.75" x14ac:dyDescent="0.25">
      <c r="A313" s="32">
        <v>50464</v>
      </c>
      <c r="B313" s="14">
        <f>32.1313 * CHOOSE(CONTROL!$C$15, $E$9, 100%, $G$9) + CHOOSE(CONTROL!$C$38, 0.0251, 0)</f>
        <v>32.156400000000005</v>
      </c>
      <c r="C313" s="14">
        <f>30.4332 * CHOOSE(CONTROL!$C$15, $E$9, 100%, $G$9) + CHOOSE(CONTROL!$C$38, 0.0342, 0)</f>
        <v>30.467399999999998</v>
      </c>
      <c r="D313" s="14">
        <f>30.4254 * CHOOSE(CONTROL!$C$15, $E$9, 100%, $G$9) + CHOOSE(CONTROL!$C$38, 0.0342, 0)</f>
        <v>30.459599999999998</v>
      </c>
      <c r="E313" s="45">
        <f>31.975 * CHOOSE(CONTROL!$C$15, $E$9, 100%, $G$9) + CHOOSE(CONTROL!$C$38, 0.0342, 0)</f>
        <v>32.0092</v>
      </c>
      <c r="F313" s="44">
        <f>31.975 * CHOOSE(CONTROL!$C$15, $E$9, 100%, $G$9) + CHOOSE(CONTROL!$C$38, 0.0251, 0)</f>
        <v>32.000100000000003</v>
      </c>
      <c r="G313" s="14">
        <f>30.4316 * CHOOSE(CONTROL!$C$15, $E$9, 100%, $G$9) + CHOOSE(CONTROL!$C$38, 0.0342, 0)</f>
        <v>30.465799999999998</v>
      </c>
      <c r="H313" s="14">
        <f>30.4316 * CHOOSE(CONTROL!$C$15, $E$9, 100%, $G$9) + CHOOSE(CONTROL!$C$38, 0.0342, 0)</f>
        <v>30.465799999999998</v>
      </c>
      <c r="I313" s="14">
        <f>30.4332 * CHOOSE(CONTROL!$C$15, $E$9, 100%, $G$9) + CHOOSE(CONTROL!$C$38, 0.0342, 0)</f>
        <v>30.467399999999998</v>
      </c>
      <c r="J313" s="43">
        <f>186.9634</f>
        <v>186.96340000000001</v>
      </c>
    </row>
    <row r="314" spans="1:10" ht="15.75" x14ac:dyDescent="0.25">
      <c r="A314" s="32">
        <v>50495</v>
      </c>
      <c r="B314" s="14">
        <f>31.3342 * CHOOSE(CONTROL!$C$15, $E$9, 100%, $G$9) + CHOOSE(CONTROL!$C$38, 0.0251, 0)</f>
        <v>31.359299999999998</v>
      </c>
      <c r="C314" s="14">
        <f>29.6361 * CHOOSE(CONTROL!$C$15, $E$9, 100%, $G$9) + CHOOSE(CONTROL!$C$38, 0.0342, 0)</f>
        <v>29.670299999999997</v>
      </c>
      <c r="D314" s="14">
        <f>29.6283 * CHOOSE(CONTROL!$C$15, $E$9, 100%, $G$9) + CHOOSE(CONTROL!$C$38, 0.0342, 0)</f>
        <v>29.662499999999998</v>
      </c>
      <c r="E314" s="45">
        <f>31.178 * CHOOSE(CONTROL!$C$15, $E$9, 100%, $G$9) + CHOOSE(CONTROL!$C$38, 0.0342, 0)</f>
        <v>31.212199999999999</v>
      </c>
      <c r="F314" s="44">
        <f>31.178 * CHOOSE(CONTROL!$C$15, $E$9, 100%, $G$9) + CHOOSE(CONTROL!$C$38, 0.0251, 0)</f>
        <v>31.203099999999999</v>
      </c>
      <c r="G314" s="14">
        <f>29.6346 * CHOOSE(CONTROL!$C$15, $E$9, 100%, $G$9) + CHOOSE(CONTROL!$C$38, 0.0342, 0)</f>
        <v>29.668799999999997</v>
      </c>
      <c r="H314" s="14">
        <f>29.6346 * CHOOSE(CONTROL!$C$15, $E$9, 100%, $G$9) + CHOOSE(CONTROL!$C$38, 0.0342, 0)</f>
        <v>29.668799999999997</v>
      </c>
      <c r="I314" s="14">
        <f>29.6361 * CHOOSE(CONTROL!$C$15, $E$9, 100%, $G$9) + CHOOSE(CONTROL!$C$38, 0.0342, 0)</f>
        <v>29.670299999999997</v>
      </c>
      <c r="J314" s="43">
        <f>196.8175</f>
        <v>196.8175</v>
      </c>
    </row>
    <row r="315" spans="1:10" ht="15.75" x14ac:dyDescent="0.25">
      <c r="A315" s="32">
        <v>50525</v>
      </c>
      <c r="B315" s="14">
        <f>30.5619 * CHOOSE(CONTROL!$C$15, $E$9, 100%, $G$9) + CHOOSE(CONTROL!$C$38, 0.0251, 0)</f>
        <v>30.587</v>
      </c>
      <c r="C315" s="14">
        <f>28.8638 * CHOOSE(CONTROL!$C$15, $E$9, 100%, $G$9) + CHOOSE(CONTROL!$C$38, 0.0342, 0)</f>
        <v>28.898</v>
      </c>
      <c r="D315" s="14">
        <f>28.856 * CHOOSE(CONTROL!$C$15, $E$9, 100%, $G$9) + CHOOSE(CONTROL!$C$38, 0.0342, 0)</f>
        <v>28.8902</v>
      </c>
      <c r="E315" s="45">
        <f>30.4057 * CHOOSE(CONTROL!$C$15, $E$9, 100%, $G$9) + CHOOSE(CONTROL!$C$38, 0.0342, 0)</f>
        <v>30.439899999999998</v>
      </c>
      <c r="F315" s="44">
        <f>30.4057 * CHOOSE(CONTROL!$C$15, $E$9, 100%, $G$9) + CHOOSE(CONTROL!$C$38, 0.0251, 0)</f>
        <v>30.430799999999998</v>
      </c>
      <c r="G315" s="14">
        <f>28.8623 * CHOOSE(CONTROL!$C$15, $E$9, 100%, $G$9) + CHOOSE(CONTROL!$C$38, 0.0342, 0)</f>
        <v>28.8965</v>
      </c>
      <c r="H315" s="14">
        <f>28.8623 * CHOOSE(CONTROL!$C$15, $E$9, 100%, $G$9) + CHOOSE(CONTROL!$C$38, 0.0342, 0)</f>
        <v>28.8965</v>
      </c>
      <c r="I315" s="14">
        <f>28.8638 * CHOOSE(CONTROL!$C$15, $E$9, 100%, $G$9) + CHOOSE(CONTROL!$C$38, 0.0342, 0)</f>
        <v>28.898</v>
      </c>
      <c r="J315" s="43">
        <f>209.5958</f>
        <v>209.5958</v>
      </c>
    </row>
    <row r="316" spans="1:10" ht="15.75" x14ac:dyDescent="0.25">
      <c r="A316" s="32">
        <v>50556</v>
      </c>
      <c r="B316" s="14">
        <f>29.757 * CHOOSE(CONTROL!$C$15, $E$9, 100%, $G$9) + CHOOSE(CONTROL!$C$38, 0.0264, 0)</f>
        <v>29.7834</v>
      </c>
      <c r="C316" s="14">
        <f>28.0589 * CHOOSE(CONTROL!$C$15, $E$9, 100%, $G$9) + CHOOSE(CONTROL!$C$38, 0.0354, 0)</f>
        <v>28.0943</v>
      </c>
      <c r="D316" s="14">
        <f>28.0511 * CHOOSE(CONTROL!$C$15, $E$9, 100%, $G$9) + CHOOSE(CONTROL!$C$38, 0.0354, 0)</f>
        <v>28.086500000000001</v>
      </c>
      <c r="E316" s="45">
        <f>29.6007 * CHOOSE(CONTROL!$C$15, $E$9, 100%, $G$9) + CHOOSE(CONTROL!$C$38, 0.0354, 0)</f>
        <v>29.636099999999999</v>
      </c>
      <c r="F316" s="44">
        <f>29.6007 * CHOOSE(CONTROL!$C$15, $E$9, 100%, $G$9) + CHOOSE(CONTROL!$C$38, 0.0264, 0)</f>
        <v>29.627099999999999</v>
      </c>
      <c r="G316" s="14">
        <f>28.0573 * CHOOSE(CONTROL!$C$15, $E$9, 100%, $G$9) + CHOOSE(CONTROL!$C$38, 0.0354, 0)</f>
        <v>28.092700000000001</v>
      </c>
      <c r="H316" s="14">
        <f>28.0573 * CHOOSE(CONTROL!$C$15, $E$9, 100%, $G$9) + CHOOSE(CONTROL!$C$38, 0.0354, 0)</f>
        <v>28.092700000000001</v>
      </c>
      <c r="I316" s="14">
        <f>28.0589 * CHOOSE(CONTROL!$C$15, $E$9, 100%, $G$9) + CHOOSE(CONTROL!$C$38, 0.0354, 0)</f>
        <v>28.0943</v>
      </c>
      <c r="J316" s="43">
        <f>216.6294</f>
        <v>216.6294</v>
      </c>
    </row>
    <row r="317" spans="1:10" ht="15.75" x14ac:dyDescent="0.25">
      <c r="A317" s="32">
        <v>50586</v>
      </c>
      <c r="B317" s="14">
        <f>29.1926 * CHOOSE(CONTROL!$C$15, $E$9, 100%, $G$9) + CHOOSE(CONTROL!$C$38, 0.0264, 0)</f>
        <v>29.218999999999998</v>
      </c>
      <c r="C317" s="14">
        <f>27.4945 * CHOOSE(CONTROL!$C$15, $E$9, 100%, $G$9) + CHOOSE(CONTROL!$C$38, 0.0354, 0)</f>
        <v>27.529899999999998</v>
      </c>
      <c r="D317" s="14">
        <f>27.4867 * CHOOSE(CONTROL!$C$15, $E$9, 100%, $G$9) + CHOOSE(CONTROL!$C$38, 0.0354, 0)</f>
        <v>27.522099999999998</v>
      </c>
      <c r="E317" s="45">
        <f>29.0364 * CHOOSE(CONTROL!$C$15, $E$9, 100%, $G$9) + CHOOSE(CONTROL!$C$38, 0.0354, 0)</f>
        <v>29.0718</v>
      </c>
      <c r="F317" s="44">
        <f>29.0364 * CHOOSE(CONTROL!$C$15, $E$9, 100%, $G$9) + CHOOSE(CONTROL!$C$38, 0.0264, 0)</f>
        <v>29.062799999999999</v>
      </c>
      <c r="G317" s="14">
        <f>27.493 * CHOOSE(CONTROL!$C$15, $E$9, 100%, $G$9) + CHOOSE(CONTROL!$C$38, 0.0354, 0)</f>
        <v>27.528399999999998</v>
      </c>
      <c r="H317" s="14">
        <f>27.493 * CHOOSE(CONTROL!$C$15, $E$9, 100%, $G$9) + CHOOSE(CONTROL!$C$38, 0.0354, 0)</f>
        <v>27.528399999999998</v>
      </c>
      <c r="I317" s="14">
        <f>27.4945 * CHOOSE(CONTROL!$C$15, $E$9, 100%, $G$9) + CHOOSE(CONTROL!$C$38, 0.0354, 0)</f>
        <v>27.529899999999998</v>
      </c>
      <c r="J317" s="43">
        <f>219.7508</f>
        <v>219.7508</v>
      </c>
    </row>
    <row r="318" spans="1:10" ht="15.75" x14ac:dyDescent="0.25">
      <c r="A318" s="32">
        <v>50617</v>
      </c>
      <c r="B318" s="14">
        <f>28.8706 * CHOOSE(CONTROL!$C$15, $E$9, 100%, $G$9) + CHOOSE(CONTROL!$C$38, 0.0264, 0)</f>
        <v>28.896999999999998</v>
      </c>
      <c r="C318" s="14">
        <f>27.1725 * CHOOSE(CONTROL!$C$15, $E$9, 100%, $G$9) + CHOOSE(CONTROL!$C$38, 0.0354, 0)</f>
        <v>27.207899999999999</v>
      </c>
      <c r="D318" s="14">
        <f>27.1647 * CHOOSE(CONTROL!$C$15, $E$9, 100%, $G$9) + CHOOSE(CONTROL!$C$38, 0.0354, 0)</f>
        <v>27.200099999999999</v>
      </c>
      <c r="E318" s="45">
        <f>28.7143 * CHOOSE(CONTROL!$C$15, $E$9, 100%, $G$9) + CHOOSE(CONTROL!$C$38, 0.0354, 0)</f>
        <v>28.749700000000001</v>
      </c>
      <c r="F318" s="44">
        <f>28.7143 * CHOOSE(CONTROL!$C$15, $E$9, 100%, $G$9) + CHOOSE(CONTROL!$C$38, 0.0264, 0)</f>
        <v>28.7407</v>
      </c>
      <c r="G318" s="14">
        <f>27.1709 * CHOOSE(CONTROL!$C$15, $E$9, 100%, $G$9) + CHOOSE(CONTROL!$C$38, 0.0354, 0)</f>
        <v>27.206299999999999</v>
      </c>
      <c r="H318" s="14">
        <f>27.1709 * CHOOSE(CONTROL!$C$15, $E$9, 100%, $G$9) + CHOOSE(CONTROL!$C$38, 0.0354, 0)</f>
        <v>27.206299999999999</v>
      </c>
      <c r="I318" s="14">
        <f>27.1725 * CHOOSE(CONTROL!$C$15, $E$9, 100%, $G$9) + CHOOSE(CONTROL!$C$38, 0.0354, 0)</f>
        <v>27.207899999999999</v>
      </c>
      <c r="J318" s="43">
        <f>218.7231</f>
        <v>218.72309999999999</v>
      </c>
    </row>
    <row r="319" spans="1:10" ht="15.75" x14ac:dyDescent="0.25">
      <c r="A319" s="32">
        <v>50648</v>
      </c>
      <c r="B319" s="14">
        <f>29.0295 * CHOOSE(CONTROL!$C$15, $E$9, 100%, $G$9) + CHOOSE(CONTROL!$C$38, 0.0264, 0)</f>
        <v>29.055899999999998</v>
      </c>
      <c r="C319" s="14">
        <f>27.3314 * CHOOSE(CONTROL!$C$15, $E$9, 100%, $G$9) + CHOOSE(CONTROL!$C$38, 0.0354, 0)</f>
        <v>27.366799999999998</v>
      </c>
      <c r="D319" s="14">
        <f>27.3236 * CHOOSE(CONTROL!$C$15, $E$9, 100%, $G$9) + CHOOSE(CONTROL!$C$38, 0.0354, 0)</f>
        <v>27.358999999999998</v>
      </c>
      <c r="E319" s="45">
        <f>28.8733 * CHOOSE(CONTROL!$C$15, $E$9, 100%, $G$9) + CHOOSE(CONTROL!$C$38, 0.0354, 0)</f>
        <v>28.9087</v>
      </c>
      <c r="F319" s="44">
        <f>28.8733 * CHOOSE(CONTROL!$C$15, $E$9, 100%, $G$9) + CHOOSE(CONTROL!$C$38, 0.0264, 0)</f>
        <v>28.899699999999999</v>
      </c>
      <c r="G319" s="14">
        <f>27.3299 * CHOOSE(CONTROL!$C$15, $E$9, 100%, $G$9) + CHOOSE(CONTROL!$C$38, 0.0354, 0)</f>
        <v>27.365299999999998</v>
      </c>
      <c r="H319" s="14">
        <f>27.3299 * CHOOSE(CONTROL!$C$15, $E$9, 100%, $G$9) + CHOOSE(CONTROL!$C$38, 0.0354, 0)</f>
        <v>27.365299999999998</v>
      </c>
      <c r="I319" s="14">
        <f>27.3314 * CHOOSE(CONTROL!$C$15, $E$9, 100%, $G$9) + CHOOSE(CONTROL!$C$38, 0.0354, 0)</f>
        <v>27.366799999999998</v>
      </c>
      <c r="J319" s="43">
        <f>213.6313</f>
        <v>213.63130000000001</v>
      </c>
    </row>
    <row r="320" spans="1:10" ht="15.75" x14ac:dyDescent="0.25">
      <c r="A320" s="32">
        <v>50678</v>
      </c>
      <c r="B320" s="14">
        <f>29.4612 * CHOOSE(CONTROL!$C$15, $E$9, 100%, $G$9) + CHOOSE(CONTROL!$C$38, 0.0264, 0)</f>
        <v>29.4876</v>
      </c>
      <c r="C320" s="14">
        <f>27.7631 * CHOOSE(CONTROL!$C$15, $E$9, 100%, $G$9) + CHOOSE(CONTROL!$C$38, 0.0354, 0)</f>
        <v>27.798500000000001</v>
      </c>
      <c r="D320" s="14">
        <f>27.7553 * CHOOSE(CONTROL!$C$15, $E$9, 100%, $G$9) + CHOOSE(CONTROL!$C$38, 0.0354, 0)</f>
        <v>27.790699999999998</v>
      </c>
      <c r="E320" s="45">
        <f>29.305 * CHOOSE(CONTROL!$C$15, $E$9, 100%, $G$9) + CHOOSE(CONTROL!$C$38, 0.0354, 0)</f>
        <v>29.340399999999999</v>
      </c>
      <c r="F320" s="44">
        <f>29.305 * CHOOSE(CONTROL!$C$15, $E$9, 100%, $G$9) + CHOOSE(CONTROL!$C$38, 0.0264, 0)</f>
        <v>29.331399999999999</v>
      </c>
      <c r="G320" s="14">
        <f>27.7616 * CHOOSE(CONTROL!$C$15, $E$9, 100%, $G$9) + CHOOSE(CONTROL!$C$38, 0.0354, 0)</f>
        <v>27.797000000000001</v>
      </c>
      <c r="H320" s="14">
        <f>27.7616 * CHOOSE(CONTROL!$C$15, $E$9, 100%, $G$9) + CHOOSE(CONTROL!$C$38, 0.0354, 0)</f>
        <v>27.797000000000001</v>
      </c>
      <c r="I320" s="14">
        <f>27.7631 * CHOOSE(CONTROL!$C$15, $E$9, 100%, $G$9) + CHOOSE(CONTROL!$C$38, 0.0354, 0)</f>
        <v>27.798500000000001</v>
      </c>
      <c r="J320" s="43">
        <f>206.5306</f>
        <v>206.53059999999999</v>
      </c>
    </row>
    <row r="321" spans="1:10" ht="15.75" x14ac:dyDescent="0.25">
      <c r="A321" s="32">
        <v>50709</v>
      </c>
      <c r="B321" s="14">
        <f>29.8228 * CHOOSE(CONTROL!$C$15, $E$9, 100%, $G$9) + CHOOSE(CONTROL!$C$38, 0.0251, 0)</f>
        <v>29.847899999999999</v>
      </c>
      <c r="C321" s="14">
        <f>28.1247 * CHOOSE(CONTROL!$C$15, $E$9, 100%, $G$9) + CHOOSE(CONTROL!$C$38, 0.0342, 0)</f>
        <v>28.158899999999999</v>
      </c>
      <c r="D321" s="14">
        <f>28.1169 * CHOOSE(CONTROL!$C$15, $E$9, 100%, $G$9) + CHOOSE(CONTROL!$C$38, 0.0342, 0)</f>
        <v>28.1511</v>
      </c>
      <c r="E321" s="45">
        <f>29.6665 * CHOOSE(CONTROL!$C$15, $E$9, 100%, $G$9) + CHOOSE(CONTROL!$C$38, 0.0342, 0)</f>
        <v>29.700699999999998</v>
      </c>
      <c r="F321" s="44">
        <f>29.6665 * CHOOSE(CONTROL!$C$15, $E$9, 100%, $G$9) + CHOOSE(CONTROL!$C$38, 0.0251, 0)</f>
        <v>29.691599999999998</v>
      </c>
      <c r="G321" s="14">
        <f>28.1231 * CHOOSE(CONTROL!$C$15, $E$9, 100%, $G$9) + CHOOSE(CONTROL!$C$38, 0.0342, 0)</f>
        <v>28.157299999999999</v>
      </c>
      <c r="H321" s="14">
        <f>28.1231 * CHOOSE(CONTROL!$C$15, $E$9, 100%, $G$9) + CHOOSE(CONTROL!$C$38, 0.0342, 0)</f>
        <v>28.157299999999999</v>
      </c>
      <c r="I321" s="14">
        <f>28.1247 * CHOOSE(CONTROL!$C$15, $E$9, 100%, $G$9) + CHOOSE(CONTROL!$C$38, 0.0342, 0)</f>
        <v>28.158899999999999</v>
      </c>
      <c r="J321" s="43">
        <f>199.3886</f>
        <v>199.3886</v>
      </c>
    </row>
    <row r="322" spans="1:10" ht="15.75" x14ac:dyDescent="0.25">
      <c r="A322" s="32">
        <v>50739</v>
      </c>
      <c r="B322" s="14">
        <f>30.1245 * CHOOSE(CONTROL!$C$15, $E$9, 100%, $G$9) + CHOOSE(CONTROL!$C$38, 0.0251, 0)</f>
        <v>30.1496</v>
      </c>
      <c r="C322" s="14">
        <f>28.4264 * CHOOSE(CONTROL!$C$15, $E$9, 100%, $G$9) + CHOOSE(CONTROL!$C$38, 0.0342, 0)</f>
        <v>28.460599999999999</v>
      </c>
      <c r="D322" s="14">
        <f>28.4186 * CHOOSE(CONTROL!$C$15, $E$9, 100%, $G$9) + CHOOSE(CONTROL!$C$38, 0.0342, 0)</f>
        <v>28.4528</v>
      </c>
      <c r="E322" s="45">
        <f>29.9682 * CHOOSE(CONTROL!$C$15, $E$9, 100%, $G$9) + CHOOSE(CONTROL!$C$38, 0.0342, 0)</f>
        <v>30.002399999999998</v>
      </c>
      <c r="F322" s="44">
        <f>29.9682 * CHOOSE(CONTROL!$C$15, $E$9, 100%, $G$9) + CHOOSE(CONTROL!$C$38, 0.0251, 0)</f>
        <v>29.993299999999998</v>
      </c>
      <c r="G322" s="14">
        <f>28.4248 * CHOOSE(CONTROL!$C$15, $E$9, 100%, $G$9) + CHOOSE(CONTROL!$C$38, 0.0342, 0)</f>
        <v>28.459</v>
      </c>
      <c r="H322" s="14">
        <f>28.4248 * CHOOSE(CONTROL!$C$15, $E$9, 100%, $G$9) + CHOOSE(CONTROL!$C$38, 0.0342, 0)</f>
        <v>28.459</v>
      </c>
      <c r="I322" s="14">
        <f>28.4264 * CHOOSE(CONTROL!$C$15, $E$9, 100%, $G$9) + CHOOSE(CONTROL!$C$38, 0.0342, 0)</f>
        <v>28.460599999999999</v>
      </c>
      <c r="J322" s="43">
        <f>197.9679</f>
        <v>197.96789999999999</v>
      </c>
    </row>
    <row r="323" spans="1:10" ht="15.75" x14ac:dyDescent="0.25">
      <c r="A323" s="32">
        <v>50770</v>
      </c>
      <c r="B323" s="14">
        <f>31.0542 * CHOOSE(CONTROL!$C$15, $E$9, 100%, $G$9) + CHOOSE(CONTROL!$C$38, 0.0251, 0)</f>
        <v>31.0793</v>
      </c>
      <c r="C323" s="14">
        <f>29.3561 * CHOOSE(CONTROL!$C$15, $E$9, 100%, $G$9) + CHOOSE(CONTROL!$C$38, 0.0342, 0)</f>
        <v>29.3903</v>
      </c>
      <c r="D323" s="14">
        <f>29.3483 * CHOOSE(CONTROL!$C$15, $E$9, 100%, $G$9) + CHOOSE(CONTROL!$C$38, 0.0342, 0)</f>
        <v>29.382499999999997</v>
      </c>
      <c r="E323" s="45">
        <f>30.8979 * CHOOSE(CONTROL!$C$15, $E$9, 100%, $G$9) + CHOOSE(CONTROL!$C$38, 0.0342, 0)</f>
        <v>30.932099999999998</v>
      </c>
      <c r="F323" s="44">
        <f>30.8979 * CHOOSE(CONTROL!$C$15, $E$9, 100%, $G$9) + CHOOSE(CONTROL!$C$38, 0.0251, 0)</f>
        <v>30.922999999999998</v>
      </c>
      <c r="G323" s="14">
        <f>29.3545 * CHOOSE(CONTROL!$C$15, $E$9, 100%, $G$9) + CHOOSE(CONTROL!$C$38, 0.0342, 0)</f>
        <v>29.3887</v>
      </c>
      <c r="H323" s="14">
        <f>29.3545 * CHOOSE(CONTROL!$C$15, $E$9, 100%, $G$9) + CHOOSE(CONTROL!$C$38, 0.0342, 0)</f>
        <v>29.3887</v>
      </c>
      <c r="I323" s="14">
        <f>29.3561 * CHOOSE(CONTROL!$C$15, $E$9, 100%, $G$9) + CHOOSE(CONTROL!$C$38, 0.0342, 0)</f>
        <v>29.3903</v>
      </c>
      <c r="J323" s="43">
        <f>192.0932</f>
        <v>192.0932</v>
      </c>
    </row>
    <row r="324" spans="1:10" ht="15.75" x14ac:dyDescent="0.25">
      <c r="A324" s="32">
        <v>50801</v>
      </c>
      <c r="B324" s="14">
        <f>32.285 * CHOOSE(CONTROL!$C$15, $E$9, 100%, $G$9) + CHOOSE(CONTROL!$C$38, 0.0251, 0)</f>
        <v>32.310099999999998</v>
      </c>
      <c r="C324" s="14">
        <f>30.561 * CHOOSE(CONTROL!$C$15, $E$9, 100%, $G$9) + CHOOSE(CONTROL!$C$38, 0.0342, 0)</f>
        <v>30.595199999999998</v>
      </c>
      <c r="D324" s="14">
        <f>30.5532 * CHOOSE(CONTROL!$C$15, $E$9, 100%, $G$9) + CHOOSE(CONTROL!$C$38, 0.0342, 0)</f>
        <v>30.587399999999999</v>
      </c>
      <c r="E324" s="45">
        <f>32.1287 * CHOOSE(CONTROL!$C$15, $E$9, 100%, $G$9) + CHOOSE(CONTROL!$C$38, 0.0342, 0)</f>
        <v>32.1629</v>
      </c>
      <c r="F324" s="44">
        <f>32.1287 * CHOOSE(CONTROL!$C$15, $E$9, 100%, $G$9) + CHOOSE(CONTROL!$C$38, 0.0251, 0)</f>
        <v>32.153800000000004</v>
      </c>
      <c r="G324" s="14">
        <f>30.5594 * CHOOSE(CONTROL!$C$15, $E$9, 100%, $G$9) + CHOOSE(CONTROL!$C$38, 0.0342, 0)</f>
        <v>30.593599999999999</v>
      </c>
      <c r="H324" s="14">
        <f>30.5594 * CHOOSE(CONTROL!$C$15, $E$9, 100%, $G$9) + CHOOSE(CONTROL!$C$38, 0.0342, 0)</f>
        <v>30.593599999999999</v>
      </c>
      <c r="I324" s="14">
        <f>30.561 * CHOOSE(CONTROL!$C$15, $E$9, 100%, $G$9) + CHOOSE(CONTROL!$C$38, 0.0342, 0)</f>
        <v>30.595199999999998</v>
      </c>
      <c r="J324" s="43">
        <f>191.9545</f>
        <v>191.9545</v>
      </c>
    </row>
    <row r="325" spans="1:10" ht="15.75" x14ac:dyDescent="0.25">
      <c r="A325" s="32">
        <v>50829</v>
      </c>
      <c r="B325" s="14">
        <f>32.6293 * CHOOSE(CONTROL!$C$15, $E$9, 100%, $G$9) + CHOOSE(CONTROL!$C$38, 0.0251, 0)</f>
        <v>32.654400000000003</v>
      </c>
      <c r="C325" s="14">
        <f>30.9053 * CHOOSE(CONTROL!$C$15, $E$9, 100%, $G$9) + CHOOSE(CONTROL!$C$38, 0.0342, 0)</f>
        <v>30.939499999999999</v>
      </c>
      <c r="D325" s="14">
        <f>30.8975 * CHOOSE(CONTROL!$C$15, $E$9, 100%, $G$9) + CHOOSE(CONTROL!$C$38, 0.0342, 0)</f>
        <v>30.931699999999999</v>
      </c>
      <c r="E325" s="45">
        <f>32.473 * CHOOSE(CONTROL!$C$15, $E$9, 100%, $G$9) + CHOOSE(CONTROL!$C$38, 0.0342, 0)</f>
        <v>32.507199999999997</v>
      </c>
      <c r="F325" s="44">
        <f>32.473 * CHOOSE(CONTROL!$C$15, $E$9, 100%, $G$9) + CHOOSE(CONTROL!$C$38, 0.0251, 0)</f>
        <v>32.498100000000001</v>
      </c>
      <c r="G325" s="14">
        <f>30.9037 * CHOOSE(CONTROL!$C$15, $E$9, 100%, $G$9) + CHOOSE(CONTROL!$C$38, 0.0342, 0)</f>
        <v>30.937899999999999</v>
      </c>
      <c r="H325" s="14">
        <f>30.9037 * CHOOSE(CONTROL!$C$15, $E$9, 100%, $G$9) + CHOOSE(CONTROL!$C$38, 0.0342, 0)</f>
        <v>30.937899999999999</v>
      </c>
      <c r="I325" s="14">
        <f>30.9053 * CHOOSE(CONTROL!$C$15, $E$9, 100%, $G$9) + CHOOSE(CONTROL!$C$38, 0.0342, 0)</f>
        <v>30.939499999999999</v>
      </c>
      <c r="J325" s="43">
        <f>191.4209</f>
        <v>191.42089999999999</v>
      </c>
    </row>
    <row r="326" spans="1:10" ht="15.75" x14ac:dyDescent="0.25">
      <c r="A326" s="32">
        <v>50860</v>
      </c>
      <c r="B326" s="14">
        <f>31.8322 * CHOOSE(CONTROL!$C$15, $E$9, 100%, $G$9) + CHOOSE(CONTROL!$C$38, 0.0251, 0)</f>
        <v>31.857299999999999</v>
      </c>
      <c r="C326" s="14">
        <f>30.1082 * CHOOSE(CONTROL!$C$15, $E$9, 100%, $G$9) + CHOOSE(CONTROL!$C$38, 0.0342, 0)</f>
        <v>30.142399999999999</v>
      </c>
      <c r="D326" s="14">
        <f>30.1004 * CHOOSE(CONTROL!$C$15, $E$9, 100%, $G$9) + CHOOSE(CONTROL!$C$38, 0.0342, 0)</f>
        <v>30.134599999999999</v>
      </c>
      <c r="E326" s="45">
        <f>31.676 * CHOOSE(CONTROL!$C$15, $E$9, 100%, $G$9) + CHOOSE(CONTROL!$C$38, 0.0342, 0)</f>
        <v>31.710199999999997</v>
      </c>
      <c r="F326" s="44">
        <f>31.676 * CHOOSE(CONTROL!$C$15, $E$9, 100%, $G$9) + CHOOSE(CONTROL!$C$38, 0.0251, 0)</f>
        <v>31.701099999999997</v>
      </c>
      <c r="G326" s="14">
        <f>30.1067 * CHOOSE(CONTROL!$C$15, $E$9, 100%, $G$9) + CHOOSE(CONTROL!$C$38, 0.0342, 0)</f>
        <v>30.140899999999998</v>
      </c>
      <c r="H326" s="14">
        <f>30.1067 * CHOOSE(CONTROL!$C$15, $E$9, 100%, $G$9) + CHOOSE(CONTROL!$C$38, 0.0342, 0)</f>
        <v>30.140899999999998</v>
      </c>
      <c r="I326" s="14">
        <f>30.1082 * CHOOSE(CONTROL!$C$15, $E$9, 100%, $G$9) + CHOOSE(CONTROL!$C$38, 0.0342, 0)</f>
        <v>30.142399999999999</v>
      </c>
      <c r="J326" s="43">
        <f>201.5099</f>
        <v>201.50989999999999</v>
      </c>
    </row>
    <row r="327" spans="1:10" ht="15.75" x14ac:dyDescent="0.25">
      <c r="A327" s="32">
        <v>50890</v>
      </c>
      <c r="B327" s="14">
        <f>31.0599 * CHOOSE(CONTROL!$C$15, $E$9, 100%, $G$9) + CHOOSE(CONTROL!$C$38, 0.0251, 0)</f>
        <v>31.084999999999997</v>
      </c>
      <c r="C327" s="14">
        <f>29.3359 * CHOOSE(CONTROL!$C$15, $E$9, 100%, $G$9) + CHOOSE(CONTROL!$C$38, 0.0342, 0)</f>
        <v>29.370099999999997</v>
      </c>
      <c r="D327" s="14">
        <f>29.3281 * CHOOSE(CONTROL!$C$15, $E$9, 100%, $G$9) + CHOOSE(CONTROL!$C$38, 0.0342, 0)</f>
        <v>29.362299999999998</v>
      </c>
      <c r="E327" s="45">
        <f>30.9037 * CHOOSE(CONTROL!$C$15, $E$9, 100%, $G$9) + CHOOSE(CONTROL!$C$38, 0.0342, 0)</f>
        <v>30.937899999999999</v>
      </c>
      <c r="F327" s="44">
        <f>30.9037 * CHOOSE(CONTROL!$C$15, $E$9, 100%, $G$9) + CHOOSE(CONTROL!$C$38, 0.0251, 0)</f>
        <v>30.928799999999999</v>
      </c>
      <c r="G327" s="14">
        <f>29.3344 * CHOOSE(CONTROL!$C$15, $E$9, 100%, $G$9) + CHOOSE(CONTROL!$C$38, 0.0342, 0)</f>
        <v>29.368599999999997</v>
      </c>
      <c r="H327" s="14">
        <f>29.3344 * CHOOSE(CONTROL!$C$15, $E$9, 100%, $G$9) + CHOOSE(CONTROL!$C$38, 0.0342, 0)</f>
        <v>29.368599999999997</v>
      </c>
      <c r="I327" s="14">
        <f>29.3359 * CHOOSE(CONTROL!$C$15, $E$9, 100%, $G$9) + CHOOSE(CONTROL!$C$38, 0.0342, 0)</f>
        <v>29.370099999999997</v>
      </c>
      <c r="J327" s="43">
        <f>214.5929</f>
        <v>214.59289999999999</v>
      </c>
    </row>
    <row r="328" spans="1:10" ht="15.75" x14ac:dyDescent="0.25">
      <c r="A328" s="32">
        <v>50921</v>
      </c>
      <c r="B328" s="14">
        <f>30.255 * CHOOSE(CONTROL!$C$15, $E$9, 100%, $G$9) + CHOOSE(CONTROL!$C$38, 0.0264, 0)</f>
        <v>30.281399999999998</v>
      </c>
      <c r="C328" s="14">
        <f>28.531 * CHOOSE(CONTROL!$C$15, $E$9, 100%, $G$9) + CHOOSE(CONTROL!$C$38, 0.0354, 0)</f>
        <v>28.566399999999998</v>
      </c>
      <c r="D328" s="14">
        <f>28.5232 * CHOOSE(CONTROL!$C$15, $E$9, 100%, $G$9) + CHOOSE(CONTROL!$C$38, 0.0354, 0)</f>
        <v>28.558599999999998</v>
      </c>
      <c r="E328" s="45">
        <f>30.0987 * CHOOSE(CONTROL!$C$15, $E$9, 100%, $G$9) + CHOOSE(CONTROL!$C$38, 0.0354, 0)</f>
        <v>30.1341</v>
      </c>
      <c r="F328" s="44">
        <f>30.0987 * CHOOSE(CONTROL!$C$15, $E$9, 100%, $G$9) + CHOOSE(CONTROL!$C$38, 0.0264, 0)</f>
        <v>30.1251</v>
      </c>
      <c r="G328" s="14">
        <f>28.5294 * CHOOSE(CONTROL!$C$15, $E$9, 100%, $G$9) + CHOOSE(CONTROL!$C$38, 0.0354, 0)</f>
        <v>28.564799999999998</v>
      </c>
      <c r="H328" s="14">
        <f>28.5294 * CHOOSE(CONTROL!$C$15, $E$9, 100%, $G$9) + CHOOSE(CONTROL!$C$38, 0.0354, 0)</f>
        <v>28.564799999999998</v>
      </c>
      <c r="I328" s="14">
        <f>28.531 * CHOOSE(CONTROL!$C$15, $E$9, 100%, $G$9) + CHOOSE(CONTROL!$C$38, 0.0354, 0)</f>
        <v>28.566399999999998</v>
      </c>
      <c r="J328" s="43">
        <f>221.7942</f>
        <v>221.79419999999999</v>
      </c>
    </row>
    <row r="329" spans="1:10" ht="15.75" x14ac:dyDescent="0.25">
      <c r="A329" s="32">
        <v>50951</v>
      </c>
      <c r="B329" s="14">
        <f>29.6906 * CHOOSE(CONTROL!$C$15, $E$9, 100%, $G$9) + CHOOSE(CONTROL!$C$38, 0.0264, 0)</f>
        <v>29.716999999999999</v>
      </c>
      <c r="C329" s="14">
        <f>27.9666 * CHOOSE(CONTROL!$C$15, $E$9, 100%, $G$9) + CHOOSE(CONTROL!$C$38, 0.0354, 0)</f>
        <v>28.001999999999999</v>
      </c>
      <c r="D329" s="14">
        <f>27.9588 * CHOOSE(CONTROL!$C$15, $E$9, 100%, $G$9) + CHOOSE(CONTROL!$C$38, 0.0354, 0)</f>
        <v>27.994199999999999</v>
      </c>
      <c r="E329" s="45">
        <f>29.5344 * CHOOSE(CONTROL!$C$15, $E$9, 100%, $G$9) + CHOOSE(CONTROL!$C$38, 0.0354, 0)</f>
        <v>29.569800000000001</v>
      </c>
      <c r="F329" s="44">
        <f>29.5344 * CHOOSE(CONTROL!$C$15, $E$9, 100%, $G$9) + CHOOSE(CONTROL!$C$38, 0.0264, 0)</f>
        <v>29.5608</v>
      </c>
      <c r="G329" s="14">
        <f>27.9651 * CHOOSE(CONTROL!$C$15, $E$9, 100%, $G$9) + CHOOSE(CONTROL!$C$38, 0.0354, 0)</f>
        <v>28.000499999999999</v>
      </c>
      <c r="H329" s="14">
        <f>27.9651 * CHOOSE(CONTROL!$C$15, $E$9, 100%, $G$9) + CHOOSE(CONTROL!$C$38, 0.0354, 0)</f>
        <v>28.000499999999999</v>
      </c>
      <c r="I329" s="14">
        <f>27.9666 * CHOOSE(CONTROL!$C$15, $E$9, 100%, $G$9) + CHOOSE(CONTROL!$C$38, 0.0354, 0)</f>
        <v>28.001999999999999</v>
      </c>
      <c r="J329" s="43">
        <f>224.99</f>
        <v>224.99</v>
      </c>
    </row>
    <row r="330" spans="1:10" ht="15.75" x14ac:dyDescent="0.25">
      <c r="A330" s="32">
        <v>50982</v>
      </c>
      <c r="B330" s="14">
        <f>29.3686 * CHOOSE(CONTROL!$C$15, $E$9, 100%, $G$9) + CHOOSE(CONTROL!$C$38, 0.0264, 0)</f>
        <v>29.395</v>
      </c>
      <c r="C330" s="14">
        <f>27.6446 * CHOOSE(CONTROL!$C$15, $E$9, 100%, $G$9) + CHOOSE(CONTROL!$C$38, 0.0354, 0)</f>
        <v>27.68</v>
      </c>
      <c r="D330" s="14">
        <f>27.6368 * CHOOSE(CONTROL!$C$15, $E$9, 100%, $G$9) + CHOOSE(CONTROL!$C$38, 0.0354, 0)</f>
        <v>27.6722</v>
      </c>
      <c r="E330" s="45">
        <f>29.2123 * CHOOSE(CONTROL!$C$15, $E$9, 100%, $G$9) + CHOOSE(CONTROL!$C$38, 0.0354, 0)</f>
        <v>29.247699999999998</v>
      </c>
      <c r="F330" s="44">
        <f>29.2123 * CHOOSE(CONTROL!$C$15, $E$9, 100%, $G$9) + CHOOSE(CONTROL!$C$38, 0.0264, 0)</f>
        <v>29.238699999999998</v>
      </c>
      <c r="G330" s="14">
        <f>27.643 * CHOOSE(CONTROL!$C$15, $E$9, 100%, $G$9) + CHOOSE(CONTROL!$C$38, 0.0354, 0)</f>
        <v>27.6784</v>
      </c>
      <c r="H330" s="14">
        <f>27.643 * CHOOSE(CONTROL!$C$15, $E$9, 100%, $G$9) + CHOOSE(CONTROL!$C$38, 0.0354, 0)</f>
        <v>27.6784</v>
      </c>
      <c r="I330" s="14">
        <f>27.6446 * CHOOSE(CONTROL!$C$15, $E$9, 100%, $G$9) + CHOOSE(CONTROL!$C$38, 0.0354, 0)</f>
        <v>27.68</v>
      </c>
      <c r="J330" s="43">
        <f>223.9378</f>
        <v>223.93780000000001</v>
      </c>
    </row>
    <row r="331" spans="1:10" ht="15.75" x14ac:dyDescent="0.25">
      <c r="A331" s="32">
        <v>51013</v>
      </c>
      <c r="B331" s="14">
        <f>29.5275 * CHOOSE(CONTROL!$C$15, $E$9, 100%, $G$9) + CHOOSE(CONTROL!$C$38, 0.0264, 0)</f>
        <v>29.553899999999999</v>
      </c>
      <c r="C331" s="14">
        <f>27.8035 * CHOOSE(CONTROL!$C$15, $E$9, 100%, $G$9) + CHOOSE(CONTROL!$C$38, 0.0354, 0)</f>
        <v>27.838899999999999</v>
      </c>
      <c r="D331" s="14">
        <f>27.7957 * CHOOSE(CONTROL!$C$15, $E$9, 100%, $G$9) + CHOOSE(CONTROL!$C$38, 0.0354, 0)</f>
        <v>27.831099999999999</v>
      </c>
      <c r="E331" s="45">
        <f>29.3713 * CHOOSE(CONTROL!$C$15, $E$9, 100%, $G$9) + CHOOSE(CONTROL!$C$38, 0.0354, 0)</f>
        <v>29.406700000000001</v>
      </c>
      <c r="F331" s="44">
        <f>29.3713 * CHOOSE(CONTROL!$C$15, $E$9, 100%, $G$9) + CHOOSE(CONTROL!$C$38, 0.0264, 0)</f>
        <v>29.3977</v>
      </c>
      <c r="G331" s="14">
        <f>27.802 * CHOOSE(CONTROL!$C$15, $E$9, 100%, $G$9) + CHOOSE(CONTROL!$C$38, 0.0354, 0)</f>
        <v>27.837399999999999</v>
      </c>
      <c r="H331" s="14">
        <f>27.802 * CHOOSE(CONTROL!$C$15, $E$9, 100%, $G$9) + CHOOSE(CONTROL!$C$38, 0.0354, 0)</f>
        <v>27.837399999999999</v>
      </c>
      <c r="I331" s="14">
        <f>27.8035 * CHOOSE(CONTROL!$C$15, $E$9, 100%, $G$9) + CHOOSE(CONTROL!$C$38, 0.0354, 0)</f>
        <v>27.838899999999999</v>
      </c>
      <c r="J331" s="43">
        <f>218.7246</f>
        <v>218.72460000000001</v>
      </c>
    </row>
    <row r="332" spans="1:10" ht="15.75" x14ac:dyDescent="0.25">
      <c r="A332" s="32">
        <v>51043</v>
      </c>
      <c r="B332" s="14">
        <f>29.9592 * CHOOSE(CONTROL!$C$15, $E$9, 100%, $G$9) + CHOOSE(CONTROL!$C$38, 0.0264, 0)</f>
        <v>29.985599999999998</v>
      </c>
      <c r="C332" s="14">
        <f>28.2352 * CHOOSE(CONTROL!$C$15, $E$9, 100%, $G$9) + CHOOSE(CONTROL!$C$38, 0.0354, 0)</f>
        <v>28.270599999999998</v>
      </c>
      <c r="D332" s="14">
        <f>28.2274 * CHOOSE(CONTROL!$C$15, $E$9, 100%, $G$9) + CHOOSE(CONTROL!$C$38, 0.0354, 0)</f>
        <v>28.262799999999999</v>
      </c>
      <c r="E332" s="45">
        <f>29.803 * CHOOSE(CONTROL!$C$15, $E$9, 100%, $G$9) + CHOOSE(CONTROL!$C$38, 0.0354, 0)</f>
        <v>29.8384</v>
      </c>
      <c r="F332" s="44">
        <f>29.803 * CHOOSE(CONTROL!$C$15, $E$9, 100%, $G$9) + CHOOSE(CONTROL!$C$38, 0.0264, 0)</f>
        <v>29.8294</v>
      </c>
      <c r="G332" s="14">
        <f>28.2337 * CHOOSE(CONTROL!$C$15, $E$9, 100%, $G$9) + CHOOSE(CONTROL!$C$38, 0.0354, 0)</f>
        <v>28.269099999999998</v>
      </c>
      <c r="H332" s="14">
        <f>28.2337 * CHOOSE(CONTROL!$C$15, $E$9, 100%, $G$9) + CHOOSE(CONTROL!$C$38, 0.0354, 0)</f>
        <v>28.269099999999998</v>
      </c>
      <c r="I332" s="14">
        <f>28.2352 * CHOOSE(CONTROL!$C$15, $E$9, 100%, $G$9) + CHOOSE(CONTROL!$C$38, 0.0354, 0)</f>
        <v>28.270599999999998</v>
      </c>
      <c r="J332" s="43">
        <f>211.4546</f>
        <v>211.4546</v>
      </c>
    </row>
    <row r="333" spans="1:10" ht="15.75" x14ac:dyDescent="0.25">
      <c r="A333" s="32">
        <v>51074</v>
      </c>
      <c r="B333" s="14">
        <f>30.3208 * CHOOSE(CONTROL!$C$15, $E$9, 100%, $G$9) + CHOOSE(CONTROL!$C$38, 0.0251, 0)</f>
        <v>30.345899999999997</v>
      </c>
      <c r="C333" s="14">
        <f>28.5968 * CHOOSE(CONTROL!$C$15, $E$9, 100%, $G$9) + CHOOSE(CONTROL!$C$38, 0.0342, 0)</f>
        <v>28.631</v>
      </c>
      <c r="D333" s="14">
        <f>28.589 * CHOOSE(CONTROL!$C$15, $E$9, 100%, $G$9) + CHOOSE(CONTROL!$C$38, 0.0342, 0)</f>
        <v>28.623199999999997</v>
      </c>
      <c r="E333" s="45">
        <f>30.1645 * CHOOSE(CONTROL!$C$15, $E$9, 100%, $G$9) + CHOOSE(CONTROL!$C$38, 0.0342, 0)</f>
        <v>30.198699999999999</v>
      </c>
      <c r="F333" s="44">
        <f>30.1645 * CHOOSE(CONTROL!$C$15, $E$9, 100%, $G$9) + CHOOSE(CONTROL!$C$38, 0.0251, 0)</f>
        <v>30.189599999999999</v>
      </c>
      <c r="G333" s="14">
        <f>28.5952 * CHOOSE(CONTROL!$C$15, $E$9, 100%, $G$9) + CHOOSE(CONTROL!$C$38, 0.0342, 0)</f>
        <v>28.629399999999997</v>
      </c>
      <c r="H333" s="14">
        <f>28.5952 * CHOOSE(CONTROL!$C$15, $E$9, 100%, $G$9) + CHOOSE(CONTROL!$C$38, 0.0342, 0)</f>
        <v>28.629399999999997</v>
      </c>
      <c r="I333" s="14">
        <f>28.5968 * CHOOSE(CONTROL!$C$15, $E$9, 100%, $G$9) + CHOOSE(CONTROL!$C$38, 0.0342, 0)</f>
        <v>28.631</v>
      </c>
      <c r="J333" s="43">
        <f>204.1423</f>
        <v>204.14230000000001</v>
      </c>
    </row>
    <row r="334" spans="1:10" ht="15.75" x14ac:dyDescent="0.25">
      <c r="A334" s="32">
        <v>51104</v>
      </c>
      <c r="B334" s="14">
        <f>30.6225 * CHOOSE(CONTROL!$C$15, $E$9, 100%, $G$9) + CHOOSE(CONTROL!$C$38, 0.0251, 0)</f>
        <v>30.647599999999997</v>
      </c>
      <c r="C334" s="14">
        <f>28.8985 * CHOOSE(CONTROL!$C$15, $E$9, 100%, $G$9) + CHOOSE(CONTROL!$C$38, 0.0342, 0)</f>
        <v>28.932699999999997</v>
      </c>
      <c r="D334" s="14">
        <f>28.8907 * CHOOSE(CONTROL!$C$15, $E$9, 100%, $G$9) + CHOOSE(CONTROL!$C$38, 0.0342, 0)</f>
        <v>28.924899999999997</v>
      </c>
      <c r="E334" s="45">
        <f>30.4662 * CHOOSE(CONTROL!$C$15, $E$9, 100%, $G$9) + CHOOSE(CONTROL!$C$38, 0.0342, 0)</f>
        <v>30.500399999999999</v>
      </c>
      <c r="F334" s="44">
        <f>30.4662 * CHOOSE(CONTROL!$C$15, $E$9, 100%, $G$9) + CHOOSE(CONTROL!$C$38, 0.0251, 0)</f>
        <v>30.491299999999999</v>
      </c>
      <c r="G334" s="14">
        <f>28.8969 * CHOOSE(CONTROL!$C$15, $E$9, 100%, $G$9) + CHOOSE(CONTROL!$C$38, 0.0342, 0)</f>
        <v>28.931099999999997</v>
      </c>
      <c r="H334" s="14">
        <f>28.8969 * CHOOSE(CONTROL!$C$15, $E$9, 100%, $G$9) + CHOOSE(CONTROL!$C$38, 0.0342, 0)</f>
        <v>28.931099999999997</v>
      </c>
      <c r="I334" s="14">
        <f>28.8985 * CHOOSE(CONTROL!$C$15, $E$9, 100%, $G$9) + CHOOSE(CONTROL!$C$38, 0.0342, 0)</f>
        <v>28.932699999999997</v>
      </c>
      <c r="J334" s="43">
        <f>202.6877</f>
        <v>202.68770000000001</v>
      </c>
    </row>
    <row r="335" spans="1:10" ht="15.75" x14ac:dyDescent="0.25">
      <c r="A335" s="32">
        <v>51135</v>
      </c>
      <c r="B335" s="14">
        <f>31.5522 * CHOOSE(CONTROL!$C$15, $E$9, 100%, $G$9) + CHOOSE(CONTROL!$C$38, 0.0251, 0)</f>
        <v>31.577299999999997</v>
      </c>
      <c r="C335" s="14">
        <f>29.8282 * CHOOSE(CONTROL!$C$15, $E$9, 100%, $G$9) + CHOOSE(CONTROL!$C$38, 0.0342, 0)</f>
        <v>29.862399999999997</v>
      </c>
      <c r="D335" s="14">
        <f>29.8203 * CHOOSE(CONTROL!$C$15, $E$9, 100%, $G$9) + CHOOSE(CONTROL!$C$38, 0.0342, 0)</f>
        <v>29.854499999999998</v>
      </c>
      <c r="E335" s="45">
        <f>31.3959 * CHOOSE(CONTROL!$C$15, $E$9, 100%, $G$9) + CHOOSE(CONTROL!$C$38, 0.0342, 0)</f>
        <v>31.430099999999999</v>
      </c>
      <c r="F335" s="44">
        <f>31.3959 * CHOOSE(CONTROL!$C$15, $E$9, 100%, $G$9) + CHOOSE(CONTROL!$C$38, 0.0251, 0)</f>
        <v>31.420999999999999</v>
      </c>
      <c r="G335" s="14">
        <f>29.8266 * CHOOSE(CONTROL!$C$15, $E$9, 100%, $G$9) + CHOOSE(CONTROL!$C$38, 0.0342, 0)</f>
        <v>29.860799999999998</v>
      </c>
      <c r="H335" s="14">
        <f>29.8266 * CHOOSE(CONTROL!$C$15, $E$9, 100%, $G$9) + CHOOSE(CONTROL!$C$38, 0.0342, 0)</f>
        <v>29.860799999999998</v>
      </c>
      <c r="I335" s="14">
        <f>29.8282 * CHOOSE(CONTROL!$C$15, $E$9, 100%, $G$9) + CHOOSE(CONTROL!$C$38, 0.0342, 0)</f>
        <v>29.862399999999997</v>
      </c>
      <c r="J335" s="43">
        <f>196.6729</f>
        <v>196.6729</v>
      </c>
    </row>
    <row r="336" spans="1:10" ht="15.75" x14ac:dyDescent="0.25">
      <c r="A336" s="32">
        <v>51166</v>
      </c>
      <c r="B336" s="14">
        <f>32.7913 * CHOOSE(CONTROL!$C$15, $E$9, 100%, $G$9) + CHOOSE(CONTROL!$C$38, 0.0251, 0)</f>
        <v>32.816400000000002</v>
      </c>
      <c r="C336" s="14">
        <f>31.041 * CHOOSE(CONTROL!$C$15, $E$9, 100%, $G$9) + CHOOSE(CONTROL!$C$38, 0.0342, 0)</f>
        <v>31.075199999999999</v>
      </c>
      <c r="D336" s="14">
        <f>31.0332 * CHOOSE(CONTROL!$C$15, $E$9, 100%, $G$9) + CHOOSE(CONTROL!$C$38, 0.0342, 0)</f>
        <v>31.067399999999999</v>
      </c>
      <c r="E336" s="45">
        <f>32.6351 * CHOOSE(CONTROL!$C$15, $E$9, 100%, $G$9) + CHOOSE(CONTROL!$C$38, 0.0342, 0)</f>
        <v>32.6693</v>
      </c>
      <c r="F336" s="44">
        <f>32.6351 * CHOOSE(CONTROL!$C$15, $E$9, 100%, $G$9) + CHOOSE(CONTROL!$C$38, 0.0251, 0)</f>
        <v>32.660200000000003</v>
      </c>
      <c r="G336" s="14">
        <f>31.0394 * CHOOSE(CONTROL!$C$15, $E$9, 100%, $G$9) + CHOOSE(CONTROL!$C$38, 0.0342, 0)</f>
        <v>31.073599999999999</v>
      </c>
      <c r="H336" s="14">
        <f>31.0394 * CHOOSE(CONTROL!$C$15, $E$9, 100%, $G$9) + CHOOSE(CONTROL!$C$38, 0.0342, 0)</f>
        <v>31.073599999999999</v>
      </c>
      <c r="I336" s="14">
        <f>31.041 * CHOOSE(CONTROL!$C$15, $E$9, 100%, $G$9) + CHOOSE(CONTROL!$C$38, 0.0342, 0)</f>
        <v>31.075199999999999</v>
      </c>
      <c r="J336" s="43">
        <f>196.531</f>
        <v>196.53100000000001</v>
      </c>
    </row>
    <row r="337" spans="1:10" ht="15.75" x14ac:dyDescent="0.25">
      <c r="A337" s="32">
        <v>51194</v>
      </c>
      <c r="B337" s="14">
        <f>33.1356 * CHOOSE(CONTROL!$C$15, $E$9, 100%, $G$9) + CHOOSE(CONTROL!$C$38, 0.0251, 0)</f>
        <v>33.160699999999999</v>
      </c>
      <c r="C337" s="14">
        <f>31.3853 * CHOOSE(CONTROL!$C$15, $E$9, 100%, $G$9) + CHOOSE(CONTROL!$C$38, 0.0342, 0)</f>
        <v>31.419499999999999</v>
      </c>
      <c r="D337" s="14">
        <f>31.3775 * CHOOSE(CONTROL!$C$15, $E$9, 100%, $G$9) + CHOOSE(CONTROL!$C$38, 0.0342, 0)</f>
        <v>31.4117</v>
      </c>
      <c r="E337" s="45">
        <f>32.9794 * CHOOSE(CONTROL!$C$15, $E$9, 100%, $G$9) + CHOOSE(CONTROL!$C$38, 0.0342, 0)</f>
        <v>33.013599999999997</v>
      </c>
      <c r="F337" s="44">
        <f>32.9794 * CHOOSE(CONTROL!$C$15, $E$9, 100%, $G$9) + CHOOSE(CONTROL!$C$38, 0.0251, 0)</f>
        <v>33.0045</v>
      </c>
      <c r="G337" s="14">
        <f>31.3837 * CHOOSE(CONTROL!$C$15, $E$9, 100%, $G$9) + CHOOSE(CONTROL!$C$38, 0.0342, 0)</f>
        <v>31.417899999999999</v>
      </c>
      <c r="H337" s="14">
        <f>31.3837 * CHOOSE(CONTROL!$C$15, $E$9, 100%, $G$9) + CHOOSE(CONTROL!$C$38, 0.0342, 0)</f>
        <v>31.417899999999999</v>
      </c>
      <c r="I337" s="14">
        <f>31.3853 * CHOOSE(CONTROL!$C$15, $E$9, 100%, $G$9) + CHOOSE(CONTROL!$C$38, 0.0342, 0)</f>
        <v>31.419499999999999</v>
      </c>
      <c r="J337" s="43">
        <f>195.9847</f>
        <v>195.9847</v>
      </c>
    </row>
    <row r="338" spans="1:10" ht="15.75" x14ac:dyDescent="0.25">
      <c r="A338" s="32">
        <v>51226</v>
      </c>
      <c r="B338" s="14">
        <f>32.3386 * CHOOSE(CONTROL!$C$15, $E$9, 100%, $G$9) + CHOOSE(CONTROL!$C$38, 0.0251, 0)</f>
        <v>32.363700000000001</v>
      </c>
      <c r="C338" s="14">
        <f>30.5883 * CHOOSE(CONTROL!$C$15, $E$9, 100%, $G$9) + CHOOSE(CONTROL!$C$38, 0.0342, 0)</f>
        <v>30.622499999999999</v>
      </c>
      <c r="D338" s="14">
        <f>30.5805 * CHOOSE(CONTROL!$C$15, $E$9, 100%, $G$9) + CHOOSE(CONTROL!$C$38, 0.0342, 0)</f>
        <v>30.614699999999999</v>
      </c>
      <c r="E338" s="45">
        <f>32.1824 * CHOOSE(CONTROL!$C$15, $E$9, 100%, $G$9) + CHOOSE(CONTROL!$C$38, 0.0342, 0)</f>
        <v>32.2166</v>
      </c>
      <c r="F338" s="44">
        <f>32.1824 * CHOOSE(CONTROL!$C$15, $E$9, 100%, $G$9) + CHOOSE(CONTROL!$C$38, 0.0251, 0)</f>
        <v>32.207500000000003</v>
      </c>
      <c r="G338" s="14">
        <f>30.5867 * CHOOSE(CONTROL!$C$15, $E$9, 100%, $G$9) + CHOOSE(CONTROL!$C$38, 0.0342, 0)</f>
        <v>30.620899999999999</v>
      </c>
      <c r="H338" s="14">
        <f>30.5867 * CHOOSE(CONTROL!$C$15, $E$9, 100%, $G$9) + CHOOSE(CONTROL!$C$38, 0.0342, 0)</f>
        <v>30.620899999999999</v>
      </c>
      <c r="I338" s="14">
        <f>30.5883 * CHOOSE(CONTROL!$C$15, $E$9, 100%, $G$9) + CHOOSE(CONTROL!$C$38, 0.0342, 0)</f>
        <v>30.622499999999999</v>
      </c>
      <c r="J338" s="43">
        <f>206.3142</f>
        <v>206.3142</v>
      </c>
    </row>
    <row r="339" spans="1:10" ht="15.75" x14ac:dyDescent="0.25">
      <c r="A339" s="32">
        <v>51256</v>
      </c>
      <c r="B339" s="14">
        <f>31.5663 * CHOOSE(CONTROL!$C$15, $E$9, 100%, $G$9) + CHOOSE(CONTROL!$C$38, 0.0251, 0)</f>
        <v>31.591399999999997</v>
      </c>
      <c r="C339" s="14">
        <f>29.816 * CHOOSE(CONTROL!$C$15, $E$9, 100%, $G$9) + CHOOSE(CONTROL!$C$38, 0.0342, 0)</f>
        <v>29.850199999999997</v>
      </c>
      <c r="D339" s="14">
        <f>29.8081 * CHOOSE(CONTROL!$C$15, $E$9, 100%, $G$9) + CHOOSE(CONTROL!$C$38, 0.0342, 0)</f>
        <v>29.842299999999998</v>
      </c>
      <c r="E339" s="45">
        <f>31.41 * CHOOSE(CONTROL!$C$15, $E$9, 100%, $G$9) + CHOOSE(CONTROL!$C$38, 0.0342, 0)</f>
        <v>31.444199999999999</v>
      </c>
      <c r="F339" s="44">
        <f>31.41 * CHOOSE(CONTROL!$C$15, $E$9, 100%, $G$9) + CHOOSE(CONTROL!$C$38, 0.0251, 0)</f>
        <v>31.435099999999998</v>
      </c>
      <c r="G339" s="14">
        <f>29.8144 * CHOOSE(CONTROL!$C$15, $E$9, 100%, $G$9) + CHOOSE(CONTROL!$C$38, 0.0342, 0)</f>
        <v>29.848599999999998</v>
      </c>
      <c r="H339" s="14">
        <f>29.8144 * CHOOSE(CONTROL!$C$15, $E$9, 100%, $G$9) + CHOOSE(CONTROL!$C$38, 0.0342, 0)</f>
        <v>29.848599999999998</v>
      </c>
      <c r="I339" s="14">
        <f>29.816 * CHOOSE(CONTROL!$C$15, $E$9, 100%, $G$9) + CHOOSE(CONTROL!$C$38, 0.0342, 0)</f>
        <v>29.850199999999997</v>
      </c>
      <c r="J339" s="43">
        <f>219.7091</f>
        <v>219.70910000000001</v>
      </c>
    </row>
    <row r="340" spans="1:10" ht="15.75" x14ac:dyDescent="0.25">
      <c r="A340" s="32">
        <v>51287</v>
      </c>
      <c r="B340" s="14">
        <f>30.7613 * CHOOSE(CONTROL!$C$15, $E$9, 100%, $G$9) + CHOOSE(CONTROL!$C$38, 0.0264, 0)</f>
        <v>30.787699999999997</v>
      </c>
      <c r="C340" s="14">
        <f>29.011 * CHOOSE(CONTROL!$C$15, $E$9, 100%, $G$9) + CHOOSE(CONTROL!$C$38, 0.0354, 0)</f>
        <v>29.046399999999998</v>
      </c>
      <c r="D340" s="14">
        <f>29.0032 * CHOOSE(CONTROL!$C$15, $E$9, 100%, $G$9) + CHOOSE(CONTROL!$C$38, 0.0354, 0)</f>
        <v>29.038599999999999</v>
      </c>
      <c r="E340" s="45">
        <f>30.6051 * CHOOSE(CONTROL!$C$15, $E$9, 100%, $G$9) + CHOOSE(CONTROL!$C$38, 0.0354, 0)</f>
        <v>30.640499999999999</v>
      </c>
      <c r="F340" s="44">
        <f>30.6051 * CHOOSE(CONTROL!$C$15, $E$9, 100%, $G$9) + CHOOSE(CONTROL!$C$38, 0.0264, 0)</f>
        <v>30.631499999999999</v>
      </c>
      <c r="G340" s="14">
        <f>29.0094 * CHOOSE(CONTROL!$C$15, $E$9, 100%, $G$9) + CHOOSE(CONTROL!$C$38, 0.0354, 0)</f>
        <v>29.044799999999999</v>
      </c>
      <c r="H340" s="14">
        <f>29.0094 * CHOOSE(CONTROL!$C$15, $E$9, 100%, $G$9) + CHOOSE(CONTROL!$C$38, 0.0354, 0)</f>
        <v>29.044799999999999</v>
      </c>
      <c r="I340" s="14">
        <f>29.011 * CHOOSE(CONTROL!$C$15, $E$9, 100%, $G$9) + CHOOSE(CONTROL!$C$38, 0.0354, 0)</f>
        <v>29.046399999999998</v>
      </c>
      <c r="J340" s="43">
        <f>227.0821</f>
        <v>227.0821</v>
      </c>
    </row>
    <row r="341" spans="1:10" ht="15.75" x14ac:dyDescent="0.25">
      <c r="A341" s="32">
        <v>51317</v>
      </c>
      <c r="B341" s="14">
        <f>30.197 * CHOOSE(CONTROL!$C$15, $E$9, 100%, $G$9) + CHOOSE(CONTROL!$C$38, 0.0264, 0)</f>
        <v>30.223399999999998</v>
      </c>
      <c r="C341" s="14">
        <f>28.4467 * CHOOSE(CONTROL!$C$15, $E$9, 100%, $G$9) + CHOOSE(CONTROL!$C$38, 0.0354, 0)</f>
        <v>28.482099999999999</v>
      </c>
      <c r="D341" s="14">
        <f>28.4388 * CHOOSE(CONTROL!$C$15, $E$9, 100%, $G$9) + CHOOSE(CONTROL!$C$38, 0.0354, 0)</f>
        <v>28.4742</v>
      </c>
      <c r="E341" s="45">
        <f>30.0407 * CHOOSE(CONTROL!$C$15, $E$9, 100%, $G$9) + CHOOSE(CONTROL!$C$38, 0.0354, 0)</f>
        <v>30.0761</v>
      </c>
      <c r="F341" s="44">
        <f>30.0407 * CHOOSE(CONTROL!$C$15, $E$9, 100%, $G$9) + CHOOSE(CONTROL!$C$38, 0.0264, 0)</f>
        <v>30.0671</v>
      </c>
      <c r="G341" s="14">
        <f>28.4451 * CHOOSE(CONTROL!$C$15, $E$9, 100%, $G$9) + CHOOSE(CONTROL!$C$38, 0.0354, 0)</f>
        <v>28.480499999999999</v>
      </c>
      <c r="H341" s="14">
        <f>28.4451 * CHOOSE(CONTROL!$C$15, $E$9, 100%, $G$9) + CHOOSE(CONTROL!$C$38, 0.0354, 0)</f>
        <v>28.480499999999999</v>
      </c>
      <c r="I341" s="14">
        <f>28.4467 * CHOOSE(CONTROL!$C$15, $E$9, 100%, $G$9) + CHOOSE(CONTROL!$C$38, 0.0354, 0)</f>
        <v>28.482099999999999</v>
      </c>
      <c r="J341" s="43">
        <f>230.3541</f>
        <v>230.35409999999999</v>
      </c>
    </row>
    <row r="342" spans="1:10" ht="15.75" x14ac:dyDescent="0.25">
      <c r="A342" s="32">
        <v>51348</v>
      </c>
      <c r="B342" s="14">
        <f>29.8749 * CHOOSE(CONTROL!$C$15, $E$9, 100%, $G$9) + CHOOSE(CONTROL!$C$38, 0.0264, 0)</f>
        <v>29.901299999999999</v>
      </c>
      <c r="C342" s="14">
        <f>28.1246 * CHOOSE(CONTROL!$C$15, $E$9, 100%, $G$9) + CHOOSE(CONTROL!$C$38, 0.0354, 0)</f>
        <v>28.16</v>
      </c>
      <c r="D342" s="14">
        <f>28.1168 * CHOOSE(CONTROL!$C$15, $E$9, 100%, $G$9) + CHOOSE(CONTROL!$C$38, 0.0354, 0)</f>
        <v>28.152200000000001</v>
      </c>
      <c r="E342" s="45">
        <f>29.7187 * CHOOSE(CONTROL!$C$15, $E$9, 100%, $G$9) + CHOOSE(CONTROL!$C$38, 0.0354, 0)</f>
        <v>29.754099999999998</v>
      </c>
      <c r="F342" s="44">
        <f>29.7187 * CHOOSE(CONTROL!$C$15, $E$9, 100%, $G$9) + CHOOSE(CONTROL!$C$38, 0.0264, 0)</f>
        <v>29.745099999999997</v>
      </c>
      <c r="G342" s="14">
        <f>28.123 * CHOOSE(CONTROL!$C$15, $E$9, 100%, $G$9) + CHOOSE(CONTROL!$C$38, 0.0354, 0)</f>
        <v>28.1584</v>
      </c>
      <c r="H342" s="14">
        <f>28.123 * CHOOSE(CONTROL!$C$15, $E$9, 100%, $G$9) + CHOOSE(CONTROL!$C$38, 0.0354, 0)</f>
        <v>28.1584</v>
      </c>
      <c r="I342" s="14">
        <f>28.1246 * CHOOSE(CONTROL!$C$15, $E$9, 100%, $G$9) + CHOOSE(CONTROL!$C$38, 0.0354, 0)</f>
        <v>28.16</v>
      </c>
      <c r="J342" s="43">
        <f>229.2768</f>
        <v>229.27680000000001</v>
      </c>
    </row>
    <row r="343" spans="1:10" ht="15.75" x14ac:dyDescent="0.25">
      <c r="A343" s="32">
        <v>51379</v>
      </c>
      <c r="B343" s="14">
        <f>30.0339 * CHOOSE(CONTROL!$C$15, $E$9, 100%, $G$9) + CHOOSE(CONTROL!$C$38, 0.0264, 0)</f>
        <v>30.060299999999998</v>
      </c>
      <c r="C343" s="14">
        <f>28.2836 * CHOOSE(CONTROL!$C$15, $E$9, 100%, $G$9) + CHOOSE(CONTROL!$C$38, 0.0354, 0)</f>
        <v>28.318999999999999</v>
      </c>
      <c r="D343" s="14">
        <f>28.2757 * CHOOSE(CONTROL!$C$15, $E$9, 100%, $G$9) + CHOOSE(CONTROL!$C$38, 0.0354, 0)</f>
        <v>28.3111</v>
      </c>
      <c r="E343" s="45">
        <f>29.8776 * CHOOSE(CONTROL!$C$15, $E$9, 100%, $G$9) + CHOOSE(CONTROL!$C$38, 0.0354, 0)</f>
        <v>29.913</v>
      </c>
      <c r="F343" s="44">
        <f>29.8776 * CHOOSE(CONTROL!$C$15, $E$9, 100%, $G$9) + CHOOSE(CONTROL!$C$38, 0.0264, 0)</f>
        <v>29.904</v>
      </c>
      <c r="G343" s="14">
        <f>28.282 * CHOOSE(CONTROL!$C$15, $E$9, 100%, $G$9) + CHOOSE(CONTROL!$C$38, 0.0354, 0)</f>
        <v>28.317399999999999</v>
      </c>
      <c r="H343" s="14">
        <f>28.282 * CHOOSE(CONTROL!$C$15, $E$9, 100%, $G$9) + CHOOSE(CONTROL!$C$38, 0.0354, 0)</f>
        <v>28.317399999999999</v>
      </c>
      <c r="I343" s="14">
        <f>28.2836 * CHOOSE(CONTROL!$C$15, $E$9, 100%, $G$9) + CHOOSE(CONTROL!$C$38, 0.0354, 0)</f>
        <v>28.318999999999999</v>
      </c>
      <c r="J343" s="43">
        <f>223.9394</f>
        <v>223.93940000000001</v>
      </c>
    </row>
    <row r="344" spans="1:10" ht="15.75" x14ac:dyDescent="0.25">
      <c r="A344" s="32">
        <v>51409</v>
      </c>
      <c r="B344" s="14">
        <f>30.4656 * CHOOSE(CONTROL!$C$15, $E$9, 100%, $G$9) + CHOOSE(CONTROL!$C$38, 0.0264, 0)</f>
        <v>30.491999999999997</v>
      </c>
      <c r="C344" s="14">
        <f>28.7153 * CHOOSE(CONTROL!$C$15, $E$9, 100%, $G$9) + CHOOSE(CONTROL!$C$38, 0.0354, 0)</f>
        <v>28.750699999999998</v>
      </c>
      <c r="D344" s="14">
        <f>28.7074 * CHOOSE(CONTROL!$C$15, $E$9, 100%, $G$9) + CHOOSE(CONTROL!$C$38, 0.0354, 0)</f>
        <v>28.742799999999999</v>
      </c>
      <c r="E344" s="45">
        <f>30.3093 * CHOOSE(CONTROL!$C$15, $E$9, 100%, $G$9) + CHOOSE(CONTROL!$C$38, 0.0354, 0)</f>
        <v>30.3447</v>
      </c>
      <c r="F344" s="44">
        <f>30.3093 * CHOOSE(CONTROL!$C$15, $E$9, 100%, $G$9) + CHOOSE(CONTROL!$C$38, 0.0264, 0)</f>
        <v>30.335699999999999</v>
      </c>
      <c r="G344" s="14">
        <f>28.7137 * CHOOSE(CONTROL!$C$15, $E$9, 100%, $G$9) + CHOOSE(CONTROL!$C$38, 0.0354, 0)</f>
        <v>28.749099999999999</v>
      </c>
      <c r="H344" s="14">
        <f>28.7137 * CHOOSE(CONTROL!$C$15, $E$9, 100%, $G$9) + CHOOSE(CONTROL!$C$38, 0.0354, 0)</f>
        <v>28.749099999999999</v>
      </c>
      <c r="I344" s="14">
        <f>28.7153 * CHOOSE(CONTROL!$C$15, $E$9, 100%, $G$9) + CHOOSE(CONTROL!$C$38, 0.0354, 0)</f>
        <v>28.750699999999998</v>
      </c>
      <c r="J344" s="43">
        <f>216.496</f>
        <v>216.49600000000001</v>
      </c>
    </row>
    <row r="345" spans="1:10" ht="15.75" x14ac:dyDescent="0.25">
      <c r="A345" s="32">
        <v>51440</v>
      </c>
      <c r="B345" s="14">
        <f>30.8272 * CHOOSE(CONTROL!$C$15, $E$9, 100%, $G$9) + CHOOSE(CONTROL!$C$38, 0.0251, 0)</f>
        <v>30.8523</v>
      </c>
      <c r="C345" s="14">
        <f>29.0768 * CHOOSE(CONTROL!$C$15, $E$9, 100%, $G$9) + CHOOSE(CONTROL!$C$38, 0.0342, 0)</f>
        <v>29.110999999999997</v>
      </c>
      <c r="D345" s="14">
        <f>29.069 * CHOOSE(CONTROL!$C$15, $E$9, 100%, $G$9) + CHOOSE(CONTROL!$C$38, 0.0342, 0)</f>
        <v>29.103199999999998</v>
      </c>
      <c r="E345" s="45">
        <f>30.6709 * CHOOSE(CONTROL!$C$15, $E$9, 100%, $G$9) + CHOOSE(CONTROL!$C$38, 0.0342, 0)</f>
        <v>30.705099999999998</v>
      </c>
      <c r="F345" s="44">
        <f>30.6709 * CHOOSE(CONTROL!$C$15, $E$9, 100%, $G$9) + CHOOSE(CONTROL!$C$38, 0.0251, 0)</f>
        <v>30.695999999999998</v>
      </c>
      <c r="G345" s="14">
        <f>29.0753 * CHOOSE(CONTROL!$C$15, $E$9, 100%, $G$9) + CHOOSE(CONTROL!$C$38, 0.0342, 0)</f>
        <v>29.109499999999997</v>
      </c>
      <c r="H345" s="14">
        <f>29.0753 * CHOOSE(CONTROL!$C$15, $E$9, 100%, $G$9) + CHOOSE(CONTROL!$C$38, 0.0342, 0)</f>
        <v>29.109499999999997</v>
      </c>
      <c r="I345" s="14">
        <f>29.0768 * CHOOSE(CONTROL!$C$15, $E$9, 100%, $G$9) + CHOOSE(CONTROL!$C$38, 0.0342, 0)</f>
        <v>29.110999999999997</v>
      </c>
      <c r="J345" s="43">
        <f>209.0093</f>
        <v>209.0093</v>
      </c>
    </row>
    <row r="346" spans="1:10" ht="15.75" x14ac:dyDescent="0.25">
      <c r="A346" s="32">
        <v>51470</v>
      </c>
      <c r="B346" s="14">
        <f>31.1289 * CHOOSE(CONTROL!$C$15, $E$9, 100%, $G$9) + CHOOSE(CONTROL!$C$38, 0.0251, 0)</f>
        <v>31.154</v>
      </c>
      <c r="C346" s="14">
        <f>29.3785 * CHOOSE(CONTROL!$C$15, $E$9, 100%, $G$9) + CHOOSE(CONTROL!$C$38, 0.0342, 0)</f>
        <v>29.412699999999997</v>
      </c>
      <c r="D346" s="14">
        <f>29.3707 * CHOOSE(CONTROL!$C$15, $E$9, 100%, $G$9) + CHOOSE(CONTROL!$C$38, 0.0342, 0)</f>
        <v>29.404899999999998</v>
      </c>
      <c r="E346" s="45">
        <f>30.9726 * CHOOSE(CONTROL!$C$15, $E$9, 100%, $G$9) + CHOOSE(CONTROL!$C$38, 0.0342, 0)</f>
        <v>31.006799999999998</v>
      </c>
      <c r="F346" s="44">
        <f>30.9726 * CHOOSE(CONTROL!$C$15, $E$9, 100%, $G$9) + CHOOSE(CONTROL!$C$38, 0.0251, 0)</f>
        <v>30.997699999999998</v>
      </c>
      <c r="G346" s="14">
        <f>29.377 * CHOOSE(CONTROL!$C$15, $E$9, 100%, $G$9) + CHOOSE(CONTROL!$C$38, 0.0342, 0)</f>
        <v>29.411199999999997</v>
      </c>
      <c r="H346" s="14">
        <f>29.377 * CHOOSE(CONTROL!$C$15, $E$9, 100%, $G$9) + CHOOSE(CONTROL!$C$38, 0.0342, 0)</f>
        <v>29.411199999999997</v>
      </c>
      <c r="I346" s="14">
        <f>29.3785 * CHOOSE(CONTROL!$C$15, $E$9, 100%, $G$9) + CHOOSE(CONTROL!$C$38, 0.0342, 0)</f>
        <v>29.412699999999997</v>
      </c>
      <c r="J346" s="43">
        <f>207.5201</f>
        <v>207.52010000000001</v>
      </c>
    </row>
    <row r="347" spans="1:10" ht="15.75" x14ac:dyDescent="0.25">
      <c r="A347" s="32">
        <v>51501</v>
      </c>
      <c r="B347" s="14">
        <f>32.0585 * CHOOSE(CONTROL!$C$15, $E$9, 100%, $G$9) + CHOOSE(CONTROL!$C$38, 0.0251, 0)</f>
        <v>32.083600000000004</v>
      </c>
      <c r="C347" s="14">
        <f>30.3082 * CHOOSE(CONTROL!$C$15, $E$9, 100%, $G$9) + CHOOSE(CONTROL!$C$38, 0.0342, 0)</f>
        <v>30.342399999999998</v>
      </c>
      <c r="D347" s="14">
        <f>30.3004 * CHOOSE(CONTROL!$C$15, $E$9, 100%, $G$9) + CHOOSE(CONTROL!$C$38, 0.0342, 0)</f>
        <v>30.334599999999998</v>
      </c>
      <c r="E347" s="45">
        <f>31.9023 * CHOOSE(CONTROL!$C$15, $E$9, 100%, $G$9) + CHOOSE(CONTROL!$C$38, 0.0342, 0)</f>
        <v>31.936499999999999</v>
      </c>
      <c r="F347" s="44">
        <f>31.9023 * CHOOSE(CONTROL!$C$15, $E$9, 100%, $G$9) + CHOOSE(CONTROL!$C$38, 0.0251, 0)</f>
        <v>31.927399999999999</v>
      </c>
      <c r="G347" s="14">
        <f>30.3066 * CHOOSE(CONTROL!$C$15, $E$9, 100%, $G$9) + CHOOSE(CONTROL!$C$38, 0.0342, 0)</f>
        <v>30.340799999999998</v>
      </c>
      <c r="H347" s="14">
        <f>30.3066 * CHOOSE(CONTROL!$C$15, $E$9, 100%, $G$9) + CHOOSE(CONTROL!$C$38, 0.0342, 0)</f>
        <v>30.340799999999998</v>
      </c>
      <c r="I347" s="14">
        <f>30.3082 * CHOOSE(CONTROL!$C$15, $E$9, 100%, $G$9) + CHOOSE(CONTROL!$C$38, 0.0342, 0)</f>
        <v>30.342399999999998</v>
      </c>
      <c r="J347" s="43">
        <f>201.3619</f>
        <v>201.36189999999999</v>
      </c>
    </row>
    <row r="348" spans="1:10" ht="15.75" x14ac:dyDescent="0.25">
      <c r="A348" s="32">
        <v>51532</v>
      </c>
      <c r="B348" s="14">
        <f>33.3062 * CHOOSE(CONTROL!$C$15, $E$9, 100%, $G$9) + CHOOSE(CONTROL!$C$38, 0.0251, 0)</f>
        <v>33.331299999999999</v>
      </c>
      <c r="C348" s="14">
        <f>31.5291 * CHOOSE(CONTROL!$C$15, $E$9, 100%, $G$9) + CHOOSE(CONTROL!$C$38, 0.0342, 0)</f>
        <v>31.563299999999998</v>
      </c>
      <c r="D348" s="14">
        <f>31.5213 * CHOOSE(CONTROL!$C$15, $E$9, 100%, $G$9) + CHOOSE(CONTROL!$C$38, 0.0342, 0)</f>
        <v>31.555499999999999</v>
      </c>
      <c r="E348" s="45">
        <f>33.15 * CHOOSE(CONTROL!$C$15, $E$9, 100%, $G$9) + CHOOSE(CONTROL!$C$38, 0.0342, 0)</f>
        <v>33.184199999999997</v>
      </c>
      <c r="F348" s="44">
        <f>33.15 * CHOOSE(CONTROL!$C$15, $E$9, 100%, $G$9) + CHOOSE(CONTROL!$C$38, 0.0251, 0)</f>
        <v>33.1751</v>
      </c>
      <c r="G348" s="14">
        <f>31.5275 * CHOOSE(CONTROL!$C$15, $E$9, 100%, $G$9) + CHOOSE(CONTROL!$C$38, 0.0342, 0)</f>
        <v>31.561699999999998</v>
      </c>
      <c r="H348" s="14">
        <f>31.5275 * CHOOSE(CONTROL!$C$15, $E$9, 100%, $G$9) + CHOOSE(CONTROL!$C$38, 0.0342, 0)</f>
        <v>31.561699999999998</v>
      </c>
      <c r="I348" s="14">
        <f>31.5291 * CHOOSE(CONTROL!$C$15, $E$9, 100%, $G$9) + CHOOSE(CONTROL!$C$38, 0.0342, 0)</f>
        <v>31.563299999999998</v>
      </c>
      <c r="J348" s="43">
        <f>201.2165</f>
        <v>201.2165</v>
      </c>
    </row>
    <row r="349" spans="1:10" ht="15.75" x14ac:dyDescent="0.25">
      <c r="A349" s="32">
        <v>51560</v>
      </c>
      <c r="B349" s="14">
        <f>33.6505 * CHOOSE(CONTROL!$C$15, $E$9, 100%, $G$9) + CHOOSE(CONTROL!$C$38, 0.0251, 0)</f>
        <v>33.675600000000003</v>
      </c>
      <c r="C349" s="14">
        <f>31.8734 * CHOOSE(CONTROL!$C$15, $E$9, 100%, $G$9) + CHOOSE(CONTROL!$C$38, 0.0342, 0)</f>
        <v>31.907599999999999</v>
      </c>
      <c r="D349" s="14">
        <f>31.8656 * CHOOSE(CONTROL!$C$15, $E$9, 100%, $G$9) + CHOOSE(CONTROL!$C$38, 0.0342, 0)</f>
        <v>31.899799999999999</v>
      </c>
      <c r="E349" s="45">
        <f>33.4943 * CHOOSE(CONTROL!$C$15, $E$9, 100%, $G$9) + CHOOSE(CONTROL!$C$38, 0.0342, 0)</f>
        <v>33.528500000000001</v>
      </c>
      <c r="F349" s="44">
        <f>33.4943 * CHOOSE(CONTROL!$C$15, $E$9, 100%, $G$9) + CHOOSE(CONTROL!$C$38, 0.0251, 0)</f>
        <v>33.519400000000005</v>
      </c>
      <c r="G349" s="14">
        <f>31.8718 * CHOOSE(CONTROL!$C$15, $E$9, 100%, $G$9) + CHOOSE(CONTROL!$C$38, 0.0342, 0)</f>
        <v>31.905999999999999</v>
      </c>
      <c r="H349" s="14">
        <f>31.8718 * CHOOSE(CONTROL!$C$15, $E$9, 100%, $G$9) + CHOOSE(CONTROL!$C$38, 0.0342, 0)</f>
        <v>31.905999999999999</v>
      </c>
      <c r="I349" s="14">
        <f>31.8734 * CHOOSE(CONTROL!$C$15, $E$9, 100%, $G$9) + CHOOSE(CONTROL!$C$38, 0.0342, 0)</f>
        <v>31.907599999999999</v>
      </c>
      <c r="J349" s="43">
        <f>200.6572</f>
        <v>200.65719999999999</v>
      </c>
    </row>
    <row r="350" spans="1:10" ht="15.75" x14ac:dyDescent="0.25">
      <c r="A350" s="32">
        <v>51591</v>
      </c>
      <c r="B350" s="14">
        <f>32.8535 * CHOOSE(CONTROL!$C$15, $E$9, 100%, $G$9) + CHOOSE(CONTROL!$C$38, 0.0251, 0)</f>
        <v>32.878599999999999</v>
      </c>
      <c r="C350" s="14">
        <f>31.0764 * CHOOSE(CONTROL!$C$15, $E$9, 100%, $G$9) + CHOOSE(CONTROL!$C$38, 0.0342, 0)</f>
        <v>31.110599999999998</v>
      </c>
      <c r="D350" s="14">
        <f>31.0686 * CHOOSE(CONTROL!$C$15, $E$9, 100%, $G$9) + CHOOSE(CONTROL!$C$38, 0.0342, 0)</f>
        <v>31.102799999999998</v>
      </c>
      <c r="E350" s="45">
        <f>32.6972 * CHOOSE(CONTROL!$C$15, $E$9, 100%, $G$9) + CHOOSE(CONTROL!$C$38, 0.0342, 0)</f>
        <v>32.731400000000001</v>
      </c>
      <c r="F350" s="44">
        <f>32.6972 * CHOOSE(CONTROL!$C$15, $E$9, 100%, $G$9) + CHOOSE(CONTROL!$C$38, 0.0251, 0)</f>
        <v>32.722300000000004</v>
      </c>
      <c r="G350" s="14">
        <f>31.0748 * CHOOSE(CONTROL!$C$15, $E$9, 100%, $G$9) + CHOOSE(CONTROL!$C$38, 0.0342, 0)</f>
        <v>31.108999999999998</v>
      </c>
      <c r="H350" s="14">
        <f>31.0748 * CHOOSE(CONTROL!$C$15, $E$9, 100%, $G$9) + CHOOSE(CONTROL!$C$38, 0.0342, 0)</f>
        <v>31.108999999999998</v>
      </c>
      <c r="I350" s="14">
        <f>31.0764 * CHOOSE(CONTROL!$C$15, $E$9, 100%, $G$9) + CHOOSE(CONTROL!$C$38, 0.0342, 0)</f>
        <v>31.110599999999998</v>
      </c>
      <c r="J350" s="43">
        <f>211.233</f>
        <v>211.233</v>
      </c>
    </row>
    <row r="351" spans="1:10" ht="15.75" x14ac:dyDescent="0.25">
      <c r="A351" s="32">
        <v>51621</v>
      </c>
      <c r="B351" s="14">
        <f>32.0812 * CHOOSE(CONTROL!$C$15, $E$9, 100%, $G$9) + CHOOSE(CONTROL!$C$38, 0.0251, 0)</f>
        <v>32.106300000000005</v>
      </c>
      <c r="C351" s="14">
        <f>30.3041 * CHOOSE(CONTROL!$C$15, $E$9, 100%, $G$9) + CHOOSE(CONTROL!$C$38, 0.0342, 0)</f>
        <v>30.338299999999997</v>
      </c>
      <c r="D351" s="14">
        <f>30.2962 * CHOOSE(CONTROL!$C$15, $E$9, 100%, $G$9) + CHOOSE(CONTROL!$C$38, 0.0342, 0)</f>
        <v>30.330399999999997</v>
      </c>
      <c r="E351" s="45">
        <f>31.9249 * CHOOSE(CONTROL!$C$15, $E$9, 100%, $G$9) + CHOOSE(CONTROL!$C$38, 0.0342, 0)</f>
        <v>31.959099999999999</v>
      </c>
      <c r="F351" s="44">
        <f>31.9249 * CHOOSE(CONTROL!$C$15, $E$9, 100%, $G$9) + CHOOSE(CONTROL!$C$38, 0.0251, 0)</f>
        <v>31.95</v>
      </c>
      <c r="G351" s="14">
        <f>30.3025 * CHOOSE(CONTROL!$C$15, $E$9, 100%, $G$9) + CHOOSE(CONTROL!$C$38, 0.0342, 0)</f>
        <v>30.336699999999997</v>
      </c>
      <c r="H351" s="14">
        <f>30.3025 * CHOOSE(CONTROL!$C$15, $E$9, 100%, $G$9) + CHOOSE(CONTROL!$C$38, 0.0342, 0)</f>
        <v>30.336699999999997</v>
      </c>
      <c r="I351" s="14">
        <f>30.3041 * CHOOSE(CONTROL!$C$15, $E$9, 100%, $G$9) + CHOOSE(CONTROL!$C$38, 0.0342, 0)</f>
        <v>30.338299999999997</v>
      </c>
      <c r="J351" s="43">
        <f>224.9473</f>
        <v>224.94730000000001</v>
      </c>
    </row>
    <row r="352" spans="1:10" ht="15.75" x14ac:dyDescent="0.25">
      <c r="A352" s="32">
        <v>51652</v>
      </c>
      <c r="B352" s="14">
        <f>31.2762 * CHOOSE(CONTROL!$C$15, $E$9, 100%, $G$9) + CHOOSE(CONTROL!$C$38, 0.0264, 0)</f>
        <v>31.302599999999998</v>
      </c>
      <c r="C352" s="14">
        <f>29.4991 * CHOOSE(CONTROL!$C$15, $E$9, 100%, $G$9) + CHOOSE(CONTROL!$C$38, 0.0354, 0)</f>
        <v>29.534499999999998</v>
      </c>
      <c r="D352" s="14">
        <f>29.4913 * CHOOSE(CONTROL!$C$15, $E$9, 100%, $G$9) + CHOOSE(CONTROL!$C$38, 0.0354, 0)</f>
        <v>29.526699999999998</v>
      </c>
      <c r="E352" s="45">
        <f>31.12 * CHOOSE(CONTROL!$C$15, $E$9, 100%, $G$9) + CHOOSE(CONTROL!$C$38, 0.0354, 0)</f>
        <v>31.1554</v>
      </c>
      <c r="F352" s="44">
        <f>31.12 * CHOOSE(CONTROL!$C$15, $E$9, 100%, $G$9) + CHOOSE(CONTROL!$C$38, 0.0264, 0)</f>
        <v>31.1464</v>
      </c>
      <c r="G352" s="14">
        <f>29.4975 * CHOOSE(CONTROL!$C$15, $E$9, 100%, $G$9) + CHOOSE(CONTROL!$C$38, 0.0354, 0)</f>
        <v>29.532899999999998</v>
      </c>
      <c r="H352" s="14">
        <f>29.4975 * CHOOSE(CONTROL!$C$15, $E$9, 100%, $G$9) + CHOOSE(CONTROL!$C$38, 0.0354, 0)</f>
        <v>29.532899999999998</v>
      </c>
      <c r="I352" s="14">
        <f>29.4991 * CHOOSE(CONTROL!$C$15, $E$9, 100%, $G$9) + CHOOSE(CONTROL!$C$38, 0.0354, 0)</f>
        <v>29.534499999999998</v>
      </c>
      <c r="J352" s="43">
        <f>232.4961</f>
        <v>232.49610000000001</v>
      </c>
    </row>
    <row r="353" spans="1:10" ht="15.75" x14ac:dyDescent="0.25">
      <c r="A353" s="32">
        <v>51682</v>
      </c>
      <c r="B353" s="14">
        <f>30.7119 * CHOOSE(CONTROL!$C$15, $E$9, 100%, $G$9) + CHOOSE(CONTROL!$C$38, 0.0264, 0)</f>
        <v>30.738299999999999</v>
      </c>
      <c r="C353" s="14">
        <f>28.9348 * CHOOSE(CONTROL!$C$15, $E$9, 100%, $G$9) + CHOOSE(CONTROL!$C$38, 0.0354, 0)</f>
        <v>28.970199999999998</v>
      </c>
      <c r="D353" s="14">
        <f>28.9269 * CHOOSE(CONTROL!$C$15, $E$9, 100%, $G$9) + CHOOSE(CONTROL!$C$38, 0.0354, 0)</f>
        <v>28.962299999999999</v>
      </c>
      <c r="E353" s="45">
        <f>30.5556 * CHOOSE(CONTROL!$C$15, $E$9, 100%, $G$9) + CHOOSE(CONTROL!$C$38, 0.0354, 0)</f>
        <v>30.590999999999998</v>
      </c>
      <c r="F353" s="44">
        <f>30.5556 * CHOOSE(CONTROL!$C$15, $E$9, 100%, $G$9) + CHOOSE(CONTROL!$C$38, 0.0264, 0)</f>
        <v>30.581999999999997</v>
      </c>
      <c r="G353" s="14">
        <f>28.9332 * CHOOSE(CONTROL!$C$15, $E$9, 100%, $G$9) + CHOOSE(CONTROL!$C$38, 0.0354, 0)</f>
        <v>28.968599999999999</v>
      </c>
      <c r="H353" s="14">
        <f>28.9332 * CHOOSE(CONTROL!$C$15, $E$9, 100%, $G$9) + CHOOSE(CONTROL!$C$38, 0.0354, 0)</f>
        <v>28.968599999999999</v>
      </c>
      <c r="I353" s="14">
        <f>28.9348 * CHOOSE(CONTROL!$C$15, $E$9, 100%, $G$9) + CHOOSE(CONTROL!$C$38, 0.0354, 0)</f>
        <v>28.970199999999998</v>
      </c>
      <c r="J353" s="43">
        <f>235.8461</f>
        <v>235.84610000000001</v>
      </c>
    </row>
    <row r="354" spans="1:10" ht="15.75" x14ac:dyDescent="0.25">
      <c r="A354" s="32">
        <v>51713</v>
      </c>
      <c r="B354" s="14">
        <f>30.3898 * CHOOSE(CONTROL!$C$15, $E$9, 100%, $G$9) + CHOOSE(CONTROL!$C$38, 0.0264, 0)</f>
        <v>30.4162</v>
      </c>
      <c r="C354" s="14">
        <f>28.6127 * CHOOSE(CONTROL!$C$15, $E$9, 100%, $G$9) + CHOOSE(CONTROL!$C$38, 0.0354, 0)</f>
        <v>28.648099999999999</v>
      </c>
      <c r="D354" s="14">
        <f>28.6049 * CHOOSE(CONTROL!$C$15, $E$9, 100%, $G$9) + CHOOSE(CONTROL!$C$38, 0.0354, 0)</f>
        <v>28.6403</v>
      </c>
      <c r="E354" s="45">
        <f>30.2336 * CHOOSE(CONTROL!$C$15, $E$9, 100%, $G$9) + CHOOSE(CONTROL!$C$38, 0.0354, 0)</f>
        <v>30.268999999999998</v>
      </c>
      <c r="F354" s="44">
        <f>30.2336 * CHOOSE(CONTROL!$C$15, $E$9, 100%, $G$9) + CHOOSE(CONTROL!$C$38, 0.0264, 0)</f>
        <v>30.259999999999998</v>
      </c>
      <c r="G354" s="14">
        <f>28.6111 * CHOOSE(CONTROL!$C$15, $E$9, 100%, $G$9) + CHOOSE(CONTROL!$C$38, 0.0354, 0)</f>
        <v>28.6465</v>
      </c>
      <c r="H354" s="14">
        <f>28.6111 * CHOOSE(CONTROL!$C$15, $E$9, 100%, $G$9) + CHOOSE(CONTROL!$C$38, 0.0354, 0)</f>
        <v>28.6465</v>
      </c>
      <c r="I354" s="14">
        <f>28.6127 * CHOOSE(CONTROL!$C$15, $E$9, 100%, $G$9) + CHOOSE(CONTROL!$C$38, 0.0354, 0)</f>
        <v>28.648099999999999</v>
      </c>
      <c r="J354" s="43">
        <f>234.7431</f>
        <v>234.7431</v>
      </c>
    </row>
    <row r="355" spans="1:10" ht="15.75" x14ac:dyDescent="0.25">
      <c r="A355" s="32">
        <v>51744</v>
      </c>
      <c r="B355" s="14">
        <f>30.5488 * CHOOSE(CONTROL!$C$15, $E$9, 100%, $G$9) + CHOOSE(CONTROL!$C$38, 0.0264, 0)</f>
        <v>30.575199999999999</v>
      </c>
      <c r="C355" s="14">
        <f>28.7716 * CHOOSE(CONTROL!$C$15, $E$9, 100%, $G$9) + CHOOSE(CONTROL!$C$38, 0.0354, 0)</f>
        <v>28.806999999999999</v>
      </c>
      <c r="D355" s="14">
        <f>28.7638 * CHOOSE(CONTROL!$C$15, $E$9, 100%, $G$9) + CHOOSE(CONTROL!$C$38, 0.0354, 0)</f>
        <v>28.799199999999999</v>
      </c>
      <c r="E355" s="45">
        <f>30.3925 * CHOOSE(CONTROL!$C$15, $E$9, 100%, $G$9) + CHOOSE(CONTROL!$C$38, 0.0354, 0)</f>
        <v>30.427899999999998</v>
      </c>
      <c r="F355" s="44">
        <f>30.3925 * CHOOSE(CONTROL!$C$15, $E$9, 100%, $G$9) + CHOOSE(CONTROL!$C$38, 0.0264, 0)</f>
        <v>30.418899999999997</v>
      </c>
      <c r="G355" s="14">
        <f>28.7701 * CHOOSE(CONTROL!$C$15, $E$9, 100%, $G$9) + CHOOSE(CONTROL!$C$38, 0.0354, 0)</f>
        <v>28.805499999999999</v>
      </c>
      <c r="H355" s="14">
        <f>28.7701 * CHOOSE(CONTROL!$C$15, $E$9, 100%, $G$9) + CHOOSE(CONTROL!$C$38, 0.0354, 0)</f>
        <v>28.805499999999999</v>
      </c>
      <c r="I355" s="14">
        <f>28.7716 * CHOOSE(CONTROL!$C$15, $E$9, 100%, $G$9) + CHOOSE(CONTROL!$C$38, 0.0354, 0)</f>
        <v>28.806999999999999</v>
      </c>
      <c r="J355" s="43">
        <f>229.2784</f>
        <v>229.2784</v>
      </c>
    </row>
    <row r="356" spans="1:10" ht="15.75" x14ac:dyDescent="0.25">
      <c r="A356" s="32">
        <v>51774</v>
      </c>
      <c r="B356" s="14">
        <f>30.9805 * CHOOSE(CONTROL!$C$15, $E$9, 100%, $G$9) + CHOOSE(CONTROL!$C$38, 0.0264, 0)</f>
        <v>31.006899999999998</v>
      </c>
      <c r="C356" s="14">
        <f>29.2034 * CHOOSE(CONTROL!$C$15, $E$9, 100%, $G$9) + CHOOSE(CONTROL!$C$38, 0.0354, 0)</f>
        <v>29.238799999999998</v>
      </c>
      <c r="D356" s="14">
        <f>29.1955 * CHOOSE(CONTROL!$C$15, $E$9, 100%, $G$9) + CHOOSE(CONTROL!$C$38, 0.0354, 0)</f>
        <v>29.230899999999998</v>
      </c>
      <c r="E356" s="45">
        <f>30.8242 * CHOOSE(CONTROL!$C$15, $E$9, 100%, $G$9) + CHOOSE(CONTROL!$C$38, 0.0354, 0)</f>
        <v>30.8596</v>
      </c>
      <c r="F356" s="44">
        <f>30.8242 * CHOOSE(CONTROL!$C$15, $E$9, 100%, $G$9) + CHOOSE(CONTROL!$C$38, 0.0264, 0)</f>
        <v>30.8506</v>
      </c>
      <c r="G356" s="14">
        <f>29.2018 * CHOOSE(CONTROL!$C$15, $E$9, 100%, $G$9) + CHOOSE(CONTROL!$C$38, 0.0354, 0)</f>
        <v>29.237199999999998</v>
      </c>
      <c r="H356" s="14">
        <f>29.2018 * CHOOSE(CONTROL!$C$15, $E$9, 100%, $G$9) + CHOOSE(CONTROL!$C$38, 0.0354, 0)</f>
        <v>29.237199999999998</v>
      </c>
      <c r="I356" s="14">
        <f>29.2034 * CHOOSE(CONTROL!$C$15, $E$9, 100%, $G$9) + CHOOSE(CONTROL!$C$38, 0.0354, 0)</f>
        <v>29.238799999999998</v>
      </c>
      <c r="J356" s="43">
        <f>221.6576</f>
        <v>221.6576</v>
      </c>
    </row>
    <row r="357" spans="1:10" ht="15.75" x14ac:dyDescent="0.25">
      <c r="A357" s="32">
        <v>51805</v>
      </c>
      <c r="B357" s="14">
        <f>31.342 * CHOOSE(CONTROL!$C$15, $E$9, 100%, $G$9) + CHOOSE(CONTROL!$C$38, 0.0251, 0)</f>
        <v>31.367099999999997</v>
      </c>
      <c r="C357" s="14">
        <f>29.5649 * CHOOSE(CONTROL!$C$15, $E$9, 100%, $G$9) + CHOOSE(CONTROL!$C$38, 0.0342, 0)</f>
        <v>29.5991</v>
      </c>
      <c r="D357" s="14">
        <f>29.5571 * CHOOSE(CONTROL!$C$15, $E$9, 100%, $G$9) + CHOOSE(CONTROL!$C$38, 0.0342, 0)</f>
        <v>29.591299999999997</v>
      </c>
      <c r="E357" s="45">
        <f>31.1858 * CHOOSE(CONTROL!$C$15, $E$9, 100%, $G$9) + CHOOSE(CONTROL!$C$38, 0.0342, 0)</f>
        <v>31.22</v>
      </c>
      <c r="F357" s="44">
        <f>31.1858 * CHOOSE(CONTROL!$C$15, $E$9, 100%, $G$9) + CHOOSE(CONTROL!$C$38, 0.0251, 0)</f>
        <v>31.210899999999999</v>
      </c>
      <c r="G357" s="14">
        <f>29.5634 * CHOOSE(CONTROL!$C$15, $E$9, 100%, $G$9) + CHOOSE(CONTROL!$C$38, 0.0342, 0)</f>
        <v>29.5976</v>
      </c>
      <c r="H357" s="14">
        <f>29.5634 * CHOOSE(CONTROL!$C$15, $E$9, 100%, $G$9) + CHOOSE(CONTROL!$C$38, 0.0342, 0)</f>
        <v>29.5976</v>
      </c>
      <c r="I357" s="14">
        <f>29.5649 * CHOOSE(CONTROL!$C$15, $E$9, 100%, $G$9) + CHOOSE(CONTROL!$C$38, 0.0342, 0)</f>
        <v>29.5991</v>
      </c>
      <c r="J357" s="43">
        <f>213.9924</f>
        <v>213.9924</v>
      </c>
    </row>
    <row r="358" spans="1:10" ht="15.75" x14ac:dyDescent="0.25">
      <c r="A358" s="32">
        <v>51835</v>
      </c>
      <c r="B358" s="14">
        <f>31.6437 * CHOOSE(CONTROL!$C$15, $E$9, 100%, $G$9) + CHOOSE(CONTROL!$C$38, 0.0251, 0)</f>
        <v>31.668799999999997</v>
      </c>
      <c r="C358" s="14">
        <f>29.8666 * CHOOSE(CONTROL!$C$15, $E$9, 100%, $G$9) + CHOOSE(CONTROL!$C$38, 0.0342, 0)</f>
        <v>29.900799999999997</v>
      </c>
      <c r="D358" s="14">
        <f>29.8588 * CHOOSE(CONTROL!$C$15, $E$9, 100%, $G$9) + CHOOSE(CONTROL!$C$38, 0.0342, 0)</f>
        <v>29.892999999999997</v>
      </c>
      <c r="E358" s="45">
        <f>31.4875 * CHOOSE(CONTROL!$C$15, $E$9, 100%, $G$9) + CHOOSE(CONTROL!$C$38, 0.0342, 0)</f>
        <v>31.521699999999999</v>
      </c>
      <c r="F358" s="44">
        <f>31.4875 * CHOOSE(CONTROL!$C$15, $E$9, 100%, $G$9) + CHOOSE(CONTROL!$C$38, 0.0251, 0)</f>
        <v>31.512599999999999</v>
      </c>
      <c r="G358" s="14">
        <f>29.8651 * CHOOSE(CONTROL!$C$15, $E$9, 100%, $G$9) + CHOOSE(CONTROL!$C$38, 0.0342, 0)</f>
        <v>29.8993</v>
      </c>
      <c r="H358" s="14">
        <f>29.8651 * CHOOSE(CONTROL!$C$15, $E$9, 100%, $G$9) + CHOOSE(CONTROL!$C$38, 0.0342, 0)</f>
        <v>29.8993</v>
      </c>
      <c r="I358" s="14">
        <f>29.8666 * CHOOSE(CONTROL!$C$15, $E$9, 100%, $G$9) + CHOOSE(CONTROL!$C$38, 0.0342, 0)</f>
        <v>29.900799999999997</v>
      </c>
      <c r="J358" s="43">
        <f>212.4677</f>
        <v>212.46770000000001</v>
      </c>
    </row>
    <row r="359" spans="1:10" ht="15.75" x14ac:dyDescent="0.25">
      <c r="A359" s="32">
        <v>51866</v>
      </c>
      <c r="B359" s="14">
        <f>32.5734 * CHOOSE(CONTROL!$C$15, $E$9, 100%, $G$9) + CHOOSE(CONTROL!$C$38, 0.0251, 0)</f>
        <v>32.598500000000001</v>
      </c>
      <c r="C359" s="14">
        <f>30.7963 * CHOOSE(CONTROL!$C$15, $E$9, 100%, $G$9) + CHOOSE(CONTROL!$C$38, 0.0342, 0)</f>
        <v>30.830499999999997</v>
      </c>
      <c r="D359" s="14">
        <f>30.7885 * CHOOSE(CONTROL!$C$15, $E$9, 100%, $G$9) + CHOOSE(CONTROL!$C$38, 0.0342, 0)</f>
        <v>30.822699999999998</v>
      </c>
      <c r="E359" s="45">
        <f>32.4172 * CHOOSE(CONTROL!$C$15, $E$9, 100%, $G$9) + CHOOSE(CONTROL!$C$38, 0.0342, 0)</f>
        <v>32.4514</v>
      </c>
      <c r="F359" s="44">
        <f>32.4172 * CHOOSE(CONTROL!$C$15, $E$9, 100%, $G$9) + CHOOSE(CONTROL!$C$38, 0.0251, 0)</f>
        <v>32.442300000000003</v>
      </c>
      <c r="G359" s="14">
        <f>30.7947 * CHOOSE(CONTROL!$C$15, $E$9, 100%, $G$9) + CHOOSE(CONTROL!$C$38, 0.0342, 0)</f>
        <v>30.828899999999997</v>
      </c>
      <c r="H359" s="14">
        <f>30.7947 * CHOOSE(CONTROL!$C$15, $E$9, 100%, $G$9) + CHOOSE(CONTROL!$C$38, 0.0342, 0)</f>
        <v>30.828899999999997</v>
      </c>
      <c r="I359" s="14">
        <f>30.7963 * CHOOSE(CONTROL!$C$15, $E$9, 100%, $G$9) + CHOOSE(CONTROL!$C$38, 0.0342, 0)</f>
        <v>30.830499999999997</v>
      </c>
      <c r="J359" s="43">
        <f>206.1627</f>
        <v>206.1627</v>
      </c>
    </row>
    <row r="360" spans="1:10" ht="15.75" x14ac:dyDescent="0.25">
      <c r="A360" s="32">
        <v>51897</v>
      </c>
      <c r="B360" s="14">
        <f>33.8297 * CHOOSE(CONTROL!$C$15, $E$9, 100%, $G$9) + CHOOSE(CONTROL!$C$38, 0.0251, 0)</f>
        <v>33.854800000000004</v>
      </c>
      <c r="C360" s="14">
        <f>32.0254 * CHOOSE(CONTROL!$C$15, $E$9, 100%, $G$9) + CHOOSE(CONTROL!$C$38, 0.0342, 0)</f>
        <v>32.059599999999996</v>
      </c>
      <c r="D360" s="14">
        <f>32.0176 * CHOOSE(CONTROL!$C$15, $E$9, 100%, $G$9) + CHOOSE(CONTROL!$C$38, 0.0342, 0)</f>
        <v>32.0518</v>
      </c>
      <c r="E360" s="45">
        <f>33.6735 * CHOOSE(CONTROL!$C$15, $E$9, 100%, $G$9) + CHOOSE(CONTROL!$C$38, 0.0342, 0)</f>
        <v>33.707699999999996</v>
      </c>
      <c r="F360" s="44">
        <f>33.6735 * CHOOSE(CONTROL!$C$15, $E$9, 100%, $G$9) + CHOOSE(CONTROL!$C$38, 0.0251, 0)</f>
        <v>33.698599999999999</v>
      </c>
      <c r="G360" s="14">
        <f>32.0238 * CHOOSE(CONTROL!$C$15, $E$9, 100%, $G$9) + CHOOSE(CONTROL!$C$38, 0.0342, 0)</f>
        <v>32.058</v>
      </c>
      <c r="H360" s="14">
        <f>32.0238 * CHOOSE(CONTROL!$C$15, $E$9, 100%, $G$9) + CHOOSE(CONTROL!$C$38, 0.0342, 0)</f>
        <v>32.058</v>
      </c>
      <c r="I360" s="14">
        <f>32.0254 * CHOOSE(CONTROL!$C$15, $E$9, 100%, $G$9) + CHOOSE(CONTROL!$C$38, 0.0342, 0)</f>
        <v>32.059599999999996</v>
      </c>
      <c r="J360" s="43">
        <f>206.0138</f>
        <v>206.0138</v>
      </c>
    </row>
    <row r="361" spans="1:10" ht="15.75" x14ac:dyDescent="0.25">
      <c r="A361" s="32">
        <v>51925</v>
      </c>
      <c r="B361" s="14">
        <f>34.174 * CHOOSE(CONTROL!$C$15, $E$9, 100%, $G$9) + CHOOSE(CONTROL!$C$38, 0.0251, 0)</f>
        <v>34.199100000000001</v>
      </c>
      <c r="C361" s="14">
        <f>32.3697 * CHOOSE(CONTROL!$C$15, $E$9, 100%, $G$9) + CHOOSE(CONTROL!$C$38, 0.0342, 0)</f>
        <v>32.4039</v>
      </c>
      <c r="D361" s="14">
        <f>32.3619 * CHOOSE(CONTROL!$C$15, $E$9, 100%, $G$9) + CHOOSE(CONTROL!$C$38, 0.0342, 0)</f>
        <v>32.396099999999997</v>
      </c>
      <c r="E361" s="45">
        <f>34.0178 * CHOOSE(CONTROL!$C$15, $E$9, 100%, $G$9) + CHOOSE(CONTROL!$C$38, 0.0342, 0)</f>
        <v>34.052</v>
      </c>
      <c r="F361" s="44">
        <f>34.0178 * CHOOSE(CONTROL!$C$15, $E$9, 100%, $G$9) + CHOOSE(CONTROL!$C$38, 0.0251, 0)</f>
        <v>34.042900000000003</v>
      </c>
      <c r="G361" s="14">
        <f>32.3681 * CHOOSE(CONTROL!$C$15, $E$9, 100%, $G$9) + CHOOSE(CONTROL!$C$38, 0.0342, 0)</f>
        <v>32.402299999999997</v>
      </c>
      <c r="H361" s="14">
        <f>32.3681 * CHOOSE(CONTROL!$C$15, $E$9, 100%, $G$9) + CHOOSE(CONTROL!$C$38, 0.0342, 0)</f>
        <v>32.402299999999997</v>
      </c>
      <c r="I361" s="14">
        <f>32.3697 * CHOOSE(CONTROL!$C$15, $E$9, 100%, $G$9) + CHOOSE(CONTROL!$C$38, 0.0342, 0)</f>
        <v>32.4039</v>
      </c>
      <c r="J361" s="43">
        <f>205.4412</f>
        <v>205.44120000000001</v>
      </c>
    </row>
    <row r="362" spans="1:10" ht="15.75" x14ac:dyDescent="0.25">
      <c r="A362" s="32">
        <v>51956</v>
      </c>
      <c r="B362" s="14">
        <f>33.377 * CHOOSE(CONTROL!$C$15, $E$9, 100%, $G$9) + CHOOSE(CONTROL!$C$38, 0.0251, 0)</f>
        <v>33.402100000000004</v>
      </c>
      <c r="C362" s="14">
        <f>31.5727 * CHOOSE(CONTROL!$C$15, $E$9, 100%, $G$9) + CHOOSE(CONTROL!$C$38, 0.0342, 0)</f>
        <v>31.6069</v>
      </c>
      <c r="D362" s="14">
        <f>31.5648 * CHOOSE(CONTROL!$C$15, $E$9, 100%, $G$9) + CHOOSE(CONTROL!$C$38, 0.0342, 0)</f>
        <v>31.599</v>
      </c>
      <c r="E362" s="45">
        <f>33.2208 * CHOOSE(CONTROL!$C$15, $E$9, 100%, $G$9) + CHOOSE(CONTROL!$C$38, 0.0342, 0)</f>
        <v>33.254999999999995</v>
      </c>
      <c r="F362" s="44">
        <f>33.2208 * CHOOSE(CONTROL!$C$15, $E$9, 100%, $G$9) + CHOOSE(CONTROL!$C$38, 0.0251, 0)</f>
        <v>33.245899999999999</v>
      </c>
      <c r="G362" s="14">
        <f>31.5711 * CHOOSE(CONTROL!$C$15, $E$9, 100%, $G$9) + CHOOSE(CONTROL!$C$38, 0.0342, 0)</f>
        <v>31.6053</v>
      </c>
      <c r="H362" s="14">
        <f>31.5711 * CHOOSE(CONTROL!$C$15, $E$9, 100%, $G$9) + CHOOSE(CONTROL!$C$38, 0.0342, 0)</f>
        <v>31.6053</v>
      </c>
      <c r="I362" s="14">
        <f>31.5727 * CHOOSE(CONTROL!$C$15, $E$9, 100%, $G$9) + CHOOSE(CONTROL!$C$38, 0.0342, 0)</f>
        <v>31.6069</v>
      </c>
      <c r="J362" s="43">
        <f>216.2691</f>
        <v>216.26910000000001</v>
      </c>
    </row>
    <row r="363" spans="1:10" ht="15.75" x14ac:dyDescent="0.25">
      <c r="A363" s="32">
        <v>51986</v>
      </c>
      <c r="B363" s="14">
        <f>32.6047 * CHOOSE(CONTROL!$C$15, $E$9, 100%, $G$9) + CHOOSE(CONTROL!$C$38, 0.0251, 0)</f>
        <v>32.629800000000003</v>
      </c>
      <c r="C363" s="14">
        <f>30.8003 * CHOOSE(CONTROL!$C$15, $E$9, 100%, $G$9) + CHOOSE(CONTROL!$C$38, 0.0342, 0)</f>
        <v>30.834499999999998</v>
      </c>
      <c r="D363" s="14">
        <f>30.7925 * CHOOSE(CONTROL!$C$15, $E$9, 100%, $G$9) + CHOOSE(CONTROL!$C$38, 0.0342, 0)</f>
        <v>30.826699999999999</v>
      </c>
      <c r="E363" s="45">
        <f>32.4484 * CHOOSE(CONTROL!$C$15, $E$9, 100%, $G$9) + CHOOSE(CONTROL!$C$38, 0.0342, 0)</f>
        <v>32.482599999999998</v>
      </c>
      <c r="F363" s="44">
        <f>32.4484 * CHOOSE(CONTROL!$C$15, $E$9, 100%, $G$9) + CHOOSE(CONTROL!$C$38, 0.0251, 0)</f>
        <v>32.473500000000001</v>
      </c>
      <c r="G363" s="14">
        <f>30.7988 * CHOOSE(CONTROL!$C$15, $E$9, 100%, $G$9) + CHOOSE(CONTROL!$C$38, 0.0342, 0)</f>
        <v>30.832999999999998</v>
      </c>
      <c r="H363" s="14">
        <f>30.7988 * CHOOSE(CONTROL!$C$15, $E$9, 100%, $G$9) + CHOOSE(CONTROL!$C$38, 0.0342, 0)</f>
        <v>30.832999999999998</v>
      </c>
      <c r="I363" s="14">
        <f>30.8003 * CHOOSE(CONTROL!$C$15, $E$9, 100%, $G$9) + CHOOSE(CONTROL!$C$38, 0.0342, 0)</f>
        <v>30.834499999999998</v>
      </c>
      <c r="J363" s="43">
        <f>230.3104</f>
        <v>230.31039999999999</v>
      </c>
    </row>
    <row r="364" spans="1:10" ht="15.75" x14ac:dyDescent="0.25">
      <c r="A364" s="32">
        <v>52017</v>
      </c>
      <c r="B364" s="14">
        <f>31.7997 * CHOOSE(CONTROL!$C$15, $E$9, 100%, $G$9) + CHOOSE(CONTROL!$C$38, 0.0264, 0)</f>
        <v>31.8261</v>
      </c>
      <c r="C364" s="14">
        <f>29.9954 * CHOOSE(CONTROL!$C$15, $E$9, 100%, $G$9) + CHOOSE(CONTROL!$C$38, 0.0354, 0)</f>
        <v>30.030799999999999</v>
      </c>
      <c r="D364" s="14">
        <f>29.9876 * CHOOSE(CONTROL!$C$15, $E$9, 100%, $G$9) + CHOOSE(CONTROL!$C$38, 0.0354, 0)</f>
        <v>30.023</v>
      </c>
      <c r="E364" s="45">
        <f>31.6435 * CHOOSE(CONTROL!$C$15, $E$9, 100%, $G$9) + CHOOSE(CONTROL!$C$38, 0.0354, 0)</f>
        <v>31.678899999999999</v>
      </c>
      <c r="F364" s="44">
        <f>31.6435 * CHOOSE(CONTROL!$C$15, $E$9, 100%, $G$9) + CHOOSE(CONTROL!$C$38, 0.0264, 0)</f>
        <v>31.669899999999998</v>
      </c>
      <c r="G364" s="14">
        <f>29.9938 * CHOOSE(CONTROL!$C$15, $E$9, 100%, $G$9) + CHOOSE(CONTROL!$C$38, 0.0354, 0)</f>
        <v>30.029199999999999</v>
      </c>
      <c r="H364" s="14">
        <f>29.9938 * CHOOSE(CONTROL!$C$15, $E$9, 100%, $G$9) + CHOOSE(CONTROL!$C$38, 0.0354, 0)</f>
        <v>30.029199999999999</v>
      </c>
      <c r="I364" s="14">
        <f>29.9954 * CHOOSE(CONTROL!$C$15, $E$9, 100%, $G$9) + CHOOSE(CONTROL!$C$38, 0.0354, 0)</f>
        <v>30.030799999999999</v>
      </c>
      <c r="J364" s="43">
        <f>238.0392</f>
        <v>238.03919999999999</v>
      </c>
    </row>
    <row r="365" spans="1:10" ht="15.75" x14ac:dyDescent="0.25">
      <c r="A365" s="32">
        <v>52047</v>
      </c>
      <c r="B365" s="14">
        <f>31.2354 * CHOOSE(CONTROL!$C$15, $E$9, 100%, $G$9) + CHOOSE(CONTROL!$C$38, 0.0264, 0)</f>
        <v>31.261799999999997</v>
      </c>
      <c r="C365" s="14">
        <f>29.431 * CHOOSE(CONTROL!$C$15, $E$9, 100%, $G$9) + CHOOSE(CONTROL!$C$38, 0.0354, 0)</f>
        <v>29.4664</v>
      </c>
      <c r="D365" s="14">
        <f>29.4232 * CHOOSE(CONTROL!$C$15, $E$9, 100%, $G$9) + CHOOSE(CONTROL!$C$38, 0.0354, 0)</f>
        <v>29.458600000000001</v>
      </c>
      <c r="E365" s="45">
        <f>31.0791 * CHOOSE(CONTROL!$C$15, $E$9, 100%, $G$9) + CHOOSE(CONTROL!$C$38, 0.0354, 0)</f>
        <v>31.1145</v>
      </c>
      <c r="F365" s="44">
        <f>31.0791 * CHOOSE(CONTROL!$C$15, $E$9, 100%, $G$9) + CHOOSE(CONTROL!$C$38, 0.0264, 0)</f>
        <v>31.105499999999999</v>
      </c>
      <c r="G365" s="14">
        <f>29.4295 * CHOOSE(CONTROL!$C$15, $E$9, 100%, $G$9) + CHOOSE(CONTROL!$C$38, 0.0354, 0)</f>
        <v>29.4649</v>
      </c>
      <c r="H365" s="14">
        <f>29.4295 * CHOOSE(CONTROL!$C$15, $E$9, 100%, $G$9) + CHOOSE(CONTROL!$C$38, 0.0354, 0)</f>
        <v>29.4649</v>
      </c>
      <c r="I365" s="14">
        <f>29.431 * CHOOSE(CONTROL!$C$15, $E$9, 100%, $G$9) + CHOOSE(CONTROL!$C$38, 0.0354, 0)</f>
        <v>29.4664</v>
      </c>
      <c r="J365" s="43">
        <f>241.469</f>
        <v>241.46899999999999</v>
      </c>
    </row>
    <row r="366" spans="1:10" ht="15.75" x14ac:dyDescent="0.25">
      <c r="A366" s="32">
        <v>52078</v>
      </c>
      <c r="B366" s="14">
        <f>30.9133 * CHOOSE(CONTROL!$C$15, $E$9, 100%, $G$9) + CHOOSE(CONTROL!$C$38, 0.0264, 0)</f>
        <v>30.939699999999998</v>
      </c>
      <c r="C366" s="14">
        <f>29.109 * CHOOSE(CONTROL!$C$15, $E$9, 100%, $G$9) + CHOOSE(CONTROL!$C$38, 0.0354, 0)</f>
        <v>29.144400000000001</v>
      </c>
      <c r="D366" s="14">
        <f>29.1012 * CHOOSE(CONTROL!$C$15, $E$9, 100%, $G$9) + CHOOSE(CONTROL!$C$38, 0.0354, 0)</f>
        <v>29.136599999999998</v>
      </c>
      <c r="E366" s="45">
        <f>30.7571 * CHOOSE(CONTROL!$C$15, $E$9, 100%, $G$9) + CHOOSE(CONTROL!$C$38, 0.0354, 0)</f>
        <v>30.7925</v>
      </c>
      <c r="F366" s="44">
        <f>30.7571 * CHOOSE(CONTROL!$C$15, $E$9, 100%, $G$9) + CHOOSE(CONTROL!$C$38, 0.0264, 0)</f>
        <v>30.7835</v>
      </c>
      <c r="G366" s="14">
        <f>29.1074 * CHOOSE(CONTROL!$C$15, $E$9, 100%, $G$9) + CHOOSE(CONTROL!$C$38, 0.0354, 0)</f>
        <v>29.142799999999998</v>
      </c>
      <c r="H366" s="14">
        <f>29.1074 * CHOOSE(CONTROL!$C$15, $E$9, 100%, $G$9) + CHOOSE(CONTROL!$C$38, 0.0354, 0)</f>
        <v>29.142799999999998</v>
      </c>
      <c r="I366" s="14">
        <f>29.109 * CHOOSE(CONTROL!$C$15, $E$9, 100%, $G$9) + CHOOSE(CONTROL!$C$38, 0.0354, 0)</f>
        <v>29.144400000000001</v>
      </c>
      <c r="J366" s="43">
        <f>240.3398</f>
        <v>240.3398</v>
      </c>
    </row>
    <row r="367" spans="1:10" ht="15.75" x14ac:dyDescent="0.25">
      <c r="A367" s="32">
        <v>52109</v>
      </c>
      <c r="B367" s="14">
        <f>31.0723 * CHOOSE(CONTROL!$C$15, $E$9, 100%, $G$9) + CHOOSE(CONTROL!$C$38, 0.0264, 0)</f>
        <v>31.098699999999997</v>
      </c>
      <c r="C367" s="14">
        <f>29.2679 * CHOOSE(CONTROL!$C$15, $E$9, 100%, $G$9) + CHOOSE(CONTROL!$C$38, 0.0354, 0)</f>
        <v>29.3033</v>
      </c>
      <c r="D367" s="14">
        <f>29.2601 * CHOOSE(CONTROL!$C$15, $E$9, 100%, $G$9) + CHOOSE(CONTROL!$C$38, 0.0354, 0)</f>
        <v>29.295500000000001</v>
      </c>
      <c r="E367" s="45">
        <f>30.916 * CHOOSE(CONTROL!$C$15, $E$9, 100%, $G$9) + CHOOSE(CONTROL!$C$38, 0.0354, 0)</f>
        <v>30.9514</v>
      </c>
      <c r="F367" s="44">
        <f>30.916 * CHOOSE(CONTROL!$C$15, $E$9, 100%, $G$9) + CHOOSE(CONTROL!$C$38, 0.0264, 0)</f>
        <v>30.942399999999999</v>
      </c>
      <c r="G367" s="14">
        <f>29.2664 * CHOOSE(CONTROL!$C$15, $E$9, 100%, $G$9) + CHOOSE(CONTROL!$C$38, 0.0354, 0)</f>
        <v>29.3018</v>
      </c>
      <c r="H367" s="14">
        <f>29.2664 * CHOOSE(CONTROL!$C$15, $E$9, 100%, $G$9) + CHOOSE(CONTROL!$C$38, 0.0354, 0)</f>
        <v>29.3018</v>
      </c>
      <c r="I367" s="14">
        <f>29.2679 * CHOOSE(CONTROL!$C$15, $E$9, 100%, $G$9) + CHOOSE(CONTROL!$C$38, 0.0354, 0)</f>
        <v>29.3033</v>
      </c>
      <c r="J367" s="43">
        <f>234.7447</f>
        <v>234.74469999999999</v>
      </c>
    </row>
    <row r="368" spans="1:10" ht="15.75" x14ac:dyDescent="0.25">
      <c r="A368" s="32">
        <v>52139</v>
      </c>
      <c r="B368" s="14">
        <f>31.504 * CHOOSE(CONTROL!$C$15, $E$9, 100%, $G$9) + CHOOSE(CONTROL!$C$38, 0.0264, 0)</f>
        <v>31.5304</v>
      </c>
      <c r="C368" s="14">
        <f>29.6996 * CHOOSE(CONTROL!$C$15, $E$9, 100%, $G$9) + CHOOSE(CONTROL!$C$38, 0.0354, 0)</f>
        <v>29.734999999999999</v>
      </c>
      <c r="D368" s="14">
        <f>29.6918 * CHOOSE(CONTROL!$C$15, $E$9, 100%, $G$9) + CHOOSE(CONTROL!$C$38, 0.0354, 0)</f>
        <v>29.7272</v>
      </c>
      <c r="E368" s="45">
        <f>31.3477 * CHOOSE(CONTROL!$C$15, $E$9, 100%, $G$9) + CHOOSE(CONTROL!$C$38, 0.0354, 0)</f>
        <v>31.383099999999999</v>
      </c>
      <c r="F368" s="44">
        <f>31.3477 * CHOOSE(CONTROL!$C$15, $E$9, 100%, $G$9) + CHOOSE(CONTROL!$C$38, 0.0264, 0)</f>
        <v>31.374099999999999</v>
      </c>
      <c r="G368" s="14">
        <f>29.6981 * CHOOSE(CONTROL!$C$15, $E$9, 100%, $G$9) + CHOOSE(CONTROL!$C$38, 0.0354, 0)</f>
        <v>29.733499999999999</v>
      </c>
      <c r="H368" s="14">
        <f>29.6981 * CHOOSE(CONTROL!$C$15, $E$9, 100%, $G$9) + CHOOSE(CONTROL!$C$38, 0.0354, 0)</f>
        <v>29.733499999999999</v>
      </c>
      <c r="I368" s="14">
        <f>29.6996 * CHOOSE(CONTROL!$C$15, $E$9, 100%, $G$9) + CHOOSE(CONTROL!$C$38, 0.0354, 0)</f>
        <v>29.734999999999999</v>
      </c>
      <c r="J368" s="43">
        <f>226.9422</f>
        <v>226.94220000000001</v>
      </c>
    </row>
    <row r="369" spans="1:10" ht="15.75" x14ac:dyDescent="0.25">
      <c r="A369" s="32">
        <v>52170</v>
      </c>
      <c r="B369" s="14">
        <f>31.8656 * CHOOSE(CONTROL!$C$15, $E$9, 100%, $G$9) + CHOOSE(CONTROL!$C$38, 0.0251, 0)</f>
        <v>31.890699999999999</v>
      </c>
      <c r="C369" s="14">
        <f>30.0612 * CHOOSE(CONTROL!$C$15, $E$9, 100%, $G$9) + CHOOSE(CONTROL!$C$38, 0.0342, 0)</f>
        <v>30.095399999999998</v>
      </c>
      <c r="D369" s="14">
        <f>30.0534 * CHOOSE(CONTROL!$C$15, $E$9, 100%, $G$9) + CHOOSE(CONTROL!$C$38, 0.0342, 0)</f>
        <v>30.087599999999998</v>
      </c>
      <c r="E369" s="45">
        <f>31.7093 * CHOOSE(CONTROL!$C$15, $E$9, 100%, $G$9) + CHOOSE(CONTROL!$C$38, 0.0342, 0)</f>
        <v>31.743499999999997</v>
      </c>
      <c r="F369" s="44">
        <f>31.7093 * CHOOSE(CONTROL!$C$15, $E$9, 100%, $G$9) + CHOOSE(CONTROL!$C$38, 0.0251, 0)</f>
        <v>31.734399999999997</v>
      </c>
      <c r="G369" s="14">
        <f>30.0597 * CHOOSE(CONTROL!$C$15, $E$9, 100%, $G$9) + CHOOSE(CONTROL!$C$38, 0.0342, 0)</f>
        <v>30.093899999999998</v>
      </c>
      <c r="H369" s="14">
        <f>30.0597 * CHOOSE(CONTROL!$C$15, $E$9, 100%, $G$9) + CHOOSE(CONTROL!$C$38, 0.0342, 0)</f>
        <v>30.093899999999998</v>
      </c>
      <c r="I369" s="14">
        <f>30.0612 * CHOOSE(CONTROL!$C$15, $E$9, 100%, $G$9) + CHOOSE(CONTROL!$C$38, 0.0342, 0)</f>
        <v>30.095399999999998</v>
      </c>
      <c r="J369" s="43">
        <f>219.0943</f>
        <v>219.0943</v>
      </c>
    </row>
    <row r="370" spans="1:10" ht="15.75" x14ac:dyDescent="0.25">
      <c r="A370" s="32">
        <v>52200</v>
      </c>
      <c r="B370" s="14">
        <f>32.1673 * CHOOSE(CONTROL!$C$15, $E$9, 100%, $G$9) + CHOOSE(CONTROL!$C$38, 0.0251, 0)</f>
        <v>32.192399999999999</v>
      </c>
      <c r="C370" s="14">
        <f>30.3629 * CHOOSE(CONTROL!$C$15, $E$9, 100%, $G$9) + CHOOSE(CONTROL!$C$38, 0.0342, 0)</f>
        <v>30.397099999999998</v>
      </c>
      <c r="D370" s="14">
        <f>30.3551 * CHOOSE(CONTROL!$C$15, $E$9, 100%, $G$9) + CHOOSE(CONTROL!$C$38, 0.0342, 0)</f>
        <v>30.389299999999999</v>
      </c>
      <c r="E370" s="45">
        <f>32.011 * CHOOSE(CONTROL!$C$15, $E$9, 100%, $G$9) + CHOOSE(CONTROL!$C$38, 0.0342, 0)</f>
        <v>32.045200000000001</v>
      </c>
      <c r="F370" s="44">
        <f>32.011 * CHOOSE(CONTROL!$C$15, $E$9, 100%, $G$9) + CHOOSE(CONTROL!$C$38, 0.0251, 0)</f>
        <v>32.036100000000005</v>
      </c>
      <c r="G370" s="14">
        <f>30.3614 * CHOOSE(CONTROL!$C$15, $E$9, 100%, $G$9) + CHOOSE(CONTROL!$C$38, 0.0342, 0)</f>
        <v>30.395599999999998</v>
      </c>
      <c r="H370" s="14">
        <f>30.3614 * CHOOSE(CONTROL!$C$15, $E$9, 100%, $G$9) + CHOOSE(CONTROL!$C$38, 0.0342, 0)</f>
        <v>30.395599999999998</v>
      </c>
      <c r="I370" s="14">
        <f>30.3629 * CHOOSE(CONTROL!$C$15, $E$9, 100%, $G$9) + CHOOSE(CONTROL!$C$38, 0.0342, 0)</f>
        <v>30.397099999999998</v>
      </c>
      <c r="J370" s="43">
        <f>217.5332</f>
        <v>217.53319999999999</v>
      </c>
    </row>
    <row r="371" spans="1:10" ht="15.75" x14ac:dyDescent="0.25">
      <c r="A371" s="32">
        <v>52231</v>
      </c>
      <c r="B371" s="14">
        <f>33.0969 * CHOOSE(CONTROL!$C$15, $E$9, 100%, $G$9) + CHOOSE(CONTROL!$C$38, 0.0251, 0)</f>
        <v>33.122</v>
      </c>
      <c r="C371" s="14">
        <f>31.2926 * CHOOSE(CONTROL!$C$15, $E$9, 100%, $G$9) + CHOOSE(CONTROL!$C$38, 0.0342, 0)</f>
        <v>31.326799999999999</v>
      </c>
      <c r="D371" s="14">
        <f>31.2848 * CHOOSE(CONTROL!$C$15, $E$9, 100%, $G$9) + CHOOSE(CONTROL!$C$38, 0.0342, 0)</f>
        <v>31.318999999999999</v>
      </c>
      <c r="E371" s="45">
        <f>32.9407 * CHOOSE(CONTROL!$C$15, $E$9, 100%, $G$9) + CHOOSE(CONTROL!$C$38, 0.0342, 0)</f>
        <v>32.974899999999998</v>
      </c>
      <c r="F371" s="44">
        <f>32.9407 * CHOOSE(CONTROL!$C$15, $E$9, 100%, $G$9) + CHOOSE(CONTROL!$C$38, 0.0251, 0)</f>
        <v>32.965800000000002</v>
      </c>
      <c r="G371" s="14">
        <f>31.291 * CHOOSE(CONTROL!$C$15, $E$9, 100%, $G$9) + CHOOSE(CONTROL!$C$38, 0.0342, 0)</f>
        <v>31.325199999999999</v>
      </c>
      <c r="H371" s="14">
        <f>31.291 * CHOOSE(CONTROL!$C$15, $E$9, 100%, $G$9) + CHOOSE(CONTROL!$C$38, 0.0342, 0)</f>
        <v>31.325199999999999</v>
      </c>
      <c r="I371" s="14">
        <f>31.2926 * CHOOSE(CONTROL!$C$15, $E$9, 100%, $G$9) + CHOOSE(CONTROL!$C$38, 0.0342, 0)</f>
        <v>31.326799999999999</v>
      </c>
      <c r="J371" s="43">
        <f>211.0779</f>
        <v>211.0779</v>
      </c>
    </row>
    <row r="372" spans="1:10" ht="15.75" x14ac:dyDescent="0.25">
      <c r="A372" s="32">
        <v>52262</v>
      </c>
      <c r="B372" s="14">
        <f>34.362 * CHOOSE(CONTROL!$C$15, $E$9, 100%, $G$9) + CHOOSE(CONTROL!$C$38, 0.0251, 0)</f>
        <v>34.387100000000004</v>
      </c>
      <c r="C372" s="14">
        <f>32.53 * CHOOSE(CONTROL!$C$15, $E$9, 100%, $G$9) + CHOOSE(CONTROL!$C$38, 0.0342, 0)</f>
        <v>32.5642</v>
      </c>
      <c r="D372" s="14">
        <f>32.5222 * CHOOSE(CONTROL!$C$15, $E$9, 100%, $G$9) + CHOOSE(CONTROL!$C$38, 0.0342, 0)</f>
        <v>32.556399999999996</v>
      </c>
      <c r="E372" s="45">
        <f>34.2058 * CHOOSE(CONTROL!$C$15, $E$9, 100%, $G$9) + CHOOSE(CONTROL!$C$38, 0.0342, 0)</f>
        <v>34.24</v>
      </c>
      <c r="F372" s="44">
        <f>34.2058 * CHOOSE(CONTROL!$C$15, $E$9, 100%, $G$9) + CHOOSE(CONTROL!$C$38, 0.0251, 0)</f>
        <v>34.230900000000005</v>
      </c>
      <c r="G372" s="14">
        <f>32.5285 * CHOOSE(CONTROL!$C$15, $E$9, 100%, $G$9) + CHOOSE(CONTROL!$C$38, 0.0342, 0)</f>
        <v>32.5627</v>
      </c>
      <c r="H372" s="14">
        <f>32.5285 * CHOOSE(CONTROL!$C$15, $E$9, 100%, $G$9) + CHOOSE(CONTROL!$C$38, 0.0342, 0)</f>
        <v>32.5627</v>
      </c>
      <c r="I372" s="14">
        <f>32.53 * CHOOSE(CONTROL!$C$15, $E$9, 100%, $G$9) + CHOOSE(CONTROL!$C$38, 0.0342, 0)</f>
        <v>32.5642</v>
      </c>
      <c r="J372" s="43">
        <f>210.9255</f>
        <v>210.9255</v>
      </c>
    </row>
    <row r="373" spans="1:10" ht="15.75" x14ac:dyDescent="0.25">
      <c r="A373" s="32">
        <v>52290</v>
      </c>
      <c r="B373" s="14">
        <f>34.7064 * CHOOSE(CONTROL!$C$15, $E$9, 100%, $G$9) + CHOOSE(CONTROL!$C$38, 0.0251, 0)</f>
        <v>34.731500000000004</v>
      </c>
      <c r="C373" s="14">
        <f>32.8743 * CHOOSE(CONTROL!$C$15, $E$9, 100%, $G$9) + CHOOSE(CONTROL!$C$38, 0.0342, 0)</f>
        <v>32.908499999999997</v>
      </c>
      <c r="D373" s="14">
        <f>32.8665 * CHOOSE(CONTROL!$C$15, $E$9, 100%, $G$9) + CHOOSE(CONTROL!$C$38, 0.0342, 0)</f>
        <v>32.900700000000001</v>
      </c>
      <c r="E373" s="45">
        <f>34.5501 * CHOOSE(CONTROL!$C$15, $E$9, 100%, $G$9) + CHOOSE(CONTROL!$C$38, 0.0342, 0)</f>
        <v>34.584299999999999</v>
      </c>
      <c r="F373" s="44">
        <f>34.5501 * CHOOSE(CONTROL!$C$15, $E$9, 100%, $G$9) + CHOOSE(CONTROL!$C$38, 0.0251, 0)</f>
        <v>34.575200000000002</v>
      </c>
      <c r="G373" s="14">
        <f>32.8728 * CHOOSE(CONTROL!$C$15, $E$9, 100%, $G$9) + CHOOSE(CONTROL!$C$38, 0.0342, 0)</f>
        <v>32.906999999999996</v>
      </c>
      <c r="H373" s="14">
        <f>32.8728 * CHOOSE(CONTROL!$C$15, $E$9, 100%, $G$9) + CHOOSE(CONTROL!$C$38, 0.0342, 0)</f>
        <v>32.906999999999996</v>
      </c>
      <c r="I373" s="14">
        <f>32.8743 * CHOOSE(CONTROL!$C$15, $E$9, 100%, $G$9) + CHOOSE(CONTROL!$C$38, 0.0342, 0)</f>
        <v>32.908499999999997</v>
      </c>
      <c r="J373" s="43">
        <f>210.3392</f>
        <v>210.33920000000001</v>
      </c>
    </row>
    <row r="374" spans="1:10" ht="15.75" x14ac:dyDescent="0.25">
      <c r="A374" s="32">
        <v>52321</v>
      </c>
      <c r="B374" s="14">
        <f>33.9093 * CHOOSE(CONTROL!$C$15, $E$9, 100%, $G$9) + CHOOSE(CONTROL!$C$38, 0.0251, 0)</f>
        <v>33.934400000000004</v>
      </c>
      <c r="C374" s="14">
        <f>32.0773 * CHOOSE(CONTROL!$C$15, $E$9, 100%, $G$9) + CHOOSE(CONTROL!$C$38, 0.0342, 0)</f>
        <v>32.111499999999999</v>
      </c>
      <c r="D374" s="14">
        <f>32.0695 * CHOOSE(CONTROL!$C$15, $E$9, 100%, $G$9) + CHOOSE(CONTROL!$C$38, 0.0342, 0)</f>
        <v>32.103699999999996</v>
      </c>
      <c r="E374" s="45">
        <f>33.7531 * CHOOSE(CONTROL!$C$15, $E$9, 100%, $G$9) + CHOOSE(CONTROL!$C$38, 0.0342, 0)</f>
        <v>33.787300000000002</v>
      </c>
      <c r="F374" s="44">
        <f>33.7531 * CHOOSE(CONTROL!$C$15, $E$9, 100%, $G$9) + CHOOSE(CONTROL!$C$38, 0.0251, 0)</f>
        <v>33.778200000000005</v>
      </c>
      <c r="G374" s="14">
        <f>32.0757 * CHOOSE(CONTROL!$C$15, $E$9, 100%, $G$9) + CHOOSE(CONTROL!$C$38, 0.0342, 0)</f>
        <v>32.109899999999996</v>
      </c>
      <c r="H374" s="14">
        <f>32.0757 * CHOOSE(CONTROL!$C$15, $E$9, 100%, $G$9) + CHOOSE(CONTROL!$C$38, 0.0342, 0)</f>
        <v>32.109899999999996</v>
      </c>
      <c r="I374" s="14">
        <f>32.0773 * CHOOSE(CONTROL!$C$15, $E$9, 100%, $G$9) + CHOOSE(CONTROL!$C$38, 0.0342, 0)</f>
        <v>32.111499999999999</v>
      </c>
      <c r="J374" s="43">
        <f>221.4253</f>
        <v>221.42529999999999</v>
      </c>
    </row>
    <row r="375" spans="1:10" ht="15.75" x14ac:dyDescent="0.25">
      <c r="A375" s="32">
        <v>52351</v>
      </c>
      <c r="B375" s="14">
        <f>33.137 * CHOOSE(CONTROL!$C$15, $E$9, 100%, $G$9) + CHOOSE(CONTROL!$C$38, 0.0251, 0)</f>
        <v>33.162100000000002</v>
      </c>
      <c r="C375" s="14">
        <f>31.305 * CHOOSE(CONTROL!$C$15, $E$9, 100%, $G$9) + CHOOSE(CONTROL!$C$38, 0.0342, 0)</f>
        <v>31.339199999999998</v>
      </c>
      <c r="D375" s="14">
        <f>31.2972 * CHOOSE(CONTROL!$C$15, $E$9, 100%, $G$9) + CHOOSE(CONTROL!$C$38, 0.0342, 0)</f>
        <v>31.331399999999999</v>
      </c>
      <c r="E375" s="45">
        <f>32.9808 * CHOOSE(CONTROL!$C$15, $E$9, 100%, $G$9) + CHOOSE(CONTROL!$C$38, 0.0342, 0)</f>
        <v>33.015000000000001</v>
      </c>
      <c r="F375" s="44">
        <f>32.9808 * CHOOSE(CONTROL!$C$15, $E$9, 100%, $G$9) + CHOOSE(CONTROL!$C$38, 0.0251, 0)</f>
        <v>33.005900000000004</v>
      </c>
      <c r="G375" s="14">
        <f>31.3034 * CHOOSE(CONTROL!$C$15, $E$9, 100%, $G$9) + CHOOSE(CONTROL!$C$38, 0.0342, 0)</f>
        <v>31.337599999999998</v>
      </c>
      <c r="H375" s="14">
        <f>31.3034 * CHOOSE(CONTROL!$C$15, $E$9, 100%, $G$9) + CHOOSE(CONTROL!$C$38, 0.0342, 0)</f>
        <v>31.337599999999998</v>
      </c>
      <c r="I375" s="14">
        <f>31.305 * CHOOSE(CONTROL!$C$15, $E$9, 100%, $G$9) + CHOOSE(CONTROL!$C$38, 0.0342, 0)</f>
        <v>31.339199999999998</v>
      </c>
      <c r="J375" s="43">
        <f>235.8013</f>
        <v>235.8013</v>
      </c>
    </row>
    <row r="376" spans="1:10" ht="15.75" x14ac:dyDescent="0.25">
      <c r="A376" s="32">
        <v>52382</v>
      </c>
      <c r="B376" s="14">
        <f>32.3321 * CHOOSE(CONTROL!$C$15, $E$9, 100%, $G$9) + CHOOSE(CONTROL!$C$38, 0.0264, 0)</f>
        <v>32.358499999999999</v>
      </c>
      <c r="C376" s="14">
        <f>30.5 * CHOOSE(CONTROL!$C$15, $E$9, 100%, $G$9) + CHOOSE(CONTROL!$C$38, 0.0354, 0)</f>
        <v>30.535399999999999</v>
      </c>
      <c r="D376" s="14">
        <f>30.4922 * CHOOSE(CONTROL!$C$15, $E$9, 100%, $G$9) + CHOOSE(CONTROL!$C$38, 0.0354, 0)</f>
        <v>30.5276</v>
      </c>
      <c r="E376" s="45">
        <f>32.1758 * CHOOSE(CONTROL!$C$15, $E$9, 100%, $G$9) + CHOOSE(CONTROL!$C$38, 0.0354, 0)</f>
        <v>32.211200000000005</v>
      </c>
      <c r="F376" s="44">
        <f>32.1758 * CHOOSE(CONTROL!$C$15, $E$9, 100%, $G$9) + CHOOSE(CONTROL!$C$38, 0.0264, 0)</f>
        <v>32.202200000000005</v>
      </c>
      <c r="G376" s="14">
        <f>30.4985 * CHOOSE(CONTROL!$C$15, $E$9, 100%, $G$9) + CHOOSE(CONTROL!$C$38, 0.0354, 0)</f>
        <v>30.533899999999999</v>
      </c>
      <c r="H376" s="14">
        <f>30.4985 * CHOOSE(CONTROL!$C$15, $E$9, 100%, $G$9) + CHOOSE(CONTROL!$C$38, 0.0354, 0)</f>
        <v>30.533899999999999</v>
      </c>
      <c r="I376" s="14">
        <f>30.5 * CHOOSE(CONTROL!$C$15, $E$9, 100%, $G$9) + CHOOSE(CONTROL!$C$38, 0.0354, 0)</f>
        <v>30.535399999999999</v>
      </c>
      <c r="J376" s="43">
        <f>243.7144</f>
        <v>243.71440000000001</v>
      </c>
    </row>
    <row r="377" spans="1:10" ht="15.75" x14ac:dyDescent="0.25">
      <c r="A377" s="32">
        <v>52412</v>
      </c>
      <c r="B377" s="14">
        <f>31.7677 * CHOOSE(CONTROL!$C$15, $E$9, 100%, $G$9) + CHOOSE(CONTROL!$C$38, 0.0264, 0)</f>
        <v>31.7941</v>
      </c>
      <c r="C377" s="14">
        <f>29.9357 * CHOOSE(CONTROL!$C$15, $E$9, 100%, $G$9) + CHOOSE(CONTROL!$C$38, 0.0354, 0)</f>
        <v>29.9711</v>
      </c>
      <c r="D377" s="14">
        <f>29.9279 * CHOOSE(CONTROL!$C$15, $E$9, 100%, $G$9) + CHOOSE(CONTROL!$C$38, 0.0354, 0)</f>
        <v>29.9633</v>
      </c>
      <c r="E377" s="45">
        <f>31.6115 * CHOOSE(CONTROL!$C$15, $E$9, 100%, $G$9) + CHOOSE(CONTROL!$C$38, 0.0354, 0)</f>
        <v>31.646899999999999</v>
      </c>
      <c r="F377" s="44">
        <f>31.6115 * CHOOSE(CONTROL!$C$15, $E$9, 100%, $G$9) + CHOOSE(CONTROL!$C$38, 0.0264, 0)</f>
        <v>31.637899999999998</v>
      </c>
      <c r="G377" s="14">
        <f>29.9341 * CHOOSE(CONTROL!$C$15, $E$9, 100%, $G$9) + CHOOSE(CONTROL!$C$38, 0.0354, 0)</f>
        <v>29.9695</v>
      </c>
      <c r="H377" s="14">
        <f>29.9341 * CHOOSE(CONTROL!$C$15, $E$9, 100%, $G$9) + CHOOSE(CONTROL!$C$38, 0.0354, 0)</f>
        <v>29.9695</v>
      </c>
      <c r="I377" s="14">
        <f>29.9357 * CHOOSE(CONTROL!$C$15, $E$9, 100%, $G$9) + CHOOSE(CONTROL!$C$38, 0.0354, 0)</f>
        <v>29.9711</v>
      </c>
      <c r="J377" s="43">
        <f>247.226</f>
        <v>247.226</v>
      </c>
    </row>
    <row r="378" spans="1:10" ht="15.75" x14ac:dyDescent="0.25">
      <c r="A378" s="32">
        <v>52443</v>
      </c>
      <c r="B378" s="14">
        <f>31.4457 * CHOOSE(CONTROL!$C$15, $E$9, 100%, $G$9) + CHOOSE(CONTROL!$C$38, 0.0264, 0)</f>
        <v>31.472099999999998</v>
      </c>
      <c r="C378" s="14">
        <f>29.6136 * CHOOSE(CONTROL!$C$15, $E$9, 100%, $G$9) + CHOOSE(CONTROL!$C$38, 0.0354, 0)</f>
        <v>29.649000000000001</v>
      </c>
      <c r="D378" s="14">
        <f>29.6058 * CHOOSE(CONTROL!$C$15, $E$9, 100%, $G$9) + CHOOSE(CONTROL!$C$38, 0.0354, 0)</f>
        <v>29.641199999999998</v>
      </c>
      <c r="E378" s="45">
        <f>31.2894 * CHOOSE(CONTROL!$C$15, $E$9, 100%, $G$9) + CHOOSE(CONTROL!$C$38, 0.0354, 0)</f>
        <v>31.3248</v>
      </c>
      <c r="F378" s="44">
        <f>31.2894 * CHOOSE(CONTROL!$C$15, $E$9, 100%, $G$9) + CHOOSE(CONTROL!$C$38, 0.0264, 0)</f>
        <v>31.315799999999999</v>
      </c>
      <c r="G378" s="14">
        <f>29.6121 * CHOOSE(CONTROL!$C$15, $E$9, 100%, $G$9) + CHOOSE(CONTROL!$C$38, 0.0354, 0)</f>
        <v>29.647500000000001</v>
      </c>
      <c r="H378" s="14">
        <f>29.6121 * CHOOSE(CONTROL!$C$15, $E$9, 100%, $G$9) + CHOOSE(CONTROL!$C$38, 0.0354, 0)</f>
        <v>29.647500000000001</v>
      </c>
      <c r="I378" s="14">
        <f>29.6136 * CHOOSE(CONTROL!$C$15, $E$9, 100%, $G$9) + CHOOSE(CONTROL!$C$38, 0.0354, 0)</f>
        <v>29.649000000000001</v>
      </c>
      <c r="J378" s="43">
        <f>246.0698</f>
        <v>246.06979999999999</v>
      </c>
    </row>
    <row r="379" spans="1:10" ht="15.75" x14ac:dyDescent="0.25">
      <c r="A379" s="32">
        <v>52474</v>
      </c>
      <c r="B379" s="14">
        <f>31.6046 * CHOOSE(CONTROL!$C$15, $E$9, 100%, $G$9) + CHOOSE(CONTROL!$C$38, 0.0264, 0)</f>
        <v>31.631</v>
      </c>
      <c r="C379" s="14">
        <f>29.7726 * CHOOSE(CONTROL!$C$15, $E$9, 100%, $G$9) + CHOOSE(CONTROL!$C$38, 0.0354, 0)</f>
        <v>29.808</v>
      </c>
      <c r="D379" s="14">
        <f>29.7648 * CHOOSE(CONTROL!$C$15, $E$9, 100%, $G$9) + CHOOSE(CONTROL!$C$38, 0.0354, 0)</f>
        <v>29.8002</v>
      </c>
      <c r="E379" s="45">
        <f>31.4484 * CHOOSE(CONTROL!$C$15, $E$9, 100%, $G$9) + CHOOSE(CONTROL!$C$38, 0.0354, 0)</f>
        <v>31.483799999999999</v>
      </c>
      <c r="F379" s="44">
        <f>31.4484 * CHOOSE(CONTROL!$C$15, $E$9, 100%, $G$9) + CHOOSE(CONTROL!$C$38, 0.0264, 0)</f>
        <v>31.474799999999998</v>
      </c>
      <c r="G379" s="14">
        <f>29.771 * CHOOSE(CONTROL!$C$15, $E$9, 100%, $G$9) + CHOOSE(CONTROL!$C$38, 0.0354, 0)</f>
        <v>29.8064</v>
      </c>
      <c r="H379" s="14">
        <f>29.771 * CHOOSE(CONTROL!$C$15, $E$9, 100%, $G$9) + CHOOSE(CONTROL!$C$38, 0.0354, 0)</f>
        <v>29.8064</v>
      </c>
      <c r="I379" s="14">
        <f>29.7726 * CHOOSE(CONTROL!$C$15, $E$9, 100%, $G$9) + CHOOSE(CONTROL!$C$38, 0.0354, 0)</f>
        <v>29.808</v>
      </c>
      <c r="J379" s="43">
        <f>240.3414</f>
        <v>240.34139999999999</v>
      </c>
    </row>
    <row r="380" spans="1:10" ht="15.75" x14ac:dyDescent="0.25">
      <c r="A380" s="32">
        <v>52504</v>
      </c>
      <c r="B380" s="14">
        <f>32.0363 * CHOOSE(CONTROL!$C$15, $E$9, 100%, $G$9) + CHOOSE(CONTROL!$C$38, 0.0264, 0)</f>
        <v>32.0627</v>
      </c>
      <c r="C380" s="14">
        <f>30.2043 * CHOOSE(CONTROL!$C$15, $E$9, 100%, $G$9) + CHOOSE(CONTROL!$C$38, 0.0354, 0)</f>
        <v>30.239699999999999</v>
      </c>
      <c r="D380" s="14">
        <f>30.1965 * CHOOSE(CONTROL!$C$15, $E$9, 100%, $G$9) + CHOOSE(CONTROL!$C$38, 0.0354, 0)</f>
        <v>30.2319</v>
      </c>
      <c r="E380" s="45">
        <f>31.8801 * CHOOSE(CONTROL!$C$15, $E$9, 100%, $G$9) + CHOOSE(CONTROL!$C$38, 0.0354, 0)</f>
        <v>31.915499999999998</v>
      </c>
      <c r="F380" s="44">
        <f>31.8801 * CHOOSE(CONTROL!$C$15, $E$9, 100%, $G$9) + CHOOSE(CONTROL!$C$38, 0.0264, 0)</f>
        <v>31.906499999999998</v>
      </c>
      <c r="G380" s="14">
        <f>30.2027 * CHOOSE(CONTROL!$C$15, $E$9, 100%, $G$9) + CHOOSE(CONTROL!$C$38, 0.0354, 0)</f>
        <v>30.238099999999999</v>
      </c>
      <c r="H380" s="14">
        <f>30.2027 * CHOOSE(CONTROL!$C$15, $E$9, 100%, $G$9) + CHOOSE(CONTROL!$C$38, 0.0354, 0)</f>
        <v>30.238099999999999</v>
      </c>
      <c r="I380" s="14">
        <f>30.2043 * CHOOSE(CONTROL!$C$15, $E$9, 100%, $G$9) + CHOOSE(CONTROL!$C$38, 0.0354, 0)</f>
        <v>30.239699999999999</v>
      </c>
      <c r="J380" s="43">
        <f>232.3529</f>
        <v>232.35290000000001</v>
      </c>
    </row>
    <row r="381" spans="1:10" ht="15.75" x14ac:dyDescent="0.25">
      <c r="A381" s="32">
        <v>52535</v>
      </c>
      <c r="B381" s="14">
        <f>32.3979 * CHOOSE(CONTROL!$C$15, $E$9, 100%, $G$9) + CHOOSE(CONTROL!$C$38, 0.0251, 0)</f>
        <v>32.423000000000002</v>
      </c>
      <c r="C381" s="14">
        <f>30.5658 * CHOOSE(CONTROL!$C$15, $E$9, 100%, $G$9) + CHOOSE(CONTROL!$C$38, 0.0342, 0)</f>
        <v>30.599999999999998</v>
      </c>
      <c r="D381" s="14">
        <f>30.558 * CHOOSE(CONTROL!$C$15, $E$9, 100%, $G$9) + CHOOSE(CONTROL!$C$38, 0.0342, 0)</f>
        <v>30.592199999999998</v>
      </c>
      <c r="E381" s="45">
        <f>32.2416 * CHOOSE(CONTROL!$C$15, $E$9, 100%, $G$9) + CHOOSE(CONTROL!$C$38, 0.0342, 0)</f>
        <v>32.275799999999997</v>
      </c>
      <c r="F381" s="44">
        <f>32.2416 * CHOOSE(CONTROL!$C$15, $E$9, 100%, $G$9) + CHOOSE(CONTROL!$C$38, 0.0251, 0)</f>
        <v>32.2667</v>
      </c>
      <c r="G381" s="14">
        <f>30.5643 * CHOOSE(CONTROL!$C$15, $E$9, 100%, $G$9) + CHOOSE(CONTROL!$C$38, 0.0342, 0)</f>
        <v>30.598499999999998</v>
      </c>
      <c r="H381" s="14">
        <f>30.5643 * CHOOSE(CONTROL!$C$15, $E$9, 100%, $G$9) + CHOOSE(CONTROL!$C$38, 0.0342, 0)</f>
        <v>30.598499999999998</v>
      </c>
      <c r="I381" s="14">
        <f>30.5658 * CHOOSE(CONTROL!$C$15, $E$9, 100%, $G$9) + CHOOSE(CONTROL!$C$38, 0.0342, 0)</f>
        <v>30.599999999999998</v>
      </c>
      <c r="J381" s="43">
        <f>224.3179</f>
        <v>224.31790000000001</v>
      </c>
    </row>
    <row r="382" spans="1:10" ht="15.75" x14ac:dyDescent="0.25">
      <c r="A382" s="32">
        <v>52565</v>
      </c>
      <c r="B382" s="14">
        <f>32.6996 * CHOOSE(CONTROL!$C$15, $E$9, 100%, $G$9) + CHOOSE(CONTROL!$C$38, 0.0251, 0)</f>
        <v>32.724699999999999</v>
      </c>
      <c r="C382" s="14">
        <f>30.8675 * CHOOSE(CONTROL!$C$15, $E$9, 100%, $G$9) + CHOOSE(CONTROL!$C$38, 0.0342, 0)</f>
        <v>30.901699999999998</v>
      </c>
      <c r="D382" s="14">
        <f>30.8597 * CHOOSE(CONTROL!$C$15, $E$9, 100%, $G$9) + CHOOSE(CONTROL!$C$38, 0.0342, 0)</f>
        <v>30.893899999999999</v>
      </c>
      <c r="E382" s="45">
        <f>32.5433 * CHOOSE(CONTROL!$C$15, $E$9, 100%, $G$9) + CHOOSE(CONTROL!$C$38, 0.0342, 0)</f>
        <v>32.577500000000001</v>
      </c>
      <c r="F382" s="44">
        <f>32.5433 * CHOOSE(CONTROL!$C$15, $E$9, 100%, $G$9) + CHOOSE(CONTROL!$C$38, 0.0251, 0)</f>
        <v>32.568400000000004</v>
      </c>
      <c r="G382" s="14">
        <f>30.866 * CHOOSE(CONTROL!$C$15, $E$9, 100%, $G$9) + CHOOSE(CONTROL!$C$38, 0.0342, 0)</f>
        <v>30.900199999999998</v>
      </c>
      <c r="H382" s="14">
        <f>30.866 * CHOOSE(CONTROL!$C$15, $E$9, 100%, $G$9) + CHOOSE(CONTROL!$C$38, 0.0342, 0)</f>
        <v>30.900199999999998</v>
      </c>
      <c r="I382" s="14">
        <f>30.8675 * CHOOSE(CONTROL!$C$15, $E$9, 100%, $G$9) + CHOOSE(CONTROL!$C$38, 0.0342, 0)</f>
        <v>30.901699999999998</v>
      </c>
      <c r="J382" s="43">
        <f>222.7196</f>
        <v>222.71960000000001</v>
      </c>
    </row>
    <row r="383" spans="1:10" ht="15.75" x14ac:dyDescent="0.25">
      <c r="A383" s="32">
        <v>52596</v>
      </c>
      <c r="B383" s="14">
        <f>33.6292 * CHOOSE(CONTROL!$C$15, $E$9, 100%, $G$9) + CHOOSE(CONTROL!$C$38, 0.0251, 0)</f>
        <v>33.654299999999999</v>
      </c>
      <c r="C383" s="14">
        <f>31.7972 * CHOOSE(CONTROL!$C$15, $E$9, 100%, $G$9) + CHOOSE(CONTROL!$C$38, 0.0342, 0)</f>
        <v>31.831399999999999</v>
      </c>
      <c r="D383" s="14">
        <f>31.7894 * CHOOSE(CONTROL!$C$15, $E$9, 100%, $G$9) + CHOOSE(CONTROL!$C$38, 0.0342, 0)</f>
        <v>31.823599999999999</v>
      </c>
      <c r="E383" s="45">
        <f>33.473 * CHOOSE(CONTROL!$C$15, $E$9, 100%, $G$9) + CHOOSE(CONTROL!$C$38, 0.0342, 0)</f>
        <v>33.507199999999997</v>
      </c>
      <c r="F383" s="44">
        <f>33.473 * CHOOSE(CONTROL!$C$15, $E$9, 100%, $G$9) + CHOOSE(CONTROL!$C$38, 0.0251, 0)</f>
        <v>33.498100000000001</v>
      </c>
      <c r="G383" s="14">
        <f>31.7956 * CHOOSE(CONTROL!$C$15, $E$9, 100%, $G$9) + CHOOSE(CONTROL!$C$38, 0.0342, 0)</f>
        <v>31.829799999999999</v>
      </c>
      <c r="H383" s="14">
        <f>31.7956 * CHOOSE(CONTROL!$C$15, $E$9, 100%, $G$9) + CHOOSE(CONTROL!$C$38, 0.0342, 0)</f>
        <v>31.829799999999999</v>
      </c>
      <c r="I383" s="14">
        <f>31.7972 * CHOOSE(CONTROL!$C$15, $E$9, 100%, $G$9) + CHOOSE(CONTROL!$C$38, 0.0342, 0)</f>
        <v>31.831399999999999</v>
      </c>
      <c r="J383" s="43">
        <f>216.1103</f>
        <v>216.1103</v>
      </c>
    </row>
    <row r="384" spans="1:10" ht="15.75" x14ac:dyDescent="0.25">
      <c r="A384" s="32">
        <v>52627</v>
      </c>
      <c r="B384" s="14">
        <f>34.9033 * CHOOSE(CONTROL!$C$15, $E$9, 100%, $G$9) + CHOOSE(CONTROL!$C$38, 0.0251, 0)</f>
        <v>34.928400000000003</v>
      </c>
      <c r="C384" s="14">
        <f>33.0431 * CHOOSE(CONTROL!$C$15, $E$9, 100%, $G$9) + CHOOSE(CONTROL!$C$38, 0.0342, 0)</f>
        <v>33.077300000000001</v>
      </c>
      <c r="D384" s="14">
        <f>33.0353 * CHOOSE(CONTROL!$C$15, $E$9, 100%, $G$9) + CHOOSE(CONTROL!$C$38, 0.0342, 0)</f>
        <v>33.069499999999998</v>
      </c>
      <c r="E384" s="45">
        <f>34.7471 * CHOOSE(CONTROL!$C$15, $E$9, 100%, $G$9) + CHOOSE(CONTROL!$C$38, 0.0342, 0)</f>
        <v>34.781300000000002</v>
      </c>
      <c r="F384" s="44">
        <f>34.7471 * CHOOSE(CONTROL!$C$15, $E$9, 100%, $G$9) + CHOOSE(CONTROL!$C$38, 0.0251, 0)</f>
        <v>34.772200000000005</v>
      </c>
      <c r="G384" s="14">
        <f>33.0416 * CHOOSE(CONTROL!$C$15, $E$9, 100%, $G$9) + CHOOSE(CONTROL!$C$38, 0.0342, 0)</f>
        <v>33.075800000000001</v>
      </c>
      <c r="H384" s="14">
        <f>33.0416 * CHOOSE(CONTROL!$C$15, $E$9, 100%, $G$9) + CHOOSE(CONTROL!$C$38, 0.0342, 0)</f>
        <v>33.075800000000001</v>
      </c>
      <c r="I384" s="14">
        <f>33.0431 * CHOOSE(CONTROL!$C$15, $E$9, 100%, $G$9) + CHOOSE(CONTROL!$C$38, 0.0342, 0)</f>
        <v>33.077300000000001</v>
      </c>
      <c r="J384" s="43">
        <f>215.9543</f>
        <v>215.95429999999999</v>
      </c>
    </row>
    <row r="385" spans="1:10" ht="15.75" x14ac:dyDescent="0.25">
      <c r="A385" s="32">
        <v>52655</v>
      </c>
      <c r="B385" s="14">
        <f>35.2476 * CHOOSE(CONTROL!$C$15, $E$9, 100%, $G$9) + CHOOSE(CONTROL!$C$38, 0.0251, 0)</f>
        <v>35.2727</v>
      </c>
      <c r="C385" s="14">
        <f>33.3874 * CHOOSE(CONTROL!$C$15, $E$9, 100%, $G$9) + CHOOSE(CONTROL!$C$38, 0.0342, 0)</f>
        <v>33.421599999999998</v>
      </c>
      <c r="D385" s="14">
        <f>33.3796 * CHOOSE(CONTROL!$C$15, $E$9, 100%, $G$9) + CHOOSE(CONTROL!$C$38, 0.0342, 0)</f>
        <v>33.413800000000002</v>
      </c>
      <c r="E385" s="45">
        <f>35.0914 * CHOOSE(CONTROL!$C$15, $E$9, 100%, $G$9) + CHOOSE(CONTROL!$C$38, 0.0342, 0)</f>
        <v>35.125599999999999</v>
      </c>
      <c r="F385" s="44">
        <f>35.0914 * CHOOSE(CONTROL!$C$15, $E$9, 100%, $G$9) + CHOOSE(CONTROL!$C$38, 0.0251, 0)</f>
        <v>35.116500000000002</v>
      </c>
      <c r="G385" s="14">
        <f>33.3859 * CHOOSE(CONTROL!$C$15, $E$9, 100%, $G$9) + CHOOSE(CONTROL!$C$38, 0.0342, 0)</f>
        <v>33.420099999999998</v>
      </c>
      <c r="H385" s="14">
        <f>33.3859 * CHOOSE(CONTROL!$C$15, $E$9, 100%, $G$9) + CHOOSE(CONTROL!$C$38, 0.0342, 0)</f>
        <v>33.420099999999998</v>
      </c>
      <c r="I385" s="14">
        <f>33.3874 * CHOOSE(CONTROL!$C$15, $E$9, 100%, $G$9) + CHOOSE(CONTROL!$C$38, 0.0342, 0)</f>
        <v>33.421599999999998</v>
      </c>
      <c r="J385" s="43">
        <f>215.354</f>
        <v>215.35400000000001</v>
      </c>
    </row>
    <row r="386" spans="1:10" ht="15.75" x14ac:dyDescent="0.25">
      <c r="A386" s="32">
        <v>52687</v>
      </c>
      <c r="B386" s="14">
        <f>34.4506 * CHOOSE(CONTROL!$C$15, $E$9, 100%, $G$9) + CHOOSE(CONTROL!$C$38, 0.0251, 0)</f>
        <v>34.475700000000003</v>
      </c>
      <c r="C386" s="14">
        <f>32.5904 * CHOOSE(CONTROL!$C$15, $E$9, 100%, $G$9) + CHOOSE(CONTROL!$C$38, 0.0342, 0)</f>
        <v>32.624600000000001</v>
      </c>
      <c r="D386" s="14">
        <f>32.5826 * CHOOSE(CONTROL!$C$15, $E$9, 100%, $G$9) + CHOOSE(CONTROL!$C$38, 0.0342, 0)</f>
        <v>32.616799999999998</v>
      </c>
      <c r="E386" s="45">
        <f>34.2943 * CHOOSE(CONTROL!$C$15, $E$9, 100%, $G$9) + CHOOSE(CONTROL!$C$38, 0.0342, 0)</f>
        <v>34.328499999999998</v>
      </c>
      <c r="F386" s="44">
        <f>34.2943 * CHOOSE(CONTROL!$C$15, $E$9, 100%, $G$9) + CHOOSE(CONTROL!$C$38, 0.0251, 0)</f>
        <v>34.319400000000002</v>
      </c>
      <c r="G386" s="14">
        <f>32.5888 * CHOOSE(CONTROL!$C$15, $E$9, 100%, $G$9) + CHOOSE(CONTROL!$C$38, 0.0342, 0)</f>
        <v>32.622999999999998</v>
      </c>
      <c r="H386" s="14">
        <f>32.5888 * CHOOSE(CONTROL!$C$15, $E$9, 100%, $G$9) + CHOOSE(CONTROL!$C$38, 0.0342, 0)</f>
        <v>32.622999999999998</v>
      </c>
      <c r="I386" s="14">
        <f>32.5904 * CHOOSE(CONTROL!$C$15, $E$9, 100%, $G$9) + CHOOSE(CONTROL!$C$38, 0.0342, 0)</f>
        <v>32.624600000000001</v>
      </c>
      <c r="J386" s="43">
        <f>226.7044</f>
        <v>226.70439999999999</v>
      </c>
    </row>
    <row r="387" spans="1:10" ht="15.75" x14ac:dyDescent="0.25">
      <c r="A387" s="32">
        <v>52717</v>
      </c>
      <c r="B387" s="14">
        <f>33.6783 * CHOOSE(CONTROL!$C$15, $E$9, 100%, $G$9) + CHOOSE(CONTROL!$C$38, 0.0251, 0)</f>
        <v>33.703400000000002</v>
      </c>
      <c r="C387" s="14">
        <f>31.8181 * CHOOSE(CONTROL!$C$15, $E$9, 100%, $G$9) + CHOOSE(CONTROL!$C$38, 0.0342, 0)</f>
        <v>31.8523</v>
      </c>
      <c r="D387" s="14">
        <f>31.8103 * CHOOSE(CONTROL!$C$15, $E$9, 100%, $G$9) + CHOOSE(CONTROL!$C$38, 0.0342, 0)</f>
        <v>31.8445</v>
      </c>
      <c r="E387" s="45">
        <f>33.522 * CHOOSE(CONTROL!$C$15, $E$9, 100%, $G$9) + CHOOSE(CONTROL!$C$38, 0.0342, 0)</f>
        <v>33.556199999999997</v>
      </c>
      <c r="F387" s="44">
        <f>33.522 * CHOOSE(CONTROL!$C$15, $E$9, 100%, $G$9) + CHOOSE(CONTROL!$C$38, 0.0251, 0)</f>
        <v>33.5471</v>
      </c>
      <c r="G387" s="14">
        <f>31.8165 * CHOOSE(CONTROL!$C$15, $E$9, 100%, $G$9) + CHOOSE(CONTROL!$C$38, 0.0342, 0)</f>
        <v>31.8507</v>
      </c>
      <c r="H387" s="14">
        <f>31.8165 * CHOOSE(CONTROL!$C$15, $E$9, 100%, $G$9) + CHOOSE(CONTROL!$C$38, 0.0342, 0)</f>
        <v>31.8507</v>
      </c>
      <c r="I387" s="14">
        <f>31.8181 * CHOOSE(CONTROL!$C$15, $E$9, 100%, $G$9) + CHOOSE(CONTROL!$C$38, 0.0342, 0)</f>
        <v>31.8523</v>
      </c>
      <c r="J387" s="43">
        <f>241.4232</f>
        <v>241.42320000000001</v>
      </c>
    </row>
    <row r="388" spans="1:10" ht="15.75" x14ac:dyDescent="0.25">
      <c r="A388" s="32">
        <v>52748</v>
      </c>
      <c r="B388" s="14">
        <f>32.8733 * CHOOSE(CONTROL!$C$15, $E$9, 100%, $G$9) + CHOOSE(CONTROL!$C$38, 0.0264, 0)</f>
        <v>32.899700000000003</v>
      </c>
      <c r="C388" s="14">
        <f>31.0131 * CHOOSE(CONTROL!$C$15, $E$9, 100%, $G$9) + CHOOSE(CONTROL!$C$38, 0.0354, 0)</f>
        <v>31.048500000000001</v>
      </c>
      <c r="D388" s="14">
        <f>31.0053 * CHOOSE(CONTROL!$C$15, $E$9, 100%, $G$9) + CHOOSE(CONTROL!$C$38, 0.0354, 0)</f>
        <v>31.040699999999998</v>
      </c>
      <c r="E388" s="45">
        <f>32.7171 * CHOOSE(CONTROL!$C$15, $E$9, 100%, $G$9) + CHOOSE(CONTROL!$C$38, 0.0354, 0)</f>
        <v>32.752500000000005</v>
      </c>
      <c r="F388" s="44">
        <f>32.7171 * CHOOSE(CONTROL!$C$15, $E$9, 100%, $G$9) + CHOOSE(CONTROL!$C$38, 0.0264, 0)</f>
        <v>32.743500000000004</v>
      </c>
      <c r="G388" s="14">
        <f>31.0116 * CHOOSE(CONTROL!$C$15, $E$9, 100%, $G$9) + CHOOSE(CONTROL!$C$38, 0.0354, 0)</f>
        <v>31.047000000000001</v>
      </c>
      <c r="H388" s="14">
        <f>31.0116 * CHOOSE(CONTROL!$C$15, $E$9, 100%, $G$9) + CHOOSE(CONTROL!$C$38, 0.0354, 0)</f>
        <v>31.047000000000001</v>
      </c>
      <c r="I388" s="14">
        <f>31.0131 * CHOOSE(CONTROL!$C$15, $E$9, 100%, $G$9) + CHOOSE(CONTROL!$C$38, 0.0354, 0)</f>
        <v>31.048500000000001</v>
      </c>
      <c r="J388" s="43">
        <f>249.5249</f>
        <v>249.5249</v>
      </c>
    </row>
    <row r="389" spans="1:10" ht="15.75" x14ac:dyDescent="0.25">
      <c r="A389" s="32">
        <v>52778</v>
      </c>
      <c r="B389" s="14">
        <f>32.309 * CHOOSE(CONTROL!$C$15, $E$9, 100%, $G$9) + CHOOSE(CONTROL!$C$38, 0.0264, 0)</f>
        <v>32.3354</v>
      </c>
      <c r="C389" s="14">
        <f>30.4488 * CHOOSE(CONTROL!$C$15, $E$9, 100%, $G$9) + CHOOSE(CONTROL!$C$38, 0.0354, 0)</f>
        <v>30.484199999999998</v>
      </c>
      <c r="D389" s="14">
        <f>30.441 * CHOOSE(CONTROL!$C$15, $E$9, 100%, $G$9) + CHOOSE(CONTROL!$C$38, 0.0354, 0)</f>
        <v>30.476399999999998</v>
      </c>
      <c r="E389" s="45">
        <f>32.1527 * CHOOSE(CONTROL!$C$15, $E$9, 100%, $G$9) + CHOOSE(CONTROL!$C$38, 0.0354, 0)</f>
        <v>32.188100000000006</v>
      </c>
      <c r="F389" s="44">
        <f>32.1527 * CHOOSE(CONTROL!$C$15, $E$9, 100%, $G$9) + CHOOSE(CONTROL!$C$38, 0.0264, 0)</f>
        <v>32.179100000000005</v>
      </c>
      <c r="G389" s="14">
        <f>30.4472 * CHOOSE(CONTROL!$C$15, $E$9, 100%, $G$9) + CHOOSE(CONTROL!$C$38, 0.0354, 0)</f>
        <v>30.482599999999998</v>
      </c>
      <c r="H389" s="14">
        <f>30.4472 * CHOOSE(CONTROL!$C$15, $E$9, 100%, $G$9) + CHOOSE(CONTROL!$C$38, 0.0354, 0)</f>
        <v>30.482599999999998</v>
      </c>
      <c r="I389" s="14">
        <f>30.4488 * CHOOSE(CONTROL!$C$15, $E$9, 100%, $G$9) + CHOOSE(CONTROL!$C$38, 0.0354, 0)</f>
        <v>30.484199999999998</v>
      </c>
      <c r="J389" s="43">
        <f>253.1203</f>
        <v>253.12029999999999</v>
      </c>
    </row>
    <row r="390" spans="1:10" ht="15.75" x14ac:dyDescent="0.25">
      <c r="A390" s="32">
        <v>52809</v>
      </c>
      <c r="B390" s="14">
        <f>31.9869 * CHOOSE(CONTROL!$C$15, $E$9, 100%, $G$9) + CHOOSE(CONTROL!$C$38, 0.0264, 0)</f>
        <v>32.013300000000001</v>
      </c>
      <c r="C390" s="14">
        <f>30.1267 * CHOOSE(CONTROL!$C$15, $E$9, 100%, $G$9) + CHOOSE(CONTROL!$C$38, 0.0354, 0)</f>
        <v>30.162099999999999</v>
      </c>
      <c r="D390" s="14">
        <f>30.1189 * CHOOSE(CONTROL!$C$15, $E$9, 100%, $G$9) + CHOOSE(CONTROL!$C$38, 0.0354, 0)</f>
        <v>30.154299999999999</v>
      </c>
      <c r="E390" s="45">
        <f>31.8307 * CHOOSE(CONTROL!$C$15, $E$9, 100%, $G$9) + CHOOSE(CONTROL!$C$38, 0.0354, 0)</f>
        <v>31.866099999999999</v>
      </c>
      <c r="F390" s="44">
        <f>31.8307 * CHOOSE(CONTROL!$C$15, $E$9, 100%, $G$9) + CHOOSE(CONTROL!$C$38, 0.0264, 0)</f>
        <v>31.857099999999999</v>
      </c>
      <c r="G390" s="14">
        <f>30.1252 * CHOOSE(CONTROL!$C$15, $E$9, 100%, $G$9) + CHOOSE(CONTROL!$C$38, 0.0354, 0)</f>
        <v>30.160599999999999</v>
      </c>
      <c r="H390" s="14">
        <f>30.1252 * CHOOSE(CONTROL!$C$15, $E$9, 100%, $G$9) + CHOOSE(CONTROL!$C$38, 0.0354, 0)</f>
        <v>30.160599999999999</v>
      </c>
      <c r="I390" s="14">
        <f>30.1267 * CHOOSE(CONTROL!$C$15, $E$9, 100%, $G$9) + CHOOSE(CONTROL!$C$38, 0.0354, 0)</f>
        <v>30.162099999999999</v>
      </c>
      <c r="J390" s="43">
        <f>251.9365</f>
        <v>251.9365</v>
      </c>
    </row>
    <row r="391" spans="1:10" ht="15.75" x14ac:dyDescent="0.25">
      <c r="A391" s="32">
        <v>52840</v>
      </c>
      <c r="B391" s="14">
        <f>32.1459 * CHOOSE(CONTROL!$C$15, $E$9, 100%, $G$9) + CHOOSE(CONTROL!$C$38, 0.0264, 0)</f>
        <v>32.1723</v>
      </c>
      <c r="C391" s="14">
        <f>30.2857 * CHOOSE(CONTROL!$C$15, $E$9, 100%, $G$9) + CHOOSE(CONTROL!$C$38, 0.0354, 0)</f>
        <v>30.321099999999998</v>
      </c>
      <c r="D391" s="14">
        <f>30.2779 * CHOOSE(CONTROL!$C$15, $E$9, 100%, $G$9) + CHOOSE(CONTROL!$C$38, 0.0354, 0)</f>
        <v>30.313299999999998</v>
      </c>
      <c r="E391" s="45">
        <f>31.9896 * CHOOSE(CONTROL!$C$15, $E$9, 100%, $G$9) + CHOOSE(CONTROL!$C$38, 0.0354, 0)</f>
        <v>32.024999999999999</v>
      </c>
      <c r="F391" s="44">
        <f>31.9896 * CHOOSE(CONTROL!$C$15, $E$9, 100%, $G$9) + CHOOSE(CONTROL!$C$38, 0.0264, 0)</f>
        <v>32.015999999999998</v>
      </c>
      <c r="G391" s="14">
        <f>30.2841 * CHOOSE(CONTROL!$C$15, $E$9, 100%, $G$9) + CHOOSE(CONTROL!$C$38, 0.0354, 0)</f>
        <v>30.319499999999998</v>
      </c>
      <c r="H391" s="14">
        <f>30.2841 * CHOOSE(CONTROL!$C$15, $E$9, 100%, $G$9) + CHOOSE(CONTROL!$C$38, 0.0354, 0)</f>
        <v>30.319499999999998</v>
      </c>
      <c r="I391" s="14">
        <f>30.2857 * CHOOSE(CONTROL!$C$15, $E$9, 100%, $G$9) + CHOOSE(CONTROL!$C$38, 0.0354, 0)</f>
        <v>30.321099999999998</v>
      </c>
      <c r="J391" s="43">
        <f>246.0715</f>
        <v>246.07149999999999</v>
      </c>
    </row>
    <row r="392" spans="1:10" ht="15.75" x14ac:dyDescent="0.25">
      <c r="A392" s="32">
        <v>52870</v>
      </c>
      <c r="B392" s="14">
        <f>32.5776 * CHOOSE(CONTROL!$C$15, $E$9, 100%, $G$9) + CHOOSE(CONTROL!$C$38, 0.0264, 0)</f>
        <v>32.603999999999999</v>
      </c>
      <c r="C392" s="14">
        <f>30.7174 * CHOOSE(CONTROL!$C$15, $E$9, 100%, $G$9) + CHOOSE(CONTROL!$C$38, 0.0354, 0)</f>
        <v>30.752800000000001</v>
      </c>
      <c r="D392" s="14">
        <f>30.7096 * CHOOSE(CONTROL!$C$15, $E$9, 100%, $G$9) + CHOOSE(CONTROL!$C$38, 0.0354, 0)</f>
        <v>30.744999999999997</v>
      </c>
      <c r="E392" s="45">
        <f>32.4213 * CHOOSE(CONTROL!$C$15, $E$9, 100%, $G$9) + CHOOSE(CONTROL!$C$38, 0.0354, 0)</f>
        <v>32.456700000000005</v>
      </c>
      <c r="F392" s="44">
        <f>32.4213 * CHOOSE(CONTROL!$C$15, $E$9, 100%, $G$9) + CHOOSE(CONTROL!$C$38, 0.0264, 0)</f>
        <v>32.447700000000005</v>
      </c>
      <c r="G392" s="14">
        <f>30.7158 * CHOOSE(CONTROL!$C$15, $E$9, 100%, $G$9) + CHOOSE(CONTROL!$C$38, 0.0354, 0)</f>
        <v>30.751200000000001</v>
      </c>
      <c r="H392" s="14">
        <f>30.7158 * CHOOSE(CONTROL!$C$15, $E$9, 100%, $G$9) + CHOOSE(CONTROL!$C$38, 0.0354, 0)</f>
        <v>30.751200000000001</v>
      </c>
      <c r="I392" s="14">
        <f>30.7174 * CHOOSE(CONTROL!$C$15, $E$9, 100%, $G$9) + CHOOSE(CONTROL!$C$38, 0.0354, 0)</f>
        <v>30.752800000000001</v>
      </c>
      <c r="J392" s="43">
        <f>237.8925</f>
        <v>237.89250000000001</v>
      </c>
    </row>
    <row r="393" spans="1:10" ht="15.75" x14ac:dyDescent="0.25">
      <c r="A393" s="32">
        <v>52901</v>
      </c>
      <c r="B393" s="14">
        <f>32.9391 * CHOOSE(CONTROL!$C$15, $E$9, 100%, $G$9) + CHOOSE(CONTROL!$C$38, 0.0251, 0)</f>
        <v>32.964200000000005</v>
      </c>
      <c r="C393" s="14">
        <f>31.079 * CHOOSE(CONTROL!$C$15, $E$9, 100%, $G$9) + CHOOSE(CONTROL!$C$38, 0.0342, 0)</f>
        <v>31.113199999999999</v>
      </c>
      <c r="D393" s="14">
        <f>31.0711 * CHOOSE(CONTROL!$C$15, $E$9, 100%, $G$9) + CHOOSE(CONTROL!$C$38, 0.0342, 0)</f>
        <v>31.1053</v>
      </c>
      <c r="E393" s="45">
        <f>32.7829 * CHOOSE(CONTROL!$C$15, $E$9, 100%, $G$9) + CHOOSE(CONTROL!$C$38, 0.0342, 0)</f>
        <v>32.817099999999996</v>
      </c>
      <c r="F393" s="44">
        <f>32.7829 * CHOOSE(CONTROL!$C$15, $E$9, 100%, $G$9) + CHOOSE(CONTROL!$C$38, 0.0251, 0)</f>
        <v>32.808</v>
      </c>
      <c r="G393" s="14">
        <f>31.0774 * CHOOSE(CONTROL!$C$15, $E$9, 100%, $G$9) + CHOOSE(CONTROL!$C$38, 0.0342, 0)</f>
        <v>31.111599999999999</v>
      </c>
      <c r="H393" s="14">
        <f>31.0774 * CHOOSE(CONTROL!$C$15, $E$9, 100%, $G$9) + CHOOSE(CONTROL!$C$38, 0.0342, 0)</f>
        <v>31.111599999999999</v>
      </c>
      <c r="I393" s="14">
        <f>31.079 * CHOOSE(CONTROL!$C$15, $E$9, 100%, $G$9) + CHOOSE(CONTROL!$C$38, 0.0342, 0)</f>
        <v>31.113199999999999</v>
      </c>
      <c r="J393" s="43">
        <f>229.666</f>
        <v>229.666</v>
      </c>
    </row>
    <row r="394" spans="1:10" ht="15.75" x14ac:dyDescent="0.25">
      <c r="A394" s="32">
        <v>52931</v>
      </c>
      <c r="B394" s="14">
        <f>33.2408 * CHOOSE(CONTROL!$C$15, $E$9, 100%, $G$9) + CHOOSE(CONTROL!$C$38, 0.0251, 0)</f>
        <v>33.265900000000002</v>
      </c>
      <c r="C394" s="14">
        <f>31.3807 * CHOOSE(CONTROL!$C$15, $E$9, 100%, $G$9) + CHOOSE(CONTROL!$C$38, 0.0342, 0)</f>
        <v>31.414899999999999</v>
      </c>
      <c r="D394" s="14">
        <f>31.3728 * CHOOSE(CONTROL!$C$15, $E$9, 100%, $G$9) + CHOOSE(CONTROL!$C$38, 0.0342, 0)</f>
        <v>31.407</v>
      </c>
      <c r="E394" s="45">
        <f>33.0846 * CHOOSE(CONTROL!$C$15, $E$9, 100%, $G$9) + CHOOSE(CONTROL!$C$38, 0.0342, 0)</f>
        <v>33.1188</v>
      </c>
      <c r="F394" s="44">
        <f>33.0846 * CHOOSE(CONTROL!$C$15, $E$9, 100%, $G$9) + CHOOSE(CONTROL!$C$38, 0.0251, 0)</f>
        <v>33.109700000000004</v>
      </c>
      <c r="G394" s="14">
        <f>31.3791 * CHOOSE(CONTROL!$C$15, $E$9, 100%, $G$9) + CHOOSE(CONTROL!$C$38, 0.0342, 0)</f>
        <v>31.4133</v>
      </c>
      <c r="H394" s="14">
        <f>31.3791 * CHOOSE(CONTROL!$C$15, $E$9, 100%, $G$9) + CHOOSE(CONTROL!$C$38, 0.0342, 0)</f>
        <v>31.4133</v>
      </c>
      <c r="I394" s="14">
        <f>31.3807 * CHOOSE(CONTROL!$C$15, $E$9, 100%, $G$9) + CHOOSE(CONTROL!$C$38, 0.0342, 0)</f>
        <v>31.414899999999999</v>
      </c>
      <c r="J394" s="43">
        <f>228.0295</f>
        <v>228.02950000000001</v>
      </c>
    </row>
    <row r="395" spans="1:10" ht="15.75" x14ac:dyDescent="0.25">
      <c r="A395" s="32">
        <v>52962</v>
      </c>
      <c r="B395" s="14">
        <f>34.1705 * CHOOSE(CONTROL!$C$15, $E$9, 100%, $G$9) + CHOOSE(CONTROL!$C$38, 0.0251, 0)</f>
        <v>34.195599999999999</v>
      </c>
      <c r="C395" s="14">
        <f>32.3103 * CHOOSE(CONTROL!$C$15, $E$9, 100%, $G$9) + CHOOSE(CONTROL!$C$38, 0.0342, 0)</f>
        <v>32.344499999999996</v>
      </c>
      <c r="D395" s="14">
        <f>32.3025 * CHOOSE(CONTROL!$C$15, $E$9, 100%, $G$9) + CHOOSE(CONTROL!$C$38, 0.0342, 0)</f>
        <v>32.3367</v>
      </c>
      <c r="E395" s="45">
        <f>34.0143 * CHOOSE(CONTROL!$C$15, $E$9, 100%, $G$9) + CHOOSE(CONTROL!$C$38, 0.0342, 0)</f>
        <v>34.048499999999997</v>
      </c>
      <c r="F395" s="44">
        <f>34.0143 * CHOOSE(CONTROL!$C$15, $E$9, 100%, $G$9) + CHOOSE(CONTROL!$C$38, 0.0251, 0)</f>
        <v>34.039400000000001</v>
      </c>
      <c r="G395" s="14">
        <f>32.3088 * CHOOSE(CONTROL!$C$15, $E$9, 100%, $G$9) + CHOOSE(CONTROL!$C$38, 0.0342, 0)</f>
        <v>32.342999999999996</v>
      </c>
      <c r="H395" s="14">
        <f>32.3088 * CHOOSE(CONTROL!$C$15, $E$9, 100%, $G$9) + CHOOSE(CONTROL!$C$38, 0.0342, 0)</f>
        <v>32.342999999999996</v>
      </c>
      <c r="I395" s="14">
        <f>32.3103 * CHOOSE(CONTROL!$C$15, $E$9, 100%, $G$9) + CHOOSE(CONTROL!$C$38, 0.0342, 0)</f>
        <v>32.344499999999996</v>
      </c>
      <c r="J395" s="43">
        <f>221.2627</f>
        <v>221.2627</v>
      </c>
    </row>
    <row r="396" spans="1:10" ht="15.75" x14ac:dyDescent="0.25">
      <c r="A396" s="32">
        <v>52993</v>
      </c>
      <c r="B396" s="14">
        <f>35.4537 * CHOOSE(CONTROL!$C$15, $E$9, 100%, $G$9) + CHOOSE(CONTROL!$C$38, 0.0251, 0)</f>
        <v>35.4788</v>
      </c>
      <c r="C396" s="14">
        <f>33.5649 * CHOOSE(CONTROL!$C$15, $E$9, 100%, $G$9) + CHOOSE(CONTROL!$C$38, 0.0342, 0)</f>
        <v>33.5991</v>
      </c>
      <c r="D396" s="14">
        <f>33.557 * CHOOSE(CONTROL!$C$15, $E$9, 100%, $G$9) + CHOOSE(CONTROL!$C$38, 0.0342, 0)</f>
        <v>33.591200000000001</v>
      </c>
      <c r="E396" s="45">
        <f>35.2974 * CHOOSE(CONTROL!$C$15, $E$9, 100%, $G$9) + CHOOSE(CONTROL!$C$38, 0.0342, 0)</f>
        <v>35.331600000000002</v>
      </c>
      <c r="F396" s="44">
        <f>35.2974 * CHOOSE(CONTROL!$C$15, $E$9, 100%, $G$9) + CHOOSE(CONTROL!$C$38, 0.0251, 0)</f>
        <v>35.322500000000005</v>
      </c>
      <c r="G396" s="14">
        <f>33.5633 * CHOOSE(CONTROL!$C$15, $E$9, 100%, $G$9) + CHOOSE(CONTROL!$C$38, 0.0342, 0)</f>
        <v>33.597499999999997</v>
      </c>
      <c r="H396" s="14">
        <f>33.5633 * CHOOSE(CONTROL!$C$15, $E$9, 100%, $G$9) + CHOOSE(CONTROL!$C$38, 0.0342, 0)</f>
        <v>33.597499999999997</v>
      </c>
      <c r="I396" s="14">
        <f>33.5649 * CHOOSE(CONTROL!$C$15, $E$9, 100%, $G$9) + CHOOSE(CONTROL!$C$38, 0.0342, 0)</f>
        <v>33.5991</v>
      </c>
      <c r="J396" s="43">
        <f>221.103</f>
        <v>221.10300000000001</v>
      </c>
    </row>
    <row r="397" spans="1:10" ht="15.75" x14ac:dyDescent="0.25">
      <c r="A397" s="32">
        <v>53021</v>
      </c>
      <c r="B397" s="14">
        <f>35.798 * CHOOSE(CONTROL!$C$15, $E$9, 100%, $G$9) + CHOOSE(CONTROL!$C$38, 0.0251, 0)</f>
        <v>35.823100000000004</v>
      </c>
      <c r="C397" s="14">
        <f>33.9092 * CHOOSE(CONTROL!$C$15, $E$9, 100%, $G$9) + CHOOSE(CONTROL!$C$38, 0.0342, 0)</f>
        <v>33.943399999999997</v>
      </c>
      <c r="D397" s="14">
        <f>33.9014 * CHOOSE(CONTROL!$C$15, $E$9, 100%, $G$9) + CHOOSE(CONTROL!$C$38, 0.0342, 0)</f>
        <v>33.935600000000001</v>
      </c>
      <c r="E397" s="45">
        <f>35.6417 * CHOOSE(CONTROL!$C$15, $E$9, 100%, $G$9) + CHOOSE(CONTROL!$C$38, 0.0342, 0)</f>
        <v>35.675899999999999</v>
      </c>
      <c r="F397" s="44">
        <f>35.6417 * CHOOSE(CONTROL!$C$15, $E$9, 100%, $G$9) + CHOOSE(CONTROL!$C$38, 0.0251, 0)</f>
        <v>35.666800000000002</v>
      </c>
      <c r="G397" s="14">
        <f>33.9076 * CHOOSE(CONTROL!$C$15, $E$9, 100%, $G$9) + CHOOSE(CONTROL!$C$38, 0.0342, 0)</f>
        <v>33.941800000000001</v>
      </c>
      <c r="H397" s="14">
        <f>33.9076 * CHOOSE(CONTROL!$C$15, $E$9, 100%, $G$9) + CHOOSE(CONTROL!$C$38, 0.0342, 0)</f>
        <v>33.941800000000001</v>
      </c>
      <c r="I397" s="14">
        <f>33.9092 * CHOOSE(CONTROL!$C$15, $E$9, 100%, $G$9) + CHOOSE(CONTROL!$C$38, 0.0342, 0)</f>
        <v>33.943399999999997</v>
      </c>
      <c r="J397" s="43">
        <f>220.4884</f>
        <v>220.48840000000001</v>
      </c>
    </row>
    <row r="398" spans="1:10" ht="15.75" x14ac:dyDescent="0.25">
      <c r="A398" s="32">
        <v>53052</v>
      </c>
      <c r="B398" s="14">
        <f>35.0009 * CHOOSE(CONTROL!$C$15, $E$9, 100%, $G$9) + CHOOSE(CONTROL!$C$38, 0.0251, 0)</f>
        <v>35.026000000000003</v>
      </c>
      <c r="C398" s="14">
        <f>33.1121 * CHOOSE(CONTROL!$C$15, $E$9, 100%, $G$9) + CHOOSE(CONTROL!$C$38, 0.0342, 0)</f>
        <v>33.146299999999997</v>
      </c>
      <c r="D398" s="14">
        <f>33.1043 * CHOOSE(CONTROL!$C$15, $E$9, 100%, $G$9) + CHOOSE(CONTROL!$C$38, 0.0342, 0)</f>
        <v>33.138500000000001</v>
      </c>
      <c r="E398" s="45">
        <f>34.8447 * CHOOSE(CONTROL!$C$15, $E$9, 100%, $G$9) + CHOOSE(CONTROL!$C$38, 0.0342, 0)</f>
        <v>34.878900000000002</v>
      </c>
      <c r="F398" s="44">
        <f>34.8447 * CHOOSE(CONTROL!$C$15, $E$9, 100%, $G$9) + CHOOSE(CONTROL!$C$38, 0.0251, 0)</f>
        <v>34.869800000000005</v>
      </c>
      <c r="G398" s="14">
        <f>33.1106 * CHOOSE(CONTROL!$C$15, $E$9, 100%, $G$9) + CHOOSE(CONTROL!$C$38, 0.0342, 0)</f>
        <v>33.144799999999996</v>
      </c>
      <c r="H398" s="14">
        <f>33.1106 * CHOOSE(CONTROL!$C$15, $E$9, 100%, $G$9) + CHOOSE(CONTROL!$C$38, 0.0342, 0)</f>
        <v>33.144799999999996</v>
      </c>
      <c r="I398" s="14">
        <f>33.1121 * CHOOSE(CONTROL!$C$15, $E$9, 100%, $G$9) + CHOOSE(CONTROL!$C$38, 0.0342, 0)</f>
        <v>33.146299999999997</v>
      </c>
      <c r="J398" s="43">
        <f>232.1094</f>
        <v>232.10939999999999</v>
      </c>
    </row>
    <row r="399" spans="1:10" ht="15.75" x14ac:dyDescent="0.25">
      <c r="A399" s="32">
        <v>53082</v>
      </c>
      <c r="B399" s="14">
        <f>34.2286 * CHOOSE(CONTROL!$C$15, $E$9, 100%, $G$9) + CHOOSE(CONTROL!$C$38, 0.0251, 0)</f>
        <v>34.253700000000002</v>
      </c>
      <c r="C399" s="14">
        <f>32.3398 * CHOOSE(CONTROL!$C$15, $E$9, 100%, $G$9) + CHOOSE(CONTROL!$C$38, 0.0342, 0)</f>
        <v>32.373999999999995</v>
      </c>
      <c r="D399" s="14">
        <f>32.332 * CHOOSE(CONTROL!$C$15, $E$9, 100%, $G$9) + CHOOSE(CONTROL!$C$38, 0.0342, 0)</f>
        <v>32.366199999999999</v>
      </c>
      <c r="E399" s="45">
        <f>34.0724 * CHOOSE(CONTROL!$C$15, $E$9, 100%, $G$9) + CHOOSE(CONTROL!$C$38, 0.0342, 0)</f>
        <v>34.1066</v>
      </c>
      <c r="F399" s="44">
        <f>34.0724 * CHOOSE(CONTROL!$C$15, $E$9, 100%, $G$9) + CHOOSE(CONTROL!$C$38, 0.0251, 0)</f>
        <v>34.097500000000004</v>
      </c>
      <c r="G399" s="14">
        <f>32.3383 * CHOOSE(CONTROL!$C$15, $E$9, 100%, $G$9) + CHOOSE(CONTROL!$C$38, 0.0342, 0)</f>
        <v>32.372499999999995</v>
      </c>
      <c r="H399" s="14">
        <f>32.3383 * CHOOSE(CONTROL!$C$15, $E$9, 100%, $G$9) + CHOOSE(CONTROL!$C$38, 0.0342, 0)</f>
        <v>32.372499999999995</v>
      </c>
      <c r="I399" s="14">
        <f>32.3398 * CHOOSE(CONTROL!$C$15, $E$9, 100%, $G$9) + CHOOSE(CONTROL!$C$38, 0.0342, 0)</f>
        <v>32.373999999999995</v>
      </c>
      <c r="J399" s="43">
        <f>247.1791</f>
        <v>247.17910000000001</v>
      </c>
    </row>
    <row r="400" spans="1:10" ht="15.75" x14ac:dyDescent="0.25">
      <c r="A400" s="32">
        <v>53113</v>
      </c>
      <c r="B400" s="14">
        <f>33.4237 * CHOOSE(CONTROL!$C$15, $E$9, 100%, $G$9) + CHOOSE(CONTROL!$C$38, 0.0264, 0)</f>
        <v>33.450099999999999</v>
      </c>
      <c r="C400" s="14">
        <f>31.5349 * CHOOSE(CONTROL!$C$15, $E$9, 100%, $G$9) + CHOOSE(CONTROL!$C$38, 0.0354, 0)</f>
        <v>31.5703</v>
      </c>
      <c r="D400" s="14">
        <f>31.527 * CHOOSE(CONTROL!$C$15, $E$9, 100%, $G$9) + CHOOSE(CONTROL!$C$38, 0.0354, 0)</f>
        <v>31.5624</v>
      </c>
      <c r="E400" s="45">
        <f>33.2674 * CHOOSE(CONTROL!$C$15, $E$9, 100%, $G$9) + CHOOSE(CONTROL!$C$38, 0.0354, 0)</f>
        <v>33.302800000000005</v>
      </c>
      <c r="F400" s="44">
        <f>33.2674 * CHOOSE(CONTROL!$C$15, $E$9, 100%, $G$9) + CHOOSE(CONTROL!$C$38, 0.0264, 0)</f>
        <v>33.293800000000005</v>
      </c>
      <c r="G400" s="14">
        <f>31.5333 * CHOOSE(CONTROL!$C$15, $E$9, 100%, $G$9) + CHOOSE(CONTROL!$C$38, 0.0354, 0)</f>
        <v>31.5687</v>
      </c>
      <c r="H400" s="14">
        <f>31.5333 * CHOOSE(CONTROL!$C$15, $E$9, 100%, $G$9) + CHOOSE(CONTROL!$C$38, 0.0354, 0)</f>
        <v>31.5687</v>
      </c>
      <c r="I400" s="14">
        <f>31.5349 * CHOOSE(CONTROL!$C$15, $E$9, 100%, $G$9) + CHOOSE(CONTROL!$C$38, 0.0354, 0)</f>
        <v>31.5703</v>
      </c>
      <c r="J400" s="43">
        <f>255.4739</f>
        <v>255.47389999999999</v>
      </c>
    </row>
    <row r="401" spans="1:10" ht="15.75" x14ac:dyDescent="0.25">
      <c r="A401" s="32">
        <v>53143</v>
      </c>
      <c r="B401" s="14">
        <f>32.8593 * CHOOSE(CONTROL!$C$15, $E$9, 100%, $G$9) + CHOOSE(CONTROL!$C$38, 0.0264, 0)</f>
        <v>32.8857</v>
      </c>
      <c r="C401" s="14">
        <f>30.9705 * CHOOSE(CONTROL!$C$15, $E$9, 100%, $G$9) + CHOOSE(CONTROL!$C$38, 0.0354, 0)</f>
        <v>31.0059</v>
      </c>
      <c r="D401" s="14">
        <f>30.9627 * CHOOSE(CONTROL!$C$15, $E$9, 100%, $G$9) + CHOOSE(CONTROL!$C$38, 0.0354, 0)</f>
        <v>30.998100000000001</v>
      </c>
      <c r="E401" s="45">
        <f>32.7031 * CHOOSE(CONTROL!$C$15, $E$9, 100%, $G$9) + CHOOSE(CONTROL!$C$38, 0.0354, 0)</f>
        <v>32.738500000000002</v>
      </c>
      <c r="F401" s="44">
        <f>32.7031 * CHOOSE(CONTROL!$C$15, $E$9, 100%, $G$9) + CHOOSE(CONTROL!$C$38, 0.0264, 0)</f>
        <v>32.729500000000002</v>
      </c>
      <c r="G401" s="14">
        <f>30.969 * CHOOSE(CONTROL!$C$15, $E$9, 100%, $G$9) + CHOOSE(CONTROL!$C$38, 0.0354, 0)</f>
        <v>31.0044</v>
      </c>
      <c r="H401" s="14">
        <f>30.969 * CHOOSE(CONTROL!$C$15, $E$9, 100%, $G$9) + CHOOSE(CONTROL!$C$38, 0.0354, 0)</f>
        <v>31.0044</v>
      </c>
      <c r="I401" s="14">
        <f>30.9705 * CHOOSE(CONTROL!$C$15, $E$9, 100%, $G$9) + CHOOSE(CONTROL!$C$38, 0.0354, 0)</f>
        <v>31.0059</v>
      </c>
      <c r="J401" s="43">
        <f>259.155</f>
        <v>259.15499999999997</v>
      </c>
    </row>
    <row r="402" spans="1:10" ht="15.75" x14ac:dyDescent="0.25">
      <c r="A402" s="32">
        <v>53174</v>
      </c>
      <c r="B402" s="14">
        <f>32.5373 * CHOOSE(CONTROL!$C$15, $E$9, 100%, $G$9) + CHOOSE(CONTROL!$C$38, 0.0264, 0)</f>
        <v>32.563700000000004</v>
      </c>
      <c r="C402" s="14">
        <f>30.6485 * CHOOSE(CONTROL!$C$15, $E$9, 100%, $G$9) + CHOOSE(CONTROL!$C$38, 0.0354, 0)</f>
        <v>30.683899999999998</v>
      </c>
      <c r="D402" s="14">
        <f>30.6407 * CHOOSE(CONTROL!$C$15, $E$9, 100%, $G$9) + CHOOSE(CONTROL!$C$38, 0.0354, 0)</f>
        <v>30.676099999999998</v>
      </c>
      <c r="E402" s="45">
        <f>32.381 * CHOOSE(CONTROL!$C$15, $E$9, 100%, $G$9) + CHOOSE(CONTROL!$C$38, 0.0354, 0)</f>
        <v>32.416400000000003</v>
      </c>
      <c r="F402" s="44">
        <f>32.381 * CHOOSE(CONTROL!$C$15, $E$9, 100%, $G$9) + CHOOSE(CONTROL!$C$38, 0.0264, 0)</f>
        <v>32.407400000000003</v>
      </c>
      <c r="G402" s="14">
        <f>30.6469 * CHOOSE(CONTROL!$C$15, $E$9, 100%, $G$9) + CHOOSE(CONTROL!$C$38, 0.0354, 0)</f>
        <v>30.682299999999998</v>
      </c>
      <c r="H402" s="14">
        <f>30.6469 * CHOOSE(CONTROL!$C$15, $E$9, 100%, $G$9) + CHOOSE(CONTROL!$C$38, 0.0354, 0)</f>
        <v>30.682299999999998</v>
      </c>
      <c r="I402" s="14">
        <f>30.6485 * CHOOSE(CONTROL!$C$15, $E$9, 100%, $G$9) + CHOOSE(CONTROL!$C$38, 0.0354, 0)</f>
        <v>30.683899999999998</v>
      </c>
      <c r="J402" s="43">
        <f>257.943</f>
        <v>257.94299999999998</v>
      </c>
    </row>
    <row r="403" spans="1:10" ht="15.75" x14ac:dyDescent="0.25">
      <c r="A403" s="32">
        <v>53205</v>
      </c>
      <c r="B403" s="14">
        <f>32.6962 * CHOOSE(CONTROL!$C$15, $E$9, 100%, $G$9) + CHOOSE(CONTROL!$C$38, 0.0264, 0)</f>
        <v>32.7226</v>
      </c>
      <c r="C403" s="14">
        <f>30.8074 * CHOOSE(CONTROL!$C$15, $E$9, 100%, $G$9) + CHOOSE(CONTROL!$C$38, 0.0354, 0)</f>
        <v>30.8428</v>
      </c>
      <c r="D403" s="14">
        <f>30.7996 * CHOOSE(CONTROL!$C$15, $E$9, 100%, $G$9) + CHOOSE(CONTROL!$C$38, 0.0354, 0)</f>
        <v>30.835000000000001</v>
      </c>
      <c r="E403" s="45">
        <f>32.54 * CHOOSE(CONTROL!$C$15, $E$9, 100%, $G$9) + CHOOSE(CONTROL!$C$38, 0.0354, 0)</f>
        <v>32.575400000000002</v>
      </c>
      <c r="F403" s="44">
        <f>32.54 * CHOOSE(CONTROL!$C$15, $E$9, 100%, $G$9) + CHOOSE(CONTROL!$C$38, 0.0264, 0)</f>
        <v>32.566400000000002</v>
      </c>
      <c r="G403" s="14">
        <f>30.8058 * CHOOSE(CONTROL!$C$15, $E$9, 100%, $G$9) + CHOOSE(CONTROL!$C$38, 0.0354, 0)</f>
        <v>30.841200000000001</v>
      </c>
      <c r="H403" s="14">
        <f>30.8058 * CHOOSE(CONTROL!$C$15, $E$9, 100%, $G$9) + CHOOSE(CONTROL!$C$38, 0.0354, 0)</f>
        <v>30.841200000000001</v>
      </c>
      <c r="I403" s="14">
        <f>30.8074 * CHOOSE(CONTROL!$C$15, $E$9, 100%, $G$9) + CHOOSE(CONTROL!$C$38, 0.0354, 0)</f>
        <v>30.8428</v>
      </c>
      <c r="J403" s="43">
        <f>251.9382</f>
        <v>251.93819999999999</v>
      </c>
    </row>
    <row r="404" spans="1:10" ht="15.75" x14ac:dyDescent="0.25">
      <c r="A404" s="32">
        <v>53235</v>
      </c>
      <c r="B404" s="14">
        <f>33.1279 * CHOOSE(CONTROL!$C$15, $E$9, 100%, $G$9) + CHOOSE(CONTROL!$C$38, 0.0264, 0)</f>
        <v>33.154299999999999</v>
      </c>
      <c r="C404" s="14">
        <f>31.2391 * CHOOSE(CONTROL!$C$15, $E$9, 100%, $G$9) + CHOOSE(CONTROL!$C$38, 0.0354, 0)</f>
        <v>31.2745</v>
      </c>
      <c r="D404" s="14">
        <f>31.2313 * CHOOSE(CONTROL!$C$15, $E$9, 100%, $G$9) + CHOOSE(CONTROL!$C$38, 0.0354, 0)</f>
        <v>31.2667</v>
      </c>
      <c r="E404" s="45">
        <f>32.9717 * CHOOSE(CONTROL!$C$15, $E$9, 100%, $G$9) + CHOOSE(CONTROL!$C$38, 0.0354, 0)</f>
        <v>33.007100000000001</v>
      </c>
      <c r="F404" s="44">
        <f>32.9717 * CHOOSE(CONTROL!$C$15, $E$9, 100%, $G$9) + CHOOSE(CONTROL!$C$38, 0.0264, 0)</f>
        <v>32.998100000000001</v>
      </c>
      <c r="G404" s="14">
        <f>31.2376 * CHOOSE(CONTROL!$C$15, $E$9, 100%, $G$9) + CHOOSE(CONTROL!$C$38, 0.0354, 0)</f>
        <v>31.273</v>
      </c>
      <c r="H404" s="14">
        <f>31.2376 * CHOOSE(CONTROL!$C$15, $E$9, 100%, $G$9) + CHOOSE(CONTROL!$C$38, 0.0354, 0)</f>
        <v>31.273</v>
      </c>
      <c r="I404" s="14">
        <f>31.2391 * CHOOSE(CONTROL!$C$15, $E$9, 100%, $G$9) + CHOOSE(CONTROL!$C$38, 0.0354, 0)</f>
        <v>31.2745</v>
      </c>
      <c r="J404" s="43">
        <f>243.5642</f>
        <v>243.5642</v>
      </c>
    </row>
    <row r="405" spans="1:10" ht="15.75" x14ac:dyDescent="0.25">
      <c r="A405" s="32">
        <v>53266</v>
      </c>
      <c r="B405" s="14">
        <f>33.4895 * CHOOSE(CONTROL!$C$15, $E$9, 100%, $G$9) + CHOOSE(CONTROL!$C$38, 0.0251, 0)</f>
        <v>33.514600000000002</v>
      </c>
      <c r="C405" s="14">
        <f>31.6007 * CHOOSE(CONTROL!$C$15, $E$9, 100%, $G$9) + CHOOSE(CONTROL!$C$38, 0.0342, 0)</f>
        <v>31.634899999999998</v>
      </c>
      <c r="D405" s="14">
        <f>31.5929 * CHOOSE(CONTROL!$C$15, $E$9, 100%, $G$9) + CHOOSE(CONTROL!$C$38, 0.0342, 0)</f>
        <v>31.627099999999999</v>
      </c>
      <c r="E405" s="45">
        <f>33.3332 * CHOOSE(CONTROL!$C$15, $E$9, 100%, $G$9) + CHOOSE(CONTROL!$C$38, 0.0342, 0)</f>
        <v>33.367399999999996</v>
      </c>
      <c r="F405" s="44">
        <f>33.3332 * CHOOSE(CONTROL!$C$15, $E$9, 100%, $G$9) + CHOOSE(CONTROL!$C$38, 0.0251, 0)</f>
        <v>33.3583</v>
      </c>
      <c r="G405" s="14">
        <f>31.5991 * CHOOSE(CONTROL!$C$15, $E$9, 100%, $G$9) + CHOOSE(CONTROL!$C$38, 0.0342, 0)</f>
        <v>31.633299999999998</v>
      </c>
      <c r="H405" s="14">
        <f>31.5991 * CHOOSE(CONTROL!$C$15, $E$9, 100%, $G$9) + CHOOSE(CONTROL!$C$38, 0.0342, 0)</f>
        <v>31.633299999999998</v>
      </c>
      <c r="I405" s="14">
        <f>31.6007 * CHOOSE(CONTROL!$C$15, $E$9, 100%, $G$9) + CHOOSE(CONTROL!$C$38, 0.0342, 0)</f>
        <v>31.634899999999998</v>
      </c>
      <c r="J405" s="43">
        <f>235.1415</f>
        <v>235.14150000000001</v>
      </c>
    </row>
    <row r="406" spans="1:10" ht="15.75" x14ac:dyDescent="0.25">
      <c r="A406" s="32">
        <v>53296</v>
      </c>
      <c r="B406" s="14">
        <f>33.7912 * CHOOSE(CONTROL!$C$15, $E$9, 100%, $G$9) + CHOOSE(CONTROL!$C$38, 0.0251, 0)</f>
        <v>33.816300000000005</v>
      </c>
      <c r="C406" s="14">
        <f>31.9024 * CHOOSE(CONTROL!$C$15, $E$9, 100%, $G$9) + CHOOSE(CONTROL!$C$38, 0.0342, 0)</f>
        <v>31.936599999999999</v>
      </c>
      <c r="D406" s="14">
        <f>31.8946 * CHOOSE(CONTROL!$C$15, $E$9, 100%, $G$9) + CHOOSE(CONTROL!$C$38, 0.0342, 0)</f>
        <v>31.928799999999999</v>
      </c>
      <c r="E406" s="45">
        <f>33.6349 * CHOOSE(CONTROL!$C$15, $E$9, 100%, $G$9) + CHOOSE(CONTROL!$C$38, 0.0342, 0)</f>
        <v>33.6691</v>
      </c>
      <c r="F406" s="44">
        <f>33.6349 * CHOOSE(CONTROL!$C$15, $E$9, 100%, $G$9) + CHOOSE(CONTROL!$C$38, 0.0251, 0)</f>
        <v>33.660000000000004</v>
      </c>
      <c r="G406" s="14">
        <f>31.9008 * CHOOSE(CONTROL!$C$15, $E$9, 100%, $G$9) + CHOOSE(CONTROL!$C$38, 0.0342, 0)</f>
        <v>31.934999999999999</v>
      </c>
      <c r="H406" s="14">
        <f>31.9008 * CHOOSE(CONTROL!$C$15, $E$9, 100%, $G$9) + CHOOSE(CONTROL!$C$38, 0.0342, 0)</f>
        <v>31.934999999999999</v>
      </c>
      <c r="I406" s="14">
        <f>31.9024 * CHOOSE(CONTROL!$C$15, $E$9, 100%, $G$9) + CHOOSE(CONTROL!$C$38, 0.0342, 0)</f>
        <v>31.936599999999999</v>
      </c>
      <c r="J406" s="43">
        <f>233.4661</f>
        <v>233.46610000000001</v>
      </c>
    </row>
    <row r="407" spans="1:10" ht="15.75" x14ac:dyDescent="0.25">
      <c r="A407" s="32">
        <v>53327</v>
      </c>
      <c r="B407" s="14">
        <f>34.7209 * CHOOSE(CONTROL!$C$15, $E$9, 100%, $G$9) + CHOOSE(CONTROL!$C$38, 0.0251, 0)</f>
        <v>34.746000000000002</v>
      </c>
      <c r="C407" s="14">
        <f>32.8321 * CHOOSE(CONTROL!$C$15, $E$9, 100%, $G$9) + CHOOSE(CONTROL!$C$38, 0.0342, 0)</f>
        <v>32.866299999999995</v>
      </c>
      <c r="D407" s="14">
        <f>32.8242 * CHOOSE(CONTROL!$C$15, $E$9, 100%, $G$9) + CHOOSE(CONTROL!$C$38, 0.0342, 0)</f>
        <v>32.858399999999996</v>
      </c>
      <c r="E407" s="45">
        <f>34.5646 * CHOOSE(CONTROL!$C$15, $E$9, 100%, $G$9) + CHOOSE(CONTROL!$C$38, 0.0342, 0)</f>
        <v>34.598799999999997</v>
      </c>
      <c r="F407" s="44">
        <f>34.5646 * CHOOSE(CONTROL!$C$15, $E$9, 100%, $G$9) + CHOOSE(CONTROL!$C$38, 0.0251, 0)</f>
        <v>34.589700000000001</v>
      </c>
      <c r="G407" s="14">
        <f>32.8305 * CHOOSE(CONTROL!$C$15, $E$9, 100%, $G$9) + CHOOSE(CONTROL!$C$38, 0.0342, 0)</f>
        <v>32.864699999999999</v>
      </c>
      <c r="H407" s="14">
        <f>32.8305 * CHOOSE(CONTROL!$C$15, $E$9, 100%, $G$9) + CHOOSE(CONTROL!$C$38, 0.0342, 0)</f>
        <v>32.864699999999999</v>
      </c>
      <c r="I407" s="14">
        <f>32.8321 * CHOOSE(CONTROL!$C$15, $E$9, 100%, $G$9) + CHOOSE(CONTROL!$C$38, 0.0342, 0)</f>
        <v>32.866299999999995</v>
      </c>
      <c r="J407" s="43">
        <f>226.538</f>
        <v>226.53800000000001</v>
      </c>
    </row>
    <row r="408" spans="1:10" ht="15.75" x14ac:dyDescent="0.25">
      <c r="A408" s="32">
        <v>53358</v>
      </c>
      <c r="B408" s="14">
        <f>36.0133 * CHOOSE(CONTROL!$C$15, $E$9, 100%, $G$9) + CHOOSE(CONTROL!$C$38, 0.0251, 0)</f>
        <v>36.038400000000003</v>
      </c>
      <c r="C408" s="14">
        <f>34.0953 * CHOOSE(CONTROL!$C$15, $E$9, 100%, $G$9) + CHOOSE(CONTROL!$C$38, 0.0342, 0)</f>
        <v>34.1295</v>
      </c>
      <c r="D408" s="14">
        <f>34.0875 * CHOOSE(CONTROL!$C$15, $E$9, 100%, $G$9) + CHOOSE(CONTROL!$C$38, 0.0342, 0)</f>
        <v>34.121699999999997</v>
      </c>
      <c r="E408" s="45">
        <f>35.857 * CHOOSE(CONTROL!$C$15, $E$9, 100%, $G$9) + CHOOSE(CONTROL!$C$38, 0.0342, 0)</f>
        <v>35.891199999999998</v>
      </c>
      <c r="F408" s="44">
        <f>35.857 * CHOOSE(CONTROL!$C$15, $E$9, 100%, $G$9) + CHOOSE(CONTROL!$C$38, 0.0251, 0)</f>
        <v>35.882100000000001</v>
      </c>
      <c r="G408" s="14">
        <f>34.0938 * CHOOSE(CONTROL!$C$15, $E$9, 100%, $G$9) + CHOOSE(CONTROL!$C$38, 0.0342, 0)</f>
        <v>34.128</v>
      </c>
      <c r="H408" s="14">
        <f>34.0938 * CHOOSE(CONTROL!$C$15, $E$9, 100%, $G$9) + CHOOSE(CONTROL!$C$38, 0.0342, 0)</f>
        <v>34.128</v>
      </c>
      <c r="I408" s="14">
        <f>34.0953 * CHOOSE(CONTROL!$C$15, $E$9, 100%, $G$9) + CHOOSE(CONTROL!$C$38, 0.0342, 0)</f>
        <v>34.1295</v>
      </c>
      <c r="J408" s="43">
        <f>226.3744</f>
        <v>226.37440000000001</v>
      </c>
    </row>
    <row r="409" spans="1:10" ht="15.75" x14ac:dyDescent="0.25">
      <c r="A409" s="32">
        <v>53386</v>
      </c>
      <c r="B409" s="14">
        <f>36.3576 * CHOOSE(CONTROL!$C$15, $E$9, 100%, $G$9) + CHOOSE(CONTROL!$C$38, 0.0251, 0)</f>
        <v>36.3827</v>
      </c>
      <c r="C409" s="14">
        <f>34.4397 * CHOOSE(CONTROL!$C$15, $E$9, 100%, $G$9) + CHOOSE(CONTROL!$C$38, 0.0342, 0)</f>
        <v>34.4739</v>
      </c>
      <c r="D409" s="14">
        <f>34.4318 * CHOOSE(CONTROL!$C$15, $E$9, 100%, $G$9) + CHOOSE(CONTROL!$C$38, 0.0342, 0)</f>
        <v>34.466000000000001</v>
      </c>
      <c r="E409" s="45">
        <f>36.2013 * CHOOSE(CONTROL!$C$15, $E$9, 100%, $G$9) + CHOOSE(CONTROL!$C$38, 0.0342, 0)</f>
        <v>36.235500000000002</v>
      </c>
      <c r="F409" s="44">
        <f>36.2013 * CHOOSE(CONTROL!$C$15, $E$9, 100%, $G$9) + CHOOSE(CONTROL!$C$38, 0.0251, 0)</f>
        <v>36.226400000000005</v>
      </c>
      <c r="G409" s="14">
        <f>34.4381 * CHOOSE(CONTROL!$C$15, $E$9, 100%, $G$9) + CHOOSE(CONTROL!$C$38, 0.0342, 0)</f>
        <v>34.472299999999997</v>
      </c>
      <c r="H409" s="14">
        <f>34.4381 * CHOOSE(CONTROL!$C$15, $E$9, 100%, $G$9) + CHOOSE(CONTROL!$C$38, 0.0342, 0)</f>
        <v>34.472299999999997</v>
      </c>
      <c r="I409" s="14">
        <f>34.4397 * CHOOSE(CONTROL!$C$15, $E$9, 100%, $G$9) + CHOOSE(CONTROL!$C$38, 0.0342, 0)</f>
        <v>34.4739</v>
      </c>
      <c r="J409" s="43">
        <f>225.7452</f>
        <v>225.74520000000001</v>
      </c>
    </row>
    <row r="410" spans="1:10" ht="15.75" x14ac:dyDescent="0.25">
      <c r="A410" s="32">
        <v>53417</v>
      </c>
      <c r="B410" s="14">
        <f>35.5605 * CHOOSE(CONTROL!$C$15, $E$9, 100%, $G$9) + CHOOSE(CONTROL!$C$38, 0.0251, 0)</f>
        <v>35.585599999999999</v>
      </c>
      <c r="C410" s="14">
        <f>33.6426 * CHOOSE(CONTROL!$C$15, $E$9, 100%, $G$9) + CHOOSE(CONTROL!$C$38, 0.0342, 0)</f>
        <v>33.6768</v>
      </c>
      <c r="D410" s="14">
        <f>33.6348 * CHOOSE(CONTROL!$C$15, $E$9, 100%, $G$9) + CHOOSE(CONTROL!$C$38, 0.0342, 0)</f>
        <v>33.668999999999997</v>
      </c>
      <c r="E410" s="45">
        <f>35.4043 * CHOOSE(CONTROL!$C$15, $E$9, 100%, $G$9) + CHOOSE(CONTROL!$C$38, 0.0342, 0)</f>
        <v>35.438499999999998</v>
      </c>
      <c r="F410" s="44">
        <f>35.4043 * CHOOSE(CONTROL!$C$15, $E$9, 100%, $G$9) + CHOOSE(CONTROL!$C$38, 0.0251, 0)</f>
        <v>35.429400000000001</v>
      </c>
      <c r="G410" s="14">
        <f>33.6411 * CHOOSE(CONTROL!$C$15, $E$9, 100%, $G$9) + CHOOSE(CONTROL!$C$38, 0.0342, 0)</f>
        <v>33.6753</v>
      </c>
      <c r="H410" s="14">
        <f>33.6411 * CHOOSE(CONTROL!$C$15, $E$9, 100%, $G$9) + CHOOSE(CONTROL!$C$38, 0.0342, 0)</f>
        <v>33.6753</v>
      </c>
      <c r="I410" s="14">
        <f>33.6426 * CHOOSE(CONTROL!$C$15, $E$9, 100%, $G$9) + CHOOSE(CONTROL!$C$38, 0.0342, 0)</f>
        <v>33.6768</v>
      </c>
      <c r="J410" s="43">
        <f>237.6432</f>
        <v>237.64320000000001</v>
      </c>
    </row>
    <row r="411" spans="1:10" ht="15.75" x14ac:dyDescent="0.25">
      <c r="A411" s="32">
        <v>53447</v>
      </c>
      <c r="B411" s="14">
        <f>34.7882 * CHOOSE(CONTROL!$C$15, $E$9, 100%, $G$9) + CHOOSE(CONTROL!$C$38, 0.0251, 0)</f>
        <v>34.813300000000005</v>
      </c>
      <c r="C411" s="14">
        <f>32.8703 * CHOOSE(CONTROL!$C$15, $E$9, 100%, $G$9) + CHOOSE(CONTROL!$C$38, 0.0342, 0)</f>
        <v>32.904499999999999</v>
      </c>
      <c r="D411" s="14">
        <f>32.8625 * CHOOSE(CONTROL!$C$15, $E$9, 100%, $G$9) + CHOOSE(CONTROL!$C$38, 0.0342, 0)</f>
        <v>32.896699999999996</v>
      </c>
      <c r="E411" s="45">
        <f>34.632 * CHOOSE(CONTROL!$C$15, $E$9, 100%, $G$9) + CHOOSE(CONTROL!$C$38, 0.0342, 0)</f>
        <v>34.666199999999996</v>
      </c>
      <c r="F411" s="44">
        <f>34.632 * CHOOSE(CONTROL!$C$15, $E$9, 100%, $G$9) + CHOOSE(CONTROL!$C$38, 0.0251, 0)</f>
        <v>34.6571</v>
      </c>
      <c r="G411" s="14">
        <f>32.8687 * CHOOSE(CONTROL!$C$15, $E$9, 100%, $G$9) + CHOOSE(CONTROL!$C$38, 0.0342, 0)</f>
        <v>32.902899999999995</v>
      </c>
      <c r="H411" s="14">
        <f>32.8687 * CHOOSE(CONTROL!$C$15, $E$9, 100%, $G$9) + CHOOSE(CONTROL!$C$38, 0.0342, 0)</f>
        <v>32.902899999999995</v>
      </c>
      <c r="I411" s="14">
        <f>32.8703 * CHOOSE(CONTROL!$C$15, $E$9, 100%, $G$9) + CHOOSE(CONTROL!$C$38, 0.0342, 0)</f>
        <v>32.904499999999999</v>
      </c>
      <c r="J411" s="43">
        <f>253.0722</f>
        <v>253.07220000000001</v>
      </c>
    </row>
    <row r="412" spans="1:10" ht="15.75" x14ac:dyDescent="0.25">
      <c r="A412" s="32">
        <v>53478</v>
      </c>
      <c r="B412" s="14">
        <f>33.9833 * CHOOSE(CONTROL!$C$15, $E$9, 100%, $G$9) + CHOOSE(CONTROL!$C$38, 0.0264, 0)</f>
        <v>34.009700000000002</v>
      </c>
      <c r="C412" s="14">
        <f>32.0654 * CHOOSE(CONTROL!$C$15, $E$9, 100%, $G$9) + CHOOSE(CONTROL!$C$38, 0.0354, 0)</f>
        <v>32.1008</v>
      </c>
      <c r="D412" s="14">
        <f>32.0575 * CHOOSE(CONTROL!$C$15, $E$9, 100%, $G$9) + CHOOSE(CONTROL!$C$38, 0.0354, 0)</f>
        <v>32.0929</v>
      </c>
      <c r="E412" s="45">
        <f>33.827 * CHOOSE(CONTROL!$C$15, $E$9, 100%, $G$9) + CHOOSE(CONTROL!$C$38, 0.0354, 0)</f>
        <v>33.862400000000001</v>
      </c>
      <c r="F412" s="44">
        <f>33.827 * CHOOSE(CONTROL!$C$15, $E$9, 100%, $G$9) + CHOOSE(CONTROL!$C$38, 0.0264, 0)</f>
        <v>33.853400000000001</v>
      </c>
      <c r="G412" s="14">
        <f>32.0638 * CHOOSE(CONTROL!$C$15, $E$9, 100%, $G$9) + CHOOSE(CONTROL!$C$38, 0.0354, 0)</f>
        <v>32.099200000000003</v>
      </c>
      <c r="H412" s="14">
        <f>32.0638 * CHOOSE(CONTROL!$C$15, $E$9, 100%, $G$9) + CHOOSE(CONTROL!$C$38, 0.0354, 0)</f>
        <v>32.099200000000003</v>
      </c>
      <c r="I412" s="14">
        <f>32.0654 * CHOOSE(CONTROL!$C$15, $E$9, 100%, $G$9) + CHOOSE(CONTROL!$C$38, 0.0354, 0)</f>
        <v>32.1008</v>
      </c>
      <c r="J412" s="43">
        <f>261.5648</f>
        <v>261.56479999999999</v>
      </c>
    </row>
    <row r="413" spans="1:10" ht="15.75" x14ac:dyDescent="0.25">
      <c r="A413" s="32">
        <v>53508</v>
      </c>
      <c r="B413" s="14">
        <f>33.4189 * CHOOSE(CONTROL!$C$15, $E$9, 100%, $G$9) + CHOOSE(CONTROL!$C$38, 0.0264, 0)</f>
        <v>33.445300000000003</v>
      </c>
      <c r="C413" s="14">
        <f>31.501 * CHOOSE(CONTROL!$C$15, $E$9, 100%, $G$9) + CHOOSE(CONTROL!$C$38, 0.0354, 0)</f>
        <v>31.5364</v>
      </c>
      <c r="D413" s="14">
        <f>31.4932 * CHOOSE(CONTROL!$C$15, $E$9, 100%, $G$9) + CHOOSE(CONTROL!$C$38, 0.0354, 0)</f>
        <v>31.528600000000001</v>
      </c>
      <c r="E413" s="45">
        <f>33.2627 * CHOOSE(CONTROL!$C$15, $E$9, 100%, $G$9) + CHOOSE(CONTROL!$C$38, 0.0354, 0)</f>
        <v>33.298100000000005</v>
      </c>
      <c r="F413" s="44">
        <f>33.2627 * CHOOSE(CONTROL!$C$15, $E$9, 100%, $G$9) + CHOOSE(CONTROL!$C$38, 0.0264, 0)</f>
        <v>33.289100000000005</v>
      </c>
      <c r="G413" s="14">
        <f>31.4995 * CHOOSE(CONTROL!$C$15, $E$9, 100%, $G$9) + CHOOSE(CONTROL!$C$38, 0.0354, 0)</f>
        <v>31.5349</v>
      </c>
      <c r="H413" s="14">
        <f>31.4995 * CHOOSE(CONTROL!$C$15, $E$9, 100%, $G$9) + CHOOSE(CONTROL!$C$38, 0.0354, 0)</f>
        <v>31.5349</v>
      </c>
      <c r="I413" s="14">
        <f>31.501 * CHOOSE(CONTROL!$C$15, $E$9, 100%, $G$9) + CHOOSE(CONTROL!$C$38, 0.0354, 0)</f>
        <v>31.5364</v>
      </c>
      <c r="J413" s="43">
        <f>265.3337</f>
        <v>265.33370000000002</v>
      </c>
    </row>
    <row r="414" spans="1:10" ht="15.75" x14ac:dyDescent="0.25">
      <c r="A414" s="32">
        <v>53539</v>
      </c>
      <c r="B414" s="14">
        <f>33.0969 * CHOOSE(CONTROL!$C$15, $E$9, 100%, $G$9) + CHOOSE(CONTROL!$C$38, 0.0264, 0)</f>
        <v>33.1233</v>
      </c>
      <c r="C414" s="14">
        <f>31.179 * CHOOSE(CONTROL!$C$15, $E$9, 100%, $G$9) + CHOOSE(CONTROL!$C$38, 0.0354, 0)</f>
        <v>31.214399999999998</v>
      </c>
      <c r="D414" s="14">
        <f>31.1711 * CHOOSE(CONTROL!$C$15, $E$9, 100%, $G$9) + CHOOSE(CONTROL!$C$38, 0.0354, 0)</f>
        <v>31.206499999999998</v>
      </c>
      <c r="E414" s="45">
        <f>32.9406 * CHOOSE(CONTROL!$C$15, $E$9, 100%, $G$9) + CHOOSE(CONTROL!$C$38, 0.0354, 0)</f>
        <v>32.976000000000006</v>
      </c>
      <c r="F414" s="44">
        <f>32.9406 * CHOOSE(CONTROL!$C$15, $E$9, 100%, $G$9) + CHOOSE(CONTROL!$C$38, 0.0264, 0)</f>
        <v>32.967000000000006</v>
      </c>
      <c r="G414" s="14">
        <f>31.1774 * CHOOSE(CONTROL!$C$15, $E$9, 100%, $G$9) + CHOOSE(CONTROL!$C$38, 0.0354, 0)</f>
        <v>31.212799999999998</v>
      </c>
      <c r="H414" s="14">
        <f>31.1774 * CHOOSE(CONTROL!$C$15, $E$9, 100%, $G$9) + CHOOSE(CONTROL!$C$38, 0.0354, 0)</f>
        <v>31.212799999999998</v>
      </c>
      <c r="I414" s="14">
        <f>31.179 * CHOOSE(CONTROL!$C$15, $E$9, 100%, $G$9) + CHOOSE(CONTROL!$C$38, 0.0354, 0)</f>
        <v>31.214399999999998</v>
      </c>
      <c r="J414" s="43">
        <f>264.0928</f>
        <v>264.09280000000001</v>
      </c>
    </row>
    <row r="415" spans="1:10" ht="15.75" x14ac:dyDescent="0.25">
      <c r="A415" s="32">
        <v>53570</v>
      </c>
      <c r="B415" s="14">
        <f>33.2558 * CHOOSE(CONTROL!$C$15, $E$9, 100%, $G$9) + CHOOSE(CONTROL!$C$38, 0.0264, 0)</f>
        <v>33.282200000000003</v>
      </c>
      <c r="C415" s="14">
        <f>31.3379 * CHOOSE(CONTROL!$C$15, $E$9, 100%, $G$9) + CHOOSE(CONTROL!$C$38, 0.0354, 0)</f>
        <v>31.3733</v>
      </c>
      <c r="D415" s="14">
        <f>31.3301 * CHOOSE(CONTROL!$C$15, $E$9, 100%, $G$9) + CHOOSE(CONTROL!$C$38, 0.0354, 0)</f>
        <v>31.365500000000001</v>
      </c>
      <c r="E415" s="45">
        <f>33.0996 * CHOOSE(CONTROL!$C$15, $E$9, 100%, $G$9) + CHOOSE(CONTROL!$C$38, 0.0354, 0)</f>
        <v>33.135000000000005</v>
      </c>
      <c r="F415" s="44">
        <f>33.0996 * CHOOSE(CONTROL!$C$15, $E$9, 100%, $G$9) + CHOOSE(CONTROL!$C$38, 0.0264, 0)</f>
        <v>33.126000000000005</v>
      </c>
      <c r="G415" s="14">
        <f>31.3363 * CHOOSE(CONTROL!$C$15, $E$9, 100%, $G$9) + CHOOSE(CONTROL!$C$38, 0.0354, 0)</f>
        <v>31.371700000000001</v>
      </c>
      <c r="H415" s="14">
        <f>31.3363 * CHOOSE(CONTROL!$C$15, $E$9, 100%, $G$9) + CHOOSE(CONTROL!$C$38, 0.0354, 0)</f>
        <v>31.371700000000001</v>
      </c>
      <c r="I415" s="14">
        <f>31.3379 * CHOOSE(CONTROL!$C$15, $E$9, 100%, $G$9) + CHOOSE(CONTROL!$C$38, 0.0354, 0)</f>
        <v>31.3733</v>
      </c>
      <c r="J415" s="43">
        <f>257.9448</f>
        <v>257.94479999999999</v>
      </c>
    </row>
    <row r="416" spans="1:10" ht="15.75" x14ac:dyDescent="0.25">
      <c r="A416" s="32">
        <v>53600</v>
      </c>
      <c r="B416" s="14">
        <f>33.6875 * CHOOSE(CONTROL!$C$15, $E$9, 100%, $G$9) + CHOOSE(CONTROL!$C$38, 0.0264, 0)</f>
        <v>33.713900000000002</v>
      </c>
      <c r="C416" s="14">
        <f>31.7696 * CHOOSE(CONTROL!$C$15, $E$9, 100%, $G$9) + CHOOSE(CONTROL!$C$38, 0.0354, 0)</f>
        <v>31.805</v>
      </c>
      <c r="D416" s="14">
        <f>31.7618 * CHOOSE(CONTROL!$C$15, $E$9, 100%, $G$9) + CHOOSE(CONTROL!$C$38, 0.0354, 0)</f>
        <v>31.7972</v>
      </c>
      <c r="E416" s="45">
        <f>33.5313 * CHOOSE(CONTROL!$C$15, $E$9, 100%, $G$9) + CHOOSE(CONTROL!$C$38, 0.0354, 0)</f>
        <v>33.566700000000004</v>
      </c>
      <c r="F416" s="44">
        <f>33.5313 * CHOOSE(CONTROL!$C$15, $E$9, 100%, $G$9) + CHOOSE(CONTROL!$C$38, 0.0264, 0)</f>
        <v>33.557700000000004</v>
      </c>
      <c r="G416" s="14">
        <f>31.7681 * CHOOSE(CONTROL!$C$15, $E$9, 100%, $G$9) + CHOOSE(CONTROL!$C$38, 0.0354, 0)</f>
        <v>31.8035</v>
      </c>
      <c r="H416" s="14">
        <f>31.7681 * CHOOSE(CONTROL!$C$15, $E$9, 100%, $G$9) + CHOOSE(CONTROL!$C$38, 0.0354, 0)</f>
        <v>31.8035</v>
      </c>
      <c r="I416" s="14">
        <f>31.7696 * CHOOSE(CONTROL!$C$15, $E$9, 100%, $G$9) + CHOOSE(CONTROL!$C$38, 0.0354, 0)</f>
        <v>31.805</v>
      </c>
      <c r="J416" s="43">
        <f>249.3712</f>
        <v>249.37119999999999</v>
      </c>
    </row>
    <row r="417" spans="1:10" ht="15.75" x14ac:dyDescent="0.25">
      <c r="A417" s="32">
        <v>53631</v>
      </c>
      <c r="B417" s="14">
        <f>34.0491 * CHOOSE(CONTROL!$C$15, $E$9, 100%, $G$9) + CHOOSE(CONTROL!$C$38, 0.0251, 0)</f>
        <v>34.074200000000005</v>
      </c>
      <c r="C417" s="14">
        <f>32.1312 * CHOOSE(CONTROL!$C$15, $E$9, 100%, $G$9) + CHOOSE(CONTROL!$C$38, 0.0342, 0)</f>
        <v>32.165399999999998</v>
      </c>
      <c r="D417" s="14">
        <f>32.1234 * CHOOSE(CONTROL!$C$15, $E$9, 100%, $G$9) + CHOOSE(CONTROL!$C$38, 0.0342, 0)</f>
        <v>32.157599999999995</v>
      </c>
      <c r="E417" s="45">
        <f>33.8928 * CHOOSE(CONTROL!$C$15, $E$9, 100%, $G$9) + CHOOSE(CONTROL!$C$38, 0.0342, 0)</f>
        <v>33.927</v>
      </c>
      <c r="F417" s="44">
        <f>33.8928 * CHOOSE(CONTROL!$C$15, $E$9, 100%, $G$9) + CHOOSE(CONTROL!$C$38, 0.0251, 0)</f>
        <v>33.917900000000003</v>
      </c>
      <c r="G417" s="14">
        <f>32.1296 * CHOOSE(CONTROL!$C$15, $E$9, 100%, $G$9) + CHOOSE(CONTROL!$C$38, 0.0342, 0)</f>
        <v>32.163800000000002</v>
      </c>
      <c r="H417" s="14">
        <f>32.1296 * CHOOSE(CONTROL!$C$15, $E$9, 100%, $G$9) + CHOOSE(CONTROL!$C$38, 0.0342, 0)</f>
        <v>32.163800000000002</v>
      </c>
      <c r="I417" s="14">
        <f>32.1312 * CHOOSE(CONTROL!$C$15, $E$9, 100%, $G$9) + CHOOSE(CONTROL!$C$38, 0.0342, 0)</f>
        <v>32.165399999999998</v>
      </c>
      <c r="J417" s="43">
        <f>240.7477</f>
        <v>240.74770000000001</v>
      </c>
    </row>
    <row r="418" spans="1:10" ht="15.75" x14ac:dyDescent="0.25">
      <c r="A418" s="32">
        <v>53661</v>
      </c>
      <c r="B418" s="14">
        <f>34.3508 * CHOOSE(CONTROL!$C$15, $E$9, 100%, $G$9) + CHOOSE(CONTROL!$C$38, 0.0251, 0)</f>
        <v>34.375900000000001</v>
      </c>
      <c r="C418" s="14">
        <f>32.4329 * CHOOSE(CONTROL!$C$15, $E$9, 100%, $G$9) + CHOOSE(CONTROL!$C$38, 0.0342, 0)</f>
        <v>32.467099999999995</v>
      </c>
      <c r="D418" s="14">
        <f>32.4251 * CHOOSE(CONTROL!$C$15, $E$9, 100%, $G$9) + CHOOSE(CONTROL!$C$38, 0.0342, 0)</f>
        <v>32.459299999999999</v>
      </c>
      <c r="E418" s="45">
        <f>34.1945 * CHOOSE(CONTROL!$C$15, $E$9, 100%, $G$9) + CHOOSE(CONTROL!$C$38, 0.0342, 0)</f>
        <v>34.228699999999996</v>
      </c>
      <c r="F418" s="44">
        <f>34.1945 * CHOOSE(CONTROL!$C$15, $E$9, 100%, $G$9) + CHOOSE(CONTROL!$C$38, 0.0251, 0)</f>
        <v>34.2196</v>
      </c>
      <c r="G418" s="14">
        <f>32.4313 * CHOOSE(CONTROL!$C$15, $E$9, 100%, $G$9) + CHOOSE(CONTROL!$C$38, 0.0342, 0)</f>
        <v>32.465499999999999</v>
      </c>
      <c r="H418" s="14">
        <f>32.4313 * CHOOSE(CONTROL!$C$15, $E$9, 100%, $G$9) + CHOOSE(CONTROL!$C$38, 0.0342, 0)</f>
        <v>32.465499999999999</v>
      </c>
      <c r="I418" s="14">
        <f>32.4329 * CHOOSE(CONTROL!$C$15, $E$9, 100%, $G$9) + CHOOSE(CONTROL!$C$38, 0.0342, 0)</f>
        <v>32.467099999999995</v>
      </c>
      <c r="J418" s="43">
        <f>239.0323</f>
        <v>239.03229999999999</v>
      </c>
    </row>
    <row r="419" spans="1:10" ht="15.75" x14ac:dyDescent="0.25">
      <c r="A419" s="32">
        <v>53692</v>
      </c>
      <c r="B419" s="14">
        <f>35.2805 * CHOOSE(CONTROL!$C$15, $E$9, 100%, $G$9) + CHOOSE(CONTROL!$C$38, 0.0251, 0)</f>
        <v>35.305600000000005</v>
      </c>
      <c r="C419" s="14">
        <f>33.3625 * CHOOSE(CONTROL!$C$15, $E$9, 100%, $G$9) + CHOOSE(CONTROL!$C$38, 0.0342, 0)</f>
        <v>33.396699999999996</v>
      </c>
      <c r="D419" s="14">
        <f>33.3547 * CHOOSE(CONTROL!$C$15, $E$9, 100%, $G$9) + CHOOSE(CONTROL!$C$38, 0.0342, 0)</f>
        <v>33.3889</v>
      </c>
      <c r="E419" s="45">
        <f>35.1242 * CHOOSE(CONTROL!$C$15, $E$9, 100%, $G$9) + CHOOSE(CONTROL!$C$38, 0.0342, 0)</f>
        <v>35.1584</v>
      </c>
      <c r="F419" s="44">
        <f>35.1242 * CHOOSE(CONTROL!$C$15, $E$9, 100%, $G$9) + CHOOSE(CONTROL!$C$38, 0.0251, 0)</f>
        <v>35.149300000000004</v>
      </c>
      <c r="G419" s="14">
        <f>33.361 * CHOOSE(CONTROL!$C$15, $E$9, 100%, $G$9) + CHOOSE(CONTROL!$C$38, 0.0342, 0)</f>
        <v>33.395199999999996</v>
      </c>
      <c r="H419" s="14">
        <f>33.361 * CHOOSE(CONTROL!$C$15, $E$9, 100%, $G$9) + CHOOSE(CONTROL!$C$38, 0.0342, 0)</f>
        <v>33.395199999999996</v>
      </c>
      <c r="I419" s="14">
        <f>33.3625 * CHOOSE(CONTROL!$C$15, $E$9, 100%, $G$9) + CHOOSE(CONTROL!$C$38, 0.0342, 0)</f>
        <v>33.396699999999996</v>
      </c>
      <c r="J419" s="43">
        <f>231.939</f>
        <v>231.93899999999999</v>
      </c>
    </row>
    <row r="420" spans="1:10" ht="15.75" x14ac:dyDescent="0.25">
      <c r="A420" s="32">
        <v>53723</v>
      </c>
      <c r="B420" s="14">
        <f>36.5823 * CHOOSE(CONTROL!$C$15, $E$9, 100%, $G$9) + CHOOSE(CONTROL!$C$38, 0.0251, 0)</f>
        <v>36.607399999999998</v>
      </c>
      <c r="C420" s="14">
        <f>34.6348 * CHOOSE(CONTROL!$C$15, $E$9, 100%, $G$9) + CHOOSE(CONTROL!$C$38, 0.0342, 0)</f>
        <v>34.668999999999997</v>
      </c>
      <c r="D420" s="14">
        <f>34.6269 * CHOOSE(CONTROL!$C$15, $E$9, 100%, $G$9) + CHOOSE(CONTROL!$C$38, 0.0342, 0)</f>
        <v>34.661099999999998</v>
      </c>
      <c r="E420" s="45">
        <f>36.426 * CHOOSE(CONTROL!$C$15, $E$9, 100%, $G$9) + CHOOSE(CONTROL!$C$38, 0.0342, 0)</f>
        <v>36.4602</v>
      </c>
      <c r="F420" s="44">
        <f>36.426 * CHOOSE(CONTROL!$C$15, $E$9, 100%, $G$9) + CHOOSE(CONTROL!$C$38, 0.0251, 0)</f>
        <v>36.451100000000004</v>
      </c>
      <c r="G420" s="14">
        <f>34.6332 * CHOOSE(CONTROL!$C$15, $E$9, 100%, $G$9) + CHOOSE(CONTROL!$C$38, 0.0342, 0)</f>
        <v>34.667400000000001</v>
      </c>
      <c r="H420" s="14">
        <f>34.6332 * CHOOSE(CONTROL!$C$15, $E$9, 100%, $G$9) + CHOOSE(CONTROL!$C$38, 0.0342, 0)</f>
        <v>34.667400000000001</v>
      </c>
      <c r="I420" s="14">
        <f>34.6348 * CHOOSE(CONTROL!$C$15, $E$9, 100%, $G$9) + CHOOSE(CONTROL!$C$38, 0.0342, 0)</f>
        <v>34.668999999999997</v>
      </c>
      <c r="J420" s="43">
        <f>231.7715</f>
        <v>231.7715</v>
      </c>
    </row>
    <row r="421" spans="1:10" ht="15.75" x14ac:dyDescent="0.25">
      <c r="A421" s="32">
        <v>53751</v>
      </c>
      <c r="B421" s="14">
        <f>36.9266 * CHOOSE(CONTROL!$C$15, $E$9, 100%, $G$9) + CHOOSE(CONTROL!$C$38, 0.0251, 0)</f>
        <v>36.951700000000002</v>
      </c>
      <c r="C421" s="14">
        <f>34.9791 * CHOOSE(CONTROL!$C$15, $E$9, 100%, $G$9) + CHOOSE(CONTROL!$C$38, 0.0342, 0)</f>
        <v>35.013300000000001</v>
      </c>
      <c r="D421" s="14">
        <f>34.9713 * CHOOSE(CONTROL!$C$15, $E$9, 100%, $G$9) + CHOOSE(CONTROL!$C$38, 0.0342, 0)</f>
        <v>35.005499999999998</v>
      </c>
      <c r="E421" s="45">
        <f>36.7703 * CHOOSE(CONTROL!$C$15, $E$9, 100%, $G$9) + CHOOSE(CONTROL!$C$38, 0.0342, 0)</f>
        <v>36.804499999999997</v>
      </c>
      <c r="F421" s="44">
        <f>36.7703 * CHOOSE(CONTROL!$C$15, $E$9, 100%, $G$9) + CHOOSE(CONTROL!$C$38, 0.0251, 0)</f>
        <v>36.795400000000001</v>
      </c>
      <c r="G421" s="14">
        <f>34.9775 * CHOOSE(CONTROL!$C$15, $E$9, 100%, $G$9) + CHOOSE(CONTROL!$C$38, 0.0342, 0)</f>
        <v>35.011699999999998</v>
      </c>
      <c r="H421" s="14">
        <f>34.9775 * CHOOSE(CONTROL!$C$15, $E$9, 100%, $G$9) + CHOOSE(CONTROL!$C$38, 0.0342, 0)</f>
        <v>35.011699999999998</v>
      </c>
      <c r="I421" s="14">
        <f>34.9791 * CHOOSE(CONTROL!$C$15, $E$9, 100%, $G$9) + CHOOSE(CONTROL!$C$38, 0.0342, 0)</f>
        <v>35.013300000000001</v>
      </c>
      <c r="J421" s="43">
        <f>231.1273</f>
        <v>231.12729999999999</v>
      </c>
    </row>
    <row r="422" spans="1:10" ht="15.75" x14ac:dyDescent="0.25">
      <c r="A422" s="32">
        <v>53782</v>
      </c>
      <c r="B422" s="14">
        <f>36.1295 * CHOOSE(CONTROL!$C$15, $E$9, 100%, $G$9) + CHOOSE(CONTROL!$C$38, 0.0251, 0)</f>
        <v>36.154600000000002</v>
      </c>
      <c r="C422" s="14">
        <f>34.182 * CHOOSE(CONTROL!$C$15, $E$9, 100%, $G$9) + CHOOSE(CONTROL!$C$38, 0.0342, 0)</f>
        <v>34.216200000000001</v>
      </c>
      <c r="D422" s="14">
        <f>34.1742 * CHOOSE(CONTROL!$C$15, $E$9, 100%, $G$9) + CHOOSE(CONTROL!$C$38, 0.0342, 0)</f>
        <v>34.208399999999997</v>
      </c>
      <c r="E422" s="45">
        <f>35.9733 * CHOOSE(CONTROL!$C$15, $E$9, 100%, $G$9) + CHOOSE(CONTROL!$C$38, 0.0342, 0)</f>
        <v>36.0075</v>
      </c>
      <c r="F422" s="44">
        <f>35.9733 * CHOOSE(CONTROL!$C$15, $E$9, 100%, $G$9) + CHOOSE(CONTROL!$C$38, 0.0251, 0)</f>
        <v>35.998400000000004</v>
      </c>
      <c r="G422" s="14">
        <f>34.1805 * CHOOSE(CONTROL!$C$15, $E$9, 100%, $G$9) + CHOOSE(CONTROL!$C$38, 0.0342, 0)</f>
        <v>34.214700000000001</v>
      </c>
      <c r="H422" s="14">
        <f>34.1805 * CHOOSE(CONTROL!$C$15, $E$9, 100%, $G$9) + CHOOSE(CONTROL!$C$38, 0.0342, 0)</f>
        <v>34.214700000000001</v>
      </c>
      <c r="I422" s="14">
        <f>34.182 * CHOOSE(CONTROL!$C$15, $E$9, 100%, $G$9) + CHOOSE(CONTROL!$C$38, 0.0342, 0)</f>
        <v>34.216200000000001</v>
      </c>
      <c r="J422" s="43">
        <f>243.309</f>
        <v>243.309</v>
      </c>
    </row>
    <row r="423" spans="1:10" ht="15.75" x14ac:dyDescent="0.25">
      <c r="A423" s="32">
        <v>53812</v>
      </c>
      <c r="B423" s="14">
        <f>35.3572 * CHOOSE(CONTROL!$C$15, $E$9, 100%, $G$9) + CHOOSE(CONTROL!$C$38, 0.0251, 0)</f>
        <v>35.382300000000001</v>
      </c>
      <c r="C423" s="14">
        <f>33.4097 * CHOOSE(CONTROL!$C$15, $E$9, 100%, $G$9) + CHOOSE(CONTROL!$C$38, 0.0342, 0)</f>
        <v>33.443899999999999</v>
      </c>
      <c r="D423" s="14">
        <f>33.4019 * CHOOSE(CONTROL!$C$15, $E$9, 100%, $G$9) + CHOOSE(CONTROL!$C$38, 0.0342, 0)</f>
        <v>33.436099999999996</v>
      </c>
      <c r="E423" s="45">
        <f>35.201 * CHOOSE(CONTROL!$C$15, $E$9, 100%, $G$9) + CHOOSE(CONTROL!$C$38, 0.0342, 0)</f>
        <v>35.235199999999999</v>
      </c>
      <c r="F423" s="44">
        <f>35.201 * CHOOSE(CONTROL!$C$15, $E$9, 100%, $G$9) + CHOOSE(CONTROL!$C$38, 0.0251, 0)</f>
        <v>35.226100000000002</v>
      </c>
      <c r="G423" s="14">
        <f>33.4082 * CHOOSE(CONTROL!$C$15, $E$9, 100%, $G$9) + CHOOSE(CONTROL!$C$38, 0.0342, 0)</f>
        <v>33.442399999999999</v>
      </c>
      <c r="H423" s="14">
        <f>33.4082 * CHOOSE(CONTROL!$C$15, $E$9, 100%, $G$9) + CHOOSE(CONTROL!$C$38, 0.0342, 0)</f>
        <v>33.442399999999999</v>
      </c>
      <c r="I423" s="14">
        <f>33.4097 * CHOOSE(CONTROL!$C$15, $E$9, 100%, $G$9) + CHOOSE(CONTROL!$C$38, 0.0342, 0)</f>
        <v>33.443899999999999</v>
      </c>
      <c r="J423" s="43">
        <f>259.1058</f>
        <v>259.10579999999999</v>
      </c>
    </row>
    <row r="424" spans="1:10" ht="15.75" x14ac:dyDescent="0.25">
      <c r="A424" s="32">
        <v>53843</v>
      </c>
      <c r="B424" s="14">
        <f>34.5523 * CHOOSE(CONTROL!$C$15, $E$9, 100%, $G$9) + CHOOSE(CONTROL!$C$38, 0.0264, 0)</f>
        <v>34.578700000000005</v>
      </c>
      <c r="C424" s="14">
        <f>32.6048 * CHOOSE(CONTROL!$C$15, $E$9, 100%, $G$9) + CHOOSE(CONTROL!$C$38, 0.0354, 0)</f>
        <v>32.6402</v>
      </c>
      <c r="D424" s="14">
        <f>32.5969 * CHOOSE(CONTROL!$C$15, $E$9, 100%, $G$9) + CHOOSE(CONTROL!$C$38, 0.0354, 0)</f>
        <v>32.632300000000001</v>
      </c>
      <c r="E424" s="45">
        <f>34.396 * CHOOSE(CONTROL!$C$15, $E$9, 100%, $G$9) + CHOOSE(CONTROL!$C$38, 0.0354, 0)</f>
        <v>34.431400000000004</v>
      </c>
      <c r="F424" s="44">
        <f>34.396 * CHOOSE(CONTROL!$C$15, $E$9, 100%, $G$9) + CHOOSE(CONTROL!$C$38, 0.0264, 0)</f>
        <v>34.422400000000003</v>
      </c>
      <c r="G424" s="14">
        <f>32.6032 * CHOOSE(CONTROL!$C$15, $E$9, 100%, $G$9) + CHOOSE(CONTROL!$C$38, 0.0354, 0)</f>
        <v>32.638600000000004</v>
      </c>
      <c r="H424" s="14">
        <f>32.6032 * CHOOSE(CONTROL!$C$15, $E$9, 100%, $G$9) + CHOOSE(CONTROL!$C$38, 0.0354, 0)</f>
        <v>32.638600000000004</v>
      </c>
      <c r="I424" s="14">
        <f>32.6048 * CHOOSE(CONTROL!$C$15, $E$9, 100%, $G$9) + CHOOSE(CONTROL!$C$38, 0.0354, 0)</f>
        <v>32.6402</v>
      </c>
      <c r="J424" s="43">
        <f>267.8009</f>
        <v>267.80090000000001</v>
      </c>
    </row>
    <row r="425" spans="1:10" ht="15.75" x14ac:dyDescent="0.25">
      <c r="A425" s="32">
        <v>53873</v>
      </c>
      <c r="B425" s="14">
        <f>33.9879 * CHOOSE(CONTROL!$C$15, $E$9, 100%, $G$9) + CHOOSE(CONTROL!$C$38, 0.0264, 0)</f>
        <v>34.014300000000006</v>
      </c>
      <c r="C425" s="14">
        <f>32.0404 * CHOOSE(CONTROL!$C$15, $E$9, 100%, $G$9) + CHOOSE(CONTROL!$C$38, 0.0354, 0)</f>
        <v>32.075800000000001</v>
      </c>
      <c r="D425" s="14">
        <f>32.0326 * CHOOSE(CONTROL!$C$15, $E$9, 100%, $G$9) + CHOOSE(CONTROL!$C$38, 0.0354, 0)</f>
        <v>32.068000000000005</v>
      </c>
      <c r="E425" s="45">
        <f>33.8317 * CHOOSE(CONTROL!$C$15, $E$9, 100%, $G$9) + CHOOSE(CONTROL!$C$38, 0.0354, 0)</f>
        <v>33.867100000000001</v>
      </c>
      <c r="F425" s="44">
        <f>33.8317 * CHOOSE(CONTROL!$C$15, $E$9, 100%, $G$9) + CHOOSE(CONTROL!$C$38, 0.0264, 0)</f>
        <v>33.8581</v>
      </c>
      <c r="G425" s="14">
        <f>32.0389 * CHOOSE(CONTROL!$C$15, $E$9, 100%, $G$9) + CHOOSE(CONTROL!$C$38, 0.0354, 0)</f>
        <v>32.074300000000001</v>
      </c>
      <c r="H425" s="14">
        <f>32.0389 * CHOOSE(CONTROL!$C$15, $E$9, 100%, $G$9) + CHOOSE(CONTROL!$C$38, 0.0354, 0)</f>
        <v>32.074300000000001</v>
      </c>
      <c r="I425" s="14">
        <f>32.0404 * CHOOSE(CONTROL!$C$15, $E$9, 100%, $G$9) + CHOOSE(CONTROL!$C$38, 0.0354, 0)</f>
        <v>32.075800000000001</v>
      </c>
      <c r="J425" s="43">
        <f>271.6596</f>
        <v>271.65960000000001</v>
      </c>
    </row>
    <row r="426" spans="1:10" ht="15.75" x14ac:dyDescent="0.25">
      <c r="A426" s="32">
        <v>53904</v>
      </c>
      <c r="B426" s="14">
        <f>33.6659 * CHOOSE(CONTROL!$C$15, $E$9, 100%, $G$9) + CHOOSE(CONTROL!$C$38, 0.0264, 0)</f>
        <v>33.692300000000003</v>
      </c>
      <c r="C426" s="14">
        <f>31.7184 * CHOOSE(CONTROL!$C$15, $E$9, 100%, $G$9) + CHOOSE(CONTROL!$C$38, 0.0354, 0)</f>
        <v>31.753799999999998</v>
      </c>
      <c r="D426" s="14">
        <f>31.7106 * CHOOSE(CONTROL!$C$15, $E$9, 100%, $G$9) + CHOOSE(CONTROL!$C$38, 0.0354, 0)</f>
        <v>31.745999999999999</v>
      </c>
      <c r="E426" s="45">
        <f>33.5096 * CHOOSE(CONTROL!$C$15, $E$9, 100%, $G$9) + CHOOSE(CONTROL!$C$38, 0.0354, 0)</f>
        <v>33.545000000000002</v>
      </c>
      <c r="F426" s="44">
        <f>33.5096 * CHOOSE(CONTROL!$C$15, $E$9, 100%, $G$9) + CHOOSE(CONTROL!$C$38, 0.0264, 0)</f>
        <v>33.536000000000001</v>
      </c>
      <c r="G426" s="14">
        <f>31.7168 * CHOOSE(CONTROL!$C$15, $E$9, 100%, $G$9) + CHOOSE(CONTROL!$C$38, 0.0354, 0)</f>
        <v>31.752199999999998</v>
      </c>
      <c r="H426" s="14">
        <f>31.7168 * CHOOSE(CONTROL!$C$15, $E$9, 100%, $G$9) + CHOOSE(CONTROL!$C$38, 0.0354, 0)</f>
        <v>31.752199999999998</v>
      </c>
      <c r="I426" s="14">
        <f>31.7184 * CHOOSE(CONTROL!$C$15, $E$9, 100%, $G$9) + CHOOSE(CONTROL!$C$38, 0.0354, 0)</f>
        <v>31.753799999999998</v>
      </c>
      <c r="J426" s="43">
        <f>270.3892</f>
        <v>270.38920000000002</v>
      </c>
    </row>
    <row r="427" spans="1:10" ht="15.75" x14ac:dyDescent="0.25">
      <c r="A427" s="32">
        <v>53935</v>
      </c>
      <c r="B427" s="14">
        <f>33.8248 * CHOOSE(CONTROL!$C$15, $E$9, 100%, $G$9) + CHOOSE(CONTROL!$C$38, 0.0264, 0)</f>
        <v>33.851200000000006</v>
      </c>
      <c r="C427" s="14">
        <f>31.8773 * CHOOSE(CONTROL!$C$15, $E$9, 100%, $G$9) + CHOOSE(CONTROL!$C$38, 0.0354, 0)</f>
        <v>31.912700000000001</v>
      </c>
      <c r="D427" s="14">
        <f>31.8695 * CHOOSE(CONTROL!$C$15, $E$9, 100%, $G$9) + CHOOSE(CONTROL!$C$38, 0.0354, 0)</f>
        <v>31.904899999999998</v>
      </c>
      <c r="E427" s="45">
        <f>33.6686 * CHOOSE(CONTROL!$C$15, $E$9, 100%, $G$9) + CHOOSE(CONTROL!$C$38, 0.0354, 0)</f>
        <v>33.704000000000001</v>
      </c>
      <c r="F427" s="44">
        <f>33.6686 * CHOOSE(CONTROL!$C$15, $E$9, 100%, $G$9) + CHOOSE(CONTROL!$C$38, 0.0264, 0)</f>
        <v>33.695</v>
      </c>
      <c r="G427" s="14">
        <f>31.8757 * CHOOSE(CONTROL!$C$15, $E$9, 100%, $G$9) + CHOOSE(CONTROL!$C$38, 0.0354, 0)</f>
        <v>31.911099999999998</v>
      </c>
      <c r="H427" s="14">
        <f>31.8757 * CHOOSE(CONTROL!$C$15, $E$9, 100%, $G$9) + CHOOSE(CONTROL!$C$38, 0.0354, 0)</f>
        <v>31.911099999999998</v>
      </c>
      <c r="I427" s="14">
        <f>31.8773 * CHOOSE(CONTROL!$C$15, $E$9, 100%, $G$9) + CHOOSE(CONTROL!$C$38, 0.0354, 0)</f>
        <v>31.912700000000001</v>
      </c>
      <c r="J427" s="43">
        <f>264.0946</f>
        <v>264.09460000000001</v>
      </c>
    </row>
    <row r="428" spans="1:10" ht="15.75" x14ac:dyDescent="0.25">
      <c r="A428" s="32">
        <v>53965</v>
      </c>
      <c r="B428" s="14">
        <f>34.2565 * CHOOSE(CONTROL!$C$15, $E$9, 100%, $G$9) + CHOOSE(CONTROL!$C$38, 0.0264, 0)</f>
        <v>34.282900000000005</v>
      </c>
      <c r="C428" s="14">
        <f>32.309 * CHOOSE(CONTROL!$C$15, $E$9, 100%, $G$9) + CHOOSE(CONTROL!$C$38, 0.0354, 0)</f>
        <v>32.3444</v>
      </c>
      <c r="D428" s="14">
        <f>32.3012 * CHOOSE(CONTROL!$C$15, $E$9, 100%, $G$9) + CHOOSE(CONTROL!$C$38, 0.0354, 0)</f>
        <v>32.336600000000004</v>
      </c>
      <c r="E428" s="45">
        <f>34.1003 * CHOOSE(CONTROL!$C$15, $E$9, 100%, $G$9) + CHOOSE(CONTROL!$C$38, 0.0354, 0)</f>
        <v>34.1357</v>
      </c>
      <c r="F428" s="44">
        <f>34.1003 * CHOOSE(CONTROL!$C$15, $E$9, 100%, $G$9) + CHOOSE(CONTROL!$C$38, 0.0264, 0)</f>
        <v>34.1267</v>
      </c>
      <c r="G428" s="14">
        <f>32.3075 * CHOOSE(CONTROL!$C$15, $E$9, 100%, $G$9) + CHOOSE(CONTROL!$C$38, 0.0354, 0)</f>
        <v>32.3429</v>
      </c>
      <c r="H428" s="14">
        <f>32.3075 * CHOOSE(CONTROL!$C$15, $E$9, 100%, $G$9) + CHOOSE(CONTROL!$C$38, 0.0354, 0)</f>
        <v>32.3429</v>
      </c>
      <c r="I428" s="14">
        <f>32.309 * CHOOSE(CONTROL!$C$15, $E$9, 100%, $G$9) + CHOOSE(CONTROL!$C$38, 0.0354, 0)</f>
        <v>32.3444</v>
      </c>
      <c r="J428" s="43">
        <f>255.3166</f>
        <v>255.31659999999999</v>
      </c>
    </row>
    <row r="429" spans="1:10" ht="15.75" x14ac:dyDescent="0.25">
      <c r="A429" s="32">
        <v>53996</v>
      </c>
      <c r="B429" s="14">
        <f>34.6181 * CHOOSE(CONTROL!$C$15, $E$9, 100%, $G$9) + CHOOSE(CONTROL!$C$38, 0.0251, 0)</f>
        <v>34.6432</v>
      </c>
      <c r="C429" s="14">
        <f>32.6706 * CHOOSE(CONTROL!$C$15, $E$9, 100%, $G$9) + CHOOSE(CONTROL!$C$38, 0.0342, 0)</f>
        <v>32.704799999999999</v>
      </c>
      <c r="D429" s="14">
        <f>32.6628 * CHOOSE(CONTROL!$C$15, $E$9, 100%, $G$9) + CHOOSE(CONTROL!$C$38, 0.0342, 0)</f>
        <v>32.696999999999996</v>
      </c>
      <c r="E429" s="45">
        <f>34.4618 * CHOOSE(CONTROL!$C$15, $E$9, 100%, $G$9) + CHOOSE(CONTROL!$C$38, 0.0342, 0)</f>
        <v>34.495999999999995</v>
      </c>
      <c r="F429" s="44">
        <f>34.4618 * CHOOSE(CONTROL!$C$15, $E$9, 100%, $G$9) + CHOOSE(CONTROL!$C$38, 0.0251, 0)</f>
        <v>34.486899999999999</v>
      </c>
      <c r="G429" s="14">
        <f>32.669 * CHOOSE(CONTROL!$C$15, $E$9, 100%, $G$9) + CHOOSE(CONTROL!$C$38, 0.0342, 0)</f>
        <v>32.703199999999995</v>
      </c>
      <c r="H429" s="14">
        <f>32.669 * CHOOSE(CONTROL!$C$15, $E$9, 100%, $G$9) + CHOOSE(CONTROL!$C$38, 0.0342, 0)</f>
        <v>32.703199999999995</v>
      </c>
      <c r="I429" s="14">
        <f>32.6706 * CHOOSE(CONTROL!$C$15, $E$9, 100%, $G$9) + CHOOSE(CONTROL!$C$38, 0.0342, 0)</f>
        <v>32.704799999999999</v>
      </c>
      <c r="J429" s="43">
        <f>246.4874</f>
        <v>246.48740000000001</v>
      </c>
    </row>
    <row r="430" spans="1:10" ht="15.75" x14ac:dyDescent="0.25">
      <c r="A430" s="32">
        <v>54026</v>
      </c>
      <c r="B430" s="14">
        <f>34.9198 * CHOOSE(CONTROL!$C$15, $E$9, 100%, $G$9) + CHOOSE(CONTROL!$C$38, 0.0251, 0)</f>
        <v>34.944900000000004</v>
      </c>
      <c r="C430" s="14">
        <f>32.9723 * CHOOSE(CONTROL!$C$15, $E$9, 100%, $G$9) + CHOOSE(CONTROL!$C$38, 0.0342, 0)</f>
        <v>33.006499999999996</v>
      </c>
      <c r="D430" s="14">
        <f>32.9645 * CHOOSE(CONTROL!$C$15, $E$9, 100%, $G$9) + CHOOSE(CONTROL!$C$38, 0.0342, 0)</f>
        <v>32.998699999999999</v>
      </c>
      <c r="E430" s="45">
        <f>34.7635 * CHOOSE(CONTROL!$C$15, $E$9, 100%, $G$9) + CHOOSE(CONTROL!$C$38, 0.0342, 0)</f>
        <v>34.797699999999999</v>
      </c>
      <c r="F430" s="44">
        <f>34.7635 * CHOOSE(CONTROL!$C$15, $E$9, 100%, $G$9) + CHOOSE(CONTROL!$C$38, 0.0251, 0)</f>
        <v>34.788600000000002</v>
      </c>
      <c r="G430" s="14">
        <f>32.9707 * CHOOSE(CONTROL!$C$15, $E$9, 100%, $G$9) + CHOOSE(CONTROL!$C$38, 0.0342, 0)</f>
        <v>33.004899999999999</v>
      </c>
      <c r="H430" s="14">
        <f>32.9707 * CHOOSE(CONTROL!$C$15, $E$9, 100%, $G$9) + CHOOSE(CONTROL!$C$38, 0.0342, 0)</f>
        <v>33.004899999999999</v>
      </c>
      <c r="I430" s="14">
        <f>32.9723 * CHOOSE(CONTROL!$C$15, $E$9, 100%, $G$9) + CHOOSE(CONTROL!$C$38, 0.0342, 0)</f>
        <v>33.006499999999996</v>
      </c>
      <c r="J430" s="43">
        <f>244.7312</f>
        <v>244.7312</v>
      </c>
    </row>
    <row r="431" spans="1:10" ht="15.75" x14ac:dyDescent="0.25">
      <c r="A431" s="32">
        <v>54057</v>
      </c>
      <c r="B431" s="14">
        <f>35.8495 * CHOOSE(CONTROL!$C$15, $E$9, 100%, $G$9) + CHOOSE(CONTROL!$C$38, 0.0251, 0)</f>
        <v>35.874600000000001</v>
      </c>
      <c r="C431" s="14">
        <f>33.902 * CHOOSE(CONTROL!$C$15, $E$9, 100%, $G$9) + CHOOSE(CONTROL!$C$38, 0.0342, 0)</f>
        <v>33.936199999999999</v>
      </c>
      <c r="D431" s="14">
        <f>33.8941 * CHOOSE(CONTROL!$C$15, $E$9, 100%, $G$9) + CHOOSE(CONTROL!$C$38, 0.0342, 0)</f>
        <v>33.9283</v>
      </c>
      <c r="E431" s="45">
        <f>35.6932 * CHOOSE(CONTROL!$C$15, $E$9, 100%, $G$9) + CHOOSE(CONTROL!$C$38, 0.0342, 0)</f>
        <v>35.727399999999996</v>
      </c>
      <c r="F431" s="44">
        <f>35.6932 * CHOOSE(CONTROL!$C$15, $E$9, 100%, $G$9) + CHOOSE(CONTROL!$C$38, 0.0251, 0)</f>
        <v>35.718299999999999</v>
      </c>
      <c r="G431" s="14">
        <f>33.9004 * CHOOSE(CONTROL!$C$15, $E$9, 100%, $G$9) + CHOOSE(CONTROL!$C$38, 0.0342, 0)</f>
        <v>33.934599999999996</v>
      </c>
      <c r="H431" s="14">
        <f>33.9004 * CHOOSE(CONTROL!$C$15, $E$9, 100%, $G$9) + CHOOSE(CONTROL!$C$38, 0.0342, 0)</f>
        <v>33.934599999999996</v>
      </c>
      <c r="I431" s="14">
        <f>33.902 * CHOOSE(CONTROL!$C$15, $E$9, 100%, $G$9) + CHOOSE(CONTROL!$C$38, 0.0342, 0)</f>
        <v>33.936199999999999</v>
      </c>
      <c r="J431" s="43">
        <f>237.4687</f>
        <v>237.46870000000001</v>
      </c>
    </row>
    <row r="432" spans="1:10" ht="15.75" x14ac:dyDescent="0.25">
      <c r="A432" s="32">
        <v>54088</v>
      </c>
      <c r="B432" s="14">
        <f>37.1608 * CHOOSE(CONTROL!$C$15, $E$9, 100%, $G$9) + CHOOSE(CONTROL!$C$38, 0.0251, 0)</f>
        <v>37.185900000000004</v>
      </c>
      <c r="C432" s="14">
        <f>35.1832 * CHOOSE(CONTROL!$C$15, $E$9, 100%, $G$9) + CHOOSE(CONTROL!$C$38, 0.0342, 0)</f>
        <v>35.217399999999998</v>
      </c>
      <c r="D432" s="14">
        <f>35.1754 * CHOOSE(CONTROL!$C$15, $E$9, 100%, $G$9) + CHOOSE(CONTROL!$C$38, 0.0342, 0)</f>
        <v>35.209600000000002</v>
      </c>
      <c r="E432" s="45">
        <f>37.0046 * CHOOSE(CONTROL!$C$15, $E$9, 100%, $G$9) + CHOOSE(CONTROL!$C$38, 0.0342, 0)</f>
        <v>37.038800000000002</v>
      </c>
      <c r="F432" s="44">
        <f>37.0046 * CHOOSE(CONTROL!$C$15, $E$9, 100%, $G$9) + CHOOSE(CONTROL!$C$38, 0.0251, 0)</f>
        <v>37.029700000000005</v>
      </c>
      <c r="G432" s="14">
        <f>35.1817 * CHOOSE(CONTROL!$C$15, $E$9, 100%, $G$9) + CHOOSE(CONTROL!$C$38, 0.0342, 0)</f>
        <v>35.215899999999998</v>
      </c>
      <c r="H432" s="14">
        <f>35.1817 * CHOOSE(CONTROL!$C$15, $E$9, 100%, $G$9) + CHOOSE(CONTROL!$C$38, 0.0342, 0)</f>
        <v>35.215899999999998</v>
      </c>
      <c r="I432" s="14">
        <f>35.1832 * CHOOSE(CONTROL!$C$15, $E$9, 100%, $G$9) + CHOOSE(CONTROL!$C$38, 0.0342, 0)</f>
        <v>35.217399999999998</v>
      </c>
      <c r="J432" s="43">
        <f>237.2973</f>
        <v>237.29730000000001</v>
      </c>
    </row>
    <row r="433" spans="1:10" ht="15.75" x14ac:dyDescent="0.25">
      <c r="A433" s="32">
        <v>54116</v>
      </c>
      <c r="B433" s="14">
        <f>37.5051 * CHOOSE(CONTROL!$C$15, $E$9, 100%, $G$9) + CHOOSE(CONTROL!$C$38, 0.0251, 0)</f>
        <v>37.530200000000001</v>
      </c>
      <c r="C433" s="14">
        <f>35.5275 * CHOOSE(CONTROL!$C$15, $E$9, 100%, $G$9) + CHOOSE(CONTROL!$C$38, 0.0342, 0)</f>
        <v>35.561700000000002</v>
      </c>
      <c r="D433" s="14">
        <f>35.5197 * CHOOSE(CONTROL!$C$15, $E$9, 100%, $G$9) + CHOOSE(CONTROL!$C$38, 0.0342, 0)</f>
        <v>35.553899999999999</v>
      </c>
      <c r="E433" s="45">
        <f>37.3489 * CHOOSE(CONTROL!$C$15, $E$9, 100%, $G$9) + CHOOSE(CONTROL!$C$38, 0.0342, 0)</f>
        <v>37.383099999999999</v>
      </c>
      <c r="F433" s="44">
        <f>37.3489 * CHOOSE(CONTROL!$C$15, $E$9, 100%, $G$9) + CHOOSE(CONTROL!$C$38, 0.0251, 0)</f>
        <v>37.374000000000002</v>
      </c>
      <c r="G433" s="14">
        <f>35.526 * CHOOSE(CONTROL!$C$15, $E$9, 100%, $G$9) + CHOOSE(CONTROL!$C$38, 0.0342, 0)</f>
        <v>35.560200000000002</v>
      </c>
      <c r="H433" s="14">
        <f>35.526 * CHOOSE(CONTROL!$C$15, $E$9, 100%, $G$9) + CHOOSE(CONTROL!$C$38, 0.0342, 0)</f>
        <v>35.560200000000002</v>
      </c>
      <c r="I433" s="14">
        <f>35.5275 * CHOOSE(CONTROL!$C$15, $E$9, 100%, $G$9) + CHOOSE(CONTROL!$C$38, 0.0342, 0)</f>
        <v>35.561700000000002</v>
      </c>
      <c r="J433" s="43">
        <f>236.6377</f>
        <v>236.6377</v>
      </c>
    </row>
    <row r="434" spans="1:10" ht="15.75" x14ac:dyDescent="0.25">
      <c r="A434" s="32">
        <v>54148</v>
      </c>
      <c r="B434" s="14">
        <f>36.7081 * CHOOSE(CONTROL!$C$15, $E$9, 100%, $G$9) + CHOOSE(CONTROL!$C$38, 0.0251, 0)</f>
        <v>36.733200000000004</v>
      </c>
      <c r="C434" s="14">
        <f>34.7305 * CHOOSE(CONTROL!$C$15, $E$9, 100%, $G$9) + CHOOSE(CONTROL!$C$38, 0.0342, 0)</f>
        <v>34.764699999999998</v>
      </c>
      <c r="D434" s="14">
        <f>34.7227 * CHOOSE(CONTROL!$C$15, $E$9, 100%, $G$9) + CHOOSE(CONTROL!$C$38, 0.0342, 0)</f>
        <v>34.756900000000002</v>
      </c>
      <c r="E434" s="45">
        <f>36.5519 * CHOOSE(CONTROL!$C$15, $E$9, 100%, $G$9) + CHOOSE(CONTROL!$C$38, 0.0342, 0)</f>
        <v>36.586100000000002</v>
      </c>
      <c r="F434" s="44">
        <f>36.5519 * CHOOSE(CONTROL!$C$15, $E$9, 100%, $G$9) + CHOOSE(CONTROL!$C$38, 0.0251, 0)</f>
        <v>36.577000000000005</v>
      </c>
      <c r="G434" s="14">
        <f>34.7289 * CHOOSE(CONTROL!$C$15, $E$9, 100%, $G$9) + CHOOSE(CONTROL!$C$38, 0.0342, 0)</f>
        <v>34.763100000000001</v>
      </c>
      <c r="H434" s="14">
        <f>34.7289 * CHOOSE(CONTROL!$C$15, $E$9, 100%, $G$9) + CHOOSE(CONTROL!$C$38, 0.0342, 0)</f>
        <v>34.763100000000001</v>
      </c>
      <c r="I434" s="14">
        <f>34.7305 * CHOOSE(CONTROL!$C$15, $E$9, 100%, $G$9) + CHOOSE(CONTROL!$C$38, 0.0342, 0)</f>
        <v>34.764699999999998</v>
      </c>
      <c r="J434" s="43">
        <f>249.1099</f>
        <v>249.10990000000001</v>
      </c>
    </row>
    <row r="435" spans="1:10" ht="15.75" x14ac:dyDescent="0.25">
      <c r="A435" s="32">
        <v>54178</v>
      </c>
      <c r="B435" s="14">
        <f>35.9358 * CHOOSE(CONTROL!$C$15, $E$9, 100%, $G$9) + CHOOSE(CONTROL!$C$38, 0.0251, 0)</f>
        <v>35.960900000000002</v>
      </c>
      <c r="C435" s="14">
        <f>33.9582 * CHOOSE(CONTROL!$C$15, $E$9, 100%, $G$9) + CHOOSE(CONTROL!$C$38, 0.0342, 0)</f>
        <v>33.992399999999996</v>
      </c>
      <c r="D435" s="14">
        <f>33.9504 * CHOOSE(CONTROL!$C$15, $E$9, 100%, $G$9) + CHOOSE(CONTROL!$C$38, 0.0342, 0)</f>
        <v>33.9846</v>
      </c>
      <c r="E435" s="45">
        <f>35.7795 * CHOOSE(CONTROL!$C$15, $E$9, 100%, $G$9) + CHOOSE(CONTROL!$C$38, 0.0342, 0)</f>
        <v>35.813699999999997</v>
      </c>
      <c r="F435" s="44">
        <f>35.7795 * CHOOSE(CONTROL!$C$15, $E$9, 100%, $G$9) + CHOOSE(CONTROL!$C$38, 0.0251, 0)</f>
        <v>35.804600000000001</v>
      </c>
      <c r="G435" s="14">
        <f>33.9566 * CHOOSE(CONTROL!$C$15, $E$9, 100%, $G$9) + CHOOSE(CONTROL!$C$38, 0.0342, 0)</f>
        <v>33.9908</v>
      </c>
      <c r="H435" s="14">
        <f>33.9566 * CHOOSE(CONTROL!$C$15, $E$9, 100%, $G$9) + CHOOSE(CONTROL!$C$38, 0.0342, 0)</f>
        <v>33.9908</v>
      </c>
      <c r="I435" s="14">
        <f>33.9582 * CHOOSE(CONTROL!$C$15, $E$9, 100%, $G$9) + CHOOSE(CONTROL!$C$38, 0.0342, 0)</f>
        <v>33.992399999999996</v>
      </c>
      <c r="J435" s="43">
        <f>265.2833</f>
        <v>265.2833</v>
      </c>
    </row>
    <row r="436" spans="1:10" ht="15.75" x14ac:dyDescent="0.25">
      <c r="A436" s="32">
        <v>54209</v>
      </c>
      <c r="B436" s="14">
        <f>35.1308 * CHOOSE(CONTROL!$C$15, $E$9, 100%, $G$9) + CHOOSE(CONTROL!$C$38, 0.0264, 0)</f>
        <v>35.157200000000003</v>
      </c>
      <c r="C436" s="14">
        <f>33.1532 * CHOOSE(CONTROL!$C$15, $E$9, 100%, $G$9) + CHOOSE(CONTROL!$C$38, 0.0354, 0)</f>
        <v>33.188600000000001</v>
      </c>
      <c r="D436" s="14">
        <f>33.1454 * CHOOSE(CONTROL!$C$15, $E$9, 100%, $G$9) + CHOOSE(CONTROL!$C$38, 0.0354, 0)</f>
        <v>33.180800000000005</v>
      </c>
      <c r="E436" s="45">
        <f>34.9746 * CHOOSE(CONTROL!$C$15, $E$9, 100%, $G$9) + CHOOSE(CONTROL!$C$38, 0.0354, 0)</f>
        <v>35.010000000000005</v>
      </c>
      <c r="F436" s="44">
        <f>34.9746 * CHOOSE(CONTROL!$C$15, $E$9, 100%, $G$9) + CHOOSE(CONTROL!$C$38, 0.0264, 0)</f>
        <v>35.001000000000005</v>
      </c>
      <c r="G436" s="14">
        <f>33.1517 * CHOOSE(CONTROL!$C$15, $E$9, 100%, $G$9) + CHOOSE(CONTROL!$C$38, 0.0354, 0)</f>
        <v>33.187100000000001</v>
      </c>
      <c r="H436" s="14">
        <f>33.1517 * CHOOSE(CONTROL!$C$15, $E$9, 100%, $G$9) + CHOOSE(CONTROL!$C$38, 0.0354, 0)</f>
        <v>33.187100000000001</v>
      </c>
      <c r="I436" s="14">
        <f>33.1532 * CHOOSE(CONTROL!$C$15, $E$9, 100%, $G$9) + CHOOSE(CONTROL!$C$38, 0.0354, 0)</f>
        <v>33.188600000000001</v>
      </c>
      <c r="J436" s="43">
        <f>274.1857</f>
        <v>274.1857</v>
      </c>
    </row>
    <row r="437" spans="1:10" ht="15.75" x14ac:dyDescent="0.25">
      <c r="A437" s="32">
        <v>54239</v>
      </c>
      <c r="B437" s="14">
        <f>34.5665 * CHOOSE(CONTROL!$C$15, $E$9, 100%, $G$9) + CHOOSE(CONTROL!$C$38, 0.0264, 0)</f>
        <v>34.5929</v>
      </c>
      <c r="C437" s="14">
        <f>32.5889 * CHOOSE(CONTROL!$C$15, $E$9, 100%, $G$9) + CHOOSE(CONTROL!$C$38, 0.0354, 0)</f>
        <v>32.624300000000005</v>
      </c>
      <c r="D437" s="14">
        <f>32.5811 * CHOOSE(CONTROL!$C$15, $E$9, 100%, $G$9) + CHOOSE(CONTROL!$C$38, 0.0354, 0)</f>
        <v>32.616500000000002</v>
      </c>
      <c r="E437" s="45">
        <f>34.4102 * CHOOSE(CONTROL!$C$15, $E$9, 100%, $G$9) + CHOOSE(CONTROL!$C$38, 0.0354, 0)</f>
        <v>34.445600000000006</v>
      </c>
      <c r="F437" s="44">
        <f>34.4102 * CHOOSE(CONTROL!$C$15, $E$9, 100%, $G$9) + CHOOSE(CONTROL!$C$38, 0.0264, 0)</f>
        <v>34.436600000000006</v>
      </c>
      <c r="G437" s="14">
        <f>32.5873 * CHOOSE(CONTROL!$C$15, $E$9, 100%, $G$9) + CHOOSE(CONTROL!$C$38, 0.0354, 0)</f>
        <v>32.622700000000002</v>
      </c>
      <c r="H437" s="14">
        <f>32.5873 * CHOOSE(CONTROL!$C$15, $E$9, 100%, $G$9) + CHOOSE(CONTROL!$C$38, 0.0354, 0)</f>
        <v>32.622700000000002</v>
      </c>
      <c r="I437" s="14">
        <f>32.5889 * CHOOSE(CONTROL!$C$15, $E$9, 100%, $G$9) + CHOOSE(CONTROL!$C$38, 0.0354, 0)</f>
        <v>32.624300000000005</v>
      </c>
      <c r="J437" s="43">
        <f>278.1364</f>
        <v>278.13639999999998</v>
      </c>
    </row>
    <row r="438" spans="1:10" ht="15.75" x14ac:dyDescent="0.25">
      <c r="A438" s="32">
        <v>54270</v>
      </c>
      <c r="B438" s="14">
        <f>34.2444 * CHOOSE(CONTROL!$C$15, $E$9, 100%, $G$9) + CHOOSE(CONTROL!$C$38, 0.0264, 0)</f>
        <v>34.270800000000001</v>
      </c>
      <c r="C438" s="14">
        <f>32.2668 * CHOOSE(CONTROL!$C$15, $E$9, 100%, $G$9) + CHOOSE(CONTROL!$C$38, 0.0354, 0)</f>
        <v>32.302200000000006</v>
      </c>
      <c r="D438" s="14">
        <f>32.259 * CHOOSE(CONTROL!$C$15, $E$9, 100%, $G$9) + CHOOSE(CONTROL!$C$38, 0.0354, 0)</f>
        <v>32.294400000000003</v>
      </c>
      <c r="E438" s="45">
        <f>34.0882 * CHOOSE(CONTROL!$C$15, $E$9, 100%, $G$9) + CHOOSE(CONTROL!$C$38, 0.0354, 0)</f>
        <v>34.123600000000003</v>
      </c>
      <c r="F438" s="44">
        <f>34.0882 * CHOOSE(CONTROL!$C$15, $E$9, 100%, $G$9) + CHOOSE(CONTROL!$C$38, 0.0264, 0)</f>
        <v>34.114600000000003</v>
      </c>
      <c r="G438" s="14">
        <f>32.2653 * CHOOSE(CONTROL!$C$15, $E$9, 100%, $G$9) + CHOOSE(CONTROL!$C$38, 0.0354, 0)</f>
        <v>32.300700000000006</v>
      </c>
      <c r="H438" s="14">
        <f>32.2653 * CHOOSE(CONTROL!$C$15, $E$9, 100%, $G$9) + CHOOSE(CONTROL!$C$38, 0.0354, 0)</f>
        <v>32.300700000000006</v>
      </c>
      <c r="I438" s="14">
        <f>32.2668 * CHOOSE(CONTROL!$C$15, $E$9, 100%, $G$9) + CHOOSE(CONTROL!$C$38, 0.0354, 0)</f>
        <v>32.302200000000006</v>
      </c>
      <c r="J438" s="43">
        <f>276.8356</f>
        <v>276.8356</v>
      </c>
    </row>
    <row r="439" spans="1:10" ht="15.75" x14ac:dyDescent="0.25">
      <c r="A439" s="32">
        <v>54301</v>
      </c>
      <c r="B439" s="14">
        <f>34.4034 * CHOOSE(CONTROL!$C$15, $E$9, 100%, $G$9) + CHOOSE(CONTROL!$C$38, 0.0264, 0)</f>
        <v>34.4298</v>
      </c>
      <c r="C439" s="14">
        <f>32.4258 * CHOOSE(CONTROL!$C$15, $E$9, 100%, $G$9) + CHOOSE(CONTROL!$C$38, 0.0354, 0)</f>
        <v>32.461200000000005</v>
      </c>
      <c r="D439" s="14">
        <f>32.418 * CHOOSE(CONTROL!$C$15, $E$9, 100%, $G$9) + CHOOSE(CONTROL!$C$38, 0.0354, 0)</f>
        <v>32.453400000000002</v>
      </c>
      <c r="E439" s="45">
        <f>34.2471 * CHOOSE(CONTROL!$C$15, $E$9, 100%, $G$9) + CHOOSE(CONTROL!$C$38, 0.0354, 0)</f>
        <v>34.282500000000006</v>
      </c>
      <c r="F439" s="44">
        <f>34.2471 * CHOOSE(CONTROL!$C$15, $E$9, 100%, $G$9) + CHOOSE(CONTROL!$C$38, 0.0264, 0)</f>
        <v>34.273500000000006</v>
      </c>
      <c r="G439" s="14">
        <f>32.4242 * CHOOSE(CONTROL!$C$15, $E$9, 100%, $G$9) + CHOOSE(CONTROL!$C$38, 0.0354, 0)</f>
        <v>32.459600000000002</v>
      </c>
      <c r="H439" s="14">
        <f>32.4242 * CHOOSE(CONTROL!$C$15, $E$9, 100%, $G$9) + CHOOSE(CONTROL!$C$38, 0.0354, 0)</f>
        <v>32.459600000000002</v>
      </c>
      <c r="I439" s="14">
        <f>32.4258 * CHOOSE(CONTROL!$C$15, $E$9, 100%, $G$9) + CHOOSE(CONTROL!$C$38, 0.0354, 0)</f>
        <v>32.461200000000005</v>
      </c>
      <c r="J439" s="43">
        <f>270.391</f>
        <v>270.39100000000002</v>
      </c>
    </row>
    <row r="440" spans="1:10" ht="15.75" x14ac:dyDescent="0.25">
      <c r="A440" s="32">
        <v>54331</v>
      </c>
      <c r="B440" s="14">
        <f>34.8351 * CHOOSE(CONTROL!$C$15, $E$9, 100%, $G$9) + CHOOSE(CONTROL!$C$38, 0.0264, 0)</f>
        <v>34.861499999999999</v>
      </c>
      <c r="C440" s="14">
        <f>32.8575 * CHOOSE(CONTROL!$C$15, $E$9, 100%, $G$9) + CHOOSE(CONTROL!$C$38, 0.0354, 0)</f>
        <v>32.892900000000004</v>
      </c>
      <c r="D440" s="14">
        <f>32.8497 * CHOOSE(CONTROL!$C$15, $E$9, 100%, $G$9) + CHOOSE(CONTROL!$C$38, 0.0354, 0)</f>
        <v>32.885100000000001</v>
      </c>
      <c r="E440" s="45">
        <f>34.6788 * CHOOSE(CONTROL!$C$15, $E$9, 100%, $G$9) + CHOOSE(CONTROL!$C$38, 0.0354, 0)</f>
        <v>34.714200000000005</v>
      </c>
      <c r="F440" s="44">
        <f>34.6788 * CHOOSE(CONTROL!$C$15, $E$9, 100%, $G$9) + CHOOSE(CONTROL!$C$38, 0.0264, 0)</f>
        <v>34.705200000000005</v>
      </c>
      <c r="G440" s="14">
        <f>32.8559 * CHOOSE(CONTROL!$C$15, $E$9, 100%, $G$9) + CHOOSE(CONTROL!$C$38, 0.0354, 0)</f>
        <v>32.891300000000001</v>
      </c>
      <c r="H440" s="14">
        <f>32.8559 * CHOOSE(CONTROL!$C$15, $E$9, 100%, $G$9) + CHOOSE(CONTROL!$C$38, 0.0354, 0)</f>
        <v>32.891300000000001</v>
      </c>
      <c r="I440" s="14">
        <f>32.8575 * CHOOSE(CONTROL!$C$15, $E$9, 100%, $G$9) + CHOOSE(CONTROL!$C$38, 0.0354, 0)</f>
        <v>32.892900000000004</v>
      </c>
      <c r="J440" s="43">
        <f>261.4037</f>
        <v>261.40370000000001</v>
      </c>
    </row>
    <row r="441" spans="1:10" ht="15.75" x14ac:dyDescent="0.25">
      <c r="A441" s="32">
        <v>54362</v>
      </c>
      <c r="B441" s="14">
        <f>35.1967 * CHOOSE(CONTROL!$C$15, $E$9, 100%, $G$9) + CHOOSE(CONTROL!$C$38, 0.0251, 0)</f>
        <v>35.221800000000002</v>
      </c>
      <c r="C441" s="14">
        <f>33.2191 * CHOOSE(CONTROL!$C$15, $E$9, 100%, $G$9) + CHOOSE(CONTROL!$C$38, 0.0342, 0)</f>
        <v>33.253299999999996</v>
      </c>
      <c r="D441" s="14">
        <f>33.2112 * CHOOSE(CONTROL!$C$15, $E$9, 100%, $G$9) + CHOOSE(CONTROL!$C$38, 0.0342, 0)</f>
        <v>33.245399999999997</v>
      </c>
      <c r="E441" s="45">
        <f>35.0404 * CHOOSE(CONTROL!$C$15, $E$9, 100%, $G$9) + CHOOSE(CONTROL!$C$38, 0.0342, 0)</f>
        <v>35.074599999999997</v>
      </c>
      <c r="F441" s="44">
        <f>35.0404 * CHOOSE(CONTROL!$C$15, $E$9, 100%, $G$9) + CHOOSE(CONTROL!$C$38, 0.0251, 0)</f>
        <v>35.0655</v>
      </c>
      <c r="G441" s="14">
        <f>33.2175 * CHOOSE(CONTROL!$C$15, $E$9, 100%, $G$9) + CHOOSE(CONTROL!$C$38, 0.0342, 0)</f>
        <v>33.2517</v>
      </c>
      <c r="H441" s="14">
        <f>33.2175 * CHOOSE(CONTROL!$C$15, $E$9, 100%, $G$9) + CHOOSE(CONTROL!$C$38, 0.0342, 0)</f>
        <v>33.2517</v>
      </c>
      <c r="I441" s="14">
        <f>33.2191 * CHOOSE(CONTROL!$C$15, $E$9, 100%, $G$9) + CHOOSE(CONTROL!$C$38, 0.0342, 0)</f>
        <v>33.253299999999996</v>
      </c>
      <c r="J441" s="43">
        <f>252.3641</f>
        <v>252.36410000000001</v>
      </c>
    </row>
    <row r="442" spans="1:10" ht="15.75" x14ac:dyDescent="0.25">
      <c r="A442" s="32">
        <v>54392</v>
      </c>
      <c r="B442" s="14">
        <f>35.4984 * CHOOSE(CONTROL!$C$15, $E$9, 100%, $G$9) + CHOOSE(CONTROL!$C$38, 0.0251, 0)</f>
        <v>35.523499999999999</v>
      </c>
      <c r="C442" s="14">
        <f>33.5208 * CHOOSE(CONTROL!$C$15, $E$9, 100%, $G$9) + CHOOSE(CONTROL!$C$38, 0.0342, 0)</f>
        <v>33.555</v>
      </c>
      <c r="D442" s="14">
        <f>33.5129 * CHOOSE(CONTROL!$C$15, $E$9, 100%, $G$9) + CHOOSE(CONTROL!$C$38, 0.0342, 0)</f>
        <v>33.5471</v>
      </c>
      <c r="E442" s="45">
        <f>35.3421 * CHOOSE(CONTROL!$C$15, $E$9, 100%, $G$9) + CHOOSE(CONTROL!$C$38, 0.0342, 0)</f>
        <v>35.376300000000001</v>
      </c>
      <c r="F442" s="44">
        <f>35.3421 * CHOOSE(CONTROL!$C$15, $E$9, 100%, $G$9) + CHOOSE(CONTROL!$C$38, 0.0251, 0)</f>
        <v>35.367200000000004</v>
      </c>
      <c r="G442" s="14">
        <f>33.5192 * CHOOSE(CONTROL!$C$15, $E$9, 100%, $G$9) + CHOOSE(CONTROL!$C$38, 0.0342, 0)</f>
        <v>33.553399999999996</v>
      </c>
      <c r="H442" s="14">
        <f>33.5192 * CHOOSE(CONTROL!$C$15, $E$9, 100%, $G$9) + CHOOSE(CONTROL!$C$38, 0.0342, 0)</f>
        <v>33.553399999999996</v>
      </c>
      <c r="I442" s="14">
        <f>33.5208 * CHOOSE(CONTROL!$C$15, $E$9, 100%, $G$9) + CHOOSE(CONTROL!$C$38, 0.0342, 0)</f>
        <v>33.555</v>
      </c>
      <c r="J442" s="43">
        <f>250.5659</f>
        <v>250.5659</v>
      </c>
    </row>
    <row r="443" spans="1:10" ht="15.75" x14ac:dyDescent="0.25">
      <c r="A443" s="32">
        <v>54423</v>
      </c>
      <c r="B443" s="14">
        <f>36.428 * CHOOSE(CONTROL!$C$15, $E$9, 100%, $G$9) + CHOOSE(CONTROL!$C$38, 0.0251, 0)</f>
        <v>36.453099999999999</v>
      </c>
      <c r="C443" s="14">
        <f>34.4504 * CHOOSE(CONTROL!$C$15, $E$9, 100%, $G$9) + CHOOSE(CONTROL!$C$38, 0.0342, 0)</f>
        <v>34.4846</v>
      </c>
      <c r="D443" s="14">
        <f>34.4426 * CHOOSE(CONTROL!$C$15, $E$9, 100%, $G$9) + CHOOSE(CONTROL!$C$38, 0.0342, 0)</f>
        <v>34.476799999999997</v>
      </c>
      <c r="E443" s="45">
        <f>36.2718 * CHOOSE(CONTROL!$C$15, $E$9, 100%, $G$9) + CHOOSE(CONTROL!$C$38, 0.0342, 0)</f>
        <v>36.305999999999997</v>
      </c>
      <c r="F443" s="44">
        <f>36.2718 * CHOOSE(CONTROL!$C$15, $E$9, 100%, $G$9) + CHOOSE(CONTROL!$C$38, 0.0251, 0)</f>
        <v>36.296900000000001</v>
      </c>
      <c r="G443" s="14">
        <f>34.4489 * CHOOSE(CONTROL!$C$15, $E$9, 100%, $G$9) + CHOOSE(CONTROL!$C$38, 0.0342, 0)</f>
        <v>34.4831</v>
      </c>
      <c r="H443" s="14">
        <f>34.4489 * CHOOSE(CONTROL!$C$15, $E$9, 100%, $G$9) + CHOOSE(CONTROL!$C$38, 0.0342, 0)</f>
        <v>34.4831</v>
      </c>
      <c r="I443" s="14">
        <f>34.4504 * CHOOSE(CONTROL!$C$15, $E$9, 100%, $G$9) + CHOOSE(CONTROL!$C$38, 0.0342, 0)</f>
        <v>34.4846</v>
      </c>
      <c r="J443" s="43">
        <f>243.1304</f>
        <v>243.13040000000001</v>
      </c>
    </row>
    <row r="444" spans="1:10" ht="15.75" x14ac:dyDescent="0.25">
      <c r="A444" s="32">
        <v>54454</v>
      </c>
      <c r="B444" s="14">
        <f>37.7491 * CHOOSE(CONTROL!$C$15, $E$9, 100%, $G$9) + CHOOSE(CONTROL!$C$38, 0.0251, 0)</f>
        <v>37.7742</v>
      </c>
      <c r="C444" s="14">
        <f>35.7409 * CHOOSE(CONTROL!$C$15, $E$9, 100%, $G$9) + CHOOSE(CONTROL!$C$38, 0.0342, 0)</f>
        <v>35.775100000000002</v>
      </c>
      <c r="D444" s="14">
        <f>35.7331 * CHOOSE(CONTROL!$C$15, $E$9, 100%, $G$9) + CHOOSE(CONTROL!$C$38, 0.0342, 0)</f>
        <v>35.767299999999999</v>
      </c>
      <c r="E444" s="45">
        <f>37.5929 * CHOOSE(CONTROL!$C$15, $E$9, 100%, $G$9) + CHOOSE(CONTROL!$C$38, 0.0342, 0)</f>
        <v>37.627099999999999</v>
      </c>
      <c r="F444" s="44">
        <f>37.5929 * CHOOSE(CONTROL!$C$15, $E$9, 100%, $G$9) + CHOOSE(CONTROL!$C$38, 0.0251, 0)</f>
        <v>37.618000000000002</v>
      </c>
      <c r="G444" s="14">
        <f>35.7393 * CHOOSE(CONTROL!$C$15, $E$9, 100%, $G$9) + CHOOSE(CONTROL!$C$38, 0.0342, 0)</f>
        <v>35.773499999999999</v>
      </c>
      <c r="H444" s="14">
        <f>35.7393 * CHOOSE(CONTROL!$C$15, $E$9, 100%, $G$9) + CHOOSE(CONTROL!$C$38, 0.0342, 0)</f>
        <v>35.773499999999999</v>
      </c>
      <c r="I444" s="14">
        <f>35.7409 * CHOOSE(CONTROL!$C$15, $E$9, 100%, $G$9) + CHOOSE(CONTROL!$C$38, 0.0342, 0)</f>
        <v>35.775100000000002</v>
      </c>
      <c r="J444" s="43">
        <f>242.9548</f>
        <v>242.95480000000001</v>
      </c>
    </row>
    <row r="445" spans="1:10" ht="15.75" x14ac:dyDescent="0.25">
      <c r="A445" s="32">
        <v>54482</v>
      </c>
      <c r="B445" s="14">
        <f>38.0934 * CHOOSE(CONTROL!$C$15, $E$9, 100%, $G$9) + CHOOSE(CONTROL!$C$38, 0.0251, 0)</f>
        <v>38.118500000000004</v>
      </c>
      <c r="C445" s="14">
        <f>36.0852 * CHOOSE(CONTROL!$C$15, $E$9, 100%, $G$9) + CHOOSE(CONTROL!$C$38, 0.0342, 0)</f>
        <v>36.119399999999999</v>
      </c>
      <c r="D445" s="14">
        <f>36.0774 * CHOOSE(CONTROL!$C$15, $E$9, 100%, $G$9) + CHOOSE(CONTROL!$C$38, 0.0342, 0)</f>
        <v>36.111599999999996</v>
      </c>
      <c r="E445" s="45">
        <f>37.9372 * CHOOSE(CONTROL!$C$15, $E$9, 100%, $G$9) + CHOOSE(CONTROL!$C$38, 0.0342, 0)</f>
        <v>37.971399999999996</v>
      </c>
      <c r="F445" s="44">
        <f>37.9372 * CHOOSE(CONTROL!$C$15, $E$9, 100%, $G$9) + CHOOSE(CONTROL!$C$38, 0.0251, 0)</f>
        <v>37.962299999999999</v>
      </c>
      <c r="G445" s="14">
        <f>36.0837 * CHOOSE(CONTROL!$C$15, $E$9, 100%, $G$9) + CHOOSE(CONTROL!$C$38, 0.0342, 0)</f>
        <v>36.117899999999999</v>
      </c>
      <c r="H445" s="14">
        <f>36.0837 * CHOOSE(CONTROL!$C$15, $E$9, 100%, $G$9) + CHOOSE(CONTROL!$C$38, 0.0342, 0)</f>
        <v>36.117899999999999</v>
      </c>
      <c r="I445" s="14">
        <f>36.0852 * CHOOSE(CONTROL!$C$15, $E$9, 100%, $G$9) + CHOOSE(CONTROL!$C$38, 0.0342, 0)</f>
        <v>36.119399999999999</v>
      </c>
      <c r="J445" s="43">
        <f>242.2795</f>
        <v>242.27950000000001</v>
      </c>
    </row>
    <row r="446" spans="1:10" ht="15.75" x14ac:dyDescent="0.25">
      <c r="A446" s="32">
        <v>54513</v>
      </c>
      <c r="B446" s="14">
        <f>37.2964 * CHOOSE(CONTROL!$C$15, $E$9, 100%, $G$9) + CHOOSE(CONTROL!$C$38, 0.0251, 0)</f>
        <v>37.3215</v>
      </c>
      <c r="C446" s="14">
        <f>35.2882 * CHOOSE(CONTROL!$C$15, $E$9, 100%, $G$9) + CHOOSE(CONTROL!$C$38, 0.0342, 0)</f>
        <v>35.322400000000002</v>
      </c>
      <c r="D446" s="14">
        <f>35.2804 * CHOOSE(CONTROL!$C$15, $E$9, 100%, $G$9) + CHOOSE(CONTROL!$C$38, 0.0342, 0)</f>
        <v>35.314599999999999</v>
      </c>
      <c r="E446" s="45">
        <f>37.1401 * CHOOSE(CONTROL!$C$15, $E$9, 100%, $G$9) + CHOOSE(CONTROL!$C$38, 0.0342, 0)</f>
        <v>37.174299999999995</v>
      </c>
      <c r="F446" s="44">
        <f>37.1401 * CHOOSE(CONTROL!$C$15, $E$9, 100%, $G$9) + CHOOSE(CONTROL!$C$38, 0.0251, 0)</f>
        <v>37.165199999999999</v>
      </c>
      <c r="G446" s="14">
        <f>35.2866 * CHOOSE(CONTROL!$C$15, $E$9, 100%, $G$9) + CHOOSE(CONTROL!$C$38, 0.0342, 0)</f>
        <v>35.320799999999998</v>
      </c>
      <c r="H446" s="14">
        <f>35.2866 * CHOOSE(CONTROL!$C$15, $E$9, 100%, $G$9) + CHOOSE(CONTROL!$C$38, 0.0342, 0)</f>
        <v>35.320799999999998</v>
      </c>
      <c r="I446" s="14">
        <f>35.2882 * CHOOSE(CONTROL!$C$15, $E$9, 100%, $G$9) + CHOOSE(CONTROL!$C$38, 0.0342, 0)</f>
        <v>35.322400000000002</v>
      </c>
      <c r="J446" s="43">
        <f>255.049</f>
        <v>255.04900000000001</v>
      </c>
    </row>
    <row r="447" spans="1:10" ht="15.75" x14ac:dyDescent="0.25">
      <c r="A447" s="32">
        <v>54543</v>
      </c>
      <c r="B447" s="14">
        <f>36.5241 * CHOOSE(CONTROL!$C$15, $E$9, 100%, $G$9) + CHOOSE(CONTROL!$C$38, 0.0251, 0)</f>
        <v>36.549199999999999</v>
      </c>
      <c r="C447" s="14">
        <f>34.5159 * CHOOSE(CONTROL!$C$15, $E$9, 100%, $G$9) + CHOOSE(CONTROL!$C$38, 0.0342, 0)</f>
        <v>34.5501</v>
      </c>
      <c r="D447" s="14">
        <f>34.5081 * CHOOSE(CONTROL!$C$15, $E$9, 100%, $G$9) + CHOOSE(CONTROL!$C$38, 0.0342, 0)</f>
        <v>34.542299999999997</v>
      </c>
      <c r="E447" s="45">
        <f>36.3678 * CHOOSE(CONTROL!$C$15, $E$9, 100%, $G$9) + CHOOSE(CONTROL!$C$38, 0.0342, 0)</f>
        <v>36.402000000000001</v>
      </c>
      <c r="F447" s="44">
        <f>36.3678 * CHOOSE(CONTROL!$C$15, $E$9, 100%, $G$9) + CHOOSE(CONTROL!$C$38, 0.0251, 0)</f>
        <v>36.392900000000004</v>
      </c>
      <c r="G447" s="14">
        <f>34.5143 * CHOOSE(CONTROL!$C$15, $E$9, 100%, $G$9) + CHOOSE(CONTROL!$C$38, 0.0342, 0)</f>
        <v>34.548499999999997</v>
      </c>
      <c r="H447" s="14">
        <f>34.5143 * CHOOSE(CONTROL!$C$15, $E$9, 100%, $G$9) + CHOOSE(CONTROL!$C$38, 0.0342, 0)</f>
        <v>34.548499999999997</v>
      </c>
      <c r="I447" s="14">
        <f>34.5159 * CHOOSE(CONTROL!$C$15, $E$9, 100%, $G$9) + CHOOSE(CONTROL!$C$38, 0.0342, 0)</f>
        <v>34.5501</v>
      </c>
      <c r="J447" s="43">
        <f>271.608</f>
        <v>271.608</v>
      </c>
    </row>
    <row r="448" spans="1:10" ht="15.75" x14ac:dyDescent="0.25">
      <c r="A448" s="32">
        <v>54574</v>
      </c>
      <c r="B448" s="14">
        <f>35.7191 * CHOOSE(CONTROL!$C$15, $E$9, 100%, $G$9) + CHOOSE(CONTROL!$C$38, 0.0264, 0)</f>
        <v>35.7455</v>
      </c>
      <c r="C448" s="14">
        <f>33.7109 * CHOOSE(CONTROL!$C$15, $E$9, 100%, $G$9) + CHOOSE(CONTROL!$C$38, 0.0354, 0)</f>
        <v>33.746300000000005</v>
      </c>
      <c r="D448" s="14">
        <f>33.7031 * CHOOSE(CONTROL!$C$15, $E$9, 100%, $G$9) + CHOOSE(CONTROL!$C$38, 0.0354, 0)</f>
        <v>33.738500000000002</v>
      </c>
      <c r="E448" s="45">
        <f>35.5629 * CHOOSE(CONTROL!$C$15, $E$9, 100%, $G$9) + CHOOSE(CONTROL!$C$38, 0.0354, 0)</f>
        <v>35.598300000000002</v>
      </c>
      <c r="F448" s="44">
        <f>35.5629 * CHOOSE(CONTROL!$C$15, $E$9, 100%, $G$9) + CHOOSE(CONTROL!$C$38, 0.0264, 0)</f>
        <v>35.589300000000001</v>
      </c>
      <c r="G448" s="14">
        <f>33.7093 * CHOOSE(CONTROL!$C$15, $E$9, 100%, $G$9) + CHOOSE(CONTROL!$C$38, 0.0354, 0)</f>
        <v>33.744700000000002</v>
      </c>
      <c r="H448" s="14">
        <f>33.7093 * CHOOSE(CONTROL!$C$15, $E$9, 100%, $G$9) + CHOOSE(CONTROL!$C$38, 0.0354, 0)</f>
        <v>33.744700000000002</v>
      </c>
      <c r="I448" s="14">
        <f>33.7109 * CHOOSE(CONTROL!$C$15, $E$9, 100%, $G$9) + CHOOSE(CONTROL!$C$38, 0.0354, 0)</f>
        <v>33.746300000000005</v>
      </c>
      <c r="J448" s="43">
        <f>280.7227</f>
        <v>280.72269999999997</v>
      </c>
    </row>
    <row r="449" spans="1:10" ht="15.75" x14ac:dyDescent="0.25">
      <c r="A449" s="32">
        <v>54604</v>
      </c>
      <c r="B449" s="14">
        <f>35.1548 * CHOOSE(CONTROL!$C$15, $E$9, 100%, $G$9) + CHOOSE(CONTROL!$C$38, 0.0264, 0)</f>
        <v>35.181200000000004</v>
      </c>
      <c r="C449" s="14">
        <f>33.1466 * CHOOSE(CONTROL!$C$15, $E$9, 100%, $G$9) + CHOOSE(CONTROL!$C$38, 0.0354, 0)</f>
        <v>33.182000000000002</v>
      </c>
      <c r="D449" s="14">
        <f>33.1388 * CHOOSE(CONTROL!$C$15, $E$9, 100%, $G$9) + CHOOSE(CONTROL!$C$38, 0.0354, 0)</f>
        <v>33.174200000000006</v>
      </c>
      <c r="E449" s="45">
        <f>34.9985 * CHOOSE(CONTROL!$C$15, $E$9, 100%, $G$9) + CHOOSE(CONTROL!$C$38, 0.0354, 0)</f>
        <v>35.033900000000003</v>
      </c>
      <c r="F449" s="44">
        <f>34.9985 * CHOOSE(CONTROL!$C$15, $E$9, 100%, $G$9) + CHOOSE(CONTROL!$C$38, 0.0264, 0)</f>
        <v>35.024900000000002</v>
      </c>
      <c r="G449" s="14">
        <f>33.145 * CHOOSE(CONTROL!$C$15, $E$9, 100%, $G$9) + CHOOSE(CONTROL!$C$38, 0.0354, 0)</f>
        <v>33.180400000000006</v>
      </c>
      <c r="H449" s="14">
        <f>33.145 * CHOOSE(CONTROL!$C$15, $E$9, 100%, $G$9) + CHOOSE(CONTROL!$C$38, 0.0354, 0)</f>
        <v>33.180400000000006</v>
      </c>
      <c r="I449" s="14">
        <f>33.1466 * CHOOSE(CONTROL!$C$15, $E$9, 100%, $G$9) + CHOOSE(CONTROL!$C$38, 0.0354, 0)</f>
        <v>33.182000000000002</v>
      </c>
      <c r="J449" s="43">
        <f>284.7676</f>
        <v>284.76760000000002</v>
      </c>
    </row>
    <row r="450" spans="1:10" ht="15.75" x14ac:dyDescent="0.25">
      <c r="A450" s="32">
        <v>54635</v>
      </c>
      <c r="B450" s="14">
        <f>34.8327 * CHOOSE(CONTROL!$C$15, $E$9, 100%, $G$9) + CHOOSE(CONTROL!$C$38, 0.0264, 0)</f>
        <v>34.859100000000005</v>
      </c>
      <c r="C450" s="14">
        <f>32.8245 * CHOOSE(CONTROL!$C$15, $E$9, 100%, $G$9) + CHOOSE(CONTROL!$C$38, 0.0354, 0)</f>
        <v>32.859900000000003</v>
      </c>
      <c r="D450" s="14">
        <f>32.8167 * CHOOSE(CONTROL!$C$15, $E$9, 100%, $G$9) + CHOOSE(CONTROL!$C$38, 0.0354, 0)</f>
        <v>32.8521</v>
      </c>
      <c r="E450" s="45">
        <f>34.6765 * CHOOSE(CONTROL!$C$15, $E$9, 100%, $G$9) + CHOOSE(CONTROL!$C$38, 0.0354, 0)</f>
        <v>34.7119</v>
      </c>
      <c r="F450" s="44">
        <f>34.6765 * CHOOSE(CONTROL!$C$15, $E$9, 100%, $G$9) + CHOOSE(CONTROL!$C$38, 0.0264, 0)</f>
        <v>34.7029</v>
      </c>
      <c r="G450" s="14">
        <f>32.823 * CHOOSE(CONTROL!$C$15, $E$9, 100%, $G$9) + CHOOSE(CONTROL!$C$38, 0.0354, 0)</f>
        <v>32.858400000000003</v>
      </c>
      <c r="H450" s="14">
        <f>32.823 * CHOOSE(CONTROL!$C$15, $E$9, 100%, $G$9) + CHOOSE(CONTROL!$C$38, 0.0354, 0)</f>
        <v>32.858400000000003</v>
      </c>
      <c r="I450" s="14">
        <f>32.8245 * CHOOSE(CONTROL!$C$15, $E$9, 100%, $G$9) + CHOOSE(CONTROL!$C$38, 0.0354, 0)</f>
        <v>32.859900000000003</v>
      </c>
      <c r="J450" s="43">
        <f>283.4358</f>
        <v>283.43579999999997</v>
      </c>
    </row>
    <row r="451" spans="1:10" ht="15.75" x14ac:dyDescent="0.25">
      <c r="A451" s="32">
        <v>54666</v>
      </c>
      <c r="B451" s="14">
        <f>34.9917 * CHOOSE(CONTROL!$C$15, $E$9, 100%, $G$9) + CHOOSE(CONTROL!$C$38, 0.0264, 0)</f>
        <v>35.018100000000004</v>
      </c>
      <c r="C451" s="14">
        <f>32.9835 * CHOOSE(CONTROL!$C$15, $E$9, 100%, $G$9) + CHOOSE(CONTROL!$C$38, 0.0354, 0)</f>
        <v>33.018900000000002</v>
      </c>
      <c r="D451" s="14">
        <f>32.9756 * CHOOSE(CONTROL!$C$15, $E$9, 100%, $G$9) + CHOOSE(CONTROL!$C$38, 0.0354, 0)</f>
        <v>33.011000000000003</v>
      </c>
      <c r="E451" s="45">
        <f>34.8354 * CHOOSE(CONTROL!$C$15, $E$9, 100%, $G$9) + CHOOSE(CONTROL!$C$38, 0.0354, 0)</f>
        <v>34.870800000000003</v>
      </c>
      <c r="F451" s="44">
        <f>34.8354 * CHOOSE(CONTROL!$C$15, $E$9, 100%, $G$9) + CHOOSE(CONTROL!$C$38, 0.0264, 0)</f>
        <v>34.861800000000002</v>
      </c>
      <c r="G451" s="14">
        <f>32.9819 * CHOOSE(CONTROL!$C$15, $E$9, 100%, $G$9) + CHOOSE(CONTROL!$C$38, 0.0354, 0)</f>
        <v>33.017300000000006</v>
      </c>
      <c r="H451" s="14">
        <f>32.9819 * CHOOSE(CONTROL!$C$15, $E$9, 100%, $G$9) + CHOOSE(CONTROL!$C$38, 0.0354, 0)</f>
        <v>33.017300000000006</v>
      </c>
      <c r="I451" s="14">
        <f>32.9835 * CHOOSE(CONTROL!$C$15, $E$9, 100%, $G$9) + CHOOSE(CONTROL!$C$38, 0.0354, 0)</f>
        <v>33.018900000000002</v>
      </c>
      <c r="J451" s="43">
        <f>276.8375</f>
        <v>276.83749999999998</v>
      </c>
    </row>
    <row r="452" spans="1:10" ht="15.75" x14ac:dyDescent="0.25">
      <c r="A452" s="32">
        <v>54696</v>
      </c>
      <c r="B452" s="14">
        <f>35.4234 * CHOOSE(CONTROL!$C$15, $E$9, 100%, $G$9) + CHOOSE(CONTROL!$C$38, 0.0264, 0)</f>
        <v>35.449800000000003</v>
      </c>
      <c r="C452" s="14">
        <f>33.4152 * CHOOSE(CONTROL!$C$15, $E$9, 100%, $G$9) + CHOOSE(CONTROL!$C$38, 0.0354, 0)</f>
        <v>33.450600000000001</v>
      </c>
      <c r="D452" s="14">
        <f>33.4074 * CHOOSE(CONTROL!$C$15, $E$9, 100%, $G$9) + CHOOSE(CONTROL!$C$38, 0.0354, 0)</f>
        <v>33.442800000000005</v>
      </c>
      <c r="E452" s="45">
        <f>35.2671 * CHOOSE(CONTROL!$C$15, $E$9, 100%, $G$9) + CHOOSE(CONTROL!$C$38, 0.0354, 0)</f>
        <v>35.302500000000002</v>
      </c>
      <c r="F452" s="44">
        <f>35.2671 * CHOOSE(CONTROL!$C$15, $E$9, 100%, $G$9) + CHOOSE(CONTROL!$C$38, 0.0264, 0)</f>
        <v>35.293500000000002</v>
      </c>
      <c r="G452" s="14">
        <f>33.4136 * CHOOSE(CONTROL!$C$15, $E$9, 100%, $G$9) + CHOOSE(CONTROL!$C$38, 0.0354, 0)</f>
        <v>33.449000000000005</v>
      </c>
      <c r="H452" s="14">
        <f>33.4136 * CHOOSE(CONTROL!$C$15, $E$9, 100%, $G$9) + CHOOSE(CONTROL!$C$38, 0.0354, 0)</f>
        <v>33.449000000000005</v>
      </c>
      <c r="I452" s="14">
        <f>33.4152 * CHOOSE(CONTROL!$C$15, $E$9, 100%, $G$9) + CHOOSE(CONTROL!$C$38, 0.0354, 0)</f>
        <v>33.450600000000001</v>
      </c>
      <c r="J452" s="43">
        <f>267.6359</f>
        <v>267.63589999999999</v>
      </c>
    </row>
    <row r="453" spans="1:10" ht="15.75" x14ac:dyDescent="0.25">
      <c r="A453" s="32">
        <v>54727</v>
      </c>
      <c r="B453" s="14">
        <f>35.7849 * CHOOSE(CONTROL!$C$15, $E$9, 100%, $G$9) + CHOOSE(CONTROL!$C$38, 0.0251, 0)</f>
        <v>35.81</v>
      </c>
      <c r="C453" s="14">
        <f>33.7767 * CHOOSE(CONTROL!$C$15, $E$9, 100%, $G$9) + CHOOSE(CONTROL!$C$38, 0.0342, 0)</f>
        <v>33.810899999999997</v>
      </c>
      <c r="D453" s="14">
        <f>33.7689 * CHOOSE(CONTROL!$C$15, $E$9, 100%, $G$9) + CHOOSE(CONTROL!$C$38, 0.0342, 0)</f>
        <v>33.803100000000001</v>
      </c>
      <c r="E453" s="45">
        <f>35.6287 * CHOOSE(CONTROL!$C$15, $E$9, 100%, $G$9) + CHOOSE(CONTROL!$C$38, 0.0342, 0)</f>
        <v>35.6629</v>
      </c>
      <c r="F453" s="44">
        <f>35.6287 * CHOOSE(CONTROL!$C$15, $E$9, 100%, $G$9) + CHOOSE(CONTROL!$C$38, 0.0251, 0)</f>
        <v>35.653800000000004</v>
      </c>
      <c r="G453" s="14">
        <f>33.7752 * CHOOSE(CONTROL!$C$15, $E$9, 100%, $G$9) + CHOOSE(CONTROL!$C$38, 0.0342, 0)</f>
        <v>33.809399999999997</v>
      </c>
      <c r="H453" s="14">
        <f>33.7752 * CHOOSE(CONTROL!$C$15, $E$9, 100%, $G$9) + CHOOSE(CONTROL!$C$38, 0.0342, 0)</f>
        <v>33.809399999999997</v>
      </c>
      <c r="I453" s="14">
        <f>33.7767 * CHOOSE(CONTROL!$C$15, $E$9, 100%, $G$9) + CHOOSE(CONTROL!$C$38, 0.0342, 0)</f>
        <v>33.810899999999997</v>
      </c>
      <c r="J453" s="43">
        <f>258.3808</f>
        <v>258.38080000000002</v>
      </c>
    </row>
    <row r="454" spans="1:10" ht="15.75" x14ac:dyDescent="0.25">
      <c r="A454" s="32">
        <v>54757</v>
      </c>
      <c r="B454" s="14">
        <f>36.0866 * CHOOSE(CONTROL!$C$15, $E$9, 100%, $G$9) + CHOOSE(CONTROL!$C$38, 0.0251, 0)</f>
        <v>36.111699999999999</v>
      </c>
      <c r="C454" s="14">
        <f>34.0784 * CHOOSE(CONTROL!$C$15, $E$9, 100%, $G$9) + CHOOSE(CONTROL!$C$38, 0.0342, 0)</f>
        <v>34.1126</v>
      </c>
      <c r="D454" s="14">
        <f>34.0706 * CHOOSE(CONTROL!$C$15, $E$9, 100%, $G$9) + CHOOSE(CONTROL!$C$38, 0.0342, 0)</f>
        <v>34.104799999999997</v>
      </c>
      <c r="E454" s="45">
        <f>35.9304 * CHOOSE(CONTROL!$C$15, $E$9, 100%, $G$9) + CHOOSE(CONTROL!$C$38, 0.0342, 0)</f>
        <v>35.964599999999997</v>
      </c>
      <c r="F454" s="44">
        <f>35.9304 * CHOOSE(CONTROL!$C$15, $E$9, 100%, $G$9) + CHOOSE(CONTROL!$C$38, 0.0251, 0)</f>
        <v>35.955500000000001</v>
      </c>
      <c r="G454" s="14">
        <f>34.0769 * CHOOSE(CONTROL!$C$15, $E$9, 100%, $G$9) + CHOOSE(CONTROL!$C$38, 0.0342, 0)</f>
        <v>34.1111</v>
      </c>
      <c r="H454" s="14">
        <f>34.0769 * CHOOSE(CONTROL!$C$15, $E$9, 100%, $G$9) + CHOOSE(CONTROL!$C$38, 0.0342, 0)</f>
        <v>34.1111</v>
      </c>
      <c r="I454" s="14">
        <f>34.0784 * CHOOSE(CONTROL!$C$15, $E$9, 100%, $G$9) + CHOOSE(CONTROL!$C$38, 0.0342, 0)</f>
        <v>34.1126</v>
      </c>
      <c r="J454" s="43">
        <f>256.5398</f>
        <v>256.53980000000001</v>
      </c>
    </row>
    <row r="455" spans="1:10" ht="15.75" x14ac:dyDescent="0.25">
      <c r="A455" s="32">
        <v>54788</v>
      </c>
      <c r="B455" s="14">
        <f>37.0163 * CHOOSE(CONTROL!$C$15, $E$9, 100%, $G$9) + CHOOSE(CONTROL!$C$38, 0.0251, 0)</f>
        <v>37.041400000000003</v>
      </c>
      <c r="C455" s="14">
        <f>35.0081 * CHOOSE(CONTROL!$C$15, $E$9, 100%, $G$9) + CHOOSE(CONTROL!$C$38, 0.0342, 0)</f>
        <v>35.042299999999997</v>
      </c>
      <c r="D455" s="14">
        <f>35.0003 * CHOOSE(CONTROL!$C$15, $E$9, 100%, $G$9) + CHOOSE(CONTROL!$C$38, 0.0342, 0)</f>
        <v>35.034500000000001</v>
      </c>
      <c r="E455" s="45">
        <f>36.8601 * CHOOSE(CONTROL!$C$15, $E$9, 100%, $G$9) + CHOOSE(CONTROL!$C$38, 0.0342, 0)</f>
        <v>36.894300000000001</v>
      </c>
      <c r="F455" s="44">
        <f>36.8601 * CHOOSE(CONTROL!$C$15, $E$9, 100%, $G$9) + CHOOSE(CONTROL!$C$38, 0.0251, 0)</f>
        <v>36.885200000000005</v>
      </c>
      <c r="G455" s="14">
        <f>35.0065 * CHOOSE(CONTROL!$C$15, $E$9, 100%, $G$9) + CHOOSE(CONTROL!$C$38, 0.0342, 0)</f>
        <v>35.040700000000001</v>
      </c>
      <c r="H455" s="14">
        <f>35.0065 * CHOOSE(CONTROL!$C$15, $E$9, 100%, $G$9) + CHOOSE(CONTROL!$C$38, 0.0342, 0)</f>
        <v>35.040700000000001</v>
      </c>
      <c r="I455" s="14">
        <f>35.0081 * CHOOSE(CONTROL!$C$15, $E$9, 100%, $G$9) + CHOOSE(CONTROL!$C$38, 0.0342, 0)</f>
        <v>35.042299999999997</v>
      </c>
      <c r="J455" s="43">
        <f>248.9269</f>
        <v>248.92689999999999</v>
      </c>
    </row>
    <row r="456" spans="1:10" ht="15.75" x14ac:dyDescent="0.25">
      <c r="A456" s="32">
        <v>54819</v>
      </c>
      <c r="B456" s="14">
        <f>38.3473 * CHOOSE(CONTROL!$C$15, $E$9, 100%, $G$9) + CHOOSE(CONTROL!$C$38, 0.0251, 0)</f>
        <v>38.372399999999999</v>
      </c>
      <c r="C456" s="14">
        <f>36.308 * CHOOSE(CONTROL!$C$15, $E$9, 100%, $G$9) + CHOOSE(CONTROL!$C$38, 0.0342, 0)</f>
        <v>36.342199999999998</v>
      </c>
      <c r="D456" s="14">
        <f>36.3001 * CHOOSE(CONTROL!$C$15, $E$9, 100%, $G$9) + CHOOSE(CONTROL!$C$38, 0.0342, 0)</f>
        <v>36.334299999999999</v>
      </c>
      <c r="E456" s="45">
        <f>38.191 * CHOOSE(CONTROL!$C$15, $E$9, 100%, $G$9) + CHOOSE(CONTROL!$C$38, 0.0342, 0)</f>
        <v>38.225200000000001</v>
      </c>
      <c r="F456" s="44">
        <f>38.191 * CHOOSE(CONTROL!$C$15, $E$9, 100%, $G$9) + CHOOSE(CONTROL!$C$38, 0.0251, 0)</f>
        <v>38.216100000000004</v>
      </c>
      <c r="G456" s="14">
        <f>36.3064 * CHOOSE(CONTROL!$C$15, $E$9, 100%, $G$9) + CHOOSE(CONTROL!$C$38, 0.0342, 0)</f>
        <v>36.340599999999995</v>
      </c>
      <c r="H456" s="14">
        <f>36.3064 * CHOOSE(CONTROL!$C$15, $E$9, 100%, $G$9) + CHOOSE(CONTROL!$C$38, 0.0342, 0)</f>
        <v>36.340599999999995</v>
      </c>
      <c r="I456" s="14">
        <f>36.308 * CHOOSE(CONTROL!$C$15, $E$9, 100%, $G$9) + CHOOSE(CONTROL!$C$38, 0.0342, 0)</f>
        <v>36.342199999999998</v>
      </c>
      <c r="J456" s="43">
        <f>248.7472</f>
        <v>248.74719999999999</v>
      </c>
    </row>
    <row r="457" spans="1:10" ht="15.75" x14ac:dyDescent="0.25">
      <c r="A457" s="32">
        <v>54847</v>
      </c>
      <c r="B457" s="14">
        <f>38.6916 * CHOOSE(CONTROL!$C$15, $E$9, 100%, $G$9) + CHOOSE(CONTROL!$C$38, 0.0251, 0)</f>
        <v>38.716700000000003</v>
      </c>
      <c r="C457" s="14">
        <f>36.6523 * CHOOSE(CONTROL!$C$15, $E$9, 100%, $G$9) + CHOOSE(CONTROL!$C$38, 0.0342, 0)</f>
        <v>36.686499999999995</v>
      </c>
      <c r="D457" s="14">
        <f>36.6445 * CHOOSE(CONTROL!$C$15, $E$9, 100%, $G$9) + CHOOSE(CONTROL!$C$38, 0.0342, 0)</f>
        <v>36.678699999999999</v>
      </c>
      <c r="E457" s="45">
        <f>38.5353 * CHOOSE(CONTROL!$C$15, $E$9, 100%, $G$9) + CHOOSE(CONTROL!$C$38, 0.0342, 0)</f>
        <v>38.569499999999998</v>
      </c>
      <c r="F457" s="44">
        <f>38.5353 * CHOOSE(CONTROL!$C$15, $E$9, 100%, $G$9) + CHOOSE(CONTROL!$C$38, 0.0251, 0)</f>
        <v>38.560400000000001</v>
      </c>
      <c r="G457" s="14">
        <f>36.6507 * CHOOSE(CONTROL!$C$15, $E$9, 100%, $G$9) + CHOOSE(CONTROL!$C$38, 0.0342, 0)</f>
        <v>36.684899999999999</v>
      </c>
      <c r="H457" s="14">
        <f>36.6507 * CHOOSE(CONTROL!$C$15, $E$9, 100%, $G$9) + CHOOSE(CONTROL!$C$38, 0.0342, 0)</f>
        <v>36.684899999999999</v>
      </c>
      <c r="I457" s="14">
        <f>36.6523 * CHOOSE(CONTROL!$C$15, $E$9, 100%, $G$9) + CHOOSE(CONTROL!$C$38, 0.0342, 0)</f>
        <v>36.686499999999995</v>
      </c>
      <c r="J457" s="43">
        <f>248.0558</f>
        <v>248.0558</v>
      </c>
    </row>
    <row r="458" spans="1:10" ht="15.75" x14ac:dyDescent="0.25">
      <c r="A458" s="32">
        <v>54878</v>
      </c>
      <c r="B458" s="14">
        <f>37.8945 * CHOOSE(CONTROL!$C$15, $E$9, 100%, $G$9) + CHOOSE(CONTROL!$C$38, 0.0251, 0)</f>
        <v>37.919600000000003</v>
      </c>
      <c r="C458" s="14">
        <f>35.8552 * CHOOSE(CONTROL!$C$15, $E$9, 100%, $G$9) + CHOOSE(CONTROL!$C$38, 0.0342, 0)</f>
        <v>35.889400000000002</v>
      </c>
      <c r="D458" s="14">
        <f>35.8474 * CHOOSE(CONTROL!$C$15, $E$9, 100%, $G$9) + CHOOSE(CONTROL!$C$38, 0.0342, 0)</f>
        <v>35.881599999999999</v>
      </c>
      <c r="E458" s="45">
        <f>37.7383 * CHOOSE(CONTROL!$C$15, $E$9, 100%, $G$9) + CHOOSE(CONTROL!$C$38, 0.0342, 0)</f>
        <v>37.772500000000001</v>
      </c>
      <c r="F458" s="44">
        <f>37.7383 * CHOOSE(CONTROL!$C$15, $E$9, 100%, $G$9) + CHOOSE(CONTROL!$C$38, 0.0251, 0)</f>
        <v>37.763400000000004</v>
      </c>
      <c r="G458" s="14">
        <f>35.8537 * CHOOSE(CONTROL!$C$15, $E$9, 100%, $G$9) + CHOOSE(CONTROL!$C$38, 0.0342, 0)</f>
        <v>35.887900000000002</v>
      </c>
      <c r="H458" s="14">
        <f>35.8537 * CHOOSE(CONTROL!$C$15, $E$9, 100%, $G$9) + CHOOSE(CONTROL!$C$38, 0.0342, 0)</f>
        <v>35.887900000000002</v>
      </c>
      <c r="I458" s="14">
        <f>35.8552 * CHOOSE(CONTROL!$C$15, $E$9, 100%, $G$9) + CHOOSE(CONTROL!$C$38, 0.0342, 0)</f>
        <v>35.889400000000002</v>
      </c>
      <c r="J458" s="43">
        <f>261.1298</f>
        <v>261.12979999999999</v>
      </c>
    </row>
    <row r="459" spans="1:10" ht="15.75" x14ac:dyDescent="0.25">
      <c r="A459" s="32">
        <v>54908</v>
      </c>
      <c r="B459" s="14">
        <f>37.1222 * CHOOSE(CONTROL!$C$15, $E$9, 100%, $G$9) + CHOOSE(CONTROL!$C$38, 0.0251, 0)</f>
        <v>37.147300000000001</v>
      </c>
      <c r="C459" s="14">
        <f>35.0829 * CHOOSE(CONTROL!$C$15, $E$9, 100%, $G$9) + CHOOSE(CONTROL!$C$38, 0.0342, 0)</f>
        <v>35.117100000000001</v>
      </c>
      <c r="D459" s="14">
        <f>35.0751 * CHOOSE(CONTROL!$C$15, $E$9, 100%, $G$9) + CHOOSE(CONTROL!$C$38, 0.0342, 0)</f>
        <v>35.109299999999998</v>
      </c>
      <c r="E459" s="45">
        <f>36.966 * CHOOSE(CONTROL!$C$15, $E$9, 100%, $G$9) + CHOOSE(CONTROL!$C$38, 0.0342, 0)</f>
        <v>37.0002</v>
      </c>
      <c r="F459" s="44">
        <f>36.966 * CHOOSE(CONTROL!$C$15, $E$9, 100%, $G$9) + CHOOSE(CONTROL!$C$38, 0.0251, 0)</f>
        <v>36.991100000000003</v>
      </c>
      <c r="G459" s="14">
        <f>35.0814 * CHOOSE(CONTROL!$C$15, $E$9, 100%, $G$9) + CHOOSE(CONTROL!$C$38, 0.0342, 0)</f>
        <v>35.115600000000001</v>
      </c>
      <c r="H459" s="14">
        <f>35.0814 * CHOOSE(CONTROL!$C$15, $E$9, 100%, $G$9) + CHOOSE(CONTROL!$C$38, 0.0342, 0)</f>
        <v>35.115600000000001</v>
      </c>
      <c r="I459" s="14">
        <f>35.0829 * CHOOSE(CONTROL!$C$15, $E$9, 100%, $G$9) + CHOOSE(CONTROL!$C$38, 0.0342, 0)</f>
        <v>35.117100000000001</v>
      </c>
      <c r="J459" s="43">
        <f>278.0836</f>
        <v>278.08359999999999</v>
      </c>
    </row>
    <row r="460" spans="1:10" ht="15.75" x14ac:dyDescent="0.25">
      <c r="A460" s="32">
        <v>54939</v>
      </c>
      <c r="B460" s="14">
        <f>36.3173 * CHOOSE(CONTROL!$C$15, $E$9, 100%, $G$9) + CHOOSE(CONTROL!$C$38, 0.0264, 0)</f>
        <v>36.343700000000005</v>
      </c>
      <c r="C460" s="14">
        <f>34.278 * CHOOSE(CONTROL!$C$15, $E$9, 100%, $G$9) + CHOOSE(CONTROL!$C$38, 0.0354, 0)</f>
        <v>34.313400000000001</v>
      </c>
      <c r="D460" s="14">
        <f>34.2701 * CHOOSE(CONTROL!$C$15, $E$9, 100%, $G$9) + CHOOSE(CONTROL!$C$38, 0.0354, 0)</f>
        <v>34.305500000000002</v>
      </c>
      <c r="E460" s="45">
        <f>36.161 * CHOOSE(CONTROL!$C$15, $E$9, 100%, $G$9) + CHOOSE(CONTROL!$C$38, 0.0354, 0)</f>
        <v>36.196400000000004</v>
      </c>
      <c r="F460" s="44">
        <f>36.161 * CHOOSE(CONTROL!$C$15, $E$9, 100%, $G$9) + CHOOSE(CONTROL!$C$38, 0.0264, 0)</f>
        <v>36.187400000000004</v>
      </c>
      <c r="G460" s="14">
        <f>34.2764 * CHOOSE(CONTROL!$C$15, $E$9, 100%, $G$9) + CHOOSE(CONTROL!$C$38, 0.0354, 0)</f>
        <v>34.311800000000005</v>
      </c>
      <c r="H460" s="14">
        <f>34.2764 * CHOOSE(CONTROL!$C$15, $E$9, 100%, $G$9) + CHOOSE(CONTROL!$C$38, 0.0354, 0)</f>
        <v>34.311800000000005</v>
      </c>
      <c r="I460" s="14">
        <f>34.278 * CHOOSE(CONTROL!$C$15, $E$9, 100%, $G$9) + CHOOSE(CONTROL!$C$38, 0.0354, 0)</f>
        <v>34.313400000000001</v>
      </c>
      <c r="J460" s="43">
        <f>287.4155</f>
        <v>287.41550000000001</v>
      </c>
    </row>
    <row r="461" spans="1:10" ht="15.75" x14ac:dyDescent="0.25">
      <c r="A461" s="32">
        <v>54969</v>
      </c>
      <c r="B461" s="14">
        <f>35.7529 * CHOOSE(CONTROL!$C$15, $E$9, 100%, $G$9) + CHOOSE(CONTROL!$C$38, 0.0264, 0)</f>
        <v>35.779299999999999</v>
      </c>
      <c r="C461" s="14">
        <f>33.7136 * CHOOSE(CONTROL!$C$15, $E$9, 100%, $G$9) + CHOOSE(CONTROL!$C$38, 0.0354, 0)</f>
        <v>33.749000000000002</v>
      </c>
      <c r="D461" s="14">
        <f>33.7058 * CHOOSE(CONTROL!$C$15, $E$9, 100%, $G$9) + CHOOSE(CONTROL!$C$38, 0.0354, 0)</f>
        <v>33.741200000000006</v>
      </c>
      <c r="E461" s="45">
        <f>35.5967 * CHOOSE(CONTROL!$C$15, $E$9, 100%, $G$9) + CHOOSE(CONTROL!$C$38, 0.0354, 0)</f>
        <v>35.632100000000001</v>
      </c>
      <c r="F461" s="44">
        <f>35.5967 * CHOOSE(CONTROL!$C$15, $E$9, 100%, $G$9) + CHOOSE(CONTROL!$C$38, 0.0264, 0)</f>
        <v>35.623100000000001</v>
      </c>
      <c r="G461" s="14">
        <f>33.7121 * CHOOSE(CONTROL!$C$15, $E$9, 100%, $G$9) + CHOOSE(CONTROL!$C$38, 0.0354, 0)</f>
        <v>33.747500000000002</v>
      </c>
      <c r="H461" s="14">
        <f>33.7121 * CHOOSE(CONTROL!$C$15, $E$9, 100%, $G$9) + CHOOSE(CONTROL!$C$38, 0.0354, 0)</f>
        <v>33.747500000000002</v>
      </c>
      <c r="I461" s="14">
        <f>33.7136 * CHOOSE(CONTROL!$C$15, $E$9, 100%, $G$9) + CHOOSE(CONTROL!$C$38, 0.0354, 0)</f>
        <v>33.749000000000002</v>
      </c>
      <c r="J461" s="43">
        <f>291.5569</f>
        <v>291.55689999999998</v>
      </c>
    </row>
    <row r="462" spans="1:10" ht="15.75" x14ac:dyDescent="0.25">
      <c r="A462" s="32">
        <v>55000</v>
      </c>
      <c r="B462" s="14">
        <f>35.4309 * CHOOSE(CONTROL!$C$15, $E$9, 100%, $G$9) + CHOOSE(CONTROL!$C$38, 0.0264, 0)</f>
        <v>35.457300000000004</v>
      </c>
      <c r="C462" s="14">
        <f>33.3916 * CHOOSE(CONTROL!$C$15, $E$9, 100%, $G$9) + CHOOSE(CONTROL!$C$38, 0.0354, 0)</f>
        <v>33.427</v>
      </c>
      <c r="D462" s="14">
        <f>33.3838 * CHOOSE(CONTROL!$C$15, $E$9, 100%, $G$9) + CHOOSE(CONTROL!$C$38, 0.0354, 0)</f>
        <v>33.419200000000004</v>
      </c>
      <c r="E462" s="45">
        <f>35.2746 * CHOOSE(CONTROL!$C$15, $E$9, 100%, $G$9) + CHOOSE(CONTROL!$C$38, 0.0354, 0)</f>
        <v>35.31</v>
      </c>
      <c r="F462" s="44">
        <f>35.2746 * CHOOSE(CONTROL!$C$15, $E$9, 100%, $G$9) + CHOOSE(CONTROL!$C$38, 0.0264, 0)</f>
        <v>35.301000000000002</v>
      </c>
      <c r="G462" s="14">
        <f>33.39 * CHOOSE(CONTROL!$C$15, $E$9, 100%, $G$9) + CHOOSE(CONTROL!$C$38, 0.0354, 0)</f>
        <v>33.425400000000003</v>
      </c>
      <c r="H462" s="14">
        <f>33.39 * CHOOSE(CONTROL!$C$15, $E$9, 100%, $G$9) + CHOOSE(CONTROL!$C$38, 0.0354, 0)</f>
        <v>33.425400000000003</v>
      </c>
      <c r="I462" s="14">
        <f>33.3916 * CHOOSE(CONTROL!$C$15, $E$9, 100%, $G$9) + CHOOSE(CONTROL!$C$38, 0.0354, 0)</f>
        <v>33.427</v>
      </c>
      <c r="J462" s="43">
        <f>290.1933</f>
        <v>290.19330000000002</v>
      </c>
    </row>
    <row r="463" spans="1:10" ht="15.75" x14ac:dyDescent="0.25">
      <c r="A463" s="32">
        <v>55031</v>
      </c>
      <c r="B463" s="14">
        <f>35.5898 * CHOOSE(CONTROL!$C$15, $E$9, 100%, $G$9) + CHOOSE(CONTROL!$C$38, 0.0264, 0)</f>
        <v>35.616199999999999</v>
      </c>
      <c r="C463" s="14">
        <f>33.5505 * CHOOSE(CONTROL!$C$15, $E$9, 100%, $G$9) + CHOOSE(CONTROL!$C$38, 0.0354, 0)</f>
        <v>33.585900000000002</v>
      </c>
      <c r="D463" s="14">
        <f>33.5427 * CHOOSE(CONTROL!$C$15, $E$9, 100%, $G$9) + CHOOSE(CONTROL!$C$38, 0.0354, 0)</f>
        <v>33.578100000000006</v>
      </c>
      <c r="E463" s="45">
        <f>35.4336 * CHOOSE(CONTROL!$C$15, $E$9, 100%, $G$9) + CHOOSE(CONTROL!$C$38, 0.0354, 0)</f>
        <v>35.469000000000001</v>
      </c>
      <c r="F463" s="44">
        <f>35.4336 * CHOOSE(CONTROL!$C$15, $E$9, 100%, $G$9) + CHOOSE(CONTROL!$C$38, 0.0264, 0)</f>
        <v>35.46</v>
      </c>
      <c r="G463" s="14">
        <f>33.549 * CHOOSE(CONTROL!$C$15, $E$9, 100%, $G$9) + CHOOSE(CONTROL!$C$38, 0.0354, 0)</f>
        <v>33.584400000000002</v>
      </c>
      <c r="H463" s="14">
        <f>33.549 * CHOOSE(CONTROL!$C$15, $E$9, 100%, $G$9) + CHOOSE(CONTROL!$C$38, 0.0354, 0)</f>
        <v>33.584400000000002</v>
      </c>
      <c r="I463" s="14">
        <f>33.5505 * CHOOSE(CONTROL!$C$15, $E$9, 100%, $G$9) + CHOOSE(CONTROL!$C$38, 0.0354, 0)</f>
        <v>33.585900000000002</v>
      </c>
      <c r="J463" s="43">
        <f>283.4378</f>
        <v>283.43779999999998</v>
      </c>
    </row>
    <row r="464" spans="1:10" ht="15.75" x14ac:dyDescent="0.25">
      <c r="A464" s="32">
        <v>55061</v>
      </c>
      <c r="B464" s="14">
        <f>36.0215 * CHOOSE(CONTROL!$C$15, $E$9, 100%, $G$9) + CHOOSE(CONTROL!$C$38, 0.0264, 0)</f>
        <v>36.047900000000006</v>
      </c>
      <c r="C464" s="14">
        <f>33.9822 * CHOOSE(CONTROL!$C$15, $E$9, 100%, $G$9) + CHOOSE(CONTROL!$C$38, 0.0354, 0)</f>
        <v>34.017600000000002</v>
      </c>
      <c r="D464" s="14">
        <f>33.9744 * CHOOSE(CONTROL!$C$15, $E$9, 100%, $G$9) + CHOOSE(CONTROL!$C$38, 0.0354, 0)</f>
        <v>34.009800000000006</v>
      </c>
      <c r="E464" s="45">
        <f>35.8653 * CHOOSE(CONTROL!$C$15, $E$9, 100%, $G$9) + CHOOSE(CONTROL!$C$38, 0.0354, 0)</f>
        <v>35.900700000000001</v>
      </c>
      <c r="F464" s="44">
        <f>35.8653 * CHOOSE(CONTROL!$C$15, $E$9, 100%, $G$9) + CHOOSE(CONTROL!$C$38, 0.0264, 0)</f>
        <v>35.8917</v>
      </c>
      <c r="G464" s="14">
        <f>33.9807 * CHOOSE(CONTROL!$C$15, $E$9, 100%, $G$9) + CHOOSE(CONTROL!$C$38, 0.0354, 0)</f>
        <v>34.016100000000002</v>
      </c>
      <c r="H464" s="14">
        <f>33.9807 * CHOOSE(CONTROL!$C$15, $E$9, 100%, $G$9) + CHOOSE(CONTROL!$C$38, 0.0354, 0)</f>
        <v>34.016100000000002</v>
      </c>
      <c r="I464" s="14">
        <f>33.9822 * CHOOSE(CONTROL!$C$15, $E$9, 100%, $G$9) + CHOOSE(CONTROL!$C$38, 0.0354, 0)</f>
        <v>34.017600000000002</v>
      </c>
      <c r="J464" s="43">
        <f>274.0168</f>
        <v>274.01679999999999</v>
      </c>
    </row>
    <row r="465" spans="1:10" ht="15.75" x14ac:dyDescent="0.25">
      <c r="A465" s="32">
        <v>55092</v>
      </c>
      <c r="B465" s="14">
        <f>36.3831 * CHOOSE(CONTROL!$C$15, $E$9, 100%, $G$9) + CHOOSE(CONTROL!$C$38, 0.0251, 0)</f>
        <v>36.408200000000001</v>
      </c>
      <c r="C465" s="14">
        <f>34.3438 * CHOOSE(CONTROL!$C$15, $E$9, 100%, $G$9) + CHOOSE(CONTROL!$C$38, 0.0342, 0)</f>
        <v>34.378</v>
      </c>
      <c r="D465" s="14">
        <f>34.336 * CHOOSE(CONTROL!$C$15, $E$9, 100%, $G$9) + CHOOSE(CONTROL!$C$38, 0.0342, 0)</f>
        <v>34.370199999999997</v>
      </c>
      <c r="E465" s="45">
        <f>36.2269 * CHOOSE(CONTROL!$C$15, $E$9, 100%, $G$9) + CHOOSE(CONTROL!$C$38, 0.0342, 0)</f>
        <v>36.261099999999999</v>
      </c>
      <c r="F465" s="44">
        <f>36.2269 * CHOOSE(CONTROL!$C$15, $E$9, 100%, $G$9) + CHOOSE(CONTROL!$C$38, 0.0251, 0)</f>
        <v>36.252000000000002</v>
      </c>
      <c r="G465" s="14">
        <f>34.3422 * CHOOSE(CONTROL!$C$15, $E$9, 100%, $G$9) + CHOOSE(CONTROL!$C$38, 0.0342, 0)</f>
        <v>34.376399999999997</v>
      </c>
      <c r="H465" s="14">
        <f>34.3422 * CHOOSE(CONTROL!$C$15, $E$9, 100%, $G$9) + CHOOSE(CONTROL!$C$38, 0.0342, 0)</f>
        <v>34.376399999999997</v>
      </c>
      <c r="I465" s="14">
        <f>34.3438 * CHOOSE(CONTROL!$C$15, $E$9, 100%, $G$9) + CHOOSE(CONTROL!$C$38, 0.0342, 0)</f>
        <v>34.378</v>
      </c>
      <c r="J465" s="43">
        <f>264.541</f>
        <v>264.541</v>
      </c>
    </row>
    <row r="466" spans="1:10" ht="15.75" x14ac:dyDescent="0.25">
      <c r="A466" s="32">
        <v>55122</v>
      </c>
      <c r="B466" s="14">
        <f>36.6848 * CHOOSE(CONTROL!$C$15, $E$9, 100%, $G$9) + CHOOSE(CONTROL!$C$38, 0.0251, 0)</f>
        <v>36.709900000000005</v>
      </c>
      <c r="C466" s="14">
        <f>34.6455 * CHOOSE(CONTROL!$C$15, $E$9, 100%, $G$9) + CHOOSE(CONTROL!$C$38, 0.0342, 0)</f>
        <v>34.679699999999997</v>
      </c>
      <c r="D466" s="14">
        <f>34.6377 * CHOOSE(CONTROL!$C$15, $E$9, 100%, $G$9) + CHOOSE(CONTROL!$C$38, 0.0342, 0)</f>
        <v>34.671900000000001</v>
      </c>
      <c r="E466" s="45">
        <f>36.5286 * CHOOSE(CONTROL!$C$15, $E$9, 100%, $G$9) + CHOOSE(CONTROL!$C$38, 0.0342, 0)</f>
        <v>36.562799999999996</v>
      </c>
      <c r="F466" s="44">
        <f>36.5286 * CHOOSE(CONTROL!$C$15, $E$9, 100%, $G$9) + CHOOSE(CONTROL!$C$38, 0.0251, 0)</f>
        <v>36.553699999999999</v>
      </c>
      <c r="G466" s="14">
        <f>34.6439 * CHOOSE(CONTROL!$C$15, $E$9, 100%, $G$9) + CHOOSE(CONTROL!$C$38, 0.0342, 0)</f>
        <v>34.678100000000001</v>
      </c>
      <c r="H466" s="14">
        <f>34.6439 * CHOOSE(CONTROL!$C$15, $E$9, 100%, $G$9) + CHOOSE(CONTROL!$C$38, 0.0342, 0)</f>
        <v>34.678100000000001</v>
      </c>
      <c r="I466" s="14">
        <f>34.6455 * CHOOSE(CONTROL!$C$15, $E$9, 100%, $G$9) + CHOOSE(CONTROL!$C$38, 0.0342, 0)</f>
        <v>34.679699999999997</v>
      </c>
      <c r="J466" s="43">
        <f>262.6561</f>
        <v>262.65609999999998</v>
      </c>
    </row>
    <row r="467" spans="1:10" ht="15.75" x14ac:dyDescent="0.25">
      <c r="A467" s="32">
        <v>55153</v>
      </c>
      <c r="B467" s="14">
        <f>37.6145 * CHOOSE(CONTROL!$C$15, $E$9, 100%, $G$9) + CHOOSE(CONTROL!$C$38, 0.0251, 0)</f>
        <v>37.639600000000002</v>
      </c>
      <c r="C467" s="14">
        <f>35.5752 * CHOOSE(CONTROL!$C$15, $E$9, 100%, $G$9) + CHOOSE(CONTROL!$C$38, 0.0342, 0)</f>
        <v>35.609400000000001</v>
      </c>
      <c r="D467" s="14">
        <f>35.5673 * CHOOSE(CONTROL!$C$15, $E$9, 100%, $G$9) + CHOOSE(CONTROL!$C$38, 0.0342, 0)</f>
        <v>35.601500000000001</v>
      </c>
      <c r="E467" s="45">
        <f>37.4582 * CHOOSE(CONTROL!$C$15, $E$9, 100%, $G$9) + CHOOSE(CONTROL!$C$38, 0.0342, 0)</f>
        <v>37.492399999999996</v>
      </c>
      <c r="F467" s="44">
        <f>37.4582 * CHOOSE(CONTROL!$C$15, $E$9, 100%, $G$9) + CHOOSE(CONTROL!$C$38, 0.0251, 0)</f>
        <v>37.4833</v>
      </c>
      <c r="G467" s="14">
        <f>35.5736 * CHOOSE(CONTROL!$C$15, $E$9, 100%, $G$9) + CHOOSE(CONTROL!$C$38, 0.0342, 0)</f>
        <v>35.607799999999997</v>
      </c>
      <c r="H467" s="14">
        <f>35.5736 * CHOOSE(CONTROL!$C$15, $E$9, 100%, $G$9) + CHOOSE(CONTROL!$C$38, 0.0342, 0)</f>
        <v>35.607799999999997</v>
      </c>
      <c r="I467" s="14">
        <f>35.5752 * CHOOSE(CONTROL!$C$15, $E$9, 100%, $G$9) + CHOOSE(CONTROL!$C$38, 0.0342, 0)</f>
        <v>35.609400000000001</v>
      </c>
      <c r="J467" s="43">
        <f>254.8617</f>
        <v>254.86170000000001</v>
      </c>
    </row>
    <row r="468" spans="1:10" ht="15.75" x14ac:dyDescent="0.25">
      <c r="A468" s="32">
        <v>55184</v>
      </c>
      <c r="B468" s="14">
        <f>38.9555 * CHOOSE(CONTROL!$C$15, $E$9, 100%, $G$9) + CHOOSE(CONTROL!$C$38, 0.0251, 0)</f>
        <v>38.980600000000003</v>
      </c>
      <c r="C468" s="14">
        <f>36.8845 * CHOOSE(CONTROL!$C$15, $E$9, 100%, $G$9) + CHOOSE(CONTROL!$C$38, 0.0342, 0)</f>
        <v>36.918700000000001</v>
      </c>
      <c r="D468" s="14">
        <f>36.8767 * CHOOSE(CONTROL!$C$15, $E$9, 100%, $G$9) + CHOOSE(CONTROL!$C$38, 0.0342, 0)</f>
        <v>36.910899999999998</v>
      </c>
      <c r="E468" s="45">
        <f>38.7992 * CHOOSE(CONTROL!$C$15, $E$9, 100%, $G$9) + CHOOSE(CONTROL!$C$38, 0.0342, 0)</f>
        <v>38.833399999999997</v>
      </c>
      <c r="F468" s="44">
        <f>38.7992 * CHOOSE(CONTROL!$C$15, $E$9, 100%, $G$9) + CHOOSE(CONTROL!$C$38, 0.0251, 0)</f>
        <v>38.824300000000001</v>
      </c>
      <c r="G468" s="14">
        <f>36.883 * CHOOSE(CONTROL!$C$15, $E$9, 100%, $G$9) + CHOOSE(CONTROL!$C$38, 0.0342, 0)</f>
        <v>36.917200000000001</v>
      </c>
      <c r="H468" s="14">
        <f>36.883 * CHOOSE(CONTROL!$C$15, $E$9, 100%, $G$9) + CHOOSE(CONTROL!$C$38, 0.0342, 0)</f>
        <v>36.917200000000001</v>
      </c>
      <c r="I468" s="14">
        <f>36.8845 * CHOOSE(CONTROL!$C$15, $E$9, 100%, $G$9) + CHOOSE(CONTROL!$C$38, 0.0342, 0)</f>
        <v>36.918700000000001</v>
      </c>
      <c r="J468" s="43">
        <f>254.6777</f>
        <v>254.67769999999999</v>
      </c>
    </row>
    <row r="469" spans="1:10" ht="15.75" x14ac:dyDescent="0.25">
      <c r="A469" s="32">
        <v>55212</v>
      </c>
      <c r="B469" s="14">
        <f>39.2998 * CHOOSE(CONTROL!$C$15, $E$9, 100%, $G$9) + CHOOSE(CONTROL!$C$38, 0.0251, 0)</f>
        <v>39.3249</v>
      </c>
      <c r="C469" s="14">
        <f>37.2288 * CHOOSE(CONTROL!$C$15, $E$9, 100%, $G$9) + CHOOSE(CONTROL!$C$38, 0.0342, 0)</f>
        <v>37.262999999999998</v>
      </c>
      <c r="D469" s="14">
        <f>37.221 * CHOOSE(CONTROL!$C$15, $E$9, 100%, $G$9) + CHOOSE(CONTROL!$C$38, 0.0342, 0)</f>
        <v>37.255199999999995</v>
      </c>
      <c r="E469" s="45">
        <f>39.1435 * CHOOSE(CONTROL!$C$15, $E$9, 100%, $G$9) + CHOOSE(CONTROL!$C$38, 0.0342, 0)</f>
        <v>39.177700000000002</v>
      </c>
      <c r="F469" s="44">
        <f>39.1435 * CHOOSE(CONTROL!$C$15, $E$9, 100%, $G$9) + CHOOSE(CONTROL!$C$38, 0.0251, 0)</f>
        <v>39.168600000000005</v>
      </c>
      <c r="G469" s="14">
        <f>37.2273 * CHOOSE(CONTROL!$C$15, $E$9, 100%, $G$9) + CHOOSE(CONTROL!$C$38, 0.0342, 0)</f>
        <v>37.261499999999998</v>
      </c>
      <c r="H469" s="14">
        <f>37.2273 * CHOOSE(CONTROL!$C$15, $E$9, 100%, $G$9) + CHOOSE(CONTROL!$C$38, 0.0342, 0)</f>
        <v>37.261499999999998</v>
      </c>
      <c r="I469" s="14">
        <f>37.2288 * CHOOSE(CONTROL!$C$15, $E$9, 100%, $G$9) + CHOOSE(CONTROL!$C$38, 0.0342, 0)</f>
        <v>37.262999999999998</v>
      </c>
      <c r="J469" s="43">
        <f>253.9698</f>
        <v>253.96979999999999</v>
      </c>
    </row>
    <row r="470" spans="1:10" ht="15.75" x14ac:dyDescent="0.25">
      <c r="A470" s="32">
        <v>55243</v>
      </c>
      <c r="B470" s="14">
        <f>38.5028 * CHOOSE(CONTROL!$C$15, $E$9, 100%, $G$9) + CHOOSE(CONTROL!$C$38, 0.0251, 0)</f>
        <v>38.527900000000002</v>
      </c>
      <c r="C470" s="14">
        <f>36.4318 * CHOOSE(CONTROL!$C$15, $E$9, 100%, $G$9) + CHOOSE(CONTROL!$C$38, 0.0342, 0)</f>
        <v>36.466000000000001</v>
      </c>
      <c r="D470" s="14">
        <f>36.424 * CHOOSE(CONTROL!$C$15, $E$9, 100%, $G$9) + CHOOSE(CONTROL!$C$38, 0.0342, 0)</f>
        <v>36.458199999999998</v>
      </c>
      <c r="E470" s="45">
        <f>38.3465 * CHOOSE(CONTROL!$C$15, $E$9, 100%, $G$9) + CHOOSE(CONTROL!$C$38, 0.0342, 0)</f>
        <v>38.380699999999997</v>
      </c>
      <c r="F470" s="44">
        <f>38.3465 * CHOOSE(CONTROL!$C$15, $E$9, 100%, $G$9) + CHOOSE(CONTROL!$C$38, 0.0251, 0)</f>
        <v>38.371600000000001</v>
      </c>
      <c r="G470" s="14">
        <f>36.4302 * CHOOSE(CONTROL!$C$15, $E$9, 100%, $G$9) + CHOOSE(CONTROL!$C$38, 0.0342, 0)</f>
        <v>36.464399999999998</v>
      </c>
      <c r="H470" s="14">
        <f>36.4302 * CHOOSE(CONTROL!$C$15, $E$9, 100%, $G$9) + CHOOSE(CONTROL!$C$38, 0.0342, 0)</f>
        <v>36.464399999999998</v>
      </c>
      <c r="I470" s="14">
        <f>36.4318 * CHOOSE(CONTROL!$C$15, $E$9, 100%, $G$9) + CHOOSE(CONTROL!$C$38, 0.0342, 0)</f>
        <v>36.466000000000001</v>
      </c>
      <c r="J470" s="43">
        <f>267.3555</f>
        <v>267.35550000000001</v>
      </c>
    </row>
    <row r="471" spans="1:10" ht="15.75" x14ac:dyDescent="0.25">
      <c r="A471" s="32">
        <v>55273</v>
      </c>
      <c r="B471" s="14">
        <f>37.7305 * CHOOSE(CONTROL!$C$15, $E$9, 100%, $G$9) + CHOOSE(CONTROL!$C$38, 0.0251, 0)</f>
        <v>37.755600000000001</v>
      </c>
      <c r="C471" s="14">
        <f>35.6595 * CHOOSE(CONTROL!$C$15, $E$9, 100%, $G$9) + CHOOSE(CONTROL!$C$38, 0.0342, 0)</f>
        <v>35.6937</v>
      </c>
      <c r="D471" s="14">
        <f>35.6517 * CHOOSE(CONTROL!$C$15, $E$9, 100%, $G$9) + CHOOSE(CONTROL!$C$38, 0.0342, 0)</f>
        <v>35.685899999999997</v>
      </c>
      <c r="E471" s="45">
        <f>37.5742 * CHOOSE(CONTROL!$C$15, $E$9, 100%, $G$9) + CHOOSE(CONTROL!$C$38, 0.0342, 0)</f>
        <v>37.608399999999996</v>
      </c>
      <c r="F471" s="44">
        <f>37.5742 * CHOOSE(CONTROL!$C$15, $E$9, 100%, $G$9) + CHOOSE(CONTROL!$C$38, 0.0251, 0)</f>
        <v>37.599299999999999</v>
      </c>
      <c r="G471" s="14">
        <f>35.6579 * CHOOSE(CONTROL!$C$15, $E$9, 100%, $G$9) + CHOOSE(CONTROL!$C$38, 0.0342, 0)</f>
        <v>35.692099999999996</v>
      </c>
      <c r="H471" s="14">
        <f>35.6579 * CHOOSE(CONTROL!$C$15, $E$9, 100%, $G$9) + CHOOSE(CONTROL!$C$38, 0.0342, 0)</f>
        <v>35.692099999999996</v>
      </c>
      <c r="I471" s="14">
        <f>35.6595 * CHOOSE(CONTROL!$C$15, $E$9, 100%, $G$9) + CHOOSE(CONTROL!$C$38, 0.0342, 0)</f>
        <v>35.6937</v>
      </c>
      <c r="J471" s="43">
        <f>284.7135</f>
        <v>284.71350000000001</v>
      </c>
    </row>
    <row r="472" spans="1:10" ht="15.75" x14ac:dyDescent="0.25">
      <c r="A472" s="32">
        <v>55304</v>
      </c>
      <c r="B472" s="14">
        <f>36.9255 * CHOOSE(CONTROL!$C$15, $E$9, 100%, $G$9) + CHOOSE(CONTROL!$C$38, 0.0264, 0)</f>
        <v>36.951900000000002</v>
      </c>
      <c r="C472" s="14">
        <f>34.8545 * CHOOSE(CONTROL!$C$15, $E$9, 100%, $G$9) + CHOOSE(CONTROL!$C$38, 0.0354, 0)</f>
        <v>34.889900000000004</v>
      </c>
      <c r="D472" s="14">
        <f>34.8467 * CHOOSE(CONTROL!$C$15, $E$9, 100%, $G$9) + CHOOSE(CONTROL!$C$38, 0.0354, 0)</f>
        <v>34.882100000000001</v>
      </c>
      <c r="E472" s="45">
        <f>36.7692 * CHOOSE(CONTROL!$C$15, $E$9, 100%, $G$9) + CHOOSE(CONTROL!$C$38, 0.0354, 0)</f>
        <v>36.804600000000001</v>
      </c>
      <c r="F472" s="44">
        <f>36.7692 * CHOOSE(CONTROL!$C$15, $E$9, 100%, $G$9) + CHOOSE(CONTROL!$C$38, 0.0264, 0)</f>
        <v>36.7956</v>
      </c>
      <c r="G472" s="14">
        <f>34.853 * CHOOSE(CONTROL!$C$15, $E$9, 100%, $G$9) + CHOOSE(CONTROL!$C$38, 0.0354, 0)</f>
        <v>34.888400000000004</v>
      </c>
      <c r="H472" s="14">
        <f>34.853 * CHOOSE(CONTROL!$C$15, $E$9, 100%, $G$9) + CHOOSE(CONTROL!$C$38, 0.0354, 0)</f>
        <v>34.888400000000004</v>
      </c>
      <c r="I472" s="14">
        <f>34.8545 * CHOOSE(CONTROL!$C$15, $E$9, 100%, $G$9) + CHOOSE(CONTROL!$C$38, 0.0354, 0)</f>
        <v>34.889900000000004</v>
      </c>
      <c r="J472" s="43">
        <f>294.2679</f>
        <v>294.2679</v>
      </c>
    </row>
    <row r="473" spans="1:10" ht="15.75" x14ac:dyDescent="0.25">
      <c r="A473" s="32">
        <v>55334</v>
      </c>
      <c r="B473" s="14">
        <f>36.3612 * CHOOSE(CONTROL!$C$15, $E$9, 100%, $G$9) + CHOOSE(CONTROL!$C$38, 0.0264, 0)</f>
        <v>36.387599999999999</v>
      </c>
      <c r="C473" s="14">
        <f>34.2902 * CHOOSE(CONTROL!$C$15, $E$9, 100%, $G$9) + CHOOSE(CONTROL!$C$38, 0.0354, 0)</f>
        <v>34.325600000000001</v>
      </c>
      <c r="D473" s="14">
        <f>34.2824 * CHOOSE(CONTROL!$C$15, $E$9, 100%, $G$9) + CHOOSE(CONTROL!$C$38, 0.0354, 0)</f>
        <v>34.317800000000005</v>
      </c>
      <c r="E473" s="45">
        <f>36.2049 * CHOOSE(CONTROL!$C$15, $E$9, 100%, $G$9) + CHOOSE(CONTROL!$C$38, 0.0354, 0)</f>
        <v>36.240300000000005</v>
      </c>
      <c r="F473" s="44">
        <f>36.2049 * CHOOSE(CONTROL!$C$15, $E$9, 100%, $G$9) + CHOOSE(CONTROL!$C$38, 0.0264, 0)</f>
        <v>36.231300000000005</v>
      </c>
      <c r="G473" s="14">
        <f>34.2886 * CHOOSE(CONTROL!$C$15, $E$9, 100%, $G$9) + CHOOSE(CONTROL!$C$38, 0.0354, 0)</f>
        <v>34.324000000000005</v>
      </c>
      <c r="H473" s="14">
        <f>34.2886 * CHOOSE(CONTROL!$C$15, $E$9, 100%, $G$9) + CHOOSE(CONTROL!$C$38, 0.0354, 0)</f>
        <v>34.324000000000005</v>
      </c>
      <c r="I473" s="14">
        <f>34.2902 * CHOOSE(CONTROL!$C$15, $E$9, 100%, $G$9) + CHOOSE(CONTROL!$C$38, 0.0354, 0)</f>
        <v>34.325600000000001</v>
      </c>
      <c r="J473" s="43">
        <f>298.508</f>
        <v>298.50799999999998</v>
      </c>
    </row>
    <row r="474" spans="1:10" ht="15.75" x14ac:dyDescent="0.25">
      <c r="A474" s="32">
        <v>55365</v>
      </c>
      <c r="B474" s="14">
        <f>36.0391 * CHOOSE(CONTROL!$C$15, $E$9, 100%, $G$9) + CHOOSE(CONTROL!$C$38, 0.0264, 0)</f>
        <v>36.0655</v>
      </c>
      <c r="C474" s="14">
        <f>33.9681 * CHOOSE(CONTROL!$C$15, $E$9, 100%, $G$9) + CHOOSE(CONTROL!$C$38, 0.0354, 0)</f>
        <v>34.003500000000003</v>
      </c>
      <c r="D474" s="14">
        <f>33.9603 * CHOOSE(CONTROL!$C$15, $E$9, 100%, $G$9) + CHOOSE(CONTROL!$C$38, 0.0354, 0)</f>
        <v>33.995699999999999</v>
      </c>
      <c r="E474" s="45">
        <f>35.8828 * CHOOSE(CONTROL!$C$15, $E$9, 100%, $G$9) + CHOOSE(CONTROL!$C$38, 0.0354, 0)</f>
        <v>35.918200000000006</v>
      </c>
      <c r="F474" s="44">
        <f>35.8828 * CHOOSE(CONTROL!$C$15, $E$9, 100%, $G$9) + CHOOSE(CONTROL!$C$38, 0.0264, 0)</f>
        <v>35.909200000000006</v>
      </c>
      <c r="G474" s="14">
        <f>33.9666 * CHOOSE(CONTROL!$C$15, $E$9, 100%, $G$9) + CHOOSE(CONTROL!$C$38, 0.0354, 0)</f>
        <v>34.002000000000002</v>
      </c>
      <c r="H474" s="14">
        <f>33.9666 * CHOOSE(CONTROL!$C$15, $E$9, 100%, $G$9) + CHOOSE(CONTROL!$C$38, 0.0354, 0)</f>
        <v>34.002000000000002</v>
      </c>
      <c r="I474" s="14">
        <f>33.9681 * CHOOSE(CONTROL!$C$15, $E$9, 100%, $G$9) + CHOOSE(CONTROL!$C$38, 0.0354, 0)</f>
        <v>34.003500000000003</v>
      </c>
      <c r="J474" s="43">
        <f>297.112</f>
        <v>297.11200000000002</v>
      </c>
    </row>
    <row r="475" spans="1:10" ht="15.75" x14ac:dyDescent="0.25">
      <c r="A475" s="32">
        <v>55396</v>
      </c>
      <c r="B475" s="14">
        <f>36.198 * CHOOSE(CONTROL!$C$15, $E$9, 100%, $G$9) + CHOOSE(CONTROL!$C$38, 0.0264, 0)</f>
        <v>36.224400000000003</v>
      </c>
      <c r="C475" s="14">
        <f>34.1271 * CHOOSE(CONTROL!$C$15, $E$9, 100%, $G$9) + CHOOSE(CONTROL!$C$38, 0.0354, 0)</f>
        <v>34.162500000000001</v>
      </c>
      <c r="D475" s="14">
        <f>34.1193 * CHOOSE(CONTROL!$C$15, $E$9, 100%, $G$9) + CHOOSE(CONTROL!$C$38, 0.0354, 0)</f>
        <v>34.154700000000005</v>
      </c>
      <c r="E475" s="45">
        <f>36.0418 * CHOOSE(CONTROL!$C$15, $E$9, 100%, $G$9) + CHOOSE(CONTROL!$C$38, 0.0354, 0)</f>
        <v>36.077200000000005</v>
      </c>
      <c r="F475" s="44">
        <f>36.0418 * CHOOSE(CONTROL!$C$15, $E$9, 100%, $G$9) + CHOOSE(CONTROL!$C$38, 0.0264, 0)</f>
        <v>36.068200000000004</v>
      </c>
      <c r="G475" s="14">
        <f>34.1255 * CHOOSE(CONTROL!$C$15, $E$9, 100%, $G$9) + CHOOSE(CONTROL!$C$38, 0.0354, 0)</f>
        <v>34.160900000000005</v>
      </c>
      <c r="H475" s="14">
        <f>34.1255 * CHOOSE(CONTROL!$C$15, $E$9, 100%, $G$9) + CHOOSE(CONTROL!$C$38, 0.0354, 0)</f>
        <v>34.160900000000005</v>
      </c>
      <c r="I475" s="14">
        <f>34.1271 * CHOOSE(CONTROL!$C$15, $E$9, 100%, $G$9) + CHOOSE(CONTROL!$C$38, 0.0354, 0)</f>
        <v>34.162500000000001</v>
      </c>
      <c r="J475" s="43">
        <f>290.1954</f>
        <v>290.19540000000001</v>
      </c>
    </row>
    <row r="476" spans="1:10" ht="15.75" x14ac:dyDescent="0.25">
      <c r="A476" s="32">
        <v>55426</v>
      </c>
      <c r="B476" s="14">
        <f>36.6298 * CHOOSE(CONTROL!$C$15, $E$9, 100%, $G$9) + CHOOSE(CONTROL!$C$38, 0.0264, 0)</f>
        <v>36.656200000000005</v>
      </c>
      <c r="C476" s="14">
        <f>34.5588 * CHOOSE(CONTROL!$C$15, $E$9, 100%, $G$9) + CHOOSE(CONTROL!$C$38, 0.0354, 0)</f>
        <v>34.594200000000001</v>
      </c>
      <c r="D476" s="14">
        <f>34.551 * CHOOSE(CONTROL!$C$15, $E$9, 100%, $G$9) + CHOOSE(CONTROL!$C$38, 0.0354, 0)</f>
        <v>34.586400000000005</v>
      </c>
      <c r="E476" s="45">
        <f>36.4735 * CHOOSE(CONTROL!$C$15, $E$9, 100%, $G$9) + CHOOSE(CONTROL!$C$38, 0.0354, 0)</f>
        <v>36.508900000000004</v>
      </c>
      <c r="F476" s="44">
        <f>36.4735 * CHOOSE(CONTROL!$C$15, $E$9, 100%, $G$9) + CHOOSE(CONTROL!$C$38, 0.0264, 0)</f>
        <v>36.499900000000004</v>
      </c>
      <c r="G476" s="14">
        <f>34.5572 * CHOOSE(CONTROL!$C$15, $E$9, 100%, $G$9) + CHOOSE(CONTROL!$C$38, 0.0354, 0)</f>
        <v>34.592600000000004</v>
      </c>
      <c r="H476" s="14">
        <f>34.5572 * CHOOSE(CONTROL!$C$15, $E$9, 100%, $G$9) + CHOOSE(CONTROL!$C$38, 0.0354, 0)</f>
        <v>34.592600000000004</v>
      </c>
      <c r="I476" s="14">
        <f>34.5588 * CHOOSE(CONTROL!$C$15, $E$9, 100%, $G$9) + CHOOSE(CONTROL!$C$38, 0.0354, 0)</f>
        <v>34.594200000000001</v>
      </c>
      <c r="J476" s="43">
        <f>280.5498</f>
        <v>280.5498</v>
      </c>
    </row>
    <row r="477" spans="1:10" ht="15.75" x14ac:dyDescent="0.25">
      <c r="A477" s="32">
        <v>55457</v>
      </c>
      <c r="B477" s="14">
        <f>36.9913 * CHOOSE(CONTROL!$C$15, $E$9, 100%, $G$9) + CHOOSE(CONTROL!$C$38, 0.0251, 0)</f>
        <v>37.016400000000004</v>
      </c>
      <c r="C477" s="14">
        <f>34.9204 * CHOOSE(CONTROL!$C$15, $E$9, 100%, $G$9) + CHOOSE(CONTROL!$C$38, 0.0342, 0)</f>
        <v>34.954599999999999</v>
      </c>
      <c r="D477" s="14">
        <f>34.9126 * CHOOSE(CONTROL!$C$15, $E$9, 100%, $G$9) + CHOOSE(CONTROL!$C$38, 0.0342, 0)</f>
        <v>34.946799999999996</v>
      </c>
      <c r="E477" s="45">
        <f>36.8351 * CHOOSE(CONTROL!$C$15, $E$9, 100%, $G$9) + CHOOSE(CONTROL!$C$38, 0.0342, 0)</f>
        <v>36.869299999999996</v>
      </c>
      <c r="F477" s="44">
        <f>36.8351 * CHOOSE(CONTROL!$C$15, $E$9, 100%, $G$9) + CHOOSE(CONTROL!$C$38, 0.0251, 0)</f>
        <v>36.860199999999999</v>
      </c>
      <c r="G477" s="14">
        <f>34.9188 * CHOOSE(CONTROL!$C$15, $E$9, 100%, $G$9) + CHOOSE(CONTROL!$C$38, 0.0342, 0)</f>
        <v>34.952999999999996</v>
      </c>
      <c r="H477" s="14">
        <f>34.9188 * CHOOSE(CONTROL!$C$15, $E$9, 100%, $G$9) + CHOOSE(CONTROL!$C$38, 0.0342, 0)</f>
        <v>34.952999999999996</v>
      </c>
      <c r="I477" s="14">
        <f>34.9204 * CHOOSE(CONTROL!$C$15, $E$9, 100%, $G$9) + CHOOSE(CONTROL!$C$38, 0.0342, 0)</f>
        <v>34.954599999999999</v>
      </c>
      <c r="J477" s="43">
        <f>270.8481</f>
        <v>270.84809999999999</v>
      </c>
    </row>
    <row r="478" spans="1:10" ht="15.75" x14ac:dyDescent="0.25">
      <c r="A478" s="32">
        <v>55487</v>
      </c>
      <c r="B478" s="14">
        <f>37.293 * CHOOSE(CONTROL!$C$15, $E$9, 100%, $G$9) + CHOOSE(CONTROL!$C$38, 0.0251, 0)</f>
        <v>37.318100000000001</v>
      </c>
      <c r="C478" s="14">
        <f>35.2221 * CHOOSE(CONTROL!$C$15, $E$9, 100%, $G$9) + CHOOSE(CONTROL!$C$38, 0.0342, 0)</f>
        <v>35.256299999999996</v>
      </c>
      <c r="D478" s="14">
        <f>35.2143 * CHOOSE(CONTROL!$C$15, $E$9, 100%, $G$9) + CHOOSE(CONTROL!$C$38, 0.0342, 0)</f>
        <v>35.2485</v>
      </c>
      <c r="E478" s="45">
        <f>37.1368 * CHOOSE(CONTROL!$C$15, $E$9, 100%, $G$9) + CHOOSE(CONTROL!$C$38, 0.0342, 0)</f>
        <v>37.170999999999999</v>
      </c>
      <c r="F478" s="44">
        <f>37.1368 * CHOOSE(CONTROL!$C$15, $E$9, 100%, $G$9) + CHOOSE(CONTROL!$C$38, 0.0251, 0)</f>
        <v>37.161900000000003</v>
      </c>
      <c r="G478" s="14">
        <f>35.2205 * CHOOSE(CONTROL!$C$15, $E$9, 100%, $G$9) + CHOOSE(CONTROL!$C$38, 0.0342, 0)</f>
        <v>35.2547</v>
      </c>
      <c r="H478" s="14">
        <f>35.2205 * CHOOSE(CONTROL!$C$15, $E$9, 100%, $G$9) + CHOOSE(CONTROL!$C$38, 0.0342, 0)</f>
        <v>35.2547</v>
      </c>
      <c r="I478" s="14">
        <f>35.2221 * CHOOSE(CONTROL!$C$15, $E$9, 100%, $G$9) + CHOOSE(CONTROL!$C$38, 0.0342, 0)</f>
        <v>35.256299999999996</v>
      </c>
      <c r="J478" s="43">
        <f>268.9182</f>
        <v>268.91820000000001</v>
      </c>
    </row>
    <row r="479" spans="1:10" ht="15.75" x14ac:dyDescent="0.25">
      <c r="A479" s="32">
        <v>55518</v>
      </c>
      <c r="B479" s="14">
        <f>38.2227 * CHOOSE(CONTROL!$C$15, $E$9, 100%, $G$9) + CHOOSE(CONTROL!$C$38, 0.0251, 0)</f>
        <v>38.247800000000005</v>
      </c>
      <c r="C479" s="14">
        <f>36.1517 * CHOOSE(CONTROL!$C$15, $E$9, 100%, $G$9) + CHOOSE(CONTROL!$C$38, 0.0342, 0)</f>
        <v>36.185899999999997</v>
      </c>
      <c r="D479" s="14">
        <f>36.1439 * CHOOSE(CONTROL!$C$15, $E$9, 100%, $G$9) + CHOOSE(CONTROL!$C$38, 0.0342, 0)</f>
        <v>36.178100000000001</v>
      </c>
      <c r="E479" s="45">
        <f>38.0664 * CHOOSE(CONTROL!$C$15, $E$9, 100%, $G$9) + CHOOSE(CONTROL!$C$38, 0.0342, 0)</f>
        <v>38.1006</v>
      </c>
      <c r="F479" s="44">
        <f>38.0664 * CHOOSE(CONTROL!$C$15, $E$9, 100%, $G$9) + CHOOSE(CONTROL!$C$38, 0.0251, 0)</f>
        <v>38.091500000000003</v>
      </c>
      <c r="G479" s="14">
        <f>36.1502 * CHOOSE(CONTROL!$C$15, $E$9, 100%, $G$9) + CHOOSE(CONTROL!$C$38, 0.0342, 0)</f>
        <v>36.184399999999997</v>
      </c>
      <c r="H479" s="14">
        <f>36.1502 * CHOOSE(CONTROL!$C$15, $E$9, 100%, $G$9) + CHOOSE(CONTROL!$C$38, 0.0342, 0)</f>
        <v>36.184399999999997</v>
      </c>
      <c r="I479" s="14">
        <f>36.1517 * CHOOSE(CONTROL!$C$15, $E$9, 100%, $G$9) + CHOOSE(CONTROL!$C$38, 0.0342, 0)</f>
        <v>36.185899999999997</v>
      </c>
      <c r="J479" s="43">
        <f>260.938</f>
        <v>260.93799999999999</v>
      </c>
    </row>
    <row r="480" spans="1:10" ht="15.75" x14ac:dyDescent="0.25">
      <c r="A480" s="32">
        <v>55549</v>
      </c>
      <c r="B480" s="14">
        <f>39.5739 * CHOOSE(CONTROL!$C$15, $E$9, 100%, $G$9) + CHOOSE(CONTROL!$C$38, 0.0251, 0)</f>
        <v>39.599000000000004</v>
      </c>
      <c r="C480" s="14">
        <f>37.4708 * CHOOSE(CONTROL!$C$15, $E$9, 100%, $G$9) + CHOOSE(CONTROL!$C$38, 0.0342, 0)</f>
        <v>37.504999999999995</v>
      </c>
      <c r="D480" s="14">
        <f>37.463 * CHOOSE(CONTROL!$C$15, $E$9, 100%, $G$9) + CHOOSE(CONTROL!$C$38, 0.0342, 0)</f>
        <v>37.497199999999999</v>
      </c>
      <c r="E480" s="45">
        <f>39.4177 * CHOOSE(CONTROL!$C$15, $E$9, 100%, $G$9) + CHOOSE(CONTROL!$C$38, 0.0342, 0)</f>
        <v>39.451900000000002</v>
      </c>
      <c r="F480" s="44">
        <f>39.4177 * CHOOSE(CONTROL!$C$15, $E$9, 100%, $G$9) + CHOOSE(CONTROL!$C$38, 0.0251, 0)</f>
        <v>39.442800000000005</v>
      </c>
      <c r="G480" s="14">
        <f>37.4692 * CHOOSE(CONTROL!$C$15, $E$9, 100%, $G$9) + CHOOSE(CONTROL!$C$38, 0.0342, 0)</f>
        <v>37.503399999999999</v>
      </c>
      <c r="H480" s="14">
        <f>37.4692 * CHOOSE(CONTROL!$C$15, $E$9, 100%, $G$9) + CHOOSE(CONTROL!$C$38, 0.0342, 0)</f>
        <v>37.503399999999999</v>
      </c>
      <c r="I480" s="14">
        <f>37.4708 * CHOOSE(CONTROL!$C$15, $E$9, 100%, $G$9) + CHOOSE(CONTROL!$C$38, 0.0342, 0)</f>
        <v>37.504999999999995</v>
      </c>
      <c r="J480" s="43">
        <f>260.7496</f>
        <v>260.74959999999999</v>
      </c>
    </row>
    <row r="481" spans="1:10" ht="15.75" x14ac:dyDescent="0.25">
      <c r="A481" s="32">
        <v>55577</v>
      </c>
      <c r="B481" s="14">
        <f>39.9182 * CHOOSE(CONTROL!$C$15, $E$9, 100%, $G$9) + CHOOSE(CONTROL!$C$38, 0.0251, 0)</f>
        <v>39.943300000000001</v>
      </c>
      <c r="C481" s="14">
        <f>37.8151 * CHOOSE(CONTROL!$C$15, $E$9, 100%, $G$9) + CHOOSE(CONTROL!$C$38, 0.0342, 0)</f>
        <v>37.849299999999999</v>
      </c>
      <c r="D481" s="14">
        <f>37.8073 * CHOOSE(CONTROL!$C$15, $E$9, 100%, $G$9) + CHOOSE(CONTROL!$C$38, 0.0342, 0)</f>
        <v>37.841499999999996</v>
      </c>
      <c r="E481" s="45">
        <f>39.762 * CHOOSE(CONTROL!$C$15, $E$9, 100%, $G$9) + CHOOSE(CONTROL!$C$38, 0.0342, 0)</f>
        <v>39.796199999999999</v>
      </c>
      <c r="F481" s="44">
        <f>39.762 * CHOOSE(CONTROL!$C$15, $E$9, 100%, $G$9) + CHOOSE(CONTROL!$C$38, 0.0251, 0)</f>
        <v>39.787100000000002</v>
      </c>
      <c r="G481" s="14">
        <f>37.8135 * CHOOSE(CONTROL!$C$15, $E$9, 100%, $G$9) + CHOOSE(CONTROL!$C$38, 0.0342, 0)</f>
        <v>37.847699999999996</v>
      </c>
      <c r="H481" s="14">
        <f>37.8135 * CHOOSE(CONTROL!$C$15, $E$9, 100%, $G$9) + CHOOSE(CONTROL!$C$38, 0.0342, 0)</f>
        <v>37.847699999999996</v>
      </c>
      <c r="I481" s="14">
        <f>37.8151 * CHOOSE(CONTROL!$C$15, $E$9, 100%, $G$9) + CHOOSE(CONTROL!$C$38, 0.0342, 0)</f>
        <v>37.849299999999999</v>
      </c>
      <c r="J481" s="43">
        <f>260.0248</f>
        <v>260.02480000000003</v>
      </c>
    </row>
    <row r="482" spans="1:10" ht="15.75" x14ac:dyDescent="0.25">
      <c r="A482" s="32">
        <v>55609</v>
      </c>
      <c r="B482" s="14">
        <f>39.1212 * CHOOSE(CONTROL!$C$15, $E$9, 100%, $G$9) + CHOOSE(CONTROL!$C$38, 0.0251, 0)</f>
        <v>39.146300000000004</v>
      </c>
      <c r="C482" s="14">
        <f>37.0181 * CHOOSE(CONTROL!$C$15, $E$9, 100%, $G$9) + CHOOSE(CONTROL!$C$38, 0.0342, 0)</f>
        <v>37.052299999999995</v>
      </c>
      <c r="D482" s="14">
        <f>37.0103 * CHOOSE(CONTROL!$C$15, $E$9, 100%, $G$9) + CHOOSE(CONTROL!$C$38, 0.0342, 0)</f>
        <v>37.044499999999999</v>
      </c>
      <c r="E482" s="45">
        <f>38.9649 * CHOOSE(CONTROL!$C$15, $E$9, 100%, $G$9) + CHOOSE(CONTROL!$C$38, 0.0342, 0)</f>
        <v>38.999099999999999</v>
      </c>
      <c r="F482" s="44">
        <f>38.9649 * CHOOSE(CONTROL!$C$15, $E$9, 100%, $G$9) + CHOOSE(CONTROL!$C$38, 0.0251, 0)</f>
        <v>38.99</v>
      </c>
      <c r="G482" s="14">
        <f>37.0165 * CHOOSE(CONTROL!$C$15, $E$9, 100%, $G$9) + CHOOSE(CONTROL!$C$38, 0.0342, 0)</f>
        <v>37.050699999999999</v>
      </c>
      <c r="H482" s="14">
        <f>37.0165 * CHOOSE(CONTROL!$C$15, $E$9, 100%, $G$9) + CHOOSE(CONTROL!$C$38, 0.0342, 0)</f>
        <v>37.050699999999999</v>
      </c>
      <c r="I482" s="14">
        <f>37.0181 * CHOOSE(CONTROL!$C$15, $E$9, 100%, $G$9) + CHOOSE(CONTROL!$C$38, 0.0342, 0)</f>
        <v>37.052299999999995</v>
      </c>
      <c r="J482" s="43">
        <f>273.7297</f>
        <v>273.72969999999998</v>
      </c>
    </row>
    <row r="483" spans="1:10" ht="15.75" x14ac:dyDescent="0.25">
      <c r="A483" s="32">
        <v>55639</v>
      </c>
      <c r="B483" s="14">
        <f>38.3489 * CHOOSE(CONTROL!$C$15, $E$9, 100%, $G$9) + CHOOSE(CONTROL!$C$38, 0.0251, 0)</f>
        <v>38.374000000000002</v>
      </c>
      <c r="C483" s="14">
        <f>36.2458 * CHOOSE(CONTROL!$C$15, $E$9, 100%, $G$9) + CHOOSE(CONTROL!$C$38, 0.0342, 0)</f>
        <v>36.28</v>
      </c>
      <c r="D483" s="14">
        <f>36.238 * CHOOSE(CONTROL!$C$15, $E$9, 100%, $G$9) + CHOOSE(CONTROL!$C$38, 0.0342, 0)</f>
        <v>36.272199999999998</v>
      </c>
      <c r="E483" s="45">
        <f>38.1926 * CHOOSE(CONTROL!$C$15, $E$9, 100%, $G$9) + CHOOSE(CONTROL!$C$38, 0.0342, 0)</f>
        <v>38.226799999999997</v>
      </c>
      <c r="F483" s="44">
        <f>38.1926 * CHOOSE(CONTROL!$C$15, $E$9, 100%, $G$9) + CHOOSE(CONTROL!$C$38, 0.0251, 0)</f>
        <v>38.217700000000001</v>
      </c>
      <c r="G483" s="14">
        <f>36.2442 * CHOOSE(CONTROL!$C$15, $E$9, 100%, $G$9) + CHOOSE(CONTROL!$C$38, 0.0342, 0)</f>
        <v>36.278399999999998</v>
      </c>
      <c r="H483" s="14">
        <f>36.2442 * CHOOSE(CONTROL!$C$15, $E$9, 100%, $G$9) + CHOOSE(CONTROL!$C$38, 0.0342, 0)</f>
        <v>36.278399999999998</v>
      </c>
      <c r="I483" s="14">
        <f>36.2458 * CHOOSE(CONTROL!$C$15, $E$9, 100%, $G$9) + CHOOSE(CONTROL!$C$38, 0.0342, 0)</f>
        <v>36.28</v>
      </c>
      <c r="J483" s="43">
        <f>291.5015</f>
        <v>291.50150000000002</v>
      </c>
    </row>
    <row r="484" spans="1:10" ht="15.75" x14ac:dyDescent="0.25">
      <c r="A484" s="32">
        <v>55670</v>
      </c>
      <c r="B484" s="14">
        <f>37.5439 * CHOOSE(CONTROL!$C$15, $E$9, 100%, $G$9) + CHOOSE(CONTROL!$C$38, 0.0264, 0)</f>
        <v>37.570300000000003</v>
      </c>
      <c r="C484" s="14">
        <f>35.4408 * CHOOSE(CONTROL!$C$15, $E$9, 100%, $G$9) + CHOOSE(CONTROL!$C$38, 0.0354, 0)</f>
        <v>35.476200000000006</v>
      </c>
      <c r="D484" s="14">
        <f>35.433 * CHOOSE(CONTROL!$C$15, $E$9, 100%, $G$9) + CHOOSE(CONTROL!$C$38, 0.0354, 0)</f>
        <v>35.468400000000003</v>
      </c>
      <c r="E484" s="45">
        <f>37.3877 * CHOOSE(CONTROL!$C$15, $E$9, 100%, $G$9) + CHOOSE(CONTROL!$C$38, 0.0354, 0)</f>
        <v>37.423100000000005</v>
      </c>
      <c r="F484" s="44">
        <f>37.3877 * CHOOSE(CONTROL!$C$15, $E$9, 100%, $G$9) + CHOOSE(CONTROL!$C$38, 0.0264, 0)</f>
        <v>37.414100000000005</v>
      </c>
      <c r="G484" s="14">
        <f>35.4392 * CHOOSE(CONTROL!$C$15, $E$9, 100%, $G$9) + CHOOSE(CONTROL!$C$38, 0.0354, 0)</f>
        <v>35.474600000000002</v>
      </c>
      <c r="H484" s="14">
        <f>35.4392 * CHOOSE(CONTROL!$C$15, $E$9, 100%, $G$9) + CHOOSE(CONTROL!$C$38, 0.0354, 0)</f>
        <v>35.474600000000002</v>
      </c>
      <c r="I484" s="14">
        <f>35.4408 * CHOOSE(CONTROL!$C$15, $E$9, 100%, $G$9) + CHOOSE(CONTROL!$C$38, 0.0354, 0)</f>
        <v>35.476200000000006</v>
      </c>
      <c r="J484" s="43">
        <f>301.2837</f>
        <v>301.28370000000001</v>
      </c>
    </row>
    <row r="485" spans="1:10" ht="15.75" x14ac:dyDescent="0.25">
      <c r="A485" s="32">
        <v>55700</v>
      </c>
      <c r="B485" s="14">
        <f>36.9796 * CHOOSE(CONTROL!$C$15, $E$9, 100%, $G$9) + CHOOSE(CONTROL!$C$38, 0.0264, 0)</f>
        <v>37.006</v>
      </c>
      <c r="C485" s="14">
        <f>34.8765 * CHOOSE(CONTROL!$C$15, $E$9, 100%, $G$9) + CHOOSE(CONTROL!$C$38, 0.0354, 0)</f>
        <v>34.911900000000003</v>
      </c>
      <c r="D485" s="14">
        <f>34.8687 * CHOOSE(CONTROL!$C$15, $E$9, 100%, $G$9) + CHOOSE(CONTROL!$C$38, 0.0354, 0)</f>
        <v>34.9041</v>
      </c>
      <c r="E485" s="45">
        <f>36.8233 * CHOOSE(CONTROL!$C$15, $E$9, 100%, $G$9) + CHOOSE(CONTROL!$C$38, 0.0354, 0)</f>
        <v>36.858700000000006</v>
      </c>
      <c r="F485" s="44">
        <f>36.8233 * CHOOSE(CONTROL!$C$15, $E$9, 100%, $G$9) + CHOOSE(CONTROL!$C$38, 0.0264, 0)</f>
        <v>36.849700000000006</v>
      </c>
      <c r="G485" s="14">
        <f>34.8749 * CHOOSE(CONTROL!$C$15, $E$9, 100%, $G$9) + CHOOSE(CONTROL!$C$38, 0.0354, 0)</f>
        <v>34.910299999999999</v>
      </c>
      <c r="H485" s="14">
        <f>34.8749 * CHOOSE(CONTROL!$C$15, $E$9, 100%, $G$9) + CHOOSE(CONTROL!$C$38, 0.0354, 0)</f>
        <v>34.910299999999999</v>
      </c>
      <c r="I485" s="14">
        <f>34.8765 * CHOOSE(CONTROL!$C$15, $E$9, 100%, $G$9) + CHOOSE(CONTROL!$C$38, 0.0354, 0)</f>
        <v>34.911900000000003</v>
      </c>
      <c r="J485" s="43">
        <f>305.6249</f>
        <v>305.62490000000003</v>
      </c>
    </row>
    <row r="486" spans="1:10" ht="15.75" x14ac:dyDescent="0.25">
      <c r="A486" s="32">
        <v>55731</v>
      </c>
      <c r="B486" s="14">
        <f>36.6575 * CHOOSE(CONTROL!$C$15, $E$9, 100%, $G$9) + CHOOSE(CONTROL!$C$38, 0.0264, 0)</f>
        <v>36.683900000000001</v>
      </c>
      <c r="C486" s="14">
        <f>34.5544 * CHOOSE(CONTROL!$C$15, $E$9, 100%, $G$9) + CHOOSE(CONTROL!$C$38, 0.0354, 0)</f>
        <v>34.589800000000004</v>
      </c>
      <c r="D486" s="14">
        <f>34.5466 * CHOOSE(CONTROL!$C$15, $E$9, 100%, $G$9) + CHOOSE(CONTROL!$C$38, 0.0354, 0)</f>
        <v>34.582000000000001</v>
      </c>
      <c r="E486" s="45">
        <f>36.5013 * CHOOSE(CONTROL!$C$15, $E$9, 100%, $G$9) + CHOOSE(CONTROL!$C$38, 0.0354, 0)</f>
        <v>36.536700000000003</v>
      </c>
      <c r="F486" s="44">
        <f>36.5013 * CHOOSE(CONTROL!$C$15, $E$9, 100%, $G$9) + CHOOSE(CONTROL!$C$38, 0.0264, 0)</f>
        <v>36.527700000000003</v>
      </c>
      <c r="G486" s="14">
        <f>34.5528 * CHOOSE(CONTROL!$C$15, $E$9, 100%, $G$9) + CHOOSE(CONTROL!$C$38, 0.0354, 0)</f>
        <v>34.588200000000001</v>
      </c>
      <c r="H486" s="14">
        <f>34.5528 * CHOOSE(CONTROL!$C$15, $E$9, 100%, $G$9) + CHOOSE(CONTROL!$C$38, 0.0354, 0)</f>
        <v>34.588200000000001</v>
      </c>
      <c r="I486" s="14">
        <f>34.5544 * CHOOSE(CONTROL!$C$15, $E$9, 100%, $G$9) + CHOOSE(CONTROL!$C$38, 0.0354, 0)</f>
        <v>34.589800000000004</v>
      </c>
      <c r="J486" s="43">
        <f>304.1956</f>
        <v>304.19560000000001</v>
      </c>
    </row>
    <row r="487" spans="1:10" ht="15.75" x14ac:dyDescent="0.25">
      <c r="A487" s="32">
        <v>55762</v>
      </c>
      <c r="B487" s="14">
        <f>36.8165 * CHOOSE(CONTROL!$C$15, $E$9, 100%, $G$9) + CHOOSE(CONTROL!$C$38, 0.0264, 0)</f>
        <v>36.8429</v>
      </c>
      <c r="C487" s="14">
        <f>34.7134 * CHOOSE(CONTROL!$C$15, $E$9, 100%, $G$9) + CHOOSE(CONTROL!$C$38, 0.0354, 0)</f>
        <v>34.748800000000003</v>
      </c>
      <c r="D487" s="14">
        <f>34.7055 * CHOOSE(CONTROL!$C$15, $E$9, 100%, $G$9) + CHOOSE(CONTROL!$C$38, 0.0354, 0)</f>
        <v>34.740900000000003</v>
      </c>
      <c r="E487" s="45">
        <f>36.6602 * CHOOSE(CONTROL!$C$15, $E$9, 100%, $G$9) + CHOOSE(CONTROL!$C$38, 0.0354, 0)</f>
        <v>36.695600000000006</v>
      </c>
      <c r="F487" s="44">
        <f>36.6602 * CHOOSE(CONTROL!$C$15, $E$9, 100%, $G$9) + CHOOSE(CONTROL!$C$38, 0.0264, 0)</f>
        <v>36.686600000000006</v>
      </c>
      <c r="G487" s="14">
        <f>34.7118 * CHOOSE(CONTROL!$C$15, $E$9, 100%, $G$9) + CHOOSE(CONTROL!$C$38, 0.0354, 0)</f>
        <v>34.747199999999999</v>
      </c>
      <c r="H487" s="14">
        <f>34.7118 * CHOOSE(CONTROL!$C$15, $E$9, 100%, $G$9) + CHOOSE(CONTROL!$C$38, 0.0354, 0)</f>
        <v>34.747199999999999</v>
      </c>
      <c r="I487" s="14">
        <f>34.7134 * CHOOSE(CONTROL!$C$15, $E$9, 100%, $G$9) + CHOOSE(CONTROL!$C$38, 0.0354, 0)</f>
        <v>34.748800000000003</v>
      </c>
      <c r="J487" s="43">
        <f>297.114</f>
        <v>297.11399999999998</v>
      </c>
    </row>
    <row r="488" spans="1:10" ht="15.75" x14ac:dyDescent="0.25">
      <c r="A488" s="32">
        <v>55792</v>
      </c>
      <c r="B488" s="14">
        <f>37.2482 * CHOOSE(CONTROL!$C$15, $E$9, 100%, $G$9) + CHOOSE(CONTROL!$C$38, 0.0264, 0)</f>
        <v>37.2746</v>
      </c>
      <c r="C488" s="14">
        <f>35.1451 * CHOOSE(CONTROL!$C$15, $E$9, 100%, $G$9) + CHOOSE(CONTROL!$C$38, 0.0354, 0)</f>
        <v>35.180500000000002</v>
      </c>
      <c r="D488" s="14">
        <f>35.1373 * CHOOSE(CONTROL!$C$15, $E$9, 100%, $G$9) + CHOOSE(CONTROL!$C$38, 0.0354, 0)</f>
        <v>35.172700000000006</v>
      </c>
      <c r="E488" s="45">
        <f>37.0919 * CHOOSE(CONTROL!$C$15, $E$9, 100%, $G$9) + CHOOSE(CONTROL!$C$38, 0.0354, 0)</f>
        <v>37.127300000000005</v>
      </c>
      <c r="F488" s="44">
        <f>37.0919 * CHOOSE(CONTROL!$C$15, $E$9, 100%, $G$9) + CHOOSE(CONTROL!$C$38, 0.0264, 0)</f>
        <v>37.118300000000005</v>
      </c>
      <c r="G488" s="14">
        <f>35.1435 * CHOOSE(CONTROL!$C$15, $E$9, 100%, $G$9) + CHOOSE(CONTROL!$C$38, 0.0354, 0)</f>
        <v>35.178900000000006</v>
      </c>
      <c r="H488" s="14">
        <f>35.1435 * CHOOSE(CONTROL!$C$15, $E$9, 100%, $G$9) + CHOOSE(CONTROL!$C$38, 0.0354, 0)</f>
        <v>35.178900000000006</v>
      </c>
      <c r="I488" s="14">
        <f>35.1451 * CHOOSE(CONTROL!$C$15, $E$9, 100%, $G$9) + CHOOSE(CONTROL!$C$38, 0.0354, 0)</f>
        <v>35.180500000000002</v>
      </c>
      <c r="J488" s="43">
        <f>287.2385</f>
        <v>287.23849999999999</v>
      </c>
    </row>
    <row r="489" spans="1:10" ht="15.75" x14ac:dyDescent="0.25">
      <c r="A489" s="32">
        <v>55823</v>
      </c>
      <c r="B489" s="14">
        <f>37.6097 * CHOOSE(CONTROL!$C$15, $E$9, 100%, $G$9) + CHOOSE(CONTROL!$C$38, 0.0251, 0)</f>
        <v>37.634799999999998</v>
      </c>
      <c r="C489" s="14">
        <f>35.5066 * CHOOSE(CONTROL!$C$15, $E$9, 100%, $G$9) + CHOOSE(CONTROL!$C$38, 0.0342, 0)</f>
        <v>35.540799999999997</v>
      </c>
      <c r="D489" s="14">
        <f>35.4988 * CHOOSE(CONTROL!$C$15, $E$9, 100%, $G$9) + CHOOSE(CONTROL!$C$38, 0.0342, 0)</f>
        <v>35.533000000000001</v>
      </c>
      <c r="E489" s="45">
        <f>37.4535 * CHOOSE(CONTROL!$C$15, $E$9, 100%, $G$9) + CHOOSE(CONTROL!$C$38, 0.0342, 0)</f>
        <v>37.487699999999997</v>
      </c>
      <c r="F489" s="44">
        <f>37.4535 * CHOOSE(CONTROL!$C$15, $E$9, 100%, $G$9) + CHOOSE(CONTROL!$C$38, 0.0251, 0)</f>
        <v>37.4786</v>
      </c>
      <c r="G489" s="14">
        <f>35.5051 * CHOOSE(CONTROL!$C$15, $E$9, 100%, $G$9) + CHOOSE(CONTROL!$C$38, 0.0342, 0)</f>
        <v>35.539299999999997</v>
      </c>
      <c r="H489" s="14">
        <f>35.5051 * CHOOSE(CONTROL!$C$15, $E$9, 100%, $G$9) + CHOOSE(CONTROL!$C$38, 0.0342, 0)</f>
        <v>35.539299999999997</v>
      </c>
      <c r="I489" s="14">
        <f>35.5066 * CHOOSE(CONTROL!$C$15, $E$9, 100%, $G$9) + CHOOSE(CONTROL!$C$38, 0.0342, 0)</f>
        <v>35.540799999999997</v>
      </c>
      <c r="J489" s="43">
        <f>277.3055</f>
        <v>277.30549999999999</v>
      </c>
    </row>
    <row r="490" spans="1:10" ht="15.75" x14ac:dyDescent="0.25">
      <c r="A490" s="32">
        <v>55853</v>
      </c>
      <c r="B490" s="14">
        <f>37.9114 * CHOOSE(CONTROL!$C$15, $E$9, 100%, $G$9) + CHOOSE(CONTROL!$C$38, 0.0251, 0)</f>
        <v>37.936500000000002</v>
      </c>
      <c r="C490" s="14">
        <f>35.8083 * CHOOSE(CONTROL!$C$15, $E$9, 100%, $G$9) + CHOOSE(CONTROL!$C$38, 0.0342, 0)</f>
        <v>35.842500000000001</v>
      </c>
      <c r="D490" s="14">
        <f>35.8005 * CHOOSE(CONTROL!$C$15, $E$9, 100%, $G$9) + CHOOSE(CONTROL!$C$38, 0.0342, 0)</f>
        <v>35.834699999999998</v>
      </c>
      <c r="E490" s="45">
        <f>37.7552 * CHOOSE(CONTROL!$C$15, $E$9, 100%, $G$9) + CHOOSE(CONTROL!$C$38, 0.0342, 0)</f>
        <v>37.789400000000001</v>
      </c>
      <c r="F490" s="44">
        <f>37.7552 * CHOOSE(CONTROL!$C$15, $E$9, 100%, $G$9) + CHOOSE(CONTROL!$C$38, 0.0251, 0)</f>
        <v>37.780300000000004</v>
      </c>
      <c r="G490" s="14">
        <f>35.8068 * CHOOSE(CONTROL!$C$15, $E$9, 100%, $G$9) + CHOOSE(CONTROL!$C$38, 0.0342, 0)</f>
        <v>35.841000000000001</v>
      </c>
      <c r="H490" s="14">
        <f>35.8068 * CHOOSE(CONTROL!$C$15, $E$9, 100%, $G$9) + CHOOSE(CONTROL!$C$38, 0.0342, 0)</f>
        <v>35.841000000000001</v>
      </c>
      <c r="I490" s="14">
        <f>35.8083 * CHOOSE(CONTROL!$C$15, $E$9, 100%, $G$9) + CHOOSE(CONTROL!$C$38, 0.0342, 0)</f>
        <v>35.842500000000001</v>
      </c>
      <c r="J490" s="43">
        <f>275.3296</f>
        <v>275.32960000000003</v>
      </c>
    </row>
    <row r="491" spans="1:10" ht="15.75" x14ac:dyDescent="0.25">
      <c r="A491" s="32">
        <v>55884</v>
      </c>
      <c r="B491" s="14">
        <f>38.8411 * CHOOSE(CONTROL!$C$15, $E$9, 100%, $G$9) + CHOOSE(CONTROL!$C$38, 0.0251, 0)</f>
        <v>38.866199999999999</v>
      </c>
      <c r="C491" s="14">
        <f>36.738 * CHOOSE(CONTROL!$C$15, $E$9, 100%, $G$9) + CHOOSE(CONTROL!$C$38, 0.0342, 0)</f>
        <v>36.772199999999998</v>
      </c>
      <c r="D491" s="14">
        <f>36.7302 * CHOOSE(CONTROL!$C$15, $E$9, 100%, $G$9) + CHOOSE(CONTROL!$C$38, 0.0342, 0)</f>
        <v>36.764400000000002</v>
      </c>
      <c r="E491" s="45">
        <f>38.6849 * CHOOSE(CONTROL!$C$15, $E$9, 100%, $G$9) + CHOOSE(CONTROL!$C$38, 0.0342, 0)</f>
        <v>38.719099999999997</v>
      </c>
      <c r="F491" s="44">
        <f>38.6849 * CHOOSE(CONTROL!$C$15, $E$9, 100%, $G$9) + CHOOSE(CONTROL!$C$38, 0.0251, 0)</f>
        <v>38.71</v>
      </c>
      <c r="G491" s="14">
        <f>36.7364 * CHOOSE(CONTROL!$C$15, $E$9, 100%, $G$9) + CHOOSE(CONTROL!$C$38, 0.0342, 0)</f>
        <v>36.770600000000002</v>
      </c>
      <c r="H491" s="14">
        <f>36.7364 * CHOOSE(CONTROL!$C$15, $E$9, 100%, $G$9) + CHOOSE(CONTROL!$C$38, 0.0342, 0)</f>
        <v>36.770600000000002</v>
      </c>
      <c r="I491" s="14">
        <f>36.738 * CHOOSE(CONTROL!$C$15, $E$9, 100%, $G$9) + CHOOSE(CONTROL!$C$38, 0.0342, 0)</f>
        <v>36.772199999999998</v>
      </c>
      <c r="J491" s="43">
        <f>267.1592</f>
        <v>267.1592</v>
      </c>
    </row>
    <row r="492" spans="1:10" ht="15.75" x14ac:dyDescent="0.25">
      <c r="A492" s="32">
        <v>55915</v>
      </c>
      <c r="B492" s="14">
        <f>40.2027 * CHOOSE(CONTROL!$C$15, $E$9, 100%, $G$9) + CHOOSE(CONTROL!$C$38, 0.0251, 0)</f>
        <v>40.227800000000002</v>
      </c>
      <c r="C492" s="14">
        <f>38.0669 * CHOOSE(CONTROL!$C$15, $E$9, 100%, $G$9) + CHOOSE(CONTROL!$C$38, 0.0342, 0)</f>
        <v>38.101099999999995</v>
      </c>
      <c r="D492" s="14">
        <f>38.0591 * CHOOSE(CONTROL!$C$15, $E$9, 100%, $G$9) + CHOOSE(CONTROL!$C$38, 0.0342, 0)</f>
        <v>38.093299999999999</v>
      </c>
      <c r="E492" s="45">
        <f>40.0465 * CHOOSE(CONTROL!$C$15, $E$9, 100%, $G$9) + CHOOSE(CONTROL!$C$38, 0.0342, 0)</f>
        <v>40.0807</v>
      </c>
      <c r="F492" s="44">
        <f>40.0465 * CHOOSE(CONTROL!$C$15, $E$9, 100%, $G$9) + CHOOSE(CONTROL!$C$38, 0.0251, 0)</f>
        <v>40.071600000000004</v>
      </c>
      <c r="G492" s="14">
        <f>38.0653 * CHOOSE(CONTROL!$C$15, $E$9, 100%, $G$9) + CHOOSE(CONTROL!$C$38, 0.0342, 0)</f>
        <v>38.099499999999999</v>
      </c>
      <c r="H492" s="14">
        <f>38.0653 * CHOOSE(CONTROL!$C$15, $E$9, 100%, $G$9) + CHOOSE(CONTROL!$C$38, 0.0342, 0)</f>
        <v>38.099499999999999</v>
      </c>
      <c r="I492" s="14">
        <f>38.0669 * CHOOSE(CONTROL!$C$15, $E$9, 100%, $G$9) + CHOOSE(CONTROL!$C$38, 0.0342, 0)</f>
        <v>38.101099999999995</v>
      </c>
      <c r="J492" s="43">
        <f>266.9663</f>
        <v>266.96629999999999</v>
      </c>
    </row>
    <row r="493" spans="1:10" ht="15.75" x14ac:dyDescent="0.25">
      <c r="A493" s="32">
        <v>55943</v>
      </c>
      <c r="B493" s="14">
        <f>40.547 * CHOOSE(CONTROL!$C$15, $E$9, 100%, $G$9) + CHOOSE(CONTROL!$C$38, 0.0251, 0)</f>
        <v>40.572099999999999</v>
      </c>
      <c r="C493" s="14">
        <f>38.4112 * CHOOSE(CONTROL!$C$15, $E$9, 100%, $G$9) + CHOOSE(CONTROL!$C$38, 0.0342, 0)</f>
        <v>38.445399999999999</v>
      </c>
      <c r="D493" s="14">
        <f>38.4034 * CHOOSE(CONTROL!$C$15, $E$9, 100%, $G$9) + CHOOSE(CONTROL!$C$38, 0.0342, 0)</f>
        <v>38.437599999999996</v>
      </c>
      <c r="E493" s="45">
        <f>40.3908 * CHOOSE(CONTROL!$C$15, $E$9, 100%, $G$9) + CHOOSE(CONTROL!$C$38, 0.0342, 0)</f>
        <v>40.424999999999997</v>
      </c>
      <c r="F493" s="44">
        <f>40.3908 * CHOOSE(CONTROL!$C$15, $E$9, 100%, $G$9) + CHOOSE(CONTROL!$C$38, 0.0251, 0)</f>
        <v>40.415900000000001</v>
      </c>
      <c r="G493" s="14">
        <f>38.4097 * CHOOSE(CONTROL!$C$15, $E$9, 100%, $G$9) + CHOOSE(CONTROL!$C$38, 0.0342, 0)</f>
        <v>38.443899999999999</v>
      </c>
      <c r="H493" s="14">
        <f>38.4097 * CHOOSE(CONTROL!$C$15, $E$9, 100%, $G$9) + CHOOSE(CONTROL!$C$38, 0.0342, 0)</f>
        <v>38.443899999999999</v>
      </c>
      <c r="I493" s="14">
        <f>38.4112 * CHOOSE(CONTROL!$C$15, $E$9, 100%, $G$9) + CHOOSE(CONTROL!$C$38, 0.0342, 0)</f>
        <v>38.445399999999999</v>
      </c>
      <c r="J493" s="43">
        <f>266.2242</f>
        <v>266.2242</v>
      </c>
    </row>
    <row r="494" spans="1:10" ht="15.75" x14ac:dyDescent="0.25">
      <c r="A494" s="32">
        <v>55974</v>
      </c>
      <c r="B494" s="14">
        <f>39.75 * CHOOSE(CONTROL!$C$15, $E$9, 100%, $G$9) + CHOOSE(CONTROL!$C$38, 0.0251, 0)</f>
        <v>39.775100000000002</v>
      </c>
      <c r="C494" s="14">
        <f>37.6142 * CHOOSE(CONTROL!$C$15, $E$9, 100%, $G$9) + CHOOSE(CONTROL!$C$38, 0.0342, 0)</f>
        <v>37.648399999999995</v>
      </c>
      <c r="D494" s="14">
        <f>37.6064 * CHOOSE(CONTROL!$C$15, $E$9, 100%, $G$9) + CHOOSE(CONTROL!$C$38, 0.0342, 0)</f>
        <v>37.640599999999999</v>
      </c>
      <c r="E494" s="45">
        <f>39.5938 * CHOOSE(CONTROL!$C$15, $E$9, 100%, $G$9) + CHOOSE(CONTROL!$C$38, 0.0342, 0)</f>
        <v>39.628</v>
      </c>
      <c r="F494" s="44">
        <f>39.5938 * CHOOSE(CONTROL!$C$15, $E$9, 100%, $G$9) + CHOOSE(CONTROL!$C$38, 0.0251, 0)</f>
        <v>39.618900000000004</v>
      </c>
      <c r="G494" s="14">
        <f>37.6126 * CHOOSE(CONTROL!$C$15, $E$9, 100%, $G$9) + CHOOSE(CONTROL!$C$38, 0.0342, 0)</f>
        <v>37.646799999999999</v>
      </c>
      <c r="H494" s="14">
        <f>37.6126 * CHOOSE(CONTROL!$C$15, $E$9, 100%, $G$9) + CHOOSE(CONTROL!$C$38, 0.0342, 0)</f>
        <v>37.646799999999999</v>
      </c>
      <c r="I494" s="14">
        <f>37.6142 * CHOOSE(CONTROL!$C$15, $E$9, 100%, $G$9) + CHOOSE(CONTROL!$C$38, 0.0342, 0)</f>
        <v>37.648399999999995</v>
      </c>
      <c r="J494" s="43">
        <f>280.2558</f>
        <v>280.25580000000002</v>
      </c>
    </row>
    <row r="495" spans="1:10" ht="15.75" x14ac:dyDescent="0.25">
      <c r="A495" s="32">
        <v>56004</v>
      </c>
      <c r="B495" s="14">
        <f>38.9777 * CHOOSE(CONTROL!$C$15, $E$9, 100%, $G$9) + CHOOSE(CONTROL!$C$38, 0.0251, 0)</f>
        <v>39.002800000000001</v>
      </c>
      <c r="C495" s="14">
        <f>36.8419 * CHOOSE(CONTROL!$C$15, $E$9, 100%, $G$9) + CHOOSE(CONTROL!$C$38, 0.0342, 0)</f>
        <v>36.876100000000001</v>
      </c>
      <c r="D495" s="14">
        <f>36.8341 * CHOOSE(CONTROL!$C$15, $E$9, 100%, $G$9) + CHOOSE(CONTROL!$C$38, 0.0342, 0)</f>
        <v>36.868299999999998</v>
      </c>
      <c r="E495" s="45">
        <f>38.8215 * CHOOSE(CONTROL!$C$15, $E$9, 100%, $G$9) + CHOOSE(CONTROL!$C$38, 0.0342, 0)</f>
        <v>38.855699999999999</v>
      </c>
      <c r="F495" s="44">
        <f>38.8215 * CHOOSE(CONTROL!$C$15, $E$9, 100%, $G$9) + CHOOSE(CONTROL!$C$38, 0.0251, 0)</f>
        <v>38.846600000000002</v>
      </c>
      <c r="G495" s="14">
        <f>36.8403 * CHOOSE(CONTROL!$C$15, $E$9, 100%, $G$9) + CHOOSE(CONTROL!$C$38, 0.0342, 0)</f>
        <v>36.874499999999998</v>
      </c>
      <c r="H495" s="14">
        <f>36.8403 * CHOOSE(CONTROL!$C$15, $E$9, 100%, $G$9) + CHOOSE(CONTROL!$C$38, 0.0342, 0)</f>
        <v>36.874499999999998</v>
      </c>
      <c r="I495" s="14">
        <f>36.8419 * CHOOSE(CONTROL!$C$15, $E$9, 100%, $G$9) + CHOOSE(CONTROL!$C$38, 0.0342, 0)</f>
        <v>36.876100000000001</v>
      </c>
      <c r="J495" s="43">
        <f>298.4514</f>
        <v>298.45139999999998</v>
      </c>
    </row>
    <row r="496" spans="1:10" ht="15.75" x14ac:dyDescent="0.25">
      <c r="A496" s="32">
        <v>56035</v>
      </c>
      <c r="B496" s="14">
        <f>38.1727 * CHOOSE(CONTROL!$C$15, $E$9, 100%, $G$9) + CHOOSE(CONTROL!$C$38, 0.0264, 0)</f>
        <v>38.199100000000001</v>
      </c>
      <c r="C496" s="14">
        <f>36.0369 * CHOOSE(CONTROL!$C$15, $E$9, 100%, $G$9) + CHOOSE(CONTROL!$C$38, 0.0354, 0)</f>
        <v>36.072300000000006</v>
      </c>
      <c r="D496" s="14">
        <f>36.0291 * CHOOSE(CONTROL!$C$15, $E$9, 100%, $G$9) + CHOOSE(CONTROL!$C$38, 0.0354, 0)</f>
        <v>36.064500000000002</v>
      </c>
      <c r="E496" s="45">
        <f>38.0165 * CHOOSE(CONTROL!$C$15, $E$9, 100%, $G$9) + CHOOSE(CONTROL!$C$38, 0.0354, 0)</f>
        <v>38.051900000000003</v>
      </c>
      <c r="F496" s="44">
        <f>38.0165 * CHOOSE(CONTROL!$C$15, $E$9, 100%, $G$9) + CHOOSE(CONTROL!$C$38, 0.0264, 0)</f>
        <v>38.042900000000003</v>
      </c>
      <c r="G496" s="14">
        <f>36.0354 * CHOOSE(CONTROL!$C$15, $E$9, 100%, $G$9) + CHOOSE(CONTROL!$C$38, 0.0354, 0)</f>
        <v>36.070800000000006</v>
      </c>
      <c r="H496" s="14">
        <f>36.0354 * CHOOSE(CONTROL!$C$15, $E$9, 100%, $G$9) + CHOOSE(CONTROL!$C$38, 0.0354, 0)</f>
        <v>36.070800000000006</v>
      </c>
      <c r="I496" s="14">
        <f>36.0369 * CHOOSE(CONTROL!$C$15, $E$9, 100%, $G$9) + CHOOSE(CONTROL!$C$38, 0.0354, 0)</f>
        <v>36.072300000000006</v>
      </c>
      <c r="J496" s="43">
        <f>308.4668</f>
        <v>308.46679999999998</v>
      </c>
    </row>
    <row r="497" spans="1:10" ht="15.75" x14ac:dyDescent="0.25">
      <c r="A497" s="32">
        <v>56065</v>
      </c>
      <c r="B497" s="14">
        <f>37.6084 * CHOOSE(CONTROL!$C$15, $E$9, 100%, $G$9) + CHOOSE(CONTROL!$C$38, 0.0264, 0)</f>
        <v>37.634800000000006</v>
      </c>
      <c r="C497" s="14">
        <f>35.4726 * CHOOSE(CONTROL!$C$15, $E$9, 100%, $G$9) + CHOOSE(CONTROL!$C$38, 0.0354, 0)</f>
        <v>35.508000000000003</v>
      </c>
      <c r="D497" s="14">
        <f>35.4648 * CHOOSE(CONTROL!$C$15, $E$9, 100%, $G$9) + CHOOSE(CONTROL!$C$38, 0.0354, 0)</f>
        <v>35.5002</v>
      </c>
      <c r="E497" s="45">
        <f>37.4522 * CHOOSE(CONTROL!$C$15, $E$9, 100%, $G$9) + CHOOSE(CONTROL!$C$38, 0.0354, 0)</f>
        <v>37.4876</v>
      </c>
      <c r="F497" s="44">
        <f>37.4522 * CHOOSE(CONTROL!$C$15, $E$9, 100%, $G$9) + CHOOSE(CONTROL!$C$38, 0.0264, 0)</f>
        <v>37.4786</v>
      </c>
      <c r="G497" s="14">
        <f>35.471 * CHOOSE(CONTROL!$C$15, $E$9, 100%, $G$9) + CHOOSE(CONTROL!$C$38, 0.0354, 0)</f>
        <v>35.506399999999999</v>
      </c>
      <c r="H497" s="14">
        <f>35.471 * CHOOSE(CONTROL!$C$15, $E$9, 100%, $G$9) + CHOOSE(CONTROL!$C$38, 0.0354, 0)</f>
        <v>35.506399999999999</v>
      </c>
      <c r="I497" s="14">
        <f>35.4726 * CHOOSE(CONTROL!$C$15, $E$9, 100%, $G$9) + CHOOSE(CONTROL!$C$38, 0.0354, 0)</f>
        <v>35.508000000000003</v>
      </c>
      <c r="J497" s="43">
        <f>312.9115</f>
        <v>312.91149999999999</v>
      </c>
    </row>
    <row r="498" spans="1:10" ht="15.75" x14ac:dyDescent="0.25">
      <c r="A498" s="32">
        <v>56096</v>
      </c>
      <c r="B498" s="14">
        <f>37.2864 * CHOOSE(CONTROL!$C$15, $E$9, 100%, $G$9) + CHOOSE(CONTROL!$C$38, 0.0264, 0)</f>
        <v>37.312800000000003</v>
      </c>
      <c r="C498" s="14">
        <f>35.1505 * CHOOSE(CONTROL!$C$15, $E$9, 100%, $G$9) + CHOOSE(CONTROL!$C$38, 0.0354, 0)</f>
        <v>35.185900000000004</v>
      </c>
      <c r="D498" s="14">
        <f>35.1427 * CHOOSE(CONTROL!$C$15, $E$9, 100%, $G$9) + CHOOSE(CONTROL!$C$38, 0.0354, 0)</f>
        <v>35.178100000000001</v>
      </c>
      <c r="E498" s="45">
        <f>37.1301 * CHOOSE(CONTROL!$C$15, $E$9, 100%, $G$9) + CHOOSE(CONTROL!$C$38, 0.0354, 0)</f>
        <v>37.165500000000002</v>
      </c>
      <c r="F498" s="44">
        <f>37.1301 * CHOOSE(CONTROL!$C$15, $E$9, 100%, $G$9) + CHOOSE(CONTROL!$C$38, 0.0264, 0)</f>
        <v>37.156500000000001</v>
      </c>
      <c r="G498" s="14">
        <f>35.149 * CHOOSE(CONTROL!$C$15, $E$9, 100%, $G$9) + CHOOSE(CONTROL!$C$38, 0.0354, 0)</f>
        <v>35.184400000000004</v>
      </c>
      <c r="H498" s="14">
        <f>35.149 * CHOOSE(CONTROL!$C$15, $E$9, 100%, $G$9) + CHOOSE(CONTROL!$C$38, 0.0354, 0)</f>
        <v>35.184400000000004</v>
      </c>
      <c r="I498" s="14">
        <f>35.1505 * CHOOSE(CONTROL!$C$15, $E$9, 100%, $G$9) + CHOOSE(CONTROL!$C$38, 0.0354, 0)</f>
        <v>35.185900000000004</v>
      </c>
      <c r="J498" s="43">
        <f>311.4481</f>
        <v>311.44810000000001</v>
      </c>
    </row>
    <row r="499" spans="1:10" ht="15.75" x14ac:dyDescent="0.25">
      <c r="A499" s="32">
        <v>56127</v>
      </c>
      <c r="B499" s="14">
        <f>37.4453 * CHOOSE(CONTROL!$C$15, $E$9, 100%, $G$9) + CHOOSE(CONTROL!$C$38, 0.0264, 0)</f>
        <v>37.471700000000006</v>
      </c>
      <c r="C499" s="14">
        <f>35.3095 * CHOOSE(CONTROL!$C$15, $E$9, 100%, $G$9) + CHOOSE(CONTROL!$C$38, 0.0354, 0)</f>
        <v>35.344900000000003</v>
      </c>
      <c r="D499" s="14">
        <f>35.3017 * CHOOSE(CONTROL!$C$15, $E$9, 100%, $G$9) + CHOOSE(CONTROL!$C$38, 0.0354, 0)</f>
        <v>35.3371</v>
      </c>
      <c r="E499" s="45">
        <f>37.289 * CHOOSE(CONTROL!$C$15, $E$9, 100%, $G$9) + CHOOSE(CONTROL!$C$38, 0.0354, 0)</f>
        <v>37.324400000000004</v>
      </c>
      <c r="F499" s="44">
        <f>37.289 * CHOOSE(CONTROL!$C$15, $E$9, 100%, $G$9) + CHOOSE(CONTROL!$C$38, 0.0264, 0)</f>
        <v>37.315400000000004</v>
      </c>
      <c r="G499" s="14">
        <f>35.3079 * CHOOSE(CONTROL!$C$15, $E$9, 100%, $G$9) + CHOOSE(CONTROL!$C$38, 0.0354, 0)</f>
        <v>35.343299999999999</v>
      </c>
      <c r="H499" s="14">
        <f>35.3079 * CHOOSE(CONTROL!$C$15, $E$9, 100%, $G$9) + CHOOSE(CONTROL!$C$38, 0.0354, 0)</f>
        <v>35.343299999999999</v>
      </c>
      <c r="I499" s="14">
        <f>35.3095 * CHOOSE(CONTROL!$C$15, $E$9, 100%, $G$9) + CHOOSE(CONTROL!$C$38, 0.0354, 0)</f>
        <v>35.344900000000003</v>
      </c>
      <c r="J499" s="43">
        <f>304.1977</f>
        <v>304.1977</v>
      </c>
    </row>
    <row r="500" spans="1:10" ht="15.75" x14ac:dyDescent="0.25">
      <c r="A500" s="32">
        <v>56157</v>
      </c>
      <c r="B500" s="14">
        <f>37.877 * CHOOSE(CONTROL!$C$15, $E$9, 100%, $G$9) + CHOOSE(CONTROL!$C$38, 0.0264, 0)</f>
        <v>37.903400000000005</v>
      </c>
      <c r="C500" s="14">
        <f>35.7412 * CHOOSE(CONTROL!$C$15, $E$9, 100%, $G$9) + CHOOSE(CONTROL!$C$38, 0.0354, 0)</f>
        <v>35.776600000000002</v>
      </c>
      <c r="D500" s="14">
        <f>35.7334 * CHOOSE(CONTROL!$C$15, $E$9, 100%, $G$9) + CHOOSE(CONTROL!$C$38, 0.0354, 0)</f>
        <v>35.768800000000006</v>
      </c>
      <c r="E500" s="45">
        <f>37.7208 * CHOOSE(CONTROL!$C$15, $E$9, 100%, $G$9) + CHOOSE(CONTROL!$C$38, 0.0354, 0)</f>
        <v>37.7562</v>
      </c>
      <c r="F500" s="44">
        <f>37.7208 * CHOOSE(CONTROL!$C$15, $E$9, 100%, $G$9) + CHOOSE(CONTROL!$C$38, 0.0264, 0)</f>
        <v>37.747199999999999</v>
      </c>
      <c r="G500" s="14">
        <f>35.7396 * CHOOSE(CONTROL!$C$15, $E$9, 100%, $G$9) + CHOOSE(CONTROL!$C$38, 0.0354, 0)</f>
        <v>35.775000000000006</v>
      </c>
      <c r="H500" s="14">
        <f>35.7396 * CHOOSE(CONTROL!$C$15, $E$9, 100%, $G$9) + CHOOSE(CONTROL!$C$38, 0.0354, 0)</f>
        <v>35.775000000000006</v>
      </c>
      <c r="I500" s="14">
        <f>35.7412 * CHOOSE(CONTROL!$C$15, $E$9, 100%, $G$9) + CHOOSE(CONTROL!$C$38, 0.0354, 0)</f>
        <v>35.776600000000002</v>
      </c>
      <c r="J500" s="43">
        <f>294.0867</f>
        <v>294.08670000000001</v>
      </c>
    </row>
    <row r="501" spans="1:10" ht="15.75" x14ac:dyDescent="0.25">
      <c r="A501" s="32">
        <v>56188</v>
      </c>
      <c r="B501" s="14">
        <f>38.2386 * CHOOSE(CONTROL!$C$15, $E$9, 100%, $G$9) + CHOOSE(CONTROL!$C$38, 0.0251, 0)</f>
        <v>38.2637</v>
      </c>
      <c r="C501" s="14">
        <f>36.1027 * CHOOSE(CONTROL!$C$15, $E$9, 100%, $G$9) + CHOOSE(CONTROL!$C$38, 0.0342, 0)</f>
        <v>36.136899999999997</v>
      </c>
      <c r="D501" s="14">
        <f>36.0949 * CHOOSE(CONTROL!$C$15, $E$9, 100%, $G$9) + CHOOSE(CONTROL!$C$38, 0.0342, 0)</f>
        <v>36.129100000000001</v>
      </c>
      <c r="E501" s="45">
        <f>38.0823 * CHOOSE(CONTROL!$C$15, $E$9, 100%, $G$9) + CHOOSE(CONTROL!$C$38, 0.0342, 0)</f>
        <v>38.116499999999995</v>
      </c>
      <c r="F501" s="44">
        <f>38.0823 * CHOOSE(CONTROL!$C$15, $E$9, 100%, $G$9) + CHOOSE(CONTROL!$C$38, 0.0251, 0)</f>
        <v>38.107399999999998</v>
      </c>
      <c r="G501" s="14">
        <f>36.1012 * CHOOSE(CONTROL!$C$15, $E$9, 100%, $G$9) + CHOOSE(CONTROL!$C$38, 0.0342, 0)</f>
        <v>36.135399999999997</v>
      </c>
      <c r="H501" s="14">
        <f>36.1012 * CHOOSE(CONTROL!$C$15, $E$9, 100%, $G$9) + CHOOSE(CONTROL!$C$38, 0.0342, 0)</f>
        <v>36.135399999999997</v>
      </c>
      <c r="I501" s="14">
        <f>36.1027 * CHOOSE(CONTROL!$C$15, $E$9, 100%, $G$9) + CHOOSE(CONTROL!$C$38, 0.0342, 0)</f>
        <v>36.136899999999997</v>
      </c>
      <c r="J501" s="43">
        <f>283.9169</f>
        <v>283.9169</v>
      </c>
    </row>
    <row r="502" spans="1:10" ht="15.75" x14ac:dyDescent="0.25">
      <c r="A502" s="32">
        <v>56218</v>
      </c>
      <c r="B502" s="14">
        <f>38.5403 * CHOOSE(CONTROL!$C$15, $E$9, 100%, $G$9) + CHOOSE(CONTROL!$C$38, 0.0251, 0)</f>
        <v>38.565400000000004</v>
      </c>
      <c r="C502" s="14">
        <f>36.4044 * CHOOSE(CONTROL!$C$15, $E$9, 100%, $G$9) + CHOOSE(CONTROL!$C$38, 0.0342, 0)</f>
        <v>36.438600000000001</v>
      </c>
      <c r="D502" s="14">
        <f>36.3966 * CHOOSE(CONTROL!$C$15, $E$9, 100%, $G$9) + CHOOSE(CONTROL!$C$38, 0.0342, 0)</f>
        <v>36.430799999999998</v>
      </c>
      <c r="E502" s="45">
        <f>38.384 * CHOOSE(CONTROL!$C$15, $E$9, 100%, $G$9) + CHOOSE(CONTROL!$C$38, 0.0342, 0)</f>
        <v>38.418199999999999</v>
      </c>
      <c r="F502" s="44">
        <f>38.384 * CHOOSE(CONTROL!$C$15, $E$9, 100%, $G$9) + CHOOSE(CONTROL!$C$38, 0.0251, 0)</f>
        <v>38.409100000000002</v>
      </c>
      <c r="G502" s="14">
        <f>36.4029 * CHOOSE(CONTROL!$C$15, $E$9, 100%, $G$9) + CHOOSE(CONTROL!$C$38, 0.0342, 0)</f>
        <v>36.437100000000001</v>
      </c>
      <c r="H502" s="14">
        <f>36.4029 * CHOOSE(CONTROL!$C$15, $E$9, 100%, $G$9) + CHOOSE(CONTROL!$C$38, 0.0342, 0)</f>
        <v>36.437100000000001</v>
      </c>
      <c r="I502" s="14">
        <f>36.4044 * CHOOSE(CONTROL!$C$15, $E$9, 100%, $G$9) + CHOOSE(CONTROL!$C$38, 0.0342, 0)</f>
        <v>36.438600000000001</v>
      </c>
      <c r="J502" s="43">
        <f>281.8939</f>
        <v>281.89389999999997</v>
      </c>
    </row>
    <row r="503" spans="1:10" ht="15.75" x14ac:dyDescent="0.25">
      <c r="A503" s="32">
        <v>56249</v>
      </c>
      <c r="B503" s="14">
        <f>39.4699 * CHOOSE(CONTROL!$C$15, $E$9, 100%, $G$9) + CHOOSE(CONTROL!$C$38, 0.0251, 0)</f>
        <v>39.495000000000005</v>
      </c>
      <c r="C503" s="14">
        <f>37.3341 * CHOOSE(CONTROL!$C$15, $E$9, 100%, $G$9) + CHOOSE(CONTROL!$C$38, 0.0342, 0)</f>
        <v>37.368299999999998</v>
      </c>
      <c r="D503" s="14">
        <f>37.3263 * CHOOSE(CONTROL!$C$15, $E$9, 100%, $G$9) + CHOOSE(CONTROL!$C$38, 0.0342, 0)</f>
        <v>37.360500000000002</v>
      </c>
      <c r="E503" s="45">
        <f>39.3137 * CHOOSE(CONTROL!$C$15, $E$9, 100%, $G$9) + CHOOSE(CONTROL!$C$38, 0.0342, 0)</f>
        <v>39.347899999999996</v>
      </c>
      <c r="F503" s="44">
        <f>39.3137 * CHOOSE(CONTROL!$C$15, $E$9, 100%, $G$9) + CHOOSE(CONTROL!$C$38, 0.0251, 0)</f>
        <v>39.338799999999999</v>
      </c>
      <c r="G503" s="14">
        <f>37.3325 * CHOOSE(CONTROL!$C$15, $E$9, 100%, $G$9) + CHOOSE(CONTROL!$C$38, 0.0342, 0)</f>
        <v>37.366700000000002</v>
      </c>
      <c r="H503" s="14">
        <f>37.3325 * CHOOSE(CONTROL!$C$15, $E$9, 100%, $G$9) + CHOOSE(CONTROL!$C$38, 0.0342, 0)</f>
        <v>37.366700000000002</v>
      </c>
      <c r="I503" s="14">
        <f>37.3341 * CHOOSE(CONTROL!$C$15, $E$9, 100%, $G$9) + CHOOSE(CONTROL!$C$38, 0.0342, 0)</f>
        <v>37.368299999999998</v>
      </c>
      <c r="J503" s="43">
        <f>273.5287</f>
        <v>273.52870000000001</v>
      </c>
    </row>
    <row r="504" spans="1:10" ht="15.75" x14ac:dyDescent="0.25">
      <c r="A504" s="32">
        <v>56280</v>
      </c>
      <c r="B504" s="14">
        <f>40.8421 * CHOOSE(CONTROL!$C$15, $E$9, 100%, $G$9) + CHOOSE(CONTROL!$C$38, 0.0251, 0)</f>
        <v>40.867200000000004</v>
      </c>
      <c r="C504" s="14">
        <f>38.673 * CHOOSE(CONTROL!$C$15, $E$9, 100%, $G$9) + CHOOSE(CONTROL!$C$38, 0.0342, 0)</f>
        <v>38.7072</v>
      </c>
      <c r="D504" s="14">
        <f>38.6652 * CHOOSE(CONTROL!$C$15, $E$9, 100%, $G$9) + CHOOSE(CONTROL!$C$38, 0.0342, 0)</f>
        <v>38.699399999999997</v>
      </c>
      <c r="E504" s="45">
        <f>40.6859 * CHOOSE(CONTROL!$C$15, $E$9, 100%, $G$9) + CHOOSE(CONTROL!$C$38, 0.0342, 0)</f>
        <v>40.720099999999995</v>
      </c>
      <c r="F504" s="44">
        <f>40.6859 * CHOOSE(CONTROL!$C$15, $E$9, 100%, $G$9) + CHOOSE(CONTROL!$C$38, 0.0251, 0)</f>
        <v>40.710999999999999</v>
      </c>
      <c r="G504" s="14">
        <f>38.6715 * CHOOSE(CONTROL!$C$15, $E$9, 100%, $G$9) + CHOOSE(CONTROL!$C$38, 0.0342, 0)</f>
        <v>38.7057</v>
      </c>
      <c r="H504" s="14">
        <f>38.6715 * CHOOSE(CONTROL!$C$15, $E$9, 100%, $G$9) + CHOOSE(CONTROL!$C$38, 0.0342, 0)</f>
        <v>38.7057</v>
      </c>
      <c r="I504" s="14">
        <f>38.673 * CHOOSE(CONTROL!$C$15, $E$9, 100%, $G$9) + CHOOSE(CONTROL!$C$38, 0.0342, 0)</f>
        <v>38.7072</v>
      </c>
      <c r="J504" s="43">
        <f>273.3312</f>
        <v>273.33120000000002</v>
      </c>
    </row>
    <row r="505" spans="1:10" ht="15.75" x14ac:dyDescent="0.25">
      <c r="A505" s="32">
        <v>56308</v>
      </c>
      <c r="B505" s="14">
        <f>41.1864 * CHOOSE(CONTROL!$C$15, $E$9, 100%, $G$9) + CHOOSE(CONTROL!$C$38, 0.0251, 0)</f>
        <v>41.211500000000001</v>
      </c>
      <c r="C505" s="14">
        <f>39.0174 * CHOOSE(CONTROL!$C$15, $E$9, 100%, $G$9) + CHOOSE(CONTROL!$C$38, 0.0342, 0)</f>
        <v>39.051600000000001</v>
      </c>
      <c r="D505" s="14">
        <f>39.0095 * CHOOSE(CONTROL!$C$15, $E$9, 100%, $G$9) + CHOOSE(CONTROL!$C$38, 0.0342, 0)</f>
        <v>39.043700000000001</v>
      </c>
      <c r="E505" s="45">
        <f>41.0302 * CHOOSE(CONTROL!$C$15, $E$9, 100%, $G$9) + CHOOSE(CONTROL!$C$38, 0.0342, 0)</f>
        <v>41.064399999999999</v>
      </c>
      <c r="F505" s="44">
        <f>41.0302 * CHOOSE(CONTROL!$C$15, $E$9, 100%, $G$9) + CHOOSE(CONTROL!$C$38, 0.0251, 0)</f>
        <v>41.055300000000003</v>
      </c>
      <c r="G505" s="14">
        <f>39.0158 * CHOOSE(CONTROL!$C$15, $E$9, 100%, $G$9) + CHOOSE(CONTROL!$C$38, 0.0342, 0)</f>
        <v>39.049999999999997</v>
      </c>
      <c r="H505" s="14">
        <f>39.0158 * CHOOSE(CONTROL!$C$15, $E$9, 100%, $G$9) + CHOOSE(CONTROL!$C$38, 0.0342, 0)</f>
        <v>39.049999999999997</v>
      </c>
      <c r="I505" s="14">
        <f>39.0174 * CHOOSE(CONTROL!$C$15, $E$9, 100%, $G$9) + CHOOSE(CONTROL!$C$38, 0.0342, 0)</f>
        <v>39.051600000000001</v>
      </c>
      <c r="J505" s="43">
        <f>272.5714</f>
        <v>272.57139999999998</v>
      </c>
    </row>
    <row r="506" spans="1:10" ht="15.75" x14ac:dyDescent="0.25">
      <c r="A506" s="32">
        <v>56339</v>
      </c>
      <c r="B506" s="14">
        <f>40.3894 * CHOOSE(CONTROL!$C$15, $E$9, 100%, $G$9) + CHOOSE(CONTROL!$C$38, 0.0251, 0)</f>
        <v>40.414500000000004</v>
      </c>
      <c r="C506" s="14">
        <f>38.2203 * CHOOSE(CONTROL!$C$15, $E$9, 100%, $G$9) + CHOOSE(CONTROL!$C$38, 0.0342, 0)</f>
        <v>38.2545</v>
      </c>
      <c r="D506" s="14">
        <f>38.2125 * CHOOSE(CONTROL!$C$15, $E$9, 100%, $G$9) + CHOOSE(CONTROL!$C$38, 0.0342, 0)</f>
        <v>38.246699999999997</v>
      </c>
      <c r="E506" s="45">
        <f>40.2331 * CHOOSE(CONTROL!$C$15, $E$9, 100%, $G$9) + CHOOSE(CONTROL!$C$38, 0.0342, 0)</f>
        <v>40.267299999999999</v>
      </c>
      <c r="F506" s="44">
        <f>40.2331 * CHOOSE(CONTROL!$C$15, $E$9, 100%, $G$9) + CHOOSE(CONTROL!$C$38, 0.0251, 0)</f>
        <v>40.258200000000002</v>
      </c>
      <c r="G506" s="14">
        <f>38.2188 * CHOOSE(CONTROL!$C$15, $E$9, 100%, $G$9) + CHOOSE(CONTROL!$C$38, 0.0342, 0)</f>
        <v>38.253</v>
      </c>
      <c r="H506" s="14">
        <f>38.2188 * CHOOSE(CONTROL!$C$15, $E$9, 100%, $G$9) + CHOOSE(CONTROL!$C$38, 0.0342, 0)</f>
        <v>38.253</v>
      </c>
      <c r="I506" s="14">
        <f>38.2203 * CHOOSE(CONTROL!$C$15, $E$9, 100%, $G$9) + CHOOSE(CONTROL!$C$38, 0.0342, 0)</f>
        <v>38.2545</v>
      </c>
      <c r="J506" s="43">
        <f>286.9375</f>
        <v>286.9375</v>
      </c>
    </row>
    <row r="507" spans="1:10" ht="15.75" x14ac:dyDescent="0.25">
      <c r="A507" s="32">
        <v>56369</v>
      </c>
      <c r="B507" s="14">
        <f>39.6171 * CHOOSE(CONTROL!$C$15, $E$9, 100%, $G$9) + CHOOSE(CONTROL!$C$38, 0.0251, 0)</f>
        <v>39.642200000000003</v>
      </c>
      <c r="C507" s="14">
        <f>37.448 * CHOOSE(CONTROL!$C$15, $E$9, 100%, $G$9) + CHOOSE(CONTROL!$C$38, 0.0342, 0)</f>
        <v>37.482199999999999</v>
      </c>
      <c r="D507" s="14">
        <f>37.4402 * CHOOSE(CONTROL!$C$15, $E$9, 100%, $G$9) + CHOOSE(CONTROL!$C$38, 0.0342, 0)</f>
        <v>37.474399999999996</v>
      </c>
      <c r="E507" s="45">
        <f>39.4608 * CHOOSE(CONTROL!$C$15, $E$9, 100%, $G$9) + CHOOSE(CONTROL!$C$38, 0.0342, 0)</f>
        <v>39.494999999999997</v>
      </c>
      <c r="F507" s="44">
        <f>39.4608 * CHOOSE(CONTROL!$C$15, $E$9, 100%, $G$9) + CHOOSE(CONTROL!$C$38, 0.0251, 0)</f>
        <v>39.485900000000001</v>
      </c>
      <c r="G507" s="14">
        <f>37.4464 * CHOOSE(CONTROL!$C$15, $E$9, 100%, $G$9) + CHOOSE(CONTROL!$C$38, 0.0342, 0)</f>
        <v>37.480599999999995</v>
      </c>
      <c r="H507" s="14">
        <f>37.4464 * CHOOSE(CONTROL!$C$15, $E$9, 100%, $G$9) + CHOOSE(CONTROL!$C$38, 0.0342, 0)</f>
        <v>37.480599999999995</v>
      </c>
      <c r="I507" s="14">
        <f>37.448 * CHOOSE(CONTROL!$C$15, $E$9, 100%, $G$9) + CHOOSE(CONTROL!$C$38, 0.0342, 0)</f>
        <v>37.482199999999999</v>
      </c>
      <c r="J507" s="43">
        <f>305.5669</f>
        <v>305.56689999999998</v>
      </c>
    </row>
    <row r="508" spans="1:10" ht="15.75" x14ac:dyDescent="0.25">
      <c r="A508" s="32">
        <v>56400</v>
      </c>
      <c r="B508" s="14">
        <f>38.8121 * CHOOSE(CONTROL!$C$15, $E$9, 100%, $G$9) + CHOOSE(CONTROL!$C$38, 0.0264, 0)</f>
        <v>38.838500000000003</v>
      </c>
      <c r="C508" s="14">
        <f>36.643 * CHOOSE(CONTROL!$C$15, $E$9, 100%, $G$9) + CHOOSE(CONTROL!$C$38, 0.0354, 0)</f>
        <v>36.678400000000003</v>
      </c>
      <c r="D508" s="14">
        <f>36.6352 * CHOOSE(CONTROL!$C$15, $E$9, 100%, $G$9) + CHOOSE(CONTROL!$C$38, 0.0354, 0)</f>
        <v>36.6706</v>
      </c>
      <c r="E508" s="45">
        <f>38.6559 * CHOOSE(CONTROL!$C$15, $E$9, 100%, $G$9) + CHOOSE(CONTROL!$C$38, 0.0354, 0)</f>
        <v>38.691300000000005</v>
      </c>
      <c r="F508" s="44">
        <f>38.6559 * CHOOSE(CONTROL!$C$15, $E$9, 100%, $G$9) + CHOOSE(CONTROL!$C$38, 0.0264, 0)</f>
        <v>38.682300000000005</v>
      </c>
      <c r="G508" s="14">
        <f>36.6415 * CHOOSE(CONTROL!$C$15, $E$9, 100%, $G$9) + CHOOSE(CONTROL!$C$38, 0.0354, 0)</f>
        <v>36.676900000000003</v>
      </c>
      <c r="H508" s="14">
        <f>36.6415 * CHOOSE(CONTROL!$C$15, $E$9, 100%, $G$9) + CHOOSE(CONTROL!$C$38, 0.0354, 0)</f>
        <v>36.676900000000003</v>
      </c>
      <c r="I508" s="14">
        <f>36.643 * CHOOSE(CONTROL!$C$15, $E$9, 100%, $G$9) + CHOOSE(CONTROL!$C$38, 0.0354, 0)</f>
        <v>36.678400000000003</v>
      </c>
      <c r="J508" s="43">
        <f>315.8211</f>
        <v>315.8211</v>
      </c>
    </row>
    <row r="509" spans="1:10" ht="15.75" x14ac:dyDescent="0.25">
      <c r="A509" s="32">
        <v>56430</v>
      </c>
      <c r="B509" s="14">
        <f>38.2478 * CHOOSE(CONTROL!$C$15, $E$9, 100%, $G$9) + CHOOSE(CONTROL!$C$38, 0.0264, 0)</f>
        <v>38.2742</v>
      </c>
      <c r="C509" s="14">
        <f>36.0787 * CHOOSE(CONTROL!$C$15, $E$9, 100%, $G$9) + CHOOSE(CONTROL!$C$38, 0.0354, 0)</f>
        <v>36.114100000000001</v>
      </c>
      <c r="D509" s="14">
        <f>36.0709 * CHOOSE(CONTROL!$C$15, $E$9, 100%, $G$9) + CHOOSE(CONTROL!$C$38, 0.0354, 0)</f>
        <v>36.106300000000005</v>
      </c>
      <c r="E509" s="45">
        <f>38.0915 * CHOOSE(CONTROL!$C$15, $E$9, 100%, $G$9) + CHOOSE(CONTROL!$C$38, 0.0354, 0)</f>
        <v>38.126900000000006</v>
      </c>
      <c r="F509" s="44">
        <f>38.0915 * CHOOSE(CONTROL!$C$15, $E$9, 100%, $G$9) + CHOOSE(CONTROL!$C$38, 0.0264, 0)</f>
        <v>38.117900000000006</v>
      </c>
      <c r="G509" s="14">
        <f>36.0771 * CHOOSE(CONTROL!$C$15, $E$9, 100%, $G$9) + CHOOSE(CONTROL!$C$38, 0.0354, 0)</f>
        <v>36.112500000000004</v>
      </c>
      <c r="H509" s="14">
        <f>36.0771 * CHOOSE(CONTROL!$C$15, $E$9, 100%, $G$9) + CHOOSE(CONTROL!$C$38, 0.0354, 0)</f>
        <v>36.112500000000004</v>
      </c>
      <c r="I509" s="14">
        <f>36.0787 * CHOOSE(CONTROL!$C$15, $E$9, 100%, $G$9) + CHOOSE(CONTROL!$C$38, 0.0354, 0)</f>
        <v>36.114100000000001</v>
      </c>
      <c r="J509" s="43">
        <f>320.3717</f>
        <v>320.37169999999998</v>
      </c>
    </row>
    <row r="510" spans="1:10" ht="15.75" x14ac:dyDescent="0.25">
      <c r="A510" s="32">
        <v>56461</v>
      </c>
      <c r="B510" s="14">
        <f>37.9257 * CHOOSE(CONTROL!$C$15, $E$9, 100%, $G$9) + CHOOSE(CONTROL!$C$38, 0.0264, 0)</f>
        <v>37.952100000000002</v>
      </c>
      <c r="C510" s="14">
        <f>35.7567 * CHOOSE(CONTROL!$C$15, $E$9, 100%, $G$9) + CHOOSE(CONTROL!$C$38, 0.0354, 0)</f>
        <v>35.792100000000005</v>
      </c>
      <c r="D510" s="14">
        <f>35.7488 * CHOOSE(CONTROL!$C$15, $E$9, 100%, $G$9) + CHOOSE(CONTROL!$C$38, 0.0354, 0)</f>
        <v>35.784200000000006</v>
      </c>
      <c r="E510" s="45">
        <f>37.7695 * CHOOSE(CONTROL!$C$15, $E$9, 100%, $G$9) + CHOOSE(CONTROL!$C$38, 0.0354, 0)</f>
        <v>37.804900000000004</v>
      </c>
      <c r="F510" s="44">
        <f>37.7695 * CHOOSE(CONTROL!$C$15, $E$9, 100%, $G$9) + CHOOSE(CONTROL!$C$38, 0.0264, 0)</f>
        <v>37.795900000000003</v>
      </c>
      <c r="G510" s="14">
        <f>35.7551 * CHOOSE(CONTROL!$C$15, $E$9, 100%, $G$9) + CHOOSE(CONTROL!$C$38, 0.0354, 0)</f>
        <v>35.790500000000002</v>
      </c>
      <c r="H510" s="14">
        <f>35.7551 * CHOOSE(CONTROL!$C$15, $E$9, 100%, $G$9) + CHOOSE(CONTROL!$C$38, 0.0354, 0)</f>
        <v>35.790500000000002</v>
      </c>
      <c r="I510" s="14">
        <f>35.7567 * CHOOSE(CONTROL!$C$15, $E$9, 100%, $G$9) + CHOOSE(CONTROL!$C$38, 0.0354, 0)</f>
        <v>35.792100000000005</v>
      </c>
      <c r="J510" s="43">
        <f>318.8735</f>
        <v>318.87349999999998</v>
      </c>
    </row>
    <row r="511" spans="1:10" ht="15.75" x14ac:dyDescent="0.25">
      <c r="A511" s="32">
        <v>56492</v>
      </c>
      <c r="B511" s="14">
        <f>38.0847 * CHOOSE(CONTROL!$C$15, $E$9, 100%, $G$9) + CHOOSE(CONTROL!$C$38, 0.0264, 0)</f>
        <v>38.1111</v>
      </c>
      <c r="C511" s="14">
        <f>35.9156 * CHOOSE(CONTROL!$C$15, $E$9, 100%, $G$9) + CHOOSE(CONTROL!$C$38, 0.0354, 0)</f>
        <v>35.951000000000001</v>
      </c>
      <c r="D511" s="14">
        <f>35.9078 * CHOOSE(CONTROL!$C$15, $E$9, 100%, $G$9) + CHOOSE(CONTROL!$C$38, 0.0354, 0)</f>
        <v>35.943200000000004</v>
      </c>
      <c r="E511" s="45">
        <f>37.9284 * CHOOSE(CONTROL!$C$15, $E$9, 100%, $G$9) + CHOOSE(CONTROL!$C$38, 0.0354, 0)</f>
        <v>37.963800000000006</v>
      </c>
      <c r="F511" s="44">
        <f>37.9284 * CHOOSE(CONTROL!$C$15, $E$9, 100%, $G$9) + CHOOSE(CONTROL!$C$38, 0.0264, 0)</f>
        <v>37.954800000000006</v>
      </c>
      <c r="G511" s="14">
        <f>35.914 * CHOOSE(CONTROL!$C$15, $E$9, 100%, $G$9) + CHOOSE(CONTROL!$C$38, 0.0354, 0)</f>
        <v>35.949400000000004</v>
      </c>
      <c r="H511" s="14">
        <f>35.914 * CHOOSE(CONTROL!$C$15, $E$9, 100%, $G$9) + CHOOSE(CONTROL!$C$38, 0.0354, 0)</f>
        <v>35.949400000000004</v>
      </c>
      <c r="I511" s="14">
        <f>35.9156 * CHOOSE(CONTROL!$C$15, $E$9, 100%, $G$9) + CHOOSE(CONTROL!$C$38, 0.0354, 0)</f>
        <v>35.951000000000001</v>
      </c>
      <c r="J511" s="43">
        <f>311.4502</f>
        <v>311.4502</v>
      </c>
    </row>
    <row r="512" spans="1:10" ht="15.75" x14ac:dyDescent="0.25">
      <c r="A512" s="32">
        <v>56522</v>
      </c>
      <c r="B512" s="14">
        <f>38.5164 * CHOOSE(CONTROL!$C$15, $E$9, 100%, $G$9) + CHOOSE(CONTROL!$C$38, 0.0264, 0)</f>
        <v>38.5428</v>
      </c>
      <c r="C512" s="14">
        <f>36.3473 * CHOOSE(CONTROL!$C$15, $E$9, 100%, $G$9) + CHOOSE(CONTROL!$C$38, 0.0354, 0)</f>
        <v>36.3827</v>
      </c>
      <c r="D512" s="14">
        <f>36.3395 * CHOOSE(CONTROL!$C$15, $E$9, 100%, $G$9) + CHOOSE(CONTROL!$C$38, 0.0354, 0)</f>
        <v>36.374900000000004</v>
      </c>
      <c r="E512" s="45">
        <f>38.3601 * CHOOSE(CONTROL!$C$15, $E$9, 100%, $G$9) + CHOOSE(CONTROL!$C$38, 0.0354, 0)</f>
        <v>38.395500000000006</v>
      </c>
      <c r="F512" s="44">
        <f>38.3601 * CHOOSE(CONTROL!$C$15, $E$9, 100%, $G$9) + CHOOSE(CONTROL!$C$38, 0.0264, 0)</f>
        <v>38.386500000000005</v>
      </c>
      <c r="G512" s="14">
        <f>36.3457 * CHOOSE(CONTROL!$C$15, $E$9, 100%, $G$9) + CHOOSE(CONTROL!$C$38, 0.0354, 0)</f>
        <v>36.381100000000004</v>
      </c>
      <c r="H512" s="14">
        <f>36.3457 * CHOOSE(CONTROL!$C$15, $E$9, 100%, $G$9) + CHOOSE(CONTROL!$C$38, 0.0354, 0)</f>
        <v>36.381100000000004</v>
      </c>
      <c r="I512" s="14">
        <f>36.3473 * CHOOSE(CONTROL!$C$15, $E$9, 100%, $G$9) + CHOOSE(CONTROL!$C$38, 0.0354, 0)</f>
        <v>36.3827</v>
      </c>
      <c r="J512" s="43">
        <f>301.0981</f>
        <v>301.09809999999999</v>
      </c>
    </row>
    <row r="513" spans="1:10" ht="15.75" x14ac:dyDescent="0.25">
      <c r="A513" s="32">
        <v>56553</v>
      </c>
      <c r="B513" s="14">
        <f>38.878 * CHOOSE(CONTROL!$C$15, $E$9, 100%, $G$9) + CHOOSE(CONTROL!$C$38, 0.0251, 0)</f>
        <v>38.903100000000002</v>
      </c>
      <c r="C513" s="14">
        <f>36.7089 * CHOOSE(CONTROL!$C$15, $E$9, 100%, $G$9) + CHOOSE(CONTROL!$C$38, 0.0342, 0)</f>
        <v>36.743099999999998</v>
      </c>
      <c r="D513" s="14">
        <f>36.7011 * CHOOSE(CONTROL!$C$15, $E$9, 100%, $G$9) + CHOOSE(CONTROL!$C$38, 0.0342, 0)</f>
        <v>36.735299999999995</v>
      </c>
      <c r="E513" s="45">
        <f>38.7217 * CHOOSE(CONTROL!$C$15, $E$9, 100%, $G$9) + CHOOSE(CONTROL!$C$38, 0.0342, 0)</f>
        <v>38.755899999999997</v>
      </c>
      <c r="F513" s="44">
        <f>38.7217 * CHOOSE(CONTROL!$C$15, $E$9, 100%, $G$9) + CHOOSE(CONTROL!$C$38, 0.0251, 0)</f>
        <v>38.7468</v>
      </c>
      <c r="G513" s="14">
        <f>36.7073 * CHOOSE(CONTROL!$C$15, $E$9, 100%, $G$9) + CHOOSE(CONTROL!$C$38, 0.0342, 0)</f>
        <v>36.741499999999995</v>
      </c>
      <c r="H513" s="14">
        <f>36.7073 * CHOOSE(CONTROL!$C$15, $E$9, 100%, $G$9) + CHOOSE(CONTROL!$C$38, 0.0342, 0)</f>
        <v>36.741499999999995</v>
      </c>
      <c r="I513" s="14">
        <f>36.7089 * CHOOSE(CONTROL!$C$15, $E$9, 100%, $G$9) + CHOOSE(CONTROL!$C$38, 0.0342, 0)</f>
        <v>36.743099999999998</v>
      </c>
      <c r="J513" s="43">
        <f>290.6859</f>
        <v>290.6859</v>
      </c>
    </row>
    <row r="514" spans="1:10" ht="15.75" x14ac:dyDescent="0.25">
      <c r="A514" s="32">
        <v>56583</v>
      </c>
      <c r="B514" s="14">
        <f>39.1797 * CHOOSE(CONTROL!$C$15, $E$9, 100%, $G$9) + CHOOSE(CONTROL!$C$38, 0.0251, 0)</f>
        <v>39.204799999999999</v>
      </c>
      <c r="C514" s="14">
        <f>37.0106 * CHOOSE(CONTROL!$C$15, $E$9, 100%, $G$9) + CHOOSE(CONTROL!$C$38, 0.0342, 0)</f>
        <v>37.044799999999995</v>
      </c>
      <c r="D514" s="14">
        <f>37.0028 * CHOOSE(CONTROL!$C$15, $E$9, 100%, $G$9) + CHOOSE(CONTROL!$C$38, 0.0342, 0)</f>
        <v>37.036999999999999</v>
      </c>
      <c r="E514" s="45">
        <f>39.0234 * CHOOSE(CONTROL!$C$15, $E$9, 100%, $G$9) + CHOOSE(CONTROL!$C$38, 0.0342, 0)</f>
        <v>39.057600000000001</v>
      </c>
      <c r="F514" s="44">
        <f>39.0234 * CHOOSE(CONTROL!$C$15, $E$9, 100%, $G$9) + CHOOSE(CONTROL!$C$38, 0.0251, 0)</f>
        <v>39.048500000000004</v>
      </c>
      <c r="G514" s="14">
        <f>37.009 * CHOOSE(CONTROL!$C$15, $E$9, 100%, $G$9) + CHOOSE(CONTROL!$C$38, 0.0342, 0)</f>
        <v>37.043199999999999</v>
      </c>
      <c r="H514" s="14">
        <f>37.009 * CHOOSE(CONTROL!$C$15, $E$9, 100%, $G$9) + CHOOSE(CONTROL!$C$38, 0.0342, 0)</f>
        <v>37.043199999999999</v>
      </c>
      <c r="I514" s="14">
        <f>37.0106 * CHOOSE(CONTROL!$C$15, $E$9, 100%, $G$9) + CHOOSE(CONTROL!$C$38, 0.0342, 0)</f>
        <v>37.044799999999995</v>
      </c>
      <c r="J514" s="43">
        <f>288.6147</f>
        <v>288.61470000000003</v>
      </c>
    </row>
    <row r="515" spans="1:10" ht="15.75" x14ac:dyDescent="0.25">
      <c r="A515" s="32">
        <v>56614</v>
      </c>
      <c r="B515" s="14">
        <f>40.1093 * CHOOSE(CONTROL!$C$15, $E$9, 100%, $G$9) + CHOOSE(CONTROL!$C$38, 0.0251, 0)</f>
        <v>40.134399999999999</v>
      </c>
      <c r="C515" s="14">
        <f>37.9402 * CHOOSE(CONTROL!$C$15, $E$9, 100%, $G$9) + CHOOSE(CONTROL!$C$38, 0.0342, 0)</f>
        <v>37.974399999999996</v>
      </c>
      <c r="D515" s="14">
        <f>37.9324 * CHOOSE(CONTROL!$C$15, $E$9, 100%, $G$9) + CHOOSE(CONTROL!$C$38, 0.0342, 0)</f>
        <v>37.9666</v>
      </c>
      <c r="E515" s="45">
        <f>39.9531 * CHOOSE(CONTROL!$C$15, $E$9, 100%, $G$9) + CHOOSE(CONTROL!$C$38, 0.0342, 0)</f>
        <v>39.987299999999998</v>
      </c>
      <c r="F515" s="44">
        <f>39.9531 * CHOOSE(CONTROL!$C$15, $E$9, 100%, $G$9) + CHOOSE(CONTROL!$C$38, 0.0251, 0)</f>
        <v>39.978200000000001</v>
      </c>
      <c r="G515" s="14">
        <f>37.9387 * CHOOSE(CONTROL!$C$15, $E$9, 100%, $G$9) + CHOOSE(CONTROL!$C$38, 0.0342, 0)</f>
        <v>37.972899999999996</v>
      </c>
      <c r="H515" s="14">
        <f>37.9387 * CHOOSE(CONTROL!$C$15, $E$9, 100%, $G$9) + CHOOSE(CONTROL!$C$38, 0.0342, 0)</f>
        <v>37.972899999999996</v>
      </c>
      <c r="I515" s="14">
        <f>37.9402 * CHOOSE(CONTROL!$C$15, $E$9, 100%, $G$9) + CHOOSE(CONTROL!$C$38, 0.0342, 0)</f>
        <v>37.974399999999996</v>
      </c>
      <c r="J515" s="43">
        <f>280.05</f>
        <v>280.05</v>
      </c>
    </row>
    <row r="516" spans="1:10" ht="15.75" x14ac:dyDescent="0.25">
      <c r="A516" s="31">
        <v>56645</v>
      </c>
      <c r="B516" s="14">
        <f>41.4922 * CHOOSE(CONTROL!$C$15, $E$9, 100%, $G$9) + CHOOSE(CONTROL!$C$38, 0.0251, 0)</f>
        <v>41.517299999999999</v>
      </c>
      <c r="C516" s="14">
        <f>39.2893 * CHOOSE(CONTROL!$C$15, $E$9, 100%, $G$9) + CHOOSE(CONTROL!$C$38, 0.0342, 0)</f>
        <v>39.323499999999996</v>
      </c>
      <c r="D516" s="14">
        <f>39.2815 * CHOOSE(CONTROL!$C$15, $E$9, 100%, $G$9) + CHOOSE(CONTROL!$C$38, 0.0342, 0)</f>
        <v>39.3157</v>
      </c>
      <c r="E516" s="45">
        <f>41.336 * CHOOSE(CONTROL!$C$15, $E$9, 100%, $G$9) + CHOOSE(CONTROL!$C$38, 0.0342, 0)</f>
        <v>41.370199999999997</v>
      </c>
      <c r="F516" s="44">
        <f>41.336 * CHOOSE(CONTROL!$C$15, $E$9, 100%, $G$9) + CHOOSE(CONTROL!$C$38, 0.0251, 0)</f>
        <v>41.3611</v>
      </c>
      <c r="G516" s="14">
        <f>39.2878 * CHOOSE(CONTROL!$C$15, $E$9, 100%, $G$9) + CHOOSE(CONTROL!$C$38, 0.0342, 0)</f>
        <v>39.321999999999996</v>
      </c>
      <c r="H516" s="14">
        <f>39.2878 * CHOOSE(CONTROL!$C$15, $E$9, 100%, $G$9) + CHOOSE(CONTROL!$C$38, 0.0342, 0)</f>
        <v>39.321999999999996</v>
      </c>
      <c r="I516" s="14">
        <f>39.2893 * CHOOSE(CONTROL!$C$15, $E$9, 100%, $G$9) + CHOOSE(CONTROL!$C$38, 0.0342, 0)</f>
        <v>39.323499999999996</v>
      </c>
      <c r="J516" s="43">
        <f>279.8478</f>
        <v>279.84780000000001</v>
      </c>
    </row>
    <row r="517" spans="1:10" ht="15.75" x14ac:dyDescent="0.25">
      <c r="A517" s="31">
        <v>56673</v>
      </c>
      <c r="B517" s="14">
        <f>41.8366 * CHOOSE(CONTROL!$C$15, $E$9, 100%, $G$9) + CHOOSE(CONTROL!$C$38, 0.0251, 0)</f>
        <v>41.861699999999999</v>
      </c>
      <c r="C517" s="14">
        <f>39.6337 * CHOOSE(CONTROL!$C$15, $E$9, 100%, $G$9) + CHOOSE(CONTROL!$C$38, 0.0342, 0)</f>
        <v>39.667899999999996</v>
      </c>
      <c r="D517" s="14">
        <f>39.6259 * CHOOSE(CONTROL!$C$15, $E$9, 100%, $G$9) + CHOOSE(CONTROL!$C$38, 0.0342, 0)</f>
        <v>39.6601</v>
      </c>
      <c r="E517" s="45">
        <f>41.6803 * CHOOSE(CONTROL!$C$15, $E$9, 100%, $G$9) + CHOOSE(CONTROL!$C$38, 0.0342, 0)</f>
        <v>41.714500000000001</v>
      </c>
      <c r="F517" s="44">
        <f>41.6803 * CHOOSE(CONTROL!$C$15, $E$9, 100%, $G$9) + CHOOSE(CONTROL!$C$38, 0.0251, 0)</f>
        <v>41.705400000000004</v>
      </c>
      <c r="G517" s="14">
        <f>39.6321 * CHOOSE(CONTROL!$C$15, $E$9, 100%, $G$9) + CHOOSE(CONTROL!$C$38, 0.0342, 0)</f>
        <v>39.6663</v>
      </c>
      <c r="H517" s="14">
        <f>39.6321 * CHOOSE(CONTROL!$C$15, $E$9, 100%, $G$9) + CHOOSE(CONTROL!$C$38, 0.0342, 0)</f>
        <v>39.6663</v>
      </c>
      <c r="I517" s="14">
        <f>39.6337 * CHOOSE(CONTROL!$C$15, $E$9, 100%, $G$9) + CHOOSE(CONTROL!$C$38, 0.0342, 0)</f>
        <v>39.667899999999996</v>
      </c>
      <c r="J517" s="43">
        <f>279.0699</f>
        <v>279.06990000000002</v>
      </c>
    </row>
    <row r="518" spans="1:10" ht="15.75" x14ac:dyDescent="0.25">
      <c r="A518" s="31">
        <v>56704</v>
      </c>
      <c r="B518" s="14">
        <f>41.0395 * CHOOSE(CONTROL!$C$15, $E$9, 100%, $G$9) + CHOOSE(CONTROL!$C$38, 0.0251, 0)</f>
        <v>41.064599999999999</v>
      </c>
      <c r="C518" s="14">
        <f>38.8366 * CHOOSE(CONTROL!$C$15, $E$9, 100%, $G$9) + CHOOSE(CONTROL!$C$38, 0.0342, 0)</f>
        <v>38.870799999999996</v>
      </c>
      <c r="D518" s="14">
        <f>38.8288 * CHOOSE(CONTROL!$C$15, $E$9, 100%, $G$9) + CHOOSE(CONTROL!$C$38, 0.0342, 0)</f>
        <v>38.863</v>
      </c>
      <c r="E518" s="45">
        <f>40.8833 * CHOOSE(CONTROL!$C$15, $E$9, 100%, $G$9) + CHOOSE(CONTROL!$C$38, 0.0342, 0)</f>
        <v>40.917499999999997</v>
      </c>
      <c r="F518" s="44">
        <f>40.8833 * CHOOSE(CONTROL!$C$15, $E$9, 100%, $G$9) + CHOOSE(CONTROL!$C$38, 0.0251, 0)</f>
        <v>40.9084</v>
      </c>
      <c r="G518" s="14">
        <f>38.8351 * CHOOSE(CONTROL!$C$15, $E$9, 100%, $G$9) + CHOOSE(CONTROL!$C$38, 0.0342, 0)</f>
        <v>38.869299999999996</v>
      </c>
      <c r="H518" s="14">
        <f>38.8351 * CHOOSE(CONTROL!$C$15, $E$9, 100%, $G$9) + CHOOSE(CONTROL!$C$38, 0.0342, 0)</f>
        <v>38.869299999999996</v>
      </c>
      <c r="I518" s="14">
        <f>38.8366 * CHOOSE(CONTROL!$C$15, $E$9, 100%, $G$9) + CHOOSE(CONTROL!$C$38, 0.0342, 0)</f>
        <v>38.870799999999996</v>
      </c>
      <c r="J518" s="43">
        <f>293.7785</f>
        <v>293.77850000000001</v>
      </c>
    </row>
    <row r="519" spans="1:10" ht="15.75" x14ac:dyDescent="0.25">
      <c r="A519" s="31">
        <v>56734</v>
      </c>
      <c r="B519" s="14">
        <f>40.2672 * CHOOSE(CONTROL!$C$15, $E$9, 100%, $G$9) + CHOOSE(CONTROL!$C$38, 0.0251, 0)</f>
        <v>40.292300000000004</v>
      </c>
      <c r="C519" s="14">
        <f>38.0643 * CHOOSE(CONTROL!$C$15, $E$9, 100%, $G$9) + CHOOSE(CONTROL!$C$38, 0.0342, 0)</f>
        <v>38.098500000000001</v>
      </c>
      <c r="D519" s="14">
        <f>38.0565 * CHOOSE(CONTROL!$C$15, $E$9, 100%, $G$9) + CHOOSE(CONTROL!$C$38, 0.0342, 0)</f>
        <v>38.090699999999998</v>
      </c>
      <c r="E519" s="45">
        <f>40.111 * CHOOSE(CONTROL!$C$15, $E$9, 100%, $G$9) + CHOOSE(CONTROL!$C$38, 0.0342, 0)</f>
        <v>40.145199999999996</v>
      </c>
      <c r="F519" s="44">
        <f>40.111 * CHOOSE(CONTROL!$C$15, $E$9, 100%, $G$9) + CHOOSE(CONTROL!$C$38, 0.0251, 0)</f>
        <v>40.136099999999999</v>
      </c>
      <c r="G519" s="14">
        <f>38.0628 * CHOOSE(CONTROL!$C$15, $E$9, 100%, $G$9) + CHOOSE(CONTROL!$C$38, 0.0342, 0)</f>
        <v>38.097000000000001</v>
      </c>
      <c r="H519" s="14">
        <f>38.0628 * CHOOSE(CONTROL!$C$15, $E$9, 100%, $G$9) + CHOOSE(CONTROL!$C$38, 0.0342, 0)</f>
        <v>38.097000000000001</v>
      </c>
      <c r="I519" s="14">
        <f>38.0643 * CHOOSE(CONTROL!$C$15, $E$9, 100%, $G$9) + CHOOSE(CONTROL!$C$38, 0.0342, 0)</f>
        <v>38.098500000000001</v>
      </c>
      <c r="J519" s="43">
        <f>312.8521</f>
        <v>312.85210000000001</v>
      </c>
    </row>
    <row r="520" spans="1:10" ht="15.75" x14ac:dyDescent="0.25">
      <c r="A520" s="31">
        <v>56765</v>
      </c>
      <c r="B520" s="14">
        <f>39.4623 * CHOOSE(CONTROL!$C$15, $E$9, 100%, $G$9) + CHOOSE(CONTROL!$C$38, 0.0264, 0)</f>
        <v>39.488700000000001</v>
      </c>
      <c r="C520" s="14">
        <f>37.2594 * CHOOSE(CONTROL!$C$15, $E$9, 100%, $G$9) + CHOOSE(CONTROL!$C$38, 0.0354, 0)</f>
        <v>37.294800000000002</v>
      </c>
      <c r="D520" s="14">
        <f>37.2515 * CHOOSE(CONTROL!$C$15, $E$9, 100%, $G$9) + CHOOSE(CONTROL!$C$38, 0.0354, 0)</f>
        <v>37.286900000000003</v>
      </c>
      <c r="E520" s="45">
        <f>39.306 * CHOOSE(CONTROL!$C$15, $E$9, 100%, $G$9) + CHOOSE(CONTROL!$C$38, 0.0354, 0)</f>
        <v>39.3414</v>
      </c>
      <c r="F520" s="44">
        <f>39.306 * CHOOSE(CONTROL!$C$15, $E$9, 100%, $G$9) + CHOOSE(CONTROL!$C$38, 0.0264, 0)</f>
        <v>39.3324</v>
      </c>
      <c r="G520" s="14">
        <f>37.2578 * CHOOSE(CONTROL!$C$15, $E$9, 100%, $G$9) + CHOOSE(CONTROL!$C$38, 0.0354, 0)</f>
        <v>37.293200000000006</v>
      </c>
      <c r="H520" s="14">
        <f>37.2578 * CHOOSE(CONTROL!$C$15, $E$9, 100%, $G$9) + CHOOSE(CONTROL!$C$38, 0.0354, 0)</f>
        <v>37.293200000000006</v>
      </c>
      <c r="I520" s="14">
        <f>37.2594 * CHOOSE(CONTROL!$C$15, $E$9, 100%, $G$9) + CHOOSE(CONTROL!$C$38, 0.0354, 0)</f>
        <v>37.294800000000002</v>
      </c>
      <c r="J520" s="43">
        <f>323.3507</f>
        <v>323.35070000000002</v>
      </c>
    </row>
    <row r="521" spans="1:10" ht="15.75" x14ac:dyDescent="0.25">
      <c r="A521" s="31">
        <v>56795</v>
      </c>
      <c r="B521" s="14">
        <f>38.8979 * CHOOSE(CONTROL!$C$15, $E$9, 100%, $G$9) + CHOOSE(CONTROL!$C$38, 0.0264, 0)</f>
        <v>38.924300000000002</v>
      </c>
      <c r="C521" s="14">
        <f>36.695 * CHOOSE(CONTROL!$C$15, $E$9, 100%, $G$9) + CHOOSE(CONTROL!$C$38, 0.0354, 0)</f>
        <v>36.730400000000003</v>
      </c>
      <c r="D521" s="14">
        <f>36.6872 * CHOOSE(CONTROL!$C$15, $E$9, 100%, $G$9) + CHOOSE(CONTROL!$C$38, 0.0354, 0)</f>
        <v>36.7226</v>
      </c>
      <c r="E521" s="45">
        <f>38.7417 * CHOOSE(CONTROL!$C$15, $E$9, 100%, $G$9) + CHOOSE(CONTROL!$C$38, 0.0354, 0)</f>
        <v>38.777100000000004</v>
      </c>
      <c r="F521" s="44">
        <f>38.7417 * CHOOSE(CONTROL!$C$15, $E$9, 100%, $G$9) + CHOOSE(CONTROL!$C$38, 0.0264, 0)</f>
        <v>38.768100000000004</v>
      </c>
      <c r="G521" s="14">
        <f>36.6935 * CHOOSE(CONTROL!$C$15, $E$9, 100%, $G$9) + CHOOSE(CONTROL!$C$38, 0.0354, 0)</f>
        <v>36.728900000000003</v>
      </c>
      <c r="H521" s="14">
        <f>36.6935 * CHOOSE(CONTROL!$C$15, $E$9, 100%, $G$9) + CHOOSE(CONTROL!$C$38, 0.0354, 0)</f>
        <v>36.728900000000003</v>
      </c>
      <c r="I521" s="14">
        <f>36.695 * CHOOSE(CONTROL!$C$15, $E$9, 100%, $G$9) + CHOOSE(CONTROL!$C$38, 0.0354, 0)</f>
        <v>36.730400000000003</v>
      </c>
      <c r="J521" s="43">
        <f>328.0099</f>
        <v>328.00990000000002</v>
      </c>
    </row>
    <row r="522" spans="1:10" ht="15.75" x14ac:dyDescent="0.25">
      <c r="A522" s="31">
        <v>56826</v>
      </c>
      <c r="B522" s="14">
        <f>38.5759 * CHOOSE(CONTROL!$C$15, $E$9, 100%, $G$9) + CHOOSE(CONTROL!$C$38, 0.0264, 0)</f>
        <v>38.6023</v>
      </c>
      <c r="C522" s="14">
        <f>36.373 * CHOOSE(CONTROL!$C$15, $E$9, 100%, $G$9) + CHOOSE(CONTROL!$C$38, 0.0354, 0)</f>
        <v>36.4084</v>
      </c>
      <c r="D522" s="14">
        <f>36.3652 * CHOOSE(CONTROL!$C$15, $E$9, 100%, $G$9) + CHOOSE(CONTROL!$C$38, 0.0354, 0)</f>
        <v>36.400600000000004</v>
      </c>
      <c r="E522" s="45">
        <f>38.4196 * CHOOSE(CONTROL!$C$15, $E$9, 100%, $G$9) + CHOOSE(CONTROL!$C$38, 0.0354, 0)</f>
        <v>38.455000000000005</v>
      </c>
      <c r="F522" s="44">
        <f>38.4196 * CHOOSE(CONTROL!$C$15, $E$9, 100%, $G$9) + CHOOSE(CONTROL!$C$38, 0.0264, 0)</f>
        <v>38.446000000000005</v>
      </c>
      <c r="G522" s="14">
        <f>36.3714 * CHOOSE(CONTROL!$C$15, $E$9, 100%, $G$9) + CHOOSE(CONTROL!$C$38, 0.0354, 0)</f>
        <v>36.406800000000004</v>
      </c>
      <c r="H522" s="14">
        <f>36.3714 * CHOOSE(CONTROL!$C$15, $E$9, 100%, $G$9) + CHOOSE(CONTROL!$C$38, 0.0354, 0)</f>
        <v>36.406800000000004</v>
      </c>
      <c r="I522" s="14">
        <f>36.373 * CHOOSE(CONTROL!$C$15, $E$9, 100%, $G$9) + CHOOSE(CONTROL!$C$38, 0.0354, 0)</f>
        <v>36.4084</v>
      </c>
      <c r="J522" s="43">
        <f>326.4759</f>
        <v>326.47590000000002</v>
      </c>
    </row>
    <row r="523" spans="1:10" ht="15.75" x14ac:dyDescent="0.25">
      <c r="A523" s="31">
        <v>56857</v>
      </c>
      <c r="B523" s="14">
        <f>38.7348 * CHOOSE(CONTROL!$C$15, $E$9, 100%, $G$9) + CHOOSE(CONTROL!$C$38, 0.0264, 0)</f>
        <v>38.761200000000002</v>
      </c>
      <c r="C523" s="14">
        <f>36.5319 * CHOOSE(CONTROL!$C$15, $E$9, 100%, $G$9) + CHOOSE(CONTROL!$C$38, 0.0354, 0)</f>
        <v>36.567300000000003</v>
      </c>
      <c r="D523" s="14">
        <f>36.5241 * CHOOSE(CONTROL!$C$15, $E$9, 100%, $G$9) + CHOOSE(CONTROL!$C$38, 0.0354, 0)</f>
        <v>36.5595</v>
      </c>
      <c r="E523" s="45">
        <f>38.5786 * CHOOSE(CONTROL!$C$15, $E$9, 100%, $G$9) + CHOOSE(CONTROL!$C$38, 0.0354, 0)</f>
        <v>38.614000000000004</v>
      </c>
      <c r="F523" s="44">
        <f>38.5786 * CHOOSE(CONTROL!$C$15, $E$9, 100%, $G$9) + CHOOSE(CONTROL!$C$38, 0.0264, 0)</f>
        <v>38.605000000000004</v>
      </c>
      <c r="G523" s="14">
        <f>36.5303 * CHOOSE(CONTROL!$C$15, $E$9, 100%, $G$9) + CHOOSE(CONTROL!$C$38, 0.0354, 0)</f>
        <v>36.5657</v>
      </c>
      <c r="H523" s="14">
        <f>36.5303 * CHOOSE(CONTROL!$C$15, $E$9, 100%, $G$9) + CHOOSE(CONTROL!$C$38, 0.0354, 0)</f>
        <v>36.5657</v>
      </c>
      <c r="I523" s="14">
        <f>36.5319 * CHOOSE(CONTROL!$C$15, $E$9, 100%, $G$9) + CHOOSE(CONTROL!$C$38, 0.0354, 0)</f>
        <v>36.567300000000003</v>
      </c>
      <c r="J523" s="43">
        <f>318.8757</f>
        <v>318.87569999999999</v>
      </c>
    </row>
    <row r="524" spans="1:10" ht="15.75" x14ac:dyDescent="0.25">
      <c r="A524" s="31">
        <v>56887</v>
      </c>
      <c r="B524" s="14">
        <f>39.1665 * CHOOSE(CONTROL!$C$15, $E$9, 100%, $G$9) + CHOOSE(CONTROL!$C$38, 0.0264, 0)</f>
        <v>39.192900000000002</v>
      </c>
      <c r="C524" s="14">
        <f>36.9636 * CHOOSE(CONTROL!$C$15, $E$9, 100%, $G$9) + CHOOSE(CONTROL!$C$38, 0.0354, 0)</f>
        <v>36.999000000000002</v>
      </c>
      <c r="D524" s="14">
        <f>36.9558 * CHOOSE(CONTROL!$C$15, $E$9, 100%, $G$9) + CHOOSE(CONTROL!$C$38, 0.0354, 0)</f>
        <v>36.991200000000006</v>
      </c>
      <c r="E524" s="45">
        <f>39.0103 * CHOOSE(CONTROL!$C$15, $E$9, 100%, $G$9) + CHOOSE(CONTROL!$C$38, 0.0354, 0)</f>
        <v>39.045700000000004</v>
      </c>
      <c r="F524" s="44">
        <f>39.0103 * CHOOSE(CONTROL!$C$15, $E$9, 100%, $G$9) + CHOOSE(CONTROL!$C$38, 0.0264, 0)</f>
        <v>39.036700000000003</v>
      </c>
      <c r="G524" s="14">
        <f>36.9621 * CHOOSE(CONTROL!$C$15, $E$9, 100%, $G$9) + CHOOSE(CONTROL!$C$38, 0.0354, 0)</f>
        <v>36.997500000000002</v>
      </c>
      <c r="H524" s="14">
        <f>36.9621 * CHOOSE(CONTROL!$C$15, $E$9, 100%, $G$9) + CHOOSE(CONTROL!$C$38, 0.0354, 0)</f>
        <v>36.997500000000002</v>
      </c>
      <c r="I524" s="14">
        <f>36.9636 * CHOOSE(CONTROL!$C$15, $E$9, 100%, $G$9) + CHOOSE(CONTROL!$C$38, 0.0354, 0)</f>
        <v>36.999000000000002</v>
      </c>
      <c r="J524" s="43">
        <f>308.2768</f>
        <v>308.27679999999998</v>
      </c>
    </row>
    <row r="525" spans="1:10" ht="15.75" x14ac:dyDescent="0.25">
      <c r="A525" s="31">
        <v>56918</v>
      </c>
      <c r="B525" s="14">
        <f>39.5281 * CHOOSE(CONTROL!$C$15, $E$9, 100%, $G$9) + CHOOSE(CONTROL!$C$38, 0.0251, 0)</f>
        <v>39.553200000000004</v>
      </c>
      <c r="C525" s="14">
        <f>37.3252 * CHOOSE(CONTROL!$C$15, $E$9, 100%, $G$9) + CHOOSE(CONTROL!$C$38, 0.0342, 0)</f>
        <v>37.359400000000001</v>
      </c>
      <c r="D525" s="14">
        <f>37.3174 * CHOOSE(CONTROL!$C$15, $E$9, 100%, $G$9) + CHOOSE(CONTROL!$C$38, 0.0342, 0)</f>
        <v>37.351599999999998</v>
      </c>
      <c r="E525" s="45">
        <f>39.3718 * CHOOSE(CONTROL!$C$15, $E$9, 100%, $G$9) + CHOOSE(CONTROL!$C$38, 0.0342, 0)</f>
        <v>39.405999999999999</v>
      </c>
      <c r="F525" s="44">
        <f>39.3718 * CHOOSE(CONTROL!$C$15, $E$9, 100%, $G$9) + CHOOSE(CONTROL!$C$38, 0.0251, 0)</f>
        <v>39.396900000000002</v>
      </c>
      <c r="G525" s="14">
        <f>37.3236 * CHOOSE(CONTROL!$C$15, $E$9, 100%, $G$9) + CHOOSE(CONTROL!$C$38, 0.0342, 0)</f>
        <v>37.357799999999997</v>
      </c>
      <c r="H525" s="14">
        <f>37.3236 * CHOOSE(CONTROL!$C$15, $E$9, 100%, $G$9) + CHOOSE(CONTROL!$C$38, 0.0342, 0)</f>
        <v>37.357799999999997</v>
      </c>
      <c r="I525" s="14">
        <f>37.3252 * CHOOSE(CONTROL!$C$15, $E$9, 100%, $G$9) + CHOOSE(CONTROL!$C$38, 0.0342, 0)</f>
        <v>37.359400000000001</v>
      </c>
      <c r="J525" s="43">
        <f>297.6163</f>
        <v>297.61630000000002</v>
      </c>
    </row>
    <row r="526" spans="1:10" ht="15.75" x14ac:dyDescent="0.25">
      <c r="A526" s="31">
        <v>56948</v>
      </c>
      <c r="B526" s="14">
        <f>39.8298 * CHOOSE(CONTROL!$C$15, $E$9, 100%, $G$9) + CHOOSE(CONTROL!$C$38, 0.0251, 0)</f>
        <v>39.854900000000001</v>
      </c>
      <c r="C526" s="14">
        <f>37.6269 * CHOOSE(CONTROL!$C$15, $E$9, 100%, $G$9) + CHOOSE(CONTROL!$C$38, 0.0342, 0)</f>
        <v>37.661099999999998</v>
      </c>
      <c r="D526" s="14">
        <f>37.6191 * CHOOSE(CONTROL!$C$15, $E$9, 100%, $G$9) + CHOOSE(CONTROL!$C$38, 0.0342, 0)</f>
        <v>37.653300000000002</v>
      </c>
      <c r="E526" s="45">
        <f>39.6735 * CHOOSE(CONTROL!$C$15, $E$9, 100%, $G$9) + CHOOSE(CONTROL!$C$38, 0.0342, 0)</f>
        <v>39.707699999999996</v>
      </c>
      <c r="F526" s="44">
        <f>39.6735 * CHOOSE(CONTROL!$C$15, $E$9, 100%, $G$9) + CHOOSE(CONTROL!$C$38, 0.0251, 0)</f>
        <v>39.698599999999999</v>
      </c>
      <c r="G526" s="14">
        <f>37.6253 * CHOOSE(CONTROL!$C$15, $E$9, 100%, $G$9) + CHOOSE(CONTROL!$C$38, 0.0342, 0)</f>
        <v>37.659500000000001</v>
      </c>
      <c r="H526" s="14">
        <f>37.6253 * CHOOSE(CONTROL!$C$15, $E$9, 100%, $G$9) + CHOOSE(CONTROL!$C$38, 0.0342, 0)</f>
        <v>37.659500000000001</v>
      </c>
      <c r="I526" s="14">
        <f>37.6269 * CHOOSE(CONTROL!$C$15, $E$9, 100%, $G$9) + CHOOSE(CONTROL!$C$38, 0.0342, 0)</f>
        <v>37.661099999999998</v>
      </c>
      <c r="J526" s="43">
        <f>295.4957</f>
        <v>295.4957</v>
      </c>
    </row>
    <row r="527" spans="1:10" ht="15.75" x14ac:dyDescent="0.25">
      <c r="A527" s="31">
        <v>56979</v>
      </c>
      <c r="B527" s="14">
        <f>40.7594 * CHOOSE(CONTROL!$C$15, $E$9, 100%, $G$9) + CHOOSE(CONTROL!$C$38, 0.0251, 0)</f>
        <v>40.784500000000001</v>
      </c>
      <c r="C527" s="14">
        <f>38.5565 * CHOOSE(CONTROL!$C$15, $E$9, 100%, $G$9) + CHOOSE(CONTROL!$C$38, 0.0342, 0)</f>
        <v>38.590699999999998</v>
      </c>
      <c r="D527" s="14">
        <f>38.5487 * CHOOSE(CONTROL!$C$15, $E$9, 100%, $G$9) + CHOOSE(CONTROL!$C$38, 0.0342, 0)</f>
        <v>38.582899999999995</v>
      </c>
      <c r="E527" s="45">
        <f>40.6032 * CHOOSE(CONTROL!$C$15, $E$9, 100%, $G$9) + CHOOSE(CONTROL!$C$38, 0.0342, 0)</f>
        <v>40.6374</v>
      </c>
      <c r="F527" s="44">
        <f>40.6032 * CHOOSE(CONTROL!$C$15, $E$9, 100%, $G$9) + CHOOSE(CONTROL!$C$38, 0.0251, 0)</f>
        <v>40.628300000000003</v>
      </c>
      <c r="G527" s="14">
        <f>38.555 * CHOOSE(CONTROL!$C$15, $E$9, 100%, $G$9) + CHOOSE(CONTROL!$C$38, 0.0342, 0)</f>
        <v>38.589199999999998</v>
      </c>
      <c r="H527" s="14">
        <f>38.555 * CHOOSE(CONTROL!$C$15, $E$9, 100%, $G$9) + CHOOSE(CONTROL!$C$38, 0.0342, 0)</f>
        <v>38.589199999999998</v>
      </c>
      <c r="I527" s="14">
        <f>38.5565 * CHOOSE(CONTROL!$C$15, $E$9, 100%, $G$9) + CHOOSE(CONTROL!$C$38, 0.0342, 0)</f>
        <v>38.590699999999998</v>
      </c>
      <c r="J527" s="43">
        <f>286.7268</f>
        <v>286.72680000000003</v>
      </c>
    </row>
    <row r="528" spans="1:10" ht="15.75" x14ac:dyDescent="0.25">
      <c r="A528" s="31">
        <v>57010</v>
      </c>
      <c r="B528" s="14">
        <f>42.1533 * CHOOSE(CONTROL!$C$15, $E$9, 100%, $G$9) + CHOOSE(CONTROL!$C$38, 0.0251, 0)</f>
        <v>42.178400000000003</v>
      </c>
      <c r="C528" s="14">
        <f>39.916 * CHOOSE(CONTROL!$C$15, $E$9, 100%, $G$9) + CHOOSE(CONTROL!$C$38, 0.0342, 0)</f>
        <v>39.950199999999995</v>
      </c>
      <c r="D528" s="14">
        <f>39.9082 * CHOOSE(CONTROL!$C$15, $E$9, 100%, $G$9) + CHOOSE(CONTROL!$C$38, 0.0342, 0)</f>
        <v>39.942399999999999</v>
      </c>
      <c r="E528" s="45">
        <f>41.997 * CHOOSE(CONTROL!$C$15, $E$9, 100%, $G$9) + CHOOSE(CONTROL!$C$38, 0.0342, 0)</f>
        <v>42.031199999999998</v>
      </c>
      <c r="F528" s="44">
        <f>41.997 * CHOOSE(CONTROL!$C$15, $E$9, 100%, $G$9) + CHOOSE(CONTROL!$C$38, 0.0251, 0)</f>
        <v>42.022100000000002</v>
      </c>
      <c r="G528" s="14">
        <f>39.9145 * CHOOSE(CONTROL!$C$15, $E$9, 100%, $G$9) + CHOOSE(CONTROL!$C$38, 0.0342, 0)</f>
        <v>39.948699999999995</v>
      </c>
      <c r="H528" s="14">
        <f>39.9145 * CHOOSE(CONTROL!$C$15, $E$9, 100%, $G$9) + CHOOSE(CONTROL!$C$38, 0.0342, 0)</f>
        <v>39.948699999999995</v>
      </c>
      <c r="I528" s="14">
        <f>39.916 * CHOOSE(CONTROL!$C$15, $E$9, 100%, $G$9) + CHOOSE(CONTROL!$C$38, 0.0342, 0)</f>
        <v>39.950199999999995</v>
      </c>
      <c r="J528" s="43">
        <f>286.5198</f>
        <v>286.51979999999998</v>
      </c>
    </row>
    <row r="529" spans="1:10" ht="15.75" x14ac:dyDescent="0.25">
      <c r="A529" s="31">
        <v>57038</v>
      </c>
      <c r="B529" s="14">
        <f>42.4976 * CHOOSE(CONTROL!$C$15, $E$9, 100%, $G$9) + CHOOSE(CONTROL!$C$38, 0.0251, 0)</f>
        <v>42.5227</v>
      </c>
      <c r="C529" s="14">
        <f>40.2603 * CHOOSE(CONTROL!$C$15, $E$9, 100%, $G$9) + CHOOSE(CONTROL!$C$38, 0.0342, 0)</f>
        <v>40.294499999999999</v>
      </c>
      <c r="D529" s="14">
        <f>40.2525 * CHOOSE(CONTROL!$C$15, $E$9, 100%, $G$9) + CHOOSE(CONTROL!$C$38, 0.0342, 0)</f>
        <v>40.286699999999996</v>
      </c>
      <c r="E529" s="45">
        <f>42.3414 * CHOOSE(CONTROL!$C$15, $E$9, 100%, $G$9) + CHOOSE(CONTROL!$C$38, 0.0342, 0)</f>
        <v>42.375599999999999</v>
      </c>
      <c r="F529" s="44">
        <f>42.3414 * CHOOSE(CONTROL!$C$15, $E$9, 100%, $G$9) + CHOOSE(CONTROL!$C$38, 0.0251, 0)</f>
        <v>42.366500000000002</v>
      </c>
      <c r="G529" s="14">
        <f>40.2588 * CHOOSE(CONTROL!$C$15, $E$9, 100%, $G$9) + CHOOSE(CONTROL!$C$38, 0.0342, 0)</f>
        <v>40.292999999999999</v>
      </c>
      <c r="H529" s="14">
        <f>40.2588 * CHOOSE(CONTROL!$C$15, $E$9, 100%, $G$9) + CHOOSE(CONTROL!$C$38, 0.0342, 0)</f>
        <v>40.292999999999999</v>
      </c>
      <c r="I529" s="14">
        <f>40.2603 * CHOOSE(CONTROL!$C$15, $E$9, 100%, $G$9) + CHOOSE(CONTROL!$C$38, 0.0342, 0)</f>
        <v>40.294499999999999</v>
      </c>
      <c r="J529" s="43">
        <f>285.7234</f>
        <v>285.72340000000003</v>
      </c>
    </row>
    <row r="530" spans="1:10" ht="15.75" x14ac:dyDescent="0.25">
      <c r="A530" s="31">
        <v>57070</v>
      </c>
      <c r="B530" s="14">
        <f>41.7006 * CHOOSE(CONTROL!$C$15, $E$9, 100%, $G$9) + CHOOSE(CONTROL!$C$38, 0.0251, 0)</f>
        <v>41.725700000000003</v>
      </c>
      <c r="C530" s="14">
        <f>39.4633 * CHOOSE(CONTROL!$C$15, $E$9, 100%, $G$9) + CHOOSE(CONTROL!$C$38, 0.0342, 0)</f>
        <v>39.497499999999995</v>
      </c>
      <c r="D530" s="14">
        <f>39.4555 * CHOOSE(CONTROL!$C$15, $E$9, 100%, $G$9) + CHOOSE(CONTROL!$C$38, 0.0342, 0)</f>
        <v>39.489699999999999</v>
      </c>
      <c r="E530" s="45">
        <f>41.5443 * CHOOSE(CONTROL!$C$15, $E$9, 100%, $G$9) + CHOOSE(CONTROL!$C$38, 0.0342, 0)</f>
        <v>41.578499999999998</v>
      </c>
      <c r="F530" s="44">
        <f>41.5443 * CHOOSE(CONTROL!$C$15, $E$9, 100%, $G$9) + CHOOSE(CONTROL!$C$38, 0.0251, 0)</f>
        <v>41.569400000000002</v>
      </c>
      <c r="G530" s="14">
        <f>39.4617 * CHOOSE(CONTROL!$C$15, $E$9, 100%, $G$9) + CHOOSE(CONTROL!$C$38, 0.0342, 0)</f>
        <v>39.495899999999999</v>
      </c>
      <c r="H530" s="14">
        <f>39.4617 * CHOOSE(CONTROL!$C$15, $E$9, 100%, $G$9) + CHOOSE(CONTROL!$C$38, 0.0342, 0)</f>
        <v>39.495899999999999</v>
      </c>
      <c r="I530" s="14">
        <f>39.4633 * CHOOSE(CONTROL!$C$15, $E$9, 100%, $G$9) + CHOOSE(CONTROL!$C$38, 0.0342, 0)</f>
        <v>39.497499999999995</v>
      </c>
      <c r="J530" s="43">
        <f>300.7826</f>
        <v>300.7826</v>
      </c>
    </row>
    <row r="531" spans="1:10" ht="15.75" x14ac:dyDescent="0.25">
      <c r="A531" s="31">
        <v>57100</v>
      </c>
      <c r="B531" s="14">
        <f>40.9283 * CHOOSE(CONTROL!$C$15, $E$9, 100%, $G$9) + CHOOSE(CONTROL!$C$38, 0.0251, 0)</f>
        <v>40.953400000000002</v>
      </c>
      <c r="C531" s="14">
        <f>38.691 * CHOOSE(CONTROL!$C$15, $E$9, 100%, $G$9) + CHOOSE(CONTROL!$C$38, 0.0342, 0)</f>
        <v>38.725200000000001</v>
      </c>
      <c r="D531" s="14">
        <f>38.6832 * CHOOSE(CONTROL!$C$15, $E$9, 100%, $G$9) + CHOOSE(CONTROL!$C$38, 0.0342, 0)</f>
        <v>38.717399999999998</v>
      </c>
      <c r="E531" s="45">
        <f>40.772 * CHOOSE(CONTROL!$C$15, $E$9, 100%, $G$9) + CHOOSE(CONTROL!$C$38, 0.0342, 0)</f>
        <v>40.806199999999997</v>
      </c>
      <c r="F531" s="44">
        <f>40.772 * CHOOSE(CONTROL!$C$15, $E$9, 100%, $G$9) + CHOOSE(CONTROL!$C$38, 0.0251, 0)</f>
        <v>40.7971</v>
      </c>
      <c r="G531" s="14">
        <f>38.6894 * CHOOSE(CONTROL!$C$15, $E$9, 100%, $G$9) + CHOOSE(CONTROL!$C$38, 0.0342, 0)</f>
        <v>38.723599999999998</v>
      </c>
      <c r="H531" s="14">
        <f>38.6894 * CHOOSE(CONTROL!$C$15, $E$9, 100%, $G$9) + CHOOSE(CONTROL!$C$38, 0.0342, 0)</f>
        <v>38.723599999999998</v>
      </c>
      <c r="I531" s="14">
        <f>38.691 * CHOOSE(CONTROL!$C$15, $E$9, 100%, $G$9) + CHOOSE(CONTROL!$C$38, 0.0342, 0)</f>
        <v>38.725200000000001</v>
      </c>
      <c r="J531" s="43">
        <f>320.3109</f>
        <v>320.3109</v>
      </c>
    </row>
    <row r="532" spans="1:10" ht="15.75" x14ac:dyDescent="0.25">
      <c r="A532" s="31">
        <v>57131</v>
      </c>
      <c r="B532" s="14">
        <f>40.1233 * CHOOSE(CONTROL!$C$15, $E$9, 100%, $G$9) + CHOOSE(CONTROL!$C$38, 0.0264, 0)</f>
        <v>40.149700000000003</v>
      </c>
      <c r="C532" s="14">
        <f>37.886 * CHOOSE(CONTROL!$C$15, $E$9, 100%, $G$9) + CHOOSE(CONTROL!$C$38, 0.0354, 0)</f>
        <v>37.921400000000006</v>
      </c>
      <c r="D532" s="14">
        <f>37.8782 * CHOOSE(CONTROL!$C$15, $E$9, 100%, $G$9) + CHOOSE(CONTROL!$C$38, 0.0354, 0)</f>
        <v>37.913600000000002</v>
      </c>
      <c r="E532" s="45">
        <f>39.967 * CHOOSE(CONTROL!$C$15, $E$9, 100%, $G$9) + CHOOSE(CONTROL!$C$38, 0.0354, 0)</f>
        <v>40.002400000000002</v>
      </c>
      <c r="F532" s="44">
        <f>39.967 * CHOOSE(CONTROL!$C$15, $E$9, 100%, $G$9) + CHOOSE(CONTROL!$C$38, 0.0264, 0)</f>
        <v>39.993400000000001</v>
      </c>
      <c r="G532" s="14">
        <f>37.8845 * CHOOSE(CONTROL!$C$15, $E$9, 100%, $G$9) + CHOOSE(CONTROL!$C$38, 0.0354, 0)</f>
        <v>37.919900000000005</v>
      </c>
      <c r="H532" s="14">
        <f>37.8845 * CHOOSE(CONTROL!$C$15, $E$9, 100%, $G$9) + CHOOSE(CONTROL!$C$38, 0.0354, 0)</f>
        <v>37.919900000000005</v>
      </c>
      <c r="I532" s="14">
        <f>37.886 * CHOOSE(CONTROL!$C$15, $E$9, 100%, $G$9) + CHOOSE(CONTROL!$C$38, 0.0354, 0)</f>
        <v>37.921400000000006</v>
      </c>
      <c r="J532" s="43">
        <f>331.0599</f>
        <v>331.05990000000003</v>
      </c>
    </row>
    <row r="533" spans="1:10" ht="15.75" x14ac:dyDescent="0.25">
      <c r="A533" s="31">
        <v>57161</v>
      </c>
      <c r="B533" s="14">
        <f>39.559 * CHOOSE(CONTROL!$C$15, $E$9, 100%, $G$9) + CHOOSE(CONTROL!$C$38, 0.0264, 0)</f>
        <v>39.5854</v>
      </c>
      <c r="C533" s="14">
        <f>37.3217 * CHOOSE(CONTROL!$C$15, $E$9, 100%, $G$9) + CHOOSE(CONTROL!$C$38, 0.0354, 0)</f>
        <v>37.357100000000003</v>
      </c>
      <c r="D533" s="14">
        <f>37.3139 * CHOOSE(CONTROL!$C$15, $E$9, 100%, $G$9) + CHOOSE(CONTROL!$C$38, 0.0354, 0)</f>
        <v>37.349299999999999</v>
      </c>
      <c r="E533" s="45">
        <f>39.4027 * CHOOSE(CONTROL!$C$15, $E$9, 100%, $G$9) + CHOOSE(CONTROL!$C$38, 0.0354, 0)</f>
        <v>39.438100000000006</v>
      </c>
      <c r="F533" s="44">
        <f>39.4027 * CHOOSE(CONTROL!$C$15, $E$9, 100%, $G$9) + CHOOSE(CONTROL!$C$38, 0.0264, 0)</f>
        <v>39.429100000000005</v>
      </c>
      <c r="G533" s="14">
        <f>37.3201 * CHOOSE(CONTROL!$C$15, $E$9, 100%, $G$9) + CHOOSE(CONTROL!$C$38, 0.0354, 0)</f>
        <v>37.355499999999999</v>
      </c>
      <c r="H533" s="14">
        <f>37.3201 * CHOOSE(CONTROL!$C$15, $E$9, 100%, $G$9) + CHOOSE(CONTROL!$C$38, 0.0354, 0)</f>
        <v>37.355499999999999</v>
      </c>
      <c r="I533" s="14">
        <f>37.3217 * CHOOSE(CONTROL!$C$15, $E$9, 100%, $G$9) + CHOOSE(CONTROL!$C$38, 0.0354, 0)</f>
        <v>37.357100000000003</v>
      </c>
      <c r="J533" s="43">
        <f>335.8301</f>
        <v>335.83010000000002</v>
      </c>
    </row>
    <row r="534" spans="1:10" ht="15.75" x14ac:dyDescent="0.25">
      <c r="A534" s="31">
        <v>57192</v>
      </c>
      <c r="B534" s="14">
        <f>39.2369 * CHOOSE(CONTROL!$C$15, $E$9, 100%, $G$9) + CHOOSE(CONTROL!$C$38, 0.0264, 0)</f>
        <v>39.263300000000001</v>
      </c>
      <c r="C534" s="14">
        <f>36.9996 * CHOOSE(CONTROL!$C$15, $E$9, 100%, $G$9) + CHOOSE(CONTROL!$C$38, 0.0354, 0)</f>
        <v>37.035000000000004</v>
      </c>
      <c r="D534" s="14">
        <f>36.9918 * CHOOSE(CONTROL!$C$15, $E$9, 100%, $G$9) + CHOOSE(CONTROL!$C$38, 0.0354, 0)</f>
        <v>37.027200000000001</v>
      </c>
      <c r="E534" s="45">
        <f>39.0807 * CHOOSE(CONTROL!$C$15, $E$9, 100%, $G$9) + CHOOSE(CONTROL!$C$38, 0.0354, 0)</f>
        <v>39.116100000000003</v>
      </c>
      <c r="F534" s="44">
        <f>39.0807 * CHOOSE(CONTROL!$C$15, $E$9, 100%, $G$9) + CHOOSE(CONTROL!$C$38, 0.0264, 0)</f>
        <v>39.107100000000003</v>
      </c>
      <c r="G534" s="14">
        <f>36.9981 * CHOOSE(CONTROL!$C$15, $E$9, 100%, $G$9) + CHOOSE(CONTROL!$C$38, 0.0354, 0)</f>
        <v>37.033500000000004</v>
      </c>
      <c r="H534" s="14">
        <f>36.9981 * CHOOSE(CONTROL!$C$15, $E$9, 100%, $G$9) + CHOOSE(CONTROL!$C$38, 0.0354, 0)</f>
        <v>37.033500000000004</v>
      </c>
      <c r="I534" s="14">
        <f>36.9996 * CHOOSE(CONTROL!$C$15, $E$9, 100%, $G$9) + CHOOSE(CONTROL!$C$38, 0.0354, 0)</f>
        <v>37.035000000000004</v>
      </c>
      <c r="J534" s="43">
        <f>334.2596</f>
        <v>334.25959999999998</v>
      </c>
    </row>
    <row r="535" spans="1:10" ht="15.75" x14ac:dyDescent="0.25">
      <c r="A535" s="31">
        <v>57223</v>
      </c>
      <c r="B535" s="14">
        <f>39.3959 * CHOOSE(CONTROL!$C$15, $E$9, 100%, $G$9) + CHOOSE(CONTROL!$C$38, 0.0264, 0)</f>
        <v>39.4223</v>
      </c>
      <c r="C535" s="14">
        <f>37.1586 * CHOOSE(CONTROL!$C$15, $E$9, 100%, $G$9) + CHOOSE(CONTROL!$C$38, 0.0354, 0)</f>
        <v>37.194000000000003</v>
      </c>
      <c r="D535" s="14">
        <f>37.1508 * CHOOSE(CONTROL!$C$15, $E$9, 100%, $G$9) + CHOOSE(CONTROL!$C$38, 0.0354, 0)</f>
        <v>37.186199999999999</v>
      </c>
      <c r="E535" s="45">
        <f>39.2396 * CHOOSE(CONTROL!$C$15, $E$9, 100%, $G$9) + CHOOSE(CONTROL!$C$38, 0.0354, 0)</f>
        <v>39.275000000000006</v>
      </c>
      <c r="F535" s="44">
        <f>39.2396 * CHOOSE(CONTROL!$C$15, $E$9, 100%, $G$9) + CHOOSE(CONTROL!$C$38, 0.0264, 0)</f>
        <v>39.266000000000005</v>
      </c>
      <c r="G535" s="14">
        <f>37.157 * CHOOSE(CONTROL!$C$15, $E$9, 100%, $G$9) + CHOOSE(CONTROL!$C$38, 0.0354, 0)</f>
        <v>37.192399999999999</v>
      </c>
      <c r="H535" s="14">
        <f>37.157 * CHOOSE(CONTROL!$C$15, $E$9, 100%, $G$9) + CHOOSE(CONTROL!$C$38, 0.0354, 0)</f>
        <v>37.192399999999999</v>
      </c>
      <c r="I535" s="14">
        <f>37.1586 * CHOOSE(CONTROL!$C$15, $E$9, 100%, $G$9) + CHOOSE(CONTROL!$C$38, 0.0354, 0)</f>
        <v>37.194000000000003</v>
      </c>
      <c r="J535" s="43">
        <f>326.4781</f>
        <v>326.47809999999998</v>
      </c>
    </row>
    <row r="536" spans="1:10" ht="15.75" x14ac:dyDescent="0.25">
      <c r="A536" s="31">
        <v>57253</v>
      </c>
      <c r="B536" s="14">
        <f>39.8276 * CHOOSE(CONTROL!$C$15, $E$9, 100%, $G$9) + CHOOSE(CONTROL!$C$38, 0.0264, 0)</f>
        <v>39.853999999999999</v>
      </c>
      <c r="C536" s="14">
        <f>37.5903 * CHOOSE(CONTROL!$C$15, $E$9, 100%, $G$9) + CHOOSE(CONTROL!$C$38, 0.0354, 0)</f>
        <v>37.625700000000002</v>
      </c>
      <c r="D536" s="14">
        <f>37.5825 * CHOOSE(CONTROL!$C$15, $E$9, 100%, $G$9) + CHOOSE(CONTROL!$C$38, 0.0354, 0)</f>
        <v>37.617900000000006</v>
      </c>
      <c r="E536" s="45">
        <f>39.6713 * CHOOSE(CONTROL!$C$15, $E$9, 100%, $G$9) + CHOOSE(CONTROL!$C$38, 0.0354, 0)</f>
        <v>39.706700000000005</v>
      </c>
      <c r="F536" s="44">
        <f>39.6713 * CHOOSE(CONTROL!$C$15, $E$9, 100%, $G$9) + CHOOSE(CONTROL!$C$38, 0.0264, 0)</f>
        <v>39.697700000000005</v>
      </c>
      <c r="G536" s="14">
        <f>37.5887 * CHOOSE(CONTROL!$C$15, $E$9, 100%, $G$9) + CHOOSE(CONTROL!$C$38, 0.0354, 0)</f>
        <v>37.624100000000006</v>
      </c>
      <c r="H536" s="14">
        <f>37.5887 * CHOOSE(CONTROL!$C$15, $E$9, 100%, $G$9) + CHOOSE(CONTROL!$C$38, 0.0354, 0)</f>
        <v>37.624100000000006</v>
      </c>
      <c r="I536" s="14">
        <f>37.5903 * CHOOSE(CONTROL!$C$15, $E$9, 100%, $G$9) + CHOOSE(CONTROL!$C$38, 0.0354, 0)</f>
        <v>37.625700000000002</v>
      </c>
      <c r="J536" s="43">
        <f>315.6266</f>
        <v>315.6266</v>
      </c>
    </row>
    <row r="537" spans="1:10" ht="15.75" x14ac:dyDescent="0.25">
      <c r="A537" s="31">
        <v>57284</v>
      </c>
      <c r="B537" s="14">
        <f>40.1891 * CHOOSE(CONTROL!$C$15, $E$9, 100%, $G$9) + CHOOSE(CONTROL!$C$38, 0.0251, 0)</f>
        <v>40.214200000000005</v>
      </c>
      <c r="C537" s="14">
        <f>37.9518 * CHOOSE(CONTROL!$C$15, $E$9, 100%, $G$9) + CHOOSE(CONTROL!$C$38, 0.0342, 0)</f>
        <v>37.985999999999997</v>
      </c>
      <c r="D537" s="14">
        <f>37.944 * CHOOSE(CONTROL!$C$15, $E$9, 100%, $G$9) + CHOOSE(CONTROL!$C$38, 0.0342, 0)</f>
        <v>37.978200000000001</v>
      </c>
      <c r="E537" s="45">
        <f>40.0329 * CHOOSE(CONTROL!$C$15, $E$9, 100%, $G$9) + CHOOSE(CONTROL!$C$38, 0.0342, 0)</f>
        <v>40.067099999999996</v>
      </c>
      <c r="F537" s="44">
        <f>40.0329 * CHOOSE(CONTROL!$C$15, $E$9, 100%, $G$9) + CHOOSE(CONTROL!$C$38, 0.0251, 0)</f>
        <v>40.058</v>
      </c>
      <c r="G537" s="14">
        <f>37.9503 * CHOOSE(CONTROL!$C$15, $E$9, 100%, $G$9) + CHOOSE(CONTROL!$C$38, 0.0342, 0)</f>
        <v>37.984499999999997</v>
      </c>
      <c r="H537" s="14">
        <f>37.9503 * CHOOSE(CONTROL!$C$15, $E$9, 100%, $G$9) + CHOOSE(CONTROL!$C$38, 0.0342, 0)</f>
        <v>37.984499999999997</v>
      </c>
      <c r="I537" s="14">
        <f>37.9518 * CHOOSE(CONTROL!$C$15, $E$9, 100%, $G$9) + CHOOSE(CONTROL!$C$38, 0.0342, 0)</f>
        <v>37.985999999999997</v>
      </c>
      <c r="J537" s="43">
        <f>304.7119</f>
        <v>304.71190000000001</v>
      </c>
    </row>
    <row r="538" spans="1:10" ht="15.75" x14ac:dyDescent="0.25">
      <c r="A538" s="31">
        <v>57314</v>
      </c>
      <c r="B538" s="14">
        <f>40.4908 * CHOOSE(CONTROL!$C$15, $E$9, 100%, $G$9) + CHOOSE(CONTROL!$C$38, 0.0251, 0)</f>
        <v>40.515900000000002</v>
      </c>
      <c r="C538" s="14">
        <f>38.2535 * CHOOSE(CONTROL!$C$15, $E$9, 100%, $G$9) + CHOOSE(CONTROL!$C$38, 0.0342, 0)</f>
        <v>38.287700000000001</v>
      </c>
      <c r="D538" s="14">
        <f>38.2457 * CHOOSE(CONTROL!$C$15, $E$9, 100%, $G$9) + CHOOSE(CONTROL!$C$38, 0.0342, 0)</f>
        <v>38.279899999999998</v>
      </c>
      <c r="E538" s="45">
        <f>40.3346 * CHOOSE(CONTROL!$C$15, $E$9, 100%, $G$9) + CHOOSE(CONTROL!$C$38, 0.0342, 0)</f>
        <v>40.3688</v>
      </c>
      <c r="F538" s="44">
        <f>40.3346 * CHOOSE(CONTROL!$C$15, $E$9, 100%, $G$9) + CHOOSE(CONTROL!$C$38, 0.0251, 0)</f>
        <v>40.359700000000004</v>
      </c>
      <c r="G538" s="14">
        <f>38.252 * CHOOSE(CONTROL!$C$15, $E$9, 100%, $G$9) + CHOOSE(CONTROL!$C$38, 0.0342, 0)</f>
        <v>38.286200000000001</v>
      </c>
      <c r="H538" s="14">
        <f>38.252 * CHOOSE(CONTROL!$C$15, $E$9, 100%, $G$9) + CHOOSE(CONTROL!$C$38, 0.0342, 0)</f>
        <v>38.286200000000001</v>
      </c>
      <c r="I538" s="14">
        <f>38.2535 * CHOOSE(CONTROL!$C$15, $E$9, 100%, $G$9) + CHOOSE(CONTROL!$C$38, 0.0342, 0)</f>
        <v>38.287700000000001</v>
      </c>
      <c r="J538" s="43">
        <f>302.5407</f>
        <v>302.54070000000002</v>
      </c>
    </row>
    <row r="539" spans="1:10" ht="15.75" x14ac:dyDescent="0.25">
      <c r="A539" s="31">
        <v>57345</v>
      </c>
      <c r="B539" s="14">
        <f>41.4205 * CHOOSE(CONTROL!$C$15, $E$9, 100%, $G$9) + CHOOSE(CONTROL!$C$38, 0.0251, 0)</f>
        <v>41.445599999999999</v>
      </c>
      <c r="C539" s="14">
        <f>39.1832 * CHOOSE(CONTROL!$C$15, $E$9, 100%, $G$9) + CHOOSE(CONTROL!$C$38, 0.0342, 0)</f>
        <v>39.217399999999998</v>
      </c>
      <c r="D539" s="14">
        <f>39.1754 * CHOOSE(CONTROL!$C$15, $E$9, 100%, $G$9) + CHOOSE(CONTROL!$C$38, 0.0342, 0)</f>
        <v>39.209600000000002</v>
      </c>
      <c r="E539" s="45">
        <f>41.2642 * CHOOSE(CONTROL!$C$15, $E$9, 100%, $G$9) + CHOOSE(CONTROL!$C$38, 0.0342, 0)</f>
        <v>41.298400000000001</v>
      </c>
      <c r="F539" s="44">
        <f>41.2642 * CHOOSE(CONTROL!$C$15, $E$9, 100%, $G$9) + CHOOSE(CONTROL!$C$38, 0.0251, 0)</f>
        <v>41.289300000000004</v>
      </c>
      <c r="G539" s="14">
        <f>39.1817 * CHOOSE(CONTROL!$C$15, $E$9, 100%, $G$9) + CHOOSE(CONTROL!$C$38, 0.0342, 0)</f>
        <v>39.215899999999998</v>
      </c>
      <c r="H539" s="14">
        <f>39.1817 * CHOOSE(CONTROL!$C$15, $E$9, 100%, $G$9) + CHOOSE(CONTROL!$C$38, 0.0342, 0)</f>
        <v>39.215899999999998</v>
      </c>
      <c r="I539" s="14">
        <f>39.1832 * CHOOSE(CONTROL!$C$15, $E$9, 100%, $G$9) + CHOOSE(CONTROL!$C$38, 0.0342, 0)</f>
        <v>39.217399999999998</v>
      </c>
      <c r="J539" s="43">
        <f>293.5628</f>
        <v>293.56279999999998</v>
      </c>
    </row>
    <row r="540" spans="1:10" ht="15.75" x14ac:dyDescent="0.25">
      <c r="A540" s="31">
        <v>57376</v>
      </c>
      <c r="B540" s="14">
        <f>42.8254 * CHOOSE(CONTROL!$C$15, $E$9, 100%, $G$9) + CHOOSE(CONTROL!$C$38, 0.0251, 0)</f>
        <v>42.850500000000004</v>
      </c>
      <c r="C540" s="14">
        <f>40.5532 * CHOOSE(CONTROL!$C$15, $E$9, 100%, $G$9) + CHOOSE(CONTROL!$C$38, 0.0342, 0)</f>
        <v>40.587399999999995</v>
      </c>
      <c r="D540" s="14">
        <f>40.5454 * CHOOSE(CONTROL!$C$15, $E$9, 100%, $G$9) + CHOOSE(CONTROL!$C$38, 0.0342, 0)</f>
        <v>40.579599999999999</v>
      </c>
      <c r="E540" s="45">
        <f>42.6692 * CHOOSE(CONTROL!$C$15, $E$9, 100%, $G$9) + CHOOSE(CONTROL!$C$38, 0.0342, 0)</f>
        <v>42.703399999999995</v>
      </c>
      <c r="F540" s="44">
        <f>42.6692 * CHOOSE(CONTROL!$C$15, $E$9, 100%, $G$9) + CHOOSE(CONTROL!$C$38, 0.0251, 0)</f>
        <v>42.694299999999998</v>
      </c>
      <c r="G540" s="14">
        <f>40.5516 * CHOOSE(CONTROL!$C$15, $E$9, 100%, $G$9) + CHOOSE(CONTROL!$C$38, 0.0342, 0)</f>
        <v>40.585799999999999</v>
      </c>
      <c r="H540" s="14">
        <f>40.5516 * CHOOSE(CONTROL!$C$15, $E$9, 100%, $G$9) + CHOOSE(CONTROL!$C$38, 0.0342, 0)</f>
        <v>40.585799999999999</v>
      </c>
      <c r="I540" s="14">
        <f>40.5532 * CHOOSE(CONTROL!$C$15, $E$9, 100%, $G$9) + CHOOSE(CONTROL!$C$38, 0.0342, 0)</f>
        <v>40.587399999999995</v>
      </c>
      <c r="J540" s="43">
        <f>293.3509</f>
        <v>293.35090000000002</v>
      </c>
    </row>
    <row r="541" spans="1:10" ht="15.75" x14ac:dyDescent="0.25">
      <c r="A541" s="31">
        <v>57404</v>
      </c>
      <c r="B541" s="14">
        <f>43.1698 * CHOOSE(CONTROL!$C$15, $E$9, 100%, $G$9) + CHOOSE(CONTROL!$C$38, 0.0251, 0)</f>
        <v>43.194900000000004</v>
      </c>
      <c r="C541" s="14">
        <f>40.8975 * CHOOSE(CONTROL!$C$15, $E$9, 100%, $G$9) + CHOOSE(CONTROL!$C$38, 0.0342, 0)</f>
        <v>40.931699999999999</v>
      </c>
      <c r="D541" s="14">
        <f>40.8897 * CHOOSE(CONTROL!$C$15, $E$9, 100%, $G$9) + CHOOSE(CONTROL!$C$38, 0.0342, 0)</f>
        <v>40.923899999999996</v>
      </c>
      <c r="E541" s="45">
        <f>43.0135 * CHOOSE(CONTROL!$C$15, $E$9, 100%, $G$9) + CHOOSE(CONTROL!$C$38, 0.0342, 0)</f>
        <v>43.047699999999999</v>
      </c>
      <c r="F541" s="44">
        <f>43.0135 * CHOOSE(CONTROL!$C$15, $E$9, 100%, $G$9) + CHOOSE(CONTROL!$C$38, 0.0251, 0)</f>
        <v>43.038600000000002</v>
      </c>
      <c r="G541" s="14">
        <f>40.896 * CHOOSE(CONTROL!$C$15, $E$9, 100%, $G$9) + CHOOSE(CONTROL!$C$38, 0.0342, 0)</f>
        <v>40.930199999999999</v>
      </c>
      <c r="H541" s="14">
        <f>40.896 * CHOOSE(CONTROL!$C$15, $E$9, 100%, $G$9) + CHOOSE(CONTROL!$C$38, 0.0342, 0)</f>
        <v>40.930199999999999</v>
      </c>
      <c r="I541" s="14">
        <f>40.8975 * CHOOSE(CONTROL!$C$15, $E$9, 100%, $G$9) + CHOOSE(CONTROL!$C$38, 0.0342, 0)</f>
        <v>40.931699999999999</v>
      </c>
      <c r="J541" s="43">
        <f>292.5354</f>
        <v>292.53539999999998</v>
      </c>
    </row>
    <row r="542" spans="1:10" ht="15.75" x14ac:dyDescent="0.25">
      <c r="A542" s="31">
        <v>57435</v>
      </c>
      <c r="B542" s="14">
        <f>42.3727 * CHOOSE(CONTROL!$C$15, $E$9, 100%, $G$9) + CHOOSE(CONTROL!$C$38, 0.0251, 0)</f>
        <v>42.397800000000004</v>
      </c>
      <c r="C542" s="14">
        <f>40.1005 * CHOOSE(CONTROL!$C$15, $E$9, 100%, $G$9) + CHOOSE(CONTROL!$C$38, 0.0342, 0)</f>
        <v>40.134699999999995</v>
      </c>
      <c r="D542" s="14">
        <f>40.0927 * CHOOSE(CONTROL!$C$15, $E$9, 100%, $G$9) + CHOOSE(CONTROL!$C$38, 0.0342, 0)</f>
        <v>40.126899999999999</v>
      </c>
      <c r="E542" s="45">
        <f>42.2165 * CHOOSE(CONTROL!$C$15, $E$9, 100%, $G$9) + CHOOSE(CONTROL!$C$38, 0.0342, 0)</f>
        <v>42.250700000000002</v>
      </c>
      <c r="F542" s="44">
        <f>42.2165 * CHOOSE(CONTROL!$C$15, $E$9, 100%, $G$9) + CHOOSE(CONTROL!$C$38, 0.0251, 0)</f>
        <v>42.241600000000005</v>
      </c>
      <c r="G542" s="14">
        <f>40.0989 * CHOOSE(CONTROL!$C$15, $E$9, 100%, $G$9) + CHOOSE(CONTROL!$C$38, 0.0342, 0)</f>
        <v>40.133099999999999</v>
      </c>
      <c r="H542" s="14">
        <f>40.0989 * CHOOSE(CONTROL!$C$15, $E$9, 100%, $G$9) + CHOOSE(CONTROL!$C$38, 0.0342, 0)</f>
        <v>40.133099999999999</v>
      </c>
      <c r="I542" s="14">
        <f>40.1005 * CHOOSE(CONTROL!$C$15, $E$9, 100%, $G$9) + CHOOSE(CONTROL!$C$38, 0.0342, 0)</f>
        <v>40.134699999999995</v>
      </c>
      <c r="J542" s="43">
        <f>307.9537</f>
        <v>307.95370000000003</v>
      </c>
    </row>
    <row r="543" spans="1:10" ht="15.75" x14ac:dyDescent="0.25">
      <c r="A543" s="31">
        <v>57465</v>
      </c>
      <c r="B543" s="14">
        <f>41.6004 * CHOOSE(CONTROL!$C$15, $E$9, 100%, $G$9) + CHOOSE(CONTROL!$C$38, 0.0251, 0)</f>
        <v>41.625500000000002</v>
      </c>
      <c r="C543" s="14">
        <f>39.3282 * CHOOSE(CONTROL!$C$15, $E$9, 100%, $G$9) + CHOOSE(CONTROL!$C$38, 0.0342, 0)</f>
        <v>39.362400000000001</v>
      </c>
      <c r="D543" s="14">
        <f>39.3204 * CHOOSE(CONTROL!$C$15, $E$9, 100%, $G$9) + CHOOSE(CONTROL!$C$38, 0.0342, 0)</f>
        <v>39.354599999999998</v>
      </c>
      <c r="E543" s="45">
        <f>41.4442 * CHOOSE(CONTROL!$C$15, $E$9, 100%, $G$9) + CHOOSE(CONTROL!$C$38, 0.0342, 0)</f>
        <v>41.478400000000001</v>
      </c>
      <c r="F543" s="44">
        <f>41.4442 * CHOOSE(CONTROL!$C$15, $E$9, 100%, $G$9) + CHOOSE(CONTROL!$C$38, 0.0251, 0)</f>
        <v>41.469300000000004</v>
      </c>
      <c r="G543" s="14">
        <f>39.3266 * CHOOSE(CONTROL!$C$15, $E$9, 100%, $G$9) + CHOOSE(CONTROL!$C$38, 0.0342, 0)</f>
        <v>39.360799999999998</v>
      </c>
      <c r="H543" s="14">
        <f>39.3266 * CHOOSE(CONTROL!$C$15, $E$9, 100%, $G$9) + CHOOSE(CONTROL!$C$38, 0.0342, 0)</f>
        <v>39.360799999999998</v>
      </c>
      <c r="I543" s="14">
        <f>39.3282 * CHOOSE(CONTROL!$C$15, $E$9, 100%, $G$9) + CHOOSE(CONTROL!$C$38, 0.0342, 0)</f>
        <v>39.362400000000001</v>
      </c>
      <c r="J543" s="43">
        <f>327.9476</f>
        <v>327.94760000000002</v>
      </c>
    </row>
    <row r="544" spans="1:10" ht="15.75" x14ac:dyDescent="0.25">
      <c r="A544" s="31">
        <v>57496</v>
      </c>
      <c r="B544" s="14">
        <f>40.7955 * CHOOSE(CONTROL!$C$15, $E$9, 100%, $G$9) + CHOOSE(CONTROL!$C$38, 0.0264, 0)</f>
        <v>40.821899999999999</v>
      </c>
      <c r="C544" s="14">
        <f>38.5232 * CHOOSE(CONTROL!$C$15, $E$9, 100%, $G$9) + CHOOSE(CONTROL!$C$38, 0.0354, 0)</f>
        <v>38.558600000000006</v>
      </c>
      <c r="D544" s="14">
        <f>38.5154 * CHOOSE(CONTROL!$C$15, $E$9, 100%, $G$9) + CHOOSE(CONTROL!$C$38, 0.0354, 0)</f>
        <v>38.550800000000002</v>
      </c>
      <c r="E544" s="45">
        <f>40.6392 * CHOOSE(CONTROL!$C$15, $E$9, 100%, $G$9) + CHOOSE(CONTROL!$C$38, 0.0354, 0)</f>
        <v>40.674600000000005</v>
      </c>
      <c r="F544" s="44">
        <f>40.6392 * CHOOSE(CONTROL!$C$15, $E$9, 100%, $G$9) + CHOOSE(CONTROL!$C$38, 0.0264, 0)</f>
        <v>40.665600000000005</v>
      </c>
      <c r="G544" s="14">
        <f>38.5216 * CHOOSE(CONTROL!$C$15, $E$9, 100%, $G$9) + CHOOSE(CONTROL!$C$38, 0.0354, 0)</f>
        <v>38.557000000000002</v>
      </c>
      <c r="H544" s="14">
        <f>38.5216 * CHOOSE(CONTROL!$C$15, $E$9, 100%, $G$9) + CHOOSE(CONTROL!$C$38, 0.0354, 0)</f>
        <v>38.557000000000002</v>
      </c>
      <c r="I544" s="14">
        <f>38.5232 * CHOOSE(CONTROL!$C$15, $E$9, 100%, $G$9) + CHOOSE(CONTROL!$C$38, 0.0354, 0)</f>
        <v>38.558600000000006</v>
      </c>
      <c r="J544" s="43">
        <f>338.9529</f>
        <v>338.9529</v>
      </c>
    </row>
    <row r="545" spans="1:10" ht="15.75" x14ac:dyDescent="0.25">
      <c r="A545" s="31">
        <v>57526</v>
      </c>
      <c r="B545" s="14">
        <f>40.2311 * CHOOSE(CONTROL!$C$15, $E$9, 100%, $G$9) + CHOOSE(CONTROL!$C$38, 0.0264, 0)</f>
        <v>40.2575</v>
      </c>
      <c r="C545" s="14">
        <f>37.9589 * CHOOSE(CONTROL!$C$15, $E$9, 100%, $G$9) + CHOOSE(CONTROL!$C$38, 0.0354, 0)</f>
        <v>37.994300000000003</v>
      </c>
      <c r="D545" s="14">
        <f>37.9511 * CHOOSE(CONTROL!$C$15, $E$9, 100%, $G$9) + CHOOSE(CONTROL!$C$38, 0.0354, 0)</f>
        <v>37.986499999999999</v>
      </c>
      <c r="E545" s="45">
        <f>40.0749 * CHOOSE(CONTROL!$C$15, $E$9, 100%, $G$9) + CHOOSE(CONTROL!$C$38, 0.0354, 0)</f>
        <v>40.110300000000002</v>
      </c>
      <c r="F545" s="44">
        <f>40.0749 * CHOOSE(CONTROL!$C$15, $E$9, 100%, $G$9) + CHOOSE(CONTROL!$C$38, 0.0264, 0)</f>
        <v>40.101300000000002</v>
      </c>
      <c r="G545" s="14">
        <f>37.9573 * CHOOSE(CONTROL!$C$15, $E$9, 100%, $G$9) + CHOOSE(CONTROL!$C$38, 0.0354, 0)</f>
        <v>37.992699999999999</v>
      </c>
      <c r="H545" s="14">
        <f>37.9573 * CHOOSE(CONTROL!$C$15, $E$9, 100%, $G$9) + CHOOSE(CONTROL!$C$38, 0.0354, 0)</f>
        <v>37.992699999999999</v>
      </c>
      <c r="I545" s="14">
        <f>37.9589 * CHOOSE(CONTROL!$C$15, $E$9, 100%, $G$9) + CHOOSE(CONTROL!$C$38, 0.0354, 0)</f>
        <v>37.994300000000003</v>
      </c>
      <c r="J545" s="43">
        <f>343.8368</f>
        <v>343.83679999999998</v>
      </c>
    </row>
    <row r="546" spans="1:10" ht="15.75" x14ac:dyDescent="0.25">
      <c r="A546" s="31">
        <v>57557</v>
      </c>
      <c r="B546" s="14">
        <f>39.9091 * CHOOSE(CONTROL!$C$15, $E$9, 100%, $G$9) + CHOOSE(CONTROL!$C$38, 0.0264, 0)</f>
        <v>39.935500000000005</v>
      </c>
      <c r="C546" s="14">
        <f>37.6368 * CHOOSE(CONTROL!$C$15, $E$9, 100%, $G$9) + CHOOSE(CONTROL!$C$38, 0.0354, 0)</f>
        <v>37.672200000000004</v>
      </c>
      <c r="D546" s="14">
        <f>37.629 * CHOOSE(CONTROL!$C$15, $E$9, 100%, $G$9) + CHOOSE(CONTROL!$C$38, 0.0354, 0)</f>
        <v>37.664400000000001</v>
      </c>
      <c r="E546" s="45">
        <f>39.7528 * CHOOSE(CONTROL!$C$15, $E$9, 100%, $G$9) + CHOOSE(CONTROL!$C$38, 0.0354, 0)</f>
        <v>39.788200000000003</v>
      </c>
      <c r="F546" s="44">
        <f>39.7528 * CHOOSE(CONTROL!$C$15, $E$9, 100%, $G$9) + CHOOSE(CONTROL!$C$38, 0.0264, 0)</f>
        <v>39.779200000000003</v>
      </c>
      <c r="G546" s="14">
        <f>37.6353 * CHOOSE(CONTROL!$C$15, $E$9, 100%, $G$9) + CHOOSE(CONTROL!$C$38, 0.0354, 0)</f>
        <v>37.670700000000004</v>
      </c>
      <c r="H546" s="14">
        <f>37.6353 * CHOOSE(CONTROL!$C$15, $E$9, 100%, $G$9) + CHOOSE(CONTROL!$C$38, 0.0354, 0)</f>
        <v>37.670700000000004</v>
      </c>
      <c r="I546" s="14">
        <f>37.6368 * CHOOSE(CONTROL!$C$15, $E$9, 100%, $G$9) + CHOOSE(CONTROL!$C$38, 0.0354, 0)</f>
        <v>37.672200000000004</v>
      </c>
      <c r="J546" s="43">
        <f>342.2288</f>
        <v>342.22879999999998</v>
      </c>
    </row>
    <row r="547" spans="1:10" ht="15.75" x14ac:dyDescent="0.25">
      <c r="A547" s="31">
        <v>57588</v>
      </c>
      <c r="B547" s="14">
        <f>40.068 * CHOOSE(CONTROL!$C$15, $E$9, 100%, $G$9) + CHOOSE(CONTROL!$C$38, 0.0264, 0)</f>
        <v>40.0944</v>
      </c>
      <c r="C547" s="14">
        <f>37.7958 * CHOOSE(CONTROL!$C$15, $E$9, 100%, $G$9) + CHOOSE(CONTROL!$C$38, 0.0354, 0)</f>
        <v>37.831200000000003</v>
      </c>
      <c r="D547" s="14">
        <f>37.788 * CHOOSE(CONTROL!$C$15, $E$9, 100%, $G$9) + CHOOSE(CONTROL!$C$38, 0.0354, 0)</f>
        <v>37.823399999999999</v>
      </c>
      <c r="E547" s="45">
        <f>39.9118 * CHOOSE(CONTROL!$C$15, $E$9, 100%, $G$9) + CHOOSE(CONTROL!$C$38, 0.0354, 0)</f>
        <v>39.947200000000002</v>
      </c>
      <c r="F547" s="44">
        <f>39.9118 * CHOOSE(CONTROL!$C$15, $E$9, 100%, $G$9) + CHOOSE(CONTROL!$C$38, 0.0264, 0)</f>
        <v>39.938200000000002</v>
      </c>
      <c r="G547" s="14">
        <f>37.7942 * CHOOSE(CONTROL!$C$15, $E$9, 100%, $G$9) + CHOOSE(CONTROL!$C$38, 0.0354, 0)</f>
        <v>37.829599999999999</v>
      </c>
      <c r="H547" s="14">
        <f>37.7942 * CHOOSE(CONTROL!$C$15, $E$9, 100%, $G$9) + CHOOSE(CONTROL!$C$38, 0.0354, 0)</f>
        <v>37.829599999999999</v>
      </c>
      <c r="I547" s="14">
        <f>37.7958 * CHOOSE(CONTROL!$C$15, $E$9, 100%, $G$9) + CHOOSE(CONTROL!$C$38, 0.0354, 0)</f>
        <v>37.831200000000003</v>
      </c>
      <c r="J547" s="43">
        <f>334.2619</f>
        <v>334.26190000000003</v>
      </c>
    </row>
    <row r="548" spans="1:10" ht="15.75" x14ac:dyDescent="0.25">
      <c r="A548" s="31">
        <v>57618</v>
      </c>
      <c r="B548" s="14">
        <f>40.4997 * CHOOSE(CONTROL!$C$15, $E$9, 100%, $G$9) + CHOOSE(CONTROL!$C$38, 0.0264, 0)</f>
        <v>40.5261</v>
      </c>
      <c r="C548" s="14">
        <f>38.2275 * CHOOSE(CONTROL!$C$15, $E$9, 100%, $G$9) + CHOOSE(CONTROL!$C$38, 0.0354, 0)</f>
        <v>38.262900000000002</v>
      </c>
      <c r="D548" s="14">
        <f>38.2197 * CHOOSE(CONTROL!$C$15, $E$9, 100%, $G$9) + CHOOSE(CONTROL!$C$38, 0.0354, 0)</f>
        <v>38.255100000000006</v>
      </c>
      <c r="E548" s="45">
        <f>40.3435 * CHOOSE(CONTROL!$C$15, $E$9, 100%, $G$9) + CHOOSE(CONTROL!$C$38, 0.0354, 0)</f>
        <v>40.378900000000002</v>
      </c>
      <c r="F548" s="44">
        <f>40.3435 * CHOOSE(CONTROL!$C$15, $E$9, 100%, $G$9) + CHOOSE(CONTROL!$C$38, 0.0264, 0)</f>
        <v>40.369900000000001</v>
      </c>
      <c r="G548" s="14">
        <f>38.2259 * CHOOSE(CONTROL!$C$15, $E$9, 100%, $G$9) + CHOOSE(CONTROL!$C$38, 0.0354, 0)</f>
        <v>38.261300000000006</v>
      </c>
      <c r="H548" s="14">
        <f>38.2259 * CHOOSE(CONTROL!$C$15, $E$9, 100%, $G$9) + CHOOSE(CONTROL!$C$38, 0.0354, 0)</f>
        <v>38.261300000000006</v>
      </c>
      <c r="I548" s="14">
        <f>38.2275 * CHOOSE(CONTROL!$C$15, $E$9, 100%, $G$9) + CHOOSE(CONTROL!$C$38, 0.0354, 0)</f>
        <v>38.262900000000002</v>
      </c>
      <c r="J548" s="43">
        <f>323.1516</f>
        <v>323.15159999999997</v>
      </c>
    </row>
    <row r="549" spans="1:10" ht="15.75" x14ac:dyDescent="0.25">
      <c r="A549" s="31">
        <v>57649</v>
      </c>
      <c r="B549" s="14">
        <f>40.8613 * CHOOSE(CONTROL!$C$15, $E$9, 100%, $G$9) + CHOOSE(CONTROL!$C$38, 0.0251, 0)</f>
        <v>40.886400000000002</v>
      </c>
      <c r="C549" s="14">
        <f>38.589 * CHOOSE(CONTROL!$C$15, $E$9, 100%, $G$9) + CHOOSE(CONTROL!$C$38, 0.0342, 0)</f>
        <v>38.623199999999997</v>
      </c>
      <c r="D549" s="14">
        <f>38.5812 * CHOOSE(CONTROL!$C$15, $E$9, 100%, $G$9) + CHOOSE(CONTROL!$C$38, 0.0342, 0)</f>
        <v>38.615400000000001</v>
      </c>
      <c r="E549" s="45">
        <f>40.705 * CHOOSE(CONTROL!$C$15, $E$9, 100%, $G$9) + CHOOSE(CONTROL!$C$38, 0.0342, 0)</f>
        <v>40.739199999999997</v>
      </c>
      <c r="F549" s="44">
        <f>40.705 * CHOOSE(CONTROL!$C$15, $E$9, 100%, $G$9) + CHOOSE(CONTROL!$C$38, 0.0251, 0)</f>
        <v>40.7301</v>
      </c>
      <c r="G549" s="14">
        <f>38.5875 * CHOOSE(CONTROL!$C$15, $E$9, 100%, $G$9) + CHOOSE(CONTROL!$C$38, 0.0342, 0)</f>
        <v>38.621699999999997</v>
      </c>
      <c r="H549" s="14">
        <f>38.5875 * CHOOSE(CONTROL!$C$15, $E$9, 100%, $G$9) + CHOOSE(CONTROL!$C$38, 0.0342, 0)</f>
        <v>38.621699999999997</v>
      </c>
      <c r="I549" s="14">
        <f>38.589 * CHOOSE(CONTROL!$C$15, $E$9, 100%, $G$9) + CHOOSE(CONTROL!$C$38, 0.0342, 0)</f>
        <v>38.623199999999997</v>
      </c>
      <c r="J549" s="43">
        <f>311.9767</f>
        <v>311.97669999999999</v>
      </c>
    </row>
    <row r="550" spans="1:10" ht="15.75" x14ac:dyDescent="0.25">
      <c r="A550" s="31">
        <v>57679</v>
      </c>
      <c r="B550" s="14">
        <f>41.163 * CHOOSE(CONTROL!$C$15, $E$9, 100%, $G$9) + CHOOSE(CONTROL!$C$38, 0.0251, 0)</f>
        <v>41.188099999999999</v>
      </c>
      <c r="C550" s="14">
        <f>38.8907 * CHOOSE(CONTROL!$C$15, $E$9, 100%, $G$9) + CHOOSE(CONTROL!$C$38, 0.0342, 0)</f>
        <v>38.924900000000001</v>
      </c>
      <c r="D550" s="14">
        <f>38.8829 * CHOOSE(CONTROL!$C$15, $E$9, 100%, $G$9) + CHOOSE(CONTROL!$C$38, 0.0342, 0)</f>
        <v>38.917099999999998</v>
      </c>
      <c r="E550" s="45">
        <f>41.0067 * CHOOSE(CONTROL!$C$15, $E$9, 100%, $G$9) + CHOOSE(CONTROL!$C$38, 0.0342, 0)</f>
        <v>41.040900000000001</v>
      </c>
      <c r="F550" s="44">
        <f>41.0067 * CHOOSE(CONTROL!$C$15, $E$9, 100%, $G$9) + CHOOSE(CONTROL!$C$38, 0.0251, 0)</f>
        <v>41.031800000000004</v>
      </c>
      <c r="G550" s="14">
        <f>38.8892 * CHOOSE(CONTROL!$C$15, $E$9, 100%, $G$9) + CHOOSE(CONTROL!$C$38, 0.0342, 0)</f>
        <v>38.923400000000001</v>
      </c>
      <c r="H550" s="14">
        <f>38.8892 * CHOOSE(CONTROL!$C$15, $E$9, 100%, $G$9) + CHOOSE(CONTROL!$C$38, 0.0342, 0)</f>
        <v>38.923400000000001</v>
      </c>
      <c r="I550" s="14">
        <f>38.8907 * CHOOSE(CONTROL!$C$15, $E$9, 100%, $G$9) + CHOOSE(CONTROL!$C$38, 0.0342, 0)</f>
        <v>38.924900000000001</v>
      </c>
      <c r="J550" s="43">
        <f>309.7537</f>
        <v>309.75369999999998</v>
      </c>
    </row>
    <row r="551" spans="1:10" ht="15.75" x14ac:dyDescent="0.25">
      <c r="A551" s="31">
        <v>57710</v>
      </c>
      <c r="B551" s="14">
        <f>42.0926 * CHOOSE(CONTROL!$C$15, $E$9, 100%, $G$9) + CHOOSE(CONTROL!$C$38, 0.0251, 0)</f>
        <v>42.117699999999999</v>
      </c>
      <c r="C551" s="14">
        <f>39.8204 * CHOOSE(CONTROL!$C$15, $E$9, 100%, $G$9) + CHOOSE(CONTROL!$C$38, 0.0342, 0)</f>
        <v>39.854599999999998</v>
      </c>
      <c r="D551" s="14">
        <f>39.8126 * CHOOSE(CONTROL!$C$15, $E$9, 100%, $G$9) + CHOOSE(CONTROL!$C$38, 0.0342, 0)</f>
        <v>39.846800000000002</v>
      </c>
      <c r="E551" s="45">
        <f>41.9364 * CHOOSE(CONTROL!$C$15, $E$9, 100%, $G$9) + CHOOSE(CONTROL!$C$38, 0.0342, 0)</f>
        <v>41.970599999999997</v>
      </c>
      <c r="F551" s="44">
        <f>41.9364 * CHOOSE(CONTROL!$C$15, $E$9, 100%, $G$9) + CHOOSE(CONTROL!$C$38, 0.0251, 0)</f>
        <v>41.961500000000001</v>
      </c>
      <c r="G551" s="14">
        <f>39.8188 * CHOOSE(CONTROL!$C$15, $E$9, 100%, $G$9) + CHOOSE(CONTROL!$C$38, 0.0342, 0)</f>
        <v>39.853000000000002</v>
      </c>
      <c r="H551" s="14">
        <f>39.8188 * CHOOSE(CONTROL!$C$15, $E$9, 100%, $G$9) + CHOOSE(CONTROL!$C$38, 0.0342, 0)</f>
        <v>39.853000000000002</v>
      </c>
      <c r="I551" s="14">
        <f>39.8204 * CHOOSE(CONTROL!$C$15, $E$9, 100%, $G$9) + CHOOSE(CONTROL!$C$38, 0.0342, 0)</f>
        <v>39.854599999999998</v>
      </c>
      <c r="J551" s="43">
        <f>300.5618</f>
        <v>300.56180000000001</v>
      </c>
    </row>
    <row r="552" spans="1:10" ht="15.75" x14ac:dyDescent="0.25">
      <c r="A552" s="31">
        <v>57741</v>
      </c>
      <c r="B552" s="14">
        <f>43.5089 * CHOOSE(CONTROL!$C$15, $E$9, 100%, $G$9) + CHOOSE(CONTROL!$C$38, 0.0251, 0)</f>
        <v>43.533999999999999</v>
      </c>
      <c r="C552" s="14">
        <f>41.2011 * CHOOSE(CONTROL!$C$15, $E$9, 100%, $G$9) + CHOOSE(CONTROL!$C$38, 0.0342, 0)</f>
        <v>41.235299999999995</v>
      </c>
      <c r="D552" s="14">
        <f>41.1933 * CHOOSE(CONTROL!$C$15, $E$9, 100%, $G$9) + CHOOSE(CONTROL!$C$38, 0.0342, 0)</f>
        <v>41.227499999999999</v>
      </c>
      <c r="E552" s="45">
        <f>43.3526 * CHOOSE(CONTROL!$C$15, $E$9, 100%, $G$9) + CHOOSE(CONTROL!$C$38, 0.0342, 0)</f>
        <v>43.386800000000001</v>
      </c>
      <c r="F552" s="44">
        <f>43.3526 * CHOOSE(CONTROL!$C$15, $E$9, 100%, $G$9) + CHOOSE(CONTROL!$C$38, 0.0251, 0)</f>
        <v>43.377700000000004</v>
      </c>
      <c r="G552" s="14">
        <f>41.1995 * CHOOSE(CONTROL!$C$15, $E$9, 100%, $G$9) + CHOOSE(CONTROL!$C$38, 0.0342, 0)</f>
        <v>41.233699999999999</v>
      </c>
      <c r="H552" s="14">
        <f>41.1995 * CHOOSE(CONTROL!$C$15, $E$9, 100%, $G$9) + CHOOSE(CONTROL!$C$38, 0.0342, 0)</f>
        <v>41.233699999999999</v>
      </c>
      <c r="I552" s="14">
        <f>41.2011 * CHOOSE(CONTROL!$C$15, $E$9, 100%, $G$9) + CHOOSE(CONTROL!$C$38, 0.0342, 0)</f>
        <v>41.235299999999995</v>
      </c>
      <c r="J552" s="43">
        <f>300.3448</f>
        <v>300.34480000000002</v>
      </c>
    </row>
    <row r="553" spans="1:10" ht="15.75" x14ac:dyDescent="0.25">
      <c r="A553" s="31">
        <v>57769</v>
      </c>
      <c r="B553" s="14">
        <f>43.8532 * CHOOSE(CONTROL!$C$15, $E$9, 100%, $G$9) + CHOOSE(CONTROL!$C$38, 0.0251, 0)</f>
        <v>43.878300000000003</v>
      </c>
      <c r="C553" s="14">
        <f>41.5454 * CHOOSE(CONTROL!$C$15, $E$9, 100%, $G$9) + CHOOSE(CONTROL!$C$38, 0.0342, 0)</f>
        <v>41.579599999999999</v>
      </c>
      <c r="D553" s="14">
        <f>41.5376 * CHOOSE(CONTROL!$C$15, $E$9, 100%, $G$9) + CHOOSE(CONTROL!$C$38, 0.0342, 0)</f>
        <v>41.571799999999996</v>
      </c>
      <c r="E553" s="45">
        <f>43.697 * CHOOSE(CONTROL!$C$15, $E$9, 100%, $G$9) + CHOOSE(CONTROL!$C$38, 0.0342, 0)</f>
        <v>43.731200000000001</v>
      </c>
      <c r="F553" s="44">
        <f>43.697 * CHOOSE(CONTROL!$C$15, $E$9, 100%, $G$9) + CHOOSE(CONTROL!$C$38, 0.0251, 0)</f>
        <v>43.722100000000005</v>
      </c>
      <c r="G553" s="14">
        <f>41.5439 * CHOOSE(CONTROL!$C$15, $E$9, 100%, $G$9) + CHOOSE(CONTROL!$C$38, 0.0342, 0)</f>
        <v>41.578099999999999</v>
      </c>
      <c r="H553" s="14">
        <f>41.5439 * CHOOSE(CONTROL!$C$15, $E$9, 100%, $G$9) + CHOOSE(CONTROL!$C$38, 0.0342, 0)</f>
        <v>41.578099999999999</v>
      </c>
      <c r="I553" s="14">
        <f>41.5454 * CHOOSE(CONTROL!$C$15, $E$9, 100%, $G$9) + CHOOSE(CONTROL!$C$38, 0.0342, 0)</f>
        <v>41.579599999999999</v>
      </c>
      <c r="J553" s="43">
        <f>299.5099</f>
        <v>299.50990000000002</v>
      </c>
    </row>
    <row r="554" spans="1:10" ht="15.75" x14ac:dyDescent="0.25">
      <c r="A554" s="31">
        <v>57800</v>
      </c>
      <c r="B554" s="14">
        <f>43.0562 * CHOOSE(CONTROL!$C$15, $E$9, 100%, $G$9) + CHOOSE(CONTROL!$C$38, 0.0251, 0)</f>
        <v>43.081299999999999</v>
      </c>
      <c r="C554" s="14">
        <f>40.7484 * CHOOSE(CONTROL!$C$15, $E$9, 100%, $G$9) + CHOOSE(CONTROL!$C$38, 0.0342, 0)</f>
        <v>40.782599999999995</v>
      </c>
      <c r="D554" s="14">
        <f>40.7406 * CHOOSE(CONTROL!$C$15, $E$9, 100%, $G$9) + CHOOSE(CONTROL!$C$38, 0.0342, 0)</f>
        <v>40.774799999999999</v>
      </c>
      <c r="E554" s="45">
        <f>42.8999 * CHOOSE(CONTROL!$C$15, $E$9, 100%, $G$9) + CHOOSE(CONTROL!$C$38, 0.0342, 0)</f>
        <v>42.934100000000001</v>
      </c>
      <c r="F554" s="44">
        <f>42.8999 * CHOOSE(CONTROL!$C$15, $E$9, 100%, $G$9) + CHOOSE(CONTROL!$C$38, 0.0251, 0)</f>
        <v>42.925000000000004</v>
      </c>
      <c r="G554" s="14">
        <f>40.7468 * CHOOSE(CONTROL!$C$15, $E$9, 100%, $G$9) + CHOOSE(CONTROL!$C$38, 0.0342, 0)</f>
        <v>40.780999999999999</v>
      </c>
      <c r="H554" s="14">
        <f>40.7468 * CHOOSE(CONTROL!$C$15, $E$9, 100%, $G$9) + CHOOSE(CONTROL!$C$38, 0.0342, 0)</f>
        <v>40.780999999999999</v>
      </c>
      <c r="I554" s="14">
        <f>40.7484 * CHOOSE(CONTROL!$C$15, $E$9, 100%, $G$9) + CHOOSE(CONTROL!$C$38, 0.0342, 0)</f>
        <v>40.782599999999995</v>
      </c>
      <c r="J554" s="43">
        <f>315.2958</f>
        <v>315.29579999999999</v>
      </c>
    </row>
    <row r="555" spans="1:10" ht="15.75" x14ac:dyDescent="0.25">
      <c r="A555" s="31">
        <v>57830</v>
      </c>
      <c r="B555" s="14">
        <f>42.2839 * CHOOSE(CONTROL!$C$15, $E$9, 100%, $G$9) + CHOOSE(CONTROL!$C$38, 0.0251, 0)</f>
        <v>42.309000000000005</v>
      </c>
      <c r="C555" s="14">
        <f>39.9761 * CHOOSE(CONTROL!$C$15, $E$9, 100%, $G$9) + CHOOSE(CONTROL!$C$38, 0.0342, 0)</f>
        <v>40.010300000000001</v>
      </c>
      <c r="D555" s="14">
        <f>39.9683 * CHOOSE(CONTROL!$C$15, $E$9, 100%, $G$9) + CHOOSE(CONTROL!$C$38, 0.0342, 0)</f>
        <v>40.002499999999998</v>
      </c>
      <c r="E555" s="45">
        <f>42.1276 * CHOOSE(CONTROL!$C$15, $E$9, 100%, $G$9) + CHOOSE(CONTROL!$C$38, 0.0342, 0)</f>
        <v>42.161799999999999</v>
      </c>
      <c r="F555" s="44">
        <f>42.1276 * CHOOSE(CONTROL!$C$15, $E$9, 100%, $G$9) + CHOOSE(CONTROL!$C$38, 0.0251, 0)</f>
        <v>42.152700000000003</v>
      </c>
      <c r="G555" s="14">
        <f>39.9745 * CHOOSE(CONTROL!$C$15, $E$9, 100%, $G$9) + CHOOSE(CONTROL!$C$38, 0.0342, 0)</f>
        <v>40.008699999999997</v>
      </c>
      <c r="H555" s="14">
        <f>39.9745 * CHOOSE(CONTROL!$C$15, $E$9, 100%, $G$9) + CHOOSE(CONTROL!$C$38, 0.0342, 0)</f>
        <v>40.008699999999997</v>
      </c>
      <c r="I555" s="14">
        <f>39.9761 * CHOOSE(CONTROL!$C$15, $E$9, 100%, $G$9) + CHOOSE(CONTROL!$C$38, 0.0342, 0)</f>
        <v>40.010300000000001</v>
      </c>
      <c r="J555" s="43">
        <f>335.7664</f>
        <v>335.76639999999998</v>
      </c>
    </row>
    <row r="556" spans="1:10" ht="15.75" x14ac:dyDescent="0.25">
      <c r="A556" s="31">
        <v>57861</v>
      </c>
      <c r="B556" s="14">
        <f>41.4789 * CHOOSE(CONTROL!$C$15, $E$9, 100%, $G$9) + CHOOSE(CONTROL!$C$38, 0.0264, 0)</f>
        <v>41.505300000000005</v>
      </c>
      <c r="C556" s="14">
        <f>39.1711 * CHOOSE(CONTROL!$C$15, $E$9, 100%, $G$9) + CHOOSE(CONTROL!$C$38, 0.0354, 0)</f>
        <v>39.206500000000005</v>
      </c>
      <c r="D556" s="14">
        <f>39.1633 * CHOOSE(CONTROL!$C$15, $E$9, 100%, $G$9) + CHOOSE(CONTROL!$C$38, 0.0354, 0)</f>
        <v>39.198700000000002</v>
      </c>
      <c r="E556" s="45">
        <f>41.3226 * CHOOSE(CONTROL!$C$15, $E$9, 100%, $G$9) + CHOOSE(CONTROL!$C$38, 0.0354, 0)</f>
        <v>41.358000000000004</v>
      </c>
      <c r="F556" s="44">
        <f>41.3226 * CHOOSE(CONTROL!$C$15, $E$9, 100%, $G$9) + CHOOSE(CONTROL!$C$38, 0.0264, 0)</f>
        <v>41.349000000000004</v>
      </c>
      <c r="G556" s="14">
        <f>39.1695 * CHOOSE(CONTROL!$C$15, $E$9, 100%, $G$9) + CHOOSE(CONTROL!$C$38, 0.0354, 0)</f>
        <v>39.204900000000002</v>
      </c>
      <c r="H556" s="14">
        <f>39.1695 * CHOOSE(CONTROL!$C$15, $E$9, 100%, $G$9) + CHOOSE(CONTROL!$C$38, 0.0354, 0)</f>
        <v>39.204900000000002</v>
      </c>
      <c r="I556" s="14">
        <f>39.1711 * CHOOSE(CONTROL!$C$15, $E$9, 100%, $G$9) + CHOOSE(CONTROL!$C$38, 0.0354, 0)</f>
        <v>39.206500000000005</v>
      </c>
      <c r="J556" s="43">
        <f>347.034</f>
        <v>347.03399999999999</v>
      </c>
    </row>
    <row r="557" spans="1:10" ht="15.75" x14ac:dyDescent="0.25">
      <c r="A557" s="31">
        <v>57891</v>
      </c>
      <c r="B557" s="14">
        <f>40.9146 * CHOOSE(CONTROL!$C$15, $E$9, 100%, $G$9) + CHOOSE(CONTROL!$C$38, 0.0264, 0)</f>
        <v>40.941000000000003</v>
      </c>
      <c r="C557" s="14">
        <f>38.6068 * CHOOSE(CONTROL!$C$15, $E$9, 100%, $G$9) + CHOOSE(CONTROL!$C$38, 0.0354, 0)</f>
        <v>38.642200000000003</v>
      </c>
      <c r="D557" s="14">
        <f>38.599 * CHOOSE(CONTROL!$C$15, $E$9, 100%, $G$9) + CHOOSE(CONTROL!$C$38, 0.0354, 0)</f>
        <v>38.634399999999999</v>
      </c>
      <c r="E557" s="45">
        <f>40.7583 * CHOOSE(CONTROL!$C$15, $E$9, 100%, $G$9) + CHOOSE(CONTROL!$C$38, 0.0354, 0)</f>
        <v>40.793700000000001</v>
      </c>
      <c r="F557" s="44">
        <f>40.7583 * CHOOSE(CONTROL!$C$15, $E$9, 100%, $G$9) + CHOOSE(CONTROL!$C$38, 0.0264, 0)</f>
        <v>40.784700000000001</v>
      </c>
      <c r="G557" s="14">
        <f>38.6052 * CHOOSE(CONTROL!$C$15, $E$9, 100%, $G$9) + CHOOSE(CONTROL!$C$38, 0.0354, 0)</f>
        <v>38.640600000000006</v>
      </c>
      <c r="H557" s="14">
        <f>38.6052 * CHOOSE(CONTROL!$C$15, $E$9, 100%, $G$9) + CHOOSE(CONTROL!$C$38, 0.0354, 0)</f>
        <v>38.640600000000006</v>
      </c>
      <c r="I557" s="14">
        <f>38.6068 * CHOOSE(CONTROL!$C$15, $E$9, 100%, $G$9) + CHOOSE(CONTROL!$C$38, 0.0354, 0)</f>
        <v>38.642200000000003</v>
      </c>
      <c r="J557" s="43">
        <f>352.0344</f>
        <v>352.03440000000001</v>
      </c>
    </row>
    <row r="558" spans="1:10" ht="15.75" x14ac:dyDescent="0.25">
      <c r="A558" s="31">
        <v>57922</v>
      </c>
      <c r="B558" s="14">
        <f>40.5925 * CHOOSE(CONTROL!$C$15, $E$9, 100%, $G$9) + CHOOSE(CONTROL!$C$38, 0.0264, 0)</f>
        <v>40.618900000000004</v>
      </c>
      <c r="C558" s="14">
        <f>38.2847 * CHOOSE(CONTROL!$C$15, $E$9, 100%, $G$9) + CHOOSE(CONTROL!$C$38, 0.0354, 0)</f>
        <v>38.320100000000004</v>
      </c>
      <c r="D558" s="14">
        <f>38.2769 * CHOOSE(CONTROL!$C$15, $E$9, 100%, $G$9) + CHOOSE(CONTROL!$C$38, 0.0354, 0)</f>
        <v>38.3123</v>
      </c>
      <c r="E558" s="45">
        <f>40.4363 * CHOOSE(CONTROL!$C$15, $E$9, 100%, $G$9) + CHOOSE(CONTROL!$C$38, 0.0354, 0)</f>
        <v>40.471700000000006</v>
      </c>
      <c r="F558" s="44">
        <f>40.4363 * CHOOSE(CONTROL!$C$15, $E$9, 100%, $G$9) + CHOOSE(CONTROL!$C$38, 0.0264, 0)</f>
        <v>40.462700000000005</v>
      </c>
      <c r="G558" s="14">
        <f>38.2832 * CHOOSE(CONTROL!$C$15, $E$9, 100%, $G$9) + CHOOSE(CONTROL!$C$38, 0.0354, 0)</f>
        <v>38.318600000000004</v>
      </c>
      <c r="H558" s="14">
        <f>38.2832 * CHOOSE(CONTROL!$C$15, $E$9, 100%, $G$9) + CHOOSE(CONTROL!$C$38, 0.0354, 0)</f>
        <v>38.318600000000004</v>
      </c>
      <c r="I558" s="14">
        <f>38.2847 * CHOOSE(CONTROL!$C$15, $E$9, 100%, $G$9) + CHOOSE(CONTROL!$C$38, 0.0354, 0)</f>
        <v>38.320100000000004</v>
      </c>
      <c r="J558" s="43">
        <f>350.388</f>
        <v>350.38799999999998</v>
      </c>
    </row>
    <row r="559" spans="1:10" ht="15.75" x14ac:dyDescent="0.25">
      <c r="A559" s="31">
        <v>57953</v>
      </c>
      <c r="B559" s="14">
        <f>40.7514 * CHOOSE(CONTROL!$C$15, $E$9, 100%, $G$9) + CHOOSE(CONTROL!$C$38, 0.0264, 0)</f>
        <v>40.777799999999999</v>
      </c>
      <c r="C559" s="14">
        <f>38.4437 * CHOOSE(CONTROL!$C$15, $E$9, 100%, $G$9) + CHOOSE(CONTROL!$C$38, 0.0354, 0)</f>
        <v>38.479100000000003</v>
      </c>
      <c r="D559" s="14">
        <f>38.4358 * CHOOSE(CONTROL!$C$15, $E$9, 100%, $G$9) + CHOOSE(CONTROL!$C$38, 0.0354, 0)</f>
        <v>38.471200000000003</v>
      </c>
      <c r="E559" s="45">
        <f>40.5952 * CHOOSE(CONTROL!$C$15, $E$9, 100%, $G$9) + CHOOSE(CONTROL!$C$38, 0.0354, 0)</f>
        <v>40.630600000000001</v>
      </c>
      <c r="F559" s="44">
        <f>40.5952 * CHOOSE(CONTROL!$C$15, $E$9, 100%, $G$9) + CHOOSE(CONTROL!$C$38, 0.0264, 0)</f>
        <v>40.621600000000001</v>
      </c>
      <c r="G559" s="14">
        <f>38.4421 * CHOOSE(CONTROL!$C$15, $E$9, 100%, $G$9) + CHOOSE(CONTROL!$C$38, 0.0354, 0)</f>
        <v>38.477500000000006</v>
      </c>
      <c r="H559" s="14">
        <f>38.4421 * CHOOSE(CONTROL!$C$15, $E$9, 100%, $G$9) + CHOOSE(CONTROL!$C$38, 0.0354, 0)</f>
        <v>38.477500000000006</v>
      </c>
      <c r="I559" s="14">
        <f>38.4437 * CHOOSE(CONTROL!$C$15, $E$9, 100%, $G$9) + CHOOSE(CONTROL!$C$38, 0.0354, 0)</f>
        <v>38.479100000000003</v>
      </c>
      <c r="J559" s="43">
        <f>342.2312</f>
        <v>342.2312</v>
      </c>
    </row>
    <row r="560" spans="1:10" ht="15.75" x14ac:dyDescent="0.25">
      <c r="A560" s="31">
        <v>57983</v>
      </c>
      <c r="B560" s="14">
        <f>41.1832 * CHOOSE(CONTROL!$C$15, $E$9, 100%, $G$9) + CHOOSE(CONTROL!$C$38, 0.0264, 0)</f>
        <v>41.209600000000002</v>
      </c>
      <c r="C560" s="14">
        <f>38.8754 * CHOOSE(CONTROL!$C$15, $E$9, 100%, $G$9) + CHOOSE(CONTROL!$C$38, 0.0354, 0)</f>
        <v>38.910800000000002</v>
      </c>
      <c r="D560" s="14">
        <f>38.8676 * CHOOSE(CONTROL!$C$15, $E$9, 100%, $G$9) + CHOOSE(CONTROL!$C$38, 0.0354, 0)</f>
        <v>38.903000000000006</v>
      </c>
      <c r="E560" s="45">
        <f>41.0269 * CHOOSE(CONTROL!$C$15, $E$9, 100%, $G$9) + CHOOSE(CONTROL!$C$38, 0.0354, 0)</f>
        <v>41.0623</v>
      </c>
      <c r="F560" s="44">
        <f>41.0269 * CHOOSE(CONTROL!$C$15, $E$9, 100%, $G$9) + CHOOSE(CONTROL!$C$38, 0.0264, 0)</f>
        <v>41.0533</v>
      </c>
      <c r="G560" s="14">
        <f>38.8738 * CHOOSE(CONTROL!$C$15, $E$9, 100%, $G$9) + CHOOSE(CONTROL!$C$38, 0.0354, 0)</f>
        <v>38.909200000000006</v>
      </c>
      <c r="H560" s="14">
        <f>38.8738 * CHOOSE(CONTROL!$C$15, $E$9, 100%, $G$9) + CHOOSE(CONTROL!$C$38, 0.0354, 0)</f>
        <v>38.909200000000006</v>
      </c>
      <c r="I560" s="14">
        <f>38.8754 * CHOOSE(CONTROL!$C$15, $E$9, 100%, $G$9) + CHOOSE(CONTROL!$C$38, 0.0354, 0)</f>
        <v>38.910800000000002</v>
      </c>
      <c r="J560" s="43">
        <f>330.856</f>
        <v>330.85599999999999</v>
      </c>
    </row>
    <row r="561" spans="1:10" ht="15.75" x14ac:dyDescent="0.25">
      <c r="A561" s="31">
        <v>58014</v>
      </c>
      <c r="B561" s="14">
        <f>41.5447 * CHOOSE(CONTROL!$C$15, $E$9, 100%, $G$9) + CHOOSE(CONTROL!$C$38, 0.0251, 0)</f>
        <v>41.569800000000001</v>
      </c>
      <c r="C561" s="14">
        <f>39.2369 * CHOOSE(CONTROL!$C$15, $E$9, 100%, $G$9) + CHOOSE(CONTROL!$C$38, 0.0342, 0)</f>
        <v>39.271099999999997</v>
      </c>
      <c r="D561" s="14">
        <f>39.2291 * CHOOSE(CONTROL!$C$15, $E$9, 100%, $G$9) + CHOOSE(CONTROL!$C$38, 0.0342, 0)</f>
        <v>39.263300000000001</v>
      </c>
      <c r="E561" s="45">
        <f>41.3885 * CHOOSE(CONTROL!$C$15, $E$9, 100%, $G$9) + CHOOSE(CONTROL!$C$38, 0.0342, 0)</f>
        <v>41.422699999999999</v>
      </c>
      <c r="F561" s="44">
        <f>41.3885 * CHOOSE(CONTROL!$C$15, $E$9, 100%, $G$9) + CHOOSE(CONTROL!$C$38, 0.0251, 0)</f>
        <v>41.413600000000002</v>
      </c>
      <c r="G561" s="14">
        <f>39.2354 * CHOOSE(CONTROL!$C$15, $E$9, 100%, $G$9) + CHOOSE(CONTROL!$C$38, 0.0342, 0)</f>
        <v>39.269599999999997</v>
      </c>
      <c r="H561" s="14">
        <f>39.2354 * CHOOSE(CONTROL!$C$15, $E$9, 100%, $G$9) + CHOOSE(CONTROL!$C$38, 0.0342, 0)</f>
        <v>39.269599999999997</v>
      </c>
      <c r="I561" s="14">
        <f>39.2369 * CHOOSE(CONTROL!$C$15, $E$9, 100%, $G$9) + CHOOSE(CONTROL!$C$38, 0.0342, 0)</f>
        <v>39.271099999999997</v>
      </c>
      <c r="J561" s="43">
        <f>319.4146</f>
        <v>319.41460000000001</v>
      </c>
    </row>
    <row r="562" spans="1:10" ht="15.75" x14ac:dyDescent="0.25">
      <c r="A562" s="31">
        <v>58044</v>
      </c>
      <c r="B562" s="14">
        <f>41.8464 * CHOOSE(CONTROL!$C$15, $E$9, 100%, $G$9) + CHOOSE(CONTROL!$C$38, 0.0251, 0)</f>
        <v>41.871500000000005</v>
      </c>
      <c r="C562" s="14">
        <f>39.5386 * CHOOSE(CONTROL!$C$15, $E$9, 100%, $G$9) + CHOOSE(CONTROL!$C$38, 0.0342, 0)</f>
        <v>39.572800000000001</v>
      </c>
      <c r="D562" s="14">
        <f>39.5308 * CHOOSE(CONTROL!$C$15, $E$9, 100%, $G$9) + CHOOSE(CONTROL!$C$38, 0.0342, 0)</f>
        <v>39.564999999999998</v>
      </c>
      <c r="E562" s="45">
        <f>41.6902 * CHOOSE(CONTROL!$C$15, $E$9, 100%, $G$9) + CHOOSE(CONTROL!$C$38, 0.0342, 0)</f>
        <v>41.724399999999996</v>
      </c>
      <c r="F562" s="44">
        <f>41.6902 * CHOOSE(CONTROL!$C$15, $E$9, 100%, $G$9) + CHOOSE(CONTROL!$C$38, 0.0251, 0)</f>
        <v>41.715299999999999</v>
      </c>
      <c r="G562" s="14">
        <f>39.5371 * CHOOSE(CONTROL!$C$15, $E$9, 100%, $G$9) + CHOOSE(CONTROL!$C$38, 0.0342, 0)</f>
        <v>39.571300000000001</v>
      </c>
      <c r="H562" s="14">
        <f>39.5371 * CHOOSE(CONTROL!$C$15, $E$9, 100%, $G$9) + CHOOSE(CONTROL!$C$38, 0.0342, 0)</f>
        <v>39.571300000000001</v>
      </c>
      <c r="I562" s="14">
        <f>39.5386 * CHOOSE(CONTROL!$C$15, $E$9, 100%, $G$9) + CHOOSE(CONTROL!$C$38, 0.0342, 0)</f>
        <v>39.572800000000001</v>
      </c>
      <c r="J562" s="43">
        <f>317.1387</f>
        <v>317.13869999999997</v>
      </c>
    </row>
    <row r="563" spans="1:10" ht="15.75" x14ac:dyDescent="0.25">
      <c r="A563" s="31">
        <v>58075</v>
      </c>
      <c r="B563" s="14">
        <f>42.7761 * CHOOSE(CONTROL!$C$15, $E$9, 100%, $G$9) + CHOOSE(CONTROL!$C$38, 0.0251, 0)</f>
        <v>42.801200000000001</v>
      </c>
      <c r="C563" s="14">
        <f>40.4683 * CHOOSE(CONTROL!$C$15, $E$9, 100%, $G$9) + CHOOSE(CONTROL!$C$38, 0.0342, 0)</f>
        <v>40.502499999999998</v>
      </c>
      <c r="D563" s="14">
        <f>40.4605 * CHOOSE(CONTROL!$C$15, $E$9, 100%, $G$9) + CHOOSE(CONTROL!$C$38, 0.0342, 0)</f>
        <v>40.494700000000002</v>
      </c>
      <c r="E563" s="45">
        <f>42.6198 * CHOOSE(CONTROL!$C$15, $E$9, 100%, $G$9) + CHOOSE(CONTROL!$C$38, 0.0342, 0)</f>
        <v>42.653999999999996</v>
      </c>
      <c r="F563" s="44">
        <f>42.6198 * CHOOSE(CONTROL!$C$15, $E$9, 100%, $G$9) + CHOOSE(CONTROL!$C$38, 0.0251, 0)</f>
        <v>42.6449</v>
      </c>
      <c r="G563" s="14">
        <f>40.4667 * CHOOSE(CONTROL!$C$15, $E$9, 100%, $G$9) + CHOOSE(CONTROL!$C$38, 0.0342, 0)</f>
        <v>40.500900000000001</v>
      </c>
      <c r="H563" s="14">
        <f>40.4667 * CHOOSE(CONTROL!$C$15, $E$9, 100%, $G$9) + CHOOSE(CONTROL!$C$38, 0.0342, 0)</f>
        <v>40.500900000000001</v>
      </c>
      <c r="I563" s="14">
        <f>40.4683 * CHOOSE(CONTROL!$C$15, $E$9, 100%, $G$9) + CHOOSE(CONTROL!$C$38, 0.0342, 0)</f>
        <v>40.502499999999998</v>
      </c>
      <c r="J563" s="43">
        <f>307.7276</f>
        <v>307.7276</v>
      </c>
    </row>
    <row r="564" spans="1:10" ht="15.75" x14ac:dyDescent="0.25">
      <c r="A564" s="31">
        <v>58106</v>
      </c>
      <c r="B564" s="14">
        <f>44.2038 * CHOOSE(CONTROL!$C$15, $E$9, 100%, $G$9) + CHOOSE(CONTROL!$C$38, 0.0251, 0)</f>
        <v>44.228900000000003</v>
      </c>
      <c r="C564" s="14">
        <f>41.8599 * CHOOSE(CONTROL!$C$15, $E$9, 100%, $G$9) + CHOOSE(CONTROL!$C$38, 0.0342, 0)</f>
        <v>41.894100000000002</v>
      </c>
      <c r="D564" s="14">
        <f>41.8521 * CHOOSE(CONTROL!$C$15, $E$9, 100%, $G$9) + CHOOSE(CONTROL!$C$38, 0.0342, 0)</f>
        <v>41.886299999999999</v>
      </c>
      <c r="E564" s="45">
        <f>44.0476 * CHOOSE(CONTROL!$C$15, $E$9, 100%, $G$9) + CHOOSE(CONTROL!$C$38, 0.0342, 0)</f>
        <v>44.081800000000001</v>
      </c>
      <c r="F564" s="44">
        <f>44.0476 * CHOOSE(CONTROL!$C$15, $E$9, 100%, $G$9) + CHOOSE(CONTROL!$C$38, 0.0251, 0)</f>
        <v>44.072700000000005</v>
      </c>
      <c r="G564" s="14">
        <f>41.8583 * CHOOSE(CONTROL!$C$15, $E$9, 100%, $G$9) + CHOOSE(CONTROL!$C$38, 0.0342, 0)</f>
        <v>41.892499999999998</v>
      </c>
      <c r="H564" s="14">
        <f>41.8583 * CHOOSE(CONTROL!$C$15, $E$9, 100%, $G$9) + CHOOSE(CONTROL!$C$38, 0.0342, 0)</f>
        <v>41.892499999999998</v>
      </c>
      <c r="I564" s="14">
        <f>41.8599 * CHOOSE(CONTROL!$C$15, $E$9, 100%, $G$9) + CHOOSE(CONTROL!$C$38, 0.0342, 0)</f>
        <v>41.894100000000002</v>
      </c>
      <c r="J564" s="43">
        <f>307.5054</f>
        <v>307.50540000000001</v>
      </c>
    </row>
    <row r="565" spans="1:10" ht="15.75" x14ac:dyDescent="0.25">
      <c r="A565" s="31">
        <v>58134</v>
      </c>
      <c r="B565" s="14">
        <f>44.5481 * CHOOSE(CONTROL!$C$15, $E$9, 100%, $G$9) + CHOOSE(CONTROL!$C$38, 0.0251, 0)</f>
        <v>44.5732</v>
      </c>
      <c r="C565" s="14">
        <f>42.2042 * CHOOSE(CONTROL!$C$15, $E$9, 100%, $G$9) + CHOOSE(CONTROL!$C$38, 0.0342, 0)</f>
        <v>42.238399999999999</v>
      </c>
      <c r="D565" s="14">
        <f>42.1964 * CHOOSE(CONTROL!$C$15, $E$9, 100%, $G$9) + CHOOSE(CONTROL!$C$38, 0.0342, 0)</f>
        <v>42.230599999999995</v>
      </c>
      <c r="E565" s="45">
        <f>44.3919 * CHOOSE(CONTROL!$C$15, $E$9, 100%, $G$9) + CHOOSE(CONTROL!$C$38, 0.0342, 0)</f>
        <v>44.426099999999998</v>
      </c>
      <c r="F565" s="44">
        <f>44.3919 * CHOOSE(CONTROL!$C$15, $E$9, 100%, $G$9) + CHOOSE(CONTROL!$C$38, 0.0251, 0)</f>
        <v>44.417000000000002</v>
      </c>
      <c r="G565" s="14">
        <f>42.2026 * CHOOSE(CONTROL!$C$15, $E$9, 100%, $G$9) + CHOOSE(CONTROL!$C$38, 0.0342, 0)</f>
        <v>42.236799999999995</v>
      </c>
      <c r="H565" s="14">
        <f>42.2026 * CHOOSE(CONTROL!$C$15, $E$9, 100%, $G$9) + CHOOSE(CONTROL!$C$38, 0.0342, 0)</f>
        <v>42.236799999999995</v>
      </c>
      <c r="I565" s="14">
        <f>42.2042 * CHOOSE(CONTROL!$C$15, $E$9, 100%, $G$9) + CHOOSE(CONTROL!$C$38, 0.0342, 0)</f>
        <v>42.238399999999999</v>
      </c>
      <c r="J565" s="43">
        <f>306.6507</f>
        <v>306.65069999999997</v>
      </c>
    </row>
    <row r="566" spans="1:10" ht="15.75" x14ac:dyDescent="0.25">
      <c r="A566" s="31">
        <v>58165</v>
      </c>
      <c r="B566" s="14">
        <f>43.7511 * CHOOSE(CONTROL!$C$15, $E$9, 100%, $G$9) + CHOOSE(CONTROL!$C$38, 0.0251, 0)</f>
        <v>43.776200000000003</v>
      </c>
      <c r="C566" s="14">
        <f>41.4072 * CHOOSE(CONTROL!$C$15, $E$9, 100%, $G$9) + CHOOSE(CONTROL!$C$38, 0.0342, 0)</f>
        <v>41.441400000000002</v>
      </c>
      <c r="D566" s="14">
        <f>41.3994 * CHOOSE(CONTROL!$C$15, $E$9, 100%, $G$9) + CHOOSE(CONTROL!$C$38, 0.0342, 0)</f>
        <v>41.433599999999998</v>
      </c>
      <c r="E566" s="45">
        <f>43.5948 * CHOOSE(CONTROL!$C$15, $E$9, 100%, $G$9) + CHOOSE(CONTROL!$C$38, 0.0342, 0)</f>
        <v>43.628999999999998</v>
      </c>
      <c r="F566" s="44">
        <f>43.5948 * CHOOSE(CONTROL!$C$15, $E$9, 100%, $G$9) + CHOOSE(CONTROL!$C$38, 0.0251, 0)</f>
        <v>43.619900000000001</v>
      </c>
      <c r="G566" s="14">
        <f>41.4056 * CHOOSE(CONTROL!$C$15, $E$9, 100%, $G$9) + CHOOSE(CONTROL!$C$38, 0.0342, 0)</f>
        <v>41.439799999999998</v>
      </c>
      <c r="H566" s="14">
        <f>41.4056 * CHOOSE(CONTROL!$C$15, $E$9, 100%, $G$9) + CHOOSE(CONTROL!$C$38, 0.0342, 0)</f>
        <v>41.439799999999998</v>
      </c>
      <c r="I566" s="14">
        <f>41.4072 * CHOOSE(CONTROL!$C$15, $E$9, 100%, $G$9) + CHOOSE(CONTROL!$C$38, 0.0342, 0)</f>
        <v>41.441400000000002</v>
      </c>
      <c r="J566" s="43">
        <f>322.813</f>
        <v>322.81299999999999</v>
      </c>
    </row>
    <row r="567" spans="1:10" ht="15.75" x14ac:dyDescent="0.25">
      <c r="A567" s="31">
        <v>58195</v>
      </c>
      <c r="B567" s="14">
        <f>42.9788 * CHOOSE(CONTROL!$C$15, $E$9, 100%, $G$9) + CHOOSE(CONTROL!$C$38, 0.0251, 0)</f>
        <v>43.003900000000002</v>
      </c>
      <c r="C567" s="14">
        <f>40.6349 * CHOOSE(CONTROL!$C$15, $E$9, 100%, $G$9) + CHOOSE(CONTROL!$C$38, 0.0342, 0)</f>
        <v>40.6691</v>
      </c>
      <c r="D567" s="14">
        <f>40.627 * CHOOSE(CONTROL!$C$15, $E$9, 100%, $G$9) + CHOOSE(CONTROL!$C$38, 0.0342, 0)</f>
        <v>40.661200000000001</v>
      </c>
      <c r="E567" s="45">
        <f>42.8225 * CHOOSE(CONTROL!$C$15, $E$9, 100%, $G$9) + CHOOSE(CONTROL!$C$38, 0.0342, 0)</f>
        <v>42.856699999999996</v>
      </c>
      <c r="F567" s="44">
        <f>42.8225 * CHOOSE(CONTROL!$C$15, $E$9, 100%, $G$9) + CHOOSE(CONTROL!$C$38, 0.0251, 0)</f>
        <v>42.8476</v>
      </c>
      <c r="G567" s="14">
        <f>40.6333 * CHOOSE(CONTROL!$C$15, $E$9, 100%, $G$9) + CHOOSE(CONTROL!$C$38, 0.0342, 0)</f>
        <v>40.667499999999997</v>
      </c>
      <c r="H567" s="14">
        <f>40.6333 * CHOOSE(CONTROL!$C$15, $E$9, 100%, $G$9) + CHOOSE(CONTROL!$C$38, 0.0342, 0)</f>
        <v>40.667499999999997</v>
      </c>
      <c r="I567" s="14">
        <f>40.6349 * CHOOSE(CONTROL!$C$15, $E$9, 100%, $G$9) + CHOOSE(CONTROL!$C$38, 0.0342, 0)</f>
        <v>40.6691</v>
      </c>
      <c r="J567" s="43">
        <f>343.7715</f>
        <v>343.7715</v>
      </c>
    </row>
    <row r="568" spans="1:10" ht="15.75" x14ac:dyDescent="0.25">
      <c r="A568" s="31">
        <v>58226</v>
      </c>
      <c r="B568" s="14">
        <f>42.1738 * CHOOSE(CONTROL!$C$15, $E$9, 100%, $G$9) + CHOOSE(CONTROL!$C$38, 0.0264, 0)</f>
        <v>42.200200000000002</v>
      </c>
      <c r="C568" s="14">
        <f>39.8299 * CHOOSE(CONTROL!$C$15, $E$9, 100%, $G$9) + CHOOSE(CONTROL!$C$38, 0.0354, 0)</f>
        <v>39.865300000000005</v>
      </c>
      <c r="D568" s="14">
        <f>39.8221 * CHOOSE(CONTROL!$C$15, $E$9, 100%, $G$9) + CHOOSE(CONTROL!$C$38, 0.0354, 0)</f>
        <v>39.857500000000002</v>
      </c>
      <c r="E568" s="45">
        <f>42.0176 * CHOOSE(CONTROL!$C$15, $E$9, 100%, $G$9) + CHOOSE(CONTROL!$C$38, 0.0354, 0)</f>
        <v>42.053000000000004</v>
      </c>
      <c r="F568" s="44">
        <f>42.0176 * CHOOSE(CONTROL!$C$15, $E$9, 100%, $G$9) + CHOOSE(CONTROL!$C$38, 0.0264, 0)</f>
        <v>42.044000000000004</v>
      </c>
      <c r="G568" s="14">
        <f>39.8283 * CHOOSE(CONTROL!$C$15, $E$9, 100%, $G$9) + CHOOSE(CONTROL!$C$38, 0.0354, 0)</f>
        <v>39.863700000000001</v>
      </c>
      <c r="H568" s="14">
        <f>39.8283 * CHOOSE(CONTROL!$C$15, $E$9, 100%, $G$9) + CHOOSE(CONTROL!$C$38, 0.0354, 0)</f>
        <v>39.863700000000001</v>
      </c>
      <c r="I568" s="14">
        <f>39.8299 * CHOOSE(CONTROL!$C$15, $E$9, 100%, $G$9) + CHOOSE(CONTROL!$C$38, 0.0354, 0)</f>
        <v>39.865300000000005</v>
      </c>
      <c r="J568" s="43">
        <f>355.3078</f>
        <v>355.30779999999999</v>
      </c>
    </row>
    <row r="569" spans="1:10" ht="15.75" x14ac:dyDescent="0.25">
      <c r="A569" s="31">
        <v>58256</v>
      </c>
      <c r="B569" s="14">
        <f>41.6095 * CHOOSE(CONTROL!$C$15, $E$9, 100%, $G$9) + CHOOSE(CONTROL!$C$38, 0.0264, 0)</f>
        <v>41.635899999999999</v>
      </c>
      <c r="C569" s="14">
        <f>39.2656 * CHOOSE(CONTROL!$C$15, $E$9, 100%, $G$9) + CHOOSE(CONTROL!$C$38, 0.0354, 0)</f>
        <v>39.301000000000002</v>
      </c>
      <c r="D569" s="14">
        <f>39.2577 * CHOOSE(CONTROL!$C$15, $E$9, 100%, $G$9) + CHOOSE(CONTROL!$C$38, 0.0354, 0)</f>
        <v>39.293100000000003</v>
      </c>
      <c r="E569" s="45">
        <f>41.4532 * CHOOSE(CONTROL!$C$15, $E$9, 100%, $G$9) + CHOOSE(CONTROL!$C$38, 0.0354, 0)</f>
        <v>41.488600000000005</v>
      </c>
      <c r="F569" s="44">
        <f>41.4532 * CHOOSE(CONTROL!$C$15, $E$9, 100%, $G$9) + CHOOSE(CONTROL!$C$38, 0.0264, 0)</f>
        <v>41.479600000000005</v>
      </c>
      <c r="G569" s="14">
        <f>39.264 * CHOOSE(CONTROL!$C$15, $E$9, 100%, $G$9) + CHOOSE(CONTROL!$C$38, 0.0354, 0)</f>
        <v>39.299400000000006</v>
      </c>
      <c r="H569" s="14">
        <f>39.264 * CHOOSE(CONTROL!$C$15, $E$9, 100%, $G$9) + CHOOSE(CONTROL!$C$38, 0.0354, 0)</f>
        <v>39.299400000000006</v>
      </c>
      <c r="I569" s="14">
        <f>39.2656 * CHOOSE(CONTROL!$C$15, $E$9, 100%, $G$9) + CHOOSE(CONTROL!$C$38, 0.0354, 0)</f>
        <v>39.301000000000002</v>
      </c>
      <c r="J569" s="43">
        <f>360.4274</f>
        <v>360.42739999999998</v>
      </c>
    </row>
    <row r="570" spans="1:10" ht="15.75" x14ac:dyDescent="0.25">
      <c r="A570" s="31">
        <v>58287</v>
      </c>
      <c r="B570" s="14">
        <f>41.2874 * CHOOSE(CONTROL!$C$15, $E$9, 100%, $G$9) + CHOOSE(CONTROL!$C$38, 0.0264, 0)</f>
        <v>41.313800000000001</v>
      </c>
      <c r="C570" s="14">
        <f>38.9435 * CHOOSE(CONTROL!$C$15, $E$9, 100%, $G$9) + CHOOSE(CONTROL!$C$38, 0.0354, 0)</f>
        <v>38.978900000000003</v>
      </c>
      <c r="D570" s="14">
        <f>38.9357 * CHOOSE(CONTROL!$C$15, $E$9, 100%, $G$9) + CHOOSE(CONTROL!$C$38, 0.0354, 0)</f>
        <v>38.9711</v>
      </c>
      <c r="E570" s="45">
        <f>41.1312 * CHOOSE(CONTROL!$C$15, $E$9, 100%, $G$9) + CHOOSE(CONTROL!$C$38, 0.0354, 0)</f>
        <v>41.166600000000003</v>
      </c>
      <c r="F570" s="44">
        <f>41.1312 * CHOOSE(CONTROL!$C$15, $E$9, 100%, $G$9) + CHOOSE(CONTROL!$C$38, 0.0264, 0)</f>
        <v>41.157600000000002</v>
      </c>
      <c r="G570" s="14">
        <f>38.9419 * CHOOSE(CONTROL!$C$15, $E$9, 100%, $G$9) + CHOOSE(CONTROL!$C$38, 0.0354, 0)</f>
        <v>38.9773</v>
      </c>
      <c r="H570" s="14">
        <f>38.9419 * CHOOSE(CONTROL!$C$15, $E$9, 100%, $G$9) + CHOOSE(CONTROL!$C$38, 0.0354, 0)</f>
        <v>38.9773</v>
      </c>
      <c r="I570" s="14">
        <f>38.9435 * CHOOSE(CONTROL!$C$15, $E$9, 100%, $G$9) + CHOOSE(CONTROL!$C$38, 0.0354, 0)</f>
        <v>38.978900000000003</v>
      </c>
      <c r="J570" s="43">
        <f>358.7418</f>
        <v>358.74180000000001</v>
      </c>
    </row>
    <row r="571" spans="1:10" ht="15.75" x14ac:dyDescent="0.25">
      <c r="A571" s="31">
        <v>58318</v>
      </c>
      <c r="B571" s="14">
        <f>41.4464 * CHOOSE(CONTROL!$C$15, $E$9, 100%, $G$9) + CHOOSE(CONTROL!$C$38, 0.0264, 0)</f>
        <v>41.472799999999999</v>
      </c>
      <c r="C571" s="14">
        <f>39.1024 * CHOOSE(CONTROL!$C$15, $E$9, 100%, $G$9) + CHOOSE(CONTROL!$C$38, 0.0354, 0)</f>
        <v>39.137800000000006</v>
      </c>
      <c r="D571" s="14">
        <f>39.0946 * CHOOSE(CONTROL!$C$15, $E$9, 100%, $G$9) + CHOOSE(CONTROL!$C$38, 0.0354, 0)</f>
        <v>39.130000000000003</v>
      </c>
      <c r="E571" s="45">
        <f>41.2901 * CHOOSE(CONTROL!$C$15, $E$9, 100%, $G$9) + CHOOSE(CONTROL!$C$38, 0.0354, 0)</f>
        <v>41.325500000000005</v>
      </c>
      <c r="F571" s="44">
        <f>41.2901 * CHOOSE(CONTROL!$C$15, $E$9, 100%, $G$9) + CHOOSE(CONTROL!$C$38, 0.0264, 0)</f>
        <v>41.316500000000005</v>
      </c>
      <c r="G571" s="14">
        <f>39.1009 * CHOOSE(CONTROL!$C$15, $E$9, 100%, $G$9) + CHOOSE(CONTROL!$C$38, 0.0354, 0)</f>
        <v>39.136300000000006</v>
      </c>
      <c r="H571" s="14">
        <f>39.1009 * CHOOSE(CONTROL!$C$15, $E$9, 100%, $G$9) + CHOOSE(CONTROL!$C$38, 0.0354, 0)</f>
        <v>39.136300000000006</v>
      </c>
      <c r="I571" s="14">
        <f>39.1024 * CHOOSE(CONTROL!$C$15, $E$9, 100%, $G$9) + CHOOSE(CONTROL!$C$38, 0.0354, 0)</f>
        <v>39.137800000000006</v>
      </c>
      <c r="J571" s="43">
        <f>350.3905</f>
        <v>350.39049999999997</v>
      </c>
    </row>
    <row r="572" spans="1:10" ht="15.75" x14ac:dyDescent="0.25">
      <c r="A572" s="31">
        <v>58348</v>
      </c>
      <c r="B572" s="14">
        <f>41.8781 * CHOOSE(CONTROL!$C$15, $E$9, 100%, $G$9) + CHOOSE(CONTROL!$C$38, 0.0264, 0)</f>
        <v>41.904500000000006</v>
      </c>
      <c r="C572" s="14">
        <f>39.5342 * CHOOSE(CONTROL!$C$15, $E$9, 100%, $G$9) + CHOOSE(CONTROL!$C$38, 0.0354, 0)</f>
        <v>39.569600000000001</v>
      </c>
      <c r="D572" s="14">
        <f>39.5263 * CHOOSE(CONTROL!$C$15, $E$9, 100%, $G$9) + CHOOSE(CONTROL!$C$38, 0.0354, 0)</f>
        <v>39.561700000000002</v>
      </c>
      <c r="E572" s="45">
        <f>41.7218 * CHOOSE(CONTROL!$C$15, $E$9, 100%, $G$9) + CHOOSE(CONTROL!$C$38, 0.0354, 0)</f>
        <v>41.757200000000005</v>
      </c>
      <c r="F572" s="44">
        <f>41.7218 * CHOOSE(CONTROL!$C$15, $E$9, 100%, $G$9) + CHOOSE(CONTROL!$C$38, 0.0264, 0)</f>
        <v>41.748200000000004</v>
      </c>
      <c r="G572" s="14">
        <f>39.5326 * CHOOSE(CONTROL!$C$15, $E$9, 100%, $G$9) + CHOOSE(CONTROL!$C$38, 0.0354, 0)</f>
        <v>39.568000000000005</v>
      </c>
      <c r="H572" s="14">
        <f>39.5326 * CHOOSE(CONTROL!$C$15, $E$9, 100%, $G$9) + CHOOSE(CONTROL!$C$38, 0.0354, 0)</f>
        <v>39.568000000000005</v>
      </c>
      <c r="I572" s="14">
        <f>39.5342 * CHOOSE(CONTROL!$C$15, $E$9, 100%, $G$9) + CHOOSE(CONTROL!$C$38, 0.0354, 0)</f>
        <v>39.569600000000001</v>
      </c>
      <c r="J572" s="43">
        <f>338.7441</f>
        <v>338.7441</v>
      </c>
    </row>
    <row r="573" spans="1:10" ht="15.75" x14ac:dyDescent="0.25">
      <c r="A573" s="31">
        <v>58379</v>
      </c>
      <c r="B573" s="14">
        <f>42.2396 * CHOOSE(CONTROL!$C$15, $E$9, 100%, $G$9) + CHOOSE(CONTROL!$C$38, 0.0251, 0)</f>
        <v>42.264700000000005</v>
      </c>
      <c r="C573" s="14">
        <f>39.8957 * CHOOSE(CONTROL!$C$15, $E$9, 100%, $G$9) + CHOOSE(CONTROL!$C$38, 0.0342, 0)</f>
        <v>39.929899999999996</v>
      </c>
      <c r="D573" s="14">
        <f>39.8879 * CHOOSE(CONTROL!$C$15, $E$9, 100%, $G$9) + CHOOSE(CONTROL!$C$38, 0.0342, 0)</f>
        <v>39.9221</v>
      </c>
      <c r="E573" s="45">
        <f>42.0834 * CHOOSE(CONTROL!$C$15, $E$9, 100%, $G$9) + CHOOSE(CONTROL!$C$38, 0.0342, 0)</f>
        <v>42.117599999999996</v>
      </c>
      <c r="F573" s="44">
        <f>42.0834 * CHOOSE(CONTROL!$C$15, $E$9, 100%, $G$9) + CHOOSE(CONTROL!$C$38, 0.0251, 0)</f>
        <v>42.108499999999999</v>
      </c>
      <c r="G573" s="14">
        <f>39.8942 * CHOOSE(CONTROL!$C$15, $E$9, 100%, $G$9) + CHOOSE(CONTROL!$C$38, 0.0342, 0)</f>
        <v>39.928399999999996</v>
      </c>
      <c r="H573" s="14">
        <f>39.8942 * CHOOSE(CONTROL!$C$15, $E$9, 100%, $G$9) + CHOOSE(CONTROL!$C$38, 0.0342, 0)</f>
        <v>39.928399999999996</v>
      </c>
      <c r="I573" s="14">
        <f>39.8957 * CHOOSE(CONTROL!$C$15, $E$9, 100%, $G$9) + CHOOSE(CONTROL!$C$38, 0.0342, 0)</f>
        <v>39.929899999999996</v>
      </c>
      <c r="J573" s="43">
        <f>327.03</f>
        <v>327.02999999999997</v>
      </c>
    </row>
    <row r="574" spans="1:10" ht="15.75" x14ac:dyDescent="0.25">
      <c r="A574" s="31">
        <v>58409</v>
      </c>
      <c r="B574" s="14">
        <f>42.5414 * CHOOSE(CONTROL!$C$15, $E$9, 100%, $G$9) + CHOOSE(CONTROL!$C$38, 0.0251, 0)</f>
        <v>42.566500000000005</v>
      </c>
      <c r="C574" s="14">
        <f>40.1974 * CHOOSE(CONTROL!$C$15, $E$9, 100%, $G$9) + CHOOSE(CONTROL!$C$38, 0.0342, 0)</f>
        <v>40.2316</v>
      </c>
      <c r="D574" s="14">
        <f>40.1896 * CHOOSE(CONTROL!$C$15, $E$9, 100%, $G$9) + CHOOSE(CONTROL!$C$38, 0.0342, 0)</f>
        <v>40.223799999999997</v>
      </c>
      <c r="E574" s="45">
        <f>42.3851 * CHOOSE(CONTROL!$C$15, $E$9, 100%, $G$9) + CHOOSE(CONTROL!$C$38, 0.0342, 0)</f>
        <v>42.4193</v>
      </c>
      <c r="F574" s="44">
        <f>42.3851 * CHOOSE(CONTROL!$C$15, $E$9, 100%, $G$9) + CHOOSE(CONTROL!$C$38, 0.0251, 0)</f>
        <v>42.410200000000003</v>
      </c>
      <c r="G574" s="14">
        <f>40.1959 * CHOOSE(CONTROL!$C$15, $E$9, 100%, $G$9) + CHOOSE(CONTROL!$C$38, 0.0342, 0)</f>
        <v>40.2301</v>
      </c>
      <c r="H574" s="14">
        <f>40.1959 * CHOOSE(CONTROL!$C$15, $E$9, 100%, $G$9) + CHOOSE(CONTROL!$C$38, 0.0342, 0)</f>
        <v>40.2301</v>
      </c>
      <c r="I574" s="14">
        <f>40.1974 * CHOOSE(CONTROL!$C$15, $E$9, 100%, $G$9) + CHOOSE(CONTROL!$C$38, 0.0342, 0)</f>
        <v>40.2316</v>
      </c>
      <c r="J574" s="43">
        <f>324.6998</f>
        <v>324.69979999999998</v>
      </c>
    </row>
    <row r="575" spans="1:10" ht="15.75" x14ac:dyDescent="0.25">
      <c r="A575" s="31">
        <v>58440</v>
      </c>
      <c r="B575" s="14">
        <f>43.471 * CHOOSE(CONTROL!$C$15, $E$9, 100%, $G$9) + CHOOSE(CONTROL!$C$38, 0.0251, 0)</f>
        <v>43.496099999999998</v>
      </c>
      <c r="C575" s="14">
        <f>41.1271 * CHOOSE(CONTROL!$C$15, $E$9, 100%, $G$9) + CHOOSE(CONTROL!$C$38, 0.0342, 0)</f>
        <v>41.161299999999997</v>
      </c>
      <c r="D575" s="14">
        <f>41.1193 * CHOOSE(CONTROL!$C$15, $E$9, 100%, $G$9) + CHOOSE(CONTROL!$C$38, 0.0342, 0)</f>
        <v>41.153500000000001</v>
      </c>
      <c r="E575" s="45">
        <f>43.3148 * CHOOSE(CONTROL!$C$15, $E$9, 100%, $G$9) + CHOOSE(CONTROL!$C$38, 0.0342, 0)</f>
        <v>43.348999999999997</v>
      </c>
      <c r="F575" s="44">
        <f>43.3148 * CHOOSE(CONTROL!$C$15, $E$9, 100%, $G$9) + CHOOSE(CONTROL!$C$38, 0.0251, 0)</f>
        <v>43.3399</v>
      </c>
      <c r="G575" s="14">
        <f>41.1255 * CHOOSE(CONTROL!$C$15, $E$9, 100%, $G$9) + CHOOSE(CONTROL!$C$38, 0.0342, 0)</f>
        <v>41.159700000000001</v>
      </c>
      <c r="H575" s="14">
        <f>41.1255 * CHOOSE(CONTROL!$C$15, $E$9, 100%, $G$9) + CHOOSE(CONTROL!$C$38, 0.0342, 0)</f>
        <v>41.159700000000001</v>
      </c>
      <c r="I575" s="14">
        <f>41.1271 * CHOOSE(CONTROL!$C$15, $E$9, 100%, $G$9) + CHOOSE(CONTROL!$C$38, 0.0342, 0)</f>
        <v>41.161299999999997</v>
      </c>
      <c r="J575" s="43">
        <f>315.0643</f>
        <v>315.0643</v>
      </c>
    </row>
    <row r="576" spans="1:10" ht="15.75" x14ac:dyDescent="0.25">
      <c r="A576" s="31">
        <v>58471</v>
      </c>
      <c r="B576" s="14">
        <f>44.9104 * CHOOSE(CONTROL!$C$15, $E$9, 100%, $G$9) + CHOOSE(CONTROL!$C$38, 0.0251, 0)</f>
        <v>44.935500000000005</v>
      </c>
      <c r="C576" s="14">
        <f>42.5297 * CHOOSE(CONTROL!$C$15, $E$9, 100%, $G$9) + CHOOSE(CONTROL!$C$38, 0.0342, 0)</f>
        <v>42.563899999999997</v>
      </c>
      <c r="D576" s="14">
        <f>42.5219 * CHOOSE(CONTROL!$C$15, $E$9, 100%, $G$9) + CHOOSE(CONTROL!$C$38, 0.0342, 0)</f>
        <v>42.556100000000001</v>
      </c>
      <c r="E576" s="45">
        <f>44.7542 * CHOOSE(CONTROL!$C$15, $E$9, 100%, $G$9) + CHOOSE(CONTROL!$C$38, 0.0342, 0)</f>
        <v>44.788399999999996</v>
      </c>
      <c r="F576" s="44">
        <f>44.7542 * CHOOSE(CONTROL!$C$15, $E$9, 100%, $G$9) + CHOOSE(CONTROL!$C$38, 0.0251, 0)</f>
        <v>44.779299999999999</v>
      </c>
      <c r="G576" s="14">
        <f>42.5282 * CHOOSE(CONTROL!$C$15, $E$9, 100%, $G$9) + CHOOSE(CONTROL!$C$38, 0.0342, 0)</f>
        <v>42.562399999999997</v>
      </c>
      <c r="H576" s="14">
        <f>42.5282 * CHOOSE(CONTROL!$C$15, $E$9, 100%, $G$9) + CHOOSE(CONTROL!$C$38, 0.0342, 0)</f>
        <v>42.562399999999997</v>
      </c>
      <c r="I576" s="14">
        <f>42.5297 * CHOOSE(CONTROL!$C$15, $E$9, 100%, $G$9) + CHOOSE(CONTROL!$C$38, 0.0342, 0)</f>
        <v>42.563899999999997</v>
      </c>
      <c r="J576" s="43">
        <f>314.8368</f>
        <v>314.83679999999998</v>
      </c>
    </row>
    <row r="577" spans="1:10" ht="15.75" x14ac:dyDescent="0.25">
      <c r="A577" s="31">
        <v>58499</v>
      </c>
      <c r="B577" s="14">
        <f>45.2547 * CHOOSE(CONTROL!$C$15, $E$9, 100%, $G$9) + CHOOSE(CONTROL!$C$38, 0.0251, 0)</f>
        <v>45.279800000000002</v>
      </c>
      <c r="C577" s="14">
        <f>42.874 * CHOOSE(CONTROL!$C$15, $E$9, 100%, $G$9) + CHOOSE(CONTROL!$C$38, 0.0342, 0)</f>
        <v>42.908200000000001</v>
      </c>
      <c r="D577" s="14">
        <f>42.8662 * CHOOSE(CONTROL!$C$15, $E$9, 100%, $G$9) + CHOOSE(CONTROL!$C$38, 0.0342, 0)</f>
        <v>42.900399999999998</v>
      </c>
      <c r="E577" s="45">
        <f>45.0985 * CHOOSE(CONTROL!$C$15, $E$9, 100%, $G$9) + CHOOSE(CONTROL!$C$38, 0.0342, 0)</f>
        <v>45.1327</v>
      </c>
      <c r="F577" s="44">
        <f>45.0985 * CHOOSE(CONTROL!$C$15, $E$9, 100%, $G$9) + CHOOSE(CONTROL!$C$38, 0.0251, 0)</f>
        <v>45.123600000000003</v>
      </c>
      <c r="G577" s="14">
        <f>42.8725 * CHOOSE(CONTROL!$C$15, $E$9, 100%, $G$9) + CHOOSE(CONTROL!$C$38, 0.0342, 0)</f>
        <v>42.906700000000001</v>
      </c>
      <c r="H577" s="14">
        <f>42.8725 * CHOOSE(CONTROL!$C$15, $E$9, 100%, $G$9) + CHOOSE(CONTROL!$C$38, 0.0342, 0)</f>
        <v>42.906700000000001</v>
      </c>
      <c r="I577" s="14">
        <f>42.874 * CHOOSE(CONTROL!$C$15, $E$9, 100%, $G$9) + CHOOSE(CONTROL!$C$38, 0.0342, 0)</f>
        <v>42.908200000000001</v>
      </c>
      <c r="J577" s="43">
        <f>313.9617</f>
        <v>313.96170000000001</v>
      </c>
    </row>
    <row r="578" spans="1:10" ht="15.75" x14ac:dyDescent="0.25">
      <c r="A578" s="31">
        <v>58531</v>
      </c>
      <c r="B578" s="14">
        <f>44.4577 * CHOOSE(CONTROL!$C$15, $E$9, 100%, $G$9) + CHOOSE(CONTROL!$C$38, 0.0251, 0)</f>
        <v>44.482800000000005</v>
      </c>
      <c r="C578" s="14">
        <f>42.077 * CHOOSE(CONTROL!$C$15, $E$9, 100%, $G$9) + CHOOSE(CONTROL!$C$38, 0.0342, 0)</f>
        <v>42.111199999999997</v>
      </c>
      <c r="D578" s="14">
        <f>42.0692 * CHOOSE(CONTROL!$C$15, $E$9, 100%, $G$9) + CHOOSE(CONTROL!$C$38, 0.0342, 0)</f>
        <v>42.103400000000001</v>
      </c>
      <c r="E578" s="45">
        <f>44.3014 * CHOOSE(CONTROL!$C$15, $E$9, 100%, $G$9) + CHOOSE(CONTROL!$C$38, 0.0342, 0)</f>
        <v>44.335599999999999</v>
      </c>
      <c r="F578" s="44">
        <f>44.3014 * CHOOSE(CONTROL!$C$15, $E$9, 100%, $G$9) + CHOOSE(CONTROL!$C$38, 0.0251, 0)</f>
        <v>44.326500000000003</v>
      </c>
      <c r="G578" s="14">
        <f>42.0754 * CHOOSE(CONTROL!$C$15, $E$9, 100%, $G$9) + CHOOSE(CONTROL!$C$38, 0.0342, 0)</f>
        <v>42.1096</v>
      </c>
      <c r="H578" s="14">
        <f>42.0754 * CHOOSE(CONTROL!$C$15, $E$9, 100%, $G$9) + CHOOSE(CONTROL!$C$38, 0.0342, 0)</f>
        <v>42.1096</v>
      </c>
      <c r="I578" s="14">
        <f>42.077 * CHOOSE(CONTROL!$C$15, $E$9, 100%, $G$9) + CHOOSE(CONTROL!$C$38, 0.0342, 0)</f>
        <v>42.111199999999997</v>
      </c>
      <c r="J578" s="43">
        <f>330.5093</f>
        <v>330.5093</v>
      </c>
    </row>
    <row r="579" spans="1:10" ht="15.75" x14ac:dyDescent="0.25">
      <c r="A579" s="31">
        <v>58561</v>
      </c>
      <c r="B579" s="14">
        <f>43.6854 * CHOOSE(CONTROL!$C$15, $E$9, 100%, $G$9) + CHOOSE(CONTROL!$C$38, 0.0251, 0)</f>
        <v>43.710500000000003</v>
      </c>
      <c r="C579" s="14">
        <f>41.3047 * CHOOSE(CONTROL!$C$15, $E$9, 100%, $G$9) + CHOOSE(CONTROL!$C$38, 0.0342, 0)</f>
        <v>41.338899999999995</v>
      </c>
      <c r="D579" s="14">
        <f>41.2969 * CHOOSE(CONTROL!$C$15, $E$9, 100%, $G$9) + CHOOSE(CONTROL!$C$38, 0.0342, 0)</f>
        <v>41.331099999999999</v>
      </c>
      <c r="E579" s="45">
        <f>43.5291 * CHOOSE(CONTROL!$C$15, $E$9, 100%, $G$9) + CHOOSE(CONTROL!$C$38, 0.0342, 0)</f>
        <v>43.563299999999998</v>
      </c>
      <c r="F579" s="44">
        <f>43.5291 * CHOOSE(CONTROL!$C$15, $E$9, 100%, $G$9) + CHOOSE(CONTROL!$C$38, 0.0251, 0)</f>
        <v>43.554200000000002</v>
      </c>
      <c r="G579" s="14">
        <f>41.3031 * CHOOSE(CONTROL!$C$15, $E$9, 100%, $G$9) + CHOOSE(CONTROL!$C$38, 0.0342, 0)</f>
        <v>41.337299999999999</v>
      </c>
      <c r="H579" s="14">
        <f>41.3031 * CHOOSE(CONTROL!$C$15, $E$9, 100%, $G$9) + CHOOSE(CONTROL!$C$38, 0.0342, 0)</f>
        <v>41.337299999999999</v>
      </c>
      <c r="I579" s="14">
        <f>41.3047 * CHOOSE(CONTROL!$C$15, $E$9, 100%, $G$9) + CHOOSE(CONTROL!$C$38, 0.0342, 0)</f>
        <v>41.338899999999995</v>
      </c>
      <c r="J579" s="43">
        <f>351.9676</f>
        <v>351.9676</v>
      </c>
    </row>
    <row r="580" spans="1:10" ht="15.75" x14ac:dyDescent="0.25">
      <c r="A580" s="31">
        <v>58592</v>
      </c>
      <c r="B580" s="14">
        <f>42.8804 * CHOOSE(CONTROL!$C$15, $E$9, 100%, $G$9) + CHOOSE(CONTROL!$C$38, 0.0264, 0)</f>
        <v>42.906800000000004</v>
      </c>
      <c r="C580" s="14">
        <f>40.4997 * CHOOSE(CONTROL!$C$15, $E$9, 100%, $G$9) + CHOOSE(CONTROL!$C$38, 0.0354, 0)</f>
        <v>40.5351</v>
      </c>
      <c r="D580" s="14">
        <f>40.4919 * CHOOSE(CONTROL!$C$15, $E$9, 100%, $G$9) + CHOOSE(CONTROL!$C$38, 0.0354, 0)</f>
        <v>40.527300000000004</v>
      </c>
      <c r="E580" s="45">
        <f>42.7242 * CHOOSE(CONTROL!$C$15, $E$9, 100%, $G$9) + CHOOSE(CONTROL!$C$38, 0.0354, 0)</f>
        <v>42.759600000000006</v>
      </c>
      <c r="F580" s="44">
        <f>42.7242 * CHOOSE(CONTROL!$C$15, $E$9, 100%, $G$9) + CHOOSE(CONTROL!$C$38, 0.0264, 0)</f>
        <v>42.750600000000006</v>
      </c>
      <c r="G580" s="14">
        <f>40.4982 * CHOOSE(CONTROL!$C$15, $E$9, 100%, $G$9) + CHOOSE(CONTROL!$C$38, 0.0354, 0)</f>
        <v>40.5336</v>
      </c>
      <c r="H580" s="14">
        <f>40.4982 * CHOOSE(CONTROL!$C$15, $E$9, 100%, $G$9) + CHOOSE(CONTROL!$C$38, 0.0354, 0)</f>
        <v>40.5336</v>
      </c>
      <c r="I580" s="14">
        <f>40.4997 * CHOOSE(CONTROL!$C$15, $E$9, 100%, $G$9) + CHOOSE(CONTROL!$C$38, 0.0354, 0)</f>
        <v>40.5351</v>
      </c>
      <c r="J580" s="43">
        <f>363.7789</f>
        <v>363.77890000000002</v>
      </c>
    </row>
    <row r="581" spans="1:10" ht="15.75" x14ac:dyDescent="0.25">
      <c r="A581" s="31">
        <v>58622</v>
      </c>
      <c r="B581" s="14">
        <f>42.3161 * CHOOSE(CONTROL!$C$15, $E$9, 100%, $G$9) + CHOOSE(CONTROL!$C$38, 0.0264, 0)</f>
        <v>42.342500000000001</v>
      </c>
      <c r="C581" s="14">
        <f>39.9354 * CHOOSE(CONTROL!$C$15, $E$9, 100%, $G$9) + CHOOSE(CONTROL!$C$38, 0.0354, 0)</f>
        <v>39.970800000000004</v>
      </c>
      <c r="D581" s="14">
        <f>39.9276 * CHOOSE(CONTROL!$C$15, $E$9, 100%, $G$9) + CHOOSE(CONTROL!$C$38, 0.0354, 0)</f>
        <v>39.963000000000001</v>
      </c>
      <c r="E581" s="45">
        <f>42.1598 * CHOOSE(CONTROL!$C$15, $E$9, 100%, $G$9) + CHOOSE(CONTROL!$C$38, 0.0354, 0)</f>
        <v>42.1952</v>
      </c>
      <c r="F581" s="44">
        <f>42.1598 * CHOOSE(CONTROL!$C$15, $E$9, 100%, $G$9) + CHOOSE(CONTROL!$C$38, 0.0264, 0)</f>
        <v>42.186199999999999</v>
      </c>
      <c r="G581" s="14">
        <f>39.9338 * CHOOSE(CONTROL!$C$15, $E$9, 100%, $G$9) + CHOOSE(CONTROL!$C$38, 0.0354, 0)</f>
        <v>39.969200000000001</v>
      </c>
      <c r="H581" s="14">
        <f>39.9338 * CHOOSE(CONTROL!$C$15, $E$9, 100%, $G$9) + CHOOSE(CONTROL!$C$38, 0.0354, 0)</f>
        <v>39.969200000000001</v>
      </c>
      <c r="I581" s="14">
        <f>39.9354 * CHOOSE(CONTROL!$C$15, $E$9, 100%, $G$9) + CHOOSE(CONTROL!$C$38, 0.0354, 0)</f>
        <v>39.970800000000004</v>
      </c>
      <c r="J581" s="43">
        <f>369.0206</f>
        <v>369.0206</v>
      </c>
    </row>
    <row r="582" spans="1:10" ht="15.75" x14ac:dyDescent="0.25">
      <c r="A582" s="31">
        <v>58653</v>
      </c>
      <c r="B582" s="14">
        <f>41.994 * CHOOSE(CONTROL!$C$15, $E$9, 100%, $G$9) + CHOOSE(CONTROL!$C$38, 0.0264, 0)</f>
        <v>42.020400000000002</v>
      </c>
      <c r="C582" s="14">
        <f>39.6133 * CHOOSE(CONTROL!$C$15, $E$9, 100%, $G$9) + CHOOSE(CONTROL!$C$38, 0.0354, 0)</f>
        <v>39.648700000000005</v>
      </c>
      <c r="D582" s="14">
        <f>39.6055 * CHOOSE(CONTROL!$C$15, $E$9, 100%, $G$9) + CHOOSE(CONTROL!$C$38, 0.0354, 0)</f>
        <v>39.640900000000002</v>
      </c>
      <c r="E582" s="45">
        <f>41.8378 * CHOOSE(CONTROL!$C$15, $E$9, 100%, $G$9) + CHOOSE(CONTROL!$C$38, 0.0354, 0)</f>
        <v>41.873200000000004</v>
      </c>
      <c r="F582" s="44">
        <f>41.8378 * CHOOSE(CONTROL!$C$15, $E$9, 100%, $G$9) + CHOOSE(CONTROL!$C$38, 0.0264, 0)</f>
        <v>41.864200000000004</v>
      </c>
      <c r="G582" s="14">
        <f>39.6118 * CHOOSE(CONTROL!$C$15, $E$9, 100%, $G$9) + CHOOSE(CONTROL!$C$38, 0.0354, 0)</f>
        <v>39.647200000000005</v>
      </c>
      <c r="H582" s="14">
        <f>39.6118 * CHOOSE(CONTROL!$C$15, $E$9, 100%, $G$9) + CHOOSE(CONTROL!$C$38, 0.0354, 0)</f>
        <v>39.647200000000005</v>
      </c>
      <c r="I582" s="14">
        <f>39.6133 * CHOOSE(CONTROL!$C$15, $E$9, 100%, $G$9) + CHOOSE(CONTROL!$C$38, 0.0354, 0)</f>
        <v>39.648700000000005</v>
      </c>
      <c r="J582" s="43">
        <f>367.2948</f>
        <v>367.29480000000001</v>
      </c>
    </row>
    <row r="583" spans="1:10" ht="15.75" x14ac:dyDescent="0.25">
      <c r="A583" s="31">
        <v>58684</v>
      </c>
      <c r="B583" s="14">
        <f>42.153 * CHOOSE(CONTROL!$C$15, $E$9, 100%, $G$9) + CHOOSE(CONTROL!$C$38, 0.0264, 0)</f>
        <v>42.179400000000001</v>
      </c>
      <c r="C583" s="14">
        <f>39.7723 * CHOOSE(CONTROL!$C$15, $E$9, 100%, $G$9) + CHOOSE(CONTROL!$C$38, 0.0354, 0)</f>
        <v>39.807700000000004</v>
      </c>
      <c r="D583" s="14">
        <f>39.7645 * CHOOSE(CONTROL!$C$15, $E$9, 100%, $G$9) + CHOOSE(CONTROL!$C$38, 0.0354, 0)</f>
        <v>39.799900000000001</v>
      </c>
      <c r="E583" s="45">
        <f>41.9967 * CHOOSE(CONTROL!$C$15, $E$9, 100%, $G$9) + CHOOSE(CONTROL!$C$38, 0.0354, 0)</f>
        <v>42.0321</v>
      </c>
      <c r="F583" s="44">
        <f>41.9967 * CHOOSE(CONTROL!$C$15, $E$9, 100%, $G$9) + CHOOSE(CONTROL!$C$38, 0.0264, 0)</f>
        <v>42.023099999999999</v>
      </c>
      <c r="G583" s="14">
        <f>39.7707 * CHOOSE(CONTROL!$C$15, $E$9, 100%, $G$9) + CHOOSE(CONTROL!$C$38, 0.0354, 0)</f>
        <v>39.806100000000001</v>
      </c>
      <c r="H583" s="14">
        <f>39.7707 * CHOOSE(CONTROL!$C$15, $E$9, 100%, $G$9) + CHOOSE(CONTROL!$C$38, 0.0354, 0)</f>
        <v>39.806100000000001</v>
      </c>
      <c r="I583" s="14">
        <f>39.7723 * CHOOSE(CONTROL!$C$15, $E$9, 100%, $G$9) + CHOOSE(CONTROL!$C$38, 0.0354, 0)</f>
        <v>39.807700000000004</v>
      </c>
      <c r="J583" s="43">
        <f>358.7443</f>
        <v>358.74430000000001</v>
      </c>
    </row>
    <row r="584" spans="1:10" ht="15.75" x14ac:dyDescent="0.25">
      <c r="A584" s="31">
        <v>58714</v>
      </c>
      <c r="B584" s="14">
        <f>42.5847 * CHOOSE(CONTROL!$C$15, $E$9, 100%, $G$9) + CHOOSE(CONTROL!$C$38, 0.0264, 0)</f>
        <v>42.6111</v>
      </c>
      <c r="C584" s="14">
        <f>40.204 * CHOOSE(CONTROL!$C$15, $E$9, 100%, $G$9) + CHOOSE(CONTROL!$C$38, 0.0354, 0)</f>
        <v>40.239400000000003</v>
      </c>
      <c r="D584" s="14">
        <f>40.1962 * CHOOSE(CONTROL!$C$15, $E$9, 100%, $G$9) + CHOOSE(CONTROL!$C$38, 0.0354, 0)</f>
        <v>40.2316</v>
      </c>
      <c r="E584" s="45">
        <f>42.4284 * CHOOSE(CONTROL!$C$15, $E$9, 100%, $G$9) + CHOOSE(CONTROL!$C$38, 0.0354, 0)</f>
        <v>42.463800000000006</v>
      </c>
      <c r="F584" s="44">
        <f>42.4284 * CHOOSE(CONTROL!$C$15, $E$9, 100%, $G$9) + CHOOSE(CONTROL!$C$38, 0.0264, 0)</f>
        <v>42.454800000000006</v>
      </c>
      <c r="G584" s="14">
        <f>40.2024 * CHOOSE(CONTROL!$C$15, $E$9, 100%, $G$9) + CHOOSE(CONTROL!$C$38, 0.0354, 0)</f>
        <v>40.2378</v>
      </c>
      <c r="H584" s="14">
        <f>40.2024 * CHOOSE(CONTROL!$C$15, $E$9, 100%, $G$9) + CHOOSE(CONTROL!$C$38, 0.0354, 0)</f>
        <v>40.2378</v>
      </c>
      <c r="I584" s="14">
        <f>40.204 * CHOOSE(CONTROL!$C$15, $E$9, 100%, $G$9) + CHOOSE(CONTROL!$C$38, 0.0354, 0)</f>
        <v>40.239400000000003</v>
      </c>
      <c r="J584" s="43">
        <f>346.8203</f>
        <v>346.82029999999997</v>
      </c>
    </row>
    <row r="585" spans="1:10" ht="15.75" x14ac:dyDescent="0.25">
      <c r="A585" s="31">
        <v>58745</v>
      </c>
      <c r="B585" s="14">
        <f>42.9463 * CHOOSE(CONTROL!$C$15, $E$9, 100%, $G$9) + CHOOSE(CONTROL!$C$38, 0.0251, 0)</f>
        <v>42.971400000000003</v>
      </c>
      <c r="C585" s="14">
        <f>40.5656 * CHOOSE(CONTROL!$C$15, $E$9, 100%, $G$9) + CHOOSE(CONTROL!$C$38, 0.0342, 0)</f>
        <v>40.599800000000002</v>
      </c>
      <c r="D585" s="14">
        <f>40.5578 * CHOOSE(CONTROL!$C$15, $E$9, 100%, $G$9) + CHOOSE(CONTROL!$C$38, 0.0342, 0)</f>
        <v>40.591999999999999</v>
      </c>
      <c r="E585" s="45">
        <f>42.79 * CHOOSE(CONTROL!$C$15, $E$9, 100%, $G$9) + CHOOSE(CONTROL!$C$38, 0.0342, 0)</f>
        <v>42.824199999999998</v>
      </c>
      <c r="F585" s="44">
        <f>42.79 * CHOOSE(CONTROL!$C$15, $E$9, 100%, $G$9) + CHOOSE(CONTROL!$C$38, 0.0251, 0)</f>
        <v>42.815100000000001</v>
      </c>
      <c r="G585" s="14">
        <f>40.564 * CHOOSE(CONTROL!$C$15, $E$9, 100%, $G$9) + CHOOSE(CONTROL!$C$38, 0.0342, 0)</f>
        <v>40.598199999999999</v>
      </c>
      <c r="H585" s="14">
        <f>40.564 * CHOOSE(CONTROL!$C$15, $E$9, 100%, $G$9) + CHOOSE(CONTROL!$C$38, 0.0342, 0)</f>
        <v>40.598199999999999</v>
      </c>
      <c r="I585" s="14">
        <f>40.5656 * CHOOSE(CONTROL!$C$15, $E$9, 100%, $G$9) + CHOOSE(CONTROL!$C$38, 0.0342, 0)</f>
        <v>40.599800000000002</v>
      </c>
      <c r="J585" s="43">
        <f>334.8269</f>
        <v>334.82690000000002</v>
      </c>
    </row>
    <row r="586" spans="1:10" ht="15.75" x14ac:dyDescent="0.25">
      <c r="A586" s="31">
        <v>58775</v>
      </c>
      <c r="B586" s="14">
        <f>43.248 * CHOOSE(CONTROL!$C$15, $E$9, 100%, $G$9) + CHOOSE(CONTROL!$C$38, 0.0251, 0)</f>
        <v>43.273099999999999</v>
      </c>
      <c r="C586" s="14">
        <f>40.8673 * CHOOSE(CONTROL!$C$15, $E$9, 100%, $G$9) + CHOOSE(CONTROL!$C$38, 0.0342, 0)</f>
        <v>40.901499999999999</v>
      </c>
      <c r="D586" s="14">
        <f>40.8595 * CHOOSE(CONTROL!$C$15, $E$9, 100%, $G$9) + CHOOSE(CONTROL!$C$38, 0.0342, 0)</f>
        <v>40.893699999999995</v>
      </c>
      <c r="E586" s="45">
        <f>43.0917 * CHOOSE(CONTROL!$C$15, $E$9, 100%, $G$9) + CHOOSE(CONTROL!$C$38, 0.0342, 0)</f>
        <v>43.125900000000001</v>
      </c>
      <c r="F586" s="44">
        <f>43.0917 * CHOOSE(CONTROL!$C$15, $E$9, 100%, $G$9) + CHOOSE(CONTROL!$C$38, 0.0251, 0)</f>
        <v>43.116800000000005</v>
      </c>
      <c r="G586" s="14">
        <f>40.8657 * CHOOSE(CONTROL!$C$15, $E$9, 100%, $G$9) + CHOOSE(CONTROL!$C$38, 0.0342, 0)</f>
        <v>40.899899999999995</v>
      </c>
      <c r="H586" s="14">
        <f>40.8657 * CHOOSE(CONTROL!$C$15, $E$9, 100%, $G$9) + CHOOSE(CONTROL!$C$38, 0.0342, 0)</f>
        <v>40.899899999999995</v>
      </c>
      <c r="I586" s="14">
        <f>40.8673 * CHOOSE(CONTROL!$C$15, $E$9, 100%, $G$9) + CHOOSE(CONTROL!$C$38, 0.0342, 0)</f>
        <v>40.901499999999999</v>
      </c>
      <c r="J586" s="43">
        <f>332.4411</f>
        <v>332.44110000000001</v>
      </c>
    </row>
    <row r="587" spans="1:10" ht="15.75" x14ac:dyDescent="0.25">
      <c r="A587" s="31">
        <v>58806</v>
      </c>
      <c r="B587" s="14">
        <f>44.1776 * CHOOSE(CONTROL!$C$15, $E$9, 100%, $G$9) + CHOOSE(CONTROL!$C$38, 0.0251, 0)</f>
        <v>44.2027</v>
      </c>
      <c r="C587" s="14">
        <f>41.7969 * CHOOSE(CONTROL!$C$15, $E$9, 100%, $G$9) + CHOOSE(CONTROL!$C$38, 0.0342, 0)</f>
        <v>41.831099999999999</v>
      </c>
      <c r="D587" s="14">
        <f>41.7891 * CHOOSE(CONTROL!$C$15, $E$9, 100%, $G$9) + CHOOSE(CONTROL!$C$38, 0.0342, 0)</f>
        <v>41.823299999999996</v>
      </c>
      <c r="E587" s="45">
        <f>44.0214 * CHOOSE(CONTROL!$C$15, $E$9, 100%, $G$9) + CHOOSE(CONTROL!$C$38, 0.0342, 0)</f>
        <v>44.055599999999998</v>
      </c>
      <c r="F587" s="44">
        <f>44.0214 * CHOOSE(CONTROL!$C$15, $E$9, 100%, $G$9) + CHOOSE(CONTROL!$C$38, 0.0251, 0)</f>
        <v>44.046500000000002</v>
      </c>
      <c r="G587" s="14">
        <f>41.7954 * CHOOSE(CONTROL!$C$15, $E$9, 100%, $G$9) + CHOOSE(CONTROL!$C$38, 0.0342, 0)</f>
        <v>41.829599999999999</v>
      </c>
      <c r="H587" s="14">
        <f>41.7954 * CHOOSE(CONTROL!$C$15, $E$9, 100%, $G$9) + CHOOSE(CONTROL!$C$38, 0.0342, 0)</f>
        <v>41.829599999999999</v>
      </c>
      <c r="I587" s="14">
        <f>41.7969 * CHOOSE(CONTROL!$C$15, $E$9, 100%, $G$9) + CHOOSE(CONTROL!$C$38, 0.0342, 0)</f>
        <v>41.831099999999999</v>
      </c>
      <c r="J587" s="43">
        <f>322.5759</f>
        <v>322.57589999999999</v>
      </c>
    </row>
    <row r="588" spans="1:10" ht="15.75" x14ac:dyDescent="0.25">
      <c r="A588" s="31">
        <v>58837</v>
      </c>
      <c r="B588" s="14">
        <f>45.6289 * CHOOSE(CONTROL!$C$15, $E$9, 100%, $G$9) + CHOOSE(CONTROL!$C$38, 0.0251, 0)</f>
        <v>45.654000000000003</v>
      </c>
      <c r="C588" s="14">
        <f>43.2108 * CHOOSE(CONTROL!$C$15, $E$9, 100%, $G$9) + CHOOSE(CONTROL!$C$38, 0.0342, 0)</f>
        <v>43.244999999999997</v>
      </c>
      <c r="D588" s="14">
        <f>43.203 * CHOOSE(CONTROL!$C$15, $E$9, 100%, $G$9) + CHOOSE(CONTROL!$C$38, 0.0342, 0)</f>
        <v>43.237200000000001</v>
      </c>
      <c r="E588" s="45">
        <f>45.4726 * CHOOSE(CONTROL!$C$15, $E$9, 100%, $G$9) + CHOOSE(CONTROL!$C$38, 0.0342, 0)</f>
        <v>45.506799999999998</v>
      </c>
      <c r="F588" s="44">
        <f>45.4726 * CHOOSE(CONTROL!$C$15, $E$9, 100%, $G$9) + CHOOSE(CONTROL!$C$38, 0.0251, 0)</f>
        <v>45.497700000000002</v>
      </c>
      <c r="G588" s="14">
        <f>43.2093 * CHOOSE(CONTROL!$C$15, $E$9, 100%, $G$9) + CHOOSE(CONTROL!$C$38, 0.0342, 0)</f>
        <v>43.243499999999997</v>
      </c>
      <c r="H588" s="14">
        <f>43.2093 * CHOOSE(CONTROL!$C$15, $E$9, 100%, $G$9) + CHOOSE(CONTROL!$C$38, 0.0342, 0)</f>
        <v>43.243499999999997</v>
      </c>
      <c r="I588" s="14">
        <f>43.2108 * CHOOSE(CONTROL!$C$15, $E$9, 100%, $G$9) + CHOOSE(CONTROL!$C$38, 0.0342, 0)</f>
        <v>43.244999999999997</v>
      </c>
      <c r="J588" s="43">
        <f>322.343</f>
        <v>322.34300000000002</v>
      </c>
    </row>
    <row r="589" spans="1:10" ht="15.75" x14ac:dyDescent="0.25">
      <c r="A589" s="31">
        <v>58865</v>
      </c>
      <c r="B589" s="14">
        <f>45.9732 * CHOOSE(CONTROL!$C$15, $E$9, 100%, $G$9) + CHOOSE(CONTROL!$C$38, 0.0251, 0)</f>
        <v>45.9983</v>
      </c>
      <c r="C589" s="14">
        <f>43.5551 * CHOOSE(CONTROL!$C$15, $E$9, 100%, $G$9) + CHOOSE(CONTROL!$C$38, 0.0342, 0)</f>
        <v>43.589300000000001</v>
      </c>
      <c r="D589" s="14">
        <f>43.5473 * CHOOSE(CONTROL!$C$15, $E$9, 100%, $G$9) + CHOOSE(CONTROL!$C$38, 0.0342, 0)</f>
        <v>43.581499999999998</v>
      </c>
      <c r="E589" s="45">
        <f>45.817 * CHOOSE(CONTROL!$C$15, $E$9, 100%, $G$9) + CHOOSE(CONTROL!$C$38, 0.0342, 0)</f>
        <v>45.851199999999999</v>
      </c>
      <c r="F589" s="44">
        <f>45.817 * CHOOSE(CONTROL!$C$15, $E$9, 100%, $G$9) + CHOOSE(CONTROL!$C$38, 0.0251, 0)</f>
        <v>45.842100000000002</v>
      </c>
      <c r="G589" s="14">
        <f>43.5536 * CHOOSE(CONTROL!$C$15, $E$9, 100%, $G$9) + CHOOSE(CONTROL!$C$38, 0.0342, 0)</f>
        <v>43.587800000000001</v>
      </c>
      <c r="H589" s="14">
        <f>43.5536 * CHOOSE(CONTROL!$C$15, $E$9, 100%, $G$9) + CHOOSE(CONTROL!$C$38, 0.0342, 0)</f>
        <v>43.587800000000001</v>
      </c>
      <c r="I589" s="14">
        <f>43.5551 * CHOOSE(CONTROL!$C$15, $E$9, 100%, $G$9) + CHOOSE(CONTROL!$C$38, 0.0342, 0)</f>
        <v>43.589300000000001</v>
      </c>
      <c r="J589" s="43">
        <f>321.447</f>
        <v>321.447</v>
      </c>
    </row>
    <row r="590" spans="1:10" ht="15.75" x14ac:dyDescent="0.25">
      <c r="A590" s="31">
        <v>58893</v>
      </c>
      <c r="B590" s="14">
        <f>45.1762 * CHOOSE(CONTROL!$C$15, $E$9, 100%, $G$9) + CHOOSE(CONTROL!$C$38, 0.0251, 0)</f>
        <v>45.201300000000003</v>
      </c>
      <c r="C590" s="14">
        <f>42.7581 * CHOOSE(CONTROL!$C$15, $E$9, 100%, $G$9) + CHOOSE(CONTROL!$C$38, 0.0342, 0)</f>
        <v>42.792299999999997</v>
      </c>
      <c r="D590" s="14">
        <f>42.7503 * CHOOSE(CONTROL!$C$15, $E$9, 100%, $G$9) + CHOOSE(CONTROL!$C$38, 0.0342, 0)</f>
        <v>42.784500000000001</v>
      </c>
      <c r="E590" s="45">
        <f>45.0199 * CHOOSE(CONTROL!$C$15, $E$9, 100%, $G$9) + CHOOSE(CONTROL!$C$38, 0.0342, 0)</f>
        <v>45.054099999999998</v>
      </c>
      <c r="F590" s="44">
        <f>45.0199 * CHOOSE(CONTROL!$C$15, $E$9, 100%, $G$9) + CHOOSE(CONTROL!$C$38, 0.0251, 0)</f>
        <v>45.045000000000002</v>
      </c>
      <c r="G590" s="14">
        <f>42.7566 * CHOOSE(CONTROL!$C$15, $E$9, 100%, $G$9) + CHOOSE(CONTROL!$C$38, 0.0342, 0)</f>
        <v>42.790799999999997</v>
      </c>
      <c r="H590" s="14">
        <f>42.7566 * CHOOSE(CONTROL!$C$15, $E$9, 100%, $G$9) + CHOOSE(CONTROL!$C$38, 0.0342, 0)</f>
        <v>42.790799999999997</v>
      </c>
      <c r="I590" s="14">
        <f>42.7581 * CHOOSE(CONTROL!$C$15, $E$9, 100%, $G$9) + CHOOSE(CONTROL!$C$38, 0.0342, 0)</f>
        <v>42.792299999999997</v>
      </c>
      <c r="J590" s="43">
        <f>338.3891</f>
        <v>338.38909999999998</v>
      </c>
    </row>
    <row r="591" spans="1:10" ht="15.75" x14ac:dyDescent="0.25">
      <c r="A591" s="31">
        <v>58926</v>
      </c>
      <c r="B591" s="14">
        <f>44.4039 * CHOOSE(CONTROL!$C$15, $E$9, 100%, $G$9) + CHOOSE(CONTROL!$C$38, 0.0251, 0)</f>
        <v>44.429000000000002</v>
      </c>
      <c r="C591" s="14">
        <f>41.9858 * CHOOSE(CONTROL!$C$15, $E$9, 100%, $G$9) + CHOOSE(CONTROL!$C$38, 0.0342, 0)</f>
        <v>42.019999999999996</v>
      </c>
      <c r="D591" s="14">
        <f>41.978 * CHOOSE(CONTROL!$C$15, $E$9, 100%, $G$9) + CHOOSE(CONTROL!$C$38, 0.0342, 0)</f>
        <v>42.0122</v>
      </c>
      <c r="E591" s="45">
        <f>44.2476 * CHOOSE(CONTROL!$C$15, $E$9, 100%, $G$9) + CHOOSE(CONTROL!$C$38, 0.0342, 0)</f>
        <v>44.281799999999997</v>
      </c>
      <c r="F591" s="44">
        <f>44.2476 * CHOOSE(CONTROL!$C$15, $E$9, 100%, $G$9) + CHOOSE(CONTROL!$C$38, 0.0251, 0)</f>
        <v>44.2727</v>
      </c>
      <c r="G591" s="14">
        <f>41.9842 * CHOOSE(CONTROL!$C$15, $E$9, 100%, $G$9) + CHOOSE(CONTROL!$C$38, 0.0342, 0)</f>
        <v>42.0184</v>
      </c>
      <c r="H591" s="14">
        <f>41.9842 * CHOOSE(CONTROL!$C$15, $E$9, 100%, $G$9) + CHOOSE(CONTROL!$C$38, 0.0342, 0)</f>
        <v>42.0184</v>
      </c>
      <c r="I591" s="14">
        <f>41.9858 * CHOOSE(CONTROL!$C$15, $E$9, 100%, $G$9) + CHOOSE(CONTROL!$C$38, 0.0342, 0)</f>
        <v>42.019999999999996</v>
      </c>
      <c r="J591" s="43">
        <f>360.359</f>
        <v>360.35899999999998</v>
      </c>
    </row>
    <row r="592" spans="1:10" ht="15.75" x14ac:dyDescent="0.25">
      <c r="A592" s="31">
        <v>58957</v>
      </c>
      <c r="B592" s="14">
        <f>43.5989 * CHOOSE(CONTROL!$C$15, $E$9, 100%, $G$9) + CHOOSE(CONTROL!$C$38, 0.0264, 0)</f>
        <v>43.625300000000003</v>
      </c>
      <c r="C592" s="14">
        <f>41.1808 * CHOOSE(CONTROL!$C$15, $E$9, 100%, $G$9) + CHOOSE(CONTROL!$C$38, 0.0354, 0)</f>
        <v>41.216200000000001</v>
      </c>
      <c r="D592" s="14">
        <f>41.173 * CHOOSE(CONTROL!$C$15, $E$9, 100%, $G$9) + CHOOSE(CONTROL!$C$38, 0.0354, 0)</f>
        <v>41.208400000000005</v>
      </c>
      <c r="E592" s="45">
        <f>43.4426 * CHOOSE(CONTROL!$C$15, $E$9, 100%, $G$9) + CHOOSE(CONTROL!$C$38, 0.0354, 0)</f>
        <v>43.478000000000002</v>
      </c>
      <c r="F592" s="44">
        <f>43.4426 * CHOOSE(CONTROL!$C$15, $E$9, 100%, $G$9) + CHOOSE(CONTROL!$C$38, 0.0264, 0)</f>
        <v>43.469000000000001</v>
      </c>
      <c r="G592" s="14">
        <f>41.1793 * CHOOSE(CONTROL!$C$15, $E$9, 100%, $G$9) + CHOOSE(CONTROL!$C$38, 0.0354, 0)</f>
        <v>41.214700000000001</v>
      </c>
      <c r="H592" s="14">
        <f>41.1793 * CHOOSE(CONTROL!$C$15, $E$9, 100%, $G$9) + CHOOSE(CONTROL!$C$38, 0.0354, 0)</f>
        <v>41.214700000000001</v>
      </c>
      <c r="I592" s="14">
        <f>41.1808 * CHOOSE(CONTROL!$C$15, $E$9, 100%, $G$9) + CHOOSE(CONTROL!$C$38, 0.0354, 0)</f>
        <v>41.216200000000001</v>
      </c>
      <c r="J592" s="43">
        <f>372.4519</f>
        <v>372.45190000000002</v>
      </c>
    </row>
    <row r="593" spans="1:10" ht="15.75" x14ac:dyDescent="0.25">
      <c r="A593" s="31">
        <v>58987</v>
      </c>
      <c r="B593" s="14">
        <f>43.0346 * CHOOSE(CONTROL!$C$15, $E$9, 100%, $G$9) + CHOOSE(CONTROL!$C$38, 0.0264, 0)</f>
        <v>43.061</v>
      </c>
      <c r="C593" s="14">
        <f>40.6165 * CHOOSE(CONTROL!$C$15, $E$9, 100%, $G$9) + CHOOSE(CONTROL!$C$38, 0.0354, 0)</f>
        <v>40.651900000000005</v>
      </c>
      <c r="D593" s="14">
        <f>40.6087 * CHOOSE(CONTROL!$C$15, $E$9, 100%, $G$9) + CHOOSE(CONTROL!$C$38, 0.0354, 0)</f>
        <v>40.644100000000002</v>
      </c>
      <c r="E593" s="45">
        <f>42.8783 * CHOOSE(CONTROL!$C$15, $E$9, 100%, $G$9) + CHOOSE(CONTROL!$C$38, 0.0354, 0)</f>
        <v>42.913700000000006</v>
      </c>
      <c r="F593" s="44">
        <f>42.8783 * CHOOSE(CONTROL!$C$15, $E$9, 100%, $G$9) + CHOOSE(CONTROL!$C$38, 0.0264, 0)</f>
        <v>42.904700000000005</v>
      </c>
      <c r="G593" s="14">
        <f>40.6149 * CHOOSE(CONTROL!$C$15, $E$9, 100%, $G$9) + CHOOSE(CONTROL!$C$38, 0.0354, 0)</f>
        <v>40.650300000000001</v>
      </c>
      <c r="H593" s="14">
        <f>40.6149 * CHOOSE(CONTROL!$C$15, $E$9, 100%, $G$9) + CHOOSE(CONTROL!$C$38, 0.0354, 0)</f>
        <v>40.650300000000001</v>
      </c>
      <c r="I593" s="14">
        <f>40.6165 * CHOOSE(CONTROL!$C$15, $E$9, 100%, $G$9) + CHOOSE(CONTROL!$C$38, 0.0354, 0)</f>
        <v>40.651900000000005</v>
      </c>
      <c r="J593" s="43">
        <f>377.8186</f>
        <v>377.8186</v>
      </c>
    </row>
    <row r="594" spans="1:10" ht="15.75" x14ac:dyDescent="0.25">
      <c r="A594" s="31">
        <v>59018</v>
      </c>
      <c r="B594" s="14">
        <f>42.7125 * CHOOSE(CONTROL!$C$15, $E$9, 100%, $G$9) + CHOOSE(CONTROL!$C$38, 0.0264, 0)</f>
        <v>42.738900000000001</v>
      </c>
      <c r="C594" s="14">
        <f>40.2945 * CHOOSE(CONTROL!$C$15, $E$9, 100%, $G$9) + CHOOSE(CONTROL!$C$38, 0.0354, 0)</f>
        <v>40.329900000000002</v>
      </c>
      <c r="D594" s="14">
        <f>40.2866 * CHOOSE(CONTROL!$C$15, $E$9, 100%, $G$9) + CHOOSE(CONTROL!$C$38, 0.0354, 0)</f>
        <v>40.322000000000003</v>
      </c>
      <c r="E594" s="45">
        <f>42.5563 * CHOOSE(CONTROL!$C$15, $E$9, 100%, $G$9) + CHOOSE(CONTROL!$C$38, 0.0354, 0)</f>
        <v>42.591700000000003</v>
      </c>
      <c r="F594" s="44">
        <f>42.5563 * CHOOSE(CONTROL!$C$15, $E$9, 100%, $G$9) + CHOOSE(CONTROL!$C$38, 0.0264, 0)</f>
        <v>42.582700000000003</v>
      </c>
      <c r="G594" s="14">
        <f>40.2929 * CHOOSE(CONTROL!$C$15, $E$9, 100%, $G$9) + CHOOSE(CONTROL!$C$38, 0.0354, 0)</f>
        <v>40.328300000000006</v>
      </c>
      <c r="H594" s="14">
        <f>40.2929 * CHOOSE(CONTROL!$C$15, $E$9, 100%, $G$9) + CHOOSE(CONTROL!$C$38, 0.0354, 0)</f>
        <v>40.328300000000006</v>
      </c>
      <c r="I594" s="14">
        <f>40.2945 * CHOOSE(CONTROL!$C$15, $E$9, 100%, $G$9) + CHOOSE(CONTROL!$C$38, 0.0354, 0)</f>
        <v>40.329900000000002</v>
      </c>
      <c r="J594" s="43">
        <f>376.0516</f>
        <v>376.05160000000001</v>
      </c>
    </row>
    <row r="595" spans="1:10" ht="15.75" x14ac:dyDescent="0.25">
      <c r="A595" s="31">
        <v>59049</v>
      </c>
      <c r="B595" s="14">
        <f>42.8714 * CHOOSE(CONTROL!$C$15, $E$9, 100%, $G$9) + CHOOSE(CONTROL!$C$38, 0.0264, 0)</f>
        <v>42.897800000000004</v>
      </c>
      <c r="C595" s="14">
        <f>40.4534 * CHOOSE(CONTROL!$C$15, $E$9, 100%, $G$9) + CHOOSE(CONTROL!$C$38, 0.0354, 0)</f>
        <v>40.488800000000005</v>
      </c>
      <c r="D595" s="14">
        <f>40.4456 * CHOOSE(CONTROL!$C$15, $E$9, 100%, $G$9) + CHOOSE(CONTROL!$C$38, 0.0354, 0)</f>
        <v>40.481000000000002</v>
      </c>
      <c r="E595" s="45">
        <f>42.7152 * CHOOSE(CONTROL!$C$15, $E$9, 100%, $G$9) + CHOOSE(CONTROL!$C$38, 0.0354, 0)</f>
        <v>42.750600000000006</v>
      </c>
      <c r="F595" s="44">
        <f>42.7152 * CHOOSE(CONTROL!$C$15, $E$9, 100%, $G$9) + CHOOSE(CONTROL!$C$38, 0.0264, 0)</f>
        <v>42.741600000000005</v>
      </c>
      <c r="G595" s="14">
        <f>40.4518 * CHOOSE(CONTROL!$C$15, $E$9, 100%, $G$9) + CHOOSE(CONTROL!$C$38, 0.0354, 0)</f>
        <v>40.487200000000001</v>
      </c>
      <c r="H595" s="14">
        <f>40.4518 * CHOOSE(CONTROL!$C$15, $E$9, 100%, $G$9) + CHOOSE(CONTROL!$C$38, 0.0354, 0)</f>
        <v>40.487200000000001</v>
      </c>
      <c r="I595" s="14">
        <f>40.4534 * CHOOSE(CONTROL!$C$15, $E$9, 100%, $G$9) + CHOOSE(CONTROL!$C$38, 0.0354, 0)</f>
        <v>40.488800000000005</v>
      </c>
      <c r="J595" s="43">
        <f>367.2973</f>
        <v>367.29730000000001</v>
      </c>
    </row>
    <row r="596" spans="1:10" ht="15.75" x14ac:dyDescent="0.25">
      <c r="A596" s="31">
        <v>59079</v>
      </c>
      <c r="B596" s="14">
        <f>43.3032 * CHOOSE(CONTROL!$C$15, $E$9, 100%, $G$9) + CHOOSE(CONTROL!$C$38, 0.0264, 0)</f>
        <v>43.329599999999999</v>
      </c>
      <c r="C596" s="14">
        <f>40.8851 * CHOOSE(CONTROL!$C$15, $E$9, 100%, $G$9) + CHOOSE(CONTROL!$C$38, 0.0354, 0)</f>
        <v>40.920500000000004</v>
      </c>
      <c r="D596" s="14">
        <f>40.8773 * CHOOSE(CONTROL!$C$15, $E$9, 100%, $G$9) + CHOOSE(CONTROL!$C$38, 0.0354, 0)</f>
        <v>40.912700000000001</v>
      </c>
      <c r="E596" s="45">
        <f>43.1469 * CHOOSE(CONTROL!$C$15, $E$9, 100%, $G$9) + CHOOSE(CONTROL!$C$38, 0.0354, 0)</f>
        <v>43.182300000000005</v>
      </c>
      <c r="F596" s="44">
        <f>43.1469 * CHOOSE(CONTROL!$C$15, $E$9, 100%, $G$9) + CHOOSE(CONTROL!$C$38, 0.0264, 0)</f>
        <v>43.173300000000005</v>
      </c>
      <c r="G596" s="14">
        <f>40.8835 * CHOOSE(CONTROL!$C$15, $E$9, 100%, $G$9) + CHOOSE(CONTROL!$C$38, 0.0354, 0)</f>
        <v>40.918900000000001</v>
      </c>
      <c r="H596" s="14">
        <f>40.8835 * CHOOSE(CONTROL!$C$15, $E$9, 100%, $G$9) + CHOOSE(CONTROL!$C$38, 0.0354, 0)</f>
        <v>40.918900000000001</v>
      </c>
      <c r="I596" s="14">
        <f>40.8851 * CHOOSE(CONTROL!$C$15, $E$9, 100%, $G$9) + CHOOSE(CONTROL!$C$38, 0.0354, 0)</f>
        <v>40.920500000000004</v>
      </c>
      <c r="J596" s="43">
        <f>355.089</f>
        <v>355.089</v>
      </c>
    </row>
    <row r="597" spans="1:10" ht="15.75" x14ac:dyDescent="0.25">
      <c r="A597" s="31">
        <v>59110</v>
      </c>
      <c r="B597" s="14">
        <f>43.6647 * CHOOSE(CONTROL!$C$15, $E$9, 100%, $G$9) + CHOOSE(CONTROL!$C$38, 0.0251, 0)</f>
        <v>43.689800000000005</v>
      </c>
      <c r="C597" s="14">
        <f>41.2467 * CHOOSE(CONTROL!$C$15, $E$9, 100%, $G$9) + CHOOSE(CONTROL!$C$38, 0.0342, 0)</f>
        <v>41.280899999999995</v>
      </c>
      <c r="D597" s="14">
        <f>41.2389 * CHOOSE(CONTROL!$C$15, $E$9, 100%, $G$9) + CHOOSE(CONTROL!$C$38, 0.0342, 0)</f>
        <v>41.273099999999999</v>
      </c>
      <c r="E597" s="45">
        <f>43.5085 * CHOOSE(CONTROL!$C$15, $E$9, 100%, $G$9) + CHOOSE(CONTROL!$C$38, 0.0342, 0)</f>
        <v>43.542699999999996</v>
      </c>
      <c r="F597" s="44">
        <f>43.5085 * CHOOSE(CONTROL!$C$15, $E$9, 100%, $G$9) + CHOOSE(CONTROL!$C$38, 0.0251, 0)</f>
        <v>43.5336</v>
      </c>
      <c r="G597" s="14">
        <f>41.2451 * CHOOSE(CONTROL!$C$15, $E$9, 100%, $G$9) + CHOOSE(CONTROL!$C$38, 0.0342, 0)</f>
        <v>41.279299999999999</v>
      </c>
      <c r="H597" s="14">
        <f>41.2451 * CHOOSE(CONTROL!$C$15, $E$9, 100%, $G$9) + CHOOSE(CONTROL!$C$38, 0.0342, 0)</f>
        <v>41.279299999999999</v>
      </c>
      <c r="I597" s="14">
        <f>41.2467 * CHOOSE(CONTROL!$C$15, $E$9, 100%, $G$9) + CHOOSE(CONTROL!$C$38, 0.0342, 0)</f>
        <v>41.280899999999995</v>
      </c>
      <c r="J597" s="43">
        <f>342.8096</f>
        <v>342.80959999999999</v>
      </c>
    </row>
    <row r="598" spans="1:10" ht="15.75" x14ac:dyDescent="0.25">
      <c r="A598" s="31">
        <v>59140</v>
      </c>
      <c r="B598" s="14">
        <f>43.9664 * CHOOSE(CONTROL!$C$15, $E$9, 100%, $G$9) + CHOOSE(CONTROL!$C$38, 0.0251, 0)</f>
        <v>43.991500000000002</v>
      </c>
      <c r="C598" s="14">
        <f>41.5484 * CHOOSE(CONTROL!$C$15, $E$9, 100%, $G$9) + CHOOSE(CONTROL!$C$38, 0.0342, 0)</f>
        <v>41.582599999999999</v>
      </c>
      <c r="D598" s="14">
        <f>41.5406 * CHOOSE(CONTROL!$C$15, $E$9, 100%, $G$9) + CHOOSE(CONTROL!$C$38, 0.0342, 0)</f>
        <v>41.574799999999996</v>
      </c>
      <c r="E598" s="45">
        <f>43.8102 * CHOOSE(CONTROL!$C$15, $E$9, 100%, $G$9) + CHOOSE(CONTROL!$C$38, 0.0342, 0)</f>
        <v>43.8444</v>
      </c>
      <c r="F598" s="44">
        <f>43.8102 * CHOOSE(CONTROL!$C$15, $E$9, 100%, $G$9) + CHOOSE(CONTROL!$C$38, 0.0251, 0)</f>
        <v>43.835300000000004</v>
      </c>
      <c r="G598" s="14">
        <f>41.5468 * CHOOSE(CONTROL!$C$15, $E$9, 100%, $G$9) + CHOOSE(CONTROL!$C$38, 0.0342, 0)</f>
        <v>41.580999999999996</v>
      </c>
      <c r="H598" s="14">
        <f>41.5468 * CHOOSE(CONTROL!$C$15, $E$9, 100%, $G$9) + CHOOSE(CONTROL!$C$38, 0.0342, 0)</f>
        <v>41.580999999999996</v>
      </c>
      <c r="I598" s="14">
        <f>41.5484 * CHOOSE(CONTROL!$C$15, $E$9, 100%, $G$9) + CHOOSE(CONTROL!$C$38, 0.0342, 0)</f>
        <v>41.582599999999999</v>
      </c>
      <c r="J598" s="43">
        <f>340.367</f>
        <v>340.36700000000002</v>
      </c>
    </row>
    <row r="599" spans="1:10" ht="15.75" x14ac:dyDescent="0.25">
      <c r="A599" s="31">
        <v>59171</v>
      </c>
      <c r="B599" s="14">
        <f>44.8961 * CHOOSE(CONTROL!$C$15, $E$9, 100%, $G$9) + CHOOSE(CONTROL!$C$38, 0.0251, 0)</f>
        <v>44.921199999999999</v>
      </c>
      <c r="C599" s="14">
        <f>42.478 * CHOOSE(CONTROL!$C$15, $E$9, 100%, $G$9) + CHOOSE(CONTROL!$C$38, 0.0342, 0)</f>
        <v>42.5122</v>
      </c>
      <c r="D599" s="14">
        <f>42.4702 * CHOOSE(CONTROL!$C$15, $E$9, 100%, $G$9) + CHOOSE(CONTROL!$C$38, 0.0342, 0)</f>
        <v>42.504399999999997</v>
      </c>
      <c r="E599" s="45">
        <f>44.7398 * CHOOSE(CONTROL!$C$15, $E$9, 100%, $G$9) + CHOOSE(CONTROL!$C$38, 0.0342, 0)</f>
        <v>44.774000000000001</v>
      </c>
      <c r="F599" s="44">
        <f>44.7398 * CHOOSE(CONTROL!$C$15, $E$9, 100%, $G$9) + CHOOSE(CONTROL!$C$38, 0.0251, 0)</f>
        <v>44.764900000000004</v>
      </c>
      <c r="G599" s="14">
        <f>42.4765 * CHOOSE(CONTROL!$C$15, $E$9, 100%, $G$9) + CHOOSE(CONTROL!$C$38, 0.0342, 0)</f>
        <v>42.5107</v>
      </c>
      <c r="H599" s="14">
        <f>42.4765 * CHOOSE(CONTROL!$C$15, $E$9, 100%, $G$9) + CHOOSE(CONTROL!$C$38, 0.0342, 0)</f>
        <v>42.5107</v>
      </c>
      <c r="I599" s="14">
        <f>42.478 * CHOOSE(CONTROL!$C$15, $E$9, 100%, $G$9) + CHOOSE(CONTROL!$C$38, 0.0342, 0)</f>
        <v>42.5122</v>
      </c>
      <c r="J599" s="43">
        <f>330.2666</f>
        <v>330.26659999999998</v>
      </c>
    </row>
    <row r="600" spans="1:10" ht="15.75" x14ac:dyDescent="0.25">
      <c r="A600" s="31">
        <v>59202</v>
      </c>
      <c r="B600" s="14">
        <f>41.2937 * CHOOSE(CONTROL!$C$15, $E$9, 100%, $G$9) + CHOOSE(CONTROL!$C$38, 0.0251, 0)</f>
        <v>41.318800000000003</v>
      </c>
      <c r="C600" s="14">
        <f>39.0217 * CHOOSE(CONTROL!$C$15, $E$9, 100%, $G$9) + CHOOSE(CONTROL!$C$38, 0.0342, 0)</f>
        <v>39.055900000000001</v>
      </c>
      <c r="D600" s="14">
        <f>39.0139 * CHOOSE(CONTROL!$C$15, $E$9, 100%, $G$9) + CHOOSE(CONTROL!$C$38, 0.0342, 0)</f>
        <v>39.048099999999998</v>
      </c>
      <c r="E600" s="45">
        <f>41.1374 * CHOOSE(CONTROL!$C$15, $E$9, 100%, $G$9) + CHOOSE(CONTROL!$C$38, 0.0342, 0)</f>
        <v>41.171599999999998</v>
      </c>
      <c r="F600" s="44">
        <f>41.1374 * CHOOSE(CONTROL!$C$15, $E$9, 100%, $G$9) + CHOOSE(CONTROL!$C$38, 0.0251, 0)</f>
        <v>41.162500000000001</v>
      </c>
      <c r="G600" s="14">
        <f>39.0202 * CHOOSE(CONTROL!$C$15, $E$9, 100%, $G$9) + CHOOSE(CONTROL!$C$38, 0.0342, 0)</f>
        <v>39.054400000000001</v>
      </c>
      <c r="H600" s="14">
        <f>39.0202 * CHOOSE(CONTROL!$C$15, $E$9, 100%, $G$9) + CHOOSE(CONTROL!$C$38, 0.0342, 0)</f>
        <v>39.054400000000001</v>
      </c>
      <c r="I600" s="14">
        <f>39.0217 * CHOOSE(CONTROL!$C$15, $E$9, 100%, $G$9) + CHOOSE(CONTROL!$C$38, 0.0342, 0)</f>
        <v>39.055900000000001</v>
      </c>
      <c r="J600" s="43">
        <f>330.0282</f>
        <v>330.02820000000003</v>
      </c>
    </row>
    <row r="601" spans="1:10" ht="15.75" x14ac:dyDescent="0.25">
      <c r="A601" s="31">
        <v>59230</v>
      </c>
      <c r="B601" s="14">
        <f>41.1806 * CHOOSE(CONTROL!$C$15, $E$9, 100%, $G$9) + CHOOSE(CONTROL!$C$38, 0.0251, 0)</f>
        <v>41.2057</v>
      </c>
      <c r="C601" s="14">
        <f>38.9145 * CHOOSE(CONTROL!$C$15, $E$9, 100%, $G$9) + CHOOSE(CONTROL!$C$38, 0.0342, 0)</f>
        <v>38.948699999999995</v>
      </c>
      <c r="D601" s="14">
        <f>38.9067 * CHOOSE(CONTROL!$C$15, $E$9, 100%, $G$9) + CHOOSE(CONTROL!$C$38, 0.0342, 0)</f>
        <v>38.940899999999999</v>
      </c>
      <c r="E601" s="45">
        <f>41.0244 * CHOOSE(CONTROL!$C$15, $E$9, 100%, $G$9) + CHOOSE(CONTROL!$C$38, 0.0342, 0)</f>
        <v>41.058599999999998</v>
      </c>
      <c r="F601" s="44">
        <f>41.0244 * CHOOSE(CONTROL!$C$15, $E$9, 100%, $G$9) + CHOOSE(CONTROL!$C$38, 0.0251, 0)</f>
        <v>41.049500000000002</v>
      </c>
      <c r="G601" s="14">
        <f>38.913 * CHOOSE(CONTROL!$C$15, $E$9, 100%, $G$9) + CHOOSE(CONTROL!$C$38, 0.0342, 0)</f>
        <v>38.947199999999995</v>
      </c>
      <c r="H601" s="14">
        <f>38.913 * CHOOSE(CONTROL!$C$15, $E$9, 100%, $G$9) + CHOOSE(CONTROL!$C$38, 0.0342, 0)</f>
        <v>38.947199999999995</v>
      </c>
      <c r="I601" s="14">
        <f>38.9145 * CHOOSE(CONTROL!$C$15, $E$9, 100%, $G$9) + CHOOSE(CONTROL!$C$38, 0.0342, 0)</f>
        <v>38.948699999999995</v>
      </c>
      <c r="J601" s="43">
        <f>329.1108</f>
        <v>329.11079999999998</v>
      </c>
    </row>
    <row r="602" spans="1:10" ht="15.75" x14ac:dyDescent="0.25">
      <c r="A602" s="31">
        <v>59261</v>
      </c>
      <c r="B602" s="14">
        <f>43.3185 * CHOOSE(CONTROL!$C$15, $E$9, 100%, $G$9) + CHOOSE(CONTROL!$C$38, 0.0251, 0)</f>
        <v>43.343600000000002</v>
      </c>
      <c r="C602" s="14">
        <f>40.9413 * CHOOSE(CONTROL!$C$15, $E$9, 100%, $G$9) + CHOOSE(CONTROL!$C$38, 0.0342, 0)</f>
        <v>40.975499999999997</v>
      </c>
      <c r="D602" s="14">
        <f>40.9335 * CHOOSE(CONTROL!$C$15, $E$9, 100%, $G$9) + CHOOSE(CONTROL!$C$38, 0.0342, 0)</f>
        <v>40.967700000000001</v>
      </c>
      <c r="E602" s="45">
        <f>43.1623 * CHOOSE(CONTROL!$C$15, $E$9, 100%, $G$9) + CHOOSE(CONTROL!$C$38, 0.0342, 0)</f>
        <v>43.1965</v>
      </c>
      <c r="F602" s="44">
        <f>43.1623 * CHOOSE(CONTROL!$C$15, $E$9, 100%, $G$9) + CHOOSE(CONTROL!$C$38, 0.0251, 0)</f>
        <v>43.187400000000004</v>
      </c>
      <c r="G602" s="14">
        <f>40.9397 * CHOOSE(CONTROL!$C$15, $E$9, 100%, $G$9) + CHOOSE(CONTROL!$C$38, 0.0342, 0)</f>
        <v>40.9739</v>
      </c>
      <c r="H602" s="14">
        <f>40.9397 * CHOOSE(CONTROL!$C$15, $E$9, 100%, $G$9) + CHOOSE(CONTROL!$C$38, 0.0342, 0)</f>
        <v>40.9739</v>
      </c>
      <c r="I602" s="14">
        <f>40.9413 * CHOOSE(CONTROL!$C$15, $E$9, 100%, $G$9) + CHOOSE(CONTROL!$C$38, 0.0342, 0)</f>
        <v>40.975499999999997</v>
      </c>
      <c r="J602" s="43">
        <f>346.4568</f>
        <v>346.45679999999999</v>
      </c>
    </row>
    <row r="603" spans="1:10" ht="15.75" x14ac:dyDescent="0.25">
      <c r="A603" s="31">
        <v>59291</v>
      </c>
      <c r="B603" s="14">
        <f>46.0909 * CHOOSE(CONTROL!$C$15, $E$9, 100%, $G$9) + CHOOSE(CONTROL!$C$38, 0.0251, 0)</f>
        <v>46.116</v>
      </c>
      <c r="C603" s="14">
        <f>43.5694 * CHOOSE(CONTROL!$C$15, $E$9, 100%, $G$9) + CHOOSE(CONTROL!$C$38, 0.0342, 0)</f>
        <v>43.6036</v>
      </c>
      <c r="D603" s="14">
        <f>43.5616 * CHOOSE(CONTROL!$C$15, $E$9, 100%, $G$9) + CHOOSE(CONTROL!$C$38, 0.0342, 0)</f>
        <v>43.595799999999997</v>
      </c>
      <c r="E603" s="45">
        <f>45.9347 * CHOOSE(CONTROL!$C$15, $E$9, 100%, $G$9) + CHOOSE(CONTROL!$C$38, 0.0342, 0)</f>
        <v>45.968899999999998</v>
      </c>
      <c r="F603" s="44">
        <f>45.9347 * CHOOSE(CONTROL!$C$15, $E$9, 100%, $G$9) + CHOOSE(CONTROL!$C$38, 0.0251, 0)</f>
        <v>45.959800000000001</v>
      </c>
      <c r="G603" s="14">
        <f>43.5679 * CHOOSE(CONTROL!$C$15, $E$9, 100%, $G$9) + CHOOSE(CONTROL!$C$38, 0.0342, 0)</f>
        <v>43.6021</v>
      </c>
      <c r="H603" s="14">
        <f>43.5679 * CHOOSE(CONTROL!$C$15, $E$9, 100%, $G$9) + CHOOSE(CONTROL!$C$38, 0.0342, 0)</f>
        <v>43.6021</v>
      </c>
      <c r="I603" s="14">
        <f>43.5694 * CHOOSE(CONTROL!$C$15, $E$9, 100%, $G$9) + CHOOSE(CONTROL!$C$38, 0.0342, 0)</f>
        <v>43.6036</v>
      </c>
      <c r="J603" s="43">
        <f>368.9505</f>
        <v>368.95049999999998</v>
      </c>
    </row>
    <row r="604" spans="1:10" ht="15.75" x14ac:dyDescent="0.25">
      <c r="A604" s="31">
        <v>59322</v>
      </c>
      <c r="B604" s="14">
        <f>47.6169 * CHOOSE(CONTROL!$C$15, $E$9, 100%, $G$9) + CHOOSE(CONTROL!$C$38, 0.0264, 0)</f>
        <v>47.643300000000004</v>
      </c>
      <c r="C604" s="14">
        <f>45.0161 * CHOOSE(CONTROL!$C$15, $E$9, 100%, $G$9) + CHOOSE(CONTROL!$C$38, 0.0354, 0)</f>
        <v>45.051500000000004</v>
      </c>
      <c r="D604" s="14">
        <f>45.0083 * CHOOSE(CONTROL!$C$15, $E$9, 100%, $G$9) + CHOOSE(CONTROL!$C$38, 0.0354, 0)</f>
        <v>45.043700000000001</v>
      </c>
      <c r="E604" s="45">
        <f>47.4607 * CHOOSE(CONTROL!$C$15, $E$9, 100%, $G$9) + CHOOSE(CONTROL!$C$38, 0.0354, 0)</f>
        <v>47.496100000000006</v>
      </c>
      <c r="F604" s="44">
        <f>47.4607 * CHOOSE(CONTROL!$C$15, $E$9, 100%, $G$9) + CHOOSE(CONTROL!$C$38, 0.0264, 0)</f>
        <v>47.487100000000005</v>
      </c>
      <c r="G604" s="14">
        <f>45.0145 * CHOOSE(CONTROL!$C$15, $E$9, 100%, $G$9) + CHOOSE(CONTROL!$C$38, 0.0354, 0)</f>
        <v>45.049900000000001</v>
      </c>
      <c r="H604" s="14">
        <f>45.0145 * CHOOSE(CONTROL!$C$15, $E$9, 100%, $G$9) + CHOOSE(CONTROL!$C$38, 0.0354, 0)</f>
        <v>45.049900000000001</v>
      </c>
      <c r="I604" s="14">
        <f>45.0161 * CHOOSE(CONTROL!$C$15, $E$9, 100%, $G$9) + CHOOSE(CONTROL!$C$38, 0.0354, 0)</f>
        <v>45.051500000000004</v>
      </c>
      <c r="J604" s="43">
        <f>381.3318</f>
        <v>381.33179999999999</v>
      </c>
    </row>
    <row r="605" spans="1:10" ht="15.75" x14ac:dyDescent="0.25">
      <c r="A605" s="31">
        <v>59352</v>
      </c>
      <c r="B605" s="14">
        <f>48.2941 * CHOOSE(CONTROL!$C$15, $E$9, 100%, $G$9) + CHOOSE(CONTROL!$C$38, 0.0264, 0)</f>
        <v>48.320500000000003</v>
      </c>
      <c r="C605" s="14">
        <f>45.6581 * CHOOSE(CONTROL!$C$15, $E$9, 100%, $G$9) + CHOOSE(CONTROL!$C$38, 0.0354, 0)</f>
        <v>45.6935</v>
      </c>
      <c r="D605" s="14">
        <f>45.6503 * CHOOSE(CONTROL!$C$15, $E$9, 100%, $G$9) + CHOOSE(CONTROL!$C$38, 0.0354, 0)</f>
        <v>45.685700000000004</v>
      </c>
      <c r="E605" s="45">
        <f>48.1379 * CHOOSE(CONTROL!$C$15, $E$9, 100%, $G$9) + CHOOSE(CONTROL!$C$38, 0.0354, 0)</f>
        <v>48.173300000000005</v>
      </c>
      <c r="F605" s="44">
        <f>48.1379 * CHOOSE(CONTROL!$C$15, $E$9, 100%, $G$9) + CHOOSE(CONTROL!$C$38, 0.0264, 0)</f>
        <v>48.164300000000004</v>
      </c>
      <c r="G605" s="14">
        <f>45.6565 * CHOOSE(CONTROL!$C$15, $E$9, 100%, $G$9) + CHOOSE(CONTROL!$C$38, 0.0354, 0)</f>
        <v>45.691900000000004</v>
      </c>
      <c r="H605" s="14">
        <f>45.6565 * CHOOSE(CONTROL!$C$15, $E$9, 100%, $G$9) + CHOOSE(CONTROL!$C$38, 0.0354, 0)</f>
        <v>45.691900000000004</v>
      </c>
      <c r="I605" s="14">
        <f>45.6581 * CHOOSE(CONTROL!$C$15, $E$9, 100%, $G$9) + CHOOSE(CONTROL!$C$38, 0.0354, 0)</f>
        <v>45.6935</v>
      </c>
      <c r="J605" s="43">
        <f>386.8263</f>
        <v>386.8263</v>
      </c>
    </row>
    <row r="606" spans="1:10" ht="15.75" x14ac:dyDescent="0.25">
      <c r="A606" s="31">
        <v>59383</v>
      </c>
      <c r="B606" s="14">
        <f>48.0712 * CHOOSE(CONTROL!$C$15, $E$9, 100%, $G$9) + CHOOSE(CONTROL!$C$38, 0.0264, 0)</f>
        <v>48.0976</v>
      </c>
      <c r="C606" s="14">
        <f>45.4467 * CHOOSE(CONTROL!$C$15, $E$9, 100%, $G$9) + CHOOSE(CONTROL!$C$38, 0.0354, 0)</f>
        <v>45.482100000000003</v>
      </c>
      <c r="D606" s="14">
        <f>45.4389 * CHOOSE(CONTROL!$C$15, $E$9, 100%, $G$9) + CHOOSE(CONTROL!$C$38, 0.0354, 0)</f>
        <v>45.474299999999999</v>
      </c>
      <c r="E606" s="45">
        <f>47.9149 * CHOOSE(CONTROL!$C$15, $E$9, 100%, $G$9) + CHOOSE(CONTROL!$C$38, 0.0354, 0)</f>
        <v>47.950300000000006</v>
      </c>
      <c r="F606" s="44">
        <f>47.9149 * CHOOSE(CONTROL!$C$15, $E$9, 100%, $G$9) + CHOOSE(CONTROL!$C$38, 0.0264, 0)</f>
        <v>47.941300000000005</v>
      </c>
      <c r="G606" s="14">
        <f>45.4451 * CHOOSE(CONTROL!$C$15, $E$9, 100%, $G$9) + CHOOSE(CONTROL!$C$38, 0.0354, 0)</f>
        <v>45.480499999999999</v>
      </c>
      <c r="H606" s="14">
        <f>45.4451 * CHOOSE(CONTROL!$C$15, $E$9, 100%, $G$9) + CHOOSE(CONTROL!$C$38, 0.0354, 0)</f>
        <v>45.480499999999999</v>
      </c>
      <c r="I606" s="14">
        <f>45.4467 * CHOOSE(CONTROL!$C$15, $E$9, 100%, $G$9) + CHOOSE(CONTROL!$C$38, 0.0354, 0)</f>
        <v>45.482100000000003</v>
      </c>
      <c r="J606" s="43">
        <f>385.0173</f>
        <v>385.01729999999998</v>
      </c>
    </row>
    <row r="607" spans="1:10" ht="15.75" x14ac:dyDescent="0.25">
      <c r="A607" s="31">
        <v>59414</v>
      </c>
      <c r="B607" s="14">
        <f>46.9665 * CHOOSE(CONTROL!$C$15, $E$9, 100%, $G$9) + CHOOSE(CONTROL!$C$38, 0.0264, 0)</f>
        <v>46.992900000000006</v>
      </c>
      <c r="C607" s="14">
        <f>44.3994 * CHOOSE(CONTROL!$C$15, $E$9, 100%, $G$9) + CHOOSE(CONTROL!$C$38, 0.0354, 0)</f>
        <v>44.434800000000003</v>
      </c>
      <c r="D607" s="14">
        <f>44.3916 * CHOOSE(CONTROL!$C$15, $E$9, 100%, $G$9) + CHOOSE(CONTROL!$C$38, 0.0354, 0)</f>
        <v>44.427</v>
      </c>
      <c r="E607" s="45">
        <f>46.8102 * CHOOSE(CONTROL!$C$15, $E$9, 100%, $G$9) + CHOOSE(CONTROL!$C$38, 0.0354, 0)</f>
        <v>46.845600000000005</v>
      </c>
      <c r="F607" s="44">
        <f>46.8102 * CHOOSE(CONTROL!$C$15, $E$9, 100%, $G$9) + CHOOSE(CONTROL!$C$38, 0.0264, 0)</f>
        <v>46.836600000000004</v>
      </c>
      <c r="G607" s="14">
        <f>44.3979 * CHOOSE(CONTROL!$C$15, $E$9, 100%, $G$9) + CHOOSE(CONTROL!$C$38, 0.0354, 0)</f>
        <v>44.433300000000003</v>
      </c>
      <c r="H607" s="14">
        <f>44.3979 * CHOOSE(CONTROL!$C$15, $E$9, 100%, $G$9) + CHOOSE(CONTROL!$C$38, 0.0354, 0)</f>
        <v>44.433300000000003</v>
      </c>
      <c r="I607" s="14">
        <f>44.3994 * CHOOSE(CONTROL!$C$15, $E$9, 100%, $G$9) + CHOOSE(CONTROL!$C$38, 0.0354, 0)</f>
        <v>44.434800000000003</v>
      </c>
      <c r="J607" s="43">
        <f>376.0542</f>
        <v>376.05419999999998</v>
      </c>
    </row>
    <row r="608" spans="1:10" ht="15.75" x14ac:dyDescent="0.25">
      <c r="A608" s="31">
        <v>59444</v>
      </c>
      <c r="B608" s="14">
        <f>45.4259 * CHOOSE(CONTROL!$C$15, $E$9, 100%, $G$9) + CHOOSE(CONTROL!$C$38, 0.0264, 0)</f>
        <v>45.452300000000001</v>
      </c>
      <c r="C608" s="14">
        <f>42.939 * CHOOSE(CONTROL!$C$15, $E$9, 100%, $G$9) + CHOOSE(CONTROL!$C$38, 0.0354, 0)</f>
        <v>42.974400000000003</v>
      </c>
      <c r="D608" s="14">
        <f>42.9312 * CHOOSE(CONTROL!$C$15, $E$9, 100%, $G$9) + CHOOSE(CONTROL!$C$38, 0.0354, 0)</f>
        <v>42.9666</v>
      </c>
      <c r="E608" s="45">
        <f>45.2696 * CHOOSE(CONTROL!$C$15, $E$9, 100%, $G$9) + CHOOSE(CONTROL!$C$38, 0.0354, 0)</f>
        <v>45.305</v>
      </c>
      <c r="F608" s="44">
        <f>45.2696 * CHOOSE(CONTROL!$C$15, $E$9, 100%, $G$9) + CHOOSE(CONTROL!$C$38, 0.0264, 0)</f>
        <v>45.295999999999999</v>
      </c>
      <c r="G608" s="14">
        <f>42.9374 * CHOOSE(CONTROL!$C$15, $E$9, 100%, $G$9) + CHOOSE(CONTROL!$C$38, 0.0354, 0)</f>
        <v>42.972799999999999</v>
      </c>
      <c r="H608" s="14">
        <f>42.9374 * CHOOSE(CONTROL!$C$15, $E$9, 100%, $G$9) + CHOOSE(CONTROL!$C$38, 0.0354, 0)</f>
        <v>42.972799999999999</v>
      </c>
      <c r="I608" s="14">
        <f>42.939 * CHOOSE(CONTROL!$C$15, $E$9, 100%, $G$9) + CHOOSE(CONTROL!$C$38, 0.0354, 0)</f>
        <v>42.974400000000003</v>
      </c>
      <c r="J608" s="43">
        <f>363.5548</f>
        <v>363.5548</v>
      </c>
    </row>
    <row r="609" spans="1:10" ht="15.75" x14ac:dyDescent="0.25">
      <c r="A609" s="31">
        <v>59475</v>
      </c>
      <c r="B609" s="14">
        <f>43.8764 * CHOOSE(CONTROL!$C$15, $E$9, 100%, $G$9) + CHOOSE(CONTROL!$C$38, 0.0251, 0)</f>
        <v>43.901499999999999</v>
      </c>
      <c r="C609" s="14">
        <f>41.4701 * CHOOSE(CONTROL!$C$15, $E$9, 100%, $G$9) + CHOOSE(CONTROL!$C$38, 0.0342, 0)</f>
        <v>41.504300000000001</v>
      </c>
      <c r="D609" s="14">
        <f>41.4623 * CHOOSE(CONTROL!$C$15, $E$9, 100%, $G$9) + CHOOSE(CONTROL!$C$38, 0.0342, 0)</f>
        <v>41.496499999999997</v>
      </c>
      <c r="E609" s="45">
        <f>43.7201 * CHOOSE(CONTROL!$C$15, $E$9, 100%, $G$9) + CHOOSE(CONTROL!$C$38, 0.0342, 0)</f>
        <v>43.754300000000001</v>
      </c>
      <c r="F609" s="44">
        <f>43.7201 * CHOOSE(CONTROL!$C$15, $E$9, 100%, $G$9) + CHOOSE(CONTROL!$C$38, 0.0251, 0)</f>
        <v>43.745200000000004</v>
      </c>
      <c r="G609" s="14">
        <f>41.4685 * CHOOSE(CONTROL!$C$15, $E$9, 100%, $G$9) + CHOOSE(CONTROL!$C$38, 0.0342, 0)</f>
        <v>41.502699999999997</v>
      </c>
      <c r="H609" s="14">
        <f>41.4685 * CHOOSE(CONTROL!$C$15, $E$9, 100%, $G$9) + CHOOSE(CONTROL!$C$38, 0.0342, 0)</f>
        <v>41.502699999999997</v>
      </c>
      <c r="I609" s="14">
        <f>41.4701 * CHOOSE(CONTROL!$C$15, $E$9, 100%, $G$9) + CHOOSE(CONTROL!$C$38, 0.0342, 0)</f>
        <v>41.504300000000001</v>
      </c>
      <c r="J609" s="43">
        <f>350.9827</f>
        <v>350.98270000000002</v>
      </c>
    </row>
    <row r="610" spans="1:10" ht="15.75" x14ac:dyDescent="0.25">
      <c r="A610" s="31">
        <v>59505</v>
      </c>
      <c r="B610" s="14">
        <f>43.5681 * CHOOSE(CONTROL!$C$15, $E$9, 100%, $G$9) + CHOOSE(CONTROL!$C$38, 0.0251, 0)</f>
        <v>43.593200000000003</v>
      </c>
      <c r="C610" s="14">
        <f>41.1779 * CHOOSE(CONTROL!$C$15, $E$9, 100%, $G$9) + CHOOSE(CONTROL!$C$38, 0.0342, 0)</f>
        <v>41.2121</v>
      </c>
      <c r="D610" s="14">
        <f>41.1701 * CHOOSE(CONTROL!$C$15, $E$9, 100%, $G$9) + CHOOSE(CONTROL!$C$38, 0.0342, 0)</f>
        <v>41.204299999999996</v>
      </c>
      <c r="E610" s="45">
        <f>43.4119 * CHOOSE(CONTROL!$C$15, $E$9, 100%, $G$9) + CHOOSE(CONTROL!$C$38, 0.0342, 0)</f>
        <v>43.446100000000001</v>
      </c>
      <c r="F610" s="44">
        <f>43.4119 * CHOOSE(CONTROL!$C$15, $E$9, 100%, $G$9) + CHOOSE(CONTROL!$C$38, 0.0251, 0)</f>
        <v>43.437000000000005</v>
      </c>
      <c r="G610" s="14">
        <f>41.1763 * CHOOSE(CONTROL!$C$15, $E$9, 100%, $G$9) + CHOOSE(CONTROL!$C$38, 0.0342, 0)</f>
        <v>41.210499999999996</v>
      </c>
      <c r="H610" s="14">
        <f>41.1763 * CHOOSE(CONTROL!$C$15, $E$9, 100%, $G$9) + CHOOSE(CONTROL!$C$38, 0.0342, 0)</f>
        <v>41.210499999999996</v>
      </c>
      <c r="I610" s="14">
        <f>41.1779 * CHOOSE(CONTROL!$C$15, $E$9, 100%, $G$9) + CHOOSE(CONTROL!$C$38, 0.0342, 0)</f>
        <v>41.2121</v>
      </c>
      <c r="J610" s="43">
        <f>348.4819</f>
        <v>348.4819</v>
      </c>
    </row>
    <row r="611" spans="1:10" ht="15.75" x14ac:dyDescent="0.25">
      <c r="A611" s="31">
        <v>59536</v>
      </c>
      <c r="B611" s="14">
        <f>42.2936 * CHOOSE(CONTROL!$C$15, $E$9, 100%, $G$9) + CHOOSE(CONTROL!$C$38, 0.0251, 0)</f>
        <v>42.3187</v>
      </c>
      <c r="C611" s="14">
        <f>39.9696 * CHOOSE(CONTROL!$C$15, $E$9, 100%, $G$9) + CHOOSE(CONTROL!$C$38, 0.0342, 0)</f>
        <v>40.003799999999998</v>
      </c>
      <c r="D611" s="14">
        <f>39.9618 * CHOOSE(CONTROL!$C$15, $E$9, 100%, $G$9) + CHOOSE(CONTROL!$C$38, 0.0342, 0)</f>
        <v>39.995999999999995</v>
      </c>
      <c r="E611" s="45">
        <f>42.1373 * CHOOSE(CONTROL!$C$15, $E$9, 100%, $G$9) + CHOOSE(CONTROL!$C$38, 0.0342, 0)</f>
        <v>42.171500000000002</v>
      </c>
      <c r="F611" s="44">
        <f>42.1373 * CHOOSE(CONTROL!$C$15, $E$9, 100%, $G$9) + CHOOSE(CONTROL!$C$38, 0.0251, 0)</f>
        <v>42.162400000000005</v>
      </c>
      <c r="G611" s="14">
        <f>39.968 * CHOOSE(CONTROL!$C$15, $E$9, 100%, $G$9) + CHOOSE(CONTROL!$C$38, 0.0342, 0)</f>
        <v>40.002200000000002</v>
      </c>
      <c r="H611" s="14">
        <f>39.968 * CHOOSE(CONTROL!$C$15, $E$9, 100%, $G$9) + CHOOSE(CONTROL!$C$38, 0.0342, 0)</f>
        <v>40.002200000000002</v>
      </c>
      <c r="I611" s="14">
        <f>39.9696 * CHOOSE(CONTROL!$C$15, $E$9, 100%, $G$9) + CHOOSE(CONTROL!$C$38, 0.0342, 0)</f>
        <v>40.003799999999998</v>
      </c>
      <c r="J611" s="43">
        <f>338.1407</f>
        <v>338.14069999999998</v>
      </c>
    </row>
    <row r="612" spans="1:10" ht="15.75" x14ac:dyDescent="0.25">
      <c r="A612" s="31">
        <v>59567</v>
      </c>
      <c r="B612" s="14">
        <f>41.977 * CHOOSE(CONTROL!$C$15, $E$9, 100%, $G$9) + CHOOSE(CONTROL!$C$38, 0.0251, 0)</f>
        <v>42.002099999999999</v>
      </c>
      <c r="C612" s="14">
        <f>39.6695 * CHOOSE(CONTROL!$C$15, $E$9, 100%, $G$9) + CHOOSE(CONTROL!$C$38, 0.0342, 0)</f>
        <v>39.703699999999998</v>
      </c>
      <c r="D612" s="14">
        <f>39.6617 * CHOOSE(CONTROL!$C$15, $E$9, 100%, $G$9) + CHOOSE(CONTROL!$C$38, 0.0342, 0)</f>
        <v>39.695900000000002</v>
      </c>
      <c r="E612" s="45">
        <f>41.8208 * CHOOSE(CONTROL!$C$15, $E$9, 100%, $G$9) + CHOOSE(CONTROL!$C$38, 0.0342, 0)</f>
        <v>41.854999999999997</v>
      </c>
      <c r="F612" s="44">
        <f>41.8208 * CHOOSE(CONTROL!$C$15, $E$9, 100%, $G$9) + CHOOSE(CONTROL!$C$38, 0.0251, 0)</f>
        <v>41.8459</v>
      </c>
      <c r="G612" s="14">
        <f>39.668 * CHOOSE(CONTROL!$C$15, $E$9, 100%, $G$9) + CHOOSE(CONTROL!$C$38, 0.0342, 0)</f>
        <v>39.702199999999998</v>
      </c>
      <c r="H612" s="14">
        <f>39.668 * CHOOSE(CONTROL!$C$15, $E$9, 100%, $G$9) + CHOOSE(CONTROL!$C$38, 0.0342, 0)</f>
        <v>39.702199999999998</v>
      </c>
      <c r="I612" s="14">
        <f>39.6695 * CHOOSE(CONTROL!$C$15, $E$9, 100%, $G$9) + CHOOSE(CONTROL!$C$38, 0.0342, 0)</f>
        <v>39.703699999999998</v>
      </c>
      <c r="J612" s="43">
        <f>337.8965</f>
        <v>337.8965</v>
      </c>
    </row>
    <row r="613" spans="1:10" ht="15.75" x14ac:dyDescent="0.25">
      <c r="A613" s="31">
        <v>59595</v>
      </c>
      <c r="B613" s="14">
        <f>41.8621 * CHOOSE(CONTROL!$C$15, $E$9, 100%, $G$9) + CHOOSE(CONTROL!$C$38, 0.0251, 0)</f>
        <v>41.8872</v>
      </c>
      <c r="C613" s="14">
        <f>39.5605 * CHOOSE(CONTROL!$C$15, $E$9, 100%, $G$9) + CHOOSE(CONTROL!$C$38, 0.0342, 0)</f>
        <v>39.594699999999996</v>
      </c>
      <c r="D613" s="14">
        <f>39.5527 * CHOOSE(CONTROL!$C$15, $E$9, 100%, $G$9) + CHOOSE(CONTROL!$C$38, 0.0342, 0)</f>
        <v>39.5869</v>
      </c>
      <c r="E613" s="45">
        <f>41.7058 * CHOOSE(CONTROL!$C$15, $E$9, 100%, $G$9) + CHOOSE(CONTROL!$C$38, 0.0342, 0)</f>
        <v>41.74</v>
      </c>
      <c r="F613" s="44">
        <f>41.7058 * CHOOSE(CONTROL!$C$15, $E$9, 100%, $G$9) + CHOOSE(CONTROL!$C$38, 0.0251, 0)</f>
        <v>41.730900000000005</v>
      </c>
      <c r="G613" s="14">
        <f>39.559 * CHOOSE(CONTROL!$C$15, $E$9, 100%, $G$9) + CHOOSE(CONTROL!$C$38, 0.0342, 0)</f>
        <v>39.593199999999996</v>
      </c>
      <c r="H613" s="14">
        <f>39.559 * CHOOSE(CONTROL!$C$15, $E$9, 100%, $G$9) + CHOOSE(CONTROL!$C$38, 0.0342, 0)</f>
        <v>39.593199999999996</v>
      </c>
      <c r="I613" s="14">
        <f>39.5605 * CHOOSE(CONTROL!$C$15, $E$9, 100%, $G$9) + CHOOSE(CONTROL!$C$38, 0.0342, 0)</f>
        <v>39.594699999999996</v>
      </c>
      <c r="J613" s="43">
        <f>336.9573</f>
        <v>336.95729999999998</v>
      </c>
    </row>
    <row r="614" spans="1:10" ht="15.75" x14ac:dyDescent="0.25">
      <c r="A614" s="31">
        <v>59626</v>
      </c>
      <c r="B614" s="14">
        <f>44.0359 * CHOOSE(CONTROL!$C$15, $E$9, 100%, $G$9) + CHOOSE(CONTROL!$C$38, 0.0251, 0)</f>
        <v>44.061</v>
      </c>
      <c r="C614" s="14">
        <f>41.6213 * CHOOSE(CONTROL!$C$15, $E$9, 100%, $G$9) + CHOOSE(CONTROL!$C$38, 0.0342, 0)</f>
        <v>41.655499999999996</v>
      </c>
      <c r="D614" s="14">
        <f>41.6135 * CHOOSE(CONTROL!$C$15, $E$9, 100%, $G$9) + CHOOSE(CONTROL!$C$38, 0.0342, 0)</f>
        <v>41.6477</v>
      </c>
      <c r="E614" s="45">
        <f>43.8797 * CHOOSE(CONTROL!$C$15, $E$9, 100%, $G$9) + CHOOSE(CONTROL!$C$38, 0.0342, 0)</f>
        <v>43.913899999999998</v>
      </c>
      <c r="F614" s="44">
        <f>43.8797 * CHOOSE(CONTROL!$C$15, $E$9, 100%, $G$9) + CHOOSE(CONTROL!$C$38, 0.0251, 0)</f>
        <v>43.904800000000002</v>
      </c>
      <c r="G614" s="14">
        <f>41.6198 * CHOOSE(CONTROL!$C$15, $E$9, 100%, $G$9) + CHOOSE(CONTROL!$C$38, 0.0342, 0)</f>
        <v>41.653999999999996</v>
      </c>
      <c r="H614" s="14">
        <f>41.6198 * CHOOSE(CONTROL!$C$15, $E$9, 100%, $G$9) + CHOOSE(CONTROL!$C$38, 0.0342, 0)</f>
        <v>41.653999999999996</v>
      </c>
      <c r="I614" s="14">
        <f>41.6213 * CHOOSE(CONTROL!$C$15, $E$9, 100%, $G$9) + CHOOSE(CONTROL!$C$38, 0.0342, 0)</f>
        <v>41.655499999999996</v>
      </c>
      <c r="J614" s="43">
        <f>354.7169</f>
        <v>354.71690000000001</v>
      </c>
    </row>
    <row r="615" spans="1:10" ht="15.75" x14ac:dyDescent="0.25">
      <c r="A615" s="31">
        <v>59656</v>
      </c>
      <c r="B615" s="14">
        <f>46.8549 * CHOOSE(CONTROL!$C$15, $E$9, 100%, $G$9) + CHOOSE(CONTROL!$C$38, 0.0251, 0)</f>
        <v>46.88</v>
      </c>
      <c r="C615" s="14">
        <f>44.2937 * CHOOSE(CONTROL!$C$15, $E$9, 100%, $G$9) + CHOOSE(CONTROL!$C$38, 0.0342, 0)</f>
        <v>44.3279</v>
      </c>
      <c r="D615" s="14">
        <f>44.2858 * CHOOSE(CONTROL!$C$15, $E$9, 100%, $G$9) + CHOOSE(CONTROL!$C$38, 0.0342, 0)</f>
        <v>44.32</v>
      </c>
      <c r="E615" s="45">
        <f>46.6986 * CHOOSE(CONTROL!$C$15, $E$9, 100%, $G$9) + CHOOSE(CONTROL!$C$38, 0.0342, 0)</f>
        <v>46.732799999999997</v>
      </c>
      <c r="F615" s="44">
        <f>46.6986 * CHOOSE(CONTROL!$C$15, $E$9, 100%, $G$9) + CHOOSE(CONTROL!$C$38, 0.0251, 0)</f>
        <v>46.723700000000001</v>
      </c>
      <c r="G615" s="14">
        <f>44.2921 * CHOOSE(CONTROL!$C$15, $E$9, 100%, $G$9) + CHOOSE(CONTROL!$C$38, 0.0342, 0)</f>
        <v>44.326299999999996</v>
      </c>
      <c r="H615" s="14">
        <f>44.2921 * CHOOSE(CONTROL!$C$15, $E$9, 100%, $G$9) + CHOOSE(CONTROL!$C$38, 0.0342, 0)</f>
        <v>44.326299999999996</v>
      </c>
      <c r="I615" s="14">
        <f>44.2937 * CHOOSE(CONTROL!$C$15, $E$9, 100%, $G$9) + CHOOSE(CONTROL!$C$38, 0.0342, 0)</f>
        <v>44.3279</v>
      </c>
      <c r="J615" s="43">
        <f>377.7468</f>
        <v>377.74680000000001</v>
      </c>
    </row>
    <row r="616" spans="1:10" ht="15.75" x14ac:dyDescent="0.25">
      <c r="A616" s="31">
        <v>59687</v>
      </c>
      <c r="B616" s="14">
        <f>48.4065 * CHOOSE(CONTROL!$C$15, $E$9, 100%, $G$9) + CHOOSE(CONTROL!$C$38, 0.0264, 0)</f>
        <v>48.432900000000004</v>
      </c>
      <c r="C616" s="14">
        <f>45.7646 * CHOOSE(CONTROL!$C$15, $E$9, 100%, $G$9) + CHOOSE(CONTROL!$C$38, 0.0354, 0)</f>
        <v>45.800000000000004</v>
      </c>
      <c r="D616" s="14">
        <f>45.7568 * CHOOSE(CONTROL!$C$15, $E$9, 100%, $G$9) + CHOOSE(CONTROL!$C$38, 0.0354, 0)</f>
        <v>45.792200000000001</v>
      </c>
      <c r="E616" s="45">
        <f>48.2503 * CHOOSE(CONTROL!$C$15, $E$9, 100%, $G$9) + CHOOSE(CONTROL!$C$38, 0.0354, 0)</f>
        <v>48.285700000000006</v>
      </c>
      <c r="F616" s="44">
        <f>48.2503 * CHOOSE(CONTROL!$C$15, $E$9, 100%, $G$9) + CHOOSE(CONTROL!$C$38, 0.0264, 0)</f>
        <v>48.276700000000005</v>
      </c>
      <c r="G616" s="14">
        <f>45.763 * CHOOSE(CONTROL!$C$15, $E$9, 100%, $G$9) + CHOOSE(CONTROL!$C$38, 0.0354, 0)</f>
        <v>45.798400000000001</v>
      </c>
      <c r="H616" s="14">
        <f>45.763 * CHOOSE(CONTROL!$C$15, $E$9, 100%, $G$9) + CHOOSE(CONTROL!$C$38, 0.0354, 0)</f>
        <v>45.798400000000001</v>
      </c>
      <c r="I616" s="14">
        <f>45.7646 * CHOOSE(CONTROL!$C$15, $E$9, 100%, $G$9) + CHOOSE(CONTROL!$C$38, 0.0354, 0)</f>
        <v>45.800000000000004</v>
      </c>
      <c r="J616" s="43">
        <f>390.4233</f>
        <v>390.42329999999998</v>
      </c>
    </row>
    <row r="617" spans="1:10" ht="15.75" x14ac:dyDescent="0.25">
      <c r="A617" s="31">
        <v>59717</v>
      </c>
      <c r="B617" s="14">
        <f>49.0951 * CHOOSE(CONTROL!$C$15, $E$9, 100%, $G$9) + CHOOSE(CONTROL!$C$38, 0.0264, 0)</f>
        <v>49.121500000000005</v>
      </c>
      <c r="C617" s="14">
        <f>46.4174 * CHOOSE(CONTROL!$C$15, $E$9, 100%, $G$9) + CHOOSE(CONTROL!$C$38, 0.0354, 0)</f>
        <v>46.452800000000003</v>
      </c>
      <c r="D617" s="14">
        <f>46.4096 * CHOOSE(CONTROL!$C$15, $E$9, 100%, $G$9) + CHOOSE(CONTROL!$C$38, 0.0354, 0)</f>
        <v>46.445</v>
      </c>
      <c r="E617" s="45">
        <f>48.9389 * CHOOSE(CONTROL!$C$15, $E$9, 100%, $G$9) + CHOOSE(CONTROL!$C$38, 0.0354, 0)</f>
        <v>48.974299999999999</v>
      </c>
      <c r="F617" s="44">
        <f>48.9389 * CHOOSE(CONTROL!$C$15, $E$9, 100%, $G$9) + CHOOSE(CONTROL!$C$38, 0.0264, 0)</f>
        <v>48.965299999999999</v>
      </c>
      <c r="G617" s="14">
        <f>46.4158 * CHOOSE(CONTROL!$C$15, $E$9, 100%, $G$9) + CHOOSE(CONTROL!$C$38, 0.0354, 0)</f>
        <v>46.4512</v>
      </c>
      <c r="H617" s="14">
        <f>46.4158 * CHOOSE(CONTROL!$C$15, $E$9, 100%, $G$9) + CHOOSE(CONTROL!$C$38, 0.0354, 0)</f>
        <v>46.4512</v>
      </c>
      <c r="I617" s="14">
        <f>46.4174 * CHOOSE(CONTROL!$C$15, $E$9, 100%, $G$9) + CHOOSE(CONTROL!$C$38, 0.0354, 0)</f>
        <v>46.452800000000003</v>
      </c>
      <c r="J617" s="43">
        <f>396.0489</f>
        <v>396.0489</v>
      </c>
    </row>
    <row r="618" spans="1:10" ht="15.75" x14ac:dyDescent="0.25">
      <c r="A618" s="31">
        <v>59748</v>
      </c>
      <c r="B618" s="14">
        <f>48.8684 * CHOOSE(CONTROL!$C$15, $E$9, 100%, $G$9) + CHOOSE(CONTROL!$C$38, 0.0264, 0)</f>
        <v>48.894800000000004</v>
      </c>
      <c r="C618" s="14">
        <f>46.2024 * CHOOSE(CONTROL!$C$15, $E$9, 100%, $G$9) + CHOOSE(CONTROL!$C$38, 0.0354, 0)</f>
        <v>46.2378</v>
      </c>
      <c r="D618" s="14">
        <f>46.1946 * CHOOSE(CONTROL!$C$15, $E$9, 100%, $G$9) + CHOOSE(CONTROL!$C$38, 0.0354, 0)</f>
        <v>46.230000000000004</v>
      </c>
      <c r="E618" s="45">
        <f>48.7121 * CHOOSE(CONTROL!$C$15, $E$9, 100%, $G$9) + CHOOSE(CONTROL!$C$38, 0.0354, 0)</f>
        <v>48.747500000000002</v>
      </c>
      <c r="F618" s="44">
        <f>48.7121 * CHOOSE(CONTROL!$C$15, $E$9, 100%, $G$9) + CHOOSE(CONTROL!$C$38, 0.0264, 0)</f>
        <v>48.738500000000002</v>
      </c>
      <c r="G618" s="14">
        <f>46.2009 * CHOOSE(CONTROL!$C$15, $E$9, 100%, $G$9) + CHOOSE(CONTROL!$C$38, 0.0354, 0)</f>
        <v>46.2363</v>
      </c>
      <c r="H618" s="14">
        <f>46.2009 * CHOOSE(CONTROL!$C$15, $E$9, 100%, $G$9) + CHOOSE(CONTROL!$C$38, 0.0354, 0)</f>
        <v>46.2363</v>
      </c>
      <c r="I618" s="14">
        <f>46.2024 * CHOOSE(CONTROL!$C$15, $E$9, 100%, $G$9) + CHOOSE(CONTROL!$C$38, 0.0354, 0)</f>
        <v>46.2378</v>
      </c>
      <c r="J618" s="43">
        <f>394.1967</f>
        <v>394.19670000000002</v>
      </c>
    </row>
    <row r="619" spans="1:10" ht="15.75" x14ac:dyDescent="0.25">
      <c r="A619" s="31">
        <v>59779</v>
      </c>
      <c r="B619" s="14">
        <f>47.7451 * CHOOSE(CONTROL!$C$15, $E$9, 100%, $G$9) + CHOOSE(CONTROL!$C$38, 0.0264, 0)</f>
        <v>47.771500000000003</v>
      </c>
      <c r="C619" s="14">
        <f>45.1376 * CHOOSE(CONTROL!$C$15, $E$9, 100%, $G$9) + CHOOSE(CONTROL!$C$38, 0.0354, 0)</f>
        <v>45.173000000000002</v>
      </c>
      <c r="D619" s="14">
        <f>45.1298 * CHOOSE(CONTROL!$C$15, $E$9, 100%, $G$9) + CHOOSE(CONTROL!$C$38, 0.0354, 0)</f>
        <v>45.165200000000006</v>
      </c>
      <c r="E619" s="45">
        <f>47.5889 * CHOOSE(CONTROL!$C$15, $E$9, 100%, $G$9) + CHOOSE(CONTROL!$C$38, 0.0354, 0)</f>
        <v>47.624300000000005</v>
      </c>
      <c r="F619" s="44">
        <f>47.5889 * CHOOSE(CONTROL!$C$15, $E$9, 100%, $G$9) + CHOOSE(CONTROL!$C$38, 0.0264, 0)</f>
        <v>47.615300000000005</v>
      </c>
      <c r="G619" s="14">
        <f>45.136 * CHOOSE(CONTROL!$C$15, $E$9, 100%, $G$9) + CHOOSE(CONTROL!$C$38, 0.0354, 0)</f>
        <v>45.171400000000006</v>
      </c>
      <c r="H619" s="14">
        <f>45.136 * CHOOSE(CONTROL!$C$15, $E$9, 100%, $G$9) + CHOOSE(CONTROL!$C$38, 0.0354, 0)</f>
        <v>45.171400000000006</v>
      </c>
      <c r="I619" s="14">
        <f>45.1376 * CHOOSE(CONTROL!$C$15, $E$9, 100%, $G$9) + CHOOSE(CONTROL!$C$38, 0.0354, 0)</f>
        <v>45.173000000000002</v>
      </c>
      <c r="J619" s="43">
        <f>385.0199</f>
        <v>385.01990000000001</v>
      </c>
    </row>
    <row r="620" spans="1:10" ht="15.75" x14ac:dyDescent="0.25">
      <c r="A620" s="31">
        <v>59809</v>
      </c>
      <c r="B620" s="14">
        <f>46.1787 * CHOOSE(CONTROL!$C$15, $E$9, 100%, $G$9) + CHOOSE(CONTROL!$C$38, 0.0264, 0)</f>
        <v>46.205100000000002</v>
      </c>
      <c r="C620" s="14">
        <f>43.6526 * CHOOSE(CONTROL!$C$15, $E$9, 100%, $G$9) + CHOOSE(CONTROL!$C$38, 0.0354, 0)</f>
        <v>43.688000000000002</v>
      </c>
      <c r="D620" s="14">
        <f>43.6448 * CHOOSE(CONTROL!$C$15, $E$9, 100%, $G$9) + CHOOSE(CONTROL!$C$38, 0.0354, 0)</f>
        <v>43.680199999999999</v>
      </c>
      <c r="E620" s="45">
        <f>46.0224 * CHOOSE(CONTROL!$C$15, $E$9, 100%, $G$9) + CHOOSE(CONTROL!$C$38, 0.0354, 0)</f>
        <v>46.0578</v>
      </c>
      <c r="F620" s="44">
        <f>46.0224 * CHOOSE(CONTROL!$C$15, $E$9, 100%, $G$9) + CHOOSE(CONTROL!$C$38, 0.0264, 0)</f>
        <v>46.0488</v>
      </c>
      <c r="G620" s="14">
        <f>43.6511 * CHOOSE(CONTROL!$C$15, $E$9, 100%, $G$9) + CHOOSE(CONTROL!$C$38, 0.0354, 0)</f>
        <v>43.686500000000002</v>
      </c>
      <c r="H620" s="14">
        <f>43.6511 * CHOOSE(CONTROL!$C$15, $E$9, 100%, $G$9) + CHOOSE(CONTROL!$C$38, 0.0354, 0)</f>
        <v>43.686500000000002</v>
      </c>
      <c r="I620" s="14">
        <f>43.6526 * CHOOSE(CONTROL!$C$15, $E$9, 100%, $G$9) + CHOOSE(CONTROL!$C$38, 0.0354, 0)</f>
        <v>43.688000000000002</v>
      </c>
      <c r="J620" s="43">
        <f>372.2225</f>
        <v>372.22250000000003</v>
      </c>
    </row>
    <row r="621" spans="1:10" ht="15.75" x14ac:dyDescent="0.25">
      <c r="A621" s="31">
        <v>59840</v>
      </c>
      <c r="B621" s="14">
        <f>44.6031 * CHOOSE(CONTROL!$C$15, $E$9, 100%, $G$9) + CHOOSE(CONTROL!$C$38, 0.0251, 0)</f>
        <v>44.6282</v>
      </c>
      <c r="C621" s="14">
        <f>42.159 * CHOOSE(CONTROL!$C$15, $E$9, 100%, $G$9) + CHOOSE(CONTROL!$C$38, 0.0342, 0)</f>
        <v>42.193199999999997</v>
      </c>
      <c r="D621" s="14">
        <f>42.1512 * CHOOSE(CONTROL!$C$15, $E$9, 100%, $G$9) + CHOOSE(CONTROL!$C$38, 0.0342, 0)</f>
        <v>42.185400000000001</v>
      </c>
      <c r="E621" s="45">
        <f>44.4469 * CHOOSE(CONTROL!$C$15, $E$9, 100%, $G$9) + CHOOSE(CONTROL!$C$38, 0.0342, 0)</f>
        <v>44.481099999999998</v>
      </c>
      <c r="F621" s="44">
        <f>44.4469 * CHOOSE(CONTROL!$C$15, $E$9, 100%, $G$9) + CHOOSE(CONTROL!$C$38, 0.0251, 0)</f>
        <v>44.472000000000001</v>
      </c>
      <c r="G621" s="14">
        <f>42.1575 * CHOOSE(CONTROL!$C$15, $E$9, 100%, $G$9) + CHOOSE(CONTROL!$C$38, 0.0342, 0)</f>
        <v>42.191699999999997</v>
      </c>
      <c r="H621" s="14">
        <f>42.1575 * CHOOSE(CONTROL!$C$15, $E$9, 100%, $G$9) + CHOOSE(CONTROL!$C$38, 0.0342, 0)</f>
        <v>42.191699999999997</v>
      </c>
      <c r="I621" s="14">
        <f>42.159 * CHOOSE(CONTROL!$C$15, $E$9, 100%, $G$9) + CHOOSE(CONTROL!$C$38, 0.0342, 0)</f>
        <v>42.193199999999997</v>
      </c>
      <c r="J621" s="43">
        <f>359.3507</f>
        <v>359.35070000000002</v>
      </c>
    </row>
    <row r="622" spans="1:10" ht="15.75" x14ac:dyDescent="0.25">
      <c r="A622" s="31">
        <v>59870</v>
      </c>
      <c r="B622" s="14">
        <f>44.2897 * CHOOSE(CONTROL!$C$15, $E$9, 100%, $G$9) + CHOOSE(CONTROL!$C$38, 0.0251, 0)</f>
        <v>44.314800000000005</v>
      </c>
      <c r="C622" s="14">
        <f>41.8619 * CHOOSE(CONTROL!$C$15, $E$9, 100%, $G$9) + CHOOSE(CONTROL!$C$38, 0.0342, 0)</f>
        <v>41.896099999999997</v>
      </c>
      <c r="D622" s="14">
        <f>41.8541 * CHOOSE(CONTROL!$C$15, $E$9, 100%, $G$9) + CHOOSE(CONTROL!$C$38, 0.0342, 0)</f>
        <v>41.888300000000001</v>
      </c>
      <c r="E622" s="45">
        <f>44.1334 * CHOOSE(CONTROL!$C$15, $E$9, 100%, $G$9) + CHOOSE(CONTROL!$C$38, 0.0342, 0)</f>
        <v>44.1676</v>
      </c>
      <c r="F622" s="44">
        <f>44.1334 * CHOOSE(CONTROL!$C$15, $E$9, 100%, $G$9) + CHOOSE(CONTROL!$C$38, 0.0251, 0)</f>
        <v>44.158500000000004</v>
      </c>
      <c r="G622" s="14">
        <f>41.8603 * CHOOSE(CONTROL!$C$15, $E$9, 100%, $G$9) + CHOOSE(CONTROL!$C$38, 0.0342, 0)</f>
        <v>41.894500000000001</v>
      </c>
      <c r="H622" s="14">
        <f>41.8603 * CHOOSE(CONTROL!$C$15, $E$9, 100%, $G$9) + CHOOSE(CONTROL!$C$38, 0.0342, 0)</f>
        <v>41.894500000000001</v>
      </c>
      <c r="I622" s="14">
        <f>41.8619 * CHOOSE(CONTROL!$C$15, $E$9, 100%, $G$9) + CHOOSE(CONTROL!$C$38, 0.0342, 0)</f>
        <v>41.896099999999997</v>
      </c>
      <c r="J622" s="43">
        <f>356.7902</f>
        <v>356.79020000000003</v>
      </c>
    </row>
    <row r="623" spans="1:10" ht="15.75" x14ac:dyDescent="0.25">
      <c r="A623" s="31">
        <v>59901</v>
      </c>
      <c r="B623" s="14">
        <f>42.9937 * CHOOSE(CONTROL!$C$15, $E$9, 100%, $G$9) + CHOOSE(CONTROL!$C$38, 0.0251, 0)</f>
        <v>43.018799999999999</v>
      </c>
      <c r="C623" s="14">
        <f>40.6333 * CHOOSE(CONTROL!$C$15, $E$9, 100%, $G$9) + CHOOSE(CONTROL!$C$38, 0.0342, 0)</f>
        <v>40.667499999999997</v>
      </c>
      <c r="D623" s="14">
        <f>40.6255 * CHOOSE(CONTROL!$C$15, $E$9, 100%, $G$9) + CHOOSE(CONTROL!$C$38, 0.0342, 0)</f>
        <v>40.659700000000001</v>
      </c>
      <c r="E623" s="45">
        <f>42.8375 * CHOOSE(CONTROL!$C$15, $E$9, 100%, $G$9) + CHOOSE(CONTROL!$C$38, 0.0342, 0)</f>
        <v>42.871699999999997</v>
      </c>
      <c r="F623" s="44">
        <f>42.8375 * CHOOSE(CONTROL!$C$15, $E$9, 100%, $G$9) + CHOOSE(CONTROL!$C$38, 0.0251, 0)</f>
        <v>42.8626</v>
      </c>
      <c r="G623" s="14">
        <f>40.6318 * CHOOSE(CONTROL!$C$15, $E$9, 100%, $G$9) + CHOOSE(CONTROL!$C$38, 0.0342, 0)</f>
        <v>40.665999999999997</v>
      </c>
      <c r="H623" s="14">
        <f>40.6318 * CHOOSE(CONTROL!$C$15, $E$9, 100%, $G$9) + CHOOSE(CONTROL!$C$38, 0.0342, 0)</f>
        <v>40.665999999999997</v>
      </c>
      <c r="I623" s="14">
        <f>40.6333 * CHOOSE(CONTROL!$C$15, $E$9, 100%, $G$9) + CHOOSE(CONTROL!$C$38, 0.0342, 0)</f>
        <v>40.667499999999997</v>
      </c>
      <c r="J623" s="43">
        <f>346.2024</f>
        <v>346.20240000000001</v>
      </c>
    </row>
    <row r="624" spans="1:10" ht="15.75" x14ac:dyDescent="0.25">
      <c r="A624" s="31">
        <v>59932</v>
      </c>
      <c r="B624" s="14">
        <f>42.6719 * CHOOSE(CONTROL!$C$15, $E$9, 100%, $G$9) + CHOOSE(CONTROL!$C$38, 0.0251, 0)</f>
        <v>42.697000000000003</v>
      </c>
      <c r="C624" s="14">
        <f>40.3282 * CHOOSE(CONTROL!$C$15, $E$9, 100%, $G$9) + CHOOSE(CONTROL!$C$38, 0.0342, 0)</f>
        <v>40.362400000000001</v>
      </c>
      <c r="D624" s="14">
        <f>40.3204 * CHOOSE(CONTROL!$C$15, $E$9, 100%, $G$9) + CHOOSE(CONTROL!$C$38, 0.0342, 0)</f>
        <v>40.354599999999998</v>
      </c>
      <c r="E624" s="45">
        <f>42.5156 * CHOOSE(CONTROL!$C$15, $E$9, 100%, $G$9) + CHOOSE(CONTROL!$C$38, 0.0342, 0)</f>
        <v>42.549799999999998</v>
      </c>
      <c r="F624" s="44">
        <f>42.5156 * CHOOSE(CONTROL!$C$15, $E$9, 100%, $G$9) + CHOOSE(CONTROL!$C$38, 0.0251, 0)</f>
        <v>42.540700000000001</v>
      </c>
      <c r="G624" s="14">
        <f>40.3267 * CHOOSE(CONTROL!$C$15, $E$9, 100%, $G$9) + CHOOSE(CONTROL!$C$38, 0.0342, 0)</f>
        <v>40.360900000000001</v>
      </c>
      <c r="H624" s="14">
        <f>40.3267 * CHOOSE(CONTROL!$C$15, $E$9, 100%, $G$9) + CHOOSE(CONTROL!$C$38, 0.0342, 0)</f>
        <v>40.360900000000001</v>
      </c>
      <c r="I624" s="14">
        <f>40.3282 * CHOOSE(CONTROL!$C$15, $E$9, 100%, $G$9) + CHOOSE(CONTROL!$C$38, 0.0342, 0)</f>
        <v>40.362400000000001</v>
      </c>
      <c r="J624" s="43">
        <f>345.9525</f>
        <v>345.95249999999999</v>
      </c>
    </row>
    <row r="625" spans="1:10" ht="15.75" x14ac:dyDescent="0.25">
      <c r="A625" s="31">
        <v>59961</v>
      </c>
      <c r="B625" s="14">
        <f>42.555 * CHOOSE(CONTROL!$C$15, $E$9, 100%, $G$9) + CHOOSE(CONTROL!$C$38, 0.0251, 0)</f>
        <v>42.580100000000002</v>
      </c>
      <c r="C625" s="14">
        <f>40.2174 * CHOOSE(CONTROL!$C$15, $E$9, 100%, $G$9) + CHOOSE(CONTROL!$C$38, 0.0342, 0)</f>
        <v>40.251599999999996</v>
      </c>
      <c r="D625" s="14">
        <f>40.2096 * CHOOSE(CONTROL!$C$15, $E$9, 100%, $G$9) + CHOOSE(CONTROL!$C$38, 0.0342, 0)</f>
        <v>40.2438</v>
      </c>
      <c r="E625" s="45">
        <f>42.3987 * CHOOSE(CONTROL!$C$15, $E$9, 100%, $G$9) + CHOOSE(CONTROL!$C$38, 0.0342, 0)</f>
        <v>42.432899999999997</v>
      </c>
      <c r="F625" s="44">
        <f>42.3987 * CHOOSE(CONTROL!$C$15, $E$9, 100%, $G$9) + CHOOSE(CONTROL!$C$38, 0.0251, 0)</f>
        <v>42.4238</v>
      </c>
      <c r="G625" s="14">
        <f>40.2158 * CHOOSE(CONTROL!$C$15, $E$9, 100%, $G$9) + CHOOSE(CONTROL!$C$38, 0.0342, 0)</f>
        <v>40.25</v>
      </c>
      <c r="H625" s="14">
        <f>40.2158 * CHOOSE(CONTROL!$C$15, $E$9, 100%, $G$9) + CHOOSE(CONTROL!$C$38, 0.0342, 0)</f>
        <v>40.25</v>
      </c>
      <c r="I625" s="14">
        <f>40.2174 * CHOOSE(CONTROL!$C$15, $E$9, 100%, $G$9) + CHOOSE(CONTROL!$C$38, 0.0342, 0)</f>
        <v>40.251599999999996</v>
      </c>
      <c r="J625" s="43">
        <f>344.9909</f>
        <v>344.99090000000001</v>
      </c>
    </row>
    <row r="626" spans="1:10" ht="15.75" x14ac:dyDescent="0.25">
      <c r="A626" s="31">
        <v>59992</v>
      </c>
      <c r="B626" s="14">
        <f>44.7653 * CHOOSE(CONTROL!$C$15, $E$9, 100%, $G$9) + CHOOSE(CONTROL!$C$38, 0.0251, 0)</f>
        <v>44.790400000000005</v>
      </c>
      <c r="C626" s="14">
        <f>42.3128 * CHOOSE(CONTROL!$C$15, $E$9, 100%, $G$9) + CHOOSE(CONTROL!$C$38, 0.0342, 0)</f>
        <v>42.347000000000001</v>
      </c>
      <c r="D626" s="14">
        <f>42.305 * CHOOSE(CONTROL!$C$15, $E$9, 100%, $G$9) + CHOOSE(CONTROL!$C$38, 0.0342, 0)</f>
        <v>42.339199999999998</v>
      </c>
      <c r="E626" s="45">
        <f>44.6091 * CHOOSE(CONTROL!$C$15, $E$9, 100%, $G$9) + CHOOSE(CONTROL!$C$38, 0.0342, 0)</f>
        <v>44.643299999999996</v>
      </c>
      <c r="F626" s="44">
        <f>44.6091 * CHOOSE(CONTROL!$C$15, $E$9, 100%, $G$9) + CHOOSE(CONTROL!$C$38, 0.0251, 0)</f>
        <v>44.6342</v>
      </c>
      <c r="G626" s="14">
        <f>42.3112 * CHOOSE(CONTROL!$C$15, $E$9, 100%, $G$9) + CHOOSE(CONTROL!$C$38, 0.0342, 0)</f>
        <v>42.345399999999998</v>
      </c>
      <c r="H626" s="14">
        <f>42.3112 * CHOOSE(CONTROL!$C$15, $E$9, 100%, $G$9) + CHOOSE(CONTROL!$C$38, 0.0342, 0)</f>
        <v>42.345399999999998</v>
      </c>
      <c r="I626" s="14">
        <f>42.3128 * CHOOSE(CONTROL!$C$15, $E$9, 100%, $G$9) + CHOOSE(CONTROL!$C$38, 0.0342, 0)</f>
        <v>42.347000000000001</v>
      </c>
      <c r="J626" s="43">
        <f>363.1739</f>
        <v>363.1739</v>
      </c>
    </row>
    <row r="627" spans="1:10" ht="15.75" x14ac:dyDescent="0.25">
      <c r="A627" s="31">
        <v>60022</v>
      </c>
      <c r="B627" s="14">
        <f>47.6317 * CHOOSE(CONTROL!$C$15, $E$9, 100%, $G$9) + CHOOSE(CONTROL!$C$38, 0.0251, 0)</f>
        <v>47.656800000000004</v>
      </c>
      <c r="C627" s="14">
        <f>45.03 * CHOOSE(CONTROL!$C$15, $E$9, 100%, $G$9) + CHOOSE(CONTROL!$C$38, 0.0342, 0)</f>
        <v>45.0642</v>
      </c>
      <c r="D627" s="14">
        <f>45.0222 * CHOOSE(CONTROL!$C$15, $E$9, 100%, $G$9) + CHOOSE(CONTROL!$C$38, 0.0342, 0)</f>
        <v>45.056399999999996</v>
      </c>
      <c r="E627" s="45">
        <f>47.4754 * CHOOSE(CONTROL!$C$15, $E$9, 100%, $G$9) + CHOOSE(CONTROL!$C$38, 0.0342, 0)</f>
        <v>47.509599999999999</v>
      </c>
      <c r="F627" s="44">
        <f>47.4754 * CHOOSE(CONTROL!$C$15, $E$9, 100%, $G$9) + CHOOSE(CONTROL!$C$38, 0.0251, 0)</f>
        <v>47.500500000000002</v>
      </c>
      <c r="G627" s="14">
        <f>45.0285 * CHOOSE(CONTROL!$C$15, $E$9, 100%, $G$9) + CHOOSE(CONTROL!$C$38, 0.0342, 0)</f>
        <v>45.0627</v>
      </c>
      <c r="H627" s="14">
        <f>45.0285 * CHOOSE(CONTROL!$C$15, $E$9, 100%, $G$9) + CHOOSE(CONTROL!$C$38, 0.0342, 0)</f>
        <v>45.0627</v>
      </c>
      <c r="I627" s="14">
        <f>45.03 * CHOOSE(CONTROL!$C$15, $E$9, 100%, $G$9) + CHOOSE(CONTROL!$C$38, 0.0342, 0)</f>
        <v>45.0642</v>
      </c>
      <c r="J627" s="43">
        <f>386.7529</f>
        <v>386.75290000000001</v>
      </c>
    </row>
    <row r="628" spans="1:10" ht="15.75" x14ac:dyDescent="0.25">
      <c r="A628" s="31">
        <v>60053</v>
      </c>
      <c r="B628" s="14">
        <f>49.2094 * CHOOSE(CONTROL!$C$15, $E$9, 100%, $G$9) + CHOOSE(CONTROL!$C$38, 0.0264, 0)</f>
        <v>49.235800000000005</v>
      </c>
      <c r="C628" s="14">
        <f>46.5257 * CHOOSE(CONTROL!$C$15, $E$9, 100%, $G$9) + CHOOSE(CONTROL!$C$38, 0.0354, 0)</f>
        <v>46.561100000000003</v>
      </c>
      <c r="D628" s="14">
        <f>46.5179 * CHOOSE(CONTROL!$C$15, $E$9, 100%, $G$9) + CHOOSE(CONTROL!$C$38, 0.0354, 0)</f>
        <v>46.5533</v>
      </c>
      <c r="E628" s="45">
        <f>49.0531 * CHOOSE(CONTROL!$C$15, $E$9, 100%, $G$9) + CHOOSE(CONTROL!$C$38, 0.0354, 0)</f>
        <v>49.088500000000003</v>
      </c>
      <c r="F628" s="44">
        <f>49.0531 * CHOOSE(CONTROL!$C$15, $E$9, 100%, $G$9) + CHOOSE(CONTROL!$C$38, 0.0264, 0)</f>
        <v>49.079500000000003</v>
      </c>
      <c r="G628" s="14">
        <f>46.5241 * CHOOSE(CONTROL!$C$15, $E$9, 100%, $G$9) + CHOOSE(CONTROL!$C$38, 0.0354, 0)</f>
        <v>46.5595</v>
      </c>
      <c r="H628" s="14">
        <f>46.5241 * CHOOSE(CONTROL!$C$15, $E$9, 100%, $G$9) + CHOOSE(CONTROL!$C$38, 0.0354, 0)</f>
        <v>46.5595</v>
      </c>
      <c r="I628" s="14">
        <f>46.5257 * CHOOSE(CONTROL!$C$15, $E$9, 100%, $G$9) + CHOOSE(CONTROL!$C$38, 0.0354, 0)</f>
        <v>46.561100000000003</v>
      </c>
      <c r="J628" s="43">
        <f>399.7316</f>
        <v>399.73160000000001</v>
      </c>
    </row>
    <row r="629" spans="1:10" ht="15.75" x14ac:dyDescent="0.25">
      <c r="A629" s="31">
        <v>60083</v>
      </c>
      <c r="B629" s="14">
        <f>49.9095 * CHOOSE(CONTROL!$C$15, $E$9, 100%, $G$9) + CHOOSE(CONTROL!$C$38, 0.0264, 0)</f>
        <v>49.935900000000004</v>
      </c>
      <c r="C629" s="14">
        <f>47.1894 * CHOOSE(CONTROL!$C$15, $E$9, 100%, $G$9) + CHOOSE(CONTROL!$C$38, 0.0354, 0)</f>
        <v>47.224800000000002</v>
      </c>
      <c r="D629" s="14">
        <f>47.1816 * CHOOSE(CONTROL!$C$15, $E$9, 100%, $G$9) + CHOOSE(CONTROL!$C$38, 0.0354, 0)</f>
        <v>47.217000000000006</v>
      </c>
      <c r="E629" s="45">
        <f>49.7533 * CHOOSE(CONTROL!$C$15, $E$9, 100%, $G$9) + CHOOSE(CONTROL!$C$38, 0.0354, 0)</f>
        <v>49.788700000000006</v>
      </c>
      <c r="F629" s="44">
        <f>49.7533 * CHOOSE(CONTROL!$C$15, $E$9, 100%, $G$9) + CHOOSE(CONTROL!$C$38, 0.0264, 0)</f>
        <v>49.779700000000005</v>
      </c>
      <c r="G629" s="14">
        <f>47.1879 * CHOOSE(CONTROL!$C$15, $E$9, 100%, $G$9) + CHOOSE(CONTROL!$C$38, 0.0354, 0)</f>
        <v>47.223300000000002</v>
      </c>
      <c r="H629" s="14">
        <f>47.1879 * CHOOSE(CONTROL!$C$15, $E$9, 100%, $G$9) + CHOOSE(CONTROL!$C$38, 0.0354, 0)</f>
        <v>47.223300000000002</v>
      </c>
      <c r="I629" s="14">
        <f>47.1894 * CHOOSE(CONTROL!$C$15, $E$9, 100%, $G$9) + CHOOSE(CONTROL!$C$38, 0.0354, 0)</f>
        <v>47.224800000000002</v>
      </c>
      <c r="J629" s="43">
        <f>405.4913</f>
        <v>405.49130000000002</v>
      </c>
    </row>
    <row r="630" spans="1:10" ht="15.75" x14ac:dyDescent="0.25">
      <c r="A630" s="31">
        <v>60114</v>
      </c>
      <c r="B630" s="14">
        <f>49.679 * CHOOSE(CONTROL!$C$15, $E$9, 100%, $G$9) + CHOOSE(CONTROL!$C$38, 0.0264, 0)</f>
        <v>49.705400000000004</v>
      </c>
      <c r="C630" s="14">
        <f>46.9709 * CHOOSE(CONTROL!$C$15, $E$9, 100%, $G$9) + CHOOSE(CONTROL!$C$38, 0.0354, 0)</f>
        <v>47.006300000000003</v>
      </c>
      <c r="D630" s="14">
        <f>46.9631 * CHOOSE(CONTROL!$C$15, $E$9, 100%, $G$9) + CHOOSE(CONTROL!$C$38, 0.0354, 0)</f>
        <v>46.9985</v>
      </c>
      <c r="E630" s="45">
        <f>49.5227 * CHOOSE(CONTROL!$C$15, $E$9, 100%, $G$9) + CHOOSE(CONTROL!$C$38, 0.0354, 0)</f>
        <v>49.558100000000003</v>
      </c>
      <c r="F630" s="44">
        <f>49.5227 * CHOOSE(CONTROL!$C$15, $E$9, 100%, $G$9) + CHOOSE(CONTROL!$C$38, 0.0264, 0)</f>
        <v>49.549100000000003</v>
      </c>
      <c r="G630" s="14">
        <f>46.9693 * CHOOSE(CONTROL!$C$15, $E$9, 100%, $G$9) + CHOOSE(CONTROL!$C$38, 0.0354, 0)</f>
        <v>47.0047</v>
      </c>
      <c r="H630" s="14">
        <f>46.9693 * CHOOSE(CONTROL!$C$15, $E$9, 100%, $G$9) + CHOOSE(CONTROL!$C$38, 0.0354, 0)</f>
        <v>47.0047</v>
      </c>
      <c r="I630" s="14">
        <f>46.9709 * CHOOSE(CONTROL!$C$15, $E$9, 100%, $G$9) + CHOOSE(CONTROL!$C$38, 0.0354, 0)</f>
        <v>47.006300000000003</v>
      </c>
      <c r="J630" s="43">
        <f>403.5949</f>
        <v>403.5949</v>
      </c>
    </row>
    <row r="631" spans="1:10" ht="15.75" x14ac:dyDescent="0.25">
      <c r="A631" s="31">
        <v>60145</v>
      </c>
      <c r="B631" s="14">
        <f>48.5369 * CHOOSE(CONTROL!$C$15, $E$9, 100%, $G$9) + CHOOSE(CONTROL!$C$38, 0.0264, 0)</f>
        <v>48.563300000000005</v>
      </c>
      <c r="C631" s="14">
        <f>45.8882 * CHOOSE(CONTROL!$C$15, $E$9, 100%, $G$9) + CHOOSE(CONTROL!$C$38, 0.0354, 0)</f>
        <v>45.9236</v>
      </c>
      <c r="D631" s="14">
        <f>45.8803 * CHOOSE(CONTROL!$C$15, $E$9, 100%, $G$9) + CHOOSE(CONTROL!$C$38, 0.0354, 0)</f>
        <v>45.915700000000001</v>
      </c>
      <c r="E631" s="45">
        <f>48.3806 * CHOOSE(CONTROL!$C$15, $E$9, 100%, $G$9) + CHOOSE(CONTROL!$C$38, 0.0354, 0)</f>
        <v>48.416000000000004</v>
      </c>
      <c r="F631" s="44">
        <f>48.3806 * CHOOSE(CONTROL!$C$15, $E$9, 100%, $G$9) + CHOOSE(CONTROL!$C$38, 0.0264, 0)</f>
        <v>48.407000000000004</v>
      </c>
      <c r="G631" s="14">
        <f>45.8866 * CHOOSE(CONTROL!$C$15, $E$9, 100%, $G$9) + CHOOSE(CONTROL!$C$38, 0.0354, 0)</f>
        <v>45.922000000000004</v>
      </c>
      <c r="H631" s="14">
        <f>45.8866 * CHOOSE(CONTROL!$C$15, $E$9, 100%, $G$9) + CHOOSE(CONTROL!$C$38, 0.0354, 0)</f>
        <v>45.922000000000004</v>
      </c>
      <c r="I631" s="14">
        <f>45.8882 * CHOOSE(CONTROL!$C$15, $E$9, 100%, $G$9) + CHOOSE(CONTROL!$C$38, 0.0354, 0)</f>
        <v>45.9236</v>
      </c>
      <c r="J631" s="43">
        <f>394.1994</f>
        <v>394.19940000000003</v>
      </c>
    </row>
    <row r="632" spans="1:10" ht="15.75" x14ac:dyDescent="0.25">
      <c r="A632" s="31">
        <v>60175</v>
      </c>
      <c r="B632" s="14">
        <f>46.9441 * CHOOSE(CONTROL!$C$15, $E$9, 100%, $G$9) + CHOOSE(CONTROL!$C$38, 0.0264, 0)</f>
        <v>46.970500000000001</v>
      </c>
      <c r="C632" s="14">
        <f>44.3782 * CHOOSE(CONTROL!$C$15, $E$9, 100%, $G$9) + CHOOSE(CONTROL!$C$38, 0.0354, 0)</f>
        <v>44.413600000000002</v>
      </c>
      <c r="D632" s="14">
        <f>44.3704 * CHOOSE(CONTROL!$C$15, $E$9, 100%, $G$9) + CHOOSE(CONTROL!$C$38, 0.0354, 0)</f>
        <v>44.405799999999999</v>
      </c>
      <c r="E632" s="45">
        <f>46.7878 * CHOOSE(CONTROL!$C$15, $E$9, 100%, $G$9) + CHOOSE(CONTROL!$C$38, 0.0354, 0)</f>
        <v>46.8232</v>
      </c>
      <c r="F632" s="44">
        <f>46.7878 * CHOOSE(CONTROL!$C$15, $E$9, 100%, $G$9) + CHOOSE(CONTROL!$C$38, 0.0264, 0)</f>
        <v>46.8142</v>
      </c>
      <c r="G632" s="14">
        <f>44.3767 * CHOOSE(CONTROL!$C$15, $E$9, 100%, $G$9) + CHOOSE(CONTROL!$C$38, 0.0354, 0)</f>
        <v>44.412100000000002</v>
      </c>
      <c r="H632" s="14">
        <f>44.3767 * CHOOSE(CONTROL!$C$15, $E$9, 100%, $G$9) + CHOOSE(CONTROL!$C$38, 0.0354, 0)</f>
        <v>44.412100000000002</v>
      </c>
      <c r="I632" s="14">
        <f>44.3782 * CHOOSE(CONTROL!$C$15, $E$9, 100%, $G$9) + CHOOSE(CONTROL!$C$38, 0.0354, 0)</f>
        <v>44.413600000000002</v>
      </c>
      <c r="J632" s="43">
        <f>381.0969</f>
        <v>381.09690000000001</v>
      </c>
    </row>
    <row r="633" spans="1:10" ht="15.75" x14ac:dyDescent="0.25">
      <c r="A633" s="31">
        <v>60206</v>
      </c>
      <c r="B633" s="14">
        <f>45.3421 * CHOOSE(CONTROL!$C$15, $E$9, 100%, $G$9) + CHOOSE(CONTROL!$C$38, 0.0251, 0)</f>
        <v>45.367200000000004</v>
      </c>
      <c r="C633" s="14">
        <f>42.8595 * CHOOSE(CONTROL!$C$15, $E$9, 100%, $G$9) + CHOOSE(CONTROL!$C$38, 0.0342, 0)</f>
        <v>42.893699999999995</v>
      </c>
      <c r="D633" s="14">
        <f>42.8517 * CHOOSE(CONTROL!$C$15, $E$9, 100%, $G$9) + CHOOSE(CONTROL!$C$38, 0.0342, 0)</f>
        <v>42.885899999999999</v>
      </c>
      <c r="E633" s="45">
        <f>45.1858 * CHOOSE(CONTROL!$C$15, $E$9, 100%, $G$9) + CHOOSE(CONTROL!$C$38, 0.0342, 0)</f>
        <v>45.22</v>
      </c>
      <c r="F633" s="44">
        <f>45.1858 * CHOOSE(CONTROL!$C$15, $E$9, 100%, $G$9) + CHOOSE(CONTROL!$C$38, 0.0251, 0)</f>
        <v>45.210900000000002</v>
      </c>
      <c r="G633" s="14">
        <f>42.858 * CHOOSE(CONTROL!$C$15, $E$9, 100%, $G$9) + CHOOSE(CONTROL!$C$38, 0.0342, 0)</f>
        <v>42.892199999999995</v>
      </c>
      <c r="H633" s="14">
        <f>42.858 * CHOOSE(CONTROL!$C$15, $E$9, 100%, $G$9) + CHOOSE(CONTROL!$C$38, 0.0342, 0)</f>
        <v>42.892199999999995</v>
      </c>
      <c r="I633" s="14">
        <f>42.8595 * CHOOSE(CONTROL!$C$15, $E$9, 100%, $G$9) + CHOOSE(CONTROL!$C$38, 0.0342, 0)</f>
        <v>42.893699999999995</v>
      </c>
      <c r="J633" s="43">
        <f>367.9181</f>
        <v>367.91809999999998</v>
      </c>
    </row>
    <row r="634" spans="1:10" ht="15.75" x14ac:dyDescent="0.25">
      <c r="A634" s="31">
        <v>60236</v>
      </c>
      <c r="B634" s="14">
        <f>45.0234 * CHOOSE(CONTROL!$C$15, $E$9, 100%, $G$9) + CHOOSE(CONTROL!$C$38, 0.0251, 0)</f>
        <v>45.048500000000004</v>
      </c>
      <c r="C634" s="14">
        <f>42.5574 * CHOOSE(CONTROL!$C$15, $E$9, 100%, $G$9) + CHOOSE(CONTROL!$C$38, 0.0342, 0)</f>
        <v>42.5916</v>
      </c>
      <c r="D634" s="14">
        <f>42.5496 * CHOOSE(CONTROL!$C$15, $E$9, 100%, $G$9) + CHOOSE(CONTROL!$C$38, 0.0342, 0)</f>
        <v>42.583799999999997</v>
      </c>
      <c r="E634" s="45">
        <f>44.8671 * CHOOSE(CONTROL!$C$15, $E$9, 100%, $G$9) + CHOOSE(CONTROL!$C$38, 0.0342, 0)</f>
        <v>44.901299999999999</v>
      </c>
      <c r="F634" s="44">
        <f>44.8671 * CHOOSE(CONTROL!$C$15, $E$9, 100%, $G$9) + CHOOSE(CONTROL!$C$38, 0.0251, 0)</f>
        <v>44.892200000000003</v>
      </c>
      <c r="G634" s="14">
        <f>42.5559 * CHOOSE(CONTROL!$C$15, $E$9, 100%, $G$9) + CHOOSE(CONTROL!$C$38, 0.0342, 0)</f>
        <v>42.5901</v>
      </c>
      <c r="H634" s="14">
        <f>42.5559 * CHOOSE(CONTROL!$C$15, $E$9, 100%, $G$9) + CHOOSE(CONTROL!$C$38, 0.0342, 0)</f>
        <v>42.5901</v>
      </c>
      <c r="I634" s="14">
        <f>42.5574 * CHOOSE(CONTROL!$C$15, $E$9, 100%, $G$9) + CHOOSE(CONTROL!$C$38, 0.0342, 0)</f>
        <v>42.5916</v>
      </c>
      <c r="J634" s="43">
        <f>365.2966</f>
        <v>365.29660000000001</v>
      </c>
    </row>
    <row r="635" spans="1:10" ht="15.75" x14ac:dyDescent="0.25">
      <c r="A635" s="31">
        <v>60267</v>
      </c>
      <c r="B635" s="14">
        <f>43.7056 * CHOOSE(CONTROL!$C$15, $E$9, 100%, $G$9) + CHOOSE(CONTROL!$C$38, 0.0251, 0)</f>
        <v>43.730699999999999</v>
      </c>
      <c r="C635" s="14">
        <f>41.3082 * CHOOSE(CONTROL!$C$15, $E$9, 100%, $G$9) + CHOOSE(CONTROL!$C$38, 0.0342, 0)</f>
        <v>41.342399999999998</v>
      </c>
      <c r="D635" s="14">
        <f>41.3004 * CHOOSE(CONTROL!$C$15, $E$9, 100%, $G$9) + CHOOSE(CONTROL!$C$38, 0.0342, 0)</f>
        <v>41.334600000000002</v>
      </c>
      <c r="E635" s="45">
        <f>43.5494 * CHOOSE(CONTROL!$C$15, $E$9, 100%, $G$9) + CHOOSE(CONTROL!$C$38, 0.0342, 0)</f>
        <v>43.583599999999997</v>
      </c>
      <c r="F635" s="44">
        <f>43.5494 * CHOOSE(CONTROL!$C$15, $E$9, 100%, $G$9) + CHOOSE(CONTROL!$C$38, 0.0251, 0)</f>
        <v>43.5745</v>
      </c>
      <c r="G635" s="14">
        <f>41.3067 * CHOOSE(CONTROL!$C$15, $E$9, 100%, $G$9) + CHOOSE(CONTROL!$C$38, 0.0342, 0)</f>
        <v>41.340899999999998</v>
      </c>
      <c r="H635" s="14">
        <f>41.3067 * CHOOSE(CONTROL!$C$15, $E$9, 100%, $G$9) + CHOOSE(CONTROL!$C$38, 0.0342, 0)</f>
        <v>41.340899999999998</v>
      </c>
      <c r="I635" s="14">
        <f>41.3082 * CHOOSE(CONTROL!$C$15, $E$9, 100%, $G$9) + CHOOSE(CONTROL!$C$38, 0.0342, 0)</f>
        <v>41.342399999999998</v>
      </c>
      <c r="J635" s="43">
        <f>354.4564</f>
        <v>354.45639999999997</v>
      </c>
    </row>
    <row r="636" spans="1:10" ht="15.75" x14ac:dyDescent="0.25">
      <c r="A636" s="31">
        <v>60298</v>
      </c>
      <c r="B636" s="14">
        <f>43.3784 * CHOOSE(CONTROL!$C$15, $E$9, 100%, $G$9) + CHOOSE(CONTROL!$C$38, 0.0251, 0)</f>
        <v>43.403500000000001</v>
      </c>
      <c r="C636" s="14">
        <f>40.998 * CHOOSE(CONTROL!$C$15, $E$9, 100%, $G$9) + CHOOSE(CONTROL!$C$38, 0.0342, 0)</f>
        <v>41.032199999999996</v>
      </c>
      <c r="D636" s="14">
        <f>40.9902 * CHOOSE(CONTROL!$C$15, $E$9, 100%, $G$9) + CHOOSE(CONTROL!$C$38, 0.0342, 0)</f>
        <v>41.0244</v>
      </c>
      <c r="E636" s="45">
        <f>43.2221 * CHOOSE(CONTROL!$C$15, $E$9, 100%, $G$9) + CHOOSE(CONTROL!$C$38, 0.0342, 0)</f>
        <v>43.256299999999996</v>
      </c>
      <c r="F636" s="44">
        <f>43.2221 * CHOOSE(CONTROL!$C$15, $E$9, 100%, $G$9) + CHOOSE(CONTROL!$C$38, 0.0251, 0)</f>
        <v>43.247199999999999</v>
      </c>
      <c r="G636" s="14">
        <f>40.9964 * CHOOSE(CONTROL!$C$15, $E$9, 100%, $G$9) + CHOOSE(CONTROL!$C$38, 0.0342, 0)</f>
        <v>41.0306</v>
      </c>
      <c r="H636" s="14">
        <f>40.9964 * CHOOSE(CONTROL!$C$15, $E$9, 100%, $G$9) + CHOOSE(CONTROL!$C$38, 0.0342, 0)</f>
        <v>41.0306</v>
      </c>
      <c r="I636" s="14">
        <f>40.998 * CHOOSE(CONTROL!$C$15, $E$9, 100%, $G$9) + CHOOSE(CONTROL!$C$38, 0.0342, 0)</f>
        <v>41.032199999999996</v>
      </c>
      <c r="J636" s="43">
        <f>354.2005</f>
        <v>354.20049999999998</v>
      </c>
    </row>
    <row r="637" spans="1:10" ht="15.75" x14ac:dyDescent="0.25">
      <c r="A637" s="31">
        <v>60326</v>
      </c>
      <c r="B637" s="14">
        <f>43.2595 * CHOOSE(CONTROL!$C$15, $E$9, 100%, $G$9) + CHOOSE(CONTROL!$C$38, 0.0251, 0)</f>
        <v>43.284600000000005</v>
      </c>
      <c r="C637" s="14">
        <f>40.8853 * CHOOSE(CONTROL!$C$15, $E$9, 100%, $G$9) + CHOOSE(CONTROL!$C$38, 0.0342, 0)</f>
        <v>40.919499999999999</v>
      </c>
      <c r="D637" s="14">
        <f>40.8775 * CHOOSE(CONTROL!$C$15, $E$9, 100%, $G$9) + CHOOSE(CONTROL!$C$38, 0.0342, 0)</f>
        <v>40.911699999999996</v>
      </c>
      <c r="E637" s="45">
        <f>43.1033 * CHOOSE(CONTROL!$C$15, $E$9, 100%, $G$9) + CHOOSE(CONTROL!$C$38, 0.0342, 0)</f>
        <v>43.137499999999996</v>
      </c>
      <c r="F637" s="44">
        <f>43.1033 * CHOOSE(CONTROL!$C$15, $E$9, 100%, $G$9) + CHOOSE(CONTROL!$C$38, 0.0251, 0)</f>
        <v>43.128399999999999</v>
      </c>
      <c r="G637" s="14">
        <f>40.8837 * CHOOSE(CONTROL!$C$15, $E$9, 100%, $G$9) + CHOOSE(CONTROL!$C$38, 0.0342, 0)</f>
        <v>40.917899999999996</v>
      </c>
      <c r="H637" s="14">
        <f>40.8837 * CHOOSE(CONTROL!$C$15, $E$9, 100%, $G$9) + CHOOSE(CONTROL!$C$38, 0.0342, 0)</f>
        <v>40.917899999999996</v>
      </c>
      <c r="I637" s="14">
        <f>40.8853 * CHOOSE(CONTROL!$C$15, $E$9, 100%, $G$9) + CHOOSE(CONTROL!$C$38, 0.0342, 0)</f>
        <v>40.919499999999999</v>
      </c>
      <c r="J637" s="43">
        <f>353.216</f>
        <v>353.21600000000001</v>
      </c>
    </row>
    <row r="638" spans="1:10" ht="15.75" x14ac:dyDescent="0.25">
      <c r="A638" s="31">
        <v>60357</v>
      </c>
      <c r="B638" s="14">
        <f>45.507 * CHOOSE(CONTROL!$C$15, $E$9, 100%, $G$9) + CHOOSE(CONTROL!$C$38, 0.0251, 0)</f>
        <v>45.5321</v>
      </c>
      <c r="C638" s="14">
        <f>43.0159 * CHOOSE(CONTROL!$C$15, $E$9, 100%, $G$9) + CHOOSE(CONTROL!$C$38, 0.0342, 0)</f>
        <v>43.0501</v>
      </c>
      <c r="D638" s="14">
        <f>43.0081 * CHOOSE(CONTROL!$C$15, $E$9, 100%, $G$9) + CHOOSE(CONTROL!$C$38, 0.0342, 0)</f>
        <v>43.042299999999997</v>
      </c>
      <c r="E638" s="45">
        <f>45.3508 * CHOOSE(CONTROL!$C$15, $E$9, 100%, $G$9) + CHOOSE(CONTROL!$C$38, 0.0342, 0)</f>
        <v>45.384999999999998</v>
      </c>
      <c r="F638" s="44">
        <f>45.3508 * CHOOSE(CONTROL!$C$15, $E$9, 100%, $G$9) + CHOOSE(CONTROL!$C$38, 0.0251, 0)</f>
        <v>45.375900000000001</v>
      </c>
      <c r="G638" s="14">
        <f>43.0143 * CHOOSE(CONTROL!$C$15, $E$9, 100%, $G$9) + CHOOSE(CONTROL!$C$38, 0.0342, 0)</f>
        <v>43.048499999999997</v>
      </c>
      <c r="H638" s="14">
        <f>43.0143 * CHOOSE(CONTROL!$C$15, $E$9, 100%, $G$9) + CHOOSE(CONTROL!$C$38, 0.0342, 0)</f>
        <v>43.048499999999997</v>
      </c>
      <c r="I638" s="14">
        <f>43.0159 * CHOOSE(CONTROL!$C$15, $E$9, 100%, $G$9) + CHOOSE(CONTROL!$C$38, 0.0342, 0)</f>
        <v>43.0501</v>
      </c>
      <c r="J638" s="43">
        <f>371.8325</f>
        <v>371.83249999999998</v>
      </c>
    </row>
    <row r="639" spans="1:10" ht="15.75" x14ac:dyDescent="0.25">
      <c r="A639" s="31">
        <v>60387</v>
      </c>
      <c r="B639" s="14">
        <f>48.4215 * CHOOSE(CONTROL!$C$15, $E$9, 100%, $G$9) + CHOOSE(CONTROL!$C$38, 0.0251, 0)</f>
        <v>48.446600000000004</v>
      </c>
      <c r="C639" s="14">
        <f>45.7788 * CHOOSE(CONTROL!$C$15, $E$9, 100%, $G$9) + CHOOSE(CONTROL!$C$38, 0.0342, 0)</f>
        <v>45.812999999999995</v>
      </c>
      <c r="D639" s="14">
        <f>45.771 * CHOOSE(CONTROL!$C$15, $E$9, 100%, $G$9) + CHOOSE(CONTROL!$C$38, 0.0342, 0)</f>
        <v>45.805199999999999</v>
      </c>
      <c r="E639" s="45">
        <f>48.2652 * CHOOSE(CONTROL!$C$15, $E$9, 100%, $G$9) + CHOOSE(CONTROL!$C$38, 0.0342, 0)</f>
        <v>48.299399999999999</v>
      </c>
      <c r="F639" s="44">
        <f>48.2652 * CHOOSE(CONTROL!$C$15, $E$9, 100%, $G$9) + CHOOSE(CONTROL!$C$38, 0.0251, 0)</f>
        <v>48.290300000000002</v>
      </c>
      <c r="G639" s="14">
        <f>45.7772 * CHOOSE(CONTROL!$C$15, $E$9, 100%, $G$9) + CHOOSE(CONTROL!$C$38, 0.0342, 0)</f>
        <v>45.811399999999999</v>
      </c>
      <c r="H639" s="14">
        <f>45.7772 * CHOOSE(CONTROL!$C$15, $E$9, 100%, $G$9) + CHOOSE(CONTROL!$C$38, 0.0342, 0)</f>
        <v>45.811399999999999</v>
      </c>
      <c r="I639" s="14">
        <f>45.7788 * CHOOSE(CONTROL!$C$15, $E$9, 100%, $G$9) + CHOOSE(CONTROL!$C$38, 0.0342, 0)</f>
        <v>45.812999999999995</v>
      </c>
      <c r="J639" s="43">
        <f>395.9737</f>
        <v>395.97370000000001</v>
      </c>
    </row>
    <row r="640" spans="1:10" ht="15.75" x14ac:dyDescent="0.25">
      <c r="A640" s="31">
        <v>60418</v>
      </c>
      <c r="B640" s="14">
        <f>50.0257 * CHOOSE(CONTROL!$C$15, $E$9, 100%, $G$9) + CHOOSE(CONTROL!$C$38, 0.0264, 0)</f>
        <v>50.052100000000003</v>
      </c>
      <c r="C640" s="14">
        <f>47.2996 * CHOOSE(CONTROL!$C$15, $E$9, 100%, $G$9) + CHOOSE(CONTROL!$C$38, 0.0354, 0)</f>
        <v>47.335000000000001</v>
      </c>
      <c r="D640" s="14">
        <f>47.2917 * CHOOSE(CONTROL!$C$15, $E$9, 100%, $G$9) + CHOOSE(CONTROL!$C$38, 0.0354, 0)</f>
        <v>47.327100000000002</v>
      </c>
      <c r="E640" s="45">
        <f>49.8695 * CHOOSE(CONTROL!$C$15, $E$9, 100%, $G$9) + CHOOSE(CONTROL!$C$38, 0.0354, 0)</f>
        <v>49.904900000000005</v>
      </c>
      <c r="F640" s="44">
        <f>49.8695 * CHOOSE(CONTROL!$C$15, $E$9, 100%, $G$9) + CHOOSE(CONTROL!$C$38, 0.0264, 0)</f>
        <v>49.895900000000005</v>
      </c>
      <c r="G640" s="14">
        <f>47.298 * CHOOSE(CONTROL!$C$15, $E$9, 100%, $G$9) + CHOOSE(CONTROL!$C$38, 0.0354, 0)</f>
        <v>47.333400000000005</v>
      </c>
      <c r="H640" s="14">
        <f>47.298 * CHOOSE(CONTROL!$C$15, $E$9, 100%, $G$9) + CHOOSE(CONTROL!$C$38, 0.0354, 0)</f>
        <v>47.333400000000005</v>
      </c>
      <c r="I640" s="14">
        <f>47.2996 * CHOOSE(CONTROL!$C$15, $E$9, 100%, $G$9) + CHOOSE(CONTROL!$C$38, 0.0354, 0)</f>
        <v>47.335000000000001</v>
      </c>
      <c r="J640" s="43">
        <f>409.2618</f>
        <v>409.26179999999999</v>
      </c>
    </row>
    <row r="641" spans="1:10" ht="15.75" x14ac:dyDescent="0.25">
      <c r="A641" s="31">
        <v>60448</v>
      </c>
      <c r="B641" s="14">
        <f>50.7376 * CHOOSE(CONTROL!$C$15, $E$9, 100%, $G$9) + CHOOSE(CONTROL!$C$38, 0.0264, 0)</f>
        <v>50.764000000000003</v>
      </c>
      <c r="C641" s="14">
        <f>47.9745 * CHOOSE(CONTROL!$C$15, $E$9, 100%, $G$9) + CHOOSE(CONTROL!$C$38, 0.0354, 0)</f>
        <v>48.009900000000002</v>
      </c>
      <c r="D641" s="14">
        <f>47.9666 * CHOOSE(CONTROL!$C$15, $E$9, 100%, $G$9) + CHOOSE(CONTROL!$C$38, 0.0354, 0)</f>
        <v>48.002000000000002</v>
      </c>
      <c r="E641" s="45">
        <f>50.5814 * CHOOSE(CONTROL!$C$15, $E$9, 100%, $G$9) + CHOOSE(CONTROL!$C$38, 0.0354, 0)</f>
        <v>50.616800000000005</v>
      </c>
      <c r="F641" s="44">
        <f>50.5814 * CHOOSE(CONTROL!$C$15, $E$9, 100%, $G$9) + CHOOSE(CONTROL!$C$38, 0.0264, 0)</f>
        <v>50.607800000000005</v>
      </c>
      <c r="G641" s="14">
        <f>47.9729 * CHOOSE(CONTROL!$C$15, $E$9, 100%, $G$9) + CHOOSE(CONTROL!$C$38, 0.0354, 0)</f>
        <v>48.008300000000006</v>
      </c>
      <c r="H641" s="14">
        <f>47.9729 * CHOOSE(CONTROL!$C$15, $E$9, 100%, $G$9) + CHOOSE(CONTROL!$C$38, 0.0354, 0)</f>
        <v>48.008300000000006</v>
      </c>
      <c r="I641" s="14">
        <f>47.9745 * CHOOSE(CONTROL!$C$15, $E$9, 100%, $G$9) + CHOOSE(CONTROL!$C$38, 0.0354, 0)</f>
        <v>48.009900000000002</v>
      </c>
      <c r="J641" s="43">
        <f>415.1588</f>
        <v>415.15879999999999</v>
      </c>
    </row>
    <row r="642" spans="1:10" ht="15.75" x14ac:dyDescent="0.25">
      <c r="A642" s="31">
        <v>60479</v>
      </c>
      <c r="B642" s="14">
        <f>50.5032 * CHOOSE(CONTROL!$C$15, $E$9, 100%, $G$9) + CHOOSE(CONTROL!$C$38, 0.0264, 0)</f>
        <v>50.529600000000002</v>
      </c>
      <c r="C642" s="14">
        <f>47.7522 * CHOOSE(CONTROL!$C$15, $E$9, 100%, $G$9) + CHOOSE(CONTROL!$C$38, 0.0354, 0)</f>
        <v>47.787600000000005</v>
      </c>
      <c r="D642" s="14">
        <f>47.7444 * CHOOSE(CONTROL!$C$15, $E$9, 100%, $G$9) + CHOOSE(CONTROL!$C$38, 0.0354, 0)</f>
        <v>47.779800000000002</v>
      </c>
      <c r="E642" s="45">
        <f>50.347 * CHOOSE(CONTROL!$C$15, $E$9, 100%, $G$9) + CHOOSE(CONTROL!$C$38, 0.0354, 0)</f>
        <v>50.382400000000004</v>
      </c>
      <c r="F642" s="44">
        <f>50.347 * CHOOSE(CONTROL!$C$15, $E$9, 100%, $G$9) + CHOOSE(CONTROL!$C$38, 0.0264, 0)</f>
        <v>50.373400000000004</v>
      </c>
      <c r="G642" s="14">
        <f>47.7507 * CHOOSE(CONTROL!$C$15, $E$9, 100%, $G$9) + CHOOSE(CONTROL!$C$38, 0.0354, 0)</f>
        <v>47.786100000000005</v>
      </c>
      <c r="H642" s="14">
        <f>47.7507 * CHOOSE(CONTROL!$C$15, $E$9, 100%, $G$9) + CHOOSE(CONTROL!$C$38, 0.0354, 0)</f>
        <v>47.786100000000005</v>
      </c>
      <c r="I642" s="14">
        <f>47.7522 * CHOOSE(CONTROL!$C$15, $E$9, 100%, $G$9) + CHOOSE(CONTROL!$C$38, 0.0354, 0)</f>
        <v>47.787600000000005</v>
      </c>
      <c r="J642" s="43">
        <f>413.2172</f>
        <v>413.21719999999999</v>
      </c>
    </row>
    <row r="643" spans="1:10" ht="15.75" x14ac:dyDescent="0.25">
      <c r="A643" s="31">
        <v>60510</v>
      </c>
      <c r="B643" s="14">
        <f>49.3419 * CHOOSE(CONTROL!$C$15, $E$9, 100%, $G$9) + CHOOSE(CONTROL!$C$38, 0.0264, 0)</f>
        <v>49.368300000000005</v>
      </c>
      <c r="C643" s="14">
        <f>46.6513 * CHOOSE(CONTROL!$C$15, $E$9, 100%, $G$9) + CHOOSE(CONTROL!$C$38, 0.0354, 0)</f>
        <v>46.686700000000002</v>
      </c>
      <c r="D643" s="14">
        <f>46.6435 * CHOOSE(CONTROL!$C$15, $E$9, 100%, $G$9) + CHOOSE(CONTROL!$C$38, 0.0354, 0)</f>
        <v>46.678900000000006</v>
      </c>
      <c r="E643" s="45">
        <f>49.1856 * CHOOSE(CONTROL!$C$15, $E$9, 100%, $G$9) + CHOOSE(CONTROL!$C$38, 0.0354, 0)</f>
        <v>49.221000000000004</v>
      </c>
      <c r="F643" s="44">
        <f>49.1856 * CHOOSE(CONTROL!$C$15, $E$9, 100%, $G$9) + CHOOSE(CONTROL!$C$38, 0.0264, 0)</f>
        <v>49.212000000000003</v>
      </c>
      <c r="G643" s="14">
        <f>46.6498 * CHOOSE(CONTROL!$C$15, $E$9, 100%, $G$9) + CHOOSE(CONTROL!$C$38, 0.0354, 0)</f>
        <v>46.685200000000002</v>
      </c>
      <c r="H643" s="14">
        <f>46.6498 * CHOOSE(CONTROL!$C$15, $E$9, 100%, $G$9) + CHOOSE(CONTROL!$C$38, 0.0354, 0)</f>
        <v>46.685200000000002</v>
      </c>
      <c r="I643" s="14">
        <f>46.6513 * CHOOSE(CONTROL!$C$15, $E$9, 100%, $G$9) + CHOOSE(CONTROL!$C$38, 0.0354, 0)</f>
        <v>46.686700000000002</v>
      </c>
      <c r="J643" s="43">
        <f>403.5977</f>
        <v>403.59769999999997</v>
      </c>
    </row>
    <row r="644" spans="1:10" ht="15.75" x14ac:dyDescent="0.25">
      <c r="A644" s="31">
        <v>60540</v>
      </c>
      <c r="B644" s="14">
        <f>47.7224 * CHOOSE(CONTROL!$C$15, $E$9, 100%, $G$9) + CHOOSE(CONTROL!$C$38, 0.0264, 0)</f>
        <v>47.748800000000003</v>
      </c>
      <c r="C644" s="14">
        <f>45.116 * CHOOSE(CONTROL!$C$15, $E$9, 100%, $G$9) + CHOOSE(CONTROL!$C$38, 0.0354, 0)</f>
        <v>45.151400000000002</v>
      </c>
      <c r="D644" s="14">
        <f>45.1082 * CHOOSE(CONTROL!$C$15, $E$9, 100%, $G$9) + CHOOSE(CONTROL!$C$38, 0.0354, 0)</f>
        <v>45.143599999999999</v>
      </c>
      <c r="E644" s="45">
        <f>47.5661 * CHOOSE(CONTROL!$C$15, $E$9, 100%, $G$9) + CHOOSE(CONTROL!$C$38, 0.0354, 0)</f>
        <v>47.601500000000001</v>
      </c>
      <c r="F644" s="44">
        <f>47.5661 * CHOOSE(CONTROL!$C$15, $E$9, 100%, $G$9) + CHOOSE(CONTROL!$C$38, 0.0264, 0)</f>
        <v>47.592500000000001</v>
      </c>
      <c r="G644" s="14">
        <f>45.1145 * CHOOSE(CONTROL!$C$15, $E$9, 100%, $G$9) + CHOOSE(CONTROL!$C$38, 0.0354, 0)</f>
        <v>45.149900000000002</v>
      </c>
      <c r="H644" s="14">
        <f>45.1145 * CHOOSE(CONTROL!$C$15, $E$9, 100%, $G$9) + CHOOSE(CONTROL!$C$38, 0.0354, 0)</f>
        <v>45.149900000000002</v>
      </c>
      <c r="I644" s="14">
        <f>45.116 * CHOOSE(CONTROL!$C$15, $E$9, 100%, $G$9) + CHOOSE(CONTROL!$C$38, 0.0354, 0)</f>
        <v>45.151400000000002</v>
      </c>
      <c r="J644" s="43">
        <f>390.1828</f>
        <v>390.18279999999999</v>
      </c>
    </row>
    <row r="645" spans="1:10" ht="15.75" x14ac:dyDescent="0.25">
      <c r="A645" s="31">
        <v>60571</v>
      </c>
      <c r="B645" s="14">
        <f>46.0934 * CHOOSE(CONTROL!$C$15, $E$9, 100%, $G$9) + CHOOSE(CONTROL!$C$38, 0.0251, 0)</f>
        <v>46.118500000000004</v>
      </c>
      <c r="C645" s="14">
        <f>43.5718 * CHOOSE(CONTROL!$C$15, $E$9, 100%, $G$9) + CHOOSE(CONTROL!$C$38, 0.0342, 0)</f>
        <v>43.606000000000002</v>
      </c>
      <c r="D645" s="14">
        <f>43.564 * CHOOSE(CONTROL!$C$15, $E$9, 100%, $G$9) + CHOOSE(CONTROL!$C$38, 0.0342, 0)</f>
        <v>43.598199999999999</v>
      </c>
      <c r="E645" s="45">
        <f>45.9372 * CHOOSE(CONTROL!$C$15, $E$9, 100%, $G$9) + CHOOSE(CONTROL!$C$38, 0.0342, 0)</f>
        <v>45.971399999999996</v>
      </c>
      <c r="F645" s="44">
        <f>45.9372 * CHOOSE(CONTROL!$C$15, $E$9, 100%, $G$9) + CHOOSE(CONTROL!$C$38, 0.0251, 0)</f>
        <v>45.962299999999999</v>
      </c>
      <c r="G645" s="14">
        <f>43.5703 * CHOOSE(CONTROL!$C$15, $E$9, 100%, $G$9) + CHOOSE(CONTROL!$C$38, 0.0342, 0)</f>
        <v>43.604500000000002</v>
      </c>
      <c r="H645" s="14">
        <f>43.5703 * CHOOSE(CONTROL!$C$15, $E$9, 100%, $G$9) + CHOOSE(CONTROL!$C$38, 0.0342, 0)</f>
        <v>43.604500000000002</v>
      </c>
      <c r="I645" s="14">
        <f>43.5718 * CHOOSE(CONTROL!$C$15, $E$9, 100%, $G$9) + CHOOSE(CONTROL!$C$38, 0.0342, 0)</f>
        <v>43.606000000000002</v>
      </c>
      <c r="J645" s="43">
        <f>376.6899</f>
        <v>376.68990000000002</v>
      </c>
    </row>
    <row r="646" spans="1:10" ht="15.75" x14ac:dyDescent="0.25">
      <c r="A646" s="31">
        <v>60601</v>
      </c>
      <c r="B646" s="14">
        <f>45.7694 * CHOOSE(CONTROL!$C$15, $E$9, 100%, $G$9) + CHOOSE(CONTROL!$C$38, 0.0251, 0)</f>
        <v>45.794499999999999</v>
      </c>
      <c r="C646" s="14">
        <f>43.2646 * CHOOSE(CONTROL!$C$15, $E$9, 100%, $G$9) + CHOOSE(CONTROL!$C$38, 0.0342, 0)</f>
        <v>43.2988</v>
      </c>
      <c r="D646" s="14">
        <f>43.2568 * CHOOSE(CONTROL!$C$15, $E$9, 100%, $G$9) + CHOOSE(CONTROL!$C$38, 0.0342, 0)</f>
        <v>43.290999999999997</v>
      </c>
      <c r="E646" s="45">
        <f>45.6131 * CHOOSE(CONTROL!$C$15, $E$9, 100%, $G$9) + CHOOSE(CONTROL!$C$38, 0.0342, 0)</f>
        <v>45.647300000000001</v>
      </c>
      <c r="F646" s="44">
        <f>45.6131 * CHOOSE(CONTROL!$C$15, $E$9, 100%, $G$9) + CHOOSE(CONTROL!$C$38, 0.0251, 0)</f>
        <v>45.638200000000005</v>
      </c>
      <c r="G646" s="14">
        <f>43.2631 * CHOOSE(CONTROL!$C$15, $E$9, 100%, $G$9) + CHOOSE(CONTROL!$C$38, 0.0342, 0)</f>
        <v>43.2973</v>
      </c>
      <c r="H646" s="14">
        <f>43.2631 * CHOOSE(CONTROL!$C$15, $E$9, 100%, $G$9) + CHOOSE(CONTROL!$C$38, 0.0342, 0)</f>
        <v>43.2973</v>
      </c>
      <c r="I646" s="14">
        <f>43.2646 * CHOOSE(CONTROL!$C$15, $E$9, 100%, $G$9) + CHOOSE(CONTROL!$C$38, 0.0342, 0)</f>
        <v>43.2988</v>
      </c>
      <c r="J646" s="43">
        <f>374.0059</f>
        <v>374.0059</v>
      </c>
    </row>
    <row r="647" spans="1:10" ht="15.75" x14ac:dyDescent="0.25">
      <c r="A647" s="31">
        <v>60632</v>
      </c>
      <c r="B647" s="14">
        <f>44.4295 * CHOOSE(CONTROL!$C$15, $E$9, 100%, $G$9) + CHOOSE(CONTROL!$C$38, 0.0251, 0)</f>
        <v>44.454599999999999</v>
      </c>
      <c r="C647" s="14">
        <f>41.9944 * CHOOSE(CONTROL!$C$15, $E$9, 100%, $G$9) + CHOOSE(CONTROL!$C$38, 0.0342, 0)</f>
        <v>42.028599999999997</v>
      </c>
      <c r="D647" s="14">
        <f>41.9866 * CHOOSE(CONTROL!$C$15, $E$9, 100%, $G$9) + CHOOSE(CONTROL!$C$38, 0.0342, 0)</f>
        <v>42.020800000000001</v>
      </c>
      <c r="E647" s="45">
        <f>44.2733 * CHOOSE(CONTROL!$C$15, $E$9, 100%, $G$9) + CHOOSE(CONTROL!$C$38, 0.0342, 0)</f>
        <v>44.307499999999997</v>
      </c>
      <c r="F647" s="44">
        <f>44.2733 * CHOOSE(CONTROL!$C$15, $E$9, 100%, $G$9) + CHOOSE(CONTROL!$C$38, 0.0251, 0)</f>
        <v>44.298400000000001</v>
      </c>
      <c r="G647" s="14">
        <f>41.9929 * CHOOSE(CONTROL!$C$15, $E$9, 100%, $G$9) + CHOOSE(CONTROL!$C$38, 0.0342, 0)</f>
        <v>42.027099999999997</v>
      </c>
      <c r="H647" s="14">
        <f>41.9929 * CHOOSE(CONTROL!$C$15, $E$9, 100%, $G$9) + CHOOSE(CONTROL!$C$38, 0.0342, 0)</f>
        <v>42.027099999999997</v>
      </c>
      <c r="I647" s="14">
        <f>41.9944 * CHOOSE(CONTROL!$C$15, $E$9, 100%, $G$9) + CHOOSE(CONTROL!$C$38, 0.0342, 0)</f>
        <v>42.028599999999997</v>
      </c>
      <c r="J647" s="43">
        <f>362.9072</f>
        <v>362.90719999999999</v>
      </c>
    </row>
    <row r="648" spans="1:10" ht="15.75" x14ac:dyDescent="0.25">
      <c r="A648" s="31">
        <v>60663</v>
      </c>
      <c r="B648" s="14">
        <f>44.0968 * CHOOSE(CONTROL!$C$15, $E$9, 100%, $G$9) + CHOOSE(CONTROL!$C$38, 0.0251, 0)</f>
        <v>44.121900000000004</v>
      </c>
      <c r="C648" s="14">
        <f>41.679 * CHOOSE(CONTROL!$C$15, $E$9, 100%, $G$9) + CHOOSE(CONTROL!$C$38, 0.0342, 0)</f>
        <v>41.713200000000001</v>
      </c>
      <c r="D648" s="14">
        <f>41.6712 * CHOOSE(CONTROL!$C$15, $E$9, 100%, $G$9) + CHOOSE(CONTROL!$C$38, 0.0342, 0)</f>
        <v>41.705399999999997</v>
      </c>
      <c r="E648" s="45">
        <f>43.9405 * CHOOSE(CONTROL!$C$15, $E$9, 100%, $G$9) + CHOOSE(CONTROL!$C$38, 0.0342, 0)</f>
        <v>43.974699999999999</v>
      </c>
      <c r="F648" s="44">
        <f>43.9405 * CHOOSE(CONTROL!$C$15, $E$9, 100%, $G$9) + CHOOSE(CONTROL!$C$38, 0.0251, 0)</f>
        <v>43.965600000000002</v>
      </c>
      <c r="G648" s="14">
        <f>41.6774 * CHOOSE(CONTROL!$C$15, $E$9, 100%, $G$9) + CHOOSE(CONTROL!$C$38, 0.0342, 0)</f>
        <v>41.711599999999997</v>
      </c>
      <c r="H648" s="14">
        <f>41.6774 * CHOOSE(CONTROL!$C$15, $E$9, 100%, $G$9) + CHOOSE(CONTROL!$C$38, 0.0342, 0)</f>
        <v>41.711599999999997</v>
      </c>
      <c r="I648" s="14">
        <f>41.679 * CHOOSE(CONTROL!$C$15, $E$9, 100%, $G$9) + CHOOSE(CONTROL!$C$38, 0.0342, 0)</f>
        <v>41.713200000000001</v>
      </c>
      <c r="J648" s="43">
        <f>362.6452</f>
        <v>362.64519999999999</v>
      </c>
    </row>
    <row r="649" spans="1:10" ht="15.75" x14ac:dyDescent="0.25">
      <c r="A649" s="31">
        <v>60691</v>
      </c>
      <c r="B649" s="14">
        <f>43.9759 * CHOOSE(CONTROL!$C$15, $E$9, 100%, $G$9) + CHOOSE(CONTROL!$C$38, 0.0251, 0)</f>
        <v>44.001000000000005</v>
      </c>
      <c r="C649" s="14">
        <f>41.5644 * CHOOSE(CONTROL!$C$15, $E$9, 100%, $G$9) + CHOOSE(CONTROL!$C$38, 0.0342, 0)</f>
        <v>41.598599999999998</v>
      </c>
      <c r="D649" s="14">
        <f>41.5566 * CHOOSE(CONTROL!$C$15, $E$9, 100%, $G$9) + CHOOSE(CONTROL!$C$38, 0.0342, 0)</f>
        <v>41.590800000000002</v>
      </c>
      <c r="E649" s="45">
        <f>43.8196 * CHOOSE(CONTROL!$C$15, $E$9, 100%, $G$9) + CHOOSE(CONTROL!$C$38, 0.0342, 0)</f>
        <v>43.8538</v>
      </c>
      <c r="F649" s="44">
        <f>43.8196 * CHOOSE(CONTROL!$C$15, $E$9, 100%, $G$9) + CHOOSE(CONTROL!$C$38, 0.0251, 0)</f>
        <v>43.844700000000003</v>
      </c>
      <c r="G649" s="14">
        <f>41.5629 * CHOOSE(CONTROL!$C$15, $E$9, 100%, $G$9) + CHOOSE(CONTROL!$C$38, 0.0342, 0)</f>
        <v>41.597099999999998</v>
      </c>
      <c r="H649" s="14">
        <f>41.5629 * CHOOSE(CONTROL!$C$15, $E$9, 100%, $G$9) + CHOOSE(CONTROL!$C$38, 0.0342, 0)</f>
        <v>41.597099999999998</v>
      </c>
      <c r="I649" s="14">
        <f>41.5644 * CHOOSE(CONTROL!$C$15, $E$9, 100%, $G$9) + CHOOSE(CONTROL!$C$38, 0.0342, 0)</f>
        <v>41.598599999999998</v>
      </c>
      <c r="J649" s="43">
        <f>361.6372</f>
        <v>361.63720000000001</v>
      </c>
    </row>
    <row r="650" spans="1:10" ht="15.75" x14ac:dyDescent="0.25">
      <c r="A650" s="31">
        <v>60722</v>
      </c>
      <c r="B650" s="14">
        <f>46.2612 * CHOOSE(CONTROL!$C$15, $E$9, 100%, $G$9) + CHOOSE(CONTROL!$C$38, 0.0251, 0)</f>
        <v>46.286300000000004</v>
      </c>
      <c r="C650" s="14">
        <f>43.7308 * CHOOSE(CONTROL!$C$15, $E$9, 100%, $G$9) + CHOOSE(CONTROL!$C$38, 0.0342, 0)</f>
        <v>43.765000000000001</v>
      </c>
      <c r="D650" s="14">
        <f>43.723 * CHOOSE(CONTROL!$C$15, $E$9, 100%, $G$9) + CHOOSE(CONTROL!$C$38, 0.0342, 0)</f>
        <v>43.757199999999997</v>
      </c>
      <c r="E650" s="45">
        <f>46.1049 * CHOOSE(CONTROL!$C$15, $E$9, 100%, $G$9) + CHOOSE(CONTROL!$C$38, 0.0342, 0)</f>
        <v>46.139099999999999</v>
      </c>
      <c r="F650" s="44">
        <f>46.1049 * CHOOSE(CONTROL!$C$15, $E$9, 100%, $G$9) + CHOOSE(CONTROL!$C$38, 0.0251, 0)</f>
        <v>46.13</v>
      </c>
      <c r="G650" s="14">
        <f>43.7293 * CHOOSE(CONTROL!$C$15, $E$9, 100%, $G$9) + CHOOSE(CONTROL!$C$38, 0.0342, 0)</f>
        <v>43.763500000000001</v>
      </c>
      <c r="H650" s="14">
        <f>43.7293 * CHOOSE(CONTROL!$C$15, $E$9, 100%, $G$9) + CHOOSE(CONTROL!$C$38, 0.0342, 0)</f>
        <v>43.763500000000001</v>
      </c>
      <c r="I650" s="14">
        <f>43.7308 * CHOOSE(CONTROL!$C$15, $E$9, 100%, $G$9) + CHOOSE(CONTROL!$C$38, 0.0342, 0)</f>
        <v>43.765000000000001</v>
      </c>
      <c r="J650" s="43">
        <f>380.6975</f>
        <v>380.69749999999999</v>
      </c>
    </row>
    <row r="651" spans="1:10" ht="15.75" x14ac:dyDescent="0.25">
      <c r="A651" s="31">
        <v>60752</v>
      </c>
      <c r="B651" s="14">
        <f>49.2246 * CHOOSE(CONTROL!$C$15, $E$9, 100%, $G$9) + CHOOSE(CONTROL!$C$38, 0.0251, 0)</f>
        <v>49.249700000000004</v>
      </c>
      <c r="C651" s="14">
        <f>46.5401 * CHOOSE(CONTROL!$C$15, $E$9, 100%, $G$9) + CHOOSE(CONTROL!$C$38, 0.0342, 0)</f>
        <v>46.574300000000001</v>
      </c>
      <c r="D651" s="14">
        <f>46.5323 * CHOOSE(CONTROL!$C$15, $E$9, 100%, $G$9) + CHOOSE(CONTROL!$C$38, 0.0342, 0)</f>
        <v>46.566499999999998</v>
      </c>
      <c r="E651" s="45">
        <f>49.0683 * CHOOSE(CONTROL!$C$15, $E$9, 100%, $G$9) + CHOOSE(CONTROL!$C$38, 0.0342, 0)</f>
        <v>49.102499999999999</v>
      </c>
      <c r="F651" s="44">
        <f>49.0683 * CHOOSE(CONTROL!$C$15, $E$9, 100%, $G$9) + CHOOSE(CONTROL!$C$38, 0.0251, 0)</f>
        <v>49.093400000000003</v>
      </c>
      <c r="G651" s="14">
        <f>46.5385 * CHOOSE(CONTROL!$C$15, $E$9, 100%, $G$9) + CHOOSE(CONTROL!$C$38, 0.0342, 0)</f>
        <v>46.572699999999998</v>
      </c>
      <c r="H651" s="14">
        <f>46.5385 * CHOOSE(CONTROL!$C$15, $E$9, 100%, $G$9) + CHOOSE(CONTROL!$C$38, 0.0342, 0)</f>
        <v>46.572699999999998</v>
      </c>
      <c r="I651" s="14">
        <f>46.5401 * CHOOSE(CONTROL!$C$15, $E$9, 100%, $G$9) + CHOOSE(CONTROL!$C$38, 0.0342, 0)</f>
        <v>46.574300000000001</v>
      </c>
      <c r="J651" s="43">
        <f>405.4143</f>
        <v>405.41430000000003</v>
      </c>
    </row>
    <row r="652" spans="1:10" ht="15.75" x14ac:dyDescent="0.25">
      <c r="A652" s="31">
        <v>60783</v>
      </c>
      <c r="B652" s="14">
        <f>50.8558 * CHOOSE(CONTROL!$C$15, $E$9, 100%, $G$9) + CHOOSE(CONTROL!$C$38, 0.0264, 0)</f>
        <v>50.882200000000005</v>
      </c>
      <c r="C652" s="14">
        <f>48.0864 * CHOOSE(CONTROL!$C$15, $E$9, 100%, $G$9) + CHOOSE(CONTROL!$C$38, 0.0354, 0)</f>
        <v>48.1218</v>
      </c>
      <c r="D652" s="14">
        <f>48.0786 * CHOOSE(CONTROL!$C$15, $E$9, 100%, $G$9) + CHOOSE(CONTROL!$C$38, 0.0354, 0)</f>
        <v>48.114000000000004</v>
      </c>
      <c r="E652" s="45">
        <f>50.6995 * CHOOSE(CONTROL!$C$15, $E$9, 100%, $G$9) + CHOOSE(CONTROL!$C$38, 0.0354, 0)</f>
        <v>50.734900000000003</v>
      </c>
      <c r="F652" s="44">
        <f>50.6995 * CHOOSE(CONTROL!$C$15, $E$9, 100%, $G$9) + CHOOSE(CONTROL!$C$38, 0.0264, 0)</f>
        <v>50.725900000000003</v>
      </c>
      <c r="G652" s="14">
        <f>48.0849 * CHOOSE(CONTROL!$C$15, $E$9, 100%, $G$9) + CHOOSE(CONTROL!$C$38, 0.0354, 0)</f>
        <v>48.1203</v>
      </c>
      <c r="H652" s="14">
        <f>48.0849 * CHOOSE(CONTROL!$C$15, $E$9, 100%, $G$9) + CHOOSE(CONTROL!$C$38, 0.0354, 0)</f>
        <v>48.1203</v>
      </c>
      <c r="I652" s="14">
        <f>48.0864 * CHOOSE(CONTROL!$C$15, $E$9, 100%, $G$9) + CHOOSE(CONTROL!$C$38, 0.0354, 0)</f>
        <v>48.1218</v>
      </c>
      <c r="J652" s="43">
        <f>419.0192</f>
        <v>419.01920000000001</v>
      </c>
    </row>
    <row r="653" spans="1:10" ht="15.75" x14ac:dyDescent="0.25">
      <c r="A653" s="31">
        <v>60813</v>
      </c>
      <c r="B653" s="14">
        <f>51.5796 * CHOOSE(CONTROL!$C$15, $E$9, 100%, $G$9) + CHOOSE(CONTROL!$C$38, 0.0264, 0)</f>
        <v>51.606000000000002</v>
      </c>
      <c r="C653" s="14">
        <f>48.7727 * CHOOSE(CONTROL!$C$15, $E$9, 100%, $G$9) + CHOOSE(CONTROL!$C$38, 0.0354, 0)</f>
        <v>48.808100000000003</v>
      </c>
      <c r="D653" s="14">
        <f>48.7649 * CHOOSE(CONTROL!$C$15, $E$9, 100%, $G$9) + CHOOSE(CONTROL!$C$38, 0.0354, 0)</f>
        <v>48.8003</v>
      </c>
      <c r="E653" s="45">
        <f>51.4234 * CHOOSE(CONTROL!$C$15, $E$9, 100%, $G$9) + CHOOSE(CONTROL!$C$38, 0.0354, 0)</f>
        <v>51.458800000000004</v>
      </c>
      <c r="F653" s="44">
        <f>51.4234 * CHOOSE(CONTROL!$C$15, $E$9, 100%, $G$9) + CHOOSE(CONTROL!$C$38, 0.0264, 0)</f>
        <v>51.449800000000003</v>
      </c>
      <c r="G653" s="14">
        <f>48.7711 * CHOOSE(CONTROL!$C$15, $E$9, 100%, $G$9) + CHOOSE(CONTROL!$C$38, 0.0354, 0)</f>
        <v>48.8065</v>
      </c>
      <c r="H653" s="14">
        <f>48.7711 * CHOOSE(CONTROL!$C$15, $E$9, 100%, $G$9) + CHOOSE(CONTROL!$C$38, 0.0354, 0)</f>
        <v>48.8065</v>
      </c>
      <c r="I653" s="14">
        <f>48.7727 * CHOOSE(CONTROL!$C$15, $E$9, 100%, $G$9) + CHOOSE(CONTROL!$C$38, 0.0354, 0)</f>
        <v>48.808100000000003</v>
      </c>
      <c r="J653" s="43">
        <f>425.0568</f>
        <v>425.05680000000001</v>
      </c>
    </row>
    <row r="654" spans="1:10" ht="15.75" x14ac:dyDescent="0.25">
      <c r="A654" s="31">
        <v>60844</v>
      </c>
      <c r="B654" s="14">
        <f>51.3413 * CHOOSE(CONTROL!$C$15, $E$9, 100%, $G$9) + CHOOSE(CONTROL!$C$38, 0.0264, 0)</f>
        <v>51.367699999999999</v>
      </c>
      <c r="C654" s="14">
        <f>48.5467 * CHOOSE(CONTROL!$C$15, $E$9, 100%, $G$9) + CHOOSE(CONTROL!$C$38, 0.0354, 0)</f>
        <v>48.582100000000004</v>
      </c>
      <c r="D654" s="14">
        <f>48.5389 * CHOOSE(CONTROL!$C$15, $E$9, 100%, $G$9) + CHOOSE(CONTROL!$C$38, 0.0354, 0)</f>
        <v>48.574300000000001</v>
      </c>
      <c r="E654" s="45">
        <f>51.185 * CHOOSE(CONTROL!$C$15, $E$9, 100%, $G$9) + CHOOSE(CONTROL!$C$38, 0.0354, 0)</f>
        <v>51.220400000000005</v>
      </c>
      <c r="F654" s="44">
        <f>51.185 * CHOOSE(CONTROL!$C$15, $E$9, 100%, $G$9) + CHOOSE(CONTROL!$C$38, 0.0264, 0)</f>
        <v>51.211400000000005</v>
      </c>
      <c r="G654" s="14">
        <f>48.5452 * CHOOSE(CONTROL!$C$15, $E$9, 100%, $G$9) + CHOOSE(CONTROL!$C$38, 0.0354, 0)</f>
        <v>48.580600000000004</v>
      </c>
      <c r="H654" s="14">
        <f>48.5452 * CHOOSE(CONTROL!$C$15, $E$9, 100%, $G$9) + CHOOSE(CONTROL!$C$38, 0.0354, 0)</f>
        <v>48.580600000000004</v>
      </c>
      <c r="I654" s="14">
        <f>48.5467 * CHOOSE(CONTROL!$C$15, $E$9, 100%, $G$9) + CHOOSE(CONTROL!$C$38, 0.0354, 0)</f>
        <v>48.582100000000004</v>
      </c>
      <c r="J654" s="43">
        <f>423.0689</f>
        <v>423.06889999999999</v>
      </c>
    </row>
    <row r="655" spans="1:10" ht="15.75" x14ac:dyDescent="0.25">
      <c r="A655" s="31">
        <v>60875</v>
      </c>
      <c r="B655" s="14">
        <f>50.1605 * CHOOSE(CONTROL!$C$15, $E$9, 100%, $G$9) + CHOOSE(CONTROL!$C$38, 0.0264, 0)</f>
        <v>50.186900000000001</v>
      </c>
      <c r="C655" s="14">
        <f>47.4273 * CHOOSE(CONTROL!$C$15, $E$9, 100%, $G$9) + CHOOSE(CONTROL!$C$38, 0.0354, 0)</f>
        <v>47.462700000000005</v>
      </c>
      <c r="D655" s="14">
        <f>47.4195 * CHOOSE(CONTROL!$C$15, $E$9, 100%, $G$9) + CHOOSE(CONTROL!$C$38, 0.0354, 0)</f>
        <v>47.454900000000002</v>
      </c>
      <c r="E655" s="45">
        <f>50.0042 * CHOOSE(CONTROL!$C$15, $E$9, 100%, $G$9) + CHOOSE(CONTROL!$C$38, 0.0354, 0)</f>
        <v>50.0396</v>
      </c>
      <c r="F655" s="44">
        <f>50.0042 * CHOOSE(CONTROL!$C$15, $E$9, 100%, $G$9) + CHOOSE(CONTROL!$C$38, 0.0264, 0)</f>
        <v>50.0306</v>
      </c>
      <c r="G655" s="14">
        <f>47.4258 * CHOOSE(CONTROL!$C$15, $E$9, 100%, $G$9) + CHOOSE(CONTROL!$C$38, 0.0354, 0)</f>
        <v>47.461200000000005</v>
      </c>
      <c r="H655" s="14">
        <f>47.4258 * CHOOSE(CONTROL!$C$15, $E$9, 100%, $G$9) + CHOOSE(CONTROL!$C$38, 0.0354, 0)</f>
        <v>47.461200000000005</v>
      </c>
      <c r="I655" s="14">
        <f>47.4273 * CHOOSE(CONTROL!$C$15, $E$9, 100%, $G$9) + CHOOSE(CONTROL!$C$38, 0.0354, 0)</f>
        <v>47.462700000000005</v>
      </c>
      <c r="J655" s="43">
        <f>413.22</f>
        <v>413.22</v>
      </c>
    </row>
    <row r="656" spans="1:10" ht="15.75" x14ac:dyDescent="0.25">
      <c r="A656" s="31">
        <v>60905</v>
      </c>
      <c r="B656" s="14">
        <f>48.5137 * CHOOSE(CONTROL!$C$15, $E$9, 100%, $G$9) + CHOOSE(CONTROL!$C$38, 0.0264, 0)</f>
        <v>48.540100000000002</v>
      </c>
      <c r="C656" s="14">
        <f>45.8662 * CHOOSE(CONTROL!$C$15, $E$9, 100%, $G$9) + CHOOSE(CONTROL!$C$38, 0.0354, 0)</f>
        <v>45.901600000000002</v>
      </c>
      <c r="D656" s="14">
        <f>45.8584 * CHOOSE(CONTROL!$C$15, $E$9, 100%, $G$9) + CHOOSE(CONTROL!$C$38, 0.0354, 0)</f>
        <v>45.893800000000006</v>
      </c>
      <c r="E656" s="45">
        <f>48.3575 * CHOOSE(CONTROL!$C$15, $E$9, 100%, $G$9) + CHOOSE(CONTROL!$C$38, 0.0354, 0)</f>
        <v>48.392900000000004</v>
      </c>
      <c r="F656" s="44">
        <f>48.3575 * CHOOSE(CONTROL!$C$15, $E$9, 100%, $G$9) + CHOOSE(CONTROL!$C$38, 0.0264, 0)</f>
        <v>48.383900000000004</v>
      </c>
      <c r="G656" s="14">
        <f>45.8647 * CHOOSE(CONTROL!$C$15, $E$9, 100%, $G$9) + CHOOSE(CONTROL!$C$38, 0.0354, 0)</f>
        <v>45.900100000000002</v>
      </c>
      <c r="H656" s="14">
        <f>45.8647 * CHOOSE(CONTROL!$C$15, $E$9, 100%, $G$9) + CHOOSE(CONTROL!$C$38, 0.0354, 0)</f>
        <v>45.900100000000002</v>
      </c>
      <c r="I656" s="14">
        <f>45.8662 * CHOOSE(CONTROL!$C$15, $E$9, 100%, $G$9) + CHOOSE(CONTROL!$C$38, 0.0354, 0)</f>
        <v>45.901600000000002</v>
      </c>
      <c r="J656" s="43">
        <f>399.4853</f>
        <v>399.4853</v>
      </c>
    </row>
    <row r="657" spans="1:10" ht="15.75" x14ac:dyDescent="0.25">
      <c r="A657" s="31">
        <v>60936</v>
      </c>
      <c r="B657" s="14">
        <f>46.8574 * CHOOSE(CONTROL!$C$15, $E$9, 100%, $G$9) + CHOOSE(CONTROL!$C$38, 0.0251, 0)</f>
        <v>46.8825</v>
      </c>
      <c r="C657" s="14">
        <f>44.2961 * CHOOSE(CONTROL!$C$15, $E$9, 100%, $G$9) + CHOOSE(CONTROL!$C$38, 0.0342, 0)</f>
        <v>44.330300000000001</v>
      </c>
      <c r="D657" s="14">
        <f>44.2883 * CHOOSE(CONTROL!$C$15, $E$9, 100%, $G$9) + CHOOSE(CONTROL!$C$38, 0.0342, 0)</f>
        <v>44.322499999999998</v>
      </c>
      <c r="E657" s="45">
        <f>46.7012 * CHOOSE(CONTROL!$C$15, $E$9, 100%, $G$9) + CHOOSE(CONTROL!$C$38, 0.0342, 0)</f>
        <v>46.735399999999998</v>
      </c>
      <c r="F657" s="44">
        <f>46.7012 * CHOOSE(CONTROL!$C$15, $E$9, 100%, $G$9) + CHOOSE(CONTROL!$C$38, 0.0251, 0)</f>
        <v>46.726300000000002</v>
      </c>
      <c r="G657" s="14">
        <f>44.2945 * CHOOSE(CONTROL!$C$15, $E$9, 100%, $G$9) + CHOOSE(CONTROL!$C$38, 0.0342, 0)</f>
        <v>44.328699999999998</v>
      </c>
      <c r="H657" s="14">
        <f>44.2945 * CHOOSE(CONTROL!$C$15, $E$9, 100%, $G$9) + CHOOSE(CONTROL!$C$38, 0.0342, 0)</f>
        <v>44.328699999999998</v>
      </c>
      <c r="I657" s="14">
        <f>44.2961 * CHOOSE(CONTROL!$C$15, $E$9, 100%, $G$9) + CHOOSE(CONTROL!$C$38, 0.0342, 0)</f>
        <v>44.330300000000001</v>
      </c>
      <c r="J657" s="43">
        <f>385.6707</f>
        <v>385.67070000000001</v>
      </c>
    </row>
    <row r="658" spans="1:10" ht="15.75" x14ac:dyDescent="0.25">
      <c r="A658" s="31">
        <v>60966</v>
      </c>
      <c r="B658" s="14">
        <f>46.5279 * CHOOSE(CONTROL!$C$15, $E$9, 100%, $G$9) + CHOOSE(CONTROL!$C$38, 0.0251, 0)</f>
        <v>46.553000000000004</v>
      </c>
      <c r="C658" s="14">
        <f>43.9837 * CHOOSE(CONTROL!$C$15, $E$9, 100%, $G$9) + CHOOSE(CONTROL!$C$38, 0.0342, 0)</f>
        <v>44.017899999999997</v>
      </c>
      <c r="D658" s="14">
        <f>43.9759 * CHOOSE(CONTROL!$C$15, $E$9, 100%, $G$9) + CHOOSE(CONTROL!$C$38, 0.0342, 0)</f>
        <v>44.010100000000001</v>
      </c>
      <c r="E658" s="45">
        <f>46.3717 * CHOOSE(CONTROL!$C$15, $E$9, 100%, $G$9) + CHOOSE(CONTROL!$C$38, 0.0342, 0)</f>
        <v>46.405899999999995</v>
      </c>
      <c r="F658" s="44">
        <f>46.3717 * CHOOSE(CONTROL!$C$15, $E$9, 100%, $G$9) + CHOOSE(CONTROL!$C$38, 0.0251, 0)</f>
        <v>46.396799999999999</v>
      </c>
      <c r="G658" s="14">
        <f>43.9822 * CHOOSE(CONTROL!$C$15, $E$9, 100%, $G$9) + CHOOSE(CONTROL!$C$38, 0.0342, 0)</f>
        <v>44.016399999999997</v>
      </c>
      <c r="H658" s="14">
        <f>43.9822 * CHOOSE(CONTROL!$C$15, $E$9, 100%, $G$9) + CHOOSE(CONTROL!$C$38, 0.0342, 0)</f>
        <v>44.016399999999997</v>
      </c>
      <c r="I658" s="14">
        <f>43.9837 * CHOOSE(CONTROL!$C$15, $E$9, 100%, $G$9) + CHOOSE(CONTROL!$C$38, 0.0342, 0)</f>
        <v>44.017899999999997</v>
      </c>
      <c r="J658" s="43">
        <f>382.9227</f>
        <v>382.92270000000002</v>
      </c>
    </row>
    <row r="659" spans="1:10" ht="15.75" x14ac:dyDescent="0.25">
      <c r="A659" s="31">
        <v>60997</v>
      </c>
      <c r="B659" s="14">
        <f>45.1655 * CHOOSE(CONTROL!$C$15, $E$9, 100%, $G$9) + CHOOSE(CONTROL!$C$38, 0.0251, 0)</f>
        <v>45.190600000000003</v>
      </c>
      <c r="C659" s="14">
        <f>42.6922 * CHOOSE(CONTROL!$C$15, $E$9, 100%, $G$9) + CHOOSE(CONTROL!$C$38, 0.0342, 0)</f>
        <v>42.726399999999998</v>
      </c>
      <c r="D659" s="14">
        <f>42.6844 * CHOOSE(CONTROL!$C$15, $E$9, 100%, $G$9) + CHOOSE(CONTROL!$C$38, 0.0342, 0)</f>
        <v>42.718599999999995</v>
      </c>
      <c r="E659" s="45">
        <f>45.0093 * CHOOSE(CONTROL!$C$15, $E$9, 100%, $G$9) + CHOOSE(CONTROL!$C$38, 0.0342, 0)</f>
        <v>45.043500000000002</v>
      </c>
      <c r="F659" s="44">
        <f>45.0093 * CHOOSE(CONTROL!$C$15, $E$9, 100%, $G$9) + CHOOSE(CONTROL!$C$38, 0.0251, 0)</f>
        <v>45.034400000000005</v>
      </c>
      <c r="G659" s="14">
        <f>42.6906 * CHOOSE(CONTROL!$C$15, $E$9, 100%, $G$9) + CHOOSE(CONTROL!$C$38, 0.0342, 0)</f>
        <v>42.724800000000002</v>
      </c>
      <c r="H659" s="14">
        <f>42.6906 * CHOOSE(CONTROL!$C$15, $E$9, 100%, $G$9) + CHOOSE(CONTROL!$C$38, 0.0342, 0)</f>
        <v>42.724800000000002</v>
      </c>
      <c r="I659" s="14">
        <f>42.6922 * CHOOSE(CONTROL!$C$15, $E$9, 100%, $G$9) + CHOOSE(CONTROL!$C$38, 0.0342, 0)</f>
        <v>42.726399999999998</v>
      </c>
      <c r="J659" s="43">
        <f>371.5594</f>
        <v>371.55939999999998</v>
      </c>
    </row>
    <row r="660" spans="1:10" ht="15.75" x14ac:dyDescent="0.25">
      <c r="A660" s="31">
        <v>61028</v>
      </c>
      <c r="B660" s="14">
        <f>44.8272 * CHOOSE(CONTROL!$C$15, $E$9, 100%, $G$9) + CHOOSE(CONTROL!$C$38, 0.0251, 0)</f>
        <v>44.8523</v>
      </c>
      <c r="C660" s="14">
        <f>42.3715 * CHOOSE(CONTROL!$C$15, $E$9, 100%, $G$9) + CHOOSE(CONTROL!$C$38, 0.0342, 0)</f>
        <v>42.405699999999996</v>
      </c>
      <c r="D660" s="14">
        <f>42.3636 * CHOOSE(CONTROL!$C$15, $E$9, 100%, $G$9) + CHOOSE(CONTROL!$C$38, 0.0342, 0)</f>
        <v>42.397799999999997</v>
      </c>
      <c r="E660" s="45">
        <f>44.671 * CHOOSE(CONTROL!$C$15, $E$9, 100%, $G$9) + CHOOSE(CONTROL!$C$38, 0.0342, 0)</f>
        <v>44.705199999999998</v>
      </c>
      <c r="F660" s="44">
        <f>44.671 * CHOOSE(CONTROL!$C$15, $E$9, 100%, $G$9) + CHOOSE(CONTROL!$C$38, 0.0251, 0)</f>
        <v>44.696100000000001</v>
      </c>
      <c r="G660" s="14">
        <f>42.3699 * CHOOSE(CONTROL!$C$15, $E$9, 100%, $G$9) + CHOOSE(CONTROL!$C$38, 0.0342, 0)</f>
        <v>42.4041</v>
      </c>
      <c r="H660" s="14">
        <f>42.3699 * CHOOSE(CONTROL!$C$15, $E$9, 100%, $G$9) + CHOOSE(CONTROL!$C$38, 0.0342, 0)</f>
        <v>42.4041</v>
      </c>
      <c r="I660" s="14">
        <f>42.3715 * CHOOSE(CONTROL!$C$15, $E$9, 100%, $G$9) + CHOOSE(CONTROL!$C$38, 0.0342, 0)</f>
        <v>42.405699999999996</v>
      </c>
      <c r="J660" s="43">
        <f>371.2912</f>
        <v>371.2912</v>
      </c>
    </row>
    <row r="661" spans="1:10" ht="15.75" x14ac:dyDescent="0.25">
      <c r="A661" s="31">
        <v>61056</v>
      </c>
      <c r="B661" s="14">
        <f>44.7043 * CHOOSE(CONTROL!$C$15, $E$9, 100%, $G$9) + CHOOSE(CONTROL!$C$38, 0.0251, 0)</f>
        <v>44.729400000000005</v>
      </c>
      <c r="C661" s="14">
        <f>42.255 * CHOOSE(CONTROL!$C$15, $E$9, 100%, $G$9) + CHOOSE(CONTROL!$C$38, 0.0342, 0)</f>
        <v>42.289200000000001</v>
      </c>
      <c r="D661" s="14">
        <f>42.2471 * CHOOSE(CONTROL!$C$15, $E$9, 100%, $G$9) + CHOOSE(CONTROL!$C$38, 0.0342, 0)</f>
        <v>42.281300000000002</v>
      </c>
      <c r="E661" s="45">
        <f>44.5481 * CHOOSE(CONTROL!$C$15, $E$9, 100%, $G$9) + CHOOSE(CONTROL!$C$38, 0.0342, 0)</f>
        <v>44.582299999999996</v>
      </c>
      <c r="F661" s="44">
        <f>44.5481 * CHOOSE(CONTROL!$C$15, $E$9, 100%, $G$9) + CHOOSE(CONTROL!$C$38, 0.0251, 0)</f>
        <v>44.5732</v>
      </c>
      <c r="G661" s="14">
        <f>42.2534 * CHOOSE(CONTROL!$C$15, $E$9, 100%, $G$9) + CHOOSE(CONTROL!$C$38, 0.0342, 0)</f>
        <v>42.287599999999998</v>
      </c>
      <c r="H661" s="14">
        <f>42.2534 * CHOOSE(CONTROL!$C$15, $E$9, 100%, $G$9) + CHOOSE(CONTROL!$C$38, 0.0342, 0)</f>
        <v>42.287599999999998</v>
      </c>
      <c r="I661" s="14">
        <f>42.255 * CHOOSE(CONTROL!$C$15, $E$9, 100%, $G$9) + CHOOSE(CONTROL!$C$38, 0.0342, 0)</f>
        <v>42.289200000000001</v>
      </c>
      <c r="J661" s="43">
        <f>370.2591</f>
        <v>370.25909999999999</v>
      </c>
    </row>
    <row r="662" spans="1:10" ht="15.75" x14ac:dyDescent="0.25">
      <c r="A662" s="31">
        <v>61087</v>
      </c>
      <c r="B662" s="14">
        <f>47.028 * CHOOSE(CONTROL!$C$15, $E$9, 100%, $G$9) + CHOOSE(CONTROL!$C$38, 0.0251, 0)</f>
        <v>47.053100000000001</v>
      </c>
      <c r="C662" s="14">
        <f>44.4577 * CHOOSE(CONTROL!$C$15, $E$9, 100%, $G$9) + CHOOSE(CONTROL!$C$38, 0.0342, 0)</f>
        <v>44.491900000000001</v>
      </c>
      <c r="D662" s="14">
        <f>44.4499 * CHOOSE(CONTROL!$C$15, $E$9, 100%, $G$9) + CHOOSE(CONTROL!$C$38, 0.0342, 0)</f>
        <v>44.484099999999998</v>
      </c>
      <c r="E662" s="45">
        <f>46.8717 * CHOOSE(CONTROL!$C$15, $E$9, 100%, $G$9) + CHOOSE(CONTROL!$C$38, 0.0342, 0)</f>
        <v>46.905899999999995</v>
      </c>
      <c r="F662" s="44">
        <f>46.8717 * CHOOSE(CONTROL!$C$15, $E$9, 100%, $G$9) + CHOOSE(CONTROL!$C$38, 0.0251, 0)</f>
        <v>46.896799999999999</v>
      </c>
      <c r="G662" s="14">
        <f>44.4562 * CHOOSE(CONTROL!$C$15, $E$9, 100%, $G$9) + CHOOSE(CONTROL!$C$38, 0.0342, 0)</f>
        <v>44.490400000000001</v>
      </c>
      <c r="H662" s="14">
        <f>44.4562 * CHOOSE(CONTROL!$C$15, $E$9, 100%, $G$9) + CHOOSE(CONTROL!$C$38, 0.0342, 0)</f>
        <v>44.490400000000001</v>
      </c>
      <c r="I662" s="14">
        <f>44.4577 * CHOOSE(CONTROL!$C$15, $E$9, 100%, $G$9) + CHOOSE(CONTROL!$C$38, 0.0342, 0)</f>
        <v>44.491900000000001</v>
      </c>
      <c r="J662" s="43">
        <f>389.7739</f>
        <v>389.77390000000003</v>
      </c>
    </row>
    <row r="663" spans="1:10" ht="15.75" x14ac:dyDescent="0.25">
      <c r="A663" s="31">
        <v>61117</v>
      </c>
      <c r="B663" s="14">
        <f>50.0412 * CHOOSE(CONTROL!$C$15, $E$9, 100%, $G$9) + CHOOSE(CONTROL!$C$38, 0.0251, 0)</f>
        <v>50.066300000000005</v>
      </c>
      <c r="C663" s="14">
        <f>47.3142 * CHOOSE(CONTROL!$C$15, $E$9, 100%, $G$9) + CHOOSE(CONTROL!$C$38, 0.0342, 0)</f>
        <v>47.348399999999998</v>
      </c>
      <c r="D663" s="14">
        <f>47.3064 * CHOOSE(CONTROL!$C$15, $E$9, 100%, $G$9) + CHOOSE(CONTROL!$C$38, 0.0342, 0)</f>
        <v>47.340599999999995</v>
      </c>
      <c r="E663" s="45">
        <f>49.8849 * CHOOSE(CONTROL!$C$15, $E$9, 100%, $G$9) + CHOOSE(CONTROL!$C$38, 0.0342, 0)</f>
        <v>49.9191</v>
      </c>
      <c r="F663" s="44">
        <f>49.8849 * CHOOSE(CONTROL!$C$15, $E$9, 100%, $G$9) + CHOOSE(CONTROL!$C$38, 0.0251, 0)</f>
        <v>49.910000000000004</v>
      </c>
      <c r="G663" s="14">
        <f>47.3127 * CHOOSE(CONTROL!$C$15, $E$9, 100%, $G$9) + CHOOSE(CONTROL!$C$38, 0.0342, 0)</f>
        <v>47.346899999999998</v>
      </c>
      <c r="H663" s="14">
        <f>47.3127 * CHOOSE(CONTROL!$C$15, $E$9, 100%, $G$9) + CHOOSE(CONTROL!$C$38, 0.0342, 0)</f>
        <v>47.346899999999998</v>
      </c>
      <c r="I663" s="14">
        <f>47.3142 * CHOOSE(CONTROL!$C$15, $E$9, 100%, $G$9) + CHOOSE(CONTROL!$C$38, 0.0342, 0)</f>
        <v>47.348399999999998</v>
      </c>
      <c r="J663" s="43">
        <f>415.08</f>
        <v>415.08</v>
      </c>
    </row>
    <row r="664" spans="1:10" ht="15.75" x14ac:dyDescent="0.25">
      <c r="A664" s="31">
        <v>61148</v>
      </c>
      <c r="B664" s="14">
        <f>51.6997 * CHOOSE(CONTROL!$C$15, $E$9, 100%, $G$9) + CHOOSE(CONTROL!$C$38, 0.0264, 0)</f>
        <v>51.726100000000002</v>
      </c>
      <c r="C664" s="14">
        <f>48.8865 * CHOOSE(CONTROL!$C$15, $E$9, 100%, $G$9) + CHOOSE(CONTROL!$C$38, 0.0354, 0)</f>
        <v>48.921900000000001</v>
      </c>
      <c r="D664" s="14">
        <f>48.8787 * CHOOSE(CONTROL!$C$15, $E$9, 100%, $G$9) + CHOOSE(CONTROL!$C$38, 0.0354, 0)</f>
        <v>48.914100000000005</v>
      </c>
      <c r="E664" s="45">
        <f>51.5435 * CHOOSE(CONTROL!$C$15, $E$9, 100%, $G$9) + CHOOSE(CONTROL!$C$38, 0.0354, 0)</f>
        <v>51.578900000000004</v>
      </c>
      <c r="F664" s="44">
        <f>51.5435 * CHOOSE(CONTROL!$C$15, $E$9, 100%, $G$9) + CHOOSE(CONTROL!$C$38, 0.0264, 0)</f>
        <v>51.569900000000004</v>
      </c>
      <c r="G664" s="14">
        <f>48.885 * CHOOSE(CONTROL!$C$15, $E$9, 100%, $G$9) + CHOOSE(CONTROL!$C$38, 0.0354, 0)</f>
        <v>48.920400000000001</v>
      </c>
      <c r="H664" s="14">
        <f>48.885 * CHOOSE(CONTROL!$C$15, $E$9, 100%, $G$9) + CHOOSE(CONTROL!$C$38, 0.0354, 0)</f>
        <v>48.920400000000001</v>
      </c>
      <c r="I664" s="14">
        <f>48.8865 * CHOOSE(CONTROL!$C$15, $E$9, 100%, $G$9) + CHOOSE(CONTROL!$C$38, 0.0354, 0)</f>
        <v>48.921900000000001</v>
      </c>
      <c r="J664" s="43">
        <f>429.0092</f>
        <v>429.00920000000002</v>
      </c>
    </row>
    <row r="665" spans="1:10" ht="15.75" x14ac:dyDescent="0.25">
      <c r="A665" s="31">
        <v>61178</v>
      </c>
      <c r="B665" s="14">
        <f>52.4358 * CHOOSE(CONTROL!$C$15, $E$9, 100%, $G$9) + CHOOSE(CONTROL!$C$38, 0.0264, 0)</f>
        <v>52.462200000000003</v>
      </c>
      <c r="C665" s="14">
        <f>49.5843 * CHOOSE(CONTROL!$C$15, $E$9, 100%, $G$9) + CHOOSE(CONTROL!$C$38, 0.0354, 0)</f>
        <v>49.619700000000002</v>
      </c>
      <c r="D665" s="14">
        <f>49.5765 * CHOOSE(CONTROL!$C$15, $E$9, 100%, $G$9) + CHOOSE(CONTROL!$C$38, 0.0354, 0)</f>
        <v>49.611900000000006</v>
      </c>
      <c r="E665" s="45">
        <f>52.2795 * CHOOSE(CONTROL!$C$15, $E$9, 100%, $G$9) + CHOOSE(CONTROL!$C$38, 0.0354, 0)</f>
        <v>52.314900000000002</v>
      </c>
      <c r="F665" s="44">
        <f>52.2795 * CHOOSE(CONTROL!$C$15, $E$9, 100%, $G$9) + CHOOSE(CONTROL!$C$38, 0.0264, 0)</f>
        <v>52.305900000000001</v>
      </c>
      <c r="G665" s="14">
        <f>49.5827 * CHOOSE(CONTROL!$C$15, $E$9, 100%, $G$9) + CHOOSE(CONTROL!$C$38, 0.0354, 0)</f>
        <v>49.618100000000005</v>
      </c>
      <c r="H665" s="14">
        <f>49.5827 * CHOOSE(CONTROL!$C$15, $E$9, 100%, $G$9) + CHOOSE(CONTROL!$C$38, 0.0354, 0)</f>
        <v>49.618100000000005</v>
      </c>
      <c r="I665" s="14">
        <f>49.5843 * CHOOSE(CONTROL!$C$15, $E$9, 100%, $G$9) + CHOOSE(CONTROL!$C$38, 0.0354, 0)</f>
        <v>49.619700000000002</v>
      </c>
      <c r="J665" s="43">
        <f>435.1908</f>
        <v>435.19080000000002</v>
      </c>
    </row>
    <row r="666" spans="1:10" ht="15.75" x14ac:dyDescent="0.25">
      <c r="A666" s="31">
        <v>61209</v>
      </c>
      <c r="B666" s="14">
        <f>52.1935 * CHOOSE(CONTROL!$C$15, $E$9, 100%, $G$9) + CHOOSE(CONTROL!$C$38, 0.0264, 0)</f>
        <v>52.219900000000003</v>
      </c>
      <c r="C666" s="14">
        <f>49.3546 * CHOOSE(CONTROL!$C$15, $E$9, 100%, $G$9) + CHOOSE(CONTROL!$C$38, 0.0354, 0)</f>
        <v>49.39</v>
      </c>
      <c r="D666" s="14">
        <f>49.3467 * CHOOSE(CONTROL!$C$15, $E$9, 100%, $G$9) + CHOOSE(CONTROL!$C$38, 0.0354, 0)</f>
        <v>49.382100000000001</v>
      </c>
      <c r="E666" s="45">
        <f>52.0372 * CHOOSE(CONTROL!$C$15, $E$9, 100%, $G$9) + CHOOSE(CONTROL!$C$38, 0.0354, 0)</f>
        <v>52.072600000000001</v>
      </c>
      <c r="F666" s="44">
        <f>52.0372 * CHOOSE(CONTROL!$C$15, $E$9, 100%, $G$9) + CHOOSE(CONTROL!$C$38, 0.0264, 0)</f>
        <v>52.063600000000001</v>
      </c>
      <c r="G666" s="14">
        <f>49.353 * CHOOSE(CONTROL!$C$15, $E$9, 100%, $G$9) + CHOOSE(CONTROL!$C$38, 0.0354, 0)</f>
        <v>49.388400000000004</v>
      </c>
      <c r="H666" s="14">
        <f>49.353 * CHOOSE(CONTROL!$C$15, $E$9, 100%, $G$9) + CHOOSE(CONTROL!$C$38, 0.0354, 0)</f>
        <v>49.388400000000004</v>
      </c>
      <c r="I666" s="14">
        <f>49.3546 * CHOOSE(CONTROL!$C$15, $E$9, 100%, $G$9) + CHOOSE(CONTROL!$C$38, 0.0354, 0)</f>
        <v>49.39</v>
      </c>
      <c r="J666" s="43">
        <f>433.1555</f>
        <v>433.15550000000002</v>
      </c>
    </row>
    <row r="667" spans="1:10" ht="15.75" x14ac:dyDescent="0.25">
      <c r="A667" s="31">
        <v>61240</v>
      </c>
      <c r="B667" s="14">
        <f>50.9928 * CHOOSE(CONTROL!$C$15, $E$9, 100%, $G$9) + CHOOSE(CONTROL!$C$38, 0.0264, 0)</f>
        <v>51.019200000000005</v>
      </c>
      <c r="C667" s="14">
        <f>48.2163 * CHOOSE(CONTROL!$C$15, $E$9, 100%, $G$9) + CHOOSE(CONTROL!$C$38, 0.0354, 0)</f>
        <v>48.2517</v>
      </c>
      <c r="D667" s="14">
        <f>48.2085 * CHOOSE(CONTROL!$C$15, $E$9, 100%, $G$9) + CHOOSE(CONTROL!$C$38, 0.0354, 0)</f>
        <v>48.243900000000004</v>
      </c>
      <c r="E667" s="45">
        <f>50.8365 * CHOOSE(CONTROL!$C$15, $E$9, 100%, $G$9) + CHOOSE(CONTROL!$C$38, 0.0354, 0)</f>
        <v>50.871900000000004</v>
      </c>
      <c r="F667" s="44">
        <f>50.8365 * CHOOSE(CONTROL!$C$15, $E$9, 100%, $G$9) + CHOOSE(CONTROL!$C$38, 0.0264, 0)</f>
        <v>50.862900000000003</v>
      </c>
      <c r="G667" s="14">
        <f>48.2148 * CHOOSE(CONTROL!$C$15, $E$9, 100%, $G$9) + CHOOSE(CONTROL!$C$38, 0.0354, 0)</f>
        <v>48.2502</v>
      </c>
      <c r="H667" s="14">
        <f>48.2148 * CHOOSE(CONTROL!$C$15, $E$9, 100%, $G$9) + CHOOSE(CONTROL!$C$38, 0.0354, 0)</f>
        <v>48.2502</v>
      </c>
      <c r="I667" s="14">
        <f>48.2163 * CHOOSE(CONTROL!$C$15, $E$9, 100%, $G$9) + CHOOSE(CONTROL!$C$38, 0.0354, 0)</f>
        <v>48.2517</v>
      </c>
      <c r="J667" s="43">
        <f>423.0718</f>
        <v>423.0718</v>
      </c>
    </row>
    <row r="668" spans="1:10" ht="15.75" x14ac:dyDescent="0.25">
      <c r="A668" s="31">
        <v>61270</v>
      </c>
      <c r="B668" s="14">
        <f>49.3184 * CHOOSE(CONTROL!$C$15, $E$9, 100%, $G$9) + CHOOSE(CONTROL!$C$38, 0.0264, 0)</f>
        <v>49.344799999999999</v>
      </c>
      <c r="C668" s="14">
        <f>46.629 * CHOOSE(CONTROL!$C$15, $E$9, 100%, $G$9) + CHOOSE(CONTROL!$C$38, 0.0354, 0)</f>
        <v>46.664400000000001</v>
      </c>
      <c r="D668" s="14">
        <f>46.6212 * CHOOSE(CONTROL!$C$15, $E$9, 100%, $G$9) + CHOOSE(CONTROL!$C$38, 0.0354, 0)</f>
        <v>46.656600000000005</v>
      </c>
      <c r="E668" s="45">
        <f>49.1621 * CHOOSE(CONTROL!$C$15, $E$9, 100%, $G$9) + CHOOSE(CONTROL!$C$38, 0.0354, 0)</f>
        <v>49.197500000000005</v>
      </c>
      <c r="F668" s="44">
        <f>49.1621 * CHOOSE(CONTROL!$C$15, $E$9, 100%, $G$9) + CHOOSE(CONTROL!$C$38, 0.0264, 0)</f>
        <v>49.188500000000005</v>
      </c>
      <c r="G668" s="14">
        <f>46.6275 * CHOOSE(CONTROL!$C$15, $E$9, 100%, $G$9) + CHOOSE(CONTROL!$C$38, 0.0354, 0)</f>
        <v>46.6629</v>
      </c>
      <c r="H668" s="14">
        <f>46.6275 * CHOOSE(CONTROL!$C$15, $E$9, 100%, $G$9) + CHOOSE(CONTROL!$C$38, 0.0354, 0)</f>
        <v>46.6629</v>
      </c>
      <c r="I668" s="14">
        <f>46.629 * CHOOSE(CONTROL!$C$15, $E$9, 100%, $G$9) + CHOOSE(CONTROL!$C$38, 0.0354, 0)</f>
        <v>46.664400000000001</v>
      </c>
      <c r="J668" s="43">
        <f>409.0097</f>
        <v>409.00970000000001</v>
      </c>
    </row>
    <row r="669" spans="1:10" ht="15.75" x14ac:dyDescent="0.25">
      <c r="A669" s="31">
        <v>61301</v>
      </c>
      <c r="B669" s="14">
        <f>47.6342 * CHOOSE(CONTROL!$C$15, $E$9, 100%, $G$9) + CHOOSE(CONTROL!$C$38, 0.0251, 0)</f>
        <v>47.659300000000002</v>
      </c>
      <c r="C669" s="14">
        <f>45.0325 * CHOOSE(CONTROL!$C$15, $E$9, 100%, $G$9) + CHOOSE(CONTROL!$C$38, 0.0342, 0)</f>
        <v>45.066699999999997</v>
      </c>
      <c r="D669" s="14">
        <f>45.0247 * CHOOSE(CONTROL!$C$15, $E$9, 100%, $G$9) + CHOOSE(CONTROL!$C$38, 0.0342, 0)</f>
        <v>45.058900000000001</v>
      </c>
      <c r="E669" s="45">
        <f>47.478 * CHOOSE(CONTROL!$C$15, $E$9, 100%, $G$9) + CHOOSE(CONTROL!$C$38, 0.0342, 0)</f>
        <v>47.5122</v>
      </c>
      <c r="F669" s="44">
        <f>47.478 * CHOOSE(CONTROL!$C$15, $E$9, 100%, $G$9) + CHOOSE(CONTROL!$C$38, 0.0251, 0)</f>
        <v>47.503100000000003</v>
      </c>
      <c r="G669" s="14">
        <f>45.0309 * CHOOSE(CONTROL!$C$15, $E$9, 100%, $G$9) + CHOOSE(CONTROL!$C$38, 0.0342, 0)</f>
        <v>45.065100000000001</v>
      </c>
      <c r="H669" s="14">
        <f>45.0309 * CHOOSE(CONTROL!$C$15, $E$9, 100%, $G$9) + CHOOSE(CONTROL!$C$38, 0.0342, 0)</f>
        <v>45.065100000000001</v>
      </c>
      <c r="I669" s="14">
        <f>45.0325 * CHOOSE(CONTROL!$C$15, $E$9, 100%, $G$9) + CHOOSE(CONTROL!$C$38, 0.0342, 0)</f>
        <v>45.066699999999997</v>
      </c>
      <c r="J669" s="43">
        <f>394.8657</f>
        <v>394.8657</v>
      </c>
    </row>
    <row r="670" spans="1:10" ht="15.75" x14ac:dyDescent="0.25">
      <c r="A670" s="31">
        <v>61331</v>
      </c>
      <c r="B670" s="14">
        <f>47.2992 * CHOOSE(CONTROL!$C$15, $E$9, 100%, $G$9) + CHOOSE(CONTROL!$C$38, 0.0251, 0)</f>
        <v>47.324300000000001</v>
      </c>
      <c r="C670" s="14">
        <f>44.7149 * CHOOSE(CONTROL!$C$15, $E$9, 100%, $G$9) + CHOOSE(CONTROL!$C$38, 0.0342, 0)</f>
        <v>44.749099999999999</v>
      </c>
      <c r="D670" s="14">
        <f>44.7071 * CHOOSE(CONTROL!$C$15, $E$9, 100%, $G$9) + CHOOSE(CONTROL!$C$38, 0.0342, 0)</f>
        <v>44.741299999999995</v>
      </c>
      <c r="E670" s="45">
        <f>47.143 * CHOOSE(CONTROL!$C$15, $E$9, 100%, $G$9) + CHOOSE(CONTROL!$C$38, 0.0342, 0)</f>
        <v>47.177199999999999</v>
      </c>
      <c r="F670" s="44">
        <f>47.143 * CHOOSE(CONTROL!$C$15, $E$9, 100%, $G$9) + CHOOSE(CONTROL!$C$38, 0.0251, 0)</f>
        <v>47.168100000000003</v>
      </c>
      <c r="G670" s="14">
        <f>44.7133 * CHOOSE(CONTROL!$C$15, $E$9, 100%, $G$9) + CHOOSE(CONTROL!$C$38, 0.0342, 0)</f>
        <v>44.747499999999995</v>
      </c>
      <c r="H670" s="14">
        <f>44.7133 * CHOOSE(CONTROL!$C$15, $E$9, 100%, $G$9) + CHOOSE(CONTROL!$C$38, 0.0342, 0)</f>
        <v>44.747499999999995</v>
      </c>
      <c r="I670" s="14">
        <f>44.7149 * CHOOSE(CONTROL!$C$15, $E$9, 100%, $G$9) + CHOOSE(CONTROL!$C$38, 0.0342, 0)</f>
        <v>44.749099999999999</v>
      </c>
      <c r="J670" s="43">
        <f>392.0522</f>
        <v>392.05220000000003</v>
      </c>
    </row>
    <row r="671" spans="1:10" ht="15.75" x14ac:dyDescent="0.25">
      <c r="A671" s="31">
        <v>61362</v>
      </c>
      <c r="B671" s="14">
        <f>45.9139 * CHOOSE(CONTROL!$C$15, $E$9, 100%, $G$9) + CHOOSE(CONTROL!$C$38, 0.0251, 0)</f>
        <v>45.939</v>
      </c>
      <c r="C671" s="14">
        <f>43.4017 * CHOOSE(CONTROL!$C$15, $E$9, 100%, $G$9) + CHOOSE(CONTROL!$C$38, 0.0342, 0)</f>
        <v>43.435899999999997</v>
      </c>
      <c r="D671" s="14">
        <f>43.3939 * CHOOSE(CONTROL!$C$15, $E$9, 100%, $G$9) + CHOOSE(CONTROL!$C$38, 0.0342, 0)</f>
        <v>43.428100000000001</v>
      </c>
      <c r="E671" s="45">
        <f>45.7577 * CHOOSE(CONTROL!$C$15, $E$9, 100%, $G$9) + CHOOSE(CONTROL!$C$38, 0.0342, 0)</f>
        <v>45.791899999999998</v>
      </c>
      <c r="F671" s="44">
        <f>45.7577 * CHOOSE(CONTROL!$C$15, $E$9, 100%, $G$9) + CHOOSE(CONTROL!$C$38, 0.0251, 0)</f>
        <v>45.782800000000002</v>
      </c>
      <c r="G671" s="14">
        <f>43.4001 * CHOOSE(CONTROL!$C$15, $E$9, 100%, $G$9) + CHOOSE(CONTROL!$C$38, 0.0342, 0)</f>
        <v>43.4343</v>
      </c>
      <c r="H671" s="14">
        <f>43.4001 * CHOOSE(CONTROL!$C$15, $E$9, 100%, $G$9) + CHOOSE(CONTROL!$C$38, 0.0342, 0)</f>
        <v>43.4343</v>
      </c>
      <c r="I671" s="14">
        <f>43.4017 * CHOOSE(CONTROL!$C$15, $E$9, 100%, $G$9) + CHOOSE(CONTROL!$C$38, 0.0342, 0)</f>
        <v>43.435899999999997</v>
      </c>
      <c r="J671" s="43">
        <f>380.418</f>
        <v>380.41800000000001</v>
      </c>
    </row>
    <row r="672" spans="1:10" ht="15.75" x14ac:dyDescent="0.25">
      <c r="A672" s="31">
        <v>61393</v>
      </c>
      <c r="B672" s="14">
        <f>45.5699 * CHOOSE(CONTROL!$C$15, $E$9, 100%, $G$9) + CHOOSE(CONTROL!$C$38, 0.0251, 0)</f>
        <v>45.594999999999999</v>
      </c>
      <c r="C672" s="14">
        <f>43.0755 * CHOOSE(CONTROL!$C$15, $E$9, 100%, $G$9) + CHOOSE(CONTROL!$C$38, 0.0342, 0)</f>
        <v>43.109699999999997</v>
      </c>
      <c r="D672" s="14">
        <f>43.0677 * CHOOSE(CONTROL!$C$15, $E$9, 100%, $G$9) + CHOOSE(CONTROL!$C$38, 0.0342, 0)</f>
        <v>43.101900000000001</v>
      </c>
      <c r="E672" s="45">
        <f>45.4137 * CHOOSE(CONTROL!$C$15, $E$9, 100%, $G$9) + CHOOSE(CONTROL!$C$38, 0.0342, 0)</f>
        <v>45.447899999999997</v>
      </c>
      <c r="F672" s="44">
        <f>45.4137 * CHOOSE(CONTROL!$C$15, $E$9, 100%, $G$9) + CHOOSE(CONTROL!$C$38, 0.0251, 0)</f>
        <v>45.438800000000001</v>
      </c>
      <c r="G672" s="14">
        <f>43.074 * CHOOSE(CONTROL!$C$15, $E$9, 100%, $G$9) + CHOOSE(CONTROL!$C$38, 0.0342, 0)</f>
        <v>43.108199999999997</v>
      </c>
      <c r="H672" s="14">
        <f>43.074 * CHOOSE(CONTROL!$C$15, $E$9, 100%, $G$9) + CHOOSE(CONTROL!$C$38, 0.0342, 0)</f>
        <v>43.108199999999997</v>
      </c>
      <c r="I672" s="14">
        <f>43.0755 * CHOOSE(CONTROL!$C$15, $E$9, 100%, $G$9) + CHOOSE(CONTROL!$C$38, 0.0342, 0)</f>
        <v>43.109699999999997</v>
      </c>
      <c r="J672" s="43">
        <f>380.1433</f>
        <v>380.14330000000001</v>
      </c>
    </row>
    <row r="673" spans="1:10" ht="15.75" x14ac:dyDescent="0.25">
      <c r="A673" s="31">
        <v>61422</v>
      </c>
      <c r="B673" s="14">
        <f>45.445 * CHOOSE(CONTROL!$C$15, $E$9, 100%, $G$9) + CHOOSE(CONTROL!$C$38, 0.0251, 0)</f>
        <v>45.470100000000002</v>
      </c>
      <c r="C673" s="14">
        <f>42.9571 * CHOOSE(CONTROL!$C$15, $E$9, 100%, $G$9) + CHOOSE(CONTROL!$C$38, 0.0342, 0)</f>
        <v>42.991299999999995</v>
      </c>
      <c r="D673" s="14">
        <f>42.9493 * CHOOSE(CONTROL!$C$15, $E$9, 100%, $G$9) + CHOOSE(CONTROL!$C$38, 0.0342, 0)</f>
        <v>42.983499999999999</v>
      </c>
      <c r="E673" s="45">
        <f>45.2887 * CHOOSE(CONTROL!$C$15, $E$9, 100%, $G$9) + CHOOSE(CONTROL!$C$38, 0.0342, 0)</f>
        <v>45.322899999999997</v>
      </c>
      <c r="F673" s="44">
        <f>45.2887 * CHOOSE(CONTROL!$C$15, $E$9, 100%, $G$9) + CHOOSE(CONTROL!$C$38, 0.0251, 0)</f>
        <v>45.313800000000001</v>
      </c>
      <c r="G673" s="14">
        <f>42.9555 * CHOOSE(CONTROL!$C$15, $E$9, 100%, $G$9) + CHOOSE(CONTROL!$C$38, 0.0342, 0)</f>
        <v>42.989699999999999</v>
      </c>
      <c r="H673" s="14">
        <f>42.9555 * CHOOSE(CONTROL!$C$15, $E$9, 100%, $G$9) + CHOOSE(CONTROL!$C$38, 0.0342, 0)</f>
        <v>42.989699999999999</v>
      </c>
      <c r="I673" s="14">
        <f>42.9571 * CHOOSE(CONTROL!$C$15, $E$9, 100%, $G$9) + CHOOSE(CONTROL!$C$38, 0.0342, 0)</f>
        <v>42.991299999999995</v>
      </c>
      <c r="J673" s="43">
        <f>379.0867</f>
        <v>379.08670000000001</v>
      </c>
    </row>
    <row r="674" spans="1:10" ht="15.75" x14ac:dyDescent="0.25">
      <c r="A674" s="31">
        <v>61453</v>
      </c>
      <c r="B674" s="14">
        <f>47.8077 * CHOOSE(CONTROL!$C$15, $E$9, 100%, $G$9) + CHOOSE(CONTROL!$C$38, 0.0251, 0)</f>
        <v>47.832799999999999</v>
      </c>
      <c r="C674" s="14">
        <f>45.1969 * CHOOSE(CONTROL!$C$15, $E$9, 100%, $G$9) + CHOOSE(CONTROL!$C$38, 0.0342, 0)</f>
        <v>45.231099999999998</v>
      </c>
      <c r="D674" s="14">
        <f>45.1891 * CHOOSE(CONTROL!$C$15, $E$9, 100%, $G$9) + CHOOSE(CONTROL!$C$38, 0.0342, 0)</f>
        <v>45.223300000000002</v>
      </c>
      <c r="E674" s="45">
        <f>47.6514 * CHOOSE(CONTROL!$C$15, $E$9, 100%, $G$9) + CHOOSE(CONTROL!$C$38, 0.0342, 0)</f>
        <v>47.685600000000001</v>
      </c>
      <c r="F674" s="44">
        <f>47.6514 * CHOOSE(CONTROL!$C$15, $E$9, 100%, $G$9) + CHOOSE(CONTROL!$C$38, 0.0251, 0)</f>
        <v>47.676500000000004</v>
      </c>
      <c r="G674" s="14">
        <f>45.1953 * CHOOSE(CONTROL!$C$15, $E$9, 100%, $G$9) + CHOOSE(CONTROL!$C$38, 0.0342, 0)</f>
        <v>45.229500000000002</v>
      </c>
      <c r="H674" s="14">
        <f>45.1953 * CHOOSE(CONTROL!$C$15, $E$9, 100%, $G$9) + CHOOSE(CONTROL!$C$38, 0.0342, 0)</f>
        <v>45.229500000000002</v>
      </c>
      <c r="I674" s="14">
        <f>45.1969 * CHOOSE(CONTROL!$C$15, $E$9, 100%, $G$9) + CHOOSE(CONTROL!$C$38, 0.0342, 0)</f>
        <v>45.231099999999998</v>
      </c>
      <c r="J674" s="43">
        <f>399.0667</f>
        <v>399.06670000000003</v>
      </c>
    </row>
    <row r="675" spans="1:10" ht="15.75" x14ac:dyDescent="0.25">
      <c r="A675" s="31">
        <v>61483</v>
      </c>
      <c r="B675" s="14">
        <f>50.8715 * CHOOSE(CONTROL!$C$15, $E$9, 100%, $G$9) + CHOOSE(CONTROL!$C$38, 0.0251, 0)</f>
        <v>50.896599999999999</v>
      </c>
      <c r="C675" s="14">
        <f>48.1014 * CHOOSE(CONTROL!$C$15, $E$9, 100%, $G$9) + CHOOSE(CONTROL!$C$38, 0.0342, 0)</f>
        <v>48.135599999999997</v>
      </c>
      <c r="D675" s="14">
        <f>48.0935 * CHOOSE(CONTROL!$C$15, $E$9, 100%, $G$9) + CHOOSE(CONTROL!$C$38, 0.0342, 0)</f>
        <v>48.127699999999997</v>
      </c>
      <c r="E675" s="45">
        <f>50.7152 * CHOOSE(CONTROL!$C$15, $E$9, 100%, $G$9) + CHOOSE(CONTROL!$C$38, 0.0342, 0)</f>
        <v>50.749400000000001</v>
      </c>
      <c r="F675" s="44">
        <f>50.7152 * CHOOSE(CONTROL!$C$15, $E$9, 100%, $G$9) + CHOOSE(CONTROL!$C$38, 0.0251, 0)</f>
        <v>50.740300000000005</v>
      </c>
      <c r="G675" s="14">
        <f>48.0998 * CHOOSE(CONTROL!$C$15, $E$9, 100%, $G$9) + CHOOSE(CONTROL!$C$38, 0.0342, 0)</f>
        <v>48.134</v>
      </c>
      <c r="H675" s="14">
        <f>48.0998 * CHOOSE(CONTROL!$C$15, $E$9, 100%, $G$9) + CHOOSE(CONTROL!$C$38, 0.0342, 0)</f>
        <v>48.134</v>
      </c>
      <c r="I675" s="14">
        <f>48.1014 * CHOOSE(CONTROL!$C$15, $E$9, 100%, $G$9) + CHOOSE(CONTROL!$C$38, 0.0342, 0)</f>
        <v>48.135599999999997</v>
      </c>
      <c r="J675" s="43">
        <f>424.9761</f>
        <v>424.97609999999997</v>
      </c>
    </row>
    <row r="676" spans="1:10" ht="15.75" x14ac:dyDescent="0.25">
      <c r="A676" s="31">
        <v>61514</v>
      </c>
      <c r="B676" s="14">
        <f>52.5579 * CHOOSE(CONTROL!$C$15, $E$9, 100%, $G$9) + CHOOSE(CONTROL!$C$38, 0.0264, 0)</f>
        <v>52.584299999999999</v>
      </c>
      <c r="C676" s="14">
        <f>49.7001 * CHOOSE(CONTROL!$C$15, $E$9, 100%, $G$9) + CHOOSE(CONTROL!$C$38, 0.0354, 0)</f>
        <v>49.735500000000002</v>
      </c>
      <c r="D676" s="14">
        <f>49.6923 * CHOOSE(CONTROL!$C$15, $E$9, 100%, $G$9) + CHOOSE(CONTROL!$C$38, 0.0354, 0)</f>
        <v>49.727700000000006</v>
      </c>
      <c r="E676" s="45">
        <f>52.4017 * CHOOSE(CONTROL!$C$15, $E$9, 100%, $G$9) + CHOOSE(CONTROL!$C$38, 0.0354, 0)</f>
        <v>52.437100000000001</v>
      </c>
      <c r="F676" s="44">
        <f>52.4017 * CHOOSE(CONTROL!$C$15, $E$9, 100%, $G$9) + CHOOSE(CONTROL!$C$38, 0.0264, 0)</f>
        <v>52.428100000000001</v>
      </c>
      <c r="G676" s="14">
        <f>49.6985 * CHOOSE(CONTROL!$C$15, $E$9, 100%, $G$9) + CHOOSE(CONTROL!$C$38, 0.0354, 0)</f>
        <v>49.733900000000006</v>
      </c>
      <c r="H676" s="14">
        <f>49.6985 * CHOOSE(CONTROL!$C$15, $E$9, 100%, $G$9) + CHOOSE(CONTROL!$C$38, 0.0354, 0)</f>
        <v>49.733900000000006</v>
      </c>
      <c r="I676" s="14">
        <f>49.7001 * CHOOSE(CONTROL!$C$15, $E$9, 100%, $G$9) + CHOOSE(CONTROL!$C$38, 0.0354, 0)</f>
        <v>49.735500000000002</v>
      </c>
      <c r="J676" s="43">
        <f>439.2374</f>
        <v>439.23739999999998</v>
      </c>
    </row>
    <row r="677" spans="1:10" ht="15.75" x14ac:dyDescent="0.25">
      <c r="A677" s="31">
        <v>61544</v>
      </c>
      <c r="B677" s="14">
        <f>53.3063 * CHOOSE(CONTROL!$C$15, $E$9, 100%, $G$9) + CHOOSE(CONTROL!$C$38, 0.0264, 0)</f>
        <v>53.332700000000003</v>
      </c>
      <c r="C677" s="14">
        <f>50.4096 * CHOOSE(CONTROL!$C$15, $E$9, 100%, $G$9) + CHOOSE(CONTROL!$C$38, 0.0354, 0)</f>
        <v>50.445</v>
      </c>
      <c r="D677" s="14">
        <f>50.4017 * CHOOSE(CONTROL!$C$15, $E$9, 100%, $G$9) + CHOOSE(CONTROL!$C$38, 0.0354, 0)</f>
        <v>50.437100000000001</v>
      </c>
      <c r="E677" s="45">
        <f>53.1501 * CHOOSE(CONTROL!$C$15, $E$9, 100%, $G$9) + CHOOSE(CONTROL!$C$38, 0.0354, 0)</f>
        <v>53.185500000000005</v>
      </c>
      <c r="F677" s="44">
        <f>53.1501 * CHOOSE(CONTROL!$C$15, $E$9, 100%, $G$9) + CHOOSE(CONTROL!$C$38, 0.0264, 0)</f>
        <v>53.176500000000004</v>
      </c>
      <c r="G677" s="14">
        <f>50.408 * CHOOSE(CONTROL!$C$15, $E$9, 100%, $G$9) + CHOOSE(CONTROL!$C$38, 0.0354, 0)</f>
        <v>50.443400000000004</v>
      </c>
      <c r="H677" s="14">
        <f>50.408 * CHOOSE(CONTROL!$C$15, $E$9, 100%, $G$9) + CHOOSE(CONTROL!$C$38, 0.0354, 0)</f>
        <v>50.443400000000004</v>
      </c>
      <c r="I677" s="14">
        <f>50.4096 * CHOOSE(CONTROL!$C$15, $E$9, 100%, $G$9) + CHOOSE(CONTROL!$C$38, 0.0354, 0)</f>
        <v>50.445</v>
      </c>
      <c r="J677" s="43">
        <f>445.5664</f>
        <v>445.56639999999999</v>
      </c>
    </row>
    <row r="678" spans="1:10" ht="15.75" x14ac:dyDescent="0.25">
      <c r="A678" s="31">
        <v>61575</v>
      </c>
      <c r="B678" s="14">
        <f>53.0599 * CHOOSE(CONTROL!$C$15, $E$9, 100%, $G$9) + CHOOSE(CONTROL!$C$38, 0.0264, 0)</f>
        <v>53.086300000000001</v>
      </c>
      <c r="C678" s="14">
        <f>50.176 * CHOOSE(CONTROL!$C$15, $E$9, 100%, $G$9) + CHOOSE(CONTROL!$C$38, 0.0354, 0)</f>
        <v>50.211400000000005</v>
      </c>
      <c r="D678" s="14">
        <f>50.1681 * CHOOSE(CONTROL!$C$15, $E$9, 100%, $G$9) + CHOOSE(CONTROL!$C$38, 0.0354, 0)</f>
        <v>50.203500000000005</v>
      </c>
      <c r="E678" s="45">
        <f>52.9037 * CHOOSE(CONTROL!$C$15, $E$9, 100%, $G$9) + CHOOSE(CONTROL!$C$38, 0.0354, 0)</f>
        <v>52.939100000000003</v>
      </c>
      <c r="F678" s="44">
        <f>52.9037 * CHOOSE(CONTROL!$C$15, $E$9, 100%, $G$9) + CHOOSE(CONTROL!$C$38, 0.0264, 0)</f>
        <v>52.930100000000003</v>
      </c>
      <c r="G678" s="14">
        <f>50.1744 * CHOOSE(CONTROL!$C$15, $E$9, 100%, $G$9) + CHOOSE(CONTROL!$C$38, 0.0354, 0)</f>
        <v>50.209800000000001</v>
      </c>
      <c r="H678" s="14">
        <f>50.1744 * CHOOSE(CONTROL!$C$15, $E$9, 100%, $G$9) + CHOOSE(CONTROL!$C$38, 0.0354, 0)</f>
        <v>50.209800000000001</v>
      </c>
      <c r="I678" s="14">
        <f>50.176 * CHOOSE(CONTROL!$C$15, $E$9, 100%, $G$9) + CHOOSE(CONTROL!$C$38, 0.0354, 0)</f>
        <v>50.211400000000005</v>
      </c>
      <c r="J678" s="43">
        <f>443.4826</f>
        <v>443.48259999999999</v>
      </c>
    </row>
    <row r="679" spans="1:10" ht="15.75" x14ac:dyDescent="0.25">
      <c r="A679" s="31">
        <v>61606</v>
      </c>
      <c r="B679" s="14">
        <f>51.8391 * CHOOSE(CONTROL!$C$15, $E$9, 100%, $G$9) + CHOOSE(CONTROL!$C$38, 0.0264, 0)</f>
        <v>51.865500000000004</v>
      </c>
      <c r="C679" s="14">
        <f>49.0186 * CHOOSE(CONTROL!$C$15, $E$9, 100%, $G$9) + CHOOSE(CONTROL!$C$38, 0.0354, 0)</f>
        <v>49.054000000000002</v>
      </c>
      <c r="D679" s="14">
        <f>49.0108 * CHOOSE(CONTROL!$C$15, $E$9, 100%, $G$9) + CHOOSE(CONTROL!$C$38, 0.0354, 0)</f>
        <v>49.046200000000006</v>
      </c>
      <c r="E679" s="45">
        <f>51.6828 * CHOOSE(CONTROL!$C$15, $E$9, 100%, $G$9) + CHOOSE(CONTROL!$C$38, 0.0354, 0)</f>
        <v>51.718200000000003</v>
      </c>
      <c r="F679" s="44">
        <f>51.6828 * CHOOSE(CONTROL!$C$15, $E$9, 100%, $G$9) + CHOOSE(CONTROL!$C$38, 0.0264, 0)</f>
        <v>51.709200000000003</v>
      </c>
      <c r="G679" s="14">
        <f>49.0171 * CHOOSE(CONTROL!$C$15, $E$9, 100%, $G$9) + CHOOSE(CONTROL!$C$38, 0.0354, 0)</f>
        <v>49.052500000000002</v>
      </c>
      <c r="H679" s="14">
        <f>49.0171 * CHOOSE(CONTROL!$C$15, $E$9, 100%, $G$9) + CHOOSE(CONTROL!$C$38, 0.0354, 0)</f>
        <v>49.052500000000002</v>
      </c>
      <c r="I679" s="14">
        <f>49.0186 * CHOOSE(CONTROL!$C$15, $E$9, 100%, $G$9) + CHOOSE(CONTROL!$C$38, 0.0354, 0)</f>
        <v>49.054000000000002</v>
      </c>
      <c r="J679" s="43">
        <f>433.1585</f>
        <v>433.1585</v>
      </c>
    </row>
    <row r="680" spans="1:10" ht="15.75" x14ac:dyDescent="0.25">
      <c r="A680" s="31">
        <v>61636</v>
      </c>
      <c r="B680" s="14">
        <f>50.1365 * CHOOSE(CONTROL!$C$15, $E$9, 100%, $G$9) + CHOOSE(CONTROL!$C$38, 0.0264, 0)</f>
        <v>50.1629</v>
      </c>
      <c r="C680" s="14">
        <f>47.4046 * CHOOSE(CONTROL!$C$15, $E$9, 100%, $G$9) + CHOOSE(CONTROL!$C$38, 0.0354, 0)</f>
        <v>47.440000000000005</v>
      </c>
      <c r="D680" s="14">
        <f>47.3968 * CHOOSE(CONTROL!$C$15, $E$9, 100%, $G$9) + CHOOSE(CONTROL!$C$38, 0.0354, 0)</f>
        <v>47.432200000000002</v>
      </c>
      <c r="E680" s="45">
        <f>49.9803 * CHOOSE(CONTROL!$C$15, $E$9, 100%, $G$9) + CHOOSE(CONTROL!$C$38, 0.0354, 0)</f>
        <v>50.015700000000002</v>
      </c>
      <c r="F680" s="44">
        <f>49.9803 * CHOOSE(CONTROL!$C$15, $E$9, 100%, $G$9) + CHOOSE(CONTROL!$C$38, 0.0264, 0)</f>
        <v>50.006700000000002</v>
      </c>
      <c r="G680" s="14">
        <f>47.4031 * CHOOSE(CONTROL!$C$15, $E$9, 100%, $G$9) + CHOOSE(CONTROL!$C$38, 0.0354, 0)</f>
        <v>47.438500000000005</v>
      </c>
      <c r="H680" s="14">
        <f>47.4031 * CHOOSE(CONTROL!$C$15, $E$9, 100%, $G$9) + CHOOSE(CONTROL!$C$38, 0.0354, 0)</f>
        <v>47.438500000000005</v>
      </c>
      <c r="I680" s="14">
        <f>47.4046 * CHOOSE(CONTROL!$C$15, $E$9, 100%, $G$9) + CHOOSE(CONTROL!$C$38, 0.0354, 0)</f>
        <v>47.440000000000005</v>
      </c>
      <c r="J680" s="43">
        <f>418.7611</f>
        <v>418.7611</v>
      </c>
    </row>
    <row r="681" spans="1:10" ht="15.75" x14ac:dyDescent="0.25">
      <c r="A681" s="31">
        <v>61667</v>
      </c>
      <c r="B681" s="14">
        <f>48.4241 * CHOOSE(CONTROL!$C$15, $E$9, 100%, $G$9) + CHOOSE(CONTROL!$C$38, 0.0251, 0)</f>
        <v>48.449200000000005</v>
      </c>
      <c r="C681" s="14">
        <f>45.7813 * CHOOSE(CONTROL!$C$15, $E$9, 100%, $G$9) + CHOOSE(CONTROL!$C$38, 0.0342, 0)</f>
        <v>45.8155</v>
      </c>
      <c r="D681" s="14">
        <f>45.7735 * CHOOSE(CONTROL!$C$15, $E$9, 100%, $G$9) + CHOOSE(CONTROL!$C$38, 0.0342, 0)</f>
        <v>45.807699999999997</v>
      </c>
      <c r="E681" s="45">
        <f>48.2679 * CHOOSE(CONTROL!$C$15, $E$9, 100%, $G$9) + CHOOSE(CONTROL!$C$38, 0.0342, 0)</f>
        <v>48.302099999999996</v>
      </c>
      <c r="F681" s="44">
        <f>48.2679 * CHOOSE(CONTROL!$C$15, $E$9, 100%, $G$9) + CHOOSE(CONTROL!$C$38, 0.0251, 0)</f>
        <v>48.292999999999999</v>
      </c>
      <c r="G681" s="14">
        <f>45.7797 * CHOOSE(CONTROL!$C$15, $E$9, 100%, $G$9) + CHOOSE(CONTROL!$C$38, 0.0342, 0)</f>
        <v>45.813899999999997</v>
      </c>
      <c r="H681" s="14">
        <f>45.7797 * CHOOSE(CONTROL!$C$15, $E$9, 100%, $G$9) + CHOOSE(CONTROL!$C$38, 0.0342, 0)</f>
        <v>45.813899999999997</v>
      </c>
      <c r="I681" s="14">
        <f>45.7813 * CHOOSE(CONTROL!$C$15, $E$9, 100%, $G$9) + CHOOSE(CONTROL!$C$38, 0.0342, 0)</f>
        <v>45.8155</v>
      </c>
      <c r="J681" s="43">
        <f>404.2799</f>
        <v>404.2799</v>
      </c>
    </row>
    <row r="682" spans="1:10" ht="15.75" x14ac:dyDescent="0.25">
      <c r="A682" s="31">
        <v>61697</v>
      </c>
      <c r="B682" s="14">
        <f>48.0835 * CHOOSE(CONTROL!$C$15, $E$9, 100%, $G$9) + CHOOSE(CONTROL!$C$38, 0.0251, 0)</f>
        <v>48.108600000000003</v>
      </c>
      <c r="C682" s="14">
        <f>45.4584 * CHOOSE(CONTROL!$C$15, $E$9, 100%, $G$9) + CHOOSE(CONTROL!$C$38, 0.0342, 0)</f>
        <v>45.492599999999996</v>
      </c>
      <c r="D682" s="14">
        <f>45.4505 * CHOOSE(CONTROL!$C$15, $E$9, 100%, $G$9) + CHOOSE(CONTROL!$C$38, 0.0342, 0)</f>
        <v>45.484699999999997</v>
      </c>
      <c r="E682" s="45">
        <f>47.9272 * CHOOSE(CONTROL!$C$15, $E$9, 100%, $G$9) + CHOOSE(CONTROL!$C$38, 0.0342, 0)</f>
        <v>47.961399999999998</v>
      </c>
      <c r="F682" s="44">
        <f>47.9272 * CHOOSE(CONTROL!$C$15, $E$9, 100%, $G$9) + CHOOSE(CONTROL!$C$38, 0.0251, 0)</f>
        <v>47.952300000000001</v>
      </c>
      <c r="G682" s="14">
        <f>45.4568 * CHOOSE(CONTROL!$C$15, $E$9, 100%, $G$9) + CHOOSE(CONTROL!$C$38, 0.0342, 0)</f>
        <v>45.491</v>
      </c>
      <c r="H682" s="14">
        <f>45.4568 * CHOOSE(CONTROL!$C$15, $E$9, 100%, $G$9) + CHOOSE(CONTROL!$C$38, 0.0342, 0)</f>
        <v>45.491</v>
      </c>
      <c r="I682" s="14">
        <f>45.4584 * CHOOSE(CONTROL!$C$15, $E$9, 100%, $G$9) + CHOOSE(CONTROL!$C$38, 0.0342, 0)</f>
        <v>45.492599999999996</v>
      </c>
      <c r="J682" s="43">
        <f>401.3993</f>
        <v>401.39929999999998</v>
      </c>
    </row>
    <row r="683" spans="1:10" ht="15.75" x14ac:dyDescent="0.25">
      <c r="A683" s="31">
        <v>61728</v>
      </c>
      <c r="B683" s="14">
        <f>46.6749 * CHOOSE(CONTROL!$C$15, $E$9, 100%, $G$9) + CHOOSE(CONTROL!$C$38, 0.0251, 0)</f>
        <v>46.7</v>
      </c>
      <c r="C683" s="14">
        <f>44.1231 * CHOOSE(CONTROL!$C$15, $E$9, 100%, $G$9) + CHOOSE(CONTROL!$C$38, 0.0342, 0)</f>
        <v>44.157299999999999</v>
      </c>
      <c r="D683" s="14">
        <f>44.1152 * CHOOSE(CONTROL!$C$15, $E$9, 100%, $G$9) + CHOOSE(CONTROL!$C$38, 0.0342, 0)</f>
        <v>44.1494</v>
      </c>
      <c r="E683" s="45">
        <f>46.5187 * CHOOSE(CONTROL!$C$15, $E$9, 100%, $G$9) + CHOOSE(CONTROL!$C$38, 0.0342, 0)</f>
        <v>46.552900000000001</v>
      </c>
      <c r="F683" s="44">
        <f>46.5187 * CHOOSE(CONTROL!$C$15, $E$9, 100%, $G$9) + CHOOSE(CONTROL!$C$38, 0.0251, 0)</f>
        <v>46.543800000000005</v>
      </c>
      <c r="G683" s="14">
        <f>44.1215 * CHOOSE(CONTROL!$C$15, $E$9, 100%, $G$9) + CHOOSE(CONTROL!$C$38, 0.0342, 0)</f>
        <v>44.155699999999996</v>
      </c>
      <c r="H683" s="14">
        <f>44.1215 * CHOOSE(CONTROL!$C$15, $E$9, 100%, $G$9) + CHOOSE(CONTROL!$C$38, 0.0342, 0)</f>
        <v>44.155699999999996</v>
      </c>
      <c r="I683" s="14">
        <f>44.1231 * CHOOSE(CONTROL!$C$15, $E$9, 100%, $G$9) + CHOOSE(CONTROL!$C$38, 0.0342, 0)</f>
        <v>44.157299999999999</v>
      </c>
      <c r="J683" s="43">
        <f>389.4877</f>
        <v>389.48770000000002</v>
      </c>
    </row>
    <row r="684" spans="1:10" ht="15.75" x14ac:dyDescent="0.25">
      <c r="A684" s="31">
        <v>61759</v>
      </c>
      <c r="B684" s="14">
        <f>46.3251 * CHOOSE(CONTROL!$C$15, $E$9, 100%, $G$9) + CHOOSE(CONTROL!$C$38, 0.0251, 0)</f>
        <v>46.350200000000001</v>
      </c>
      <c r="C684" s="14">
        <f>43.7915 * CHOOSE(CONTROL!$C$15, $E$9, 100%, $G$9) + CHOOSE(CONTROL!$C$38, 0.0342, 0)</f>
        <v>43.825699999999998</v>
      </c>
      <c r="D684" s="14">
        <f>43.7836 * CHOOSE(CONTROL!$C$15, $E$9, 100%, $G$9) + CHOOSE(CONTROL!$C$38, 0.0342, 0)</f>
        <v>43.817799999999998</v>
      </c>
      <c r="E684" s="45">
        <f>46.1689 * CHOOSE(CONTROL!$C$15, $E$9, 100%, $G$9) + CHOOSE(CONTROL!$C$38, 0.0342, 0)</f>
        <v>46.203099999999999</v>
      </c>
      <c r="F684" s="44">
        <f>46.1689 * CHOOSE(CONTROL!$C$15, $E$9, 100%, $G$9) + CHOOSE(CONTROL!$C$38, 0.0251, 0)</f>
        <v>46.194000000000003</v>
      </c>
      <c r="G684" s="14">
        <f>43.7899 * CHOOSE(CONTROL!$C$15, $E$9, 100%, $G$9) + CHOOSE(CONTROL!$C$38, 0.0342, 0)</f>
        <v>43.824100000000001</v>
      </c>
      <c r="H684" s="14">
        <f>43.7899 * CHOOSE(CONTROL!$C$15, $E$9, 100%, $G$9) + CHOOSE(CONTROL!$C$38, 0.0342, 0)</f>
        <v>43.824100000000001</v>
      </c>
      <c r="I684" s="14">
        <f>43.7915 * CHOOSE(CONTROL!$C$15, $E$9, 100%, $G$9) + CHOOSE(CONTROL!$C$38, 0.0342, 0)</f>
        <v>43.825699999999998</v>
      </c>
      <c r="J684" s="43">
        <f>389.2065</f>
        <v>389.20650000000001</v>
      </c>
    </row>
    <row r="685" spans="1:10" ht="15.75" x14ac:dyDescent="0.25">
      <c r="A685" s="31">
        <v>61787</v>
      </c>
      <c r="B685" s="14">
        <f>46.1981 * CHOOSE(CONTROL!$C$15, $E$9, 100%, $G$9) + CHOOSE(CONTROL!$C$38, 0.0251, 0)</f>
        <v>46.223199999999999</v>
      </c>
      <c r="C685" s="14">
        <f>43.671 * CHOOSE(CONTROL!$C$15, $E$9, 100%, $G$9) + CHOOSE(CONTROL!$C$38, 0.0342, 0)</f>
        <v>43.705199999999998</v>
      </c>
      <c r="D685" s="14">
        <f>43.6632 * CHOOSE(CONTROL!$C$15, $E$9, 100%, $G$9) + CHOOSE(CONTROL!$C$38, 0.0342, 0)</f>
        <v>43.697400000000002</v>
      </c>
      <c r="E685" s="45">
        <f>46.0418 * CHOOSE(CONTROL!$C$15, $E$9, 100%, $G$9) + CHOOSE(CONTROL!$C$38, 0.0342, 0)</f>
        <v>46.076000000000001</v>
      </c>
      <c r="F685" s="44">
        <f>46.0418 * CHOOSE(CONTROL!$C$15, $E$9, 100%, $G$9) + CHOOSE(CONTROL!$C$38, 0.0251, 0)</f>
        <v>46.066900000000004</v>
      </c>
      <c r="G685" s="14">
        <f>43.6694 * CHOOSE(CONTROL!$C$15, $E$9, 100%, $G$9) + CHOOSE(CONTROL!$C$38, 0.0342, 0)</f>
        <v>43.703600000000002</v>
      </c>
      <c r="H685" s="14">
        <f>43.6694 * CHOOSE(CONTROL!$C$15, $E$9, 100%, $G$9) + CHOOSE(CONTROL!$C$38, 0.0342, 0)</f>
        <v>43.703600000000002</v>
      </c>
      <c r="I685" s="14">
        <f>43.671 * CHOOSE(CONTROL!$C$15, $E$9, 100%, $G$9) + CHOOSE(CONTROL!$C$38, 0.0342, 0)</f>
        <v>43.705199999999998</v>
      </c>
      <c r="J685" s="43">
        <f>388.1247</f>
        <v>388.12470000000002</v>
      </c>
    </row>
    <row r="686" spans="1:10" ht="15.75" x14ac:dyDescent="0.25">
      <c r="A686" s="31">
        <v>61818</v>
      </c>
      <c r="B686" s="14">
        <f>48.6004 * CHOOSE(CONTROL!$C$15, $E$9, 100%, $G$9) + CHOOSE(CONTROL!$C$38, 0.0251, 0)</f>
        <v>48.625500000000002</v>
      </c>
      <c r="C686" s="14">
        <f>45.9484 * CHOOSE(CONTROL!$C$15, $E$9, 100%, $G$9) + CHOOSE(CONTROL!$C$38, 0.0342, 0)</f>
        <v>45.982599999999998</v>
      </c>
      <c r="D686" s="14">
        <f>45.9406 * CHOOSE(CONTROL!$C$15, $E$9, 100%, $G$9) + CHOOSE(CONTROL!$C$38, 0.0342, 0)</f>
        <v>45.974800000000002</v>
      </c>
      <c r="E686" s="45">
        <f>48.4442 * CHOOSE(CONTROL!$C$15, $E$9, 100%, $G$9) + CHOOSE(CONTROL!$C$38, 0.0342, 0)</f>
        <v>48.478400000000001</v>
      </c>
      <c r="F686" s="44">
        <f>48.4442 * CHOOSE(CONTROL!$C$15, $E$9, 100%, $G$9) + CHOOSE(CONTROL!$C$38, 0.0251, 0)</f>
        <v>48.469300000000004</v>
      </c>
      <c r="G686" s="14">
        <f>45.9469 * CHOOSE(CONTROL!$C$15, $E$9, 100%, $G$9) + CHOOSE(CONTROL!$C$38, 0.0342, 0)</f>
        <v>45.981099999999998</v>
      </c>
      <c r="H686" s="14">
        <f>45.9469 * CHOOSE(CONTROL!$C$15, $E$9, 100%, $G$9) + CHOOSE(CONTROL!$C$38, 0.0342, 0)</f>
        <v>45.981099999999998</v>
      </c>
      <c r="I686" s="14">
        <f>45.9484 * CHOOSE(CONTROL!$C$15, $E$9, 100%, $G$9) + CHOOSE(CONTROL!$C$38, 0.0342, 0)</f>
        <v>45.982599999999998</v>
      </c>
      <c r="J686" s="43">
        <f>408.5811</f>
        <v>408.58109999999999</v>
      </c>
    </row>
    <row r="687" spans="1:10" ht="15.75" x14ac:dyDescent="0.25">
      <c r="A687" s="31">
        <v>61848</v>
      </c>
      <c r="B687" s="14">
        <f>51.7157 * CHOOSE(CONTROL!$C$15, $E$9, 100%, $G$9) + CHOOSE(CONTROL!$C$38, 0.0251, 0)</f>
        <v>51.7408</v>
      </c>
      <c r="C687" s="14">
        <f>48.9017 * CHOOSE(CONTROL!$C$15, $E$9, 100%, $G$9) + CHOOSE(CONTROL!$C$38, 0.0342, 0)</f>
        <v>48.935899999999997</v>
      </c>
      <c r="D687" s="14">
        <f>48.8939 * CHOOSE(CONTROL!$C$15, $E$9, 100%, $G$9) + CHOOSE(CONTROL!$C$38, 0.0342, 0)</f>
        <v>48.928100000000001</v>
      </c>
      <c r="E687" s="45">
        <f>51.5595 * CHOOSE(CONTROL!$C$15, $E$9, 100%, $G$9) + CHOOSE(CONTROL!$C$38, 0.0342, 0)</f>
        <v>51.593699999999998</v>
      </c>
      <c r="F687" s="44">
        <f>51.5595 * CHOOSE(CONTROL!$C$15, $E$9, 100%, $G$9) + CHOOSE(CONTROL!$C$38, 0.0251, 0)</f>
        <v>51.584600000000002</v>
      </c>
      <c r="G687" s="14">
        <f>48.9001 * CHOOSE(CONTROL!$C$15, $E$9, 100%, $G$9) + CHOOSE(CONTROL!$C$38, 0.0342, 0)</f>
        <v>48.9343</v>
      </c>
      <c r="H687" s="14">
        <f>48.9001 * CHOOSE(CONTROL!$C$15, $E$9, 100%, $G$9) + CHOOSE(CONTROL!$C$38, 0.0342, 0)</f>
        <v>48.9343</v>
      </c>
      <c r="I687" s="14">
        <f>48.9017 * CHOOSE(CONTROL!$C$15, $E$9, 100%, $G$9) + CHOOSE(CONTROL!$C$38, 0.0342, 0)</f>
        <v>48.935899999999997</v>
      </c>
      <c r="J687" s="43">
        <f>435.1081</f>
        <v>435.10809999999998</v>
      </c>
    </row>
    <row r="688" spans="1:10" ht="15.75" x14ac:dyDescent="0.25">
      <c r="A688" s="31">
        <v>61879</v>
      </c>
      <c r="B688" s="14">
        <f>53.4305 * CHOOSE(CONTROL!$C$15, $E$9, 100%, $G$9) + CHOOSE(CONTROL!$C$38, 0.0264, 0)</f>
        <v>53.456900000000005</v>
      </c>
      <c r="C688" s="14">
        <f>50.5273 * CHOOSE(CONTROL!$C$15, $E$9, 100%, $G$9) + CHOOSE(CONTROL!$C$38, 0.0354, 0)</f>
        <v>50.5627</v>
      </c>
      <c r="D688" s="14">
        <f>50.5195 * CHOOSE(CONTROL!$C$15, $E$9, 100%, $G$9) + CHOOSE(CONTROL!$C$38, 0.0354, 0)</f>
        <v>50.554900000000004</v>
      </c>
      <c r="E688" s="45">
        <f>53.2743 * CHOOSE(CONTROL!$C$15, $E$9, 100%, $G$9) + CHOOSE(CONTROL!$C$38, 0.0354, 0)</f>
        <v>53.309699999999999</v>
      </c>
      <c r="F688" s="44">
        <f>53.2743 * CHOOSE(CONTROL!$C$15, $E$9, 100%, $G$9) + CHOOSE(CONTROL!$C$38, 0.0264, 0)</f>
        <v>53.300699999999999</v>
      </c>
      <c r="G688" s="14">
        <f>50.5257 * CHOOSE(CONTROL!$C$15, $E$9, 100%, $G$9) + CHOOSE(CONTROL!$C$38, 0.0354, 0)</f>
        <v>50.561100000000003</v>
      </c>
      <c r="H688" s="14">
        <f>50.5257 * CHOOSE(CONTROL!$C$15, $E$9, 100%, $G$9) + CHOOSE(CONTROL!$C$38, 0.0354, 0)</f>
        <v>50.561100000000003</v>
      </c>
      <c r="I688" s="14">
        <f>50.5273 * CHOOSE(CONTROL!$C$15, $E$9, 100%, $G$9) + CHOOSE(CONTROL!$C$38, 0.0354, 0)</f>
        <v>50.5627</v>
      </c>
      <c r="J688" s="43">
        <f>449.7095</f>
        <v>449.70949999999999</v>
      </c>
    </row>
    <row r="689" spans="1:10" ht="15.75" x14ac:dyDescent="0.25">
      <c r="A689" s="31">
        <v>61909</v>
      </c>
      <c r="B689" s="14">
        <f>54.1915 * CHOOSE(CONTROL!$C$15, $E$9, 100%, $G$9) + CHOOSE(CONTROL!$C$38, 0.0264, 0)</f>
        <v>54.2179</v>
      </c>
      <c r="C689" s="14">
        <f>51.2487 * CHOOSE(CONTROL!$C$15, $E$9, 100%, $G$9) + CHOOSE(CONTROL!$C$38, 0.0354, 0)</f>
        <v>51.284100000000002</v>
      </c>
      <c r="D689" s="14">
        <f>51.2409 * CHOOSE(CONTROL!$C$15, $E$9, 100%, $G$9) + CHOOSE(CONTROL!$C$38, 0.0354, 0)</f>
        <v>51.276300000000006</v>
      </c>
      <c r="E689" s="45">
        <f>54.0352 * CHOOSE(CONTROL!$C$15, $E$9, 100%, $G$9) + CHOOSE(CONTROL!$C$38, 0.0354, 0)</f>
        <v>54.070600000000006</v>
      </c>
      <c r="F689" s="44">
        <f>54.0352 * CHOOSE(CONTROL!$C$15, $E$9, 100%, $G$9) + CHOOSE(CONTROL!$C$38, 0.0264, 0)</f>
        <v>54.061600000000006</v>
      </c>
      <c r="G689" s="14">
        <f>51.2471 * CHOOSE(CONTROL!$C$15, $E$9, 100%, $G$9) + CHOOSE(CONTROL!$C$38, 0.0354, 0)</f>
        <v>51.282500000000006</v>
      </c>
      <c r="H689" s="14">
        <f>51.2471 * CHOOSE(CONTROL!$C$15, $E$9, 100%, $G$9) + CHOOSE(CONTROL!$C$38, 0.0354, 0)</f>
        <v>51.282500000000006</v>
      </c>
      <c r="I689" s="14">
        <f>51.2487 * CHOOSE(CONTROL!$C$15, $E$9, 100%, $G$9) + CHOOSE(CONTROL!$C$38, 0.0354, 0)</f>
        <v>51.284100000000002</v>
      </c>
      <c r="J689" s="43">
        <f>456.1893</f>
        <v>456.1893</v>
      </c>
    </row>
    <row r="690" spans="1:10" ht="15.75" x14ac:dyDescent="0.25">
      <c r="A690" s="31">
        <v>61940</v>
      </c>
      <c r="B690" s="14">
        <f>53.9409 * CHOOSE(CONTROL!$C$15, $E$9, 100%, $G$9) + CHOOSE(CONTROL!$C$38, 0.0264, 0)</f>
        <v>53.967300000000002</v>
      </c>
      <c r="C690" s="14">
        <f>51.0112 * CHOOSE(CONTROL!$C$15, $E$9, 100%, $G$9) + CHOOSE(CONTROL!$C$38, 0.0354, 0)</f>
        <v>51.046600000000005</v>
      </c>
      <c r="D690" s="14">
        <f>51.0033 * CHOOSE(CONTROL!$C$15, $E$9, 100%, $G$9) + CHOOSE(CONTROL!$C$38, 0.0354, 0)</f>
        <v>51.038700000000006</v>
      </c>
      <c r="E690" s="45">
        <f>53.7847 * CHOOSE(CONTROL!$C$15, $E$9, 100%, $G$9) + CHOOSE(CONTROL!$C$38, 0.0354, 0)</f>
        <v>53.820100000000004</v>
      </c>
      <c r="F690" s="44">
        <f>53.7847 * CHOOSE(CONTROL!$C$15, $E$9, 100%, $G$9) + CHOOSE(CONTROL!$C$38, 0.0264, 0)</f>
        <v>53.811100000000003</v>
      </c>
      <c r="G690" s="14">
        <f>51.0096 * CHOOSE(CONTROL!$C$15, $E$9, 100%, $G$9) + CHOOSE(CONTROL!$C$38, 0.0354, 0)</f>
        <v>51.045000000000002</v>
      </c>
      <c r="H690" s="14">
        <f>51.0096 * CHOOSE(CONTROL!$C$15, $E$9, 100%, $G$9) + CHOOSE(CONTROL!$C$38, 0.0354, 0)</f>
        <v>51.045000000000002</v>
      </c>
      <c r="I690" s="14">
        <f>51.0112 * CHOOSE(CONTROL!$C$15, $E$9, 100%, $G$9) + CHOOSE(CONTROL!$C$38, 0.0354, 0)</f>
        <v>51.046600000000005</v>
      </c>
      <c r="J690" s="43">
        <f>454.0559</f>
        <v>454.05590000000001</v>
      </c>
    </row>
    <row r="691" spans="1:10" ht="15.75" x14ac:dyDescent="0.25">
      <c r="A691" s="31">
        <v>61971</v>
      </c>
      <c r="B691" s="14">
        <f>52.6996 * CHOOSE(CONTROL!$C$15, $E$9, 100%, $G$9) + CHOOSE(CONTROL!$C$38, 0.0264, 0)</f>
        <v>52.725999999999999</v>
      </c>
      <c r="C691" s="14">
        <f>49.8344 * CHOOSE(CONTROL!$C$15, $E$9, 100%, $G$9) + CHOOSE(CONTROL!$C$38, 0.0354, 0)</f>
        <v>49.869800000000005</v>
      </c>
      <c r="D691" s="14">
        <f>49.8266 * CHOOSE(CONTROL!$C$15, $E$9, 100%, $G$9) + CHOOSE(CONTROL!$C$38, 0.0354, 0)</f>
        <v>49.862000000000002</v>
      </c>
      <c r="E691" s="45">
        <f>52.5433 * CHOOSE(CONTROL!$C$15, $E$9, 100%, $G$9) + CHOOSE(CONTROL!$C$38, 0.0354, 0)</f>
        <v>52.578700000000005</v>
      </c>
      <c r="F691" s="44">
        <f>52.5433 * CHOOSE(CONTROL!$C$15, $E$9, 100%, $G$9) + CHOOSE(CONTROL!$C$38, 0.0264, 0)</f>
        <v>52.569700000000005</v>
      </c>
      <c r="G691" s="14">
        <f>49.8328 * CHOOSE(CONTROL!$C$15, $E$9, 100%, $G$9) + CHOOSE(CONTROL!$C$38, 0.0354, 0)</f>
        <v>49.868200000000002</v>
      </c>
      <c r="H691" s="14">
        <f>49.8328 * CHOOSE(CONTROL!$C$15, $E$9, 100%, $G$9) + CHOOSE(CONTROL!$C$38, 0.0354, 0)</f>
        <v>49.868200000000002</v>
      </c>
      <c r="I691" s="14">
        <f>49.8344 * CHOOSE(CONTROL!$C$15, $E$9, 100%, $G$9) + CHOOSE(CONTROL!$C$38, 0.0354, 0)</f>
        <v>49.869800000000005</v>
      </c>
      <c r="J691" s="43">
        <f>443.4857</f>
        <v>443.48570000000001</v>
      </c>
    </row>
    <row r="692" spans="1:10" ht="15.75" x14ac:dyDescent="0.25">
      <c r="A692" s="31">
        <v>62001</v>
      </c>
      <c r="B692" s="14">
        <f>50.9685 * CHOOSE(CONTROL!$C$15, $E$9, 100%, $G$9) + CHOOSE(CONTROL!$C$38, 0.0264, 0)</f>
        <v>50.994900000000001</v>
      </c>
      <c r="C692" s="14">
        <f>48.1933 * CHOOSE(CONTROL!$C$15, $E$9, 100%, $G$9) + CHOOSE(CONTROL!$C$38, 0.0354, 0)</f>
        <v>48.228700000000003</v>
      </c>
      <c r="D692" s="14">
        <f>48.1855 * CHOOSE(CONTROL!$C$15, $E$9, 100%, $G$9) + CHOOSE(CONTROL!$C$38, 0.0354, 0)</f>
        <v>48.2209</v>
      </c>
      <c r="E692" s="45">
        <f>50.8122 * CHOOSE(CONTROL!$C$15, $E$9, 100%, $G$9) + CHOOSE(CONTROL!$C$38, 0.0354, 0)</f>
        <v>50.8476</v>
      </c>
      <c r="F692" s="44">
        <f>50.8122 * CHOOSE(CONTROL!$C$15, $E$9, 100%, $G$9) + CHOOSE(CONTROL!$C$38, 0.0264, 0)</f>
        <v>50.8386</v>
      </c>
      <c r="G692" s="14">
        <f>48.1917 * CHOOSE(CONTROL!$C$15, $E$9, 100%, $G$9) + CHOOSE(CONTROL!$C$38, 0.0354, 0)</f>
        <v>48.2271</v>
      </c>
      <c r="H692" s="14">
        <f>48.1917 * CHOOSE(CONTROL!$C$15, $E$9, 100%, $G$9) + CHOOSE(CONTROL!$C$38, 0.0354, 0)</f>
        <v>48.2271</v>
      </c>
      <c r="I692" s="14">
        <f>48.1933 * CHOOSE(CONTROL!$C$15, $E$9, 100%, $G$9) + CHOOSE(CONTROL!$C$38, 0.0354, 0)</f>
        <v>48.228700000000003</v>
      </c>
      <c r="J692" s="43">
        <f>428.745</f>
        <v>428.745</v>
      </c>
    </row>
    <row r="693" spans="1:10" ht="15.75" x14ac:dyDescent="0.25">
      <c r="A693" s="31">
        <v>62032</v>
      </c>
      <c r="B693" s="14">
        <f>49.2273 * CHOOSE(CONTROL!$C$15, $E$9, 100%, $G$9) + CHOOSE(CONTROL!$C$38, 0.0251, 0)</f>
        <v>49.252400000000002</v>
      </c>
      <c r="C693" s="14">
        <f>46.5427 * CHOOSE(CONTROL!$C$15, $E$9, 100%, $G$9) + CHOOSE(CONTROL!$C$38, 0.0342, 0)</f>
        <v>46.576900000000002</v>
      </c>
      <c r="D693" s="14">
        <f>46.5348 * CHOOSE(CONTROL!$C$15, $E$9, 100%, $G$9) + CHOOSE(CONTROL!$C$38, 0.0342, 0)</f>
        <v>46.568999999999996</v>
      </c>
      <c r="E693" s="45">
        <f>49.071 * CHOOSE(CONTROL!$C$15, $E$9, 100%, $G$9) + CHOOSE(CONTROL!$C$38, 0.0342, 0)</f>
        <v>49.105199999999996</v>
      </c>
      <c r="F693" s="44">
        <f>49.071 * CHOOSE(CONTROL!$C$15, $E$9, 100%, $G$9) + CHOOSE(CONTROL!$C$38, 0.0251, 0)</f>
        <v>49.0961</v>
      </c>
      <c r="G693" s="14">
        <f>46.5411 * CHOOSE(CONTROL!$C$15, $E$9, 100%, $G$9) + CHOOSE(CONTROL!$C$38, 0.0342, 0)</f>
        <v>46.575299999999999</v>
      </c>
      <c r="H693" s="14">
        <f>46.5411 * CHOOSE(CONTROL!$C$15, $E$9, 100%, $G$9) + CHOOSE(CONTROL!$C$38, 0.0342, 0)</f>
        <v>46.575299999999999</v>
      </c>
      <c r="I693" s="14">
        <f>46.5427 * CHOOSE(CONTROL!$C$15, $E$9, 100%, $G$9) + CHOOSE(CONTROL!$C$38, 0.0342, 0)</f>
        <v>46.576900000000002</v>
      </c>
      <c r="J693" s="43">
        <f>413.9185</f>
        <v>413.91849999999999</v>
      </c>
    </row>
    <row r="694" spans="1:10" ht="15.75" x14ac:dyDescent="0.25">
      <c r="A694" s="31">
        <v>62062</v>
      </c>
      <c r="B694" s="14">
        <f>48.8809 * CHOOSE(CONTROL!$C$15, $E$9, 100%, $G$9) + CHOOSE(CONTROL!$C$38, 0.0251, 0)</f>
        <v>48.905999999999999</v>
      </c>
      <c r="C694" s="14">
        <f>46.2143 * CHOOSE(CONTROL!$C$15, $E$9, 100%, $G$9) + CHOOSE(CONTROL!$C$38, 0.0342, 0)</f>
        <v>46.2485</v>
      </c>
      <c r="D694" s="14">
        <f>46.2065 * CHOOSE(CONTROL!$C$15, $E$9, 100%, $G$9) + CHOOSE(CONTROL!$C$38, 0.0342, 0)</f>
        <v>46.240699999999997</v>
      </c>
      <c r="E694" s="45">
        <f>48.7247 * CHOOSE(CONTROL!$C$15, $E$9, 100%, $G$9) + CHOOSE(CONTROL!$C$38, 0.0342, 0)</f>
        <v>48.758899999999997</v>
      </c>
      <c r="F694" s="44">
        <f>48.7247 * CHOOSE(CONTROL!$C$15, $E$9, 100%, $G$9) + CHOOSE(CONTROL!$C$38, 0.0251, 0)</f>
        <v>48.7498</v>
      </c>
      <c r="G694" s="14">
        <f>46.2127 * CHOOSE(CONTROL!$C$15, $E$9, 100%, $G$9) + CHOOSE(CONTROL!$C$38, 0.0342, 0)</f>
        <v>46.246899999999997</v>
      </c>
      <c r="H694" s="14">
        <f>46.2127 * CHOOSE(CONTROL!$C$15, $E$9, 100%, $G$9) + CHOOSE(CONTROL!$C$38, 0.0342, 0)</f>
        <v>46.246899999999997</v>
      </c>
      <c r="I694" s="14">
        <f>46.2143 * CHOOSE(CONTROL!$C$15, $E$9, 100%, $G$9) + CHOOSE(CONTROL!$C$38, 0.0342, 0)</f>
        <v>46.2485</v>
      </c>
      <c r="J694" s="43">
        <f>410.9692</f>
        <v>410.9692</v>
      </c>
    </row>
    <row r="695" spans="1:10" ht="15.75" x14ac:dyDescent="0.25">
      <c r="A695" s="31">
        <v>62093</v>
      </c>
      <c r="B695" s="14">
        <f>47.4487 * CHOOSE(CONTROL!$C$15, $E$9, 100%, $G$9) + CHOOSE(CONTROL!$C$38, 0.0251, 0)</f>
        <v>47.473800000000004</v>
      </c>
      <c r="C695" s="14">
        <f>44.8566 * CHOOSE(CONTROL!$C$15, $E$9, 100%, $G$9) + CHOOSE(CONTROL!$C$38, 0.0342, 0)</f>
        <v>44.890799999999999</v>
      </c>
      <c r="D695" s="14">
        <f>44.8488 * CHOOSE(CONTROL!$C$15, $E$9, 100%, $G$9) + CHOOSE(CONTROL!$C$38, 0.0342, 0)</f>
        <v>44.882999999999996</v>
      </c>
      <c r="E695" s="45">
        <f>47.2924 * CHOOSE(CONTROL!$C$15, $E$9, 100%, $G$9) + CHOOSE(CONTROL!$C$38, 0.0342, 0)</f>
        <v>47.326599999999999</v>
      </c>
      <c r="F695" s="44">
        <f>47.2924 * CHOOSE(CONTROL!$C$15, $E$9, 100%, $G$9) + CHOOSE(CONTROL!$C$38, 0.0251, 0)</f>
        <v>47.317500000000003</v>
      </c>
      <c r="G695" s="14">
        <f>44.855 * CHOOSE(CONTROL!$C$15, $E$9, 100%, $G$9) + CHOOSE(CONTROL!$C$38, 0.0342, 0)</f>
        <v>44.889199999999995</v>
      </c>
      <c r="H695" s="14">
        <f>44.855 * CHOOSE(CONTROL!$C$15, $E$9, 100%, $G$9) + CHOOSE(CONTROL!$C$38, 0.0342, 0)</f>
        <v>44.889199999999995</v>
      </c>
      <c r="I695" s="14">
        <f>44.8566 * CHOOSE(CONTROL!$C$15, $E$9, 100%, $G$9) + CHOOSE(CONTROL!$C$38, 0.0342, 0)</f>
        <v>44.890799999999999</v>
      </c>
      <c r="J695" s="43">
        <f>398.7737</f>
        <v>398.77370000000002</v>
      </c>
    </row>
    <row r="696" spans="1:10" ht="15.75" x14ac:dyDescent="0.25">
      <c r="A696" s="31">
        <v>62124</v>
      </c>
      <c r="B696" s="14">
        <f>47.093 * CHOOSE(CONTROL!$C$15, $E$9, 100%, $G$9) + CHOOSE(CONTROL!$C$38, 0.0251, 0)</f>
        <v>47.118100000000005</v>
      </c>
      <c r="C696" s="14">
        <f>44.5194 * CHOOSE(CONTROL!$C$15, $E$9, 100%, $G$9) + CHOOSE(CONTROL!$C$38, 0.0342, 0)</f>
        <v>44.553599999999996</v>
      </c>
      <c r="D696" s="14">
        <f>44.5116 * CHOOSE(CONTROL!$C$15, $E$9, 100%, $G$9) + CHOOSE(CONTROL!$C$38, 0.0342, 0)</f>
        <v>44.5458</v>
      </c>
      <c r="E696" s="45">
        <f>46.9367 * CHOOSE(CONTROL!$C$15, $E$9, 100%, $G$9) + CHOOSE(CONTROL!$C$38, 0.0342, 0)</f>
        <v>46.9709</v>
      </c>
      <c r="F696" s="44">
        <f>46.9367 * CHOOSE(CONTROL!$C$15, $E$9, 100%, $G$9) + CHOOSE(CONTROL!$C$38, 0.0251, 0)</f>
        <v>46.961800000000004</v>
      </c>
      <c r="G696" s="14">
        <f>44.5178 * CHOOSE(CONTROL!$C$15, $E$9, 100%, $G$9) + CHOOSE(CONTROL!$C$38, 0.0342, 0)</f>
        <v>44.552</v>
      </c>
      <c r="H696" s="14">
        <f>44.5178 * CHOOSE(CONTROL!$C$15, $E$9, 100%, $G$9) + CHOOSE(CONTROL!$C$38, 0.0342, 0)</f>
        <v>44.552</v>
      </c>
      <c r="I696" s="14">
        <f>44.5194 * CHOOSE(CONTROL!$C$15, $E$9, 100%, $G$9) + CHOOSE(CONTROL!$C$38, 0.0342, 0)</f>
        <v>44.553599999999996</v>
      </c>
      <c r="J696" s="43">
        <f>398.4858</f>
        <v>398.48579999999998</v>
      </c>
    </row>
    <row r="697" spans="1:10" ht="15.75" x14ac:dyDescent="0.25">
      <c r="A697" s="31">
        <v>62152</v>
      </c>
      <c r="B697" s="14">
        <f>46.9638 * CHOOSE(CONTROL!$C$15, $E$9, 100%, $G$9) + CHOOSE(CONTROL!$C$38, 0.0251, 0)</f>
        <v>46.988900000000001</v>
      </c>
      <c r="C697" s="14">
        <f>44.3969 * CHOOSE(CONTROL!$C$15, $E$9, 100%, $G$9) + CHOOSE(CONTROL!$C$38, 0.0342, 0)</f>
        <v>44.431100000000001</v>
      </c>
      <c r="D697" s="14">
        <f>44.3891 * CHOOSE(CONTROL!$C$15, $E$9, 100%, $G$9) + CHOOSE(CONTROL!$C$38, 0.0342, 0)</f>
        <v>44.423299999999998</v>
      </c>
      <c r="E697" s="45">
        <f>46.8076 * CHOOSE(CONTROL!$C$15, $E$9, 100%, $G$9) + CHOOSE(CONTROL!$C$38, 0.0342, 0)</f>
        <v>46.841799999999999</v>
      </c>
      <c r="F697" s="44">
        <f>46.8076 * CHOOSE(CONTROL!$C$15, $E$9, 100%, $G$9) + CHOOSE(CONTROL!$C$38, 0.0251, 0)</f>
        <v>46.832700000000003</v>
      </c>
      <c r="G697" s="14">
        <f>44.3954 * CHOOSE(CONTROL!$C$15, $E$9, 100%, $G$9) + CHOOSE(CONTROL!$C$38, 0.0342, 0)</f>
        <v>44.429600000000001</v>
      </c>
      <c r="H697" s="14">
        <f>44.3954 * CHOOSE(CONTROL!$C$15, $E$9, 100%, $G$9) + CHOOSE(CONTROL!$C$38, 0.0342, 0)</f>
        <v>44.429600000000001</v>
      </c>
      <c r="I697" s="14">
        <f>44.3969 * CHOOSE(CONTROL!$C$15, $E$9, 100%, $G$9) + CHOOSE(CONTROL!$C$38, 0.0342, 0)</f>
        <v>44.431100000000001</v>
      </c>
      <c r="J697" s="43">
        <f>397.3781</f>
        <v>397.37810000000002</v>
      </c>
    </row>
    <row r="698" spans="1:10" ht="15.75" x14ac:dyDescent="0.25">
      <c r="A698" s="31">
        <v>62183</v>
      </c>
      <c r="B698" s="14">
        <f>49.4065 * CHOOSE(CONTROL!$C$15, $E$9, 100%, $G$9) + CHOOSE(CONTROL!$C$38, 0.0251, 0)</f>
        <v>49.431600000000003</v>
      </c>
      <c r="C698" s="14">
        <f>46.7126 * CHOOSE(CONTROL!$C$15, $E$9, 100%, $G$9) + CHOOSE(CONTROL!$C$38, 0.0342, 0)</f>
        <v>46.7468</v>
      </c>
      <c r="D698" s="14">
        <f>46.7048 * CHOOSE(CONTROL!$C$15, $E$9, 100%, $G$9) + CHOOSE(CONTROL!$C$38, 0.0342, 0)</f>
        <v>46.738999999999997</v>
      </c>
      <c r="E698" s="45">
        <f>49.2503 * CHOOSE(CONTROL!$C$15, $E$9, 100%, $G$9) + CHOOSE(CONTROL!$C$38, 0.0342, 0)</f>
        <v>49.284500000000001</v>
      </c>
      <c r="F698" s="44">
        <f>49.2503 * CHOOSE(CONTROL!$C$15, $E$9, 100%, $G$9) + CHOOSE(CONTROL!$C$38, 0.0251, 0)</f>
        <v>49.275400000000005</v>
      </c>
      <c r="G698" s="14">
        <f>46.711 * CHOOSE(CONTROL!$C$15, $E$9, 100%, $G$9) + CHOOSE(CONTROL!$C$38, 0.0342, 0)</f>
        <v>46.745199999999997</v>
      </c>
      <c r="H698" s="14">
        <f>46.711 * CHOOSE(CONTROL!$C$15, $E$9, 100%, $G$9) + CHOOSE(CONTROL!$C$38, 0.0342, 0)</f>
        <v>46.745199999999997</v>
      </c>
      <c r="I698" s="14">
        <f>46.7126 * CHOOSE(CONTROL!$C$15, $E$9, 100%, $G$9) + CHOOSE(CONTROL!$C$38, 0.0342, 0)</f>
        <v>46.7468</v>
      </c>
      <c r="J698" s="43">
        <f>418.3223</f>
        <v>418.32229999999998</v>
      </c>
    </row>
    <row r="699" spans="1:10" ht="15.75" x14ac:dyDescent="0.25">
      <c r="A699" s="31">
        <v>62213</v>
      </c>
      <c r="B699" s="14">
        <f>52.5742 * CHOOSE(CONTROL!$C$15, $E$9, 100%, $G$9) + CHOOSE(CONTROL!$C$38, 0.0251, 0)</f>
        <v>52.599299999999999</v>
      </c>
      <c r="C699" s="14">
        <f>49.7155 * CHOOSE(CONTROL!$C$15, $E$9, 100%, $G$9) + CHOOSE(CONTROL!$C$38, 0.0342, 0)</f>
        <v>49.749699999999997</v>
      </c>
      <c r="D699" s="14">
        <f>49.7077 * CHOOSE(CONTROL!$C$15, $E$9, 100%, $G$9) + CHOOSE(CONTROL!$C$38, 0.0342, 0)</f>
        <v>49.741900000000001</v>
      </c>
      <c r="E699" s="45">
        <f>52.4179 * CHOOSE(CONTROL!$C$15, $E$9, 100%, $G$9) + CHOOSE(CONTROL!$C$38, 0.0342, 0)</f>
        <v>52.452100000000002</v>
      </c>
      <c r="F699" s="44">
        <f>52.4179 * CHOOSE(CONTROL!$C$15, $E$9, 100%, $G$9) + CHOOSE(CONTROL!$C$38, 0.0251, 0)</f>
        <v>52.443000000000005</v>
      </c>
      <c r="G699" s="14">
        <f>49.7139 * CHOOSE(CONTROL!$C$15, $E$9, 100%, $G$9) + CHOOSE(CONTROL!$C$38, 0.0342, 0)</f>
        <v>49.748100000000001</v>
      </c>
      <c r="H699" s="14">
        <f>49.7139 * CHOOSE(CONTROL!$C$15, $E$9, 100%, $G$9) + CHOOSE(CONTROL!$C$38, 0.0342, 0)</f>
        <v>49.748100000000001</v>
      </c>
      <c r="I699" s="14">
        <f>49.7155 * CHOOSE(CONTROL!$C$15, $E$9, 100%, $G$9) + CHOOSE(CONTROL!$C$38, 0.0342, 0)</f>
        <v>49.749699999999997</v>
      </c>
      <c r="J699" s="43">
        <f>445.4818</f>
        <v>445.48180000000002</v>
      </c>
    </row>
    <row r="700" spans="1:10" ht="15.75" x14ac:dyDescent="0.25">
      <c r="A700" s="31">
        <v>62244</v>
      </c>
      <c r="B700" s="14">
        <f>54.3178 * CHOOSE(CONTROL!$C$15, $E$9, 100%, $G$9) + CHOOSE(CONTROL!$C$38, 0.0264, 0)</f>
        <v>54.344200000000001</v>
      </c>
      <c r="C700" s="14">
        <f>51.3684 * CHOOSE(CONTROL!$C$15, $E$9, 100%, $G$9) + CHOOSE(CONTROL!$C$38, 0.0354, 0)</f>
        <v>51.403800000000004</v>
      </c>
      <c r="D700" s="14">
        <f>51.3606 * CHOOSE(CONTROL!$C$15, $E$9, 100%, $G$9) + CHOOSE(CONTROL!$C$38, 0.0354, 0)</f>
        <v>51.396000000000001</v>
      </c>
      <c r="E700" s="45">
        <f>54.1615 * CHOOSE(CONTROL!$C$15, $E$9, 100%, $G$9) + CHOOSE(CONTROL!$C$38, 0.0354, 0)</f>
        <v>54.196899999999999</v>
      </c>
      <c r="F700" s="44">
        <f>54.1615 * CHOOSE(CONTROL!$C$15, $E$9, 100%, $G$9) + CHOOSE(CONTROL!$C$38, 0.0264, 0)</f>
        <v>54.187899999999999</v>
      </c>
      <c r="G700" s="14">
        <f>51.3668 * CHOOSE(CONTROL!$C$15, $E$9, 100%, $G$9) + CHOOSE(CONTROL!$C$38, 0.0354, 0)</f>
        <v>51.402200000000001</v>
      </c>
      <c r="H700" s="14">
        <f>51.3668 * CHOOSE(CONTROL!$C$15, $E$9, 100%, $G$9) + CHOOSE(CONTROL!$C$38, 0.0354, 0)</f>
        <v>51.402200000000001</v>
      </c>
      <c r="I700" s="14">
        <f>51.3684 * CHOOSE(CONTROL!$C$15, $E$9, 100%, $G$9) + CHOOSE(CONTROL!$C$38, 0.0354, 0)</f>
        <v>51.403800000000004</v>
      </c>
      <c r="J700" s="43">
        <f>460.4313</f>
        <v>460.43130000000002</v>
      </c>
    </row>
    <row r="701" spans="1:10" ht="15.75" x14ac:dyDescent="0.25">
      <c r="A701" s="31">
        <v>62274</v>
      </c>
      <c r="B701" s="14">
        <f>55.0915 * CHOOSE(CONTROL!$C$15, $E$9, 100%, $G$9) + CHOOSE(CONTROL!$C$38, 0.0264, 0)</f>
        <v>55.117900000000006</v>
      </c>
      <c r="C701" s="14">
        <f>52.1019 * CHOOSE(CONTROL!$C$15, $E$9, 100%, $G$9) + CHOOSE(CONTROL!$C$38, 0.0354, 0)</f>
        <v>52.137300000000003</v>
      </c>
      <c r="D701" s="14">
        <f>52.0941 * CHOOSE(CONTROL!$C$15, $E$9, 100%, $G$9) + CHOOSE(CONTROL!$C$38, 0.0354, 0)</f>
        <v>52.1295</v>
      </c>
      <c r="E701" s="45">
        <f>54.9353 * CHOOSE(CONTROL!$C$15, $E$9, 100%, $G$9) + CHOOSE(CONTROL!$C$38, 0.0354, 0)</f>
        <v>54.970700000000001</v>
      </c>
      <c r="F701" s="44">
        <f>54.9353 * CHOOSE(CONTROL!$C$15, $E$9, 100%, $G$9) + CHOOSE(CONTROL!$C$38, 0.0264, 0)</f>
        <v>54.9617</v>
      </c>
      <c r="G701" s="14">
        <f>52.1003 * CHOOSE(CONTROL!$C$15, $E$9, 100%, $G$9) + CHOOSE(CONTROL!$C$38, 0.0354, 0)</f>
        <v>52.1357</v>
      </c>
      <c r="H701" s="14">
        <f>52.1003 * CHOOSE(CONTROL!$C$15, $E$9, 100%, $G$9) + CHOOSE(CONTROL!$C$38, 0.0354, 0)</f>
        <v>52.1357</v>
      </c>
      <c r="I701" s="14">
        <f>52.1019 * CHOOSE(CONTROL!$C$15, $E$9, 100%, $G$9) + CHOOSE(CONTROL!$C$38, 0.0354, 0)</f>
        <v>52.137300000000003</v>
      </c>
      <c r="J701" s="43">
        <f>467.0656</f>
        <v>467.06560000000002</v>
      </c>
    </row>
    <row r="702" spans="1:10" ht="15.75" x14ac:dyDescent="0.25">
      <c r="A702" s="31">
        <v>62305</v>
      </c>
      <c r="B702" s="14">
        <f>54.8368 * CHOOSE(CONTROL!$C$15, $E$9, 100%, $G$9) + CHOOSE(CONTROL!$C$38, 0.0264, 0)</f>
        <v>54.863199999999999</v>
      </c>
      <c r="C702" s="14">
        <f>51.8604 * CHOOSE(CONTROL!$C$15, $E$9, 100%, $G$9) + CHOOSE(CONTROL!$C$38, 0.0354, 0)</f>
        <v>51.895800000000001</v>
      </c>
      <c r="D702" s="14">
        <f>51.8526 * CHOOSE(CONTROL!$C$15, $E$9, 100%, $G$9) + CHOOSE(CONTROL!$C$38, 0.0354, 0)</f>
        <v>51.888000000000005</v>
      </c>
      <c r="E702" s="45">
        <f>54.6805 * CHOOSE(CONTROL!$C$15, $E$9, 100%, $G$9) + CHOOSE(CONTROL!$C$38, 0.0354, 0)</f>
        <v>54.715900000000005</v>
      </c>
      <c r="F702" s="44">
        <f>54.6805 * CHOOSE(CONTROL!$C$15, $E$9, 100%, $G$9) + CHOOSE(CONTROL!$C$38, 0.0264, 0)</f>
        <v>54.706900000000005</v>
      </c>
      <c r="G702" s="14">
        <f>51.8588 * CHOOSE(CONTROL!$C$15, $E$9, 100%, $G$9) + CHOOSE(CONTROL!$C$38, 0.0354, 0)</f>
        <v>51.894200000000005</v>
      </c>
      <c r="H702" s="14">
        <f>51.8588 * CHOOSE(CONTROL!$C$15, $E$9, 100%, $G$9) + CHOOSE(CONTROL!$C$38, 0.0354, 0)</f>
        <v>51.894200000000005</v>
      </c>
      <c r="I702" s="14">
        <f>51.8604 * CHOOSE(CONTROL!$C$15, $E$9, 100%, $G$9) + CHOOSE(CONTROL!$C$38, 0.0354, 0)</f>
        <v>51.895800000000001</v>
      </c>
      <c r="J702" s="43">
        <f>464.8813</f>
        <v>464.88130000000001</v>
      </c>
    </row>
    <row r="703" spans="1:10" ht="15.75" x14ac:dyDescent="0.25">
      <c r="A703" s="31">
        <v>62336</v>
      </c>
      <c r="B703" s="14">
        <f>53.5746 * CHOOSE(CONTROL!$C$15, $E$9, 100%, $G$9) + CHOOSE(CONTROL!$C$38, 0.0264, 0)</f>
        <v>53.600999999999999</v>
      </c>
      <c r="C703" s="14">
        <f>50.6638 * CHOOSE(CONTROL!$C$15, $E$9, 100%, $G$9) + CHOOSE(CONTROL!$C$38, 0.0354, 0)</f>
        <v>50.699200000000005</v>
      </c>
      <c r="D703" s="14">
        <f>50.656 * CHOOSE(CONTROL!$C$15, $E$9, 100%, $G$9) + CHOOSE(CONTROL!$C$38, 0.0354, 0)</f>
        <v>50.691400000000002</v>
      </c>
      <c r="E703" s="45">
        <f>53.4183 * CHOOSE(CONTROL!$C$15, $E$9, 100%, $G$9) + CHOOSE(CONTROL!$C$38, 0.0354, 0)</f>
        <v>53.453700000000005</v>
      </c>
      <c r="F703" s="44">
        <f>53.4183 * CHOOSE(CONTROL!$C$15, $E$9, 100%, $G$9) + CHOOSE(CONTROL!$C$38, 0.0264, 0)</f>
        <v>53.444700000000005</v>
      </c>
      <c r="G703" s="14">
        <f>50.6623 * CHOOSE(CONTROL!$C$15, $E$9, 100%, $G$9) + CHOOSE(CONTROL!$C$38, 0.0354, 0)</f>
        <v>50.697700000000005</v>
      </c>
      <c r="H703" s="14">
        <f>50.6623 * CHOOSE(CONTROL!$C$15, $E$9, 100%, $G$9) + CHOOSE(CONTROL!$C$38, 0.0354, 0)</f>
        <v>50.697700000000005</v>
      </c>
      <c r="I703" s="14">
        <f>50.6638 * CHOOSE(CONTROL!$C$15, $E$9, 100%, $G$9) + CHOOSE(CONTROL!$C$38, 0.0354, 0)</f>
        <v>50.699200000000005</v>
      </c>
      <c r="J703" s="43">
        <f>454.059</f>
        <v>454.05900000000003</v>
      </c>
    </row>
    <row r="704" spans="1:10" ht="15.75" x14ac:dyDescent="0.25">
      <c r="A704" s="31">
        <v>62366</v>
      </c>
      <c r="B704" s="14">
        <f>51.8143 * CHOOSE(CONTROL!$C$15, $E$9, 100%, $G$9) + CHOOSE(CONTROL!$C$38, 0.0264, 0)</f>
        <v>51.840700000000005</v>
      </c>
      <c r="C704" s="14">
        <f>48.9952 * CHOOSE(CONTROL!$C$15, $E$9, 100%, $G$9) + CHOOSE(CONTROL!$C$38, 0.0354, 0)</f>
        <v>49.0306</v>
      </c>
      <c r="D704" s="14">
        <f>48.9874 * CHOOSE(CONTROL!$C$15, $E$9, 100%, $G$9) + CHOOSE(CONTROL!$C$38, 0.0354, 0)</f>
        <v>49.022800000000004</v>
      </c>
      <c r="E704" s="45">
        <f>51.6581 * CHOOSE(CONTROL!$C$15, $E$9, 100%, $G$9) + CHOOSE(CONTROL!$C$38, 0.0354, 0)</f>
        <v>51.6935</v>
      </c>
      <c r="F704" s="44">
        <f>51.6581 * CHOOSE(CONTROL!$C$15, $E$9, 100%, $G$9) + CHOOSE(CONTROL!$C$38, 0.0264, 0)</f>
        <v>51.6845</v>
      </c>
      <c r="G704" s="14">
        <f>48.9936 * CHOOSE(CONTROL!$C$15, $E$9, 100%, $G$9) + CHOOSE(CONTROL!$C$38, 0.0354, 0)</f>
        <v>49.029000000000003</v>
      </c>
      <c r="H704" s="14">
        <f>48.9936 * CHOOSE(CONTROL!$C$15, $E$9, 100%, $G$9) + CHOOSE(CONTROL!$C$38, 0.0354, 0)</f>
        <v>49.029000000000003</v>
      </c>
      <c r="I704" s="14">
        <f>48.9952 * CHOOSE(CONTROL!$C$15, $E$9, 100%, $G$9) + CHOOSE(CONTROL!$C$38, 0.0354, 0)</f>
        <v>49.0306</v>
      </c>
      <c r="J704" s="43">
        <f>438.9669</f>
        <v>438.96690000000001</v>
      </c>
    </row>
    <row r="705" spans="1:10" ht="15.75" x14ac:dyDescent="0.25">
      <c r="A705" s="31">
        <v>62397</v>
      </c>
      <c r="B705" s="14">
        <f>50.0439 * CHOOSE(CONTROL!$C$15, $E$9, 100%, $G$9) + CHOOSE(CONTROL!$C$38, 0.0251, 0)</f>
        <v>50.069000000000003</v>
      </c>
      <c r="C705" s="14">
        <f>47.3168 * CHOOSE(CONTROL!$C$15, $E$9, 100%, $G$9) + CHOOSE(CONTROL!$C$38, 0.0342, 0)</f>
        <v>47.350999999999999</v>
      </c>
      <c r="D705" s="14">
        <f>47.309 * CHOOSE(CONTROL!$C$15, $E$9, 100%, $G$9) + CHOOSE(CONTROL!$C$38, 0.0342, 0)</f>
        <v>47.343199999999996</v>
      </c>
      <c r="E705" s="45">
        <f>49.8876 * CHOOSE(CONTROL!$C$15, $E$9, 100%, $G$9) + CHOOSE(CONTROL!$C$38, 0.0342, 0)</f>
        <v>49.921799999999998</v>
      </c>
      <c r="F705" s="44">
        <f>49.8876 * CHOOSE(CONTROL!$C$15, $E$9, 100%, $G$9) + CHOOSE(CONTROL!$C$38, 0.0251, 0)</f>
        <v>49.912700000000001</v>
      </c>
      <c r="G705" s="14">
        <f>47.3152 * CHOOSE(CONTROL!$C$15, $E$9, 100%, $G$9) + CHOOSE(CONTROL!$C$38, 0.0342, 0)</f>
        <v>47.349399999999996</v>
      </c>
      <c r="H705" s="14">
        <f>47.3152 * CHOOSE(CONTROL!$C$15, $E$9, 100%, $G$9) + CHOOSE(CONTROL!$C$38, 0.0342, 0)</f>
        <v>47.349399999999996</v>
      </c>
      <c r="I705" s="14">
        <f>47.3168 * CHOOSE(CONTROL!$C$15, $E$9, 100%, $G$9) + CHOOSE(CONTROL!$C$38, 0.0342, 0)</f>
        <v>47.350999999999999</v>
      </c>
      <c r="J705" s="43">
        <f>423.787</f>
        <v>423.78699999999998</v>
      </c>
    </row>
    <row r="706" spans="1:10" ht="15.75" x14ac:dyDescent="0.25">
      <c r="A706" s="31">
        <v>62427</v>
      </c>
      <c r="B706" s="14">
        <f>49.6917 * CHOOSE(CONTROL!$C$15, $E$9, 100%, $G$9) + CHOOSE(CONTROL!$C$38, 0.0251, 0)</f>
        <v>49.716799999999999</v>
      </c>
      <c r="C706" s="14">
        <f>46.983 * CHOOSE(CONTROL!$C$15, $E$9, 100%, $G$9) + CHOOSE(CONTROL!$C$38, 0.0342, 0)</f>
        <v>47.017199999999995</v>
      </c>
      <c r="D706" s="14">
        <f>46.9751 * CHOOSE(CONTROL!$C$15, $E$9, 100%, $G$9) + CHOOSE(CONTROL!$C$38, 0.0342, 0)</f>
        <v>47.009299999999996</v>
      </c>
      <c r="E706" s="45">
        <f>49.5355 * CHOOSE(CONTROL!$C$15, $E$9, 100%, $G$9) + CHOOSE(CONTROL!$C$38, 0.0342, 0)</f>
        <v>49.569699999999997</v>
      </c>
      <c r="F706" s="44">
        <f>49.5355 * CHOOSE(CONTROL!$C$15, $E$9, 100%, $G$9) + CHOOSE(CONTROL!$C$38, 0.0251, 0)</f>
        <v>49.560600000000001</v>
      </c>
      <c r="G706" s="14">
        <f>46.9814 * CHOOSE(CONTROL!$C$15, $E$9, 100%, $G$9) + CHOOSE(CONTROL!$C$38, 0.0342, 0)</f>
        <v>47.015599999999999</v>
      </c>
      <c r="H706" s="14">
        <f>46.9814 * CHOOSE(CONTROL!$C$15, $E$9, 100%, $G$9) + CHOOSE(CONTROL!$C$38, 0.0342, 0)</f>
        <v>47.015599999999999</v>
      </c>
      <c r="I706" s="14">
        <f>46.983 * CHOOSE(CONTROL!$C$15, $E$9, 100%, $G$9) + CHOOSE(CONTROL!$C$38, 0.0342, 0)</f>
        <v>47.017199999999995</v>
      </c>
      <c r="J706" s="43">
        <f>420.7674</f>
        <v>420.76740000000001</v>
      </c>
    </row>
    <row r="707" spans="1:10" ht="15.75" x14ac:dyDescent="0.25">
      <c r="A707" s="31">
        <v>62458</v>
      </c>
      <c r="B707" s="14">
        <f>48.2354 * CHOOSE(CONTROL!$C$15, $E$9, 100%, $G$9) + CHOOSE(CONTROL!$C$38, 0.0251, 0)</f>
        <v>48.2605</v>
      </c>
      <c r="C707" s="14">
        <f>45.6024 * CHOOSE(CONTROL!$C$15, $E$9, 100%, $G$9) + CHOOSE(CONTROL!$C$38, 0.0342, 0)</f>
        <v>45.636600000000001</v>
      </c>
      <c r="D707" s="14">
        <f>45.5946 * CHOOSE(CONTROL!$C$15, $E$9, 100%, $G$9) + CHOOSE(CONTROL!$C$38, 0.0342, 0)</f>
        <v>45.628799999999998</v>
      </c>
      <c r="E707" s="45">
        <f>48.0792 * CHOOSE(CONTROL!$C$15, $E$9, 100%, $G$9) + CHOOSE(CONTROL!$C$38, 0.0342, 0)</f>
        <v>48.113399999999999</v>
      </c>
      <c r="F707" s="44">
        <f>48.0792 * CHOOSE(CONTROL!$C$15, $E$9, 100%, $G$9) + CHOOSE(CONTROL!$C$38, 0.0251, 0)</f>
        <v>48.104300000000002</v>
      </c>
      <c r="G707" s="14">
        <f>45.6008 * CHOOSE(CONTROL!$C$15, $E$9, 100%, $G$9) + CHOOSE(CONTROL!$C$38, 0.0342, 0)</f>
        <v>45.634999999999998</v>
      </c>
      <c r="H707" s="14">
        <f>45.6008 * CHOOSE(CONTROL!$C$15, $E$9, 100%, $G$9) + CHOOSE(CONTROL!$C$38, 0.0342, 0)</f>
        <v>45.634999999999998</v>
      </c>
      <c r="I707" s="14">
        <f>45.6024 * CHOOSE(CONTROL!$C$15, $E$9, 100%, $G$9) + CHOOSE(CONTROL!$C$38, 0.0342, 0)</f>
        <v>45.636600000000001</v>
      </c>
      <c r="J707" s="43">
        <f>408.2811</f>
        <v>408.28109999999998</v>
      </c>
    </row>
    <row r="708" spans="1:10" ht="15.75" x14ac:dyDescent="0.25">
      <c r="A708" s="31">
        <v>62489</v>
      </c>
      <c r="B708" s="14">
        <f>47.8738 * CHOOSE(CONTROL!$C$15, $E$9, 100%, $G$9) + CHOOSE(CONTROL!$C$38, 0.0251, 0)</f>
        <v>47.898900000000005</v>
      </c>
      <c r="C708" s="14">
        <f>45.2596 * CHOOSE(CONTROL!$C$15, $E$9, 100%, $G$9) + CHOOSE(CONTROL!$C$38, 0.0342, 0)</f>
        <v>45.293799999999997</v>
      </c>
      <c r="D708" s="14">
        <f>45.2518 * CHOOSE(CONTROL!$C$15, $E$9, 100%, $G$9) + CHOOSE(CONTROL!$C$38, 0.0342, 0)</f>
        <v>45.286000000000001</v>
      </c>
      <c r="E708" s="45">
        <f>47.7175 * CHOOSE(CONTROL!$C$15, $E$9, 100%, $G$9) + CHOOSE(CONTROL!$C$38, 0.0342, 0)</f>
        <v>47.7517</v>
      </c>
      <c r="F708" s="44">
        <f>47.7175 * CHOOSE(CONTROL!$C$15, $E$9, 100%, $G$9) + CHOOSE(CONTROL!$C$38, 0.0251, 0)</f>
        <v>47.742600000000003</v>
      </c>
      <c r="G708" s="14">
        <f>45.258 * CHOOSE(CONTROL!$C$15, $E$9, 100%, $G$9) + CHOOSE(CONTROL!$C$38, 0.0342, 0)</f>
        <v>45.292200000000001</v>
      </c>
      <c r="H708" s="14">
        <f>45.258 * CHOOSE(CONTROL!$C$15, $E$9, 100%, $G$9) + CHOOSE(CONTROL!$C$38, 0.0342, 0)</f>
        <v>45.292200000000001</v>
      </c>
      <c r="I708" s="14">
        <f>45.2596 * CHOOSE(CONTROL!$C$15, $E$9, 100%, $G$9) + CHOOSE(CONTROL!$C$38, 0.0342, 0)</f>
        <v>45.293799999999997</v>
      </c>
      <c r="J708" s="43">
        <f>407.9863</f>
        <v>407.98630000000003</v>
      </c>
    </row>
    <row r="709" spans="1:10" ht="15.75" x14ac:dyDescent="0.25">
      <c r="A709" s="31">
        <v>62517</v>
      </c>
      <c r="B709" s="14">
        <f>47.7424 * CHOOSE(CONTROL!$C$15, $E$9, 100%, $G$9) + CHOOSE(CONTROL!$C$38, 0.0251, 0)</f>
        <v>47.767500000000005</v>
      </c>
      <c r="C709" s="14">
        <f>45.135 * CHOOSE(CONTROL!$C$15, $E$9, 100%, $G$9) + CHOOSE(CONTROL!$C$38, 0.0342, 0)</f>
        <v>45.169199999999996</v>
      </c>
      <c r="D709" s="14">
        <f>45.1272 * CHOOSE(CONTROL!$C$15, $E$9, 100%, $G$9) + CHOOSE(CONTROL!$C$38, 0.0342, 0)</f>
        <v>45.1614</v>
      </c>
      <c r="E709" s="45">
        <f>47.5862 * CHOOSE(CONTROL!$C$15, $E$9, 100%, $G$9) + CHOOSE(CONTROL!$C$38, 0.0342, 0)</f>
        <v>47.620399999999997</v>
      </c>
      <c r="F709" s="44">
        <f>47.5862 * CHOOSE(CONTROL!$C$15, $E$9, 100%, $G$9) + CHOOSE(CONTROL!$C$38, 0.0251, 0)</f>
        <v>47.6113</v>
      </c>
      <c r="G709" s="14">
        <f>45.1335 * CHOOSE(CONTROL!$C$15, $E$9, 100%, $G$9) + CHOOSE(CONTROL!$C$38, 0.0342, 0)</f>
        <v>45.167699999999996</v>
      </c>
      <c r="H709" s="14">
        <f>45.1335 * CHOOSE(CONTROL!$C$15, $E$9, 100%, $G$9) + CHOOSE(CONTROL!$C$38, 0.0342, 0)</f>
        <v>45.167699999999996</v>
      </c>
      <c r="I709" s="14">
        <f>45.135 * CHOOSE(CONTROL!$C$15, $E$9, 100%, $G$9) + CHOOSE(CONTROL!$C$38, 0.0342, 0)</f>
        <v>45.169199999999996</v>
      </c>
      <c r="J709" s="43">
        <f>406.8522</f>
        <v>406.85219999999998</v>
      </c>
    </row>
    <row r="710" spans="1:10" ht="15.75" x14ac:dyDescent="0.25">
      <c r="A710" s="31">
        <v>62548</v>
      </c>
      <c r="B710" s="14">
        <f>50.2262 * CHOOSE(CONTROL!$C$15, $E$9, 100%, $G$9) + CHOOSE(CONTROL!$C$38, 0.0251, 0)</f>
        <v>50.251300000000001</v>
      </c>
      <c r="C710" s="14">
        <f>47.4896 * CHOOSE(CONTROL!$C$15, $E$9, 100%, $G$9) + CHOOSE(CONTROL!$C$38, 0.0342, 0)</f>
        <v>47.523800000000001</v>
      </c>
      <c r="D710" s="14">
        <f>47.4818 * CHOOSE(CONTROL!$C$15, $E$9, 100%, $G$9) + CHOOSE(CONTROL!$C$38, 0.0342, 0)</f>
        <v>47.515999999999998</v>
      </c>
      <c r="E710" s="45">
        <f>50.0699 * CHOOSE(CONTROL!$C$15, $E$9, 100%, $G$9) + CHOOSE(CONTROL!$C$38, 0.0342, 0)</f>
        <v>50.104099999999995</v>
      </c>
      <c r="F710" s="44">
        <f>50.0699 * CHOOSE(CONTROL!$C$15, $E$9, 100%, $G$9) + CHOOSE(CONTROL!$C$38, 0.0251, 0)</f>
        <v>50.094999999999999</v>
      </c>
      <c r="G710" s="14">
        <f>47.4881 * CHOOSE(CONTROL!$C$15, $E$9, 100%, $G$9) + CHOOSE(CONTROL!$C$38, 0.0342, 0)</f>
        <v>47.522300000000001</v>
      </c>
      <c r="H710" s="14">
        <f>47.4881 * CHOOSE(CONTROL!$C$15, $E$9, 100%, $G$9) + CHOOSE(CONTROL!$C$38, 0.0342, 0)</f>
        <v>47.522300000000001</v>
      </c>
      <c r="I710" s="14">
        <f>47.4896 * CHOOSE(CONTROL!$C$15, $E$9, 100%, $G$9) + CHOOSE(CONTROL!$C$38, 0.0342, 0)</f>
        <v>47.523800000000001</v>
      </c>
      <c r="J710" s="43">
        <f>428.2957</f>
        <v>428.29570000000001</v>
      </c>
    </row>
    <row r="711" spans="1:10" ht="15.75" x14ac:dyDescent="0.25">
      <c r="A711" s="31">
        <v>62578</v>
      </c>
      <c r="B711" s="14">
        <f>53.4471 * CHOOSE(CONTROL!$C$15, $E$9, 100%, $G$9) + CHOOSE(CONTROL!$C$38, 0.0251, 0)</f>
        <v>53.472200000000001</v>
      </c>
      <c r="C711" s="14">
        <f>50.543 * CHOOSE(CONTROL!$C$15, $E$9, 100%, $G$9) + CHOOSE(CONTROL!$C$38, 0.0342, 0)</f>
        <v>50.577199999999998</v>
      </c>
      <c r="D711" s="14">
        <f>50.5351 * CHOOSE(CONTROL!$C$15, $E$9, 100%, $G$9) + CHOOSE(CONTROL!$C$38, 0.0342, 0)</f>
        <v>50.569299999999998</v>
      </c>
      <c r="E711" s="45">
        <f>53.2908 * CHOOSE(CONTROL!$C$15, $E$9, 100%, $G$9) + CHOOSE(CONTROL!$C$38, 0.0342, 0)</f>
        <v>53.324999999999996</v>
      </c>
      <c r="F711" s="44">
        <f>53.2908 * CHOOSE(CONTROL!$C$15, $E$9, 100%, $G$9) + CHOOSE(CONTROL!$C$38, 0.0251, 0)</f>
        <v>53.315899999999999</v>
      </c>
      <c r="G711" s="14">
        <f>50.5414 * CHOOSE(CONTROL!$C$15, $E$9, 100%, $G$9) + CHOOSE(CONTROL!$C$38, 0.0342, 0)</f>
        <v>50.575600000000001</v>
      </c>
      <c r="H711" s="14">
        <f>50.5414 * CHOOSE(CONTROL!$C$15, $E$9, 100%, $G$9) + CHOOSE(CONTROL!$C$38, 0.0342, 0)</f>
        <v>50.575600000000001</v>
      </c>
      <c r="I711" s="14">
        <f>50.543 * CHOOSE(CONTROL!$C$15, $E$9, 100%, $G$9) + CHOOSE(CONTROL!$C$38, 0.0342, 0)</f>
        <v>50.577199999999998</v>
      </c>
      <c r="J711" s="43">
        <f>456.1027</f>
        <v>456.10270000000003</v>
      </c>
    </row>
    <row r="712" spans="1:10" ht="15.75" x14ac:dyDescent="0.25">
      <c r="A712" s="31">
        <v>62609</v>
      </c>
      <c r="B712" s="14">
        <f>55.2199 * CHOOSE(CONTROL!$C$15, $E$9, 100%, $G$9) + CHOOSE(CONTROL!$C$38, 0.0264, 0)</f>
        <v>55.246300000000005</v>
      </c>
      <c r="C712" s="14">
        <f>52.2236 * CHOOSE(CONTROL!$C$15, $E$9, 100%, $G$9) + CHOOSE(CONTROL!$C$38, 0.0354, 0)</f>
        <v>52.259</v>
      </c>
      <c r="D712" s="14">
        <f>52.2158 * CHOOSE(CONTROL!$C$15, $E$9, 100%, $G$9) + CHOOSE(CONTROL!$C$38, 0.0354, 0)</f>
        <v>52.251200000000004</v>
      </c>
      <c r="E712" s="45">
        <f>55.0637 * CHOOSE(CONTROL!$C$15, $E$9, 100%, $G$9) + CHOOSE(CONTROL!$C$38, 0.0354, 0)</f>
        <v>55.0991</v>
      </c>
      <c r="F712" s="44">
        <f>55.0637 * CHOOSE(CONTROL!$C$15, $E$9, 100%, $G$9) + CHOOSE(CONTROL!$C$38, 0.0264, 0)</f>
        <v>55.0901</v>
      </c>
      <c r="G712" s="14">
        <f>52.222 * CHOOSE(CONTROL!$C$15, $E$9, 100%, $G$9) + CHOOSE(CONTROL!$C$38, 0.0354, 0)</f>
        <v>52.257400000000004</v>
      </c>
      <c r="H712" s="14">
        <f>52.222 * CHOOSE(CONTROL!$C$15, $E$9, 100%, $G$9) + CHOOSE(CONTROL!$C$38, 0.0354, 0)</f>
        <v>52.257400000000004</v>
      </c>
      <c r="I712" s="14">
        <f>52.2236 * CHOOSE(CONTROL!$C$15, $E$9, 100%, $G$9) + CHOOSE(CONTROL!$C$38, 0.0354, 0)</f>
        <v>52.259</v>
      </c>
      <c r="J712" s="43">
        <f>471.4086</f>
        <v>471.40859999999998</v>
      </c>
    </row>
    <row r="713" spans="1:10" ht="15.75" x14ac:dyDescent="0.25">
      <c r="A713" s="31">
        <v>62639</v>
      </c>
      <c r="B713" s="14">
        <f>56.0067 * CHOOSE(CONTROL!$C$15, $E$9, 100%, $G$9) + CHOOSE(CONTROL!$C$38, 0.0264, 0)</f>
        <v>56.033100000000005</v>
      </c>
      <c r="C713" s="14">
        <f>52.9695 * CHOOSE(CONTROL!$C$15, $E$9, 100%, $G$9) + CHOOSE(CONTROL!$C$38, 0.0354, 0)</f>
        <v>53.004899999999999</v>
      </c>
      <c r="D713" s="14">
        <f>52.9616 * CHOOSE(CONTROL!$C$15, $E$9, 100%, $G$9) + CHOOSE(CONTROL!$C$38, 0.0354, 0)</f>
        <v>52.997</v>
      </c>
      <c r="E713" s="45">
        <f>55.8504 * CHOOSE(CONTROL!$C$15, $E$9, 100%, $G$9) + CHOOSE(CONTROL!$C$38, 0.0354, 0)</f>
        <v>55.885800000000003</v>
      </c>
      <c r="F713" s="44">
        <f>55.8504 * CHOOSE(CONTROL!$C$15, $E$9, 100%, $G$9) + CHOOSE(CONTROL!$C$38, 0.0264, 0)</f>
        <v>55.876800000000003</v>
      </c>
      <c r="G713" s="14">
        <f>52.9679 * CHOOSE(CONTROL!$C$15, $E$9, 100%, $G$9) + CHOOSE(CONTROL!$C$38, 0.0354, 0)</f>
        <v>53.003300000000003</v>
      </c>
      <c r="H713" s="14">
        <f>52.9679 * CHOOSE(CONTROL!$C$15, $E$9, 100%, $G$9) + CHOOSE(CONTROL!$C$38, 0.0354, 0)</f>
        <v>53.003300000000003</v>
      </c>
      <c r="I713" s="14">
        <f>52.9695 * CHOOSE(CONTROL!$C$15, $E$9, 100%, $G$9) + CHOOSE(CONTROL!$C$38, 0.0354, 0)</f>
        <v>53.004899999999999</v>
      </c>
      <c r="J713" s="43">
        <f>478.2011</f>
        <v>478.2011</v>
      </c>
    </row>
    <row r="714" spans="1:10" ht="15.75" x14ac:dyDescent="0.25">
      <c r="A714" s="31">
        <v>62670</v>
      </c>
      <c r="B714" s="14">
        <f>55.7476 * CHOOSE(CONTROL!$C$15, $E$9, 100%, $G$9) + CHOOSE(CONTROL!$C$38, 0.0264, 0)</f>
        <v>55.774000000000001</v>
      </c>
      <c r="C714" s="14">
        <f>52.7239 * CHOOSE(CONTROL!$C$15, $E$9, 100%, $G$9) + CHOOSE(CONTROL!$C$38, 0.0354, 0)</f>
        <v>52.759300000000003</v>
      </c>
      <c r="D714" s="14">
        <f>52.7161 * CHOOSE(CONTROL!$C$15, $E$9, 100%, $G$9) + CHOOSE(CONTROL!$C$38, 0.0354, 0)</f>
        <v>52.7515</v>
      </c>
      <c r="E714" s="45">
        <f>55.5914 * CHOOSE(CONTROL!$C$15, $E$9, 100%, $G$9) + CHOOSE(CONTROL!$C$38, 0.0354, 0)</f>
        <v>55.626800000000003</v>
      </c>
      <c r="F714" s="44">
        <f>55.5914 * CHOOSE(CONTROL!$C$15, $E$9, 100%, $G$9) + CHOOSE(CONTROL!$C$38, 0.0264, 0)</f>
        <v>55.617800000000003</v>
      </c>
      <c r="G714" s="14">
        <f>52.7223 * CHOOSE(CONTROL!$C$15, $E$9, 100%, $G$9) + CHOOSE(CONTROL!$C$38, 0.0354, 0)</f>
        <v>52.7577</v>
      </c>
      <c r="H714" s="14">
        <f>52.7223 * CHOOSE(CONTROL!$C$15, $E$9, 100%, $G$9) + CHOOSE(CONTROL!$C$38, 0.0354, 0)</f>
        <v>52.7577</v>
      </c>
      <c r="I714" s="14">
        <f>52.7239 * CHOOSE(CONTROL!$C$15, $E$9, 100%, $G$9) + CHOOSE(CONTROL!$C$38, 0.0354, 0)</f>
        <v>52.759300000000003</v>
      </c>
      <c r="J714" s="43">
        <f>475.9647</f>
        <v>475.96469999999999</v>
      </c>
    </row>
    <row r="715" spans="1:10" ht="15.75" x14ac:dyDescent="0.25">
      <c r="A715" s="31">
        <v>62701</v>
      </c>
      <c r="B715" s="14">
        <f>54.4642 * CHOOSE(CONTROL!$C$15, $E$9, 100%, $G$9) + CHOOSE(CONTROL!$C$38, 0.0264, 0)</f>
        <v>54.490600000000001</v>
      </c>
      <c r="C715" s="14">
        <f>51.5072 * CHOOSE(CONTROL!$C$15, $E$9, 100%, $G$9) + CHOOSE(CONTROL!$C$38, 0.0354, 0)</f>
        <v>51.5426</v>
      </c>
      <c r="D715" s="14">
        <f>51.4994 * CHOOSE(CONTROL!$C$15, $E$9, 100%, $G$9) + CHOOSE(CONTROL!$C$38, 0.0354, 0)</f>
        <v>51.534800000000004</v>
      </c>
      <c r="E715" s="45">
        <f>54.308 * CHOOSE(CONTROL!$C$15, $E$9, 100%, $G$9) + CHOOSE(CONTROL!$C$38, 0.0354, 0)</f>
        <v>54.343400000000003</v>
      </c>
      <c r="F715" s="44">
        <f>54.308 * CHOOSE(CONTROL!$C$15, $E$9, 100%, $G$9) + CHOOSE(CONTROL!$C$38, 0.0264, 0)</f>
        <v>54.334400000000002</v>
      </c>
      <c r="G715" s="14">
        <f>51.5057 * CHOOSE(CONTROL!$C$15, $E$9, 100%, $G$9) + CHOOSE(CONTROL!$C$38, 0.0354, 0)</f>
        <v>51.5411</v>
      </c>
      <c r="H715" s="14">
        <f>51.5057 * CHOOSE(CONTROL!$C$15, $E$9, 100%, $G$9) + CHOOSE(CONTROL!$C$38, 0.0354, 0)</f>
        <v>51.5411</v>
      </c>
      <c r="I715" s="14">
        <f>51.5072 * CHOOSE(CONTROL!$C$15, $E$9, 100%, $G$9) + CHOOSE(CONTROL!$C$38, 0.0354, 0)</f>
        <v>51.5426</v>
      </c>
      <c r="J715" s="43">
        <f>464.8845</f>
        <v>464.8845</v>
      </c>
    </row>
    <row r="716" spans="1:10" ht="15.75" x14ac:dyDescent="0.25">
      <c r="A716" s="31">
        <v>62731</v>
      </c>
      <c r="B716" s="14">
        <f>52.6744 * CHOOSE(CONTROL!$C$15, $E$9, 100%, $G$9) + CHOOSE(CONTROL!$C$38, 0.0264, 0)</f>
        <v>52.700800000000001</v>
      </c>
      <c r="C716" s="14">
        <f>49.8105 * CHOOSE(CONTROL!$C$15, $E$9, 100%, $G$9) + CHOOSE(CONTROL!$C$38, 0.0354, 0)</f>
        <v>49.8459</v>
      </c>
      <c r="D716" s="14">
        <f>49.8027 * CHOOSE(CONTROL!$C$15, $E$9, 100%, $G$9) + CHOOSE(CONTROL!$C$38, 0.0354, 0)</f>
        <v>49.838100000000004</v>
      </c>
      <c r="E716" s="45">
        <f>52.5182 * CHOOSE(CONTROL!$C$15, $E$9, 100%, $G$9) + CHOOSE(CONTROL!$C$38, 0.0354, 0)</f>
        <v>52.553600000000003</v>
      </c>
      <c r="F716" s="44">
        <f>52.5182 * CHOOSE(CONTROL!$C$15, $E$9, 100%, $G$9) + CHOOSE(CONTROL!$C$38, 0.0264, 0)</f>
        <v>52.544600000000003</v>
      </c>
      <c r="G716" s="14">
        <f>49.809 * CHOOSE(CONTROL!$C$15, $E$9, 100%, $G$9) + CHOOSE(CONTROL!$C$38, 0.0354, 0)</f>
        <v>49.8444</v>
      </c>
      <c r="H716" s="14">
        <f>49.809 * CHOOSE(CONTROL!$C$15, $E$9, 100%, $G$9) + CHOOSE(CONTROL!$C$38, 0.0354, 0)</f>
        <v>49.8444</v>
      </c>
      <c r="I716" s="14">
        <f>49.8105 * CHOOSE(CONTROL!$C$15, $E$9, 100%, $G$9) + CHOOSE(CONTROL!$C$38, 0.0354, 0)</f>
        <v>49.8459</v>
      </c>
      <c r="J716" s="43">
        <f>449.4325</f>
        <v>449.4325</v>
      </c>
    </row>
    <row r="717" spans="1:10" ht="15.75" x14ac:dyDescent="0.25">
      <c r="A717" s="31">
        <v>62762</v>
      </c>
      <c r="B717" s="14">
        <f>50.8743 * CHOOSE(CONTROL!$C$15, $E$9, 100%, $G$9) + CHOOSE(CONTROL!$C$38, 0.0251, 0)</f>
        <v>50.8994</v>
      </c>
      <c r="C717" s="14">
        <f>48.104 * CHOOSE(CONTROL!$C$15, $E$9, 100%, $G$9) + CHOOSE(CONTROL!$C$38, 0.0342, 0)</f>
        <v>48.138199999999998</v>
      </c>
      <c r="D717" s="14">
        <f>48.0962 * CHOOSE(CONTROL!$C$15, $E$9, 100%, $G$9) + CHOOSE(CONTROL!$C$38, 0.0342, 0)</f>
        <v>48.130400000000002</v>
      </c>
      <c r="E717" s="45">
        <f>50.718 * CHOOSE(CONTROL!$C$15, $E$9, 100%, $G$9) + CHOOSE(CONTROL!$C$38, 0.0342, 0)</f>
        <v>50.752200000000002</v>
      </c>
      <c r="F717" s="44">
        <f>50.718 * CHOOSE(CONTROL!$C$15, $E$9, 100%, $G$9) + CHOOSE(CONTROL!$C$38, 0.0251, 0)</f>
        <v>50.743100000000005</v>
      </c>
      <c r="G717" s="14">
        <f>48.1024 * CHOOSE(CONTROL!$C$15, $E$9, 100%, $G$9) + CHOOSE(CONTROL!$C$38, 0.0342, 0)</f>
        <v>48.136600000000001</v>
      </c>
      <c r="H717" s="14">
        <f>48.1024 * CHOOSE(CONTROL!$C$15, $E$9, 100%, $G$9) + CHOOSE(CONTROL!$C$38, 0.0342, 0)</f>
        <v>48.136600000000001</v>
      </c>
      <c r="I717" s="14">
        <f>48.104 * CHOOSE(CONTROL!$C$15, $E$9, 100%, $G$9) + CHOOSE(CONTROL!$C$38, 0.0342, 0)</f>
        <v>48.138199999999998</v>
      </c>
      <c r="J717" s="43">
        <f>433.8907</f>
        <v>433.89069999999998</v>
      </c>
    </row>
    <row r="718" spans="1:10" ht="15.75" x14ac:dyDescent="0.25">
      <c r="A718" s="31">
        <v>62792</v>
      </c>
      <c r="B718" s="14">
        <f>50.5162 * CHOOSE(CONTROL!$C$15, $E$9, 100%, $G$9) + CHOOSE(CONTROL!$C$38, 0.0251, 0)</f>
        <v>50.5413</v>
      </c>
      <c r="C718" s="14">
        <f>47.7645 * CHOOSE(CONTROL!$C$15, $E$9, 100%, $G$9) + CHOOSE(CONTROL!$C$38, 0.0342, 0)</f>
        <v>47.798699999999997</v>
      </c>
      <c r="D718" s="14">
        <f>47.7567 * CHOOSE(CONTROL!$C$15, $E$9, 100%, $G$9) + CHOOSE(CONTROL!$C$38, 0.0342, 0)</f>
        <v>47.790900000000001</v>
      </c>
      <c r="E718" s="45">
        <f>50.3599 * CHOOSE(CONTROL!$C$15, $E$9, 100%, $G$9) + CHOOSE(CONTROL!$C$38, 0.0342, 0)</f>
        <v>50.394100000000002</v>
      </c>
      <c r="F718" s="44">
        <f>50.3599 * CHOOSE(CONTROL!$C$15, $E$9, 100%, $G$9) + CHOOSE(CONTROL!$C$38, 0.0251, 0)</f>
        <v>50.385000000000005</v>
      </c>
      <c r="G718" s="14">
        <f>47.7629 * CHOOSE(CONTROL!$C$15, $E$9, 100%, $G$9) + CHOOSE(CONTROL!$C$38, 0.0342, 0)</f>
        <v>47.7971</v>
      </c>
      <c r="H718" s="14">
        <f>47.7629 * CHOOSE(CONTROL!$C$15, $E$9, 100%, $G$9) + CHOOSE(CONTROL!$C$38, 0.0342, 0)</f>
        <v>47.7971</v>
      </c>
      <c r="I718" s="14">
        <f>47.7645 * CHOOSE(CONTROL!$C$15, $E$9, 100%, $G$9) + CHOOSE(CONTROL!$C$38, 0.0342, 0)</f>
        <v>47.798699999999997</v>
      </c>
      <c r="J718" s="43">
        <f>430.7991</f>
        <v>430.79910000000001</v>
      </c>
    </row>
    <row r="719" spans="1:10" ht="15.75" x14ac:dyDescent="0.25">
      <c r="A719" s="31">
        <v>62823</v>
      </c>
      <c r="B719" s="14">
        <f>49.0354 * CHOOSE(CONTROL!$C$15, $E$9, 100%, $G$9) + CHOOSE(CONTROL!$C$38, 0.0251, 0)</f>
        <v>49.060500000000005</v>
      </c>
      <c r="C719" s="14">
        <f>46.3608 * CHOOSE(CONTROL!$C$15, $E$9, 100%, $G$9) + CHOOSE(CONTROL!$C$38, 0.0342, 0)</f>
        <v>46.394999999999996</v>
      </c>
      <c r="D719" s="14">
        <f>46.353 * CHOOSE(CONTROL!$C$15, $E$9, 100%, $G$9) + CHOOSE(CONTROL!$C$38, 0.0342, 0)</f>
        <v>46.3872</v>
      </c>
      <c r="E719" s="45">
        <f>48.8792 * CHOOSE(CONTROL!$C$15, $E$9, 100%, $G$9) + CHOOSE(CONTROL!$C$38, 0.0342, 0)</f>
        <v>48.913399999999996</v>
      </c>
      <c r="F719" s="44">
        <f>48.8792 * CHOOSE(CONTROL!$C$15, $E$9, 100%, $G$9) + CHOOSE(CONTROL!$C$38, 0.0251, 0)</f>
        <v>48.904299999999999</v>
      </c>
      <c r="G719" s="14">
        <f>46.3592 * CHOOSE(CONTROL!$C$15, $E$9, 100%, $G$9) + CHOOSE(CONTROL!$C$38, 0.0342, 0)</f>
        <v>46.3934</v>
      </c>
      <c r="H719" s="14">
        <f>46.3592 * CHOOSE(CONTROL!$C$15, $E$9, 100%, $G$9) + CHOOSE(CONTROL!$C$38, 0.0342, 0)</f>
        <v>46.3934</v>
      </c>
      <c r="I719" s="14">
        <f>46.3608 * CHOOSE(CONTROL!$C$15, $E$9, 100%, $G$9) + CHOOSE(CONTROL!$C$38, 0.0342, 0)</f>
        <v>46.394999999999996</v>
      </c>
      <c r="J719" s="43">
        <f>418.0151</f>
        <v>418.01510000000002</v>
      </c>
    </row>
    <row r="720" spans="1:10" ht="15.75" x14ac:dyDescent="0.25">
      <c r="A720" s="31">
        <v>62854</v>
      </c>
      <c r="B720" s="14">
        <f>48.6677 * CHOOSE(CONTROL!$C$15, $E$9, 100%, $G$9) + CHOOSE(CONTROL!$C$38, 0.0251, 0)</f>
        <v>48.692800000000005</v>
      </c>
      <c r="C720" s="14">
        <f>46.0122 * CHOOSE(CONTROL!$C$15, $E$9, 100%, $G$9) + CHOOSE(CONTROL!$C$38, 0.0342, 0)</f>
        <v>46.046399999999998</v>
      </c>
      <c r="D720" s="14">
        <f>46.0044 * CHOOSE(CONTROL!$C$15, $E$9, 100%, $G$9) + CHOOSE(CONTROL!$C$38, 0.0342, 0)</f>
        <v>46.038599999999995</v>
      </c>
      <c r="E720" s="45">
        <f>48.5114 * CHOOSE(CONTROL!$C$15, $E$9, 100%, $G$9) + CHOOSE(CONTROL!$C$38, 0.0342, 0)</f>
        <v>48.5456</v>
      </c>
      <c r="F720" s="44">
        <f>48.5114 * CHOOSE(CONTROL!$C$15, $E$9, 100%, $G$9) + CHOOSE(CONTROL!$C$38, 0.0251, 0)</f>
        <v>48.536500000000004</v>
      </c>
      <c r="G720" s="14">
        <f>46.0106 * CHOOSE(CONTROL!$C$15, $E$9, 100%, $G$9) + CHOOSE(CONTROL!$C$38, 0.0342, 0)</f>
        <v>46.044799999999995</v>
      </c>
      <c r="H720" s="14">
        <f>46.0106 * CHOOSE(CONTROL!$C$15, $E$9, 100%, $G$9) + CHOOSE(CONTROL!$C$38, 0.0342, 0)</f>
        <v>46.044799999999995</v>
      </c>
      <c r="I720" s="14">
        <f>46.0122 * CHOOSE(CONTROL!$C$15, $E$9, 100%, $G$9) + CHOOSE(CONTROL!$C$38, 0.0342, 0)</f>
        <v>46.046399999999998</v>
      </c>
      <c r="J720" s="43">
        <f>417.7133</f>
        <v>417.7133</v>
      </c>
    </row>
    <row r="721" spans="1:10" ht="15.75" x14ac:dyDescent="0.25">
      <c r="A721" s="31">
        <v>62883</v>
      </c>
      <c r="B721" s="14">
        <f>48.5341 * CHOOSE(CONTROL!$C$15, $E$9, 100%, $G$9) + CHOOSE(CONTROL!$C$38, 0.0251, 0)</f>
        <v>48.559200000000004</v>
      </c>
      <c r="C721" s="14">
        <f>45.8856 * CHOOSE(CONTROL!$C$15, $E$9, 100%, $G$9) + CHOOSE(CONTROL!$C$38, 0.0342, 0)</f>
        <v>45.919799999999995</v>
      </c>
      <c r="D721" s="14">
        <f>45.8777 * CHOOSE(CONTROL!$C$15, $E$9, 100%, $G$9) + CHOOSE(CONTROL!$C$38, 0.0342, 0)</f>
        <v>45.911899999999996</v>
      </c>
      <c r="E721" s="45">
        <f>48.3779 * CHOOSE(CONTROL!$C$15, $E$9, 100%, $G$9) + CHOOSE(CONTROL!$C$38, 0.0342, 0)</f>
        <v>48.412099999999995</v>
      </c>
      <c r="F721" s="44">
        <f>48.3779 * CHOOSE(CONTROL!$C$15, $E$9, 100%, $G$9) + CHOOSE(CONTROL!$C$38, 0.0251, 0)</f>
        <v>48.402999999999999</v>
      </c>
      <c r="G721" s="14">
        <f>45.884 * CHOOSE(CONTROL!$C$15, $E$9, 100%, $G$9) + CHOOSE(CONTROL!$C$38, 0.0342, 0)</f>
        <v>45.918199999999999</v>
      </c>
      <c r="H721" s="14">
        <f>45.884 * CHOOSE(CONTROL!$C$15, $E$9, 100%, $G$9) + CHOOSE(CONTROL!$C$38, 0.0342, 0)</f>
        <v>45.918199999999999</v>
      </c>
      <c r="I721" s="14">
        <f>45.8856 * CHOOSE(CONTROL!$C$15, $E$9, 100%, $G$9) + CHOOSE(CONTROL!$C$38, 0.0342, 0)</f>
        <v>45.919799999999995</v>
      </c>
      <c r="J721" s="43">
        <f>416.5522</f>
        <v>416.55220000000003</v>
      </c>
    </row>
    <row r="722" spans="1:10" ht="15.75" x14ac:dyDescent="0.25">
      <c r="A722" s="31">
        <v>62914</v>
      </c>
      <c r="B722" s="14">
        <f>51.0596 * CHOOSE(CONTROL!$C$15, $E$9, 100%, $G$9) + CHOOSE(CONTROL!$C$38, 0.0251, 0)</f>
        <v>51.084700000000005</v>
      </c>
      <c r="C722" s="14">
        <f>48.2797 * CHOOSE(CONTROL!$C$15, $E$9, 100%, $G$9) + CHOOSE(CONTROL!$C$38, 0.0342, 0)</f>
        <v>48.313899999999997</v>
      </c>
      <c r="D722" s="14">
        <f>48.2719 * CHOOSE(CONTROL!$C$15, $E$9, 100%, $G$9) + CHOOSE(CONTROL!$C$38, 0.0342, 0)</f>
        <v>48.306100000000001</v>
      </c>
      <c r="E722" s="45">
        <f>50.9034 * CHOOSE(CONTROL!$C$15, $E$9, 100%, $G$9) + CHOOSE(CONTROL!$C$38, 0.0342, 0)</f>
        <v>50.937599999999996</v>
      </c>
      <c r="F722" s="44">
        <f>50.9034 * CHOOSE(CONTROL!$C$15, $E$9, 100%, $G$9) + CHOOSE(CONTROL!$C$38, 0.0251, 0)</f>
        <v>50.9285</v>
      </c>
      <c r="G722" s="14">
        <f>48.2781 * CHOOSE(CONTROL!$C$15, $E$9, 100%, $G$9) + CHOOSE(CONTROL!$C$38, 0.0342, 0)</f>
        <v>48.3123</v>
      </c>
      <c r="H722" s="14">
        <f>48.2781 * CHOOSE(CONTROL!$C$15, $E$9, 100%, $G$9) + CHOOSE(CONTROL!$C$38, 0.0342, 0)</f>
        <v>48.3123</v>
      </c>
      <c r="I722" s="14">
        <f>48.2797 * CHOOSE(CONTROL!$C$15, $E$9, 100%, $G$9) + CHOOSE(CONTROL!$C$38, 0.0342, 0)</f>
        <v>48.313899999999997</v>
      </c>
      <c r="J722" s="43">
        <f>438.5069</f>
        <v>438.50689999999997</v>
      </c>
    </row>
    <row r="723" spans="1:10" ht="15.75" x14ac:dyDescent="0.25">
      <c r="A723" s="31">
        <v>62944</v>
      </c>
      <c r="B723" s="14">
        <f>54.3346 * CHOOSE(CONTROL!$C$15, $E$9, 100%, $G$9) + CHOOSE(CONTROL!$C$38, 0.0251, 0)</f>
        <v>54.359700000000004</v>
      </c>
      <c r="C723" s="14">
        <f>51.3843 * CHOOSE(CONTROL!$C$15, $E$9, 100%, $G$9) + CHOOSE(CONTROL!$C$38, 0.0342, 0)</f>
        <v>51.418500000000002</v>
      </c>
      <c r="D723" s="14">
        <f>51.3765 * CHOOSE(CONTROL!$C$15, $E$9, 100%, $G$9) + CHOOSE(CONTROL!$C$38, 0.0342, 0)</f>
        <v>51.410699999999999</v>
      </c>
      <c r="E723" s="45">
        <f>54.1783 * CHOOSE(CONTROL!$C$15, $E$9, 100%, $G$9) + CHOOSE(CONTROL!$C$38, 0.0342, 0)</f>
        <v>54.212499999999999</v>
      </c>
      <c r="F723" s="44">
        <f>54.1783 * CHOOSE(CONTROL!$C$15, $E$9, 100%, $G$9) + CHOOSE(CONTROL!$C$38, 0.0251, 0)</f>
        <v>54.203400000000002</v>
      </c>
      <c r="G723" s="14">
        <f>51.3828 * CHOOSE(CONTROL!$C$15, $E$9, 100%, $G$9) + CHOOSE(CONTROL!$C$38, 0.0342, 0)</f>
        <v>51.417000000000002</v>
      </c>
      <c r="H723" s="14">
        <f>51.3828 * CHOOSE(CONTROL!$C$15, $E$9, 100%, $G$9) + CHOOSE(CONTROL!$C$38, 0.0342, 0)</f>
        <v>51.417000000000002</v>
      </c>
      <c r="I723" s="14">
        <f>51.3843 * CHOOSE(CONTROL!$C$15, $E$9, 100%, $G$9) + CHOOSE(CONTROL!$C$38, 0.0342, 0)</f>
        <v>51.418500000000002</v>
      </c>
      <c r="J723" s="43">
        <f>466.9769</f>
        <v>466.9769</v>
      </c>
    </row>
    <row r="724" spans="1:10" ht="15.75" x14ac:dyDescent="0.25">
      <c r="A724" s="31">
        <v>62975</v>
      </c>
      <c r="B724" s="14">
        <f>56.1372 * CHOOSE(CONTROL!$C$15, $E$9, 100%, $G$9) + CHOOSE(CONTROL!$C$38, 0.0264, 0)</f>
        <v>56.163600000000002</v>
      </c>
      <c r="C724" s="14">
        <f>53.0932 * CHOOSE(CONTROL!$C$15, $E$9, 100%, $G$9) + CHOOSE(CONTROL!$C$38, 0.0354, 0)</f>
        <v>53.128600000000006</v>
      </c>
      <c r="D724" s="14">
        <f>53.0854 * CHOOSE(CONTROL!$C$15, $E$9, 100%, $G$9) + CHOOSE(CONTROL!$C$38, 0.0354, 0)</f>
        <v>53.120800000000003</v>
      </c>
      <c r="E724" s="45">
        <f>55.981 * CHOOSE(CONTROL!$C$15, $E$9, 100%, $G$9) + CHOOSE(CONTROL!$C$38, 0.0354, 0)</f>
        <v>56.016400000000004</v>
      </c>
      <c r="F724" s="44">
        <f>55.981 * CHOOSE(CONTROL!$C$15, $E$9, 100%, $G$9) + CHOOSE(CONTROL!$C$38, 0.0264, 0)</f>
        <v>56.007400000000004</v>
      </c>
      <c r="G724" s="14">
        <f>53.0916 * CHOOSE(CONTROL!$C$15, $E$9, 100%, $G$9) + CHOOSE(CONTROL!$C$38, 0.0354, 0)</f>
        <v>53.127000000000002</v>
      </c>
      <c r="H724" s="14">
        <f>53.0916 * CHOOSE(CONTROL!$C$15, $E$9, 100%, $G$9) + CHOOSE(CONTROL!$C$38, 0.0354, 0)</f>
        <v>53.127000000000002</v>
      </c>
      <c r="I724" s="14">
        <f>53.0932 * CHOOSE(CONTROL!$C$15, $E$9, 100%, $G$9) + CHOOSE(CONTROL!$C$38, 0.0354, 0)</f>
        <v>53.128600000000006</v>
      </c>
      <c r="J724" s="43">
        <f>482.6477</f>
        <v>482.64769999999999</v>
      </c>
    </row>
    <row r="725" spans="1:10" ht="15.75" x14ac:dyDescent="0.25">
      <c r="A725" s="31">
        <v>63005</v>
      </c>
      <c r="B725" s="14">
        <f>56.9372 * CHOOSE(CONTROL!$C$15, $E$9, 100%, $G$9) + CHOOSE(CONTROL!$C$38, 0.0264, 0)</f>
        <v>56.9636</v>
      </c>
      <c r="C725" s="14">
        <f>53.8516 * CHOOSE(CONTROL!$C$15, $E$9, 100%, $G$9) + CHOOSE(CONTROL!$C$38, 0.0354, 0)</f>
        <v>53.887</v>
      </c>
      <c r="D725" s="14">
        <f>53.8438 * CHOOSE(CONTROL!$C$15, $E$9, 100%, $G$9) + CHOOSE(CONTROL!$C$38, 0.0354, 0)</f>
        <v>53.879200000000004</v>
      </c>
      <c r="E725" s="45">
        <f>56.781 * CHOOSE(CONTROL!$C$15, $E$9, 100%, $G$9) + CHOOSE(CONTROL!$C$38, 0.0354, 0)</f>
        <v>56.816400000000002</v>
      </c>
      <c r="F725" s="44">
        <f>56.781 * CHOOSE(CONTROL!$C$15, $E$9, 100%, $G$9) + CHOOSE(CONTROL!$C$38, 0.0264, 0)</f>
        <v>56.807400000000001</v>
      </c>
      <c r="G725" s="14">
        <f>53.85 * CHOOSE(CONTROL!$C$15, $E$9, 100%, $G$9) + CHOOSE(CONTROL!$C$38, 0.0354, 0)</f>
        <v>53.885400000000004</v>
      </c>
      <c r="H725" s="14">
        <f>53.85 * CHOOSE(CONTROL!$C$15, $E$9, 100%, $G$9) + CHOOSE(CONTROL!$C$38, 0.0354, 0)</f>
        <v>53.885400000000004</v>
      </c>
      <c r="I725" s="14">
        <f>53.8516 * CHOOSE(CONTROL!$C$15, $E$9, 100%, $G$9) + CHOOSE(CONTROL!$C$38, 0.0354, 0)</f>
        <v>53.887</v>
      </c>
      <c r="J725" s="43">
        <f>489.6022</f>
        <v>489.60219999999998</v>
      </c>
    </row>
    <row r="726" spans="1:10" ht="15.75" x14ac:dyDescent="0.25">
      <c r="A726" s="31">
        <v>63036</v>
      </c>
      <c r="B726" s="14">
        <f>56.6738 * CHOOSE(CONTROL!$C$15, $E$9, 100%, $G$9) + CHOOSE(CONTROL!$C$38, 0.0264, 0)</f>
        <v>56.700200000000002</v>
      </c>
      <c r="C726" s="14">
        <f>53.6019 * CHOOSE(CONTROL!$C$15, $E$9, 100%, $G$9) + CHOOSE(CONTROL!$C$38, 0.0354, 0)</f>
        <v>53.637300000000003</v>
      </c>
      <c r="D726" s="14">
        <f>53.5941 * CHOOSE(CONTROL!$C$15, $E$9, 100%, $G$9) + CHOOSE(CONTROL!$C$38, 0.0354, 0)</f>
        <v>53.6295</v>
      </c>
      <c r="E726" s="45">
        <f>56.5176 * CHOOSE(CONTROL!$C$15, $E$9, 100%, $G$9) + CHOOSE(CONTROL!$C$38, 0.0354, 0)</f>
        <v>56.553000000000004</v>
      </c>
      <c r="F726" s="44">
        <f>56.5176 * CHOOSE(CONTROL!$C$15, $E$9, 100%, $G$9) + CHOOSE(CONTROL!$C$38, 0.0264, 0)</f>
        <v>56.544000000000004</v>
      </c>
      <c r="G726" s="14">
        <f>53.6003 * CHOOSE(CONTROL!$C$15, $E$9, 100%, $G$9) + CHOOSE(CONTROL!$C$38, 0.0354, 0)</f>
        <v>53.6357</v>
      </c>
      <c r="H726" s="14">
        <f>53.6003 * CHOOSE(CONTROL!$C$15, $E$9, 100%, $G$9) + CHOOSE(CONTROL!$C$38, 0.0354, 0)</f>
        <v>53.6357</v>
      </c>
      <c r="I726" s="14">
        <f>53.6019 * CHOOSE(CONTROL!$C$15, $E$9, 100%, $G$9) + CHOOSE(CONTROL!$C$38, 0.0354, 0)</f>
        <v>53.637300000000003</v>
      </c>
      <c r="J726" s="43">
        <f>487.3124</f>
        <v>487.31240000000003</v>
      </c>
    </row>
    <row r="727" spans="1:10" ht="15.75" x14ac:dyDescent="0.25">
      <c r="A727" s="31">
        <v>63067</v>
      </c>
      <c r="B727" s="14">
        <f>55.3688 * CHOOSE(CONTROL!$C$15, $E$9, 100%, $G$9) + CHOOSE(CONTROL!$C$38, 0.0264, 0)</f>
        <v>55.395200000000003</v>
      </c>
      <c r="C727" s="14">
        <f>52.3648 * CHOOSE(CONTROL!$C$15, $E$9, 100%, $G$9) + CHOOSE(CONTROL!$C$38, 0.0354, 0)</f>
        <v>52.400200000000005</v>
      </c>
      <c r="D727" s="14">
        <f>52.357 * CHOOSE(CONTROL!$C$15, $E$9, 100%, $G$9) + CHOOSE(CONTROL!$C$38, 0.0354, 0)</f>
        <v>52.392400000000002</v>
      </c>
      <c r="E727" s="45">
        <f>55.2126 * CHOOSE(CONTROL!$C$15, $E$9, 100%, $G$9) + CHOOSE(CONTROL!$C$38, 0.0354, 0)</f>
        <v>55.248000000000005</v>
      </c>
      <c r="F727" s="44">
        <f>55.2126 * CHOOSE(CONTROL!$C$15, $E$9, 100%, $G$9) + CHOOSE(CONTROL!$C$38, 0.0264, 0)</f>
        <v>55.239000000000004</v>
      </c>
      <c r="G727" s="14">
        <f>52.3632 * CHOOSE(CONTROL!$C$15, $E$9, 100%, $G$9) + CHOOSE(CONTROL!$C$38, 0.0354, 0)</f>
        <v>52.398600000000002</v>
      </c>
      <c r="H727" s="14">
        <f>52.3632 * CHOOSE(CONTROL!$C$15, $E$9, 100%, $G$9) + CHOOSE(CONTROL!$C$38, 0.0354, 0)</f>
        <v>52.398600000000002</v>
      </c>
      <c r="I727" s="14">
        <f>52.3648 * CHOOSE(CONTROL!$C$15, $E$9, 100%, $G$9) + CHOOSE(CONTROL!$C$38, 0.0354, 0)</f>
        <v>52.400200000000005</v>
      </c>
      <c r="J727" s="43">
        <f>475.968</f>
        <v>475.96800000000002</v>
      </c>
    </row>
    <row r="728" spans="1:10" ht="15.75" x14ac:dyDescent="0.25">
      <c r="A728" s="31">
        <v>63097</v>
      </c>
      <c r="B728" s="14">
        <f>53.549 * CHOOSE(CONTROL!$C$15, $E$9, 100%, $G$9) + CHOOSE(CONTROL!$C$38, 0.0264, 0)</f>
        <v>53.575400000000002</v>
      </c>
      <c r="C728" s="14">
        <f>50.6396 * CHOOSE(CONTROL!$C$15, $E$9, 100%, $G$9) + CHOOSE(CONTROL!$C$38, 0.0354, 0)</f>
        <v>50.675000000000004</v>
      </c>
      <c r="D728" s="14">
        <f>50.6318 * CHOOSE(CONTROL!$C$15, $E$9, 100%, $G$9) + CHOOSE(CONTROL!$C$38, 0.0354, 0)</f>
        <v>50.667200000000001</v>
      </c>
      <c r="E728" s="45">
        <f>53.3927 * CHOOSE(CONTROL!$C$15, $E$9, 100%, $G$9) + CHOOSE(CONTROL!$C$38, 0.0354, 0)</f>
        <v>53.428100000000001</v>
      </c>
      <c r="F728" s="44">
        <f>53.3927 * CHOOSE(CONTROL!$C$15, $E$9, 100%, $G$9) + CHOOSE(CONTROL!$C$38, 0.0264, 0)</f>
        <v>53.4191</v>
      </c>
      <c r="G728" s="14">
        <f>50.638 * CHOOSE(CONTROL!$C$15, $E$9, 100%, $G$9) + CHOOSE(CONTROL!$C$38, 0.0354, 0)</f>
        <v>50.673400000000001</v>
      </c>
      <c r="H728" s="14">
        <f>50.638 * CHOOSE(CONTROL!$C$15, $E$9, 100%, $G$9) + CHOOSE(CONTROL!$C$38, 0.0354, 0)</f>
        <v>50.673400000000001</v>
      </c>
      <c r="I728" s="14">
        <f>50.6396 * CHOOSE(CONTROL!$C$15, $E$9, 100%, $G$9) + CHOOSE(CONTROL!$C$38, 0.0354, 0)</f>
        <v>50.675000000000004</v>
      </c>
      <c r="J728" s="43">
        <f>460.1476</f>
        <v>460.14760000000001</v>
      </c>
    </row>
    <row r="729" spans="1:10" ht="15.75" x14ac:dyDescent="0.25">
      <c r="A729" s="31">
        <v>63128</v>
      </c>
      <c r="B729" s="14">
        <f>51.7186 * CHOOSE(CONTROL!$C$15, $E$9, 100%, $G$9) + CHOOSE(CONTROL!$C$38, 0.0251, 0)</f>
        <v>51.743700000000004</v>
      </c>
      <c r="C729" s="14">
        <f>48.9044 * CHOOSE(CONTROL!$C$15, $E$9, 100%, $G$9) + CHOOSE(CONTROL!$C$38, 0.0342, 0)</f>
        <v>48.938600000000001</v>
      </c>
      <c r="D729" s="14">
        <f>48.8966 * CHOOSE(CONTROL!$C$15, $E$9, 100%, $G$9) + CHOOSE(CONTROL!$C$38, 0.0342, 0)</f>
        <v>48.930799999999998</v>
      </c>
      <c r="E729" s="45">
        <f>51.5623 * CHOOSE(CONTROL!$C$15, $E$9, 100%, $G$9) + CHOOSE(CONTROL!$C$38, 0.0342, 0)</f>
        <v>51.596499999999999</v>
      </c>
      <c r="F729" s="44">
        <f>51.5623 * CHOOSE(CONTROL!$C$15, $E$9, 100%, $G$9) + CHOOSE(CONTROL!$C$38, 0.0251, 0)</f>
        <v>51.587400000000002</v>
      </c>
      <c r="G729" s="14">
        <f>48.9028 * CHOOSE(CONTROL!$C$15, $E$9, 100%, $G$9) + CHOOSE(CONTROL!$C$38, 0.0342, 0)</f>
        <v>48.936999999999998</v>
      </c>
      <c r="H729" s="14">
        <f>48.9028 * CHOOSE(CONTROL!$C$15, $E$9, 100%, $G$9) + CHOOSE(CONTROL!$C$38, 0.0342, 0)</f>
        <v>48.936999999999998</v>
      </c>
      <c r="I729" s="14">
        <f>48.9044 * CHOOSE(CONTROL!$C$15, $E$9, 100%, $G$9) + CHOOSE(CONTROL!$C$38, 0.0342, 0)</f>
        <v>48.938600000000001</v>
      </c>
      <c r="J729" s="43">
        <f>444.2353</f>
        <v>444.2353</v>
      </c>
    </row>
    <row r="730" spans="1:10" ht="15.75" x14ac:dyDescent="0.25">
      <c r="A730" s="31">
        <v>63158</v>
      </c>
      <c r="B730" s="14">
        <f>51.3545 * CHOOSE(CONTROL!$C$15, $E$9, 100%, $G$9) + CHOOSE(CONTROL!$C$38, 0.0251, 0)</f>
        <v>51.379600000000003</v>
      </c>
      <c r="C730" s="14">
        <f>48.5592 * CHOOSE(CONTROL!$C$15, $E$9, 100%, $G$9) + CHOOSE(CONTROL!$C$38, 0.0342, 0)</f>
        <v>48.593399999999995</v>
      </c>
      <c r="D730" s="14">
        <f>48.5514 * CHOOSE(CONTROL!$C$15, $E$9, 100%, $G$9) + CHOOSE(CONTROL!$C$38, 0.0342, 0)</f>
        <v>48.585599999999999</v>
      </c>
      <c r="E730" s="45">
        <f>51.1982 * CHOOSE(CONTROL!$C$15, $E$9, 100%, $G$9) + CHOOSE(CONTROL!$C$38, 0.0342, 0)</f>
        <v>51.232399999999998</v>
      </c>
      <c r="F730" s="44">
        <f>51.1982 * CHOOSE(CONTROL!$C$15, $E$9, 100%, $G$9) + CHOOSE(CONTROL!$C$38, 0.0251, 0)</f>
        <v>51.223300000000002</v>
      </c>
      <c r="G730" s="14">
        <f>48.5576 * CHOOSE(CONTROL!$C$15, $E$9, 100%, $G$9) + CHOOSE(CONTROL!$C$38, 0.0342, 0)</f>
        <v>48.591799999999999</v>
      </c>
      <c r="H730" s="14">
        <f>48.5576 * CHOOSE(CONTROL!$C$15, $E$9, 100%, $G$9) + CHOOSE(CONTROL!$C$38, 0.0342, 0)</f>
        <v>48.591799999999999</v>
      </c>
      <c r="I730" s="14">
        <f>48.5592 * CHOOSE(CONTROL!$C$15, $E$9, 100%, $G$9) + CHOOSE(CONTROL!$C$38, 0.0342, 0)</f>
        <v>48.593399999999995</v>
      </c>
      <c r="J730" s="43">
        <f>441.07</f>
        <v>441.07</v>
      </c>
    </row>
    <row r="731" spans="1:10" ht="15.75" x14ac:dyDescent="0.25">
      <c r="A731" s="31">
        <v>63189</v>
      </c>
      <c r="B731" s="14">
        <f>49.8488 * CHOOSE(CONTROL!$C$15, $E$9, 100%, $G$9) + CHOOSE(CONTROL!$C$38, 0.0251, 0)</f>
        <v>49.873899999999999</v>
      </c>
      <c r="C731" s="14">
        <f>47.1319 * CHOOSE(CONTROL!$C$15, $E$9, 100%, $G$9) + CHOOSE(CONTROL!$C$38, 0.0342, 0)</f>
        <v>47.1661</v>
      </c>
      <c r="D731" s="14">
        <f>47.1241 * CHOOSE(CONTROL!$C$15, $E$9, 100%, $G$9) + CHOOSE(CONTROL!$C$38, 0.0342, 0)</f>
        <v>47.158299999999997</v>
      </c>
      <c r="E731" s="45">
        <f>49.6926 * CHOOSE(CONTROL!$C$15, $E$9, 100%, $G$9) + CHOOSE(CONTROL!$C$38, 0.0342, 0)</f>
        <v>49.726799999999997</v>
      </c>
      <c r="F731" s="44">
        <f>49.6926 * CHOOSE(CONTROL!$C$15, $E$9, 100%, $G$9) + CHOOSE(CONTROL!$C$38, 0.0251, 0)</f>
        <v>49.717700000000001</v>
      </c>
      <c r="G731" s="14">
        <f>47.1303 * CHOOSE(CONTROL!$C$15, $E$9, 100%, $G$9) + CHOOSE(CONTROL!$C$38, 0.0342, 0)</f>
        <v>47.164499999999997</v>
      </c>
      <c r="H731" s="14">
        <f>47.1303 * CHOOSE(CONTROL!$C$15, $E$9, 100%, $G$9) + CHOOSE(CONTROL!$C$38, 0.0342, 0)</f>
        <v>47.164499999999997</v>
      </c>
      <c r="I731" s="14">
        <f>47.1319 * CHOOSE(CONTROL!$C$15, $E$9, 100%, $G$9) + CHOOSE(CONTROL!$C$38, 0.0342, 0)</f>
        <v>47.1661</v>
      </c>
      <c r="J731" s="43">
        <f>427.9812</f>
        <v>427.9812</v>
      </c>
    </row>
    <row r="732" spans="1:10" ht="15.75" x14ac:dyDescent="0.25">
      <c r="A732" s="31">
        <v>63220</v>
      </c>
      <c r="B732" s="14">
        <f>49.4749 * CHOOSE(CONTROL!$C$15, $E$9, 100%, $G$9) + CHOOSE(CONTROL!$C$38, 0.0251, 0)</f>
        <v>49.5</v>
      </c>
      <c r="C732" s="14">
        <f>46.7774 * CHOOSE(CONTROL!$C$15, $E$9, 100%, $G$9) + CHOOSE(CONTROL!$C$38, 0.0342, 0)</f>
        <v>46.811599999999999</v>
      </c>
      <c r="D732" s="14">
        <f>46.7696 * CHOOSE(CONTROL!$C$15, $E$9, 100%, $G$9) + CHOOSE(CONTROL!$C$38, 0.0342, 0)</f>
        <v>46.803799999999995</v>
      </c>
      <c r="E732" s="45">
        <f>49.3187 * CHOOSE(CONTROL!$C$15, $E$9, 100%, $G$9) + CHOOSE(CONTROL!$C$38, 0.0342, 0)</f>
        <v>49.352899999999998</v>
      </c>
      <c r="F732" s="44">
        <f>49.3187 * CHOOSE(CONTROL!$C$15, $E$9, 100%, $G$9) + CHOOSE(CONTROL!$C$38, 0.0251, 0)</f>
        <v>49.343800000000002</v>
      </c>
      <c r="G732" s="14">
        <f>46.7759 * CHOOSE(CONTROL!$C$15, $E$9, 100%, $G$9) + CHOOSE(CONTROL!$C$38, 0.0342, 0)</f>
        <v>46.810099999999998</v>
      </c>
      <c r="H732" s="14">
        <f>46.7759 * CHOOSE(CONTROL!$C$15, $E$9, 100%, $G$9) + CHOOSE(CONTROL!$C$38, 0.0342, 0)</f>
        <v>46.810099999999998</v>
      </c>
      <c r="I732" s="14">
        <f>46.7774 * CHOOSE(CONTROL!$C$15, $E$9, 100%, $G$9) + CHOOSE(CONTROL!$C$38, 0.0342, 0)</f>
        <v>46.811599999999999</v>
      </c>
      <c r="J732" s="43">
        <f>427.6722</f>
        <v>427.67219999999998</v>
      </c>
    </row>
    <row r="733" spans="1:10" ht="15.75" x14ac:dyDescent="0.25">
      <c r="A733" s="31">
        <v>63248</v>
      </c>
      <c r="B733" s="14">
        <f>49.3391 * CHOOSE(CONTROL!$C$15, $E$9, 100%, $G$9) + CHOOSE(CONTROL!$C$38, 0.0251, 0)</f>
        <v>49.364200000000004</v>
      </c>
      <c r="C733" s="14">
        <f>46.6487 * CHOOSE(CONTROL!$C$15, $E$9, 100%, $G$9) + CHOOSE(CONTROL!$C$38, 0.0342, 0)</f>
        <v>46.682899999999997</v>
      </c>
      <c r="D733" s="14">
        <f>46.6409 * CHOOSE(CONTROL!$C$15, $E$9, 100%, $G$9) + CHOOSE(CONTROL!$C$38, 0.0342, 0)</f>
        <v>46.6751</v>
      </c>
      <c r="E733" s="45">
        <f>49.1829 * CHOOSE(CONTROL!$C$15, $E$9, 100%, $G$9) + CHOOSE(CONTROL!$C$38, 0.0342, 0)</f>
        <v>49.217099999999995</v>
      </c>
      <c r="F733" s="44">
        <f>49.1829 * CHOOSE(CONTROL!$C$15, $E$9, 100%, $G$9) + CHOOSE(CONTROL!$C$38, 0.0251, 0)</f>
        <v>49.207999999999998</v>
      </c>
      <c r="G733" s="14">
        <f>46.6471 * CHOOSE(CONTROL!$C$15, $E$9, 100%, $G$9) + CHOOSE(CONTROL!$C$38, 0.0342, 0)</f>
        <v>46.6813</v>
      </c>
      <c r="H733" s="14">
        <f>46.6471 * CHOOSE(CONTROL!$C$15, $E$9, 100%, $G$9) + CHOOSE(CONTROL!$C$38, 0.0342, 0)</f>
        <v>46.6813</v>
      </c>
      <c r="I733" s="14">
        <f>46.6487 * CHOOSE(CONTROL!$C$15, $E$9, 100%, $G$9) + CHOOSE(CONTROL!$C$38, 0.0342, 0)</f>
        <v>46.682899999999997</v>
      </c>
      <c r="J733" s="43">
        <f>426.4834</f>
        <v>426.48340000000002</v>
      </c>
    </row>
    <row r="734" spans="1:10" ht="15.75" x14ac:dyDescent="0.25">
      <c r="A734" s="31">
        <v>63279</v>
      </c>
      <c r="B734" s="14">
        <f>51.907 * CHOOSE(CONTROL!$C$15, $E$9, 100%, $G$9) + CHOOSE(CONTROL!$C$38, 0.0251, 0)</f>
        <v>51.932099999999998</v>
      </c>
      <c r="C734" s="14">
        <f>49.083 * CHOOSE(CONTROL!$C$15, $E$9, 100%, $G$9) + CHOOSE(CONTROL!$C$38, 0.0342, 0)</f>
        <v>49.117199999999997</v>
      </c>
      <c r="D734" s="14">
        <f>49.0752 * CHOOSE(CONTROL!$C$15, $E$9, 100%, $G$9) + CHOOSE(CONTROL!$C$38, 0.0342, 0)</f>
        <v>49.109400000000001</v>
      </c>
      <c r="E734" s="45">
        <f>51.7508 * CHOOSE(CONTROL!$C$15, $E$9, 100%, $G$9) + CHOOSE(CONTROL!$C$38, 0.0342, 0)</f>
        <v>51.784999999999997</v>
      </c>
      <c r="F734" s="44">
        <f>51.7508 * CHOOSE(CONTROL!$C$15, $E$9, 100%, $G$9) + CHOOSE(CONTROL!$C$38, 0.0251, 0)</f>
        <v>51.7759</v>
      </c>
      <c r="G734" s="14">
        <f>49.0815 * CHOOSE(CONTROL!$C$15, $E$9, 100%, $G$9) + CHOOSE(CONTROL!$C$38, 0.0342, 0)</f>
        <v>49.115699999999997</v>
      </c>
      <c r="H734" s="14">
        <f>49.0815 * CHOOSE(CONTROL!$C$15, $E$9, 100%, $G$9) + CHOOSE(CONTROL!$C$38, 0.0342, 0)</f>
        <v>49.115699999999997</v>
      </c>
      <c r="I734" s="14">
        <f>49.083 * CHOOSE(CONTROL!$C$15, $E$9, 100%, $G$9) + CHOOSE(CONTROL!$C$38, 0.0342, 0)</f>
        <v>49.117199999999997</v>
      </c>
      <c r="J734" s="43">
        <f>448.9616</f>
        <v>448.96159999999998</v>
      </c>
    </row>
    <row r="735" spans="1:10" ht="15.75" x14ac:dyDescent="0.25">
      <c r="A735" s="31">
        <v>63309</v>
      </c>
      <c r="B735" s="14">
        <f>55.237 * CHOOSE(CONTROL!$C$15, $E$9, 100%, $G$9) + CHOOSE(CONTROL!$C$38, 0.0251, 0)</f>
        <v>55.262100000000004</v>
      </c>
      <c r="C735" s="14">
        <f>52.2398 * CHOOSE(CONTROL!$C$15, $E$9, 100%, $G$9) + CHOOSE(CONTROL!$C$38, 0.0342, 0)</f>
        <v>52.274000000000001</v>
      </c>
      <c r="D735" s="14">
        <f>52.232 * CHOOSE(CONTROL!$C$15, $E$9, 100%, $G$9) + CHOOSE(CONTROL!$C$38, 0.0342, 0)</f>
        <v>52.266199999999998</v>
      </c>
      <c r="E735" s="45">
        <f>55.0808 * CHOOSE(CONTROL!$C$15, $E$9, 100%, $G$9) + CHOOSE(CONTROL!$C$38, 0.0342, 0)</f>
        <v>55.115000000000002</v>
      </c>
      <c r="F735" s="44">
        <f>55.0808 * CHOOSE(CONTROL!$C$15, $E$9, 100%, $G$9) + CHOOSE(CONTROL!$C$38, 0.0251, 0)</f>
        <v>55.105900000000005</v>
      </c>
      <c r="G735" s="14">
        <f>52.2383 * CHOOSE(CONTROL!$C$15, $E$9, 100%, $G$9) + CHOOSE(CONTROL!$C$38, 0.0342, 0)</f>
        <v>52.272500000000001</v>
      </c>
      <c r="H735" s="14">
        <f>52.2383 * CHOOSE(CONTROL!$C$15, $E$9, 100%, $G$9) + CHOOSE(CONTROL!$C$38, 0.0342, 0)</f>
        <v>52.272500000000001</v>
      </c>
      <c r="I735" s="14">
        <f>52.2398 * CHOOSE(CONTROL!$C$15, $E$9, 100%, $G$9) + CHOOSE(CONTROL!$C$38, 0.0342, 0)</f>
        <v>52.274000000000001</v>
      </c>
      <c r="J735" s="43">
        <f>478.1103</f>
        <v>478.1103</v>
      </c>
    </row>
    <row r="736" spans="1:10" ht="15.75" x14ac:dyDescent="0.25">
      <c r="A736" s="31">
        <v>63340</v>
      </c>
      <c r="B736" s="14">
        <f>57.07 * CHOOSE(CONTROL!$C$15, $E$9, 100%, $G$9) + CHOOSE(CONTROL!$C$38, 0.0264, 0)</f>
        <v>57.096400000000003</v>
      </c>
      <c r="C736" s="14">
        <f>53.9774 * CHOOSE(CONTROL!$C$15, $E$9, 100%, $G$9) + CHOOSE(CONTROL!$C$38, 0.0354, 0)</f>
        <v>54.012800000000006</v>
      </c>
      <c r="D736" s="14">
        <f>53.9696 * CHOOSE(CONTROL!$C$15, $E$9, 100%, $G$9) + CHOOSE(CONTROL!$C$38, 0.0354, 0)</f>
        <v>54.005000000000003</v>
      </c>
      <c r="E736" s="45">
        <f>56.9137 * CHOOSE(CONTROL!$C$15, $E$9, 100%, $G$9) + CHOOSE(CONTROL!$C$38, 0.0354, 0)</f>
        <v>56.949100000000001</v>
      </c>
      <c r="F736" s="44">
        <f>56.9137 * CHOOSE(CONTROL!$C$15, $E$9, 100%, $G$9) + CHOOSE(CONTROL!$C$38, 0.0264, 0)</f>
        <v>56.940100000000001</v>
      </c>
      <c r="G736" s="14">
        <f>53.9759 * CHOOSE(CONTROL!$C$15, $E$9, 100%, $G$9) + CHOOSE(CONTROL!$C$38, 0.0354, 0)</f>
        <v>54.011300000000006</v>
      </c>
      <c r="H736" s="14">
        <f>53.9759 * CHOOSE(CONTROL!$C$15, $E$9, 100%, $G$9) + CHOOSE(CONTROL!$C$38, 0.0354, 0)</f>
        <v>54.011300000000006</v>
      </c>
      <c r="I736" s="14">
        <f>53.9774 * CHOOSE(CONTROL!$C$15, $E$9, 100%, $G$9) + CHOOSE(CONTROL!$C$38, 0.0354, 0)</f>
        <v>54.012800000000006</v>
      </c>
      <c r="J736" s="43">
        <f>494.1548</f>
        <v>494.15480000000002</v>
      </c>
    </row>
    <row r="737" spans="1:10" ht="15.75" x14ac:dyDescent="0.25">
      <c r="A737" s="31">
        <v>63370</v>
      </c>
      <c r="B737" s="14">
        <f>57.8834 * CHOOSE(CONTROL!$C$15, $E$9, 100%, $G$9) + CHOOSE(CONTROL!$C$38, 0.0264, 0)</f>
        <v>57.909800000000004</v>
      </c>
      <c r="C737" s="14">
        <f>54.7485 * CHOOSE(CONTROL!$C$15, $E$9, 100%, $G$9) + CHOOSE(CONTROL!$C$38, 0.0354, 0)</f>
        <v>54.783900000000003</v>
      </c>
      <c r="D737" s="14">
        <f>54.7407 * CHOOSE(CONTROL!$C$15, $E$9, 100%, $G$9) + CHOOSE(CONTROL!$C$38, 0.0354, 0)</f>
        <v>54.7761</v>
      </c>
      <c r="E737" s="45">
        <f>57.7271 * CHOOSE(CONTROL!$C$15, $E$9, 100%, $G$9) + CHOOSE(CONTROL!$C$38, 0.0354, 0)</f>
        <v>57.762500000000003</v>
      </c>
      <c r="F737" s="44">
        <f>57.7271 * CHOOSE(CONTROL!$C$15, $E$9, 100%, $G$9) + CHOOSE(CONTROL!$C$38, 0.0264, 0)</f>
        <v>57.753500000000003</v>
      </c>
      <c r="G737" s="14">
        <f>54.747 * CHOOSE(CONTROL!$C$15, $E$9, 100%, $G$9) + CHOOSE(CONTROL!$C$38, 0.0354, 0)</f>
        <v>54.782400000000003</v>
      </c>
      <c r="H737" s="14">
        <f>54.747 * CHOOSE(CONTROL!$C$15, $E$9, 100%, $G$9) + CHOOSE(CONTROL!$C$38, 0.0354, 0)</f>
        <v>54.782400000000003</v>
      </c>
      <c r="I737" s="14">
        <f>54.7485 * CHOOSE(CONTROL!$C$15, $E$9, 100%, $G$9) + CHOOSE(CONTROL!$C$38, 0.0354, 0)</f>
        <v>54.783900000000003</v>
      </c>
      <c r="J737" s="43">
        <f>501.275</f>
        <v>501.27499999999998</v>
      </c>
    </row>
    <row r="738" spans="1:10" ht="15.75" x14ac:dyDescent="0.25">
      <c r="A738" s="31">
        <v>63401</v>
      </c>
      <c r="B738" s="14">
        <f>57.6156 * CHOOSE(CONTROL!$C$15, $E$9, 100%, $G$9) + CHOOSE(CONTROL!$C$38, 0.0264, 0)</f>
        <v>57.642000000000003</v>
      </c>
      <c r="C738" s="14">
        <f>54.4946 * CHOOSE(CONTROL!$C$15, $E$9, 100%, $G$9) + CHOOSE(CONTROL!$C$38, 0.0354, 0)</f>
        <v>54.53</v>
      </c>
      <c r="D738" s="14">
        <f>54.4868 * CHOOSE(CONTROL!$C$15, $E$9, 100%, $G$9) + CHOOSE(CONTROL!$C$38, 0.0354, 0)</f>
        <v>54.522200000000005</v>
      </c>
      <c r="E738" s="45">
        <f>57.4593 * CHOOSE(CONTROL!$C$15, $E$9, 100%, $G$9) + CHOOSE(CONTROL!$C$38, 0.0354, 0)</f>
        <v>57.494700000000002</v>
      </c>
      <c r="F738" s="44">
        <f>57.4593 * CHOOSE(CONTROL!$C$15, $E$9, 100%, $G$9) + CHOOSE(CONTROL!$C$38, 0.0264, 0)</f>
        <v>57.485700000000001</v>
      </c>
      <c r="G738" s="14">
        <f>54.4931 * CHOOSE(CONTROL!$C$15, $E$9, 100%, $G$9) + CHOOSE(CONTROL!$C$38, 0.0354, 0)</f>
        <v>54.528500000000001</v>
      </c>
      <c r="H738" s="14">
        <f>54.4931 * CHOOSE(CONTROL!$C$15, $E$9, 100%, $G$9) + CHOOSE(CONTROL!$C$38, 0.0354, 0)</f>
        <v>54.528500000000001</v>
      </c>
      <c r="I738" s="14">
        <f>54.4946 * CHOOSE(CONTROL!$C$15, $E$9, 100%, $G$9) + CHOOSE(CONTROL!$C$38, 0.0354, 0)</f>
        <v>54.53</v>
      </c>
      <c r="J738" s="43">
        <f>498.9307</f>
        <v>498.9307</v>
      </c>
    </row>
    <row r="739" spans="1:10" ht="15.75" x14ac:dyDescent="0.25">
      <c r="A739" s="31">
        <v>63432</v>
      </c>
      <c r="B739" s="14">
        <f>56.2887 * CHOOSE(CONTROL!$C$15, $E$9, 100%, $G$9) + CHOOSE(CONTROL!$C$38, 0.0264, 0)</f>
        <v>56.315100000000001</v>
      </c>
      <c r="C739" s="14">
        <f>53.2368 * CHOOSE(CONTROL!$C$15, $E$9, 100%, $G$9) + CHOOSE(CONTROL!$C$38, 0.0354, 0)</f>
        <v>53.272200000000005</v>
      </c>
      <c r="D739" s="14">
        <f>53.229 * CHOOSE(CONTROL!$C$15, $E$9, 100%, $G$9) + CHOOSE(CONTROL!$C$38, 0.0354, 0)</f>
        <v>53.264400000000002</v>
      </c>
      <c r="E739" s="45">
        <f>56.1324 * CHOOSE(CONTROL!$C$15, $E$9, 100%, $G$9) + CHOOSE(CONTROL!$C$38, 0.0354, 0)</f>
        <v>56.1678</v>
      </c>
      <c r="F739" s="44">
        <f>56.1324 * CHOOSE(CONTROL!$C$15, $E$9, 100%, $G$9) + CHOOSE(CONTROL!$C$38, 0.0264, 0)</f>
        <v>56.158799999999999</v>
      </c>
      <c r="G739" s="14">
        <f>53.2352 * CHOOSE(CONTROL!$C$15, $E$9, 100%, $G$9) + CHOOSE(CONTROL!$C$38, 0.0354, 0)</f>
        <v>53.270600000000002</v>
      </c>
      <c r="H739" s="14">
        <f>53.2352 * CHOOSE(CONTROL!$C$15, $E$9, 100%, $G$9) + CHOOSE(CONTROL!$C$38, 0.0354, 0)</f>
        <v>53.270600000000002</v>
      </c>
      <c r="I739" s="14">
        <f>53.2368 * CHOOSE(CONTROL!$C$15, $E$9, 100%, $G$9) + CHOOSE(CONTROL!$C$38, 0.0354, 0)</f>
        <v>53.272200000000005</v>
      </c>
      <c r="J739" s="43">
        <f>487.3158</f>
        <v>487.31580000000002</v>
      </c>
    </row>
    <row r="740" spans="1:10" ht="15.75" x14ac:dyDescent="0.25">
      <c r="A740" s="31">
        <v>63462</v>
      </c>
      <c r="B740" s="14">
        <f>54.4382 * CHOOSE(CONTROL!$C$15, $E$9, 100%, $G$9) + CHOOSE(CONTROL!$C$38, 0.0264, 0)</f>
        <v>54.464600000000004</v>
      </c>
      <c r="C740" s="14">
        <f>51.4826 * CHOOSE(CONTROL!$C$15, $E$9, 100%, $G$9) + CHOOSE(CONTROL!$C$38, 0.0354, 0)</f>
        <v>51.518000000000001</v>
      </c>
      <c r="D740" s="14">
        <f>51.4748 * CHOOSE(CONTROL!$C$15, $E$9, 100%, $G$9) + CHOOSE(CONTROL!$C$38, 0.0354, 0)</f>
        <v>51.510200000000005</v>
      </c>
      <c r="E740" s="45">
        <f>54.282 * CHOOSE(CONTROL!$C$15, $E$9, 100%, $G$9) + CHOOSE(CONTROL!$C$38, 0.0354, 0)</f>
        <v>54.317399999999999</v>
      </c>
      <c r="F740" s="44">
        <f>54.282 * CHOOSE(CONTROL!$C$15, $E$9, 100%, $G$9) + CHOOSE(CONTROL!$C$38, 0.0264, 0)</f>
        <v>54.308399999999999</v>
      </c>
      <c r="G740" s="14">
        <f>51.481 * CHOOSE(CONTROL!$C$15, $E$9, 100%, $G$9) + CHOOSE(CONTROL!$C$38, 0.0354, 0)</f>
        <v>51.516400000000004</v>
      </c>
      <c r="H740" s="14">
        <f>51.481 * CHOOSE(CONTROL!$C$15, $E$9, 100%, $G$9) + CHOOSE(CONTROL!$C$38, 0.0354, 0)</f>
        <v>51.516400000000004</v>
      </c>
      <c r="I740" s="14">
        <f>51.4826 * CHOOSE(CONTROL!$C$15, $E$9, 100%, $G$9) + CHOOSE(CONTROL!$C$38, 0.0354, 0)</f>
        <v>51.518000000000001</v>
      </c>
      <c r="J740" s="43">
        <f>471.1183</f>
        <v>471.11829999999998</v>
      </c>
    </row>
    <row r="741" spans="1:10" ht="15.75" x14ac:dyDescent="0.25">
      <c r="A741" s="31">
        <v>63493</v>
      </c>
      <c r="B741" s="14">
        <f>52.5771 * CHOOSE(CONTROL!$C$15, $E$9, 100%, $G$9) + CHOOSE(CONTROL!$C$38, 0.0251, 0)</f>
        <v>52.602200000000003</v>
      </c>
      <c r="C741" s="14">
        <f>49.7182 * CHOOSE(CONTROL!$C$15, $E$9, 100%, $G$9) + CHOOSE(CONTROL!$C$38, 0.0342, 0)</f>
        <v>49.752400000000002</v>
      </c>
      <c r="D741" s="14">
        <f>49.7104 * CHOOSE(CONTROL!$C$15, $E$9, 100%, $G$9) + CHOOSE(CONTROL!$C$38, 0.0342, 0)</f>
        <v>49.744599999999998</v>
      </c>
      <c r="E741" s="45">
        <f>52.4208 * CHOOSE(CONTROL!$C$15, $E$9, 100%, $G$9) + CHOOSE(CONTROL!$C$38, 0.0342, 0)</f>
        <v>52.454999999999998</v>
      </c>
      <c r="F741" s="44">
        <f>52.4208 * CHOOSE(CONTROL!$C$15, $E$9, 100%, $G$9) + CHOOSE(CONTROL!$C$38, 0.0251, 0)</f>
        <v>52.445900000000002</v>
      </c>
      <c r="G741" s="14">
        <f>49.7166 * CHOOSE(CONTROL!$C$15, $E$9, 100%, $G$9) + CHOOSE(CONTROL!$C$38, 0.0342, 0)</f>
        <v>49.750799999999998</v>
      </c>
      <c r="H741" s="14">
        <f>49.7166 * CHOOSE(CONTROL!$C$15, $E$9, 100%, $G$9) + CHOOSE(CONTROL!$C$38, 0.0342, 0)</f>
        <v>49.750799999999998</v>
      </c>
      <c r="I741" s="14">
        <f>49.7182 * CHOOSE(CONTROL!$C$15, $E$9, 100%, $G$9) + CHOOSE(CONTROL!$C$38, 0.0342, 0)</f>
        <v>49.752400000000002</v>
      </c>
      <c r="J741" s="43">
        <f>454.8265</f>
        <v>454.82650000000001</v>
      </c>
    </row>
    <row r="742" spans="1:10" ht="15.75" x14ac:dyDescent="0.25">
      <c r="A742" s="31">
        <v>63523</v>
      </c>
      <c r="B742" s="14">
        <f>52.2068 * CHOOSE(CONTROL!$C$15, $E$9, 100%, $G$9) + CHOOSE(CONTROL!$C$38, 0.0251, 0)</f>
        <v>52.231900000000003</v>
      </c>
      <c r="C742" s="14">
        <f>49.3672 * CHOOSE(CONTROL!$C$15, $E$9, 100%, $G$9) + CHOOSE(CONTROL!$C$38, 0.0342, 0)</f>
        <v>49.401399999999995</v>
      </c>
      <c r="D742" s="14">
        <f>49.3594 * CHOOSE(CONTROL!$C$15, $E$9, 100%, $G$9) + CHOOSE(CONTROL!$C$38, 0.0342, 0)</f>
        <v>49.393599999999999</v>
      </c>
      <c r="E742" s="45">
        <f>52.0506 * CHOOSE(CONTROL!$C$15, $E$9, 100%, $G$9) + CHOOSE(CONTROL!$C$38, 0.0342, 0)</f>
        <v>52.084800000000001</v>
      </c>
      <c r="F742" s="44">
        <f>52.0506 * CHOOSE(CONTROL!$C$15, $E$9, 100%, $G$9) + CHOOSE(CONTROL!$C$38, 0.0251, 0)</f>
        <v>52.075700000000005</v>
      </c>
      <c r="G742" s="14">
        <f>49.3657 * CHOOSE(CONTROL!$C$15, $E$9, 100%, $G$9) + CHOOSE(CONTROL!$C$38, 0.0342, 0)</f>
        <v>49.399899999999995</v>
      </c>
      <c r="H742" s="14">
        <f>49.3657 * CHOOSE(CONTROL!$C$15, $E$9, 100%, $G$9) + CHOOSE(CONTROL!$C$38, 0.0342, 0)</f>
        <v>49.399899999999995</v>
      </c>
      <c r="I742" s="14">
        <f>49.3672 * CHOOSE(CONTROL!$C$15, $E$9, 100%, $G$9) + CHOOSE(CONTROL!$C$38, 0.0342, 0)</f>
        <v>49.401399999999995</v>
      </c>
      <c r="J742" s="43">
        <f>451.5858</f>
        <v>451.58580000000001</v>
      </c>
    </row>
    <row r="743" spans="1:10" ht="15.75" x14ac:dyDescent="0.25">
      <c r="A743" s="31">
        <v>63554</v>
      </c>
      <c r="B743" s="14">
        <f>50.6759 * CHOOSE(CONTROL!$C$15, $E$9, 100%, $G$9) + CHOOSE(CONTROL!$C$38, 0.0251, 0)</f>
        <v>50.701000000000001</v>
      </c>
      <c r="C743" s="14">
        <f>47.9159 * CHOOSE(CONTROL!$C$15, $E$9, 100%, $G$9) + CHOOSE(CONTROL!$C$38, 0.0342, 0)</f>
        <v>47.950099999999999</v>
      </c>
      <c r="D743" s="14">
        <f>47.9081 * CHOOSE(CONTROL!$C$15, $E$9, 100%, $G$9) + CHOOSE(CONTROL!$C$38, 0.0342, 0)</f>
        <v>47.942299999999996</v>
      </c>
      <c r="E743" s="45">
        <f>50.5196 * CHOOSE(CONTROL!$C$15, $E$9, 100%, $G$9) + CHOOSE(CONTROL!$C$38, 0.0342, 0)</f>
        <v>50.553799999999995</v>
      </c>
      <c r="F743" s="44">
        <f>50.5196 * CHOOSE(CONTROL!$C$15, $E$9, 100%, $G$9) + CHOOSE(CONTROL!$C$38, 0.0251, 0)</f>
        <v>50.544699999999999</v>
      </c>
      <c r="G743" s="14">
        <f>47.9144 * CHOOSE(CONTROL!$C$15, $E$9, 100%, $G$9) + CHOOSE(CONTROL!$C$38, 0.0342, 0)</f>
        <v>47.948599999999999</v>
      </c>
      <c r="H743" s="14">
        <f>47.9144 * CHOOSE(CONTROL!$C$15, $E$9, 100%, $G$9) + CHOOSE(CONTROL!$C$38, 0.0342, 0)</f>
        <v>47.948599999999999</v>
      </c>
      <c r="I743" s="14">
        <f>47.9159 * CHOOSE(CONTROL!$C$15, $E$9, 100%, $G$9) + CHOOSE(CONTROL!$C$38, 0.0342, 0)</f>
        <v>47.950099999999999</v>
      </c>
      <c r="J743" s="43">
        <f>438.1849</f>
        <v>438.18490000000003</v>
      </c>
    </row>
    <row r="744" spans="1:10" ht="15.75" x14ac:dyDescent="0.25">
      <c r="A744" s="31">
        <v>63585</v>
      </c>
      <c r="B744" s="14">
        <f>50.2957 * CHOOSE(CONTROL!$C$15, $E$9, 100%, $G$9) + CHOOSE(CONTROL!$C$38, 0.0251, 0)</f>
        <v>50.320799999999998</v>
      </c>
      <c r="C744" s="14">
        <f>47.5555 * CHOOSE(CONTROL!$C$15, $E$9, 100%, $G$9) + CHOOSE(CONTROL!$C$38, 0.0342, 0)</f>
        <v>47.589700000000001</v>
      </c>
      <c r="D744" s="14">
        <f>47.5477 * CHOOSE(CONTROL!$C$15, $E$9, 100%, $G$9) + CHOOSE(CONTROL!$C$38, 0.0342, 0)</f>
        <v>47.581899999999997</v>
      </c>
      <c r="E744" s="45">
        <f>50.1395 * CHOOSE(CONTROL!$C$15, $E$9, 100%, $G$9) + CHOOSE(CONTROL!$C$38, 0.0342, 0)</f>
        <v>50.173699999999997</v>
      </c>
      <c r="F744" s="44">
        <f>50.1395 * CHOOSE(CONTROL!$C$15, $E$9, 100%, $G$9) + CHOOSE(CONTROL!$C$38, 0.0251, 0)</f>
        <v>50.1646</v>
      </c>
      <c r="G744" s="14">
        <f>47.554 * CHOOSE(CONTROL!$C$15, $E$9, 100%, $G$9) + CHOOSE(CONTROL!$C$38, 0.0342, 0)</f>
        <v>47.588200000000001</v>
      </c>
      <c r="H744" s="14">
        <f>47.554 * CHOOSE(CONTROL!$C$15, $E$9, 100%, $G$9) + CHOOSE(CONTROL!$C$38, 0.0342, 0)</f>
        <v>47.588200000000001</v>
      </c>
      <c r="I744" s="14">
        <f>47.5555 * CHOOSE(CONTROL!$C$15, $E$9, 100%, $G$9) + CHOOSE(CONTROL!$C$38, 0.0342, 0)</f>
        <v>47.589700000000001</v>
      </c>
      <c r="J744" s="43">
        <f>437.8685</f>
        <v>437.86849999999998</v>
      </c>
    </row>
    <row r="745" spans="1:10" ht="15.75" x14ac:dyDescent="0.25">
      <c r="A745" s="31">
        <v>63613</v>
      </c>
      <c r="B745" s="14">
        <f>50.1576 * CHOOSE(CONTROL!$C$15, $E$9, 100%, $G$9) + CHOOSE(CONTROL!$C$38, 0.0251, 0)</f>
        <v>50.182700000000004</v>
      </c>
      <c r="C745" s="14">
        <f>47.4246 * CHOOSE(CONTROL!$C$15, $E$9, 100%, $G$9) + CHOOSE(CONTROL!$C$38, 0.0342, 0)</f>
        <v>47.458799999999997</v>
      </c>
      <c r="D745" s="14">
        <f>47.4168 * CHOOSE(CONTROL!$C$15, $E$9, 100%, $G$9) + CHOOSE(CONTROL!$C$38, 0.0342, 0)</f>
        <v>47.451000000000001</v>
      </c>
      <c r="E745" s="45">
        <f>50.0014 * CHOOSE(CONTROL!$C$15, $E$9, 100%, $G$9) + CHOOSE(CONTROL!$C$38, 0.0342, 0)</f>
        <v>50.035599999999995</v>
      </c>
      <c r="F745" s="44">
        <f>50.0014 * CHOOSE(CONTROL!$C$15, $E$9, 100%, $G$9) + CHOOSE(CONTROL!$C$38, 0.0251, 0)</f>
        <v>50.026499999999999</v>
      </c>
      <c r="G745" s="14">
        <f>47.4231 * CHOOSE(CONTROL!$C$15, $E$9, 100%, $G$9) + CHOOSE(CONTROL!$C$38, 0.0342, 0)</f>
        <v>47.457299999999996</v>
      </c>
      <c r="H745" s="14">
        <f>47.4231 * CHOOSE(CONTROL!$C$15, $E$9, 100%, $G$9) + CHOOSE(CONTROL!$C$38, 0.0342, 0)</f>
        <v>47.457299999999996</v>
      </c>
      <c r="I745" s="14">
        <f>47.4246 * CHOOSE(CONTROL!$C$15, $E$9, 100%, $G$9) + CHOOSE(CONTROL!$C$38, 0.0342, 0)</f>
        <v>47.458799999999997</v>
      </c>
      <c r="J745" s="43">
        <f>436.6514</f>
        <v>436.65140000000002</v>
      </c>
    </row>
    <row r="746" spans="1:10" ht="15.75" x14ac:dyDescent="0.25">
      <c r="A746" s="31">
        <v>63644</v>
      </c>
      <c r="B746" s="14">
        <f>52.7687 * CHOOSE(CONTROL!$C$15, $E$9, 100%, $G$9) + CHOOSE(CONTROL!$C$38, 0.0251, 0)</f>
        <v>52.793800000000005</v>
      </c>
      <c r="C746" s="14">
        <f>49.8999 * CHOOSE(CONTROL!$C$15, $E$9, 100%, $G$9) + CHOOSE(CONTROL!$C$38, 0.0342, 0)</f>
        <v>49.934100000000001</v>
      </c>
      <c r="D746" s="14">
        <f>49.8921 * CHOOSE(CONTROL!$C$15, $E$9, 100%, $G$9) + CHOOSE(CONTROL!$C$38, 0.0342, 0)</f>
        <v>49.926299999999998</v>
      </c>
      <c r="E746" s="45">
        <f>52.6124 * CHOOSE(CONTROL!$C$15, $E$9, 100%, $G$9) + CHOOSE(CONTROL!$C$38, 0.0342, 0)</f>
        <v>52.646599999999999</v>
      </c>
      <c r="F746" s="44">
        <f>52.6124 * CHOOSE(CONTROL!$C$15, $E$9, 100%, $G$9) + CHOOSE(CONTROL!$C$38, 0.0251, 0)</f>
        <v>52.637500000000003</v>
      </c>
      <c r="G746" s="14">
        <f>49.8983 * CHOOSE(CONTROL!$C$15, $E$9, 100%, $G$9) + CHOOSE(CONTROL!$C$38, 0.0342, 0)</f>
        <v>49.932499999999997</v>
      </c>
      <c r="H746" s="14">
        <f>49.8983 * CHOOSE(CONTROL!$C$15, $E$9, 100%, $G$9) + CHOOSE(CONTROL!$C$38, 0.0342, 0)</f>
        <v>49.932499999999997</v>
      </c>
      <c r="I746" s="14">
        <f>49.8999 * CHOOSE(CONTROL!$C$15, $E$9, 100%, $G$9) + CHOOSE(CONTROL!$C$38, 0.0342, 0)</f>
        <v>49.934100000000001</v>
      </c>
      <c r="J746" s="43">
        <f>459.6655</f>
        <v>459.66550000000001</v>
      </c>
    </row>
    <row r="747" spans="1:10" ht="15.75" x14ac:dyDescent="0.25">
      <c r="A747" s="31">
        <v>63674</v>
      </c>
      <c r="B747" s="14">
        <f>56.1546 * CHOOSE(CONTROL!$C$15, $E$9, 100%, $G$9) + CHOOSE(CONTROL!$C$38, 0.0251, 0)</f>
        <v>56.179700000000004</v>
      </c>
      <c r="C747" s="14">
        <f>53.1097 * CHOOSE(CONTROL!$C$15, $E$9, 100%, $G$9) + CHOOSE(CONTROL!$C$38, 0.0342, 0)</f>
        <v>53.143899999999995</v>
      </c>
      <c r="D747" s="14">
        <f>53.1019 * CHOOSE(CONTROL!$C$15, $E$9, 100%, $G$9) + CHOOSE(CONTROL!$C$38, 0.0342, 0)</f>
        <v>53.136099999999999</v>
      </c>
      <c r="E747" s="45">
        <f>55.9984 * CHOOSE(CONTROL!$C$15, $E$9, 100%, $G$9) + CHOOSE(CONTROL!$C$38, 0.0342, 0)</f>
        <v>56.032599999999995</v>
      </c>
      <c r="F747" s="44">
        <f>55.9984 * CHOOSE(CONTROL!$C$15, $E$9, 100%, $G$9) + CHOOSE(CONTROL!$C$38, 0.0251, 0)</f>
        <v>56.023499999999999</v>
      </c>
      <c r="G747" s="14">
        <f>53.1081 * CHOOSE(CONTROL!$C$15, $E$9, 100%, $G$9) + CHOOSE(CONTROL!$C$38, 0.0342, 0)</f>
        <v>53.142299999999999</v>
      </c>
      <c r="H747" s="14">
        <f>53.1081 * CHOOSE(CONTROL!$C$15, $E$9, 100%, $G$9) + CHOOSE(CONTROL!$C$38, 0.0342, 0)</f>
        <v>53.142299999999999</v>
      </c>
      <c r="I747" s="14">
        <f>53.1097 * CHOOSE(CONTROL!$C$15, $E$9, 100%, $G$9) + CHOOSE(CONTROL!$C$38, 0.0342, 0)</f>
        <v>53.143899999999995</v>
      </c>
      <c r="J747" s="43">
        <f>489.5092</f>
        <v>489.50920000000002</v>
      </c>
    </row>
    <row r="748" spans="1:10" ht="15.75" x14ac:dyDescent="0.25">
      <c r="A748" s="31">
        <v>63705</v>
      </c>
      <c r="B748" s="14">
        <f>58.0183 * CHOOSE(CONTROL!$C$15, $E$9, 100%, $G$9) + CHOOSE(CONTROL!$C$38, 0.0264, 0)</f>
        <v>58.044700000000006</v>
      </c>
      <c r="C748" s="14">
        <f>54.8765 * CHOOSE(CONTROL!$C$15, $E$9, 100%, $G$9) + CHOOSE(CONTROL!$C$38, 0.0354, 0)</f>
        <v>54.911900000000003</v>
      </c>
      <c r="D748" s="14">
        <f>54.8687 * CHOOSE(CONTROL!$C$15, $E$9, 100%, $G$9) + CHOOSE(CONTROL!$C$38, 0.0354, 0)</f>
        <v>54.9041</v>
      </c>
      <c r="E748" s="45">
        <f>57.8621 * CHOOSE(CONTROL!$C$15, $E$9, 100%, $G$9) + CHOOSE(CONTROL!$C$38, 0.0354, 0)</f>
        <v>57.897500000000001</v>
      </c>
      <c r="F748" s="44">
        <f>57.8621 * CHOOSE(CONTROL!$C$15, $E$9, 100%, $G$9) + CHOOSE(CONTROL!$C$38, 0.0264, 0)</f>
        <v>57.888500000000001</v>
      </c>
      <c r="G748" s="14">
        <f>54.8749 * CHOOSE(CONTROL!$C$15, $E$9, 100%, $G$9) + CHOOSE(CONTROL!$C$38, 0.0354, 0)</f>
        <v>54.910299999999999</v>
      </c>
      <c r="H748" s="14">
        <f>54.8749 * CHOOSE(CONTROL!$C$15, $E$9, 100%, $G$9) + CHOOSE(CONTROL!$C$38, 0.0354, 0)</f>
        <v>54.910299999999999</v>
      </c>
      <c r="I748" s="14">
        <f>54.8765 * CHOOSE(CONTROL!$C$15, $E$9, 100%, $G$9) + CHOOSE(CONTROL!$C$38, 0.0354, 0)</f>
        <v>54.911900000000003</v>
      </c>
      <c r="J748" s="43">
        <f>505.9362</f>
        <v>505.93619999999999</v>
      </c>
    </row>
    <row r="749" spans="1:10" ht="15.75" x14ac:dyDescent="0.25">
      <c r="A749" s="31">
        <v>63735</v>
      </c>
      <c r="B749" s="14">
        <f>58.8454 * CHOOSE(CONTROL!$C$15, $E$9, 100%, $G$9) + CHOOSE(CONTROL!$C$38, 0.0264, 0)</f>
        <v>58.8718</v>
      </c>
      <c r="C749" s="14">
        <f>55.6606 * CHOOSE(CONTROL!$C$15, $E$9, 100%, $G$9) + CHOOSE(CONTROL!$C$38, 0.0354, 0)</f>
        <v>55.696000000000005</v>
      </c>
      <c r="D749" s="14">
        <f>55.6527 * CHOOSE(CONTROL!$C$15, $E$9, 100%, $G$9) + CHOOSE(CONTROL!$C$38, 0.0354, 0)</f>
        <v>55.688100000000006</v>
      </c>
      <c r="E749" s="45">
        <f>58.6892 * CHOOSE(CONTROL!$C$15, $E$9, 100%, $G$9) + CHOOSE(CONTROL!$C$38, 0.0354, 0)</f>
        <v>58.724600000000002</v>
      </c>
      <c r="F749" s="44">
        <f>58.6892 * CHOOSE(CONTROL!$C$15, $E$9, 100%, $G$9) + CHOOSE(CONTROL!$C$38, 0.0264, 0)</f>
        <v>58.715600000000002</v>
      </c>
      <c r="G749" s="14">
        <f>55.659 * CHOOSE(CONTROL!$C$15, $E$9, 100%, $G$9) + CHOOSE(CONTROL!$C$38, 0.0354, 0)</f>
        <v>55.694400000000002</v>
      </c>
      <c r="H749" s="14">
        <f>55.659 * CHOOSE(CONTROL!$C$15, $E$9, 100%, $G$9) + CHOOSE(CONTROL!$C$38, 0.0354, 0)</f>
        <v>55.694400000000002</v>
      </c>
      <c r="I749" s="14">
        <f>55.6606 * CHOOSE(CONTROL!$C$15, $E$9, 100%, $G$9) + CHOOSE(CONTROL!$C$38, 0.0354, 0)</f>
        <v>55.696000000000005</v>
      </c>
      <c r="J749" s="43">
        <f>513.2262</f>
        <v>513.22619999999995</v>
      </c>
    </row>
    <row r="750" spans="1:10" ht="15.75" x14ac:dyDescent="0.25">
      <c r="A750" s="31">
        <v>63766</v>
      </c>
      <c r="B750" s="14">
        <f>58.5731 * CHOOSE(CONTROL!$C$15, $E$9, 100%, $G$9) + CHOOSE(CONTROL!$C$38, 0.0264, 0)</f>
        <v>58.599499999999999</v>
      </c>
      <c r="C750" s="14">
        <f>55.4024 * CHOOSE(CONTROL!$C$15, $E$9, 100%, $G$9) + CHOOSE(CONTROL!$C$38, 0.0354, 0)</f>
        <v>55.437800000000003</v>
      </c>
      <c r="D750" s="14">
        <f>55.3946 * CHOOSE(CONTROL!$C$15, $E$9, 100%, $G$9) + CHOOSE(CONTROL!$C$38, 0.0354, 0)</f>
        <v>55.43</v>
      </c>
      <c r="E750" s="45">
        <f>58.4169 * CHOOSE(CONTROL!$C$15, $E$9, 100%, $G$9) + CHOOSE(CONTROL!$C$38, 0.0354, 0)</f>
        <v>58.452300000000001</v>
      </c>
      <c r="F750" s="44">
        <f>58.4169 * CHOOSE(CONTROL!$C$15, $E$9, 100%, $G$9) + CHOOSE(CONTROL!$C$38, 0.0264, 0)</f>
        <v>58.443300000000001</v>
      </c>
      <c r="G750" s="14">
        <f>55.4008 * CHOOSE(CONTROL!$C$15, $E$9, 100%, $G$9) + CHOOSE(CONTROL!$C$38, 0.0354, 0)</f>
        <v>55.436199999999999</v>
      </c>
      <c r="H750" s="14">
        <f>55.4008 * CHOOSE(CONTROL!$C$15, $E$9, 100%, $G$9) + CHOOSE(CONTROL!$C$38, 0.0354, 0)</f>
        <v>55.436199999999999</v>
      </c>
      <c r="I750" s="14">
        <f>55.4024 * CHOOSE(CONTROL!$C$15, $E$9, 100%, $G$9) + CHOOSE(CONTROL!$C$38, 0.0354, 0)</f>
        <v>55.437800000000003</v>
      </c>
      <c r="J750" s="43">
        <f>510.8259</f>
        <v>510.82589999999999</v>
      </c>
    </row>
    <row r="751" spans="1:10" ht="15.75" x14ac:dyDescent="0.25">
      <c r="A751" s="31">
        <v>63797</v>
      </c>
      <c r="B751" s="14">
        <f>57.2239 * CHOOSE(CONTROL!$C$15, $E$9, 100%, $G$9) + CHOOSE(CONTROL!$C$38, 0.0264, 0)</f>
        <v>57.250300000000003</v>
      </c>
      <c r="C751" s="14">
        <f>54.1234 * CHOOSE(CONTROL!$C$15, $E$9, 100%, $G$9) + CHOOSE(CONTROL!$C$38, 0.0354, 0)</f>
        <v>54.158799999999999</v>
      </c>
      <c r="D751" s="14">
        <f>54.1156 * CHOOSE(CONTROL!$C$15, $E$9, 100%, $G$9) + CHOOSE(CONTROL!$C$38, 0.0354, 0)</f>
        <v>54.151000000000003</v>
      </c>
      <c r="E751" s="45">
        <f>57.0677 * CHOOSE(CONTROL!$C$15, $E$9, 100%, $G$9) + CHOOSE(CONTROL!$C$38, 0.0354, 0)</f>
        <v>57.103100000000005</v>
      </c>
      <c r="F751" s="44">
        <f>57.0677 * CHOOSE(CONTROL!$C$15, $E$9, 100%, $G$9) + CHOOSE(CONTROL!$C$38, 0.0264, 0)</f>
        <v>57.094100000000005</v>
      </c>
      <c r="G751" s="14">
        <f>54.1218 * CHOOSE(CONTROL!$C$15, $E$9, 100%, $G$9) + CHOOSE(CONTROL!$C$38, 0.0354, 0)</f>
        <v>54.157200000000003</v>
      </c>
      <c r="H751" s="14">
        <f>54.1218 * CHOOSE(CONTROL!$C$15, $E$9, 100%, $G$9) + CHOOSE(CONTROL!$C$38, 0.0354, 0)</f>
        <v>54.157200000000003</v>
      </c>
      <c r="I751" s="14">
        <f>54.1234 * CHOOSE(CONTROL!$C$15, $E$9, 100%, $G$9) + CHOOSE(CONTROL!$C$38, 0.0354, 0)</f>
        <v>54.158799999999999</v>
      </c>
      <c r="J751" s="43">
        <f>498.9341</f>
        <v>498.9341</v>
      </c>
    </row>
    <row r="752" spans="1:10" ht="15.75" x14ac:dyDescent="0.25">
      <c r="A752" s="31">
        <v>63827</v>
      </c>
      <c r="B752" s="14">
        <f>55.3424 * CHOOSE(CONTROL!$C$15, $E$9, 100%, $G$9) + CHOOSE(CONTROL!$C$38, 0.0264, 0)</f>
        <v>55.3688</v>
      </c>
      <c r="C752" s="14">
        <f>52.3397 * CHOOSE(CONTROL!$C$15, $E$9, 100%, $G$9) + CHOOSE(CONTROL!$C$38, 0.0354, 0)</f>
        <v>52.375100000000003</v>
      </c>
      <c r="D752" s="14">
        <f>52.3319 * CHOOSE(CONTROL!$C$15, $E$9, 100%, $G$9) + CHOOSE(CONTROL!$C$38, 0.0354, 0)</f>
        <v>52.3673</v>
      </c>
      <c r="E752" s="45">
        <f>55.1862 * CHOOSE(CONTROL!$C$15, $E$9, 100%, $G$9) + CHOOSE(CONTROL!$C$38, 0.0354, 0)</f>
        <v>55.221600000000002</v>
      </c>
      <c r="F752" s="44">
        <f>55.1862 * CHOOSE(CONTROL!$C$15, $E$9, 100%, $G$9) + CHOOSE(CONTROL!$C$38, 0.0264, 0)</f>
        <v>55.212600000000002</v>
      </c>
      <c r="G752" s="14">
        <f>52.3382 * CHOOSE(CONTROL!$C$15, $E$9, 100%, $G$9) + CHOOSE(CONTROL!$C$38, 0.0354, 0)</f>
        <v>52.373600000000003</v>
      </c>
      <c r="H752" s="14">
        <f>52.3382 * CHOOSE(CONTROL!$C$15, $E$9, 100%, $G$9) + CHOOSE(CONTROL!$C$38, 0.0354, 0)</f>
        <v>52.373600000000003</v>
      </c>
      <c r="I752" s="14">
        <f>52.3397 * CHOOSE(CONTROL!$C$15, $E$9, 100%, $G$9) + CHOOSE(CONTROL!$C$38, 0.0354, 0)</f>
        <v>52.375100000000003</v>
      </c>
      <c r="J752" s="43">
        <f>482.3504</f>
        <v>482.35039999999998</v>
      </c>
    </row>
    <row r="753" spans="1:10" ht="15.75" x14ac:dyDescent="0.25">
      <c r="A753" s="31">
        <v>63858</v>
      </c>
      <c r="B753" s="14">
        <f>53.45 * CHOOSE(CONTROL!$C$15, $E$9, 100%, $G$9) + CHOOSE(CONTROL!$C$38, 0.0251, 0)</f>
        <v>53.475100000000005</v>
      </c>
      <c r="C753" s="14">
        <f>50.5457 * CHOOSE(CONTROL!$C$15, $E$9, 100%, $G$9) + CHOOSE(CONTROL!$C$38, 0.0342, 0)</f>
        <v>50.579899999999995</v>
      </c>
      <c r="D753" s="14">
        <f>50.5379 * CHOOSE(CONTROL!$C$15, $E$9, 100%, $G$9) + CHOOSE(CONTROL!$C$38, 0.0342, 0)</f>
        <v>50.572099999999999</v>
      </c>
      <c r="E753" s="45">
        <f>53.2937 * CHOOSE(CONTROL!$C$15, $E$9, 100%, $G$9) + CHOOSE(CONTROL!$C$38, 0.0342, 0)</f>
        <v>53.3279</v>
      </c>
      <c r="F753" s="44">
        <f>53.2937 * CHOOSE(CONTROL!$C$15, $E$9, 100%, $G$9) + CHOOSE(CONTROL!$C$38, 0.0251, 0)</f>
        <v>53.318800000000003</v>
      </c>
      <c r="G753" s="14">
        <f>50.5442 * CHOOSE(CONTROL!$C$15, $E$9, 100%, $G$9) + CHOOSE(CONTROL!$C$38, 0.0342, 0)</f>
        <v>50.578399999999995</v>
      </c>
      <c r="H753" s="14">
        <f>50.5442 * CHOOSE(CONTROL!$C$15, $E$9, 100%, $G$9) + CHOOSE(CONTROL!$C$38, 0.0342, 0)</f>
        <v>50.578399999999995</v>
      </c>
      <c r="I753" s="14">
        <f>50.5457 * CHOOSE(CONTROL!$C$15, $E$9, 100%, $G$9) + CHOOSE(CONTROL!$C$38, 0.0342, 0)</f>
        <v>50.579899999999995</v>
      </c>
      <c r="J753" s="43">
        <f>465.6703</f>
        <v>465.6703</v>
      </c>
    </row>
    <row r="754" spans="1:10" ht="15.75" x14ac:dyDescent="0.25">
      <c r="A754" s="31">
        <v>63888</v>
      </c>
      <c r="B754" s="14">
        <f>53.0735 * CHOOSE(CONTROL!$C$15, $E$9, 100%, $G$9) + CHOOSE(CONTROL!$C$38, 0.0251, 0)</f>
        <v>53.098600000000005</v>
      </c>
      <c r="C754" s="14">
        <f>50.1889 * CHOOSE(CONTROL!$C$15, $E$9, 100%, $G$9) + CHOOSE(CONTROL!$C$38, 0.0342, 0)</f>
        <v>50.223099999999995</v>
      </c>
      <c r="D754" s="14">
        <f>50.181 * CHOOSE(CONTROL!$C$15, $E$9, 100%, $G$9) + CHOOSE(CONTROL!$C$38, 0.0342, 0)</f>
        <v>50.215199999999996</v>
      </c>
      <c r="E754" s="45">
        <f>52.9173 * CHOOSE(CONTROL!$C$15, $E$9, 100%, $G$9) + CHOOSE(CONTROL!$C$38, 0.0342, 0)</f>
        <v>52.951499999999996</v>
      </c>
      <c r="F754" s="44">
        <f>52.9173 * CHOOSE(CONTROL!$C$15, $E$9, 100%, $G$9) + CHOOSE(CONTROL!$C$38, 0.0251, 0)</f>
        <v>52.942399999999999</v>
      </c>
      <c r="G754" s="14">
        <f>50.1873 * CHOOSE(CONTROL!$C$15, $E$9, 100%, $G$9) + CHOOSE(CONTROL!$C$38, 0.0342, 0)</f>
        <v>50.221499999999999</v>
      </c>
      <c r="H754" s="14">
        <f>50.1873 * CHOOSE(CONTROL!$C$15, $E$9, 100%, $G$9) + CHOOSE(CONTROL!$C$38, 0.0342, 0)</f>
        <v>50.221499999999999</v>
      </c>
      <c r="I754" s="14">
        <f>50.1889 * CHOOSE(CONTROL!$C$15, $E$9, 100%, $G$9) + CHOOSE(CONTROL!$C$38, 0.0342, 0)</f>
        <v>50.223099999999995</v>
      </c>
      <c r="J754" s="43">
        <f>462.3522</f>
        <v>462.35219999999998</v>
      </c>
    </row>
    <row r="755" spans="1:10" ht="15.75" x14ac:dyDescent="0.25">
      <c r="A755" s="31">
        <v>63919</v>
      </c>
      <c r="B755" s="14">
        <f>51.5169 * CHOOSE(CONTROL!$C$15, $E$9, 100%, $G$9) + CHOOSE(CONTROL!$C$38, 0.0251, 0)</f>
        <v>51.542000000000002</v>
      </c>
      <c r="C755" s="14">
        <f>48.7132 * CHOOSE(CONTROL!$C$15, $E$9, 100%, $G$9) + CHOOSE(CONTROL!$C$38, 0.0342, 0)</f>
        <v>48.747399999999999</v>
      </c>
      <c r="D755" s="14">
        <f>48.7054 * CHOOSE(CONTROL!$C$15, $E$9, 100%, $G$9) + CHOOSE(CONTROL!$C$38, 0.0342, 0)</f>
        <v>48.739599999999996</v>
      </c>
      <c r="E755" s="45">
        <f>51.3606 * CHOOSE(CONTROL!$C$15, $E$9, 100%, $G$9) + CHOOSE(CONTROL!$C$38, 0.0342, 0)</f>
        <v>51.394799999999996</v>
      </c>
      <c r="F755" s="44">
        <f>51.3606 * CHOOSE(CONTROL!$C$15, $E$9, 100%, $G$9) + CHOOSE(CONTROL!$C$38, 0.0251, 0)</f>
        <v>51.3857</v>
      </c>
      <c r="G755" s="14">
        <f>48.7116 * CHOOSE(CONTROL!$C$15, $E$9, 100%, $G$9) + CHOOSE(CONTROL!$C$38, 0.0342, 0)</f>
        <v>48.745799999999996</v>
      </c>
      <c r="H755" s="14">
        <f>48.7116 * CHOOSE(CONTROL!$C$15, $E$9, 100%, $G$9) + CHOOSE(CONTROL!$C$38, 0.0342, 0)</f>
        <v>48.745799999999996</v>
      </c>
      <c r="I755" s="14">
        <f>48.7132 * CHOOSE(CONTROL!$C$15, $E$9, 100%, $G$9) + CHOOSE(CONTROL!$C$38, 0.0342, 0)</f>
        <v>48.747399999999999</v>
      </c>
      <c r="J755" s="43">
        <f>448.6319</f>
        <v>448.63189999999997</v>
      </c>
    </row>
    <row r="756" spans="1:10" ht="15.75" x14ac:dyDescent="0.25">
      <c r="A756" s="31">
        <v>63950</v>
      </c>
      <c r="B756" s="14">
        <f>51.1303 * CHOOSE(CONTROL!$C$15, $E$9, 100%, $G$9) + CHOOSE(CONTROL!$C$38, 0.0251, 0)</f>
        <v>51.1554</v>
      </c>
      <c r="C756" s="14">
        <f>48.3467 * CHOOSE(CONTROL!$C$15, $E$9, 100%, $G$9) + CHOOSE(CONTROL!$C$38, 0.0342, 0)</f>
        <v>48.380899999999997</v>
      </c>
      <c r="D756" s="14">
        <f>48.3389 * CHOOSE(CONTROL!$C$15, $E$9, 100%, $G$9) + CHOOSE(CONTROL!$C$38, 0.0342, 0)</f>
        <v>48.373100000000001</v>
      </c>
      <c r="E756" s="45">
        <f>50.974 * CHOOSE(CONTROL!$C$15, $E$9, 100%, $G$9) + CHOOSE(CONTROL!$C$38, 0.0342, 0)</f>
        <v>51.008199999999995</v>
      </c>
      <c r="F756" s="44">
        <f>50.974 * CHOOSE(CONTROL!$C$15, $E$9, 100%, $G$9) + CHOOSE(CONTROL!$C$38, 0.0251, 0)</f>
        <v>50.999099999999999</v>
      </c>
      <c r="G756" s="14">
        <f>48.3451 * CHOOSE(CONTROL!$C$15, $E$9, 100%, $G$9) + CHOOSE(CONTROL!$C$38, 0.0342, 0)</f>
        <v>48.379300000000001</v>
      </c>
      <c r="H756" s="14">
        <f>48.3451 * CHOOSE(CONTROL!$C$15, $E$9, 100%, $G$9) + CHOOSE(CONTROL!$C$38, 0.0342, 0)</f>
        <v>48.379300000000001</v>
      </c>
      <c r="I756" s="14">
        <f>48.3467 * CHOOSE(CONTROL!$C$15, $E$9, 100%, $G$9) + CHOOSE(CONTROL!$C$38, 0.0342, 0)</f>
        <v>48.380899999999997</v>
      </c>
      <c r="J756" s="43">
        <f>448.308</f>
        <v>448.30799999999999</v>
      </c>
    </row>
    <row r="757" spans="1:10" ht="15.75" x14ac:dyDescent="0.25">
      <c r="A757" s="31">
        <v>63978</v>
      </c>
      <c r="B757" s="14">
        <f>50.9899 * CHOOSE(CONTROL!$C$15, $E$9, 100%, $G$9) + CHOOSE(CONTROL!$C$38, 0.0251, 0)</f>
        <v>51.015000000000001</v>
      </c>
      <c r="C757" s="14">
        <f>48.2136 * CHOOSE(CONTROL!$C$15, $E$9, 100%, $G$9) + CHOOSE(CONTROL!$C$38, 0.0342, 0)</f>
        <v>48.247799999999998</v>
      </c>
      <c r="D757" s="14">
        <f>48.2058 * CHOOSE(CONTROL!$C$15, $E$9, 100%, $G$9) + CHOOSE(CONTROL!$C$38, 0.0342, 0)</f>
        <v>48.24</v>
      </c>
      <c r="E757" s="45">
        <f>50.8336 * CHOOSE(CONTROL!$C$15, $E$9, 100%, $G$9) + CHOOSE(CONTROL!$C$38, 0.0342, 0)</f>
        <v>50.867799999999995</v>
      </c>
      <c r="F757" s="44">
        <f>50.8336 * CHOOSE(CONTROL!$C$15, $E$9, 100%, $G$9) + CHOOSE(CONTROL!$C$38, 0.0251, 0)</f>
        <v>50.858699999999999</v>
      </c>
      <c r="G757" s="14">
        <f>48.212 * CHOOSE(CONTROL!$C$15, $E$9, 100%, $G$9) + CHOOSE(CONTROL!$C$38, 0.0342, 0)</f>
        <v>48.246200000000002</v>
      </c>
      <c r="H757" s="14">
        <f>48.212 * CHOOSE(CONTROL!$C$15, $E$9, 100%, $G$9) + CHOOSE(CONTROL!$C$38, 0.0342, 0)</f>
        <v>48.246200000000002</v>
      </c>
      <c r="I757" s="14">
        <f>48.2136 * CHOOSE(CONTROL!$C$15, $E$9, 100%, $G$9) + CHOOSE(CONTROL!$C$38, 0.0342, 0)</f>
        <v>48.247799999999998</v>
      </c>
      <c r="J757" s="43">
        <f>447.0618</f>
        <v>447.06180000000001</v>
      </c>
    </row>
    <row r="758" spans="1:10" ht="15.75" x14ac:dyDescent="0.25">
      <c r="A758" s="31">
        <v>64009</v>
      </c>
      <c r="B758" s="14">
        <f>53.6448 * CHOOSE(CONTROL!$C$15, $E$9, 100%, $G$9) + CHOOSE(CONTROL!$C$38, 0.0251, 0)</f>
        <v>53.669899999999998</v>
      </c>
      <c r="C758" s="14">
        <f>50.7304 * CHOOSE(CONTROL!$C$15, $E$9, 100%, $G$9) + CHOOSE(CONTROL!$C$38, 0.0342, 0)</f>
        <v>50.764600000000002</v>
      </c>
      <c r="D758" s="14">
        <f>50.7226 * CHOOSE(CONTROL!$C$15, $E$9, 100%, $G$9) + CHOOSE(CONTROL!$C$38, 0.0342, 0)</f>
        <v>50.756799999999998</v>
      </c>
      <c r="E758" s="45">
        <f>53.4886 * CHOOSE(CONTROL!$C$15, $E$9, 100%, $G$9) + CHOOSE(CONTROL!$C$38, 0.0342, 0)</f>
        <v>53.522799999999997</v>
      </c>
      <c r="F758" s="44">
        <f>53.4886 * CHOOSE(CONTROL!$C$15, $E$9, 100%, $G$9) + CHOOSE(CONTROL!$C$38, 0.0251, 0)</f>
        <v>53.5137</v>
      </c>
      <c r="G758" s="14">
        <f>50.7289 * CHOOSE(CONTROL!$C$15, $E$9, 100%, $G$9) + CHOOSE(CONTROL!$C$38, 0.0342, 0)</f>
        <v>50.763100000000001</v>
      </c>
      <c r="H758" s="14">
        <f>50.7289 * CHOOSE(CONTROL!$C$15, $E$9, 100%, $G$9) + CHOOSE(CONTROL!$C$38, 0.0342, 0)</f>
        <v>50.763100000000001</v>
      </c>
      <c r="I758" s="14">
        <f>50.7304 * CHOOSE(CONTROL!$C$15, $E$9, 100%, $G$9) + CHOOSE(CONTROL!$C$38, 0.0342, 0)</f>
        <v>50.764600000000002</v>
      </c>
      <c r="J758" s="43">
        <f>470.6246</f>
        <v>470.62459999999999</v>
      </c>
    </row>
    <row r="759" spans="1:10" ht="15.75" x14ac:dyDescent="0.25">
      <c r="A759" s="31">
        <v>64039</v>
      </c>
      <c r="B759" s="14">
        <f>57.0876 * CHOOSE(CONTROL!$C$15, $E$9, 100%, $G$9) + CHOOSE(CONTROL!$C$38, 0.0251, 0)</f>
        <v>57.112700000000004</v>
      </c>
      <c r="C759" s="14">
        <f>53.9942 * CHOOSE(CONTROL!$C$15, $E$9, 100%, $G$9) + CHOOSE(CONTROL!$C$38, 0.0342, 0)</f>
        <v>54.028399999999998</v>
      </c>
      <c r="D759" s="14">
        <f>53.9864 * CHOOSE(CONTROL!$C$15, $E$9, 100%, $G$9) + CHOOSE(CONTROL!$C$38, 0.0342, 0)</f>
        <v>54.020600000000002</v>
      </c>
      <c r="E759" s="45">
        <f>56.9314 * CHOOSE(CONTROL!$C$15, $E$9, 100%, $G$9) + CHOOSE(CONTROL!$C$38, 0.0342, 0)</f>
        <v>56.965599999999995</v>
      </c>
      <c r="F759" s="44">
        <f>56.9314 * CHOOSE(CONTROL!$C$15, $E$9, 100%, $G$9) + CHOOSE(CONTROL!$C$38, 0.0251, 0)</f>
        <v>56.956499999999998</v>
      </c>
      <c r="G759" s="14">
        <f>53.9926 * CHOOSE(CONTROL!$C$15, $E$9, 100%, $G$9) + CHOOSE(CONTROL!$C$38, 0.0342, 0)</f>
        <v>54.026800000000001</v>
      </c>
      <c r="H759" s="14">
        <f>53.9926 * CHOOSE(CONTROL!$C$15, $E$9, 100%, $G$9) + CHOOSE(CONTROL!$C$38, 0.0342, 0)</f>
        <v>54.026800000000001</v>
      </c>
      <c r="I759" s="14">
        <f>53.9942 * CHOOSE(CONTROL!$C$15, $E$9, 100%, $G$9) + CHOOSE(CONTROL!$C$38, 0.0342, 0)</f>
        <v>54.028399999999998</v>
      </c>
      <c r="J759" s="43">
        <f>501.1798</f>
        <v>501.1798</v>
      </c>
    </row>
    <row r="760" spans="1:10" ht="15.75" x14ac:dyDescent="0.25">
      <c r="A760" s="31">
        <v>64070</v>
      </c>
      <c r="B760" s="14">
        <f>58.9827 * CHOOSE(CONTROL!$C$15, $E$9, 100%, $G$9) + CHOOSE(CONTROL!$C$38, 0.0264, 0)</f>
        <v>59.009100000000004</v>
      </c>
      <c r="C760" s="14">
        <f>55.7907 * CHOOSE(CONTROL!$C$15, $E$9, 100%, $G$9) + CHOOSE(CONTROL!$C$38, 0.0354, 0)</f>
        <v>55.826100000000004</v>
      </c>
      <c r="D760" s="14">
        <f>55.7828 * CHOOSE(CONTROL!$C$15, $E$9, 100%, $G$9) + CHOOSE(CONTROL!$C$38, 0.0354, 0)</f>
        <v>55.818200000000004</v>
      </c>
      <c r="E760" s="45">
        <f>58.8264 * CHOOSE(CONTROL!$C$15, $E$9, 100%, $G$9) + CHOOSE(CONTROL!$C$38, 0.0354, 0)</f>
        <v>58.861800000000002</v>
      </c>
      <c r="F760" s="44">
        <f>58.8264 * CHOOSE(CONTROL!$C$15, $E$9, 100%, $G$9) + CHOOSE(CONTROL!$C$38, 0.0264, 0)</f>
        <v>58.852800000000002</v>
      </c>
      <c r="G760" s="14">
        <f>55.7891 * CHOOSE(CONTROL!$C$15, $E$9, 100%, $G$9) + CHOOSE(CONTROL!$C$38, 0.0354, 0)</f>
        <v>55.8245</v>
      </c>
      <c r="H760" s="14">
        <f>55.7891 * CHOOSE(CONTROL!$C$15, $E$9, 100%, $G$9) + CHOOSE(CONTROL!$C$38, 0.0354, 0)</f>
        <v>55.8245</v>
      </c>
      <c r="I760" s="14">
        <f>55.7907 * CHOOSE(CONTROL!$C$15, $E$9, 100%, $G$9) + CHOOSE(CONTROL!$C$38, 0.0354, 0)</f>
        <v>55.826100000000004</v>
      </c>
      <c r="J760" s="43">
        <f>517.9984</f>
        <v>517.99839999999995</v>
      </c>
    </row>
    <row r="761" spans="1:10" ht="15.75" x14ac:dyDescent="0.25">
      <c r="A761" s="31">
        <v>64100</v>
      </c>
      <c r="B761" s="14">
        <f>59.8237 * CHOOSE(CONTROL!$C$15, $E$9, 100%, $G$9) + CHOOSE(CONTROL!$C$38, 0.0264, 0)</f>
        <v>59.850100000000005</v>
      </c>
      <c r="C761" s="14">
        <f>56.5879 * CHOOSE(CONTROL!$C$15, $E$9, 100%, $G$9) + CHOOSE(CONTROL!$C$38, 0.0354, 0)</f>
        <v>56.6233</v>
      </c>
      <c r="D761" s="14">
        <f>56.5801 * CHOOSE(CONTROL!$C$15, $E$9, 100%, $G$9) + CHOOSE(CONTROL!$C$38, 0.0354, 0)</f>
        <v>56.615500000000004</v>
      </c>
      <c r="E761" s="45">
        <f>59.6674 * CHOOSE(CONTROL!$C$15, $E$9, 100%, $G$9) + CHOOSE(CONTROL!$C$38, 0.0354, 0)</f>
        <v>59.702800000000003</v>
      </c>
      <c r="F761" s="44">
        <f>59.6674 * CHOOSE(CONTROL!$C$15, $E$9, 100%, $G$9) + CHOOSE(CONTROL!$C$38, 0.0264, 0)</f>
        <v>59.693800000000003</v>
      </c>
      <c r="G761" s="14">
        <f>56.5863 * CHOOSE(CONTROL!$C$15, $E$9, 100%, $G$9) + CHOOSE(CONTROL!$C$38, 0.0354, 0)</f>
        <v>56.621700000000004</v>
      </c>
      <c r="H761" s="14">
        <f>56.5863 * CHOOSE(CONTROL!$C$15, $E$9, 100%, $G$9) + CHOOSE(CONTROL!$C$38, 0.0354, 0)</f>
        <v>56.621700000000004</v>
      </c>
      <c r="I761" s="14">
        <f>56.5879 * CHOOSE(CONTROL!$C$15, $E$9, 100%, $G$9) + CHOOSE(CONTROL!$C$38, 0.0354, 0)</f>
        <v>56.6233</v>
      </c>
      <c r="J761" s="43">
        <f>525.4622</f>
        <v>525.46220000000005</v>
      </c>
    </row>
    <row r="762" spans="1:10" ht="15.75" x14ac:dyDescent="0.25">
      <c r="A762" s="31">
        <v>64131</v>
      </c>
      <c r="B762" s="14">
        <f>59.5468 * CHOOSE(CONTROL!$C$15, $E$9, 100%, $G$9) + CHOOSE(CONTROL!$C$38, 0.0264, 0)</f>
        <v>59.5732</v>
      </c>
      <c r="C762" s="14">
        <f>56.3254 * CHOOSE(CONTROL!$C$15, $E$9, 100%, $G$9) + CHOOSE(CONTROL!$C$38, 0.0354, 0)</f>
        <v>56.360800000000005</v>
      </c>
      <c r="D762" s="14">
        <f>56.3176 * CHOOSE(CONTROL!$C$15, $E$9, 100%, $G$9) + CHOOSE(CONTROL!$C$38, 0.0354, 0)</f>
        <v>56.353000000000002</v>
      </c>
      <c r="E762" s="45">
        <f>59.3905 * CHOOSE(CONTROL!$C$15, $E$9, 100%, $G$9) + CHOOSE(CONTROL!$C$38, 0.0354, 0)</f>
        <v>59.425900000000006</v>
      </c>
      <c r="F762" s="44">
        <f>59.3905 * CHOOSE(CONTROL!$C$15, $E$9, 100%, $G$9) + CHOOSE(CONTROL!$C$38, 0.0264, 0)</f>
        <v>59.416900000000005</v>
      </c>
      <c r="G762" s="14">
        <f>56.3238 * CHOOSE(CONTROL!$C$15, $E$9, 100%, $G$9) + CHOOSE(CONTROL!$C$38, 0.0354, 0)</f>
        <v>56.359200000000001</v>
      </c>
      <c r="H762" s="14">
        <f>56.3238 * CHOOSE(CONTROL!$C$15, $E$9, 100%, $G$9) + CHOOSE(CONTROL!$C$38, 0.0354, 0)</f>
        <v>56.359200000000001</v>
      </c>
      <c r="I762" s="14">
        <f>56.3254 * CHOOSE(CONTROL!$C$15, $E$9, 100%, $G$9) + CHOOSE(CONTROL!$C$38, 0.0354, 0)</f>
        <v>56.360800000000005</v>
      </c>
      <c r="J762" s="43">
        <f>523.0048</f>
        <v>523.00480000000005</v>
      </c>
    </row>
    <row r="763" spans="1:10" ht="15.75" x14ac:dyDescent="0.25">
      <c r="A763" s="31">
        <v>64162</v>
      </c>
      <c r="B763" s="14">
        <f>58.1749 * CHOOSE(CONTROL!$C$15, $E$9, 100%, $G$9) + CHOOSE(CONTROL!$C$38, 0.0264, 0)</f>
        <v>58.201300000000003</v>
      </c>
      <c r="C763" s="14">
        <f>55.0249 * CHOOSE(CONTROL!$C$15, $E$9, 100%, $G$9) + CHOOSE(CONTROL!$C$38, 0.0354, 0)</f>
        <v>55.060300000000005</v>
      </c>
      <c r="D763" s="14">
        <f>55.0171 * CHOOSE(CONTROL!$C$15, $E$9, 100%, $G$9) + CHOOSE(CONTROL!$C$38, 0.0354, 0)</f>
        <v>55.052500000000002</v>
      </c>
      <c r="E763" s="45">
        <f>58.0187 * CHOOSE(CONTROL!$C$15, $E$9, 100%, $G$9) + CHOOSE(CONTROL!$C$38, 0.0354, 0)</f>
        <v>58.054100000000005</v>
      </c>
      <c r="F763" s="44">
        <f>58.0187 * CHOOSE(CONTROL!$C$15, $E$9, 100%, $G$9) + CHOOSE(CONTROL!$C$38, 0.0264, 0)</f>
        <v>58.045100000000005</v>
      </c>
      <c r="G763" s="14">
        <f>55.0233 * CHOOSE(CONTROL!$C$15, $E$9, 100%, $G$9) + CHOOSE(CONTROL!$C$38, 0.0354, 0)</f>
        <v>55.058700000000002</v>
      </c>
      <c r="H763" s="14">
        <f>55.0233 * CHOOSE(CONTROL!$C$15, $E$9, 100%, $G$9) + CHOOSE(CONTROL!$C$38, 0.0354, 0)</f>
        <v>55.058700000000002</v>
      </c>
      <c r="I763" s="14">
        <f>55.0249 * CHOOSE(CONTROL!$C$15, $E$9, 100%, $G$9) + CHOOSE(CONTROL!$C$38, 0.0354, 0)</f>
        <v>55.060300000000005</v>
      </c>
      <c r="J763" s="43">
        <f>510.8295</f>
        <v>510.8295</v>
      </c>
    </row>
    <row r="764" spans="1:10" ht="15.75" x14ac:dyDescent="0.25">
      <c r="A764" s="31">
        <v>64192</v>
      </c>
      <c r="B764" s="14">
        <f>56.2618 * CHOOSE(CONTROL!$C$15, $E$9, 100%, $G$9) + CHOOSE(CONTROL!$C$38, 0.0264, 0)</f>
        <v>56.288200000000003</v>
      </c>
      <c r="C764" s="14">
        <f>53.2113 * CHOOSE(CONTROL!$C$15, $E$9, 100%, $G$9) + CHOOSE(CONTROL!$C$38, 0.0354, 0)</f>
        <v>53.246700000000004</v>
      </c>
      <c r="D764" s="14">
        <f>53.2035 * CHOOSE(CONTROL!$C$15, $E$9, 100%, $G$9) + CHOOSE(CONTROL!$C$38, 0.0354, 0)</f>
        <v>53.238900000000001</v>
      </c>
      <c r="E764" s="45">
        <f>56.1055 * CHOOSE(CONTROL!$C$15, $E$9, 100%, $G$9) + CHOOSE(CONTROL!$C$38, 0.0354, 0)</f>
        <v>56.140900000000002</v>
      </c>
      <c r="F764" s="44">
        <f>56.1055 * CHOOSE(CONTROL!$C$15, $E$9, 100%, $G$9) + CHOOSE(CONTROL!$C$38, 0.0264, 0)</f>
        <v>56.131900000000002</v>
      </c>
      <c r="G764" s="14">
        <f>53.2097 * CHOOSE(CONTROL!$C$15, $E$9, 100%, $G$9) + CHOOSE(CONTROL!$C$38, 0.0354, 0)</f>
        <v>53.245100000000001</v>
      </c>
      <c r="H764" s="14">
        <f>53.2097 * CHOOSE(CONTROL!$C$15, $E$9, 100%, $G$9) + CHOOSE(CONTROL!$C$38, 0.0354, 0)</f>
        <v>53.245100000000001</v>
      </c>
      <c r="I764" s="14">
        <f>53.2113 * CHOOSE(CONTROL!$C$15, $E$9, 100%, $G$9) + CHOOSE(CONTROL!$C$38, 0.0354, 0)</f>
        <v>53.246700000000004</v>
      </c>
      <c r="J764" s="43">
        <f>493.8504</f>
        <v>493.85039999999998</v>
      </c>
    </row>
    <row r="765" spans="1:10" ht="15.75" x14ac:dyDescent="0.25">
      <c r="A765" s="31">
        <v>64223</v>
      </c>
      <c r="B765" s="14">
        <f>54.3375 * CHOOSE(CONTROL!$C$15, $E$9, 100%, $G$9) + CHOOSE(CONTROL!$C$38, 0.0251, 0)</f>
        <v>54.3626</v>
      </c>
      <c r="C765" s="14">
        <f>51.3871 * CHOOSE(CONTROL!$C$15, $E$9, 100%, $G$9) + CHOOSE(CONTROL!$C$38, 0.0342, 0)</f>
        <v>51.421299999999995</v>
      </c>
      <c r="D765" s="14">
        <f>51.3793 * CHOOSE(CONTROL!$C$15, $E$9, 100%, $G$9) + CHOOSE(CONTROL!$C$38, 0.0342, 0)</f>
        <v>51.413499999999999</v>
      </c>
      <c r="E765" s="45">
        <f>54.1813 * CHOOSE(CONTROL!$C$15, $E$9, 100%, $G$9) + CHOOSE(CONTROL!$C$38, 0.0342, 0)</f>
        <v>54.215499999999999</v>
      </c>
      <c r="F765" s="44">
        <f>54.1813 * CHOOSE(CONTROL!$C$15, $E$9, 100%, $G$9) + CHOOSE(CONTROL!$C$38, 0.0251, 0)</f>
        <v>54.206400000000002</v>
      </c>
      <c r="G765" s="14">
        <f>51.3856 * CHOOSE(CONTROL!$C$15, $E$9, 100%, $G$9) + CHOOSE(CONTROL!$C$38, 0.0342, 0)</f>
        <v>51.419799999999995</v>
      </c>
      <c r="H765" s="14">
        <f>51.3856 * CHOOSE(CONTROL!$C$15, $E$9, 100%, $G$9) + CHOOSE(CONTROL!$C$38, 0.0342, 0)</f>
        <v>51.419799999999995</v>
      </c>
      <c r="I765" s="14">
        <f>51.3871 * CHOOSE(CONTROL!$C$15, $E$9, 100%, $G$9) + CHOOSE(CONTROL!$C$38, 0.0342, 0)</f>
        <v>51.421299999999995</v>
      </c>
      <c r="J765" s="43">
        <f>476.7725</f>
        <v>476.77249999999998</v>
      </c>
    </row>
    <row r="766" spans="1:10" ht="15.75" x14ac:dyDescent="0.25">
      <c r="A766" s="31">
        <v>64253</v>
      </c>
      <c r="B766" s="14">
        <f>53.9548 * CHOOSE(CONTROL!$C$15, $E$9, 100%, $G$9) + CHOOSE(CONTROL!$C$38, 0.0251, 0)</f>
        <v>53.979900000000001</v>
      </c>
      <c r="C766" s="14">
        <f>51.0243 * CHOOSE(CONTROL!$C$15, $E$9, 100%, $G$9) + CHOOSE(CONTROL!$C$38, 0.0342, 0)</f>
        <v>51.058499999999995</v>
      </c>
      <c r="D766" s="14">
        <f>51.0165 * CHOOSE(CONTROL!$C$15, $E$9, 100%, $G$9) + CHOOSE(CONTROL!$C$38, 0.0342, 0)</f>
        <v>51.050699999999999</v>
      </c>
      <c r="E766" s="45">
        <f>53.7985 * CHOOSE(CONTROL!$C$15, $E$9, 100%, $G$9) + CHOOSE(CONTROL!$C$38, 0.0342, 0)</f>
        <v>53.832699999999996</v>
      </c>
      <c r="F766" s="44">
        <f>53.7985 * CHOOSE(CONTROL!$C$15, $E$9, 100%, $G$9) + CHOOSE(CONTROL!$C$38, 0.0251, 0)</f>
        <v>53.823599999999999</v>
      </c>
      <c r="G766" s="14">
        <f>51.0227 * CHOOSE(CONTROL!$C$15, $E$9, 100%, $G$9) + CHOOSE(CONTROL!$C$38, 0.0342, 0)</f>
        <v>51.056899999999999</v>
      </c>
      <c r="H766" s="14">
        <f>51.0227 * CHOOSE(CONTROL!$C$15, $E$9, 100%, $G$9) + CHOOSE(CONTROL!$C$38, 0.0342, 0)</f>
        <v>51.056899999999999</v>
      </c>
      <c r="I766" s="14">
        <f>51.0243 * CHOOSE(CONTROL!$C$15, $E$9, 100%, $G$9) + CHOOSE(CONTROL!$C$38, 0.0342, 0)</f>
        <v>51.058499999999995</v>
      </c>
      <c r="J766" s="43">
        <f>473.3754</f>
        <v>473.37540000000001</v>
      </c>
    </row>
    <row r="767" spans="1:10" ht="15.75" x14ac:dyDescent="0.25">
      <c r="A767" s="31">
        <v>64284</v>
      </c>
      <c r="B767" s="14">
        <f>52.372 * CHOOSE(CONTROL!$C$15, $E$9, 100%, $G$9) + CHOOSE(CONTROL!$C$38, 0.0251, 0)</f>
        <v>52.397100000000002</v>
      </c>
      <c r="C767" s="14">
        <f>49.5238 * CHOOSE(CONTROL!$C$15, $E$9, 100%, $G$9) + CHOOSE(CONTROL!$C$38, 0.0342, 0)</f>
        <v>49.558</v>
      </c>
      <c r="D767" s="14">
        <f>49.516 * CHOOSE(CONTROL!$C$15, $E$9, 100%, $G$9) + CHOOSE(CONTROL!$C$38, 0.0342, 0)</f>
        <v>49.550199999999997</v>
      </c>
      <c r="E767" s="45">
        <f>52.2157 * CHOOSE(CONTROL!$C$15, $E$9, 100%, $G$9) + CHOOSE(CONTROL!$C$38, 0.0342, 0)</f>
        <v>52.249899999999997</v>
      </c>
      <c r="F767" s="44">
        <f>52.2157 * CHOOSE(CONTROL!$C$15, $E$9, 100%, $G$9) + CHOOSE(CONTROL!$C$38, 0.0251, 0)</f>
        <v>52.2408</v>
      </c>
      <c r="G767" s="14">
        <f>49.5222 * CHOOSE(CONTROL!$C$15, $E$9, 100%, $G$9) + CHOOSE(CONTROL!$C$38, 0.0342, 0)</f>
        <v>49.556399999999996</v>
      </c>
      <c r="H767" s="14">
        <f>49.5222 * CHOOSE(CONTROL!$C$15, $E$9, 100%, $G$9) + CHOOSE(CONTROL!$C$38, 0.0342, 0)</f>
        <v>49.556399999999996</v>
      </c>
      <c r="I767" s="14">
        <f>49.5238 * CHOOSE(CONTROL!$C$15, $E$9, 100%, $G$9) + CHOOSE(CONTROL!$C$38, 0.0342, 0)</f>
        <v>49.558</v>
      </c>
      <c r="J767" s="43">
        <f>459.3279</f>
        <v>459.3279</v>
      </c>
    </row>
    <row r="768" spans="1:10" ht="15.75" x14ac:dyDescent="0.25">
      <c r="A768" s="31">
        <v>64315</v>
      </c>
      <c r="B768" s="14">
        <f>51.9789 * CHOOSE(CONTROL!$C$15, $E$9, 100%, $G$9) + CHOOSE(CONTROL!$C$38, 0.0251, 0)</f>
        <v>52.004000000000005</v>
      </c>
      <c r="C768" s="14">
        <f>49.1512 * CHOOSE(CONTROL!$C$15, $E$9, 100%, $G$9) + CHOOSE(CONTROL!$C$38, 0.0342, 0)</f>
        <v>49.185400000000001</v>
      </c>
      <c r="D768" s="14">
        <f>49.1434 * CHOOSE(CONTROL!$C$15, $E$9, 100%, $G$9) + CHOOSE(CONTROL!$C$38, 0.0342, 0)</f>
        <v>49.177599999999998</v>
      </c>
      <c r="E768" s="45">
        <f>51.8227 * CHOOSE(CONTROL!$C$15, $E$9, 100%, $G$9) + CHOOSE(CONTROL!$C$38, 0.0342, 0)</f>
        <v>51.856899999999996</v>
      </c>
      <c r="F768" s="44">
        <f>51.8227 * CHOOSE(CONTROL!$C$15, $E$9, 100%, $G$9) + CHOOSE(CONTROL!$C$38, 0.0251, 0)</f>
        <v>51.847799999999999</v>
      </c>
      <c r="G768" s="14">
        <f>49.1496 * CHOOSE(CONTROL!$C$15, $E$9, 100%, $G$9) + CHOOSE(CONTROL!$C$38, 0.0342, 0)</f>
        <v>49.183799999999998</v>
      </c>
      <c r="H768" s="14">
        <f>49.1496 * CHOOSE(CONTROL!$C$15, $E$9, 100%, $G$9) + CHOOSE(CONTROL!$C$38, 0.0342, 0)</f>
        <v>49.183799999999998</v>
      </c>
      <c r="I768" s="14">
        <f>49.1512 * CHOOSE(CONTROL!$C$15, $E$9, 100%, $G$9) + CHOOSE(CONTROL!$C$38, 0.0342, 0)</f>
        <v>49.185400000000001</v>
      </c>
      <c r="J768" s="43">
        <f>458.9963</f>
        <v>458.99630000000002</v>
      </c>
    </row>
    <row r="769" spans="1:10" ht="15.75" x14ac:dyDescent="0.25">
      <c r="A769" s="31">
        <v>64344</v>
      </c>
      <c r="B769" s="14">
        <f>51.8361 * CHOOSE(CONTROL!$C$15, $E$9, 100%, $G$9) + CHOOSE(CONTROL!$C$38, 0.0251, 0)</f>
        <v>51.861200000000004</v>
      </c>
      <c r="C769" s="14">
        <f>49.0158 * CHOOSE(CONTROL!$C$15, $E$9, 100%, $G$9) + CHOOSE(CONTROL!$C$38, 0.0342, 0)</f>
        <v>49.05</v>
      </c>
      <c r="D769" s="14">
        <f>49.008 * CHOOSE(CONTROL!$C$15, $E$9, 100%, $G$9) + CHOOSE(CONTROL!$C$38, 0.0342, 0)</f>
        <v>49.042200000000001</v>
      </c>
      <c r="E769" s="45">
        <f>51.6799 * CHOOSE(CONTROL!$C$15, $E$9, 100%, $G$9) + CHOOSE(CONTROL!$C$38, 0.0342, 0)</f>
        <v>51.714100000000002</v>
      </c>
      <c r="F769" s="44">
        <f>51.6799 * CHOOSE(CONTROL!$C$15, $E$9, 100%, $G$9) + CHOOSE(CONTROL!$C$38, 0.0251, 0)</f>
        <v>51.705000000000005</v>
      </c>
      <c r="G769" s="14">
        <f>49.0143 * CHOOSE(CONTROL!$C$15, $E$9, 100%, $G$9) + CHOOSE(CONTROL!$C$38, 0.0342, 0)</f>
        <v>49.048499999999997</v>
      </c>
      <c r="H769" s="14">
        <f>49.0143 * CHOOSE(CONTROL!$C$15, $E$9, 100%, $G$9) + CHOOSE(CONTROL!$C$38, 0.0342, 0)</f>
        <v>49.048499999999997</v>
      </c>
      <c r="I769" s="14">
        <f>49.0158 * CHOOSE(CONTROL!$C$15, $E$9, 100%, $G$9) + CHOOSE(CONTROL!$C$38, 0.0342, 0)</f>
        <v>49.05</v>
      </c>
      <c r="J769" s="43">
        <f>457.7205</f>
        <v>457.72050000000002</v>
      </c>
    </row>
    <row r="770" spans="1:10" ht="15.75" x14ac:dyDescent="0.25">
      <c r="A770" s="31">
        <v>64375</v>
      </c>
      <c r="B770" s="14">
        <f>54.5357 * CHOOSE(CONTROL!$C$15, $E$9, 100%, $G$9) + CHOOSE(CONTROL!$C$38, 0.0251, 0)</f>
        <v>54.5608</v>
      </c>
      <c r="C770" s="14">
        <f>51.575 * CHOOSE(CONTROL!$C$15, $E$9, 100%, $G$9) + CHOOSE(CONTROL!$C$38, 0.0342, 0)</f>
        <v>51.609200000000001</v>
      </c>
      <c r="D770" s="14">
        <f>51.5671 * CHOOSE(CONTROL!$C$15, $E$9, 100%, $G$9) + CHOOSE(CONTROL!$C$38, 0.0342, 0)</f>
        <v>51.601300000000002</v>
      </c>
      <c r="E770" s="45">
        <f>54.3794 * CHOOSE(CONTROL!$C$15, $E$9, 100%, $G$9) + CHOOSE(CONTROL!$C$38, 0.0342, 0)</f>
        <v>54.413599999999995</v>
      </c>
      <c r="F770" s="44">
        <f>54.3794 * CHOOSE(CONTROL!$C$15, $E$9, 100%, $G$9) + CHOOSE(CONTROL!$C$38, 0.0251, 0)</f>
        <v>54.404499999999999</v>
      </c>
      <c r="G770" s="14">
        <f>51.5734 * CHOOSE(CONTROL!$C$15, $E$9, 100%, $G$9) + CHOOSE(CONTROL!$C$38, 0.0342, 0)</f>
        <v>51.607599999999998</v>
      </c>
      <c r="H770" s="14">
        <f>51.5734 * CHOOSE(CONTROL!$C$15, $E$9, 100%, $G$9) + CHOOSE(CONTROL!$C$38, 0.0342, 0)</f>
        <v>51.607599999999998</v>
      </c>
      <c r="I770" s="14">
        <f>51.575 * CHOOSE(CONTROL!$C$15, $E$9, 100%, $G$9) + CHOOSE(CONTROL!$C$38, 0.0342, 0)</f>
        <v>51.609200000000001</v>
      </c>
      <c r="J770" s="43">
        <f>481.845</f>
        <v>481.84500000000003</v>
      </c>
    </row>
    <row r="771" spans="1:10" ht="15.75" x14ac:dyDescent="0.25">
      <c r="A771" s="31">
        <v>64405</v>
      </c>
      <c r="B771" s="14">
        <f>58.0363 * CHOOSE(CONTROL!$C$15, $E$9, 100%, $G$9) + CHOOSE(CONTROL!$C$38, 0.0251, 0)</f>
        <v>58.061399999999999</v>
      </c>
      <c r="C771" s="14">
        <f>54.8935 * CHOOSE(CONTROL!$C$15, $E$9, 100%, $G$9) + CHOOSE(CONTROL!$C$38, 0.0342, 0)</f>
        <v>54.927700000000002</v>
      </c>
      <c r="D771" s="14">
        <f>54.8857 * CHOOSE(CONTROL!$C$15, $E$9, 100%, $G$9) + CHOOSE(CONTROL!$C$38, 0.0342, 0)</f>
        <v>54.919899999999998</v>
      </c>
      <c r="E771" s="45">
        <f>57.8801 * CHOOSE(CONTROL!$C$15, $E$9, 100%, $G$9) + CHOOSE(CONTROL!$C$38, 0.0342, 0)</f>
        <v>57.914299999999997</v>
      </c>
      <c r="F771" s="44">
        <f>57.8801 * CHOOSE(CONTROL!$C$15, $E$9, 100%, $G$9) + CHOOSE(CONTROL!$C$38, 0.0251, 0)</f>
        <v>57.905200000000001</v>
      </c>
      <c r="G771" s="14">
        <f>54.892 * CHOOSE(CONTROL!$C$15, $E$9, 100%, $G$9) + CHOOSE(CONTROL!$C$38, 0.0342, 0)</f>
        <v>54.926200000000001</v>
      </c>
      <c r="H771" s="14">
        <f>54.892 * CHOOSE(CONTROL!$C$15, $E$9, 100%, $G$9) + CHOOSE(CONTROL!$C$38, 0.0342, 0)</f>
        <v>54.926200000000001</v>
      </c>
      <c r="I771" s="14">
        <f>54.8935 * CHOOSE(CONTROL!$C$15, $E$9, 100%, $G$9) + CHOOSE(CONTROL!$C$38, 0.0342, 0)</f>
        <v>54.927700000000002</v>
      </c>
      <c r="J771" s="43">
        <f>513.1287</f>
        <v>513.12869999999998</v>
      </c>
    </row>
    <row r="772" spans="1:10" ht="15.75" x14ac:dyDescent="0.25">
      <c r="A772" s="31">
        <v>64436</v>
      </c>
      <c r="B772" s="14">
        <f>59.9632 * CHOOSE(CONTROL!$C$15, $E$9, 100%, $G$9) + CHOOSE(CONTROL!$C$38, 0.0264, 0)</f>
        <v>59.989600000000003</v>
      </c>
      <c r="C772" s="14">
        <f>56.7202 * CHOOSE(CONTROL!$C$15, $E$9, 100%, $G$9) + CHOOSE(CONTROL!$C$38, 0.0354, 0)</f>
        <v>56.755600000000001</v>
      </c>
      <c r="D772" s="14">
        <f>56.7124 * CHOOSE(CONTROL!$C$15, $E$9, 100%, $G$9) + CHOOSE(CONTROL!$C$38, 0.0354, 0)</f>
        <v>56.747800000000005</v>
      </c>
      <c r="E772" s="45">
        <f>59.8069 * CHOOSE(CONTROL!$C$15, $E$9, 100%, $G$9) + CHOOSE(CONTROL!$C$38, 0.0354, 0)</f>
        <v>59.842300000000002</v>
      </c>
      <c r="F772" s="44">
        <f>59.8069 * CHOOSE(CONTROL!$C$15, $E$9, 100%, $G$9) + CHOOSE(CONTROL!$C$38, 0.0264, 0)</f>
        <v>59.833300000000001</v>
      </c>
      <c r="G772" s="14">
        <f>56.7186 * CHOOSE(CONTROL!$C$15, $E$9, 100%, $G$9) + CHOOSE(CONTROL!$C$38, 0.0354, 0)</f>
        <v>56.754000000000005</v>
      </c>
      <c r="H772" s="14">
        <f>56.7186 * CHOOSE(CONTROL!$C$15, $E$9, 100%, $G$9) + CHOOSE(CONTROL!$C$38, 0.0354, 0)</f>
        <v>56.754000000000005</v>
      </c>
      <c r="I772" s="14">
        <f>56.7202 * CHOOSE(CONTROL!$C$15, $E$9, 100%, $G$9) + CHOOSE(CONTROL!$C$38, 0.0354, 0)</f>
        <v>56.755600000000001</v>
      </c>
      <c r="J772" s="43">
        <f>530.3483</f>
        <v>530.34829999999999</v>
      </c>
    </row>
    <row r="773" spans="1:10" ht="15.75" x14ac:dyDescent="0.25">
      <c r="A773" s="31">
        <v>64466</v>
      </c>
      <c r="B773" s="14">
        <f>60.8183 * CHOOSE(CONTROL!$C$15, $E$9, 100%, $G$9) + CHOOSE(CONTROL!$C$38, 0.0264, 0)</f>
        <v>60.844700000000003</v>
      </c>
      <c r="C773" s="14">
        <f>57.5308 * CHOOSE(CONTROL!$C$15, $E$9, 100%, $G$9) + CHOOSE(CONTROL!$C$38, 0.0354, 0)</f>
        <v>57.566200000000002</v>
      </c>
      <c r="D773" s="14">
        <f>57.523 * CHOOSE(CONTROL!$C$15, $E$9, 100%, $G$9) + CHOOSE(CONTROL!$C$38, 0.0354, 0)</f>
        <v>57.558400000000006</v>
      </c>
      <c r="E773" s="45">
        <f>60.6621 * CHOOSE(CONTROL!$C$15, $E$9, 100%, $G$9) + CHOOSE(CONTROL!$C$38, 0.0354, 0)</f>
        <v>60.697500000000005</v>
      </c>
      <c r="F773" s="44">
        <f>60.6621 * CHOOSE(CONTROL!$C$15, $E$9, 100%, $G$9) + CHOOSE(CONTROL!$C$38, 0.0264, 0)</f>
        <v>60.688500000000005</v>
      </c>
      <c r="G773" s="14">
        <f>57.5292 * CHOOSE(CONTROL!$C$15, $E$9, 100%, $G$9) + CHOOSE(CONTROL!$C$38, 0.0354, 0)</f>
        <v>57.564600000000006</v>
      </c>
      <c r="H773" s="14">
        <f>57.5292 * CHOOSE(CONTROL!$C$15, $E$9, 100%, $G$9) + CHOOSE(CONTROL!$C$38, 0.0354, 0)</f>
        <v>57.564600000000006</v>
      </c>
      <c r="I773" s="14">
        <f>57.5308 * CHOOSE(CONTROL!$C$15, $E$9, 100%, $G$9) + CHOOSE(CONTROL!$C$38, 0.0354, 0)</f>
        <v>57.566200000000002</v>
      </c>
      <c r="J773" s="43">
        <f>537.99</f>
        <v>537.99</v>
      </c>
    </row>
    <row r="774" spans="1:10" ht="15.75" x14ac:dyDescent="0.25">
      <c r="A774" s="31">
        <v>64497</v>
      </c>
      <c r="B774" s="14">
        <f>60.5368 * CHOOSE(CONTROL!$C$15, $E$9, 100%, $G$9) + CHOOSE(CONTROL!$C$38, 0.0264, 0)</f>
        <v>60.563200000000002</v>
      </c>
      <c r="C774" s="14">
        <f>57.2639 * CHOOSE(CONTROL!$C$15, $E$9, 100%, $G$9) + CHOOSE(CONTROL!$C$38, 0.0354, 0)</f>
        <v>57.299300000000002</v>
      </c>
      <c r="D774" s="14">
        <f>57.2561 * CHOOSE(CONTROL!$C$15, $E$9, 100%, $G$9) + CHOOSE(CONTROL!$C$38, 0.0354, 0)</f>
        <v>57.291500000000006</v>
      </c>
      <c r="E774" s="45">
        <f>60.3805 * CHOOSE(CONTROL!$C$15, $E$9, 100%, $G$9) + CHOOSE(CONTROL!$C$38, 0.0354, 0)</f>
        <v>60.415900000000001</v>
      </c>
      <c r="F774" s="44">
        <f>60.3805 * CHOOSE(CONTROL!$C$15, $E$9, 100%, $G$9) + CHOOSE(CONTROL!$C$38, 0.0264, 0)</f>
        <v>60.4069</v>
      </c>
      <c r="G774" s="14">
        <f>57.2624 * CHOOSE(CONTROL!$C$15, $E$9, 100%, $G$9) + CHOOSE(CONTROL!$C$38, 0.0354, 0)</f>
        <v>57.297800000000002</v>
      </c>
      <c r="H774" s="14">
        <f>57.2624 * CHOOSE(CONTROL!$C$15, $E$9, 100%, $G$9) + CHOOSE(CONTROL!$C$38, 0.0354, 0)</f>
        <v>57.297800000000002</v>
      </c>
      <c r="I774" s="14">
        <f>57.2639 * CHOOSE(CONTROL!$C$15, $E$9, 100%, $G$9) + CHOOSE(CONTROL!$C$38, 0.0354, 0)</f>
        <v>57.299300000000002</v>
      </c>
      <c r="J774" s="43">
        <f>535.474</f>
        <v>535.47400000000005</v>
      </c>
    </row>
    <row r="775" spans="1:10" ht="15.75" x14ac:dyDescent="0.25">
      <c r="A775" s="31">
        <v>64528</v>
      </c>
      <c r="B775" s="14">
        <f>59.1419 * CHOOSE(CONTROL!$C$15, $E$9, 100%, $G$9) + CHOOSE(CONTROL!$C$38, 0.0264, 0)</f>
        <v>59.168300000000002</v>
      </c>
      <c r="C775" s="14">
        <f>55.9416 * CHOOSE(CONTROL!$C$15, $E$9, 100%, $G$9) + CHOOSE(CONTROL!$C$38, 0.0354, 0)</f>
        <v>55.977000000000004</v>
      </c>
      <c r="D775" s="14">
        <f>55.9338 * CHOOSE(CONTROL!$C$15, $E$9, 100%, $G$9) + CHOOSE(CONTROL!$C$38, 0.0354, 0)</f>
        <v>55.969200000000001</v>
      </c>
      <c r="E775" s="45">
        <f>58.9856 * CHOOSE(CONTROL!$C$15, $E$9, 100%, $G$9) + CHOOSE(CONTROL!$C$38, 0.0354, 0)</f>
        <v>59.021000000000001</v>
      </c>
      <c r="F775" s="44">
        <f>58.9856 * CHOOSE(CONTROL!$C$15, $E$9, 100%, $G$9) + CHOOSE(CONTROL!$C$38, 0.0264, 0)</f>
        <v>59.012</v>
      </c>
      <c r="G775" s="14">
        <f>55.94 * CHOOSE(CONTROL!$C$15, $E$9, 100%, $G$9) + CHOOSE(CONTROL!$C$38, 0.0354, 0)</f>
        <v>55.9754</v>
      </c>
      <c r="H775" s="14">
        <f>55.94 * CHOOSE(CONTROL!$C$15, $E$9, 100%, $G$9) + CHOOSE(CONTROL!$C$38, 0.0354, 0)</f>
        <v>55.9754</v>
      </c>
      <c r="I775" s="14">
        <f>55.9416 * CHOOSE(CONTROL!$C$15, $E$9, 100%, $G$9) + CHOOSE(CONTROL!$C$38, 0.0354, 0)</f>
        <v>55.977000000000004</v>
      </c>
      <c r="J775" s="43">
        <f>523.0084</f>
        <v>523.00840000000005</v>
      </c>
    </row>
    <row r="776" spans="1:10" ht="15.75" x14ac:dyDescent="0.25">
      <c r="A776" s="31">
        <v>64558</v>
      </c>
      <c r="B776" s="14">
        <f>57.1966 * CHOOSE(CONTROL!$C$15, $E$9, 100%, $G$9) + CHOOSE(CONTROL!$C$38, 0.0264, 0)</f>
        <v>57.222999999999999</v>
      </c>
      <c r="C776" s="14">
        <f>54.0975 * CHOOSE(CONTROL!$C$15, $E$9, 100%, $G$9) + CHOOSE(CONTROL!$C$38, 0.0354, 0)</f>
        <v>54.132899999999999</v>
      </c>
      <c r="D776" s="14">
        <f>54.0897 * CHOOSE(CONTROL!$C$15, $E$9, 100%, $G$9) + CHOOSE(CONTROL!$C$38, 0.0354, 0)</f>
        <v>54.125100000000003</v>
      </c>
      <c r="E776" s="45">
        <f>57.0404 * CHOOSE(CONTROL!$C$15, $E$9, 100%, $G$9) + CHOOSE(CONTROL!$C$38, 0.0354, 0)</f>
        <v>57.075800000000001</v>
      </c>
      <c r="F776" s="44">
        <f>57.0404 * CHOOSE(CONTROL!$C$15, $E$9, 100%, $G$9) + CHOOSE(CONTROL!$C$38, 0.0264, 0)</f>
        <v>57.066800000000001</v>
      </c>
      <c r="G776" s="14">
        <f>54.0959 * CHOOSE(CONTROL!$C$15, $E$9, 100%, $G$9) + CHOOSE(CONTROL!$C$38, 0.0354, 0)</f>
        <v>54.131300000000003</v>
      </c>
      <c r="H776" s="14">
        <f>54.0959 * CHOOSE(CONTROL!$C$15, $E$9, 100%, $G$9) + CHOOSE(CONTROL!$C$38, 0.0354, 0)</f>
        <v>54.131300000000003</v>
      </c>
      <c r="I776" s="14">
        <f>54.0975 * CHOOSE(CONTROL!$C$15, $E$9, 100%, $G$9) + CHOOSE(CONTROL!$C$38, 0.0354, 0)</f>
        <v>54.132899999999999</v>
      </c>
      <c r="J776" s="43">
        <f>505.6245</f>
        <v>505.62450000000001</v>
      </c>
    </row>
    <row r="777" spans="1:10" ht="15.75" x14ac:dyDescent="0.25">
      <c r="A777" s="31">
        <v>64589</v>
      </c>
      <c r="B777" s="14">
        <f>55.24 * CHOOSE(CONTROL!$C$15, $E$9, 100%, $G$9) + CHOOSE(CONTROL!$C$38, 0.0251, 0)</f>
        <v>55.265100000000004</v>
      </c>
      <c r="C777" s="14">
        <f>52.2427 * CHOOSE(CONTROL!$C$15, $E$9, 100%, $G$9) + CHOOSE(CONTROL!$C$38, 0.0342, 0)</f>
        <v>52.276899999999998</v>
      </c>
      <c r="D777" s="14">
        <f>52.2349 * CHOOSE(CONTROL!$C$15, $E$9, 100%, $G$9) + CHOOSE(CONTROL!$C$38, 0.0342, 0)</f>
        <v>52.269100000000002</v>
      </c>
      <c r="E777" s="45">
        <f>55.0838 * CHOOSE(CONTROL!$C$15, $E$9, 100%, $G$9) + CHOOSE(CONTROL!$C$38, 0.0342, 0)</f>
        <v>55.117999999999995</v>
      </c>
      <c r="F777" s="44">
        <f>55.0838 * CHOOSE(CONTROL!$C$15, $E$9, 100%, $G$9) + CHOOSE(CONTROL!$C$38, 0.0251, 0)</f>
        <v>55.108899999999998</v>
      </c>
      <c r="G777" s="14">
        <f>52.2411 * CHOOSE(CONTROL!$C$15, $E$9, 100%, $G$9) + CHOOSE(CONTROL!$C$38, 0.0342, 0)</f>
        <v>52.275300000000001</v>
      </c>
      <c r="H777" s="14">
        <f>52.2411 * CHOOSE(CONTROL!$C$15, $E$9, 100%, $G$9) + CHOOSE(CONTROL!$C$38, 0.0342, 0)</f>
        <v>52.275300000000001</v>
      </c>
      <c r="I777" s="14">
        <f>52.2427 * CHOOSE(CONTROL!$C$15, $E$9, 100%, $G$9) + CHOOSE(CONTROL!$C$38, 0.0342, 0)</f>
        <v>52.276899999999998</v>
      </c>
      <c r="J777" s="43">
        <f>488.1395</f>
        <v>488.1395</v>
      </c>
    </row>
    <row r="778" spans="1:10" ht="15.75" x14ac:dyDescent="0.25">
      <c r="A778" s="31">
        <v>64619</v>
      </c>
      <c r="B778" s="14">
        <f>54.8508 * CHOOSE(CONTROL!$C$15, $E$9, 100%, $G$9) + CHOOSE(CONTROL!$C$38, 0.0251, 0)</f>
        <v>54.875900000000001</v>
      </c>
      <c r="C778" s="14">
        <f>51.8737 * CHOOSE(CONTROL!$C$15, $E$9, 100%, $G$9) + CHOOSE(CONTROL!$C$38, 0.0342, 0)</f>
        <v>51.907899999999998</v>
      </c>
      <c r="D778" s="14">
        <f>51.8659 * CHOOSE(CONTROL!$C$15, $E$9, 100%, $G$9) + CHOOSE(CONTROL!$C$38, 0.0342, 0)</f>
        <v>51.900100000000002</v>
      </c>
      <c r="E778" s="45">
        <f>54.6946 * CHOOSE(CONTROL!$C$15, $E$9, 100%, $G$9) + CHOOSE(CONTROL!$C$38, 0.0342, 0)</f>
        <v>54.7288</v>
      </c>
      <c r="F778" s="44">
        <f>54.6946 * CHOOSE(CONTROL!$C$15, $E$9, 100%, $G$9) + CHOOSE(CONTROL!$C$38, 0.0251, 0)</f>
        <v>54.719700000000003</v>
      </c>
      <c r="G778" s="14">
        <f>51.8722 * CHOOSE(CONTROL!$C$15, $E$9, 100%, $G$9) + CHOOSE(CONTROL!$C$38, 0.0342, 0)</f>
        <v>51.906399999999998</v>
      </c>
      <c r="H778" s="14">
        <f>51.8722 * CHOOSE(CONTROL!$C$15, $E$9, 100%, $G$9) + CHOOSE(CONTROL!$C$38, 0.0342, 0)</f>
        <v>51.906399999999998</v>
      </c>
      <c r="I778" s="14">
        <f>51.8737 * CHOOSE(CONTROL!$C$15, $E$9, 100%, $G$9) + CHOOSE(CONTROL!$C$38, 0.0342, 0)</f>
        <v>51.907899999999998</v>
      </c>
      <c r="J778" s="43">
        <f>484.6614</f>
        <v>484.66140000000001</v>
      </c>
    </row>
    <row r="779" spans="1:10" ht="15.75" x14ac:dyDescent="0.25">
      <c r="A779" s="31">
        <v>64650</v>
      </c>
      <c r="B779" s="14">
        <f>53.2414 * CHOOSE(CONTROL!$C$15, $E$9, 100%, $G$9) + CHOOSE(CONTROL!$C$38, 0.0251, 0)</f>
        <v>53.266500000000001</v>
      </c>
      <c r="C779" s="14">
        <f>50.348 * CHOOSE(CONTROL!$C$15, $E$9, 100%, $G$9) + CHOOSE(CONTROL!$C$38, 0.0342, 0)</f>
        <v>50.382199999999997</v>
      </c>
      <c r="D779" s="14">
        <f>50.3402 * CHOOSE(CONTROL!$C$15, $E$9, 100%, $G$9) + CHOOSE(CONTROL!$C$38, 0.0342, 0)</f>
        <v>50.374400000000001</v>
      </c>
      <c r="E779" s="45">
        <f>53.0852 * CHOOSE(CONTROL!$C$15, $E$9, 100%, $G$9) + CHOOSE(CONTROL!$C$38, 0.0342, 0)</f>
        <v>53.119399999999999</v>
      </c>
      <c r="F779" s="44">
        <f>53.0852 * CHOOSE(CONTROL!$C$15, $E$9, 100%, $G$9) + CHOOSE(CONTROL!$C$38, 0.0251, 0)</f>
        <v>53.110300000000002</v>
      </c>
      <c r="G779" s="14">
        <f>50.3465 * CHOOSE(CONTROL!$C$15, $E$9, 100%, $G$9) + CHOOSE(CONTROL!$C$38, 0.0342, 0)</f>
        <v>50.380699999999997</v>
      </c>
      <c r="H779" s="14">
        <f>50.3465 * CHOOSE(CONTROL!$C$15, $E$9, 100%, $G$9) + CHOOSE(CONTROL!$C$38, 0.0342, 0)</f>
        <v>50.380699999999997</v>
      </c>
      <c r="I779" s="14">
        <f>50.348 * CHOOSE(CONTROL!$C$15, $E$9, 100%, $G$9) + CHOOSE(CONTROL!$C$38, 0.0342, 0)</f>
        <v>50.382199999999997</v>
      </c>
      <c r="J779" s="43">
        <f>470.279</f>
        <v>470.279</v>
      </c>
    </row>
    <row r="780" spans="1:10" ht="15.75" x14ac:dyDescent="0.25">
      <c r="A780" s="31">
        <v>64681</v>
      </c>
      <c r="B780" s="14">
        <f>52.8418 * CHOOSE(CONTROL!$C$15, $E$9, 100%, $G$9) + CHOOSE(CONTROL!$C$38, 0.0251, 0)</f>
        <v>52.866900000000001</v>
      </c>
      <c r="C780" s="14">
        <f>49.9692 * CHOOSE(CONTROL!$C$15, $E$9, 100%, $G$9) + CHOOSE(CONTROL!$C$38, 0.0342, 0)</f>
        <v>50.003399999999999</v>
      </c>
      <c r="D780" s="14">
        <f>49.9613 * CHOOSE(CONTROL!$C$15, $E$9, 100%, $G$9) + CHOOSE(CONTROL!$C$38, 0.0342, 0)</f>
        <v>49.9955</v>
      </c>
      <c r="E780" s="45">
        <f>52.6855 * CHOOSE(CONTROL!$C$15, $E$9, 100%, $G$9) + CHOOSE(CONTROL!$C$38, 0.0342, 0)</f>
        <v>52.719699999999996</v>
      </c>
      <c r="F780" s="44">
        <f>52.6855 * CHOOSE(CONTROL!$C$15, $E$9, 100%, $G$9) + CHOOSE(CONTROL!$C$38, 0.0251, 0)</f>
        <v>52.710599999999999</v>
      </c>
      <c r="G780" s="14">
        <f>49.9676 * CHOOSE(CONTROL!$C$15, $E$9, 100%, $G$9) + CHOOSE(CONTROL!$C$38, 0.0342, 0)</f>
        <v>50.001799999999996</v>
      </c>
      <c r="H780" s="14">
        <f>49.9676 * CHOOSE(CONTROL!$C$15, $E$9, 100%, $G$9) + CHOOSE(CONTROL!$C$38, 0.0342, 0)</f>
        <v>50.001799999999996</v>
      </c>
      <c r="I780" s="14">
        <f>49.9692 * CHOOSE(CONTROL!$C$15, $E$9, 100%, $G$9) + CHOOSE(CONTROL!$C$38, 0.0342, 0)</f>
        <v>50.003399999999999</v>
      </c>
      <c r="J780" s="43">
        <f>469.9395</f>
        <v>469.93950000000001</v>
      </c>
    </row>
    <row r="781" spans="1:10" ht="15.75" x14ac:dyDescent="0.25">
      <c r="A781" s="31">
        <v>64709</v>
      </c>
      <c r="B781" s="14">
        <f>52.6966 * CHOOSE(CONTROL!$C$15, $E$9, 100%, $G$9) + CHOOSE(CONTROL!$C$38, 0.0251, 0)</f>
        <v>52.721699999999998</v>
      </c>
      <c r="C781" s="14">
        <f>49.8315 * CHOOSE(CONTROL!$C$15, $E$9, 100%, $G$9) + CHOOSE(CONTROL!$C$38, 0.0342, 0)</f>
        <v>49.865699999999997</v>
      </c>
      <c r="D781" s="14">
        <f>49.8237 * CHOOSE(CONTROL!$C$15, $E$9, 100%, $G$9) + CHOOSE(CONTROL!$C$38, 0.0342, 0)</f>
        <v>49.857900000000001</v>
      </c>
      <c r="E781" s="45">
        <f>52.5404 * CHOOSE(CONTROL!$C$15, $E$9, 100%, $G$9) + CHOOSE(CONTROL!$C$38, 0.0342, 0)</f>
        <v>52.574599999999997</v>
      </c>
      <c r="F781" s="44">
        <f>52.5404 * CHOOSE(CONTROL!$C$15, $E$9, 100%, $G$9) + CHOOSE(CONTROL!$C$38, 0.0251, 0)</f>
        <v>52.5655</v>
      </c>
      <c r="G781" s="14">
        <f>49.83 * CHOOSE(CONTROL!$C$15, $E$9, 100%, $G$9) + CHOOSE(CONTROL!$C$38, 0.0342, 0)</f>
        <v>49.864199999999997</v>
      </c>
      <c r="H781" s="14">
        <f>49.83 * CHOOSE(CONTROL!$C$15, $E$9, 100%, $G$9) + CHOOSE(CONTROL!$C$38, 0.0342, 0)</f>
        <v>49.864199999999997</v>
      </c>
      <c r="I781" s="14">
        <f>49.8315 * CHOOSE(CONTROL!$C$15, $E$9, 100%, $G$9) + CHOOSE(CONTROL!$C$38, 0.0342, 0)</f>
        <v>49.865699999999997</v>
      </c>
      <c r="J781" s="43">
        <f>468.6332</f>
        <v>468.63319999999999</v>
      </c>
    </row>
    <row r="782" spans="1:10" ht="15.75" x14ac:dyDescent="0.25">
      <c r="A782" s="31">
        <v>64740</v>
      </c>
      <c r="B782" s="14">
        <f>55.4415 * CHOOSE(CONTROL!$C$15, $E$9, 100%, $G$9) + CHOOSE(CONTROL!$C$38, 0.0251, 0)</f>
        <v>55.4666</v>
      </c>
      <c r="C782" s="14">
        <f>52.4337 * CHOOSE(CONTROL!$C$15, $E$9, 100%, $G$9) + CHOOSE(CONTROL!$C$38, 0.0342, 0)</f>
        <v>52.4679</v>
      </c>
      <c r="D782" s="14">
        <f>52.4258 * CHOOSE(CONTROL!$C$15, $E$9, 100%, $G$9) + CHOOSE(CONTROL!$C$38, 0.0342, 0)</f>
        <v>52.46</v>
      </c>
      <c r="E782" s="45">
        <f>55.2852 * CHOOSE(CONTROL!$C$15, $E$9, 100%, $G$9) + CHOOSE(CONTROL!$C$38, 0.0342, 0)</f>
        <v>55.319400000000002</v>
      </c>
      <c r="F782" s="44">
        <f>55.2852 * CHOOSE(CONTROL!$C$15, $E$9, 100%, $G$9) + CHOOSE(CONTROL!$C$38, 0.0251, 0)</f>
        <v>55.310300000000005</v>
      </c>
      <c r="G782" s="14">
        <f>52.4321 * CHOOSE(CONTROL!$C$15, $E$9, 100%, $G$9) + CHOOSE(CONTROL!$C$38, 0.0342, 0)</f>
        <v>52.466299999999997</v>
      </c>
      <c r="H782" s="14">
        <f>52.4321 * CHOOSE(CONTROL!$C$15, $E$9, 100%, $G$9) + CHOOSE(CONTROL!$C$38, 0.0342, 0)</f>
        <v>52.466299999999997</v>
      </c>
      <c r="I782" s="14">
        <f>52.4337 * CHOOSE(CONTROL!$C$15, $E$9, 100%, $G$9) + CHOOSE(CONTROL!$C$38, 0.0342, 0)</f>
        <v>52.4679</v>
      </c>
      <c r="J782" s="43">
        <f>493.3329</f>
        <v>493.3329</v>
      </c>
    </row>
    <row r="783" spans="1:10" ht="15.75" x14ac:dyDescent="0.25">
      <c r="A783" s="31">
        <v>64770</v>
      </c>
      <c r="B783" s="14">
        <f>59.001 * CHOOSE(CONTROL!$C$15, $E$9, 100%, $G$9) + CHOOSE(CONTROL!$C$38, 0.0251, 0)</f>
        <v>59.0261</v>
      </c>
      <c r="C783" s="14">
        <f>55.808 * CHOOSE(CONTROL!$C$15, $E$9, 100%, $G$9) + CHOOSE(CONTROL!$C$38, 0.0342, 0)</f>
        <v>55.842199999999998</v>
      </c>
      <c r="D783" s="14">
        <f>55.8002 * CHOOSE(CONTROL!$C$15, $E$9, 100%, $G$9) + CHOOSE(CONTROL!$C$38, 0.0342, 0)</f>
        <v>55.834399999999995</v>
      </c>
      <c r="E783" s="45">
        <f>58.8447 * CHOOSE(CONTROL!$C$15, $E$9, 100%, $G$9) + CHOOSE(CONTROL!$C$38, 0.0342, 0)</f>
        <v>58.878900000000002</v>
      </c>
      <c r="F783" s="44">
        <f>58.8447 * CHOOSE(CONTROL!$C$15, $E$9, 100%, $G$9) + CHOOSE(CONTROL!$C$38, 0.0251, 0)</f>
        <v>58.869800000000005</v>
      </c>
      <c r="G783" s="14">
        <f>55.8064 * CHOOSE(CONTROL!$C$15, $E$9, 100%, $G$9) + CHOOSE(CONTROL!$C$38, 0.0342, 0)</f>
        <v>55.840599999999995</v>
      </c>
      <c r="H783" s="14">
        <f>55.8064 * CHOOSE(CONTROL!$C$15, $E$9, 100%, $G$9) + CHOOSE(CONTROL!$C$38, 0.0342, 0)</f>
        <v>55.840599999999995</v>
      </c>
      <c r="I783" s="14">
        <f>55.808 * CHOOSE(CONTROL!$C$15, $E$9, 100%, $G$9) + CHOOSE(CONTROL!$C$38, 0.0342, 0)</f>
        <v>55.842199999999998</v>
      </c>
      <c r="J783" s="43">
        <f>525.3625</f>
        <v>525.36249999999995</v>
      </c>
    </row>
    <row r="784" spans="1:10" ht="15.75" x14ac:dyDescent="0.25">
      <c r="A784" s="31">
        <v>64801</v>
      </c>
      <c r="B784" s="14">
        <f>60.9602 * CHOOSE(CONTROL!$C$15, $E$9, 100%, $G$9) + CHOOSE(CONTROL!$C$38, 0.0264, 0)</f>
        <v>60.986600000000003</v>
      </c>
      <c r="C784" s="14">
        <f>57.6653 * CHOOSE(CONTROL!$C$15, $E$9, 100%, $G$9) + CHOOSE(CONTROL!$C$38, 0.0354, 0)</f>
        <v>57.700700000000005</v>
      </c>
      <c r="D784" s="14">
        <f>57.6575 * CHOOSE(CONTROL!$C$15, $E$9, 100%, $G$9) + CHOOSE(CONTROL!$C$38, 0.0354, 0)</f>
        <v>57.692900000000002</v>
      </c>
      <c r="E784" s="45">
        <f>60.8039 * CHOOSE(CONTROL!$C$15, $E$9, 100%, $G$9) + CHOOSE(CONTROL!$C$38, 0.0354, 0)</f>
        <v>60.839300000000001</v>
      </c>
      <c r="F784" s="44">
        <f>60.8039 * CHOOSE(CONTROL!$C$15, $E$9, 100%, $G$9) + CHOOSE(CONTROL!$C$38, 0.0264, 0)</f>
        <v>60.830300000000001</v>
      </c>
      <c r="G784" s="14">
        <f>57.6638 * CHOOSE(CONTROL!$C$15, $E$9, 100%, $G$9) + CHOOSE(CONTROL!$C$38, 0.0354, 0)</f>
        <v>57.699200000000005</v>
      </c>
      <c r="H784" s="14">
        <f>57.6638 * CHOOSE(CONTROL!$C$15, $E$9, 100%, $G$9) + CHOOSE(CONTROL!$C$38, 0.0354, 0)</f>
        <v>57.699200000000005</v>
      </c>
      <c r="I784" s="14">
        <f>57.6653 * CHOOSE(CONTROL!$C$15, $E$9, 100%, $G$9) + CHOOSE(CONTROL!$C$38, 0.0354, 0)</f>
        <v>57.700700000000005</v>
      </c>
      <c r="J784" s="43">
        <f>542.9926</f>
        <v>542.99260000000004</v>
      </c>
    </row>
    <row r="785" spans="1:10" ht="15.75" x14ac:dyDescent="0.25">
      <c r="A785" s="31">
        <v>64831</v>
      </c>
      <c r="B785" s="14">
        <f>61.8297 * CHOOSE(CONTROL!$C$15, $E$9, 100%, $G$9) + CHOOSE(CONTROL!$C$38, 0.0264, 0)</f>
        <v>61.856100000000005</v>
      </c>
      <c r="C785" s="14">
        <f>58.4896 * CHOOSE(CONTROL!$C$15, $E$9, 100%, $G$9) + CHOOSE(CONTROL!$C$38, 0.0354, 0)</f>
        <v>58.525000000000006</v>
      </c>
      <c r="D785" s="14">
        <f>58.4818 * CHOOSE(CONTROL!$C$15, $E$9, 100%, $G$9) + CHOOSE(CONTROL!$C$38, 0.0354, 0)</f>
        <v>58.517200000000003</v>
      </c>
      <c r="E785" s="45">
        <f>61.6734 * CHOOSE(CONTROL!$C$15, $E$9, 100%, $G$9) + CHOOSE(CONTROL!$C$38, 0.0354, 0)</f>
        <v>61.708800000000004</v>
      </c>
      <c r="F785" s="44">
        <f>61.6734 * CHOOSE(CONTROL!$C$15, $E$9, 100%, $G$9) + CHOOSE(CONTROL!$C$38, 0.0264, 0)</f>
        <v>61.699800000000003</v>
      </c>
      <c r="G785" s="14">
        <f>58.488 * CHOOSE(CONTROL!$C$15, $E$9, 100%, $G$9) + CHOOSE(CONTROL!$C$38, 0.0354, 0)</f>
        <v>58.523400000000002</v>
      </c>
      <c r="H785" s="14">
        <f>58.488 * CHOOSE(CONTROL!$C$15, $E$9, 100%, $G$9) + CHOOSE(CONTROL!$C$38, 0.0354, 0)</f>
        <v>58.523400000000002</v>
      </c>
      <c r="I785" s="14">
        <f>58.4896 * CHOOSE(CONTROL!$C$15, $E$9, 100%, $G$9) + CHOOSE(CONTROL!$C$38, 0.0354, 0)</f>
        <v>58.525000000000006</v>
      </c>
      <c r="J785" s="43">
        <f>550.8165</f>
        <v>550.81650000000002</v>
      </c>
    </row>
    <row r="786" spans="1:10" ht="15.75" x14ac:dyDescent="0.25">
      <c r="A786" s="31">
        <v>64862</v>
      </c>
      <c r="B786" s="14">
        <f>61.5434 * CHOOSE(CONTROL!$C$15, $E$9, 100%, $G$9) + CHOOSE(CONTROL!$C$38, 0.0264, 0)</f>
        <v>61.569800000000001</v>
      </c>
      <c r="C786" s="14">
        <f>58.2182 * CHOOSE(CONTROL!$C$15, $E$9, 100%, $G$9) + CHOOSE(CONTROL!$C$38, 0.0354, 0)</f>
        <v>58.253600000000006</v>
      </c>
      <c r="D786" s="14">
        <f>58.2104 * CHOOSE(CONTROL!$C$15, $E$9, 100%, $G$9) + CHOOSE(CONTROL!$C$38, 0.0354, 0)</f>
        <v>58.245800000000003</v>
      </c>
      <c r="E786" s="45">
        <f>61.3871 * CHOOSE(CONTROL!$C$15, $E$9, 100%, $G$9) + CHOOSE(CONTROL!$C$38, 0.0354, 0)</f>
        <v>61.422499999999999</v>
      </c>
      <c r="F786" s="44">
        <f>61.3871 * CHOOSE(CONTROL!$C$15, $E$9, 100%, $G$9) + CHOOSE(CONTROL!$C$38, 0.0264, 0)</f>
        <v>61.413499999999999</v>
      </c>
      <c r="G786" s="14">
        <f>58.2166 * CHOOSE(CONTROL!$C$15, $E$9, 100%, $G$9) + CHOOSE(CONTROL!$C$38, 0.0354, 0)</f>
        <v>58.252000000000002</v>
      </c>
      <c r="H786" s="14">
        <f>58.2166 * CHOOSE(CONTROL!$C$15, $E$9, 100%, $G$9) + CHOOSE(CONTROL!$C$38, 0.0354, 0)</f>
        <v>58.252000000000002</v>
      </c>
      <c r="I786" s="14">
        <f>58.2182 * CHOOSE(CONTROL!$C$15, $E$9, 100%, $G$9) + CHOOSE(CONTROL!$C$38, 0.0354, 0)</f>
        <v>58.253600000000006</v>
      </c>
      <c r="J786" s="43">
        <f>548.2405</f>
        <v>548.2405</v>
      </c>
    </row>
    <row r="787" spans="1:10" ht="15.75" x14ac:dyDescent="0.25">
      <c r="A787" s="31">
        <v>64893</v>
      </c>
      <c r="B787" s="14">
        <f>60.1251 * CHOOSE(CONTROL!$C$15, $E$9, 100%, $G$9) + CHOOSE(CONTROL!$C$38, 0.0264, 0)</f>
        <v>60.151500000000006</v>
      </c>
      <c r="C787" s="14">
        <f>56.8736 * CHOOSE(CONTROL!$C$15, $E$9, 100%, $G$9) + CHOOSE(CONTROL!$C$38, 0.0354, 0)</f>
        <v>56.909000000000006</v>
      </c>
      <c r="D787" s="14">
        <f>56.8658 * CHOOSE(CONTROL!$C$15, $E$9, 100%, $G$9) + CHOOSE(CONTROL!$C$38, 0.0354, 0)</f>
        <v>56.901200000000003</v>
      </c>
      <c r="E787" s="45">
        <f>59.9688 * CHOOSE(CONTROL!$C$15, $E$9, 100%, $G$9) + CHOOSE(CONTROL!$C$38, 0.0354, 0)</f>
        <v>60.004200000000004</v>
      </c>
      <c r="F787" s="44">
        <f>59.9688 * CHOOSE(CONTROL!$C$15, $E$9, 100%, $G$9) + CHOOSE(CONTROL!$C$38, 0.0264, 0)</f>
        <v>59.995200000000004</v>
      </c>
      <c r="G787" s="14">
        <f>56.8721 * CHOOSE(CONTROL!$C$15, $E$9, 100%, $G$9) + CHOOSE(CONTROL!$C$38, 0.0354, 0)</f>
        <v>56.907500000000006</v>
      </c>
      <c r="H787" s="14">
        <f>56.8721 * CHOOSE(CONTROL!$C$15, $E$9, 100%, $G$9) + CHOOSE(CONTROL!$C$38, 0.0354, 0)</f>
        <v>56.907500000000006</v>
      </c>
      <c r="I787" s="14">
        <f>56.8736 * CHOOSE(CONTROL!$C$15, $E$9, 100%, $G$9) + CHOOSE(CONTROL!$C$38, 0.0354, 0)</f>
        <v>56.909000000000006</v>
      </c>
      <c r="J787" s="43">
        <f>535.4777</f>
        <v>535.47770000000003</v>
      </c>
    </row>
    <row r="788" spans="1:10" ht="15.75" x14ac:dyDescent="0.25">
      <c r="A788" s="31">
        <v>64923</v>
      </c>
      <c r="B788" s="14">
        <f>58.1471 * CHOOSE(CONTROL!$C$15, $E$9, 100%, $G$9) + CHOOSE(CONTROL!$C$38, 0.0264, 0)</f>
        <v>58.173500000000004</v>
      </c>
      <c r="C788" s="14">
        <f>54.9986 * CHOOSE(CONTROL!$C$15, $E$9, 100%, $G$9) + CHOOSE(CONTROL!$C$38, 0.0354, 0)</f>
        <v>55.034000000000006</v>
      </c>
      <c r="D788" s="14">
        <f>54.9908 * CHOOSE(CONTROL!$C$15, $E$9, 100%, $G$9) + CHOOSE(CONTROL!$C$38, 0.0354, 0)</f>
        <v>55.026200000000003</v>
      </c>
      <c r="E788" s="45">
        <f>57.9909 * CHOOSE(CONTROL!$C$15, $E$9, 100%, $G$9) + CHOOSE(CONTROL!$C$38, 0.0354, 0)</f>
        <v>58.026300000000006</v>
      </c>
      <c r="F788" s="44">
        <f>57.9909 * CHOOSE(CONTROL!$C$15, $E$9, 100%, $G$9) + CHOOSE(CONTROL!$C$38, 0.0264, 0)</f>
        <v>58.017300000000006</v>
      </c>
      <c r="G788" s="14">
        <f>54.997 * CHOOSE(CONTROL!$C$15, $E$9, 100%, $G$9) + CHOOSE(CONTROL!$C$38, 0.0354, 0)</f>
        <v>55.032400000000003</v>
      </c>
      <c r="H788" s="14">
        <f>54.997 * CHOOSE(CONTROL!$C$15, $E$9, 100%, $G$9) + CHOOSE(CONTROL!$C$38, 0.0354, 0)</f>
        <v>55.032400000000003</v>
      </c>
      <c r="I788" s="14">
        <f>54.9986 * CHOOSE(CONTROL!$C$15, $E$9, 100%, $G$9) + CHOOSE(CONTROL!$C$38, 0.0354, 0)</f>
        <v>55.034000000000006</v>
      </c>
      <c r="J788" s="43">
        <f>517.6794</f>
        <v>517.67939999999999</v>
      </c>
    </row>
    <row r="789" spans="1:10" ht="15.75" x14ac:dyDescent="0.25">
      <c r="A789" s="31">
        <v>64954</v>
      </c>
      <c r="B789" s="14">
        <f>56.1577 * CHOOSE(CONTROL!$C$15, $E$9, 100%, $G$9) + CHOOSE(CONTROL!$C$38, 0.0251, 0)</f>
        <v>56.1828</v>
      </c>
      <c r="C789" s="14">
        <f>53.1126 * CHOOSE(CONTROL!$C$15, $E$9, 100%, $G$9) + CHOOSE(CONTROL!$C$38, 0.0342, 0)</f>
        <v>53.146799999999999</v>
      </c>
      <c r="D789" s="14">
        <f>53.1048 * CHOOSE(CONTROL!$C$15, $E$9, 100%, $G$9) + CHOOSE(CONTROL!$C$38, 0.0342, 0)</f>
        <v>53.138999999999996</v>
      </c>
      <c r="E789" s="45">
        <f>56.0014 * CHOOSE(CONTROL!$C$15, $E$9, 100%, $G$9) + CHOOSE(CONTROL!$C$38, 0.0342, 0)</f>
        <v>56.035599999999995</v>
      </c>
      <c r="F789" s="44">
        <f>56.0014 * CHOOSE(CONTROL!$C$15, $E$9, 100%, $G$9) + CHOOSE(CONTROL!$C$38, 0.0251, 0)</f>
        <v>56.026499999999999</v>
      </c>
      <c r="G789" s="14">
        <f>53.111 * CHOOSE(CONTROL!$C$15, $E$9, 100%, $G$9) + CHOOSE(CONTROL!$C$38, 0.0342, 0)</f>
        <v>53.145199999999996</v>
      </c>
      <c r="H789" s="14">
        <f>53.111 * CHOOSE(CONTROL!$C$15, $E$9, 100%, $G$9) + CHOOSE(CONTROL!$C$38, 0.0342, 0)</f>
        <v>53.145199999999996</v>
      </c>
      <c r="I789" s="14">
        <f>53.1126 * CHOOSE(CONTROL!$C$15, $E$9, 100%, $G$9) + CHOOSE(CONTROL!$C$38, 0.0342, 0)</f>
        <v>53.146799999999999</v>
      </c>
      <c r="J789" s="43">
        <f>499.7775</f>
        <v>499.77749999999997</v>
      </c>
    </row>
    <row r="790" spans="1:10" ht="15.75" x14ac:dyDescent="0.25">
      <c r="A790" s="31">
        <v>64984</v>
      </c>
      <c r="B790" s="14">
        <f>55.7619 * CHOOSE(CONTROL!$C$15, $E$9, 100%, $G$9) + CHOOSE(CONTROL!$C$38, 0.0251, 0)</f>
        <v>55.786999999999999</v>
      </c>
      <c r="C790" s="14">
        <f>52.7374 * CHOOSE(CONTROL!$C$15, $E$9, 100%, $G$9) + CHOOSE(CONTROL!$C$38, 0.0342, 0)</f>
        <v>52.771599999999999</v>
      </c>
      <c r="D790" s="14">
        <f>52.7296 * CHOOSE(CONTROL!$C$15, $E$9, 100%, $G$9) + CHOOSE(CONTROL!$C$38, 0.0342, 0)</f>
        <v>52.763799999999996</v>
      </c>
      <c r="E790" s="45">
        <f>55.6057 * CHOOSE(CONTROL!$C$15, $E$9, 100%, $G$9) + CHOOSE(CONTROL!$C$38, 0.0342, 0)</f>
        <v>55.639899999999997</v>
      </c>
      <c r="F790" s="44">
        <f>55.6057 * CHOOSE(CONTROL!$C$15, $E$9, 100%, $G$9) + CHOOSE(CONTROL!$C$38, 0.0251, 0)</f>
        <v>55.630800000000001</v>
      </c>
      <c r="G790" s="14">
        <f>52.7359 * CHOOSE(CONTROL!$C$15, $E$9, 100%, $G$9) + CHOOSE(CONTROL!$C$38, 0.0342, 0)</f>
        <v>52.770099999999999</v>
      </c>
      <c r="H790" s="14">
        <f>52.7359 * CHOOSE(CONTROL!$C$15, $E$9, 100%, $G$9) + CHOOSE(CONTROL!$C$38, 0.0342, 0)</f>
        <v>52.770099999999999</v>
      </c>
      <c r="I790" s="14">
        <f>52.7374 * CHOOSE(CONTROL!$C$15, $E$9, 100%, $G$9) + CHOOSE(CONTROL!$C$38, 0.0342, 0)</f>
        <v>52.771599999999999</v>
      </c>
      <c r="J790" s="43">
        <f>496.2164</f>
        <v>496.21640000000002</v>
      </c>
    </row>
    <row r="791" spans="1:10" ht="15.75" x14ac:dyDescent="0.25">
      <c r="A791" s="31">
        <v>65015</v>
      </c>
      <c r="B791" s="14">
        <f>54.1255 * CHOOSE(CONTROL!$C$15, $E$9, 100%, $G$9) + CHOOSE(CONTROL!$C$38, 0.0251, 0)</f>
        <v>54.150600000000004</v>
      </c>
      <c r="C791" s="14">
        <f>51.1861 * CHOOSE(CONTROL!$C$15, $E$9, 100%, $G$9) + CHOOSE(CONTROL!$C$38, 0.0342, 0)</f>
        <v>51.220300000000002</v>
      </c>
      <c r="D791" s="14">
        <f>51.1783 * CHOOSE(CONTROL!$C$15, $E$9, 100%, $G$9) + CHOOSE(CONTROL!$C$38, 0.0342, 0)</f>
        <v>51.212499999999999</v>
      </c>
      <c r="E791" s="45">
        <f>53.9693 * CHOOSE(CONTROL!$C$15, $E$9, 100%, $G$9) + CHOOSE(CONTROL!$C$38, 0.0342, 0)</f>
        <v>54.003499999999995</v>
      </c>
      <c r="F791" s="44">
        <f>53.9693 * CHOOSE(CONTROL!$C$15, $E$9, 100%, $G$9) + CHOOSE(CONTROL!$C$38, 0.0251, 0)</f>
        <v>53.994399999999999</v>
      </c>
      <c r="G791" s="14">
        <f>51.1846 * CHOOSE(CONTROL!$C$15, $E$9, 100%, $G$9) + CHOOSE(CONTROL!$C$38, 0.0342, 0)</f>
        <v>51.218800000000002</v>
      </c>
      <c r="H791" s="14">
        <f>51.1846 * CHOOSE(CONTROL!$C$15, $E$9, 100%, $G$9) + CHOOSE(CONTROL!$C$38, 0.0342, 0)</f>
        <v>51.218800000000002</v>
      </c>
      <c r="I791" s="14">
        <f>51.1861 * CHOOSE(CONTROL!$C$15, $E$9, 100%, $G$9) + CHOOSE(CONTROL!$C$38, 0.0342, 0)</f>
        <v>51.220300000000002</v>
      </c>
      <c r="J791" s="43">
        <f>481.4912</f>
        <v>481.49119999999999</v>
      </c>
    </row>
    <row r="792" spans="1:10" ht="15.75" x14ac:dyDescent="0.25">
      <c r="A792" s="31">
        <v>65046</v>
      </c>
      <c r="B792" s="14">
        <f>53.7191 * CHOOSE(CONTROL!$C$15, $E$9, 100%, $G$9) + CHOOSE(CONTROL!$C$38, 0.0251, 0)</f>
        <v>53.744199999999999</v>
      </c>
      <c r="C792" s="14">
        <f>50.8009 * CHOOSE(CONTROL!$C$15, $E$9, 100%, $G$9) + CHOOSE(CONTROL!$C$38, 0.0342, 0)</f>
        <v>50.835099999999997</v>
      </c>
      <c r="D792" s="14">
        <f>50.7931 * CHOOSE(CONTROL!$C$15, $E$9, 100%, $G$9) + CHOOSE(CONTROL!$C$38, 0.0342, 0)</f>
        <v>50.827300000000001</v>
      </c>
      <c r="E792" s="45">
        <f>53.5629 * CHOOSE(CONTROL!$C$15, $E$9, 100%, $G$9) + CHOOSE(CONTROL!$C$38, 0.0342, 0)</f>
        <v>53.597099999999998</v>
      </c>
      <c r="F792" s="44">
        <f>53.5629 * CHOOSE(CONTROL!$C$15, $E$9, 100%, $G$9) + CHOOSE(CONTROL!$C$38, 0.0251, 0)</f>
        <v>53.588000000000001</v>
      </c>
      <c r="G792" s="14">
        <f>50.7993 * CHOOSE(CONTROL!$C$15, $E$9, 100%, $G$9) + CHOOSE(CONTROL!$C$38, 0.0342, 0)</f>
        <v>50.833500000000001</v>
      </c>
      <c r="H792" s="14">
        <f>50.7993 * CHOOSE(CONTROL!$C$15, $E$9, 100%, $G$9) + CHOOSE(CONTROL!$C$38, 0.0342, 0)</f>
        <v>50.833500000000001</v>
      </c>
      <c r="I792" s="14">
        <f>50.8009 * CHOOSE(CONTROL!$C$15, $E$9, 100%, $G$9) + CHOOSE(CONTROL!$C$38, 0.0342, 0)</f>
        <v>50.835099999999997</v>
      </c>
      <c r="J792" s="43">
        <f>481.1435</f>
        <v>481.14350000000002</v>
      </c>
    </row>
    <row r="793" spans="1:10" ht="15.75" x14ac:dyDescent="0.25">
      <c r="A793" s="31">
        <v>65074</v>
      </c>
      <c r="B793" s="14">
        <f>53.5715 * CHOOSE(CONTROL!$C$15, $E$9, 100%, $G$9) + CHOOSE(CONTROL!$C$38, 0.0251, 0)</f>
        <v>53.596600000000002</v>
      </c>
      <c r="C793" s="14">
        <f>50.661 * CHOOSE(CONTROL!$C$15, $E$9, 100%, $G$9) + CHOOSE(CONTROL!$C$38, 0.0342, 0)</f>
        <v>50.6952</v>
      </c>
      <c r="D793" s="14">
        <f>50.6531 * CHOOSE(CONTROL!$C$15, $E$9, 100%, $G$9) + CHOOSE(CONTROL!$C$38, 0.0342, 0)</f>
        <v>50.6873</v>
      </c>
      <c r="E793" s="45">
        <f>53.4153 * CHOOSE(CONTROL!$C$15, $E$9, 100%, $G$9) + CHOOSE(CONTROL!$C$38, 0.0342, 0)</f>
        <v>53.4495</v>
      </c>
      <c r="F793" s="44">
        <f>53.4153 * CHOOSE(CONTROL!$C$15, $E$9, 100%, $G$9) + CHOOSE(CONTROL!$C$38, 0.0251, 0)</f>
        <v>53.440400000000004</v>
      </c>
      <c r="G793" s="14">
        <f>50.6594 * CHOOSE(CONTROL!$C$15, $E$9, 100%, $G$9) + CHOOSE(CONTROL!$C$38, 0.0342, 0)</f>
        <v>50.693599999999996</v>
      </c>
      <c r="H793" s="14">
        <f>50.6594 * CHOOSE(CONTROL!$C$15, $E$9, 100%, $G$9) + CHOOSE(CONTROL!$C$38, 0.0342, 0)</f>
        <v>50.693599999999996</v>
      </c>
      <c r="I793" s="14">
        <f>50.661 * CHOOSE(CONTROL!$C$15, $E$9, 100%, $G$9) + CHOOSE(CONTROL!$C$38, 0.0342, 0)</f>
        <v>50.6952</v>
      </c>
      <c r="J793" s="43">
        <f>479.8061</f>
        <v>479.80610000000001</v>
      </c>
    </row>
    <row r="794" spans="1:10" ht="15.75" x14ac:dyDescent="0.25">
      <c r="A794" s="31">
        <v>65105</v>
      </c>
      <c r="B794" s="14">
        <f>56.3625 * CHOOSE(CONTROL!$C$15, $E$9, 100%, $G$9) + CHOOSE(CONTROL!$C$38, 0.0251, 0)</f>
        <v>56.387599999999999</v>
      </c>
      <c r="C794" s="14">
        <f>53.3068 * CHOOSE(CONTROL!$C$15, $E$9, 100%, $G$9) + CHOOSE(CONTROL!$C$38, 0.0342, 0)</f>
        <v>53.341000000000001</v>
      </c>
      <c r="D794" s="14">
        <f>53.299 * CHOOSE(CONTROL!$C$15, $E$9, 100%, $G$9) + CHOOSE(CONTROL!$C$38, 0.0342, 0)</f>
        <v>53.333199999999998</v>
      </c>
      <c r="E794" s="45">
        <f>56.2063 * CHOOSE(CONTROL!$C$15, $E$9, 100%, $G$9) + CHOOSE(CONTROL!$C$38, 0.0342, 0)</f>
        <v>56.240499999999997</v>
      </c>
      <c r="F794" s="44">
        <f>56.2063 * CHOOSE(CONTROL!$C$15, $E$9, 100%, $G$9) + CHOOSE(CONTROL!$C$38, 0.0251, 0)</f>
        <v>56.231400000000001</v>
      </c>
      <c r="G794" s="14">
        <f>53.3052 * CHOOSE(CONTROL!$C$15, $E$9, 100%, $G$9) + CHOOSE(CONTROL!$C$38, 0.0342, 0)</f>
        <v>53.339399999999998</v>
      </c>
      <c r="H794" s="14">
        <f>53.3052 * CHOOSE(CONTROL!$C$15, $E$9, 100%, $G$9) + CHOOSE(CONTROL!$C$38, 0.0342, 0)</f>
        <v>53.339399999999998</v>
      </c>
      <c r="I794" s="14">
        <f>53.3068 * CHOOSE(CONTROL!$C$15, $E$9, 100%, $G$9) + CHOOSE(CONTROL!$C$38, 0.0342, 0)</f>
        <v>53.341000000000001</v>
      </c>
      <c r="J794" s="43">
        <f>505.0947</f>
        <v>505.09469999999999</v>
      </c>
    </row>
    <row r="795" spans="1:10" ht="15.75" x14ac:dyDescent="0.25">
      <c r="A795" s="31">
        <v>65135</v>
      </c>
      <c r="B795" s="14">
        <f>59.9818 * CHOOSE(CONTROL!$C$15, $E$9, 100%, $G$9) + CHOOSE(CONTROL!$C$38, 0.0251, 0)</f>
        <v>60.006900000000002</v>
      </c>
      <c r="C795" s="14">
        <f>56.7378 * CHOOSE(CONTROL!$C$15, $E$9, 100%, $G$9) + CHOOSE(CONTROL!$C$38, 0.0342, 0)</f>
        <v>56.771999999999998</v>
      </c>
      <c r="D795" s="14">
        <f>56.73 * CHOOSE(CONTROL!$C$15, $E$9, 100%, $G$9) + CHOOSE(CONTROL!$C$38, 0.0342, 0)</f>
        <v>56.764199999999995</v>
      </c>
      <c r="E795" s="45">
        <f>59.8255 * CHOOSE(CONTROL!$C$15, $E$9, 100%, $G$9) + CHOOSE(CONTROL!$C$38, 0.0342, 0)</f>
        <v>59.859699999999997</v>
      </c>
      <c r="F795" s="44">
        <f>59.8255 * CHOOSE(CONTROL!$C$15, $E$9, 100%, $G$9) + CHOOSE(CONTROL!$C$38, 0.0251, 0)</f>
        <v>59.8506</v>
      </c>
      <c r="G795" s="14">
        <f>56.7362 * CHOOSE(CONTROL!$C$15, $E$9, 100%, $G$9) + CHOOSE(CONTROL!$C$38, 0.0342, 0)</f>
        <v>56.770399999999995</v>
      </c>
      <c r="H795" s="14">
        <f>56.7362 * CHOOSE(CONTROL!$C$15, $E$9, 100%, $G$9) + CHOOSE(CONTROL!$C$38, 0.0342, 0)</f>
        <v>56.770399999999995</v>
      </c>
      <c r="I795" s="14">
        <f>56.7378 * CHOOSE(CONTROL!$C$15, $E$9, 100%, $G$9) + CHOOSE(CONTROL!$C$38, 0.0342, 0)</f>
        <v>56.771999999999998</v>
      </c>
      <c r="J795" s="43">
        <f>537.8879</f>
        <v>537.88789999999995</v>
      </c>
    </row>
    <row r="796" spans="1:10" ht="15.75" x14ac:dyDescent="0.25">
      <c r="A796" s="31">
        <v>65166</v>
      </c>
      <c r="B796" s="14">
        <f>61.9739 * CHOOSE(CONTROL!$C$15, $E$9, 100%, $G$9) + CHOOSE(CONTROL!$C$38, 0.0264, 0)</f>
        <v>62.000300000000003</v>
      </c>
      <c r="C796" s="14">
        <f>58.6263 * CHOOSE(CONTROL!$C$15, $E$9, 100%, $G$9) + CHOOSE(CONTROL!$C$38, 0.0354, 0)</f>
        <v>58.661700000000003</v>
      </c>
      <c r="D796" s="14">
        <f>58.6185 * CHOOSE(CONTROL!$C$15, $E$9, 100%, $G$9) + CHOOSE(CONTROL!$C$38, 0.0354, 0)</f>
        <v>58.6539</v>
      </c>
      <c r="E796" s="45">
        <f>61.8177 * CHOOSE(CONTROL!$C$15, $E$9, 100%, $G$9) + CHOOSE(CONTROL!$C$38, 0.0354, 0)</f>
        <v>61.853100000000005</v>
      </c>
      <c r="F796" s="44">
        <f>61.8177 * CHOOSE(CONTROL!$C$15, $E$9, 100%, $G$9) + CHOOSE(CONTROL!$C$38, 0.0264, 0)</f>
        <v>61.844100000000005</v>
      </c>
      <c r="G796" s="14">
        <f>58.6248 * CHOOSE(CONTROL!$C$15, $E$9, 100%, $G$9) + CHOOSE(CONTROL!$C$38, 0.0354, 0)</f>
        <v>58.660200000000003</v>
      </c>
      <c r="H796" s="14">
        <f>58.6248 * CHOOSE(CONTROL!$C$15, $E$9, 100%, $G$9) + CHOOSE(CONTROL!$C$38, 0.0354, 0)</f>
        <v>58.660200000000003</v>
      </c>
      <c r="I796" s="14">
        <f>58.6263 * CHOOSE(CONTROL!$C$15, $E$9, 100%, $G$9) + CHOOSE(CONTROL!$C$38, 0.0354, 0)</f>
        <v>58.661700000000003</v>
      </c>
      <c r="J796" s="43">
        <f>555.9384</f>
        <v>555.9384</v>
      </c>
    </row>
    <row r="797" spans="1:10" ht="15.75" x14ac:dyDescent="0.25">
      <c r="A797" s="31">
        <v>65196</v>
      </c>
      <c r="B797" s="14">
        <f>62.858 * CHOOSE(CONTROL!$C$15, $E$9, 100%, $G$9) + CHOOSE(CONTROL!$C$38, 0.0264, 0)</f>
        <v>62.884399999999999</v>
      </c>
      <c r="C797" s="14">
        <f>59.4644 * CHOOSE(CONTROL!$C$15, $E$9, 100%, $G$9) + CHOOSE(CONTROL!$C$38, 0.0354, 0)</f>
        <v>59.4998</v>
      </c>
      <c r="D797" s="14">
        <f>59.4566 * CHOOSE(CONTROL!$C$15, $E$9, 100%, $G$9) + CHOOSE(CONTROL!$C$38, 0.0354, 0)</f>
        <v>59.492000000000004</v>
      </c>
      <c r="E797" s="45">
        <f>62.7018 * CHOOSE(CONTROL!$C$15, $E$9, 100%, $G$9) + CHOOSE(CONTROL!$C$38, 0.0354, 0)</f>
        <v>62.737200000000001</v>
      </c>
      <c r="F797" s="44">
        <f>62.7018 * CHOOSE(CONTROL!$C$15, $E$9, 100%, $G$9) + CHOOSE(CONTROL!$C$38, 0.0264, 0)</f>
        <v>62.728200000000001</v>
      </c>
      <c r="G797" s="14">
        <f>59.4629 * CHOOSE(CONTROL!$C$15, $E$9, 100%, $G$9) + CHOOSE(CONTROL!$C$38, 0.0354, 0)</f>
        <v>59.4983</v>
      </c>
      <c r="H797" s="14">
        <f>59.4629 * CHOOSE(CONTROL!$C$15, $E$9, 100%, $G$9) + CHOOSE(CONTROL!$C$38, 0.0354, 0)</f>
        <v>59.4983</v>
      </c>
      <c r="I797" s="14">
        <f>59.4644 * CHOOSE(CONTROL!$C$15, $E$9, 100%, $G$9) + CHOOSE(CONTROL!$C$38, 0.0354, 0)</f>
        <v>59.4998</v>
      </c>
      <c r="J797" s="43">
        <f>563.9488</f>
        <v>563.94880000000001</v>
      </c>
    </row>
    <row r="798" spans="1:10" ht="15.75" x14ac:dyDescent="0.25">
      <c r="A798" s="31">
        <v>65227</v>
      </c>
      <c r="B798" s="14">
        <f>62.5669 * CHOOSE(CONTROL!$C$15, $E$9, 100%, $G$9) + CHOOSE(CONTROL!$C$38, 0.0264, 0)</f>
        <v>62.593299999999999</v>
      </c>
      <c r="C798" s="14">
        <f>59.1885 * CHOOSE(CONTROL!$C$15, $E$9, 100%, $G$9) + CHOOSE(CONTROL!$C$38, 0.0354, 0)</f>
        <v>59.2239</v>
      </c>
      <c r="D798" s="14">
        <f>59.1807 * CHOOSE(CONTROL!$C$15, $E$9, 100%, $G$9) + CHOOSE(CONTROL!$C$38, 0.0354, 0)</f>
        <v>59.216100000000004</v>
      </c>
      <c r="E798" s="45">
        <f>62.4107 * CHOOSE(CONTROL!$C$15, $E$9, 100%, $G$9) + CHOOSE(CONTROL!$C$38, 0.0354, 0)</f>
        <v>62.446100000000001</v>
      </c>
      <c r="F798" s="44">
        <f>62.4107 * CHOOSE(CONTROL!$C$15, $E$9, 100%, $G$9) + CHOOSE(CONTROL!$C$38, 0.0264, 0)</f>
        <v>62.437100000000001</v>
      </c>
      <c r="G798" s="14">
        <f>59.1869 * CHOOSE(CONTROL!$C$15, $E$9, 100%, $G$9) + CHOOSE(CONTROL!$C$38, 0.0354, 0)</f>
        <v>59.222300000000004</v>
      </c>
      <c r="H798" s="14">
        <f>59.1869 * CHOOSE(CONTROL!$C$15, $E$9, 100%, $G$9) + CHOOSE(CONTROL!$C$38, 0.0354, 0)</f>
        <v>59.222300000000004</v>
      </c>
      <c r="I798" s="14">
        <f>59.1885 * CHOOSE(CONTROL!$C$15, $E$9, 100%, $G$9) + CHOOSE(CONTROL!$C$38, 0.0354, 0)</f>
        <v>59.2239</v>
      </c>
      <c r="J798" s="43">
        <f>561.3114</f>
        <v>561.31140000000005</v>
      </c>
    </row>
    <row r="799" spans="1:10" ht="15.75" x14ac:dyDescent="0.25">
      <c r="A799" s="31">
        <v>65258</v>
      </c>
      <c r="B799" s="14">
        <f>61.1248 * CHOOSE(CONTROL!$C$15, $E$9, 100%, $G$9) + CHOOSE(CONTROL!$C$38, 0.0264, 0)</f>
        <v>61.151200000000003</v>
      </c>
      <c r="C799" s="14">
        <f>57.8213 * CHOOSE(CONTROL!$C$15, $E$9, 100%, $G$9) + CHOOSE(CONTROL!$C$38, 0.0354, 0)</f>
        <v>57.856700000000004</v>
      </c>
      <c r="D799" s="14">
        <f>57.8135 * CHOOSE(CONTROL!$C$15, $E$9, 100%, $G$9) + CHOOSE(CONTROL!$C$38, 0.0354, 0)</f>
        <v>57.8489</v>
      </c>
      <c r="E799" s="45">
        <f>60.9685 * CHOOSE(CONTROL!$C$15, $E$9, 100%, $G$9) + CHOOSE(CONTROL!$C$38, 0.0354, 0)</f>
        <v>61.003900000000002</v>
      </c>
      <c r="F799" s="44">
        <f>60.9685 * CHOOSE(CONTROL!$C$15, $E$9, 100%, $G$9) + CHOOSE(CONTROL!$C$38, 0.0264, 0)</f>
        <v>60.994900000000001</v>
      </c>
      <c r="G799" s="14">
        <f>57.8198 * CHOOSE(CONTROL!$C$15, $E$9, 100%, $G$9) + CHOOSE(CONTROL!$C$38, 0.0354, 0)</f>
        <v>57.855200000000004</v>
      </c>
      <c r="H799" s="14">
        <f>57.8198 * CHOOSE(CONTROL!$C$15, $E$9, 100%, $G$9) + CHOOSE(CONTROL!$C$38, 0.0354, 0)</f>
        <v>57.855200000000004</v>
      </c>
      <c r="I799" s="14">
        <f>57.8213 * CHOOSE(CONTROL!$C$15, $E$9, 100%, $G$9) + CHOOSE(CONTROL!$C$38, 0.0354, 0)</f>
        <v>57.856700000000004</v>
      </c>
      <c r="J799" s="43">
        <f>548.2443</f>
        <v>548.24429999999995</v>
      </c>
    </row>
    <row r="800" spans="1:10" ht="15.75" x14ac:dyDescent="0.25">
      <c r="A800" s="31">
        <v>65288</v>
      </c>
      <c r="B800" s="14">
        <f>59.1136 * CHOOSE(CONTROL!$C$15, $E$9, 100%, $G$9) + CHOOSE(CONTROL!$C$38, 0.0264, 0)</f>
        <v>59.14</v>
      </c>
      <c r="C800" s="14">
        <f>55.9148 * CHOOSE(CONTROL!$C$15, $E$9, 100%, $G$9) + CHOOSE(CONTROL!$C$38, 0.0354, 0)</f>
        <v>55.950200000000002</v>
      </c>
      <c r="D800" s="14">
        <f>55.907 * CHOOSE(CONTROL!$C$15, $E$9, 100%, $G$9) + CHOOSE(CONTROL!$C$38, 0.0354, 0)</f>
        <v>55.942399999999999</v>
      </c>
      <c r="E800" s="45">
        <f>58.9574 * CHOOSE(CONTROL!$C$15, $E$9, 100%, $G$9) + CHOOSE(CONTROL!$C$38, 0.0354, 0)</f>
        <v>58.992800000000003</v>
      </c>
      <c r="F800" s="44">
        <f>58.9574 * CHOOSE(CONTROL!$C$15, $E$9, 100%, $G$9) + CHOOSE(CONTROL!$C$38, 0.0264, 0)</f>
        <v>58.983800000000002</v>
      </c>
      <c r="G800" s="14">
        <f>55.9132 * CHOOSE(CONTROL!$C$15, $E$9, 100%, $G$9) + CHOOSE(CONTROL!$C$38, 0.0354, 0)</f>
        <v>55.948600000000006</v>
      </c>
      <c r="H800" s="14">
        <f>55.9132 * CHOOSE(CONTROL!$C$15, $E$9, 100%, $G$9) + CHOOSE(CONTROL!$C$38, 0.0354, 0)</f>
        <v>55.948600000000006</v>
      </c>
      <c r="I800" s="14">
        <f>55.9148 * CHOOSE(CONTROL!$C$15, $E$9, 100%, $G$9) + CHOOSE(CONTROL!$C$38, 0.0354, 0)</f>
        <v>55.950200000000002</v>
      </c>
      <c r="J800" s="43">
        <f>530.0216</f>
        <v>530.02160000000003</v>
      </c>
    </row>
    <row r="801" spans="1:10" ht="15.75" x14ac:dyDescent="0.25">
      <c r="A801" s="31">
        <v>65319</v>
      </c>
      <c r="B801" s="14">
        <f>57.0907 * CHOOSE(CONTROL!$C$15, $E$9, 100%, $G$9) + CHOOSE(CONTROL!$C$38, 0.0251, 0)</f>
        <v>57.1158</v>
      </c>
      <c r="C801" s="14">
        <f>53.9971 * CHOOSE(CONTROL!$C$15, $E$9, 100%, $G$9) + CHOOSE(CONTROL!$C$38, 0.0342, 0)</f>
        <v>54.031300000000002</v>
      </c>
      <c r="D801" s="14">
        <f>53.9893 * CHOOSE(CONTROL!$C$15, $E$9, 100%, $G$9) + CHOOSE(CONTROL!$C$38, 0.0342, 0)</f>
        <v>54.023499999999999</v>
      </c>
      <c r="E801" s="45">
        <f>56.9345 * CHOOSE(CONTROL!$C$15, $E$9, 100%, $G$9) + CHOOSE(CONTROL!$C$38, 0.0342, 0)</f>
        <v>56.968699999999998</v>
      </c>
      <c r="F801" s="44">
        <f>56.9345 * CHOOSE(CONTROL!$C$15, $E$9, 100%, $G$9) + CHOOSE(CONTROL!$C$38, 0.0251, 0)</f>
        <v>56.959600000000002</v>
      </c>
      <c r="G801" s="14">
        <f>53.9956 * CHOOSE(CONTROL!$C$15, $E$9, 100%, $G$9) + CHOOSE(CONTROL!$C$38, 0.0342, 0)</f>
        <v>54.029800000000002</v>
      </c>
      <c r="H801" s="14">
        <f>53.9956 * CHOOSE(CONTROL!$C$15, $E$9, 100%, $G$9) + CHOOSE(CONTROL!$C$38, 0.0342, 0)</f>
        <v>54.029800000000002</v>
      </c>
      <c r="I801" s="14">
        <f>53.9971 * CHOOSE(CONTROL!$C$15, $E$9, 100%, $G$9) + CHOOSE(CONTROL!$C$38, 0.0342, 0)</f>
        <v>54.031300000000002</v>
      </c>
      <c r="J801" s="43">
        <f>511.6929</f>
        <v>511.69290000000001</v>
      </c>
    </row>
    <row r="802" spans="1:10" ht="15.75" x14ac:dyDescent="0.25">
      <c r="A802" s="31">
        <v>65349</v>
      </c>
      <c r="B802" s="14">
        <f>56.6884 * CHOOSE(CONTROL!$C$15, $E$9, 100%, $G$9) + CHOOSE(CONTROL!$C$38, 0.0251, 0)</f>
        <v>56.713500000000003</v>
      </c>
      <c r="C802" s="14">
        <f>53.6157 * CHOOSE(CONTROL!$C$15, $E$9, 100%, $G$9) + CHOOSE(CONTROL!$C$38, 0.0342, 0)</f>
        <v>53.649899999999995</v>
      </c>
      <c r="D802" s="14">
        <f>53.6079 * CHOOSE(CONTROL!$C$15, $E$9, 100%, $G$9) + CHOOSE(CONTROL!$C$38, 0.0342, 0)</f>
        <v>53.642099999999999</v>
      </c>
      <c r="E802" s="45">
        <f>56.5321 * CHOOSE(CONTROL!$C$15, $E$9, 100%, $G$9) + CHOOSE(CONTROL!$C$38, 0.0342, 0)</f>
        <v>56.566299999999998</v>
      </c>
      <c r="F802" s="44">
        <f>56.5321 * CHOOSE(CONTROL!$C$15, $E$9, 100%, $G$9) + CHOOSE(CONTROL!$C$38, 0.0251, 0)</f>
        <v>56.557200000000002</v>
      </c>
      <c r="G802" s="14">
        <f>53.6141 * CHOOSE(CONTROL!$C$15, $E$9, 100%, $G$9) + CHOOSE(CONTROL!$C$38, 0.0342, 0)</f>
        <v>53.648299999999999</v>
      </c>
      <c r="H802" s="14">
        <f>53.6141 * CHOOSE(CONTROL!$C$15, $E$9, 100%, $G$9) + CHOOSE(CONTROL!$C$38, 0.0342, 0)</f>
        <v>53.648299999999999</v>
      </c>
      <c r="I802" s="14">
        <f>53.6157 * CHOOSE(CONTROL!$C$15, $E$9, 100%, $G$9) + CHOOSE(CONTROL!$C$38, 0.0342, 0)</f>
        <v>53.649899999999995</v>
      </c>
      <c r="J802" s="43">
        <f>508.047</f>
        <v>508.04700000000003</v>
      </c>
    </row>
    <row r="803" spans="1:10" ht="15.75" x14ac:dyDescent="0.25">
      <c r="A803" s="31">
        <v>65380</v>
      </c>
      <c r="B803" s="14">
        <f>55.0244 * CHOOSE(CONTROL!$C$15, $E$9, 100%, $G$9) + CHOOSE(CONTROL!$C$38, 0.0251, 0)</f>
        <v>55.049500000000002</v>
      </c>
      <c r="C803" s="14">
        <f>52.0383 * CHOOSE(CONTROL!$C$15, $E$9, 100%, $G$9) + CHOOSE(CONTROL!$C$38, 0.0342, 0)</f>
        <v>52.072499999999998</v>
      </c>
      <c r="D803" s="14">
        <f>52.0305 * CHOOSE(CONTROL!$C$15, $E$9, 100%, $G$9) + CHOOSE(CONTROL!$C$38, 0.0342, 0)</f>
        <v>52.064700000000002</v>
      </c>
      <c r="E803" s="45">
        <f>54.8682 * CHOOSE(CONTROL!$C$15, $E$9, 100%, $G$9) + CHOOSE(CONTROL!$C$38, 0.0342, 0)</f>
        <v>54.9024</v>
      </c>
      <c r="F803" s="44">
        <f>54.8682 * CHOOSE(CONTROL!$C$15, $E$9, 100%, $G$9) + CHOOSE(CONTROL!$C$38, 0.0251, 0)</f>
        <v>54.893300000000004</v>
      </c>
      <c r="G803" s="14">
        <f>52.0367 * CHOOSE(CONTROL!$C$15, $E$9, 100%, $G$9) + CHOOSE(CONTROL!$C$38, 0.0342, 0)</f>
        <v>52.070900000000002</v>
      </c>
      <c r="H803" s="14">
        <f>52.0367 * CHOOSE(CONTROL!$C$15, $E$9, 100%, $G$9) + CHOOSE(CONTROL!$C$38, 0.0342, 0)</f>
        <v>52.070900000000002</v>
      </c>
      <c r="I803" s="14">
        <f>52.0383 * CHOOSE(CONTROL!$C$15, $E$9, 100%, $G$9) + CHOOSE(CONTROL!$C$38, 0.0342, 0)</f>
        <v>52.072499999999998</v>
      </c>
      <c r="J803" s="43">
        <f>492.9706</f>
        <v>492.97059999999999</v>
      </c>
    </row>
    <row r="804" spans="1:10" ht="15.75" x14ac:dyDescent="0.25">
      <c r="A804" s="31">
        <v>65411</v>
      </c>
      <c r="B804" s="14">
        <f>54.6112 * CHOOSE(CONTROL!$C$15, $E$9, 100%, $G$9) + CHOOSE(CONTROL!$C$38, 0.0251, 0)</f>
        <v>54.636299999999999</v>
      </c>
      <c r="C804" s="14">
        <f>51.6466 * CHOOSE(CONTROL!$C$15, $E$9, 100%, $G$9) + CHOOSE(CONTROL!$C$38, 0.0342, 0)</f>
        <v>51.680799999999998</v>
      </c>
      <c r="D804" s="14">
        <f>51.6388 * CHOOSE(CONTROL!$C$15, $E$9, 100%, $G$9) + CHOOSE(CONTROL!$C$38, 0.0342, 0)</f>
        <v>51.673000000000002</v>
      </c>
      <c r="E804" s="45">
        <f>54.455 * CHOOSE(CONTROL!$C$15, $E$9, 100%, $G$9) + CHOOSE(CONTROL!$C$38, 0.0342, 0)</f>
        <v>54.489199999999997</v>
      </c>
      <c r="F804" s="44">
        <f>54.455 * CHOOSE(CONTROL!$C$15, $E$9, 100%, $G$9) + CHOOSE(CONTROL!$C$38, 0.0251, 0)</f>
        <v>54.4801</v>
      </c>
      <c r="G804" s="14">
        <f>51.645 * CHOOSE(CONTROL!$C$15, $E$9, 100%, $G$9) + CHOOSE(CONTROL!$C$38, 0.0342, 0)</f>
        <v>51.679200000000002</v>
      </c>
      <c r="H804" s="14">
        <f>51.645 * CHOOSE(CONTROL!$C$15, $E$9, 100%, $G$9) + CHOOSE(CONTROL!$C$38, 0.0342, 0)</f>
        <v>51.679200000000002</v>
      </c>
      <c r="I804" s="14">
        <f>51.6466 * CHOOSE(CONTROL!$C$15, $E$9, 100%, $G$9) + CHOOSE(CONTROL!$C$38, 0.0342, 0)</f>
        <v>51.680799999999998</v>
      </c>
      <c r="J804" s="43">
        <f>492.6147</f>
        <v>492.61470000000003</v>
      </c>
    </row>
    <row r="805" spans="1:10" ht="15.75" x14ac:dyDescent="0.25">
      <c r="A805" s="31">
        <v>65439</v>
      </c>
      <c r="B805" s="14">
        <f>54.4611 * CHOOSE(CONTROL!$C$15, $E$9, 100%, $G$9) + CHOOSE(CONTROL!$C$38, 0.0251, 0)</f>
        <v>54.486200000000004</v>
      </c>
      <c r="C805" s="14">
        <f>51.5043 * CHOOSE(CONTROL!$C$15, $E$9, 100%, $G$9) + CHOOSE(CONTROL!$C$38, 0.0342, 0)</f>
        <v>51.538499999999999</v>
      </c>
      <c r="D805" s="14">
        <f>51.4965 * CHOOSE(CONTROL!$C$15, $E$9, 100%, $G$9) + CHOOSE(CONTROL!$C$38, 0.0342, 0)</f>
        <v>51.530699999999996</v>
      </c>
      <c r="E805" s="45">
        <f>54.3049 * CHOOSE(CONTROL!$C$15, $E$9, 100%, $G$9) + CHOOSE(CONTROL!$C$38, 0.0342, 0)</f>
        <v>54.339100000000002</v>
      </c>
      <c r="F805" s="44">
        <f>54.3049 * CHOOSE(CONTROL!$C$15, $E$9, 100%, $G$9) + CHOOSE(CONTROL!$C$38, 0.0251, 0)</f>
        <v>54.330000000000005</v>
      </c>
      <c r="G805" s="14">
        <f>51.5027 * CHOOSE(CONTROL!$C$15, $E$9, 100%, $G$9) + CHOOSE(CONTROL!$C$38, 0.0342, 0)</f>
        <v>51.536899999999996</v>
      </c>
      <c r="H805" s="14">
        <f>51.5027 * CHOOSE(CONTROL!$C$15, $E$9, 100%, $G$9) + CHOOSE(CONTROL!$C$38, 0.0342, 0)</f>
        <v>51.536899999999996</v>
      </c>
      <c r="I805" s="14">
        <f>51.5043 * CHOOSE(CONTROL!$C$15, $E$9, 100%, $G$9) + CHOOSE(CONTROL!$C$38, 0.0342, 0)</f>
        <v>51.538499999999999</v>
      </c>
      <c r="J805" s="43">
        <f>491.2454</f>
        <v>491.24540000000002</v>
      </c>
    </row>
    <row r="806" spans="1:10" ht="15.75" x14ac:dyDescent="0.25">
      <c r="A806" s="31">
        <v>65470</v>
      </c>
      <c r="B806" s="14">
        <f>57.299 * CHOOSE(CONTROL!$C$15, $E$9, 100%, $G$9) + CHOOSE(CONTROL!$C$38, 0.0251, 0)</f>
        <v>57.324100000000001</v>
      </c>
      <c r="C806" s="14">
        <f>54.1946 * CHOOSE(CONTROL!$C$15, $E$9, 100%, $G$9) + CHOOSE(CONTROL!$C$38, 0.0342, 0)</f>
        <v>54.2288</v>
      </c>
      <c r="D806" s="14">
        <f>54.1868 * CHOOSE(CONTROL!$C$15, $E$9, 100%, $G$9) + CHOOSE(CONTROL!$C$38, 0.0342, 0)</f>
        <v>54.220999999999997</v>
      </c>
      <c r="E806" s="45">
        <f>57.1428 * CHOOSE(CONTROL!$C$15, $E$9, 100%, $G$9) + CHOOSE(CONTROL!$C$38, 0.0342, 0)</f>
        <v>57.177</v>
      </c>
      <c r="F806" s="44">
        <f>57.1428 * CHOOSE(CONTROL!$C$15, $E$9, 100%, $G$9) + CHOOSE(CONTROL!$C$38, 0.0251, 0)</f>
        <v>57.167900000000003</v>
      </c>
      <c r="G806" s="14">
        <f>54.193 * CHOOSE(CONTROL!$C$15, $E$9, 100%, $G$9) + CHOOSE(CONTROL!$C$38, 0.0342, 0)</f>
        <v>54.227199999999996</v>
      </c>
      <c r="H806" s="14">
        <f>54.193 * CHOOSE(CONTROL!$C$15, $E$9, 100%, $G$9) + CHOOSE(CONTROL!$C$38, 0.0342, 0)</f>
        <v>54.227199999999996</v>
      </c>
      <c r="I806" s="14">
        <f>54.1946 * CHOOSE(CONTROL!$C$15, $E$9, 100%, $G$9) + CHOOSE(CONTROL!$C$38, 0.0342, 0)</f>
        <v>54.2288</v>
      </c>
      <c r="J806" s="43">
        <f>517.1369</f>
        <v>517.13689999999997</v>
      </c>
    </row>
    <row r="807" spans="1:10" ht="15.75" x14ac:dyDescent="0.25">
      <c r="A807" s="31">
        <v>65500</v>
      </c>
      <c r="B807" s="14">
        <f>60.9791 * CHOOSE(CONTROL!$C$15, $E$9, 100%, $G$9) + CHOOSE(CONTROL!$C$38, 0.0251, 0)</f>
        <v>61.004200000000004</v>
      </c>
      <c r="C807" s="14">
        <f>57.6832 * CHOOSE(CONTROL!$C$15, $E$9, 100%, $G$9) + CHOOSE(CONTROL!$C$38, 0.0342, 0)</f>
        <v>57.717399999999998</v>
      </c>
      <c r="D807" s="14">
        <f>57.6754 * CHOOSE(CONTROL!$C$15, $E$9, 100%, $G$9) + CHOOSE(CONTROL!$C$38, 0.0342, 0)</f>
        <v>57.709600000000002</v>
      </c>
      <c r="E807" s="45">
        <f>60.8228 * CHOOSE(CONTROL!$C$15, $E$9, 100%, $G$9) + CHOOSE(CONTROL!$C$38, 0.0342, 0)</f>
        <v>60.856999999999999</v>
      </c>
      <c r="F807" s="44">
        <f>60.8228 * CHOOSE(CONTROL!$C$15, $E$9, 100%, $G$9) + CHOOSE(CONTROL!$C$38, 0.0251, 0)</f>
        <v>60.847900000000003</v>
      </c>
      <c r="G807" s="14">
        <f>57.6817 * CHOOSE(CONTROL!$C$15, $E$9, 100%, $G$9) + CHOOSE(CONTROL!$C$38, 0.0342, 0)</f>
        <v>57.715899999999998</v>
      </c>
      <c r="H807" s="14">
        <f>57.6817 * CHOOSE(CONTROL!$C$15, $E$9, 100%, $G$9) + CHOOSE(CONTROL!$C$38, 0.0342, 0)</f>
        <v>57.715899999999998</v>
      </c>
      <c r="I807" s="14">
        <f>57.6832 * CHOOSE(CONTROL!$C$15, $E$9, 100%, $G$9) + CHOOSE(CONTROL!$C$38, 0.0342, 0)</f>
        <v>57.717399999999998</v>
      </c>
      <c r="J807" s="43">
        <f>550.712</f>
        <v>550.71199999999999</v>
      </c>
    </row>
    <row r="808" spans="1:10" ht="15.75" x14ac:dyDescent="0.25">
      <c r="A808" s="31">
        <v>65531</v>
      </c>
      <c r="B808" s="14">
        <f>63.0047 * CHOOSE(CONTROL!$C$15, $E$9, 100%, $G$9) + CHOOSE(CONTROL!$C$38, 0.0264, 0)</f>
        <v>63.031100000000002</v>
      </c>
      <c r="C808" s="14">
        <f>59.6035 * CHOOSE(CONTROL!$C$15, $E$9, 100%, $G$9) + CHOOSE(CONTROL!$C$38, 0.0354, 0)</f>
        <v>59.6389</v>
      </c>
      <c r="D808" s="14">
        <f>59.5957 * CHOOSE(CONTROL!$C$15, $E$9, 100%, $G$9) + CHOOSE(CONTROL!$C$38, 0.0354, 0)</f>
        <v>59.631100000000004</v>
      </c>
      <c r="E808" s="45">
        <f>62.8485 * CHOOSE(CONTROL!$C$15, $E$9, 100%, $G$9) + CHOOSE(CONTROL!$C$38, 0.0354, 0)</f>
        <v>62.883900000000004</v>
      </c>
      <c r="F808" s="44">
        <f>62.8485 * CHOOSE(CONTROL!$C$15, $E$9, 100%, $G$9) + CHOOSE(CONTROL!$C$38, 0.0264, 0)</f>
        <v>62.874900000000004</v>
      </c>
      <c r="G808" s="14">
        <f>59.6019 * CHOOSE(CONTROL!$C$15, $E$9, 100%, $G$9) + CHOOSE(CONTROL!$C$38, 0.0354, 0)</f>
        <v>59.637300000000003</v>
      </c>
      <c r="H808" s="14">
        <f>59.6019 * CHOOSE(CONTROL!$C$15, $E$9, 100%, $G$9) + CHOOSE(CONTROL!$C$38, 0.0354, 0)</f>
        <v>59.637300000000003</v>
      </c>
      <c r="I808" s="14">
        <f>59.6035 * CHOOSE(CONTROL!$C$15, $E$9, 100%, $G$9) + CHOOSE(CONTROL!$C$38, 0.0354, 0)</f>
        <v>59.6389</v>
      </c>
      <c r="J808" s="43">
        <f>569.1928</f>
        <v>569.19280000000003</v>
      </c>
    </row>
    <row r="809" spans="1:10" ht="15.75" x14ac:dyDescent="0.25">
      <c r="A809" s="31">
        <v>65561</v>
      </c>
      <c r="B809" s="14">
        <f>63.9037 * CHOOSE(CONTROL!$C$15, $E$9, 100%, $G$9) + CHOOSE(CONTROL!$C$38, 0.0264, 0)</f>
        <v>63.930100000000003</v>
      </c>
      <c r="C809" s="14">
        <f>60.4557 * CHOOSE(CONTROL!$C$15, $E$9, 100%, $G$9) + CHOOSE(CONTROL!$C$38, 0.0354, 0)</f>
        <v>60.491100000000003</v>
      </c>
      <c r="D809" s="14">
        <f>60.4479 * CHOOSE(CONTROL!$C$15, $E$9, 100%, $G$9) + CHOOSE(CONTROL!$C$38, 0.0354, 0)</f>
        <v>60.4833</v>
      </c>
      <c r="E809" s="45">
        <f>63.7474 * CHOOSE(CONTROL!$C$15, $E$9, 100%, $G$9) + CHOOSE(CONTROL!$C$38, 0.0354, 0)</f>
        <v>63.782800000000002</v>
      </c>
      <c r="F809" s="44">
        <f>63.7474 * CHOOSE(CONTROL!$C$15, $E$9, 100%, $G$9) + CHOOSE(CONTROL!$C$38, 0.0264, 0)</f>
        <v>63.773800000000001</v>
      </c>
      <c r="G809" s="14">
        <f>60.4541 * CHOOSE(CONTROL!$C$15, $E$9, 100%, $G$9) + CHOOSE(CONTROL!$C$38, 0.0354, 0)</f>
        <v>60.4895</v>
      </c>
      <c r="H809" s="14">
        <f>60.4541 * CHOOSE(CONTROL!$C$15, $E$9, 100%, $G$9) + CHOOSE(CONTROL!$C$38, 0.0354, 0)</f>
        <v>60.4895</v>
      </c>
      <c r="I809" s="14">
        <f>60.4557 * CHOOSE(CONTROL!$C$15, $E$9, 100%, $G$9) + CHOOSE(CONTROL!$C$38, 0.0354, 0)</f>
        <v>60.491100000000003</v>
      </c>
      <c r="J809" s="43">
        <f>577.3942</f>
        <v>577.39419999999996</v>
      </c>
    </row>
    <row r="810" spans="1:10" ht="15.75" x14ac:dyDescent="0.25">
      <c r="A810" s="31">
        <v>65592</v>
      </c>
      <c r="B810" s="14">
        <f>63.6077 * CHOOSE(CONTROL!$C$15, $E$9, 100%, $G$9) + CHOOSE(CONTROL!$C$38, 0.0264, 0)</f>
        <v>63.634100000000004</v>
      </c>
      <c r="C810" s="14">
        <f>60.1751 * CHOOSE(CONTROL!$C$15, $E$9, 100%, $G$9) + CHOOSE(CONTROL!$C$38, 0.0354, 0)</f>
        <v>60.210500000000003</v>
      </c>
      <c r="D810" s="14">
        <f>60.1673 * CHOOSE(CONTROL!$C$15, $E$9, 100%, $G$9) + CHOOSE(CONTROL!$C$38, 0.0354, 0)</f>
        <v>60.2027</v>
      </c>
      <c r="E810" s="45">
        <f>63.4514 * CHOOSE(CONTROL!$C$15, $E$9, 100%, $G$9) + CHOOSE(CONTROL!$C$38, 0.0354, 0)</f>
        <v>63.486800000000002</v>
      </c>
      <c r="F810" s="44">
        <f>63.4514 * CHOOSE(CONTROL!$C$15, $E$9, 100%, $G$9) + CHOOSE(CONTROL!$C$38, 0.0264, 0)</f>
        <v>63.477800000000002</v>
      </c>
      <c r="G810" s="14">
        <f>60.1735 * CHOOSE(CONTROL!$C$15, $E$9, 100%, $G$9) + CHOOSE(CONTROL!$C$38, 0.0354, 0)</f>
        <v>60.2089</v>
      </c>
      <c r="H810" s="14">
        <f>60.1735 * CHOOSE(CONTROL!$C$15, $E$9, 100%, $G$9) + CHOOSE(CONTROL!$C$38, 0.0354, 0)</f>
        <v>60.2089</v>
      </c>
      <c r="I810" s="14">
        <f>60.1751 * CHOOSE(CONTROL!$C$15, $E$9, 100%, $G$9) + CHOOSE(CONTROL!$C$38, 0.0354, 0)</f>
        <v>60.210500000000003</v>
      </c>
      <c r="J810" s="43">
        <f>574.6939</f>
        <v>574.69389999999999</v>
      </c>
    </row>
    <row r="811" spans="1:10" ht="15.75" x14ac:dyDescent="0.25">
      <c r="A811" s="31">
        <v>65623</v>
      </c>
      <c r="B811" s="14">
        <f>62.1413 * CHOOSE(CONTROL!$C$15, $E$9, 100%, $G$9) + CHOOSE(CONTROL!$C$38, 0.0264, 0)</f>
        <v>62.167700000000004</v>
      </c>
      <c r="C811" s="14">
        <f>58.785 * CHOOSE(CONTROL!$C$15, $E$9, 100%, $G$9) + CHOOSE(CONTROL!$C$38, 0.0354, 0)</f>
        <v>58.820399999999999</v>
      </c>
      <c r="D811" s="14">
        <f>58.7772 * CHOOSE(CONTROL!$C$15, $E$9, 100%, $G$9) + CHOOSE(CONTROL!$C$38, 0.0354, 0)</f>
        <v>58.812600000000003</v>
      </c>
      <c r="E811" s="45">
        <f>61.985 * CHOOSE(CONTROL!$C$15, $E$9, 100%, $G$9) + CHOOSE(CONTROL!$C$38, 0.0354, 0)</f>
        <v>62.020400000000002</v>
      </c>
      <c r="F811" s="44">
        <f>61.985 * CHOOSE(CONTROL!$C$15, $E$9, 100%, $G$9) + CHOOSE(CONTROL!$C$38, 0.0264, 0)</f>
        <v>62.011400000000002</v>
      </c>
      <c r="G811" s="14">
        <f>58.7834 * CHOOSE(CONTROL!$C$15, $E$9, 100%, $G$9) + CHOOSE(CONTROL!$C$38, 0.0354, 0)</f>
        <v>58.818800000000003</v>
      </c>
      <c r="H811" s="14">
        <f>58.7834 * CHOOSE(CONTROL!$C$15, $E$9, 100%, $G$9) + CHOOSE(CONTROL!$C$38, 0.0354, 0)</f>
        <v>58.818800000000003</v>
      </c>
      <c r="I811" s="14">
        <f>58.785 * CHOOSE(CONTROL!$C$15, $E$9, 100%, $G$9) + CHOOSE(CONTROL!$C$38, 0.0354, 0)</f>
        <v>58.820399999999999</v>
      </c>
      <c r="J811" s="43">
        <f>561.3153</f>
        <v>561.31529999999998</v>
      </c>
    </row>
    <row r="812" spans="1:10" ht="15.75" x14ac:dyDescent="0.25">
      <c r="A812" s="31">
        <v>65653</v>
      </c>
      <c r="B812" s="14">
        <f>60.0963 * CHOOSE(CONTROL!$C$15, $E$9, 100%, $G$9) + CHOOSE(CONTROL!$C$38, 0.0264, 0)</f>
        <v>60.122700000000002</v>
      </c>
      <c r="C812" s="14">
        <f>56.8464 * CHOOSE(CONTROL!$C$15, $E$9, 100%, $G$9) + CHOOSE(CONTROL!$C$38, 0.0354, 0)</f>
        <v>56.881800000000005</v>
      </c>
      <c r="D812" s="14">
        <f>56.8386 * CHOOSE(CONTROL!$C$15, $E$9, 100%, $G$9) + CHOOSE(CONTROL!$C$38, 0.0354, 0)</f>
        <v>56.874000000000002</v>
      </c>
      <c r="E812" s="45">
        <f>59.9401 * CHOOSE(CONTROL!$C$15, $E$9, 100%, $G$9) + CHOOSE(CONTROL!$C$38, 0.0354, 0)</f>
        <v>59.975500000000004</v>
      </c>
      <c r="F812" s="44">
        <f>59.9401 * CHOOSE(CONTROL!$C$15, $E$9, 100%, $G$9) + CHOOSE(CONTROL!$C$38, 0.0264, 0)</f>
        <v>59.966500000000003</v>
      </c>
      <c r="G812" s="14">
        <f>56.8448 * CHOOSE(CONTROL!$C$15, $E$9, 100%, $G$9) + CHOOSE(CONTROL!$C$38, 0.0354, 0)</f>
        <v>56.880200000000002</v>
      </c>
      <c r="H812" s="14">
        <f>56.8448 * CHOOSE(CONTROL!$C$15, $E$9, 100%, $G$9) + CHOOSE(CONTROL!$C$38, 0.0354, 0)</f>
        <v>56.880200000000002</v>
      </c>
      <c r="I812" s="14">
        <f>56.8464 * CHOOSE(CONTROL!$C$15, $E$9, 100%, $G$9) + CHOOSE(CONTROL!$C$38, 0.0354, 0)</f>
        <v>56.881800000000005</v>
      </c>
      <c r="J812" s="43">
        <f>542.6581</f>
        <v>542.65809999999999</v>
      </c>
    </row>
    <row r="813" spans="1:10" ht="15.75" x14ac:dyDescent="0.25">
      <c r="A813" s="31">
        <v>65684</v>
      </c>
      <c r="B813" s="14">
        <f>58.0395 * CHOOSE(CONTROL!$C$15, $E$9, 100%, $G$9) + CHOOSE(CONTROL!$C$38, 0.0251, 0)</f>
        <v>58.064599999999999</v>
      </c>
      <c r="C813" s="14">
        <f>54.8965 * CHOOSE(CONTROL!$C$15, $E$9, 100%, $G$9) + CHOOSE(CONTROL!$C$38, 0.0342, 0)</f>
        <v>54.930700000000002</v>
      </c>
      <c r="D813" s="14">
        <f>54.8887 * CHOOSE(CONTROL!$C$15, $E$9, 100%, $G$9) + CHOOSE(CONTROL!$C$38, 0.0342, 0)</f>
        <v>54.922899999999998</v>
      </c>
      <c r="E813" s="45">
        <f>57.8832 * CHOOSE(CONTROL!$C$15, $E$9, 100%, $G$9) + CHOOSE(CONTROL!$C$38, 0.0342, 0)</f>
        <v>57.917400000000001</v>
      </c>
      <c r="F813" s="44">
        <f>57.8832 * CHOOSE(CONTROL!$C$15, $E$9, 100%, $G$9) + CHOOSE(CONTROL!$C$38, 0.0251, 0)</f>
        <v>57.908300000000004</v>
      </c>
      <c r="G813" s="14">
        <f>54.895 * CHOOSE(CONTROL!$C$15, $E$9, 100%, $G$9) + CHOOSE(CONTROL!$C$38, 0.0342, 0)</f>
        <v>54.929200000000002</v>
      </c>
      <c r="H813" s="14">
        <f>54.895 * CHOOSE(CONTROL!$C$15, $E$9, 100%, $G$9) + CHOOSE(CONTROL!$C$38, 0.0342, 0)</f>
        <v>54.929200000000002</v>
      </c>
      <c r="I813" s="14">
        <f>54.8965 * CHOOSE(CONTROL!$C$15, $E$9, 100%, $G$9) + CHOOSE(CONTROL!$C$38, 0.0342, 0)</f>
        <v>54.930700000000002</v>
      </c>
      <c r="J813" s="43">
        <f>523.8925</f>
        <v>523.89250000000004</v>
      </c>
    </row>
    <row r="814" spans="1:10" ht="15.75" x14ac:dyDescent="0.25">
      <c r="A814" s="31">
        <v>65714</v>
      </c>
      <c r="B814" s="14">
        <f>57.6303 * CHOOSE(CONTROL!$C$15, $E$9, 100%, $G$9) + CHOOSE(CONTROL!$C$38, 0.0251, 0)</f>
        <v>57.6554</v>
      </c>
      <c r="C814" s="14">
        <f>54.5087 * CHOOSE(CONTROL!$C$15, $E$9, 100%, $G$9) + CHOOSE(CONTROL!$C$38, 0.0342, 0)</f>
        <v>54.542899999999996</v>
      </c>
      <c r="D814" s="14">
        <f>54.5008 * CHOOSE(CONTROL!$C$15, $E$9, 100%, $G$9) + CHOOSE(CONTROL!$C$38, 0.0342, 0)</f>
        <v>54.534999999999997</v>
      </c>
      <c r="E814" s="45">
        <f>57.4741 * CHOOSE(CONTROL!$C$15, $E$9, 100%, $G$9) + CHOOSE(CONTROL!$C$38, 0.0342, 0)</f>
        <v>57.508299999999998</v>
      </c>
      <c r="F814" s="44">
        <f>57.4741 * CHOOSE(CONTROL!$C$15, $E$9, 100%, $G$9) + CHOOSE(CONTROL!$C$38, 0.0251, 0)</f>
        <v>57.499200000000002</v>
      </c>
      <c r="G814" s="14">
        <f>54.5071 * CHOOSE(CONTROL!$C$15, $E$9, 100%, $G$9) + CHOOSE(CONTROL!$C$38, 0.0342, 0)</f>
        <v>54.5413</v>
      </c>
      <c r="H814" s="14">
        <f>54.5071 * CHOOSE(CONTROL!$C$15, $E$9, 100%, $G$9) + CHOOSE(CONTROL!$C$38, 0.0342, 0)</f>
        <v>54.5413</v>
      </c>
      <c r="I814" s="14">
        <f>54.5087 * CHOOSE(CONTROL!$C$15, $E$9, 100%, $G$9) + CHOOSE(CONTROL!$C$38, 0.0342, 0)</f>
        <v>54.542899999999996</v>
      </c>
      <c r="J814" s="43">
        <f>520.1596</f>
        <v>520.15959999999995</v>
      </c>
    </row>
    <row r="815" spans="1:10" ht="15.75" x14ac:dyDescent="0.25">
      <c r="A815" s="31">
        <v>65745</v>
      </c>
      <c r="B815" s="14">
        <f>55.9385 * CHOOSE(CONTROL!$C$15, $E$9, 100%, $G$9) + CHOOSE(CONTROL!$C$38, 0.0251, 0)</f>
        <v>55.9636</v>
      </c>
      <c r="C815" s="14">
        <f>52.9048 * CHOOSE(CONTROL!$C$15, $E$9, 100%, $G$9) + CHOOSE(CONTROL!$C$38, 0.0342, 0)</f>
        <v>52.939</v>
      </c>
      <c r="D815" s="14">
        <f>52.897 * CHOOSE(CONTROL!$C$15, $E$9, 100%, $G$9) + CHOOSE(CONTROL!$C$38, 0.0342, 0)</f>
        <v>52.931199999999997</v>
      </c>
      <c r="E815" s="45">
        <f>55.7822 * CHOOSE(CONTROL!$C$15, $E$9, 100%, $G$9) + CHOOSE(CONTROL!$C$38, 0.0342, 0)</f>
        <v>55.816400000000002</v>
      </c>
      <c r="F815" s="44">
        <f>55.7822 * CHOOSE(CONTROL!$C$15, $E$9, 100%, $G$9) + CHOOSE(CONTROL!$C$38, 0.0251, 0)</f>
        <v>55.807300000000005</v>
      </c>
      <c r="G815" s="14">
        <f>52.9032 * CHOOSE(CONTROL!$C$15, $E$9, 100%, $G$9) + CHOOSE(CONTROL!$C$38, 0.0342, 0)</f>
        <v>52.937399999999997</v>
      </c>
      <c r="H815" s="14">
        <f>52.9032 * CHOOSE(CONTROL!$C$15, $E$9, 100%, $G$9) + CHOOSE(CONTROL!$C$38, 0.0342, 0)</f>
        <v>52.937399999999997</v>
      </c>
      <c r="I815" s="14">
        <f>52.9048 * CHOOSE(CONTROL!$C$15, $E$9, 100%, $G$9) + CHOOSE(CONTROL!$C$38, 0.0342, 0)</f>
        <v>52.939</v>
      </c>
      <c r="J815" s="43">
        <f>504.7238</f>
        <v>504.72379999999998</v>
      </c>
    </row>
    <row r="816" spans="1:10" ht="15.75" x14ac:dyDescent="0.25">
      <c r="A816" s="31">
        <v>65776</v>
      </c>
      <c r="B816" s="14">
        <f>55.5183 * CHOOSE(CONTROL!$C$15, $E$9, 100%, $G$9) + CHOOSE(CONTROL!$C$38, 0.0251, 0)</f>
        <v>55.543400000000005</v>
      </c>
      <c r="C816" s="14">
        <f>52.5065 * CHOOSE(CONTROL!$C$15, $E$9, 100%, $G$9) + CHOOSE(CONTROL!$C$38, 0.0342, 0)</f>
        <v>52.540700000000001</v>
      </c>
      <c r="D816" s="14">
        <f>52.4987 * CHOOSE(CONTROL!$C$15, $E$9, 100%, $G$9) + CHOOSE(CONTROL!$C$38, 0.0342, 0)</f>
        <v>52.532899999999998</v>
      </c>
      <c r="E816" s="45">
        <f>55.3621 * CHOOSE(CONTROL!$C$15, $E$9, 100%, $G$9) + CHOOSE(CONTROL!$C$38, 0.0342, 0)</f>
        <v>55.396299999999997</v>
      </c>
      <c r="F816" s="44">
        <f>55.3621 * CHOOSE(CONTROL!$C$15, $E$9, 100%, $G$9) + CHOOSE(CONTROL!$C$38, 0.0251, 0)</f>
        <v>55.3872</v>
      </c>
      <c r="G816" s="14">
        <f>52.5049 * CHOOSE(CONTROL!$C$15, $E$9, 100%, $G$9) + CHOOSE(CONTROL!$C$38, 0.0342, 0)</f>
        <v>52.539099999999998</v>
      </c>
      <c r="H816" s="14">
        <f>52.5049 * CHOOSE(CONTROL!$C$15, $E$9, 100%, $G$9) + CHOOSE(CONTROL!$C$38, 0.0342, 0)</f>
        <v>52.539099999999998</v>
      </c>
      <c r="I816" s="14">
        <f>52.5065 * CHOOSE(CONTROL!$C$15, $E$9, 100%, $G$9) + CHOOSE(CONTROL!$C$38, 0.0342, 0)</f>
        <v>52.540700000000001</v>
      </c>
      <c r="J816" s="43">
        <f>504.3594</f>
        <v>504.35939999999999</v>
      </c>
    </row>
    <row r="817" spans="1:10" ht="15.75" x14ac:dyDescent="0.25">
      <c r="A817" s="31">
        <v>65805</v>
      </c>
      <c r="B817" s="14">
        <f>55.3657 * CHOOSE(CONTROL!$C$15, $E$9, 100%, $G$9) + CHOOSE(CONTROL!$C$38, 0.0251, 0)</f>
        <v>55.390799999999999</v>
      </c>
      <c r="C817" s="14">
        <f>52.3618 * CHOOSE(CONTROL!$C$15, $E$9, 100%, $G$9) + CHOOSE(CONTROL!$C$38, 0.0342, 0)</f>
        <v>52.396000000000001</v>
      </c>
      <c r="D817" s="14">
        <f>52.354 * CHOOSE(CONTROL!$C$15, $E$9, 100%, $G$9) + CHOOSE(CONTROL!$C$38, 0.0342, 0)</f>
        <v>52.388199999999998</v>
      </c>
      <c r="E817" s="45">
        <f>55.2095 * CHOOSE(CONTROL!$C$15, $E$9, 100%, $G$9) + CHOOSE(CONTROL!$C$38, 0.0342, 0)</f>
        <v>55.243699999999997</v>
      </c>
      <c r="F817" s="44">
        <f>55.2095 * CHOOSE(CONTROL!$C$15, $E$9, 100%, $G$9) + CHOOSE(CONTROL!$C$38, 0.0251, 0)</f>
        <v>55.2346</v>
      </c>
      <c r="G817" s="14">
        <f>52.3603 * CHOOSE(CONTROL!$C$15, $E$9, 100%, $G$9) + CHOOSE(CONTROL!$C$38, 0.0342, 0)</f>
        <v>52.394500000000001</v>
      </c>
      <c r="H817" s="14">
        <f>52.3603 * CHOOSE(CONTROL!$C$15, $E$9, 100%, $G$9) + CHOOSE(CONTROL!$C$38, 0.0342, 0)</f>
        <v>52.394500000000001</v>
      </c>
      <c r="I817" s="14">
        <f>52.3618 * CHOOSE(CONTROL!$C$15, $E$9, 100%, $G$9) + CHOOSE(CONTROL!$C$38, 0.0342, 0)</f>
        <v>52.396000000000001</v>
      </c>
      <c r="J817" s="43">
        <f>502.9575</f>
        <v>502.95749999999998</v>
      </c>
    </row>
    <row r="818" spans="1:10" ht="15.75" x14ac:dyDescent="0.25">
      <c r="A818" s="31">
        <v>65836</v>
      </c>
      <c r="B818" s="14">
        <f>58.2513 * CHOOSE(CONTROL!$C$15, $E$9, 100%, $G$9) + CHOOSE(CONTROL!$C$38, 0.0251, 0)</f>
        <v>58.276400000000002</v>
      </c>
      <c r="C818" s="14">
        <f>55.0973 * CHOOSE(CONTROL!$C$15, $E$9, 100%, $G$9) + CHOOSE(CONTROL!$C$38, 0.0342, 0)</f>
        <v>55.131499999999996</v>
      </c>
      <c r="D818" s="14">
        <f>55.0895 * CHOOSE(CONTROL!$C$15, $E$9, 100%, $G$9) + CHOOSE(CONTROL!$C$38, 0.0342, 0)</f>
        <v>55.123699999999999</v>
      </c>
      <c r="E818" s="45">
        <f>58.095 * CHOOSE(CONTROL!$C$15, $E$9, 100%, $G$9) + CHOOSE(CONTROL!$C$38, 0.0342, 0)</f>
        <v>58.129199999999997</v>
      </c>
      <c r="F818" s="44">
        <f>58.095 * CHOOSE(CONTROL!$C$15, $E$9, 100%, $G$9) + CHOOSE(CONTROL!$C$38, 0.0251, 0)</f>
        <v>58.120100000000001</v>
      </c>
      <c r="G818" s="14">
        <f>55.0957 * CHOOSE(CONTROL!$C$15, $E$9, 100%, $G$9) + CHOOSE(CONTROL!$C$38, 0.0342, 0)</f>
        <v>55.129899999999999</v>
      </c>
      <c r="H818" s="14">
        <f>55.0957 * CHOOSE(CONTROL!$C$15, $E$9, 100%, $G$9) + CHOOSE(CONTROL!$C$38, 0.0342, 0)</f>
        <v>55.129899999999999</v>
      </c>
      <c r="I818" s="14">
        <f>55.0973 * CHOOSE(CONTROL!$C$15, $E$9, 100%, $G$9) + CHOOSE(CONTROL!$C$38, 0.0342, 0)</f>
        <v>55.131499999999996</v>
      </c>
      <c r="J818" s="43">
        <f>529.4662</f>
        <v>529.46619999999996</v>
      </c>
    </row>
    <row r="819" spans="1:10" ht="15.75" x14ac:dyDescent="0.25">
      <c r="A819" s="31">
        <v>65866</v>
      </c>
      <c r="B819" s="14">
        <f>61.9932 * CHOOSE(CONTROL!$C$15, $E$9, 100%, $G$9) + CHOOSE(CONTROL!$C$38, 0.0251, 0)</f>
        <v>62.018300000000004</v>
      </c>
      <c r="C819" s="14">
        <f>58.6446 * CHOOSE(CONTROL!$C$15, $E$9, 100%, $G$9) + CHOOSE(CONTROL!$C$38, 0.0342, 0)</f>
        <v>58.678799999999995</v>
      </c>
      <c r="D819" s="14">
        <f>58.6367 * CHOOSE(CONTROL!$C$15, $E$9, 100%, $G$9) + CHOOSE(CONTROL!$C$38, 0.0342, 0)</f>
        <v>58.670899999999996</v>
      </c>
      <c r="E819" s="45">
        <f>61.8369 * CHOOSE(CONTROL!$C$15, $E$9, 100%, $G$9) + CHOOSE(CONTROL!$C$38, 0.0342, 0)</f>
        <v>61.871099999999998</v>
      </c>
      <c r="F819" s="44">
        <f>61.8369 * CHOOSE(CONTROL!$C$15, $E$9, 100%, $G$9) + CHOOSE(CONTROL!$C$38, 0.0251, 0)</f>
        <v>61.862000000000002</v>
      </c>
      <c r="G819" s="14">
        <f>58.643 * CHOOSE(CONTROL!$C$15, $E$9, 100%, $G$9) + CHOOSE(CONTROL!$C$38, 0.0342, 0)</f>
        <v>58.677199999999999</v>
      </c>
      <c r="H819" s="14">
        <f>58.643 * CHOOSE(CONTROL!$C$15, $E$9, 100%, $G$9) + CHOOSE(CONTROL!$C$38, 0.0342, 0)</f>
        <v>58.677199999999999</v>
      </c>
      <c r="I819" s="14">
        <f>58.6446 * CHOOSE(CONTROL!$C$15, $E$9, 100%, $G$9) + CHOOSE(CONTROL!$C$38, 0.0342, 0)</f>
        <v>58.678799999999995</v>
      </c>
      <c r="J819" s="43">
        <f>563.8418</f>
        <v>563.84180000000003</v>
      </c>
    </row>
    <row r="820" spans="1:10" ht="15.75" x14ac:dyDescent="0.25">
      <c r="A820" s="31">
        <v>65897</v>
      </c>
      <c r="B820" s="14">
        <f>64.0528 * CHOOSE(CONTROL!$C$15, $E$9, 100%, $G$9) + CHOOSE(CONTROL!$C$38, 0.0264, 0)</f>
        <v>64.0792</v>
      </c>
      <c r="C820" s="14">
        <f>60.5971 * CHOOSE(CONTROL!$C$15, $E$9, 100%, $G$9) + CHOOSE(CONTROL!$C$38, 0.0354, 0)</f>
        <v>60.6325</v>
      </c>
      <c r="D820" s="14">
        <f>60.5893 * CHOOSE(CONTROL!$C$15, $E$9, 100%, $G$9) + CHOOSE(CONTROL!$C$38, 0.0354, 0)</f>
        <v>60.624700000000004</v>
      </c>
      <c r="E820" s="45">
        <f>63.8966 * CHOOSE(CONTROL!$C$15, $E$9, 100%, $G$9) + CHOOSE(CONTROL!$C$38, 0.0354, 0)</f>
        <v>63.932000000000002</v>
      </c>
      <c r="F820" s="44">
        <f>63.8966 * CHOOSE(CONTROL!$C$15, $E$9, 100%, $G$9) + CHOOSE(CONTROL!$C$38, 0.0264, 0)</f>
        <v>63.923000000000002</v>
      </c>
      <c r="G820" s="14">
        <f>60.5955 * CHOOSE(CONTROL!$C$15, $E$9, 100%, $G$9) + CHOOSE(CONTROL!$C$38, 0.0354, 0)</f>
        <v>60.630900000000004</v>
      </c>
      <c r="H820" s="14">
        <f>60.5955 * CHOOSE(CONTROL!$C$15, $E$9, 100%, $G$9) + CHOOSE(CONTROL!$C$38, 0.0354, 0)</f>
        <v>60.630900000000004</v>
      </c>
      <c r="I820" s="14">
        <f>60.5971 * CHOOSE(CONTROL!$C$15, $E$9, 100%, $G$9) + CHOOSE(CONTROL!$C$38, 0.0354, 0)</f>
        <v>60.6325</v>
      </c>
      <c r="J820" s="43">
        <f>582.7632</f>
        <v>582.76319999999998</v>
      </c>
    </row>
    <row r="821" spans="1:10" ht="15.75" x14ac:dyDescent="0.25">
      <c r="A821" s="31">
        <v>65927</v>
      </c>
      <c r="B821" s="14">
        <f>64.9669 * CHOOSE(CONTROL!$C$15, $E$9, 100%, $G$9) + CHOOSE(CONTROL!$C$38, 0.0264, 0)</f>
        <v>64.993299999999991</v>
      </c>
      <c r="C821" s="14">
        <f>61.4636 * CHOOSE(CONTROL!$C$15, $E$9, 100%, $G$9) + CHOOSE(CONTROL!$C$38, 0.0354, 0)</f>
        <v>61.499000000000002</v>
      </c>
      <c r="D821" s="14">
        <f>61.4558 * CHOOSE(CONTROL!$C$15, $E$9, 100%, $G$9) + CHOOSE(CONTROL!$C$38, 0.0354, 0)</f>
        <v>61.491200000000006</v>
      </c>
      <c r="E821" s="45">
        <f>64.8106 * CHOOSE(CONTROL!$C$15, $E$9, 100%, $G$9) + CHOOSE(CONTROL!$C$38, 0.0354, 0)</f>
        <v>64.845999999999989</v>
      </c>
      <c r="F821" s="44">
        <f>64.8106 * CHOOSE(CONTROL!$C$15, $E$9, 100%, $G$9) + CHOOSE(CONTROL!$C$38, 0.0264, 0)</f>
        <v>64.836999999999989</v>
      </c>
      <c r="G821" s="14">
        <f>61.462 * CHOOSE(CONTROL!$C$15, $E$9, 100%, $G$9) + CHOOSE(CONTROL!$C$38, 0.0354, 0)</f>
        <v>61.497400000000006</v>
      </c>
      <c r="H821" s="14">
        <f>61.462 * CHOOSE(CONTROL!$C$15, $E$9, 100%, $G$9) + CHOOSE(CONTROL!$C$38, 0.0354, 0)</f>
        <v>61.497400000000006</v>
      </c>
      <c r="I821" s="14">
        <f>61.4636 * CHOOSE(CONTROL!$C$15, $E$9, 100%, $G$9) + CHOOSE(CONTROL!$C$38, 0.0354, 0)</f>
        <v>61.499000000000002</v>
      </c>
      <c r="J821" s="43">
        <f>591.1602</f>
        <v>591.16020000000003</v>
      </c>
    </row>
    <row r="822" spans="1:10" ht="15.75" x14ac:dyDescent="0.25">
      <c r="A822" s="31">
        <v>65958</v>
      </c>
      <c r="B822" s="14">
        <f>64.6659 * CHOOSE(CONTROL!$C$15, $E$9, 100%, $G$9) + CHOOSE(CONTROL!$C$38, 0.0264, 0)</f>
        <v>64.692299999999989</v>
      </c>
      <c r="C822" s="14">
        <f>61.1783 * CHOOSE(CONTROL!$C$15, $E$9, 100%, $G$9) + CHOOSE(CONTROL!$C$38, 0.0354, 0)</f>
        <v>61.213700000000003</v>
      </c>
      <c r="D822" s="14">
        <f>61.1705 * CHOOSE(CONTROL!$C$15, $E$9, 100%, $G$9) + CHOOSE(CONTROL!$C$38, 0.0354, 0)</f>
        <v>61.2059</v>
      </c>
      <c r="E822" s="45">
        <f>64.5097 * CHOOSE(CONTROL!$C$15, $E$9, 100%, $G$9) + CHOOSE(CONTROL!$C$38, 0.0354, 0)</f>
        <v>64.545099999999991</v>
      </c>
      <c r="F822" s="44">
        <f>64.5097 * CHOOSE(CONTROL!$C$15, $E$9, 100%, $G$9) + CHOOSE(CONTROL!$C$38, 0.0264, 0)</f>
        <v>64.53609999999999</v>
      </c>
      <c r="G822" s="14">
        <f>61.1767 * CHOOSE(CONTROL!$C$15, $E$9, 100%, $G$9) + CHOOSE(CONTROL!$C$38, 0.0354, 0)</f>
        <v>61.2121</v>
      </c>
      <c r="H822" s="14">
        <f>61.1767 * CHOOSE(CONTROL!$C$15, $E$9, 100%, $G$9) + CHOOSE(CONTROL!$C$38, 0.0354, 0)</f>
        <v>61.2121</v>
      </c>
      <c r="I822" s="14">
        <f>61.1783 * CHOOSE(CONTROL!$C$15, $E$9, 100%, $G$9) + CHOOSE(CONTROL!$C$38, 0.0354, 0)</f>
        <v>61.213700000000003</v>
      </c>
      <c r="J822" s="43">
        <f>588.3955</f>
        <v>588.39549999999997</v>
      </c>
    </row>
    <row r="823" spans="1:10" ht="15.75" x14ac:dyDescent="0.25">
      <c r="A823" s="31">
        <v>65989</v>
      </c>
      <c r="B823" s="14">
        <f>63.1749 * CHOOSE(CONTROL!$C$15, $E$9, 100%, $G$9) + CHOOSE(CONTROL!$C$38, 0.0264, 0)</f>
        <v>63.201300000000003</v>
      </c>
      <c r="C823" s="14">
        <f>59.7648 * CHOOSE(CONTROL!$C$15, $E$9, 100%, $G$9) + CHOOSE(CONTROL!$C$38, 0.0354, 0)</f>
        <v>59.800200000000004</v>
      </c>
      <c r="D823" s="14">
        <f>59.757 * CHOOSE(CONTROL!$C$15, $E$9, 100%, $G$9) + CHOOSE(CONTROL!$C$38, 0.0354, 0)</f>
        <v>59.792400000000001</v>
      </c>
      <c r="E823" s="45">
        <f>63.0186 * CHOOSE(CONTROL!$C$15, $E$9, 100%, $G$9) + CHOOSE(CONTROL!$C$38, 0.0354, 0)</f>
        <v>63.054000000000002</v>
      </c>
      <c r="F823" s="44">
        <f>63.0186 * CHOOSE(CONTROL!$C$15, $E$9, 100%, $G$9) + CHOOSE(CONTROL!$C$38, 0.0264, 0)</f>
        <v>63.045000000000002</v>
      </c>
      <c r="G823" s="14">
        <f>59.7633 * CHOOSE(CONTROL!$C$15, $E$9, 100%, $G$9) + CHOOSE(CONTROL!$C$38, 0.0354, 0)</f>
        <v>59.798700000000004</v>
      </c>
      <c r="H823" s="14">
        <f>59.7633 * CHOOSE(CONTROL!$C$15, $E$9, 100%, $G$9) + CHOOSE(CONTROL!$C$38, 0.0354, 0)</f>
        <v>59.798700000000004</v>
      </c>
      <c r="I823" s="14">
        <f>59.7648 * CHOOSE(CONTROL!$C$15, $E$9, 100%, $G$9) + CHOOSE(CONTROL!$C$38, 0.0354, 0)</f>
        <v>59.800200000000004</v>
      </c>
      <c r="J823" s="43">
        <f>574.6979</f>
        <v>574.6979</v>
      </c>
    </row>
    <row r="824" spans="1:10" ht="15.75" x14ac:dyDescent="0.25">
      <c r="A824" s="31">
        <v>66019</v>
      </c>
      <c r="B824" s="14">
        <f>61.0956 * CHOOSE(CONTROL!$C$15, $E$9, 100%, $G$9) + CHOOSE(CONTROL!$C$38, 0.0264, 0)</f>
        <v>61.122</v>
      </c>
      <c r="C824" s="14">
        <f>57.7937 * CHOOSE(CONTROL!$C$15, $E$9, 100%, $G$9) + CHOOSE(CONTROL!$C$38, 0.0354, 0)</f>
        <v>57.829100000000004</v>
      </c>
      <c r="D824" s="14">
        <f>57.7858 * CHOOSE(CONTROL!$C$15, $E$9, 100%, $G$9) + CHOOSE(CONTROL!$C$38, 0.0354, 0)</f>
        <v>57.821200000000005</v>
      </c>
      <c r="E824" s="45">
        <f>60.9393 * CHOOSE(CONTROL!$C$15, $E$9, 100%, $G$9) + CHOOSE(CONTROL!$C$38, 0.0354, 0)</f>
        <v>60.974700000000006</v>
      </c>
      <c r="F824" s="44">
        <f>60.9393 * CHOOSE(CONTROL!$C$15, $E$9, 100%, $G$9) + CHOOSE(CONTROL!$C$38, 0.0264, 0)</f>
        <v>60.965700000000005</v>
      </c>
      <c r="G824" s="14">
        <f>57.7921 * CHOOSE(CONTROL!$C$15, $E$9, 100%, $G$9) + CHOOSE(CONTROL!$C$38, 0.0354, 0)</f>
        <v>57.827500000000001</v>
      </c>
      <c r="H824" s="14">
        <f>57.7921 * CHOOSE(CONTROL!$C$15, $E$9, 100%, $G$9) + CHOOSE(CONTROL!$C$38, 0.0354, 0)</f>
        <v>57.827500000000001</v>
      </c>
      <c r="I824" s="14">
        <f>57.7937 * CHOOSE(CONTROL!$C$15, $E$9, 100%, $G$9) + CHOOSE(CONTROL!$C$38, 0.0354, 0)</f>
        <v>57.829100000000004</v>
      </c>
      <c r="J824" s="43">
        <f>555.5959</f>
        <v>555.59590000000003</v>
      </c>
    </row>
    <row r="825" spans="1:10" ht="15.75" x14ac:dyDescent="0.25">
      <c r="A825" s="31">
        <v>66050</v>
      </c>
      <c r="B825" s="14">
        <f>59.0042 * CHOOSE(CONTROL!$C$15, $E$9, 100%, $G$9) + CHOOSE(CONTROL!$C$38, 0.0251, 0)</f>
        <v>59.029299999999999</v>
      </c>
      <c r="C825" s="14">
        <f>55.811 * CHOOSE(CONTROL!$C$15, $E$9, 100%, $G$9) + CHOOSE(CONTROL!$C$38, 0.0342, 0)</f>
        <v>55.845199999999998</v>
      </c>
      <c r="D825" s="14">
        <f>55.8032 * CHOOSE(CONTROL!$C$15, $E$9, 100%, $G$9) + CHOOSE(CONTROL!$C$38, 0.0342, 0)</f>
        <v>55.837399999999995</v>
      </c>
      <c r="E825" s="45">
        <f>58.8479 * CHOOSE(CONTROL!$C$15, $E$9, 100%, $G$9) + CHOOSE(CONTROL!$C$38, 0.0342, 0)</f>
        <v>58.882100000000001</v>
      </c>
      <c r="F825" s="44">
        <f>58.8479 * CHOOSE(CONTROL!$C$15, $E$9, 100%, $G$9) + CHOOSE(CONTROL!$C$38, 0.0251, 0)</f>
        <v>58.873000000000005</v>
      </c>
      <c r="G825" s="14">
        <f>55.8095 * CHOOSE(CONTROL!$C$15, $E$9, 100%, $G$9) + CHOOSE(CONTROL!$C$38, 0.0342, 0)</f>
        <v>55.843699999999998</v>
      </c>
      <c r="H825" s="14">
        <f>55.8095 * CHOOSE(CONTROL!$C$15, $E$9, 100%, $G$9) + CHOOSE(CONTROL!$C$38, 0.0342, 0)</f>
        <v>55.843699999999998</v>
      </c>
      <c r="I825" s="14">
        <f>55.811 * CHOOSE(CONTROL!$C$15, $E$9, 100%, $G$9) + CHOOSE(CONTROL!$C$38, 0.0342, 0)</f>
        <v>55.845199999999998</v>
      </c>
      <c r="J825" s="43">
        <f>536.3828</f>
        <v>536.38279999999997</v>
      </c>
    </row>
    <row r="826" spans="1:10" ht="15.75" x14ac:dyDescent="0.25">
      <c r="A826" s="31">
        <v>66080</v>
      </c>
      <c r="B826" s="14">
        <f>58.5881 * CHOOSE(CONTROL!$C$15, $E$9, 100%, $G$9) + CHOOSE(CONTROL!$C$38, 0.0251, 0)</f>
        <v>58.613199999999999</v>
      </c>
      <c r="C826" s="14">
        <f>55.4166 * CHOOSE(CONTROL!$C$15, $E$9, 100%, $G$9) + CHOOSE(CONTROL!$C$38, 0.0342, 0)</f>
        <v>55.450800000000001</v>
      </c>
      <c r="D826" s="14">
        <f>55.4088 * CHOOSE(CONTROL!$C$15, $E$9, 100%, $G$9) + CHOOSE(CONTROL!$C$38, 0.0342, 0)</f>
        <v>55.442999999999998</v>
      </c>
      <c r="E826" s="45">
        <f>58.4319 * CHOOSE(CONTROL!$C$15, $E$9, 100%, $G$9) + CHOOSE(CONTROL!$C$38, 0.0342, 0)</f>
        <v>58.466099999999997</v>
      </c>
      <c r="F826" s="44">
        <f>58.4319 * CHOOSE(CONTROL!$C$15, $E$9, 100%, $G$9) + CHOOSE(CONTROL!$C$38, 0.0251, 0)</f>
        <v>58.457000000000001</v>
      </c>
      <c r="G826" s="14">
        <f>55.4151 * CHOOSE(CONTROL!$C$15, $E$9, 100%, $G$9) + CHOOSE(CONTROL!$C$38, 0.0342, 0)</f>
        <v>55.449300000000001</v>
      </c>
      <c r="H826" s="14">
        <f>55.4151 * CHOOSE(CONTROL!$C$15, $E$9, 100%, $G$9) + CHOOSE(CONTROL!$C$38, 0.0342, 0)</f>
        <v>55.449300000000001</v>
      </c>
      <c r="I826" s="14">
        <f>55.4166 * CHOOSE(CONTROL!$C$15, $E$9, 100%, $G$9) + CHOOSE(CONTROL!$C$38, 0.0342, 0)</f>
        <v>55.450800000000001</v>
      </c>
      <c r="J826" s="43">
        <f>532.561</f>
        <v>532.56100000000004</v>
      </c>
    </row>
    <row r="827" spans="1:10" ht="15.75" x14ac:dyDescent="0.25">
      <c r="A827" s="31">
        <v>66111</v>
      </c>
      <c r="B827" s="14">
        <f>56.8679 * CHOOSE(CONTROL!$C$15, $E$9, 100%, $G$9) + CHOOSE(CONTROL!$C$38, 0.0251, 0)</f>
        <v>56.893000000000001</v>
      </c>
      <c r="C827" s="14">
        <f>53.7858 * CHOOSE(CONTROL!$C$15, $E$9, 100%, $G$9) + CHOOSE(CONTROL!$C$38, 0.0342, 0)</f>
        <v>53.82</v>
      </c>
      <c r="D827" s="14">
        <f>53.778 * CHOOSE(CONTROL!$C$15, $E$9, 100%, $G$9) + CHOOSE(CONTROL!$C$38, 0.0342, 0)</f>
        <v>53.812199999999997</v>
      </c>
      <c r="E827" s="45">
        <f>56.7116 * CHOOSE(CONTROL!$C$15, $E$9, 100%, $G$9) + CHOOSE(CONTROL!$C$38, 0.0342, 0)</f>
        <v>56.745799999999996</v>
      </c>
      <c r="F827" s="44">
        <f>56.7116 * CHOOSE(CONTROL!$C$15, $E$9, 100%, $G$9) + CHOOSE(CONTROL!$C$38, 0.0251, 0)</f>
        <v>56.736699999999999</v>
      </c>
      <c r="G827" s="14">
        <f>53.7843 * CHOOSE(CONTROL!$C$15, $E$9, 100%, $G$9) + CHOOSE(CONTROL!$C$38, 0.0342, 0)</f>
        <v>53.8185</v>
      </c>
      <c r="H827" s="14">
        <f>53.7843 * CHOOSE(CONTROL!$C$15, $E$9, 100%, $G$9) + CHOOSE(CONTROL!$C$38, 0.0342, 0)</f>
        <v>53.8185</v>
      </c>
      <c r="I827" s="14">
        <f>53.7858 * CHOOSE(CONTROL!$C$15, $E$9, 100%, $G$9) + CHOOSE(CONTROL!$C$38, 0.0342, 0)</f>
        <v>53.82</v>
      </c>
      <c r="J827" s="43">
        <f>516.7572</f>
        <v>516.75720000000001</v>
      </c>
    </row>
    <row r="828" spans="1:10" ht="15.75" x14ac:dyDescent="0.25">
      <c r="A828" s="31">
        <v>66142</v>
      </c>
      <c r="B828" s="14">
        <f>56.4406 * CHOOSE(CONTROL!$C$15, $E$9, 100%, $G$9) + CHOOSE(CONTROL!$C$38, 0.0251, 0)</f>
        <v>56.465700000000005</v>
      </c>
      <c r="C828" s="14">
        <f>53.3808 * CHOOSE(CONTROL!$C$15, $E$9, 100%, $G$9) + CHOOSE(CONTROL!$C$38, 0.0342, 0)</f>
        <v>53.414999999999999</v>
      </c>
      <c r="D828" s="14">
        <f>53.373 * CHOOSE(CONTROL!$C$15, $E$9, 100%, $G$9) + CHOOSE(CONTROL!$C$38, 0.0342, 0)</f>
        <v>53.407199999999996</v>
      </c>
      <c r="E828" s="45">
        <f>56.2844 * CHOOSE(CONTROL!$C$15, $E$9, 100%, $G$9) + CHOOSE(CONTROL!$C$38, 0.0342, 0)</f>
        <v>56.318599999999996</v>
      </c>
      <c r="F828" s="44">
        <f>56.2844 * CHOOSE(CONTROL!$C$15, $E$9, 100%, $G$9) + CHOOSE(CONTROL!$C$38, 0.0251, 0)</f>
        <v>56.3095</v>
      </c>
      <c r="G828" s="14">
        <f>53.3793 * CHOOSE(CONTROL!$C$15, $E$9, 100%, $G$9) + CHOOSE(CONTROL!$C$38, 0.0342, 0)</f>
        <v>53.413499999999999</v>
      </c>
      <c r="H828" s="14">
        <f>53.3793 * CHOOSE(CONTROL!$C$15, $E$9, 100%, $G$9) + CHOOSE(CONTROL!$C$38, 0.0342, 0)</f>
        <v>53.413499999999999</v>
      </c>
      <c r="I828" s="14">
        <f>53.3808 * CHOOSE(CONTROL!$C$15, $E$9, 100%, $G$9) + CHOOSE(CONTROL!$C$38, 0.0342, 0)</f>
        <v>53.414999999999999</v>
      </c>
      <c r="J828" s="43">
        <f>516.3841</f>
        <v>516.38409999999999</v>
      </c>
    </row>
    <row r="829" spans="1:10" ht="15.75" x14ac:dyDescent="0.25">
      <c r="A829" s="31">
        <v>66170</v>
      </c>
      <c r="B829" s="14">
        <f>56.2855 * CHOOSE(CONTROL!$C$15, $E$9, 100%, $G$9) + CHOOSE(CONTROL!$C$38, 0.0251, 0)</f>
        <v>56.310600000000001</v>
      </c>
      <c r="C829" s="14">
        <f>53.2337 * CHOOSE(CONTROL!$C$15, $E$9, 100%, $G$9) + CHOOSE(CONTROL!$C$38, 0.0342, 0)</f>
        <v>53.267899999999997</v>
      </c>
      <c r="D829" s="14">
        <f>53.2259 * CHOOSE(CONTROL!$C$15, $E$9, 100%, $G$9) + CHOOSE(CONTROL!$C$38, 0.0342, 0)</f>
        <v>53.260100000000001</v>
      </c>
      <c r="E829" s="45">
        <f>56.1292 * CHOOSE(CONTROL!$C$15, $E$9, 100%, $G$9) + CHOOSE(CONTROL!$C$38, 0.0342, 0)</f>
        <v>56.163399999999996</v>
      </c>
      <c r="F829" s="44">
        <f>56.1292 * CHOOSE(CONTROL!$C$15, $E$9, 100%, $G$9) + CHOOSE(CONTROL!$C$38, 0.0251, 0)</f>
        <v>56.154299999999999</v>
      </c>
      <c r="G829" s="14">
        <f>53.2322 * CHOOSE(CONTROL!$C$15, $E$9, 100%, $G$9) + CHOOSE(CONTROL!$C$38, 0.0342, 0)</f>
        <v>53.266399999999997</v>
      </c>
      <c r="H829" s="14">
        <f>53.2322 * CHOOSE(CONTROL!$C$15, $E$9, 100%, $G$9) + CHOOSE(CONTROL!$C$38, 0.0342, 0)</f>
        <v>53.266399999999997</v>
      </c>
      <c r="I829" s="14">
        <f>53.2337 * CHOOSE(CONTROL!$C$15, $E$9, 100%, $G$9) + CHOOSE(CONTROL!$C$38, 0.0342, 0)</f>
        <v>53.267899999999997</v>
      </c>
      <c r="J829" s="43">
        <f>514.9487</f>
        <v>514.94870000000003</v>
      </c>
    </row>
    <row r="830" spans="1:10" ht="15.75" x14ac:dyDescent="0.25">
      <c r="A830" s="31">
        <v>66201</v>
      </c>
      <c r="B830" s="14">
        <f>59.2195 * CHOOSE(CONTROL!$C$15, $E$9, 100%, $G$9) + CHOOSE(CONTROL!$C$38, 0.0251, 0)</f>
        <v>59.244599999999998</v>
      </c>
      <c r="C830" s="14">
        <f>56.0152 * CHOOSE(CONTROL!$C$15, $E$9, 100%, $G$9) + CHOOSE(CONTROL!$C$38, 0.0342, 0)</f>
        <v>56.049399999999999</v>
      </c>
      <c r="D830" s="14">
        <f>56.0074 * CHOOSE(CONTROL!$C$15, $E$9, 100%, $G$9) + CHOOSE(CONTROL!$C$38, 0.0342, 0)</f>
        <v>56.041599999999995</v>
      </c>
      <c r="E830" s="45">
        <f>59.0633 * CHOOSE(CONTROL!$C$15, $E$9, 100%, $G$9) + CHOOSE(CONTROL!$C$38, 0.0342, 0)</f>
        <v>59.097499999999997</v>
      </c>
      <c r="F830" s="44">
        <f>59.0633 * CHOOSE(CONTROL!$C$15, $E$9, 100%, $G$9) + CHOOSE(CONTROL!$C$38, 0.0251, 0)</f>
        <v>59.0884</v>
      </c>
      <c r="G830" s="14">
        <f>56.0136 * CHOOSE(CONTROL!$C$15, $E$9, 100%, $G$9) + CHOOSE(CONTROL!$C$38, 0.0342, 0)</f>
        <v>56.047799999999995</v>
      </c>
      <c r="H830" s="14">
        <f>56.0136 * CHOOSE(CONTROL!$C$15, $E$9, 100%, $G$9) + CHOOSE(CONTROL!$C$38, 0.0342, 0)</f>
        <v>56.047799999999995</v>
      </c>
      <c r="I830" s="14">
        <f>56.0152 * CHOOSE(CONTROL!$C$15, $E$9, 100%, $G$9) + CHOOSE(CONTROL!$C$38, 0.0342, 0)</f>
        <v>56.049399999999999</v>
      </c>
      <c r="J830" s="43">
        <f>542.0895</f>
        <v>542.08950000000004</v>
      </c>
    </row>
    <row r="831" spans="1:10" ht="15.75" x14ac:dyDescent="0.25">
      <c r="A831" s="31">
        <v>66231</v>
      </c>
      <c r="B831" s="14">
        <f>63.0243 * CHOOSE(CONTROL!$C$15, $E$9, 100%, $G$9) + CHOOSE(CONTROL!$C$38, 0.0251, 0)</f>
        <v>63.049399999999999</v>
      </c>
      <c r="C831" s="14">
        <f>59.622 * CHOOSE(CONTROL!$C$15, $E$9, 100%, $G$9) + CHOOSE(CONTROL!$C$38, 0.0342, 0)</f>
        <v>59.656199999999998</v>
      </c>
      <c r="D831" s="14">
        <f>59.6142 * CHOOSE(CONTROL!$C$15, $E$9, 100%, $G$9) + CHOOSE(CONTROL!$C$38, 0.0342, 0)</f>
        <v>59.648399999999995</v>
      </c>
      <c r="E831" s="45">
        <f>62.868 * CHOOSE(CONTROL!$C$15, $E$9, 100%, $G$9) + CHOOSE(CONTROL!$C$38, 0.0342, 0)</f>
        <v>62.902200000000001</v>
      </c>
      <c r="F831" s="44">
        <f>62.868 * CHOOSE(CONTROL!$C$15, $E$9, 100%, $G$9) + CHOOSE(CONTROL!$C$38, 0.0251, 0)</f>
        <v>62.893100000000004</v>
      </c>
      <c r="G831" s="14">
        <f>59.6205 * CHOOSE(CONTROL!$C$15, $E$9, 100%, $G$9) + CHOOSE(CONTROL!$C$38, 0.0342, 0)</f>
        <v>59.654699999999998</v>
      </c>
      <c r="H831" s="14">
        <f>59.6205 * CHOOSE(CONTROL!$C$15, $E$9, 100%, $G$9) + CHOOSE(CONTROL!$C$38, 0.0342, 0)</f>
        <v>59.654699999999998</v>
      </c>
      <c r="I831" s="14">
        <f>59.622 * CHOOSE(CONTROL!$C$15, $E$9, 100%, $G$9) + CHOOSE(CONTROL!$C$38, 0.0342, 0)</f>
        <v>59.656199999999998</v>
      </c>
      <c r="J831" s="43">
        <f>577.2846</f>
        <v>577.28459999999995</v>
      </c>
    </row>
    <row r="832" spans="1:10" ht="15.75" x14ac:dyDescent="0.25">
      <c r="A832" s="31">
        <v>66262</v>
      </c>
      <c r="B832" s="14">
        <f>65.1185 * CHOOSE(CONTROL!$C$15, $E$9, 100%, $G$9) + CHOOSE(CONTROL!$C$38, 0.0264, 0)</f>
        <v>65.144899999999993</v>
      </c>
      <c r="C832" s="14">
        <f>61.6074 * CHOOSE(CONTROL!$C$15, $E$9, 100%, $G$9) + CHOOSE(CONTROL!$C$38, 0.0354, 0)</f>
        <v>61.642800000000001</v>
      </c>
      <c r="D832" s="14">
        <f>61.5995 * CHOOSE(CONTROL!$C$15, $E$9, 100%, $G$9) + CHOOSE(CONTROL!$C$38, 0.0354, 0)</f>
        <v>61.634900000000002</v>
      </c>
      <c r="E832" s="45">
        <f>64.9623 * CHOOSE(CONTROL!$C$15, $E$9, 100%, $G$9) + CHOOSE(CONTROL!$C$38, 0.0354, 0)</f>
        <v>64.997699999999995</v>
      </c>
      <c r="F832" s="44">
        <f>64.9623 * CHOOSE(CONTROL!$C$15, $E$9, 100%, $G$9) + CHOOSE(CONTROL!$C$38, 0.0264, 0)</f>
        <v>64.988699999999994</v>
      </c>
      <c r="G832" s="14">
        <f>61.6058 * CHOOSE(CONTROL!$C$15, $E$9, 100%, $G$9) + CHOOSE(CONTROL!$C$38, 0.0354, 0)</f>
        <v>61.641200000000005</v>
      </c>
      <c r="H832" s="14">
        <f>61.6058 * CHOOSE(CONTROL!$C$15, $E$9, 100%, $G$9) + CHOOSE(CONTROL!$C$38, 0.0354, 0)</f>
        <v>61.641200000000005</v>
      </c>
      <c r="I832" s="14">
        <f>61.6074 * CHOOSE(CONTROL!$C$15, $E$9, 100%, $G$9) + CHOOSE(CONTROL!$C$38, 0.0354, 0)</f>
        <v>61.642800000000001</v>
      </c>
      <c r="J832" s="43">
        <f>596.6571</f>
        <v>596.65710000000001</v>
      </c>
    </row>
    <row r="833" spans="1:10" ht="15.75" x14ac:dyDescent="0.25">
      <c r="A833" s="31">
        <v>66292</v>
      </c>
      <c r="B833" s="14">
        <f>66.0479 * CHOOSE(CONTROL!$C$15, $E$9, 100%, $G$9) + CHOOSE(CONTROL!$C$38, 0.0264, 0)</f>
        <v>66.074299999999994</v>
      </c>
      <c r="C833" s="14">
        <f>62.4884 * CHOOSE(CONTROL!$C$15, $E$9, 100%, $G$9) + CHOOSE(CONTROL!$C$38, 0.0354, 0)</f>
        <v>62.523800000000001</v>
      </c>
      <c r="D833" s="14">
        <f>62.4806 * CHOOSE(CONTROL!$C$15, $E$9, 100%, $G$9) + CHOOSE(CONTROL!$C$38, 0.0354, 0)</f>
        <v>62.516000000000005</v>
      </c>
      <c r="E833" s="45">
        <f>65.8917 * CHOOSE(CONTROL!$C$15, $E$9, 100%, $G$9) + CHOOSE(CONTROL!$C$38, 0.0354, 0)</f>
        <v>65.927099999999996</v>
      </c>
      <c r="F833" s="44">
        <f>65.8917 * CHOOSE(CONTROL!$C$15, $E$9, 100%, $G$9) + CHOOSE(CONTROL!$C$38, 0.0264, 0)</f>
        <v>65.918099999999995</v>
      </c>
      <c r="G833" s="14">
        <f>62.4868 * CHOOSE(CONTROL!$C$15, $E$9, 100%, $G$9) + CHOOSE(CONTROL!$C$38, 0.0354, 0)</f>
        <v>62.522200000000005</v>
      </c>
      <c r="H833" s="14">
        <f>62.4868 * CHOOSE(CONTROL!$C$15, $E$9, 100%, $G$9) + CHOOSE(CONTROL!$C$38, 0.0354, 0)</f>
        <v>62.522200000000005</v>
      </c>
      <c r="I833" s="14">
        <f>62.4884 * CHOOSE(CONTROL!$C$15, $E$9, 100%, $G$9) + CHOOSE(CONTROL!$C$38, 0.0354, 0)</f>
        <v>62.523800000000001</v>
      </c>
      <c r="J833" s="43">
        <f>605.2543</f>
        <v>605.25429999999994</v>
      </c>
    </row>
    <row r="834" spans="1:10" ht="15.75" x14ac:dyDescent="0.25">
      <c r="A834" s="31">
        <v>66323</v>
      </c>
      <c r="B834" s="14">
        <f>65.7419 * CHOOSE(CONTROL!$C$15, $E$9, 100%, $G$9) + CHOOSE(CONTROL!$C$38, 0.0264, 0)</f>
        <v>65.768299999999996</v>
      </c>
      <c r="C834" s="14">
        <f>62.1983 * CHOOSE(CONTROL!$C$15, $E$9, 100%, $G$9) + CHOOSE(CONTROL!$C$38, 0.0354, 0)</f>
        <v>62.233700000000006</v>
      </c>
      <c r="D834" s="14">
        <f>62.1905 * CHOOSE(CONTROL!$C$15, $E$9, 100%, $G$9) + CHOOSE(CONTROL!$C$38, 0.0354, 0)</f>
        <v>62.225900000000003</v>
      </c>
      <c r="E834" s="45">
        <f>65.5857 * CHOOSE(CONTROL!$C$15, $E$9, 100%, $G$9) + CHOOSE(CONTROL!$C$38, 0.0354, 0)</f>
        <v>65.621099999999998</v>
      </c>
      <c r="F834" s="44">
        <f>65.5857 * CHOOSE(CONTROL!$C$15, $E$9, 100%, $G$9) + CHOOSE(CONTROL!$C$38, 0.0264, 0)</f>
        <v>65.612099999999998</v>
      </c>
      <c r="G834" s="14">
        <f>62.1968 * CHOOSE(CONTROL!$C$15, $E$9, 100%, $G$9) + CHOOSE(CONTROL!$C$38, 0.0354, 0)</f>
        <v>62.232200000000006</v>
      </c>
      <c r="H834" s="14">
        <f>62.1968 * CHOOSE(CONTROL!$C$15, $E$9, 100%, $G$9) + CHOOSE(CONTROL!$C$38, 0.0354, 0)</f>
        <v>62.232200000000006</v>
      </c>
      <c r="I834" s="14">
        <f>62.1983 * CHOOSE(CONTROL!$C$15, $E$9, 100%, $G$9) + CHOOSE(CONTROL!$C$38, 0.0354, 0)</f>
        <v>62.233700000000006</v>
      </c>
      <c r="J834" s="43">
        <f>602.4237</f>
        <v>602.42370000000005</v>
      </c>
    </row>
    <row r="835" spans="1:10" ht="15.75" x14ac:dyDescent="0.25">
      <c r="A835" s="31">
        <v>66354</v>
      </c>
      <c r="B835" s="14">
        <f>64.2258 * CHOOSE(CONTROL!$C$15, $E$9, 100%, $G$9) + CHOOSE(CONTROL!$C$38, 0.0264, 0)</f>
        <v>64.252200000000002</v>
      </c>
      <c r="C835" s="14">
        <f>60.7611 * CHOOSE(CONTROL!$C$15, $E$9, 100%, $G$9) + CHOOSE(CONTROL!$C$38, 0.0354, 0)</f>
        <v>60.796500000000002</v>
      </c>
      <c r="D835" s="14">
        <f>60.7533 * CHOOSE(CONTROL!$C$15, $E$9, 100%, $G$9) + CHOOSE(CONTROL!$C$38, 0.0354, 0)</f>
        <v>60.788700000000006</v>
      </c>
      <c r="E835" s="45">
        <f>64.0696 * CHOOSE(CONTROL!$C$15, $E$9, 100%, $G$9) + CHOOSE(CONTROL!$C$38, 0.0354, 0)</f>
        <v>64.10499999999999</v>
      </c>
      <c r="F835" s="44">
        <f>64.0696 * CHOOSE(CONTROL!$C$15, $E$9, 100%, $G$9) + CHOOSE(CONTROL!$C$38, 0.0264, 0)</f>
        <v>64.095999999999989</v>
      </c>
      <c r="G835" s="14">
        <f>60.7595 * CHOOSE(CONTROL!$C$15, $E$9, 100%, $G$9) + CHOOSE(CONTROL!$C$38, 0.0354, 0)</f>
        <v>60.794900000000005</v>
      </c>
      <c r="H835" s="14">
        <f>60.7595 * CHOOSE(CONTROL!$C$15, $E$9, 100%, $G$9) + CHOOSE(CONTROL!$C$38, 0.0354, 0)</f>
        <v>60.794900000000005</v>
      </c>
      <c r="I835" s="14">
        <f>60.7611 * CHOOSE(CONTROL!$C$15, $E$9, 100%, $G$9) + CHOOSE(CONTROL!$C$38, 0.0354, 0)</f>
        <v>60.796500000000002</v>
      </c>
      <c r="J835" s="43">
        <f>588.3995</f>
        <v>588.39949999999999</v>
      </c>
    </row>
    <row r="836" spans="1:10" ht="15.75" x14ac:dyDescent="0.25">
      <c r="A836" s="31">
        <v>66384</v>
      </c>
      <c r="B836" s="14">
        <f>62.1116 * CHOOSE(CONTROL!$C$15, $E$9, 100%, $G$9) + CHOOSE(CONTROL!$C$38, 0.0264, 0)</f>
        <v>62.138000000000005</v>
      </c>
      <c r="C836" s="14">
        <f>58.7568 * CHOOSE(CONTROL!$C$15, $E$9, 100%, $G$9) + CHOOSE(CONTROL!$C$38, 0.0354, 0)</f>
        <v>58.792200000000001</v>
      </c>
      <c r="D836" s="14">
        <f>58.749 * CHOOSE(CONTROL!$C$15, $E$9, 100%, $G$9) + CHOOSE(CONTROL!$C$38, 0.0354, 0)</f>
        <v>58.784400000000005</v>
      </c>
      <c r="E836" s="45">
        <f>61.9553 * CHOOSE(CONTROL!$C$15, $E$9, 100%, $G$9) + CHOOSE(CONTROL!$C$38, 0.0354, 0)</f>
        <v>61.990700000000004</v>
      </c>
      <c r="F836" s="44">
        <f>61.9553 * CHOOSE(CONTROL!$C$15, $E$9, 100%, $G$9) + CHOOSE(CONTROL!$C$38, 0.0264, 0)</f>
        <v>61.981700000000004</v>
      </c>
      <c r="G836" s="14">
        <f>58.7553 * CHOOSE(CONTROL!$C$15, $E$9, 100%, $G$9) + CHOOSE(CONTROL!$C$38, 0.0354, 0)</f>
        <v>58.790700000000001</v>
      </c>
      <c r="H836" s="14">
        <f>58.7553 * CHOOSE(CONTROL!$C$15, $E$9, 100%, $G$9) + CHOOSE(CONTROL!$C$38, 0.0354, 0)</f>
        <v>58.790700000000001</v>
      </c>
      <c r="I836" s="14">
        <f>58.7568 * CHOOSE(CONTROL!$C$15, $E$9, 100%, $G$9) + CHOOSE(CONTROL!$C$38, 0.0354, 0)</f>
        <v>58.792200000000001</v>
      </c>
      <c r="J836" s="43">
        <f>568.8422</f>
        <v>568.84220000000005</v>
      </c>
    </row>
    <row r="837" spans="1:10" ht="15.75" x14ac:dyDescent="0.25">
      <c r="A837" s="31">
        <v>66415</v>
      </c>
      <c r="B837" s="14">
        <f>59.9851 * CHOOSE(CONTROL!$C$15, $E$9, 100%, $G$9) + CHOOSE(CONTROL!$C$38, 0.0251, 0)</f>
        <v>60.010200000000005</v>
      </c>
      <c r="C837" s="14">
        <f>56.7409 * CHOOSE(CONTROL!$C$15, $E$9, 100%, $G$9) + CHOOSE(CONTROL!$C$38, 0.0342, 0)</f>
        <v>56.775100000000002</v>
      </c>
      <c r="D837" s="14">
        <f>56.7331 * CHOOSE(CONTROL!$C$15, $E$9, 100%, $G$9) + CHOOSE(CONTROL!$C$38, 0.0342, 0)</f>
        <v>56.767299999999999</v>
      </c>
      <c r="E837" s="45">
        <f>59.8288 * CHOOSE(CONTROL!$C$15, $E$9, 100%, $G$9) + CHOOSE(CONTROL!$C$38, 0.0342, 0)</f>
        <v>59.863</v>
      </c>
      <c r="F837" s="44">
        <f>59.8288 * CHOOSE(CONTROL!$C$15, $E$9, 100%, $G$9) + CHOOSE(CONTROL!$C$38, 0.0251, 0)</f>
        <v>59.853900000000003</v>
      </c>
      <c r="G837" s="14">
        <f>56.7393 * CHOOSE(CONTROL!$C$15, $E$9, 100%, $G$9) + CHOOSE(CONTROL!$C$38, 0.0342, 0)</f>
        <v>56.773499999999999</v>
      </c>
      <c r="H837" s="14">
        <f>56.7393 * CHOOSE(CONTROL!$C$15, $E$9, 100%, $G$9) + CHOOSE(CONTROL!$C$38, 0.0342, 0)</f>
        <v>56.773499999999999</v>
      </c>
      <c r="I837" s="14">
        <f>56.7409 * CHOOSE(CONTROL!$C$15, $E$9, 100%, $G$9) + CHOOSE(CONTROL!$C$38, 0.0342, 0)</f>
        <v>56.775100000000002</v>
      </c>
      <c r="J837" s="43">
        <f>549.171</f>
        <v>549.17100000000005</v>
      </c>
    </row>
    <row r="838" spans="1:10" ht="15.75" x14ac:dyDescent="0.25">
      <c r="A838" s="31">
        <v>66445</v>
      </c>
      <c r="B838" s="14">
        <f>59.562 * CHOOSE(CONTROL!$C$15, $E$9, 100%, $G$9) + CHOOSE(CONTROL!$C$38, 0.0251, 0)</f>
        <v>59.5871</v>
      </c>
      <c r="C838" s="14">
        <f>56.3399 * CHOOSE(CONTROL!$C$15, $E$9, 100%, $G$9) + CHOOSE(CONTROL!$C$38, 0.0342, 0)</f>
        <v>56.374099999999999</v>
      </c>
      <c r="D838" s="14">
        <f>56.3321 * CHOOSE(CONTROL!$C$15, $E$9, 100%, $G$9) + CHOOSE(CONTROL!$C$38, 0.0342, 0)</f>
        <v>56.366299999999995</v>
      </c>
      <c r="E838" s="45">
        <f>59.4058 * CHOOSE(CONTROL!$C$15, $E$9, 100%, $G$9) + CHOOSE(CONTROL!$C$38, 0.0342, 0)</f>
        <v>59.44</v>
      </c>
      <c r="F838" s="44">
        <f>59.4058 * CHOOSE(CONTROL!$C$15, $E$9, 100%, $G$9) + CHOOSE(CONTROL!$C$38, 0.0251, 0)</f>
        <v>59.430900000000001</v>
      </c>
      <c r="G838" s="14">
        <f>56.3383 * CHOOSE(CONTROL!$C$15, $E$9, 100%, $G$9) + CHOOSE(CONTROL!$C$38, 0.0342, 0)</f>
        <v>56.372499999999995</v>
      </c>
      <c r="H838" s="14">
        <f>56.3383 * CHOOSE(CONTROL!$C$15, $E$9, 100%, $G$9) + CHOOSE(CONTROL!$C$38, 0.0342, 0)</f>
        <v>56.372499999999995</v>
      </c>
      <c r="I838" s="14">
        <f>56.3399 * CHOOSE(CONTROL!$C$15, $E$9, 100%, $G$9) + CHOOSE(CONTROL!$C$38, 0.0342, 0)</f>
        <v>56.374099999999999</v>
      </c>
      <c r="J838" s="43">
        <f>545.258</f>
        <v>545.25800000000004</v>
      </c>
    </row>
    <row r="839" spans="1:10" ht="15.75" x14ac:dyDescent="0.25">
      <c r="A839" s="31">
        <v>66476</v>
      </c>
      <c r="B839" s="14">
        <f>57.8129 * CHOOSE(CONTROL!$C$15, $E$9, 100%, $G$9) + CHOOSE(CONTROL!$C$38, 0.0251, 0)</f>
        <v>57.838000000000001</v>
      </c>
      <c r="C839" s="14">
        <f>54.6817 * CHOOSE(CONTROL!$C$15, $E$9, 100%, $G$9) + CHOOSE(CONTROL!$C$38, 0.0342, 0)</f>
        <v>54.715899999999998</v>
      </c>
      <c r="D839" s="14">
        <f>54.6739 * CHOOSE(CONTROL!$C$15, $E$9, 100%, $G$9) + CHOOSE(CONTROL!$C$38, 0.0342, 0)</f>
        <v>54.708100000000002</v>
      </c>
      <c r="E839" s="45">
        <f>57.6566 * CHOOSE(CONTROL!$C$15, $E$9, 100%, $G$9) + CHOOSE(CONTROL!$C$38, 0.0342, 0)</f>
        <v>57.690799999999996</v>
      </c>
      <c r="F839" s="44">
        <f>57.6566 * CHOOSE(CONTROL!$C$15, $E$9, 100%, $G$9) + CHOOSE(CONTROL!$C$38, 0.0251, 0)</f>
        <v>57.681699999999999</v>
      </c>
      <c r="G839" s="14">
        <f>54.6801 * CHOOSE(CONTROL!$C$15, $E$9, 100%, $G$9) + CHOOSE(CONTROL!$C$38, 0.0342, 0)</f>
        <v>54.714300000000001</v>
      </c>
      <c r="H839" s="14">
        <f>54.6801 * CHOOSE(CONTROL!$C$15, $E$9, 100%, $G$9) + CHOOSE(CONTROL!$C$38, 0.0342, 0)</f>
        <v>54.714300000000001</v>
      </c>
      <c r="I839" s="14">
        <f>54.6817 * CHOOSE(CONTROL!$C$15, $E$9, 100%, $G$9) + CHOOSE(CONTROL!$C$38, 0.0342, 0)</f>
        <v>54.715899999999998</v>
      </c>
      <c r="J839" s="43">
        <f>529.0774</f>
        <v>529.07740000000001</v>
      </c>
    </row>
    <row r="840" spans="1:10" ht="15.75" x14ac:dyDescent="0.25">
      <c r="A840" s="31">
        <v>66507</v>
      </c>
      <c r="B840" s="14">
        <f>57.3785 * CHOOSE(CONTROL!$C$15, $E$9, 100%, $G$9) + CHOOSE(CONTROL!$C$38, 0.0251, 0)</f>
        <v>57.403600000000004</v>
      </c>
      <c r="C840" s="14">
        <f>54.2699 * CHOOSE(CONTROL!$C$15, $E$9, 100%, $G$9) + CHOOSE(CONTROL!$C$38, 0.0342, 0)</f>
        <v>54.304099999999998</v>
      </c>
      <c r="D840" s="14">
        <f>54.2621 * CHOOSE(CONTROL!$C$15, $E$9, 100%, $G$9) + CHOOSE(CONTROL!$C$38, 0.0342, 0)</f>
        <v>54.296299999999995</v>
      </c>
      <c r="E840" s="45">
        <f>57.2222 * CHOOSE(CONTROL!$C$15, $E$9, 100%, $G$9) + CHOOSE(CONTROL!$C$38, 0.0342, 0)</f>
        <v>57.256399999999999</v>
      </c>
      <c r="F840" s="44">
        <f>57.2222 * CHOOSE(CONTROL!$C$15, $E$9, 100%, $G$9) + CHOOSE(CONTROL!$C$38, 0.0251, 0)</f>
        <v>57.247300000000003</v>
      </c>
      <c r="G840" s="14">
        <f>54.2683 * CHOOSE(CONTROL!$C$15, $E$9, 100%, $G$9) + CHOOSE(CONTROL!$C$38, 0.0342, 0)</f>
        <v>54.302500000000002</v>
      </c>
      <c r="H840" s="14">
        <f>54.2683 * CHOOSE(CONTROL!$C$15, $E$9, 100%, $G$9) + CHOOSE(CONTROL!$C$38, 0.0342, 0)</f>
        <v>54.302500000000002</v>
      </c>
      <c r="I840" s="14">
        <f>54.2699 * CHOOSE(CONTROL!$C$15, $E$9, 100%, $G$9) + CHOOSE(CONTROL!$C$38, 0.0342, 0)</f>
        <v>54.304099999999998</v>
      </c>
      <c r="J840" s="43">
        <f>528.6955</f>
        <v>528.69550000000004</v>
      </c>
    </row>
    <row r="841" spans="1:10" ht="15.75" x14ac:dyDescent="0.25">
      <c r="A841" s="31">
        <v>66535</v>
      </c>
      <c r="B841" s="14">
        <f>57.2207 * CHOOSE(CONTROL!$C$15, $E$9, 100%, $G$9) + CHOOSE(CONTROL!$C$38, 0.0251, 0)</f>
        <v>57.245800000000003</v>
      </c>
      <c r="C841" s="14">
        <f>54.1203 * CHOOSE(CONTROL!$C$15, $E$9, 100%, $G$9) + CHOOSE(CONTROL!$C$38, 0.0342, 0)</f>
        <v>54.154499999999999</v>
      </c>
      <c r="D841" s="14">
        <f>54.1125 * CHOOSE(CONTROL!$C$15, $E$9, 100%, $G$9) + CHOOSE(CONTROL!$C$38, 0.0342, 0)</f>
        <v>54.146699999999996</v>
      </c>
      <c r="E841" s="45">
        <f>57.0644 * CHOOSE(CONTROL!$C$15, $E$9, 100%, $G$9) + CHOOSE(CONTROL!$C$38, 0.0342, 0)</f>
        <v>57.098599999999998</v>
      </c>
      <c r="F841" s="44">
        <f>57.0644 * CHOOSE(CONTROL!$C$15, $E$9, 100%, $G$9) + CHOOSE(CONTROL!$C$38, 0.0251, 0)</f>
        <v>57.089500000000001</v>
      </c>
      <c r="G841" s="14">
        <f>54.1187 * CHOOSE(CONTROL!$C$15, $E$9, 100%, $G$9) + CHOOSE(CONTROL!$C$38, 0.0342, 0)</f>
        <v>54.152899999999995</v>
      </c>
      <c r="H841" s="14">
        <f>54.1187 * CHOOSE(CONTROL!$C$15, $E$9, 100%, $G$9) + CHOOSE(CONTROL!$C$38, 0.0342, 0)</f>
        <v>54.152899999999995</v>
      </c>
      <c r="I841" s="14">
        <f>54.1203 * CHOOSE(CONTROL!$C$15, $E$9, 100%, $G$9) + CHOOSE(CONTROL!$C$38, 0.0342, 0)</f>
        <v>54.154499999999999</v>
      </c>
      <c r="J841" s="43">
        <f>527.2259</f>
        <v>527.22590000000002</v>
      </c>
    </row>
    <row r="842" spans="1:10" ht="15.75" x14ac:dyDescent="0.25">
      <c r="A842" s="31">
        <v>66566</v>
      </c>
      <c r="B842" s="14">
        <f>60.204 * CHOOSE(CONTROL!$C$15, $E$9, 100%, $G$9) + CHOOSE(CONTROL!$C$38, 0.0251, 0)</f>
        <v>60.229100000000003</v>
      </c>
      <c r="C842" s="14">
        <f>56.9485 * CHOOSE(CONTROL!$C$15, $E$9, 100%, $G$9) + CHOOSE(CONTROL!$C$38, 0.0342, 0)</f>
        <v>56.982700000000001</v>
      </c>
      <c r="D842" s="14">
        <f>56.9407 * CHOOSE(CONTROL!$C$15, $E$9, 100%, $G$9) + CHOOSE(CONTROL!$C$38, 0.0342, 0)</f>
        <v>56.974899999999998</v>
      </c>
      <c r="E842" s="45">
        <f>60.0478 * CHOOSE(CONTROL!$C$15, $E$9, 100%, $G$9) + CHOOSE(CONTROL!$C$38, 0.0342, 0)</f>
        <v>60.082000000000001</v>
      </c>
      <c r="F842" s="44">
        <f>60.0478 * CHOOSE(CONTROL!$C$15, $E$9, 100%, $G$9) + CHOOSE(CONTROL!$C$38, 0.0251, 0)</f>
        <v>60.072900000000004</v>
      </c>
      <c r="G842" s="14">
        <f>56.9469 * CHOOSE(CONTROL!$C$15, $E$9, 100%, $G$9) + CHOOSE(CONTROL!$C$38, 0.0342, 0)</f>
        <v>56.981099999999998</v>
      </c>
      <c r="H842" s="14">
        <f>56.9469 * CHOOSE(CONTROL!$C$15, $E$9, 100%, $G$9) + CHOOSE(CONTROL!$C$38, 0.0342, 0)</f>
        <v>56.981099999999998</v>
      </c>
      <c r="I842" s="14">
        <f>56.9485 * CHOOSE(CONTROL!$C$15, $E$9, 100%, $G$9) + CHOOSE(CONTROL!$C$38, 0.0342, 0)</f>
        <v>56.982700000000001</v>
      </c>
      <c r="J842" s="43">
        <f>555.0137</f>
        <v>555.01369999999997</v>
      </c>
    </row>
    <row r="843" spans="1:10" ht="15.75" x14ac:dyDescent="0.25">
      <c r="A843" s="31">
        <v>66596</v>
      </c>
      <c r="B843" s="14">
        <f>64.0727 * CHOOSE(CONTROL!$C$15, $E$9, 100%, $G$9) + CHOOSE(CONTROL!$C$38, 0.0251, 0)</f>
        <v>64.097799999999992</v>
      </c>
      <c r="C843" s="14">
        <f>60.6159 * CHOOSE(CONTROL!$C$15, $E$9, 100%, $G$9) + CHOOSE(CONTROL!$C$38, 0.0342, 0)</f>
        <v>60.650100000000002</v>
      </c>
      <c r="D843" s="14">
        <f>60.6081 * CHOOSE(CONTROL!$C$15, $E$9, 100%, $G$9) + CHOOSE(CONTROL!$C$38, 0.0342, 0)</f>
        <v>60.642299999999999</v>
      </c>
      <c r="E843" s="45">
        <f>63.9164 * CHOOSE(CONTROL!$C$15, $E$9, 100%, $G$9) + CHOOSE(CONTROL!$C$38, 0.0342, 0)</f>
        <v>63.950600000000001</v>
      </c>
      <c r="F843" s="44">
        <f>63.9164 * CHOOSE(CONTROL!$C$15, $E$9, 100%, $G$9) + CHOOSE(CONTROL!$C$38, 0.0251, 0)</f>
        <v>63.941500000000005</v>
      </c>
      <c r="G843" s="14">
        <f>60.6144 * CHOOSE(CONTROL!$C$15, $E$9, 100%, $G$9) + CHOOSE(CONTROL!$C$38, 0.0342, 0)</f>
        <v>60.648600000000002</v>
      </c>
      <c r="H843" s="14">
        <f>60.6144 * CHOOSE(CONTROL!$C$15, $E$9, 100%, $G$9) + CHOOSE(CONTROL!$C$38, 0.0342, 0)</f>
        <v>60.648600000000002</v>
      </c>
      <c r="I843" s="14">
        <f>60.6159 * CHOOSE(CONTROL!$C$15, $E$9, 100%, $G$9) + CHOOSE(CONTROL!$C$38, 0.0342, 0)</f>
        <v>60.650100000000002</v>
      </c>
      <c r="J843" s="43">
        <f>591.0479</f>
        <v>591.04790000000003</v>
      </c>
    </row>
    <row r="844" spans="1:10" ht="15.75" x14ac:dyDescent="0.25">
      <c r="A844" s="31">
        <v>66627</v>
      </c>
      <c r="B844" s="14">
        <f>66.2021 * CHOOSE(CONTROL!$C$15, $E$9, 100%, $G$9) + CHOOSE(CONTROL!$C$38, 0.0264, 0)</f>
        <v>66.228499999999997</v>
      </c>
      <c r="C844" s="14">
        <f>62.6346 * CHOOSE(CONTROL!$C$15, $E$9, 100%, $G$9) + CHOOSE(CONTROL!$C$38, 0.0354, 0)</f>
        <v>62.67</v>
      </c>
      <c r="D844" s="14">
        <f>62.6268 * CHOOSE(CONTROL!$C$15, $E$9, 100%, $G$9) + CHOOSE(CONTROL!$C$38, 0.0354, 0)</f>
        <v>62.662200000000006</v>
      </c>
      <c r="E844" s="45">
        <f>66.0459 * CHOOSE(CONTROL!$C$15, $E$9, 100%, $G$9) + CHOOSE(CONTROL!$C$38, 0.0354, 0)</f>
        <v>66.081299999999999</v>
      </c>
      <c r="F844" s="44">
        <f>66.0459 * CHOOSE(CONTROL!$C$15, $E$9, 100%, $G$9) + CHOOSE(CONTROL!$C$38, 0.0264, 0)</f>
        <v>66.072299999999998</v>
      </c>
      <c r="G844" s="14">
        <f>62.633 * CHOOSE(CONTROL!$C$15, $E$9, 100%, $G$9) + CHOOSE(CONTROL!$C$38, 0.0354, 0)</f>
        <v>62.668400000000005</v>
      </c>
      <c r="H844" s="14">
        <f>62.633 * CHOOSE(CONTROL!$C$15, $E$9, 100%, $G$9) + CHOOSE(CONTROL!$C$38, 0.0354, 0)</f>
        <v>62.668400000000005</v>
      </c>
      <c r="I844" s="14">
        <f>62.6346 * CHOOSE(CONTROL!$C$15, $E$9, 100%, $G$9) + CHOOSE(CONTROL!$C$38, 0.0354, 0)</f>
        <v>62.67</v>
      </c>
      <c r="J844" s="43">
        <f>610.8823</f>
        <v>610.88229999999999</v>
      </c>
    </row>
    <row r="845" spans="1:10" ht="15.75" x14ac:dyDescent="0.25">
      <c r="A845" s="31">
        <v>66657</v>
      </c>
      <c r="B845" s="14">
        <f>67.1471 * CHOOSE(CONTROL!$C$15, $E$9, 100%, $G$9) + CHOOSE(CONTROL!$C$38, 0.0264, 0)</f>
        <v>67.17349999999999</v>
      </c>
      <c r="C845" s="14">
        <f>63.5305 * CHOOSE(CONTROL!$C$15, $E$9, 100%, $G$9) + CHOOSE(CONTROL!$C$38, 0.0354, 0)</f>
        <v>63.565900000000006</v>
      </c>
      <c r="D845" s="14">
        <f>63.5226 * CHOOSE(CONTROL!$C$15, $E$9, 100%, $G$9) + CHOOSE(CONTROL!$C$38, 0.0354, 0)</f>
        <v>63.558</v>
      </c>
      <c r="E845" s="45">
        <f>66.9909 * CHOOSE(CONTROL!$C$15, $E$9, 100%, $G$9) + CHOOSE(CONTROL!$C$38, 0.0354, 0)</f>
        <v>67.026299999999992</v>
      </c>
      <c r="F845" s="44">
        <f>66.9909 * CHOOSE(CONTROL!$C$15, $E$9, 100%, $G$9) + CHOOSE(CONTROL!$C$38, 0.0264, 0)</f>
        <v>67.017299999999992</v>
      </c>
      <c r="G845" s="14">
        <f>63.5289 * CHOOSE(CONTROL!$C$15, $E$9, 100%, $G$9) + CHOOSE(CONTROL!$C$38, 0.0354, 0)</f>
        <v>63.564300000000003</v>
      </c>
      <c r="H845" s="14">
        <f>63.5289 * CHOOSE(CONTROL!$C$15, $E$9, 100%, $G$9) + CHOOSE(CONTROL!$C$38, 0.0354, 0)</f>
        <v>63.564300000000003</v>
      </c>
      <c r="I845" s="14">
        <f>63.5305 * CHOOSE(CONTROL!$C$15, $E$9, 100%, $G$9) + CHOOSE(CONTROL!$C$38, 0.0354, 0)</f>
        <v>63.565900000000006</v>
      </c>
      <c r="J845" s="43">
        <f>619.6845</f>
        <v>619.68449999999996</v>
      </c>
    </row>
    <row r="846" spans="1:10" ht="15.75" x14ac:dyDescent="0.25">
      <c r="A846" s="31">
        <v>66688</v>
      </c>
      <c r="B846" s="14">
        <f>66.836 * CHOOSE(CONTROL!$C$15, $E$9, 100%, $G$9) + CHOOSE(CONTROL!$C$38, 0.0264, 0)</f>
        <v>66.862399999999994</v>
      </c>
      <c r="C846" s="14">
        <f>63.2355 * CHOOSE(CONTROL!$C$15, $E$9, 100%, $G$9) + CHOOSE(CONTROL!$C$38, 0.0354, 0)</f>
        <v>63.270900000000005</v>
      </c>
      <c r="D846" s="14">
        <f>63.2277 * CHOOSE(CONTROL!$C$15, $E$9, 100%, $G$9) + CHOOSE(CONTROL!$C$38, 0.0354, 0)</f>
        <v>63.263100000000001</v>
      </c>
      <c r="E846" s="45">
        <f>66.6797 * CHOOSE(CONTROL!$C$15, $E$9, 100%, $G$9) + CHOOSE(CONTROL!$C$38, 0.0354, 0)</f>
        <v>66.715099999999993</v>
      </c>
      <c r="F846" s="44">
        <f>66.6797 * CHOOSE(CONTROL!$C$15, $E$9, 100%, $G$9) + CHOOSE(CONTROL!$C$38, 0.0264, 0)</f>
        <v>66.706099999999992</v>
      </c>
      <c r="G846" s="14">
        <f>63.2339 * CHOOSE(CONTROL!$C$15, $E$9, 100%, $G$9) + CHOOSE(CONTROL!$C$38, 0.0354, 0)</f>
        <v>63.269300000000001</v>
      </c>
      <c r="H846" s="14">
        <f>63.2339 * CHOOSE(CONTROL!$C$15, $E$9, 100%, $G$9) + CHOOSE(CONTROL!$C$38, 0.0354, 0)</f>
        <v>63.269300000000001</v>
      </c>
      <c r="I846" s="14">
        <f>63.2355 * CHOOSE(CONTROL!$C$15, $E$9, 100%, $G$9) + CHOOSE(CONTROL!$C$38, 0.0354, 0)</f>
        <v>63.270900000000005</v>
      </c>
      <c r="J846" s="43">
        <f>616.7864</f>
        <v>616.78639999999996</v>
      </c>
    </row>
    <row r="847" spans="1:10" ht="15.75" x14ac:dyDescent="0.25">
      <c r="A847" s="31">
        <v>66719</v>
      </c>
      <c r="B847" s="14">
        <f>65.2944 * CHOOSE(CONTROL!$C$15, $E$9, 100%, $G$9) + CHOOSE(CONTROL!$C$38, 0.0264, 0)</f>
        <v>65.320799999999991</v>
      </c>
      <c r="C847" s="14">
        <f>61.7741 * CHOOSE(CONTROL!$C$15, $E$9, 100%, $G$9) + CHOOSE(CONTROL!$C$38, 0.0354, 0)</f>
        <v>61.8095</v>
      </c>
      <c r="D847" s="14">
        <f>61.7663 * CHOOSE(CONTROL!$C$15, $E$9, 100%, $G$9) + CHOOSE(CONTROL!$C$38, 0.0354, 0)</f>
        <v>61.801700000000004</v>
      </c>
      <c r="E847" s="45">
        <f>65.1382 * CHOOSE(CONTROL!$C$15, $E$9, 100%, $G$9) + CHOOSE(CONTROL!$C$38, 0.0354, 0)</f>
        <v>65.173599999999993</v>
      </c>
      <c r="F847" s="44">
        <f>65.1382 * CHOOSE(CONTROL!$C$15, $E$9, 100%, $G$9) + CHOOSE(CONTROL!$C$38, 0.0264, 0)</f>
        <v>65.164599999999993</v>
      </c>
      <c r="G847" s="14">
        <f>61.7726 * CHOOSE(CONTROL!$C$15, $E$9, 100%, $G$9) + CHOOSE(CONTROL!$C$38, 0.0354, 0)</f>
        <v>61.808</v>
      </c>
      <c r="H847" s="14">
        <f>61.7726 * CHOOSE(CONTROL!$C$15, $E$9, 100%, $G$9) + CHOOSE(CONTROL!$C$38, 0.0354, 0)</f>
        <v>61.808</v>
      </c>
      <c r="I847" s="14">
        <f>61.7741 * CHOOSE(CONTROL!$C$15, $E$9, 100%, $G$9) + CHOOSE(CONTROL!$C$38, 0.0354, 0)</f>
        <v>61.8095</v>
      </c>
      <c r="J847" s="43">
        <f>602.4279</f>
        <v>602.42790000000002</v>
      </c>
    </row>
    <row r="848" spans="1:10" ht="15.75" x14ac:dyDescent="0.25">
      <c r="A848" s="31">
        <v>66749</v>
      </c>
      <c r="B848" s="14">
        <f>63.1447 * CHOOSE(CONTROL!$C$15, $E$9, 100%, $G$9) + CHOOSE(CONTROL!$C$38, 0.0264, 0)</f>
        <v>63.171100000000003</v>
      </c>
      <c r="C848" s="14">
        <f>59.7362 * CHOOSE(CONTROL!$C$15, $E$9, 100%, $G$9) + CHOOSE(CONTROL!$C$38, 0.0354, 0)</f>
        <v>59.771599999999999</v>
      </c>
      <c r="D848" s="14">
        <f>59.7284 * CHOOSE(CONTROL!$C$15, $E$9, 100%, $G$9) + CHOOSE(CONTROL!$C$38, 0.0354, 0)</f>
        <v>59.763800000000003</v>
      </c>
      <c r="E848" s="45">
        <f>62.9884 * CHOOSE(CONTROL!$C$15, $E$9, 100%, $G$9) + CHOOSE(CONTROL!$C$38, 0.0354, 0)</f>
        <v>63.023800000000001</v>
      </c>
      <c r="F848" s="44">
        <f>62.9884 * CHOOSE(CONTROL!$C$15, $E$9, 100%, $G$9) + CHOOSE(CONTROL!$C$38, 0.0264, 0)</f>
        <v>63.014800000000001</v>
      </c>
      <c r="G848" s="14">
        <f>59.7346 * CHOOSE(CONTROL!$C$15, $E$9, 100%, $G$9) + CHOOSE(CONTROL!$C$38, 0.0354, 0)</f>
        <v>59.77</v>
      </c>
      <c r="H848" s="14">
        <f>59.7346 * CHOOSE(CONTROL!$C$15, $E$9, 100%, $G$9) + CHOOSE(CONTROL!$C$38, 0.0354, 0)</f>
        <v>59.77</v>
      </c>
      <c r="I848" s="14">
        <f>59.7362 * CHOOSE(CONTROL!$C$15, $E$9, 100%, $G$9) + CHOOSE(CONTROL!$C$38, 0.0354, 0)</f>
        <v>59.771599999999999</v>
      </c>
      <c r="J848" s="43">
        <f>582.4042</f>
        <v>582.40419999999995</v>
      </c>
    </row>
    <row r="849" spans="1:10" ht="15.75" x14ac:dyDescent="0.25">
      <c r="A849" s="31">
        <v>66780</v>
      </c>
      <c r="B849" s="14">
        <f>60.9824 * CHOOSE(CONTROL!$C$15, $E$9, 100%, $G$9) + CHOOSE(CONTROL!$C$38, 0.0251, 0)</f>
        <v>61.0075</v>
      </c>
      <c r="C849" s="14">
        <f>57.6864 * CHOOSE(CONTROL!$C$15, $E$9, 100%, $G$9) + CHOOSE(CONTROL!$C$38, 0.0342, 0)</f>
        <v>57.720599999999997</v>
      </c>
      <c r="D849" s="14">
        <f>57.6786 * CHOOSE(CONTROL!$C$15, $E$9, 100%, $G$9) + CHOOSE(CONTROL!$C$38, 0.0342, 0)</f>
        <v>57.712800000000001</v>
      </c>
      <c r="E849" s="45">
        <f>60.8262 * CHOOSE(CONTROL!$C$15, $E$9, 100%, $G$9) + CHOOSE(CONTROL!$C$38, 0.0342, 0)</f>
        <v>60.860399999999998</v>
      </c>
      <c r="F849" s="44">
        <f>60.8262 * CHOOSE(CONTROL!$C$15, $E$9, 100%, $G$9) + CHOOSE(CONTROL!$C$38, 0.0251, 0)</f>
        <v>60.851300000000002</v>
      </c>
      <c r="G849" s="14">
        <f>57.6848 * CHOOSE(CONTROL!$C$15, $E$9, 100%, $G$9) + CHOOSE(CONTROL!$C$38, 0.0342, 0)</f>
        <v>57.719000000000001</v>
      </c>
      <c r="H849" s="14">
        <f>57.6848 * CHOOSE(CONTROL!$C$15, $E$9, 100%, $G$9) + CHOOSE(CONTROL!$C$38, 0.0342, 0)</f>
        <v>57.719000000000001</v>
      </c>
      <c r="I849" s="14">
        <f>57.6864 * CHOOSE(CONTROL!$C$15, $E$9, 100%, $G$9) + CHOOSE(CONTROL!$C$38, 0.0342, 0)</f>
        <v>57.720599999999997</v>
      </c>
      <c r="J849" s="43">
        <f>562.2641</f>
        <v>562.26409999999998</v>
      </c>
    </row>
    <row r="850" spans="1:10" ht="15.75" x14ac:dyDescent="0.25">
      <c r="A850" s="31">
        <v>66810</v>
      </c>
      <c r="B850" s="14">
        <f>60.5523 * CHOOSE(CONTROL!$C$15, $E$9, 100%, $G$9) + CHOOSE(CONTROL!$C$38, 0.0251, 0)</f>
        <v>60.577400000000004</v>
      </c>
      <c r="C850" s="14">
        <f>57.2786 * CHOOSE(CONTROL!$C$15, $E$9, 100%, $G$9) + CHOOSE(CONTROL!$C$38, 0.0342, 0)</f>
        <v>57.312799999999996</v>
      </c>
      <c r="D850" s="14">
        <f>57.2708 * CHOOSE(CONTROL!$C$15, $E$9, 100%, $G$9) + CHOOSE(CONTROL!$C$38, 0.0342, 0)</f>
        <v>57.305</v>
      </c>
      <c r="E850" s="45">
        <f>60.3961 * CHOOSE(CONTROL!$C$15, $E$9, 100%, $G$9) + CHOOSE(CONTROL!$C$38, 0.0342, 0)</f>
        <v>60.430299999999995</v>
      </c>
      <c r="F850" s="44">
        <f>60.3961 * CHOOSE(CONTROL!$C$15, $E$9, 100%, $G$9) + CHOOSE(CONTROL!$C$38, 0.0251, 0)</f>
        <v>60.421199999999999</v>
      </c>
      <c r="G850" s="14">
        <f>57.2771 * CHOOSE(CONTROL!$C$15, $E$9, 100%, $G$9) + CHOOSE(CONTROL!$C$38, 0.0342, 0)</f>
        <v>57.311299999999996</v>
      </c>
      <c r="H850" s="14">
        <f>57.2771 * CHOOSE(CONTROL!$C$15, $E$9, 100%, $G$9) + CHOOSE(CONTROL!$C$38, 0.0342, 0)</f>
        <v>57.311299999999996</v>
      </c>
      <c r="I850" s="14">
        <f>57.2786 * CHOOSE(CONTROL!$C$15, $E$9, 100%, $G$9) + CHOOSE(CONTROL!$C$38, 0.0342, 0)</f>
        <v>57.312799999999996</v>
      </c>
      <c r="J850" s="43">
        <f>558.2578</f>
        <v>558.25779999999997</v>
      </c>
    </row>
    <row r="851" spans="1:10" ht="15.75" x14ac:dyDescent="0.25">
      <c r="A851" s="31">
        <v>66841</v>
      </c>
      <c r="B851" s="14">
        <f>58.7737 * CHOOSE(CONTROL!$C$15, $E$9, 100%, $G$9) + CHOOSE(CONTROL!$C$38, 0.0251, 0)</f>
        <v>58.7988</v>
      </c>
      <c r="C851" s="14">
        <f>55.5926 * CHOOSE(CONTROL!$C$15, $E$9, 100%, $G$9) + CHOOSE(CONTROL!$C$38, 0.0342, 0)</f>
        <v>55.626799999999996</v>
      </c>
      <c r="D851" s="14">
        <f>55.5848 * CHOOSE(CONTROL!$C$15, $E$9, 100%, $G$9) + CHOOSE(CONTROL!$C$38, 0.0342, 0)</f>
        <v>55.619</v>
      </c>
      <c r="E851" s="45">
        <f>58.6175 * CHOOSE(CONTROL!$C$15, $E$9, 100%, $G$9) + CHOOSE(CONTROL!$C$38, 0.0342, 0)</f>
        <v>58.651699999999998</v>
      </c>
      <c r="F851" s="44">
        <f>58.6175 * CHOOSE(CONTROL!$C$15, $E$9, 100%, $G$9) + CHOOSE(CONTROL!$C$38, 0.0251, 0)</f>
        <v>58.642600000000002</v>
      </c>
      <c r="G851" s="14">
        <f>55.591 * CHOOSE(CONTROL!$C$15, $E$9, 100%, $G$9) + CHOOSE(CONTROL!$C$38, 0.0342, 0)</f>
        <v>55.6252</v>
      </c>
      <c r="H851" s="14">
        <f>55.591 * CHOOSE(CONTROL!$C$15, $E$9, 100%, $G$9) + CHOOSE(CONTROL!$C$38, 0.0342, 0)</f>
        <v>55.6252</v>
      </c>
      <c r="I851" s="14">
        <f>55.5926 * CHOOSE(CONTROL!$C$15, $E$9, 100%, $G$9) + CHOOSE(CONTROL!$C$38, 0.0342, 0)</f>
        <v>55.626799999999996</v>
      </c>
      <c r="J851" s="43">
        <f>541.6914</f>
        <v>541.69140000000004</v>
      </c>
    </row>
    <row r="852" spans="1:10" ht="15.75" x14ac:dyDescent="0.25">
      <c r="A852" s="31">
        <v>66872</v>
      </c>
      <c r="B852" s="14">
        <f>58.332 * CHOOSE(CONTROL!$C$15, $E$9, 100%, $G$9) + CHOOSE(CONTROL!$C$38, 0.0251, 0)</f>
        <v>58.357100000000003</v>
      </c>
      <c r="C852" s="14">
        <f>55.1739 * CHOOSE(CONTROL!$C$15, $E$9, 100%, $G$9) + CHOOSE(CONTROL!$C$38, 0.0342, 0)</f>
        <v>55.208100000000002</v>
      </c>
      <c r="D852" s="14">
        <f>55.166 * CHOOSE(CONTROL!$C$15, $E$9, 100%, $G$9) + CHOOSE(CONTROL!$C$38, 0.0342, 0)</f>
        <v>55.200199999999995</v>
      </c>
      <c r="E852" s="45">
        <f>58.1758 * CHOOSE(CONTROL!$C$15, $E$9, 100%, $G$9) + CHOOSE(CONTROL!$C$38, 0.0342, 0)</f>
        <v>58.21</v>
      </c>
      <c r="F852" s="44">
        <f>58.1758 * CHOOSE(CONTROL!$C$15, $E$9, 100%, $G$9) + CHOOSE(CONTROL!$C$38, 0.0251, 0)</f>
        <v>58.200900000000004</v>
      </c>
      <c r="G852" s="14">
        <f>55.1723 * CHOOSE(CONTROL!$C$15, $E$9, 100%, $G$9) + CHOOSE(CONTROL!$C$38, 0.0342, 0)</f>
        <v>55.206499999999998</v>
      </c>
      <c r="H852" s="14">
        <f>55.1723 * CHOOSE(CONTROL!$C$15, $E$9, 100%, $G$9) + CHOOSE(CONTROL!$C$38, 0.0342, 0)</f>
        <v>55.206499999999998</v>
      </c>
      <c r="I852" s="14">
        <f>55.1739 * CHOOSE(CONTROL!$C$15, $E$9, 100%, $G$9) + CHOOSE(CONTROL!$C$38, 0.0342, 0)</f>
        <v>55.208100000000002</v>
      </c>
      <c r="J852" s="43">
        <f>541.3004</f>
        <v>541.30039999999997</v>
      </c>
    </row>
    <row r="853" spans="1:10" ht="15.75" x14ac:dyDescent="0.25">
      <c r="A853" s="31">
        <v>66900</v>
      </c>
      <c r="B853" s="14">
        <f>58.1716 * CHOOSE(CONTROL!$C$15, $E$9, 100%, $G$9) + CHOOSE(CONTROL!$C$38, 0.0251, 0)</f>
        <v>58.1967</v>
      </c>
      <c r="C853" s="14">
        <f>55.0218 * CHOOSE(CONTROL!$C$15, $E$9, 100%, $G$9) + CHOOSE(CONTROL!$C$38, 0.0342, 0)</f>
        <v>55.055999999999997</v>
      </c>
      <c r="D853" s="14">
        <f>55.014 * CHOOSE(CONTROL!$C$15, $E$9, 100%, $G$9) + CHOOSE(CONTROL!$C$38, 0.0342, 0)</f>
        <v>55.048200000000001</v>
      </c>
      <c r="E853" s="45">
        <f>58.0154 * CHOOSE(CONTROL!$C$15, $E$9, 100%, $G$9) + CHOOSE(CONTROL!$C$38, 0.0342, 0)</f>
        <v>58.049599999999998</v>
      </c>
      <c r="F853" s="44">
        <f>58.0154 * CHOOSE(CONTROL!$C$15, $E$9, 100%, $G$9) + CHOOSE(CONTROL!$C$38, 0.0251, 0)</f>
        <v>58.040500000000002</v>
      </c>
      <c r="G853" s="14">
        <f>55.0202 * CHOOSE(CONTROL!$C$15, $E$9, 100%, $G$9) + CHOOSE(CONTROL!$C$38, 0.0342, 0)</f>
        <v>55.054400000000001</v>
      </c>
      <c r="H853" s="14">
        <f>55.0202 * CHOOSE(CONTROL!$C$15, $E$9, 100%, $G$9) + CHOOSE(CONTROL!$C$38, 0.0342, 0)</f>
        <v>55.054400000000001</v>
      </c>
      <c r="I853" s="14">
        <f>55.0218 * CHOOSE(CONTROL!$C$15, $E$9, 100%, $G$9) + CHOOSE(CONTROL!$C$38, 0.0342, 0)</f>
        <v>55.055999999999997</v>
      </c>
      <c r="J853" s="43">
        <f>539.7957</f>
        <v>539.79570000000001</v>
      </c>
    </row>
    <row r="854" spans="1:10" ht="15.75" x14ac:dyDescent="0.25">
      <c r="A854" s="31">
        <v>66931</v>
      </c>
      <c r="B854" s="14">
        <f>61.2051 * CHOOSE(CONTROL!$C$15, $E$9, 100%, $G$9) + CHOOSE(CONTROL!$C$38, 0.0251, 0)</f>
        <v>61.230200000000004</v>
      </c>
      <c r="C854" s="14">
        <f>57.8974 * CHOOSE(CONTROL!$C$15, $E$9, 100%, $G$9) + CHOOSE(CONTROL!$C$38, 0.0342, 0)</f>
        <v>57.931599999999996</v>
      </c>
      <c r="D854" s="14">
        <f>57.8896 * CHOOSE(CONTROL!$C$15, $E$9, 100%, $G$9) + CHOOSE(CONTROL!$C$38, 0.0342, 0)</f>
        <v>57.9238</v>
      </c>
      <c r="E854" s="45">
        <f>61.0488 * CHOOSE(CONTROL!$C$15, $E$9, 100%, $G$9) + CHOOSE(CONTROL!$C$38, 0.0342, 0)</f>
        <v>61.082999999999998</v>
      </c>
      <c r="F854" s="44">
        <f>61.0488 * CHOOSE(CONTROL!$C$15, $E$9, 100%, $G$9) + CHOOSE(CONTROL!$C$38, 0.0251, 0)</f>
        <v>61.073900000000002</v>
      </c>
      <c r="G854" s="14">
        <f>57.8959 * CHOOSE(CONTROL!$C$15, $E$9, 100%, $G$9) + CHOOSE(CONTROL!$C$38, 0.0342, 0)</f>
        <v>57.930099999999996</v>
      </c>
      <c r="H854" s="14">
        <f>57.8959 * CHOOSE(CONTROL!$C$15, $E$9, 100%, $G$9) + CHOOSE(CONTROL!$C$38, 0.0342, 0)</f>
        <v>57.930099999999996</v>
      </c>
      <c r="I854" s="14">
        <f>57.8974 * CHOOSE(CONTROL!$C$15, $E$9, 100%, $G$9) + CHOOSE(CONTROL!$C$38, 0.0342, 0)</f>
        <v>57.931599999999996</v>
      </c>
      <c r="J854" s="43">
        <f>568.2461</f>
        <v>568.24609999999996</v>
      </c>
    </row>
    <row r="855" spans="1:10" ht="15.75" x14ac:dyDescent="0.25">
      <c r="A855" s="31">
        <v>66961</v>
      </c>
      <c r="B855" s="14">
        <f>65.1387 * CHOOSE(CONTROL!$C$15, $E$9, 100%, $G$9) + CHOOSE(CONTROL!$C$38, 0.0251, 0)</f>
        <v>65.163799999999995</v>
      </c>
      <c r="C855" s="14">
        <f>61.6265 * CHOOSE(CONTROL!$C$15, $E$9, 100%, $G$9) + CHOOSE(CONTROL!$C$38, 0.0342, 0)</f>
        <v>61.660699999999999</v>
      </c>
      <c r="D855" s="14">
        <f>61.6187 * CHOOSE(CONTROL!$C$15, $E$9, 100%, $G$9) + CHOOSE(CONTROL!$C$38, 0.0342, 0)</f>
        <v>61.652899999999995</v>
      </c>
      <c r="E855" s="45">
        <f>64.9825 * CHOOSE(CONTROL!$C$15, $E$9, 100%, $G$9) + CHOOSE(CONTROL!$C$38, 0.0342, 0)</f>
        <v>65.0167</v>
      </c>
      <c r="F855" s="44">
        <f>64.9825 * CHOOSE(CONTROL!$C$15, $E$9, 100%, $G$9) + CHOOSE(CONTROL!$C$38, 0.0251, 0)</f>
        <v>65.007599999999996</v>
      </c>
      <c r="G855" s="14">
        <f>61.6249 * CHOOSE(CONTROL!$C$15, $E$9, 100%, $G$9) + CHOOSE(CONTROL!$C$38, 0.0342, 0)</f>
        <v>61.659099999999995</v>
      </c>
      <c r="H855" s="14">
        <f>61.6249 * CHOOSE(CONTROL!$C$15, $E$9, 100%, $G$9) + CHOOSE(CONTROL!$C$38, 0.0342, 0)</f>
        <v>61.659099999999995</v>
      </c>
      <c r="I855" s="14">
        <f>61.6265 * CHOOSE(CONTROL!$C$15, $E$9, 100%, $G$9) + CHOOSE(CONTROL!$C$38, 0.0342, 0)</f>
        <v>61.660699999999999</v>
      </c>
      <c r="J855" s="43">
        <f>605.1394</f>
        <v>605.13940000000002</v>
      </c>
    </row>
    <row r="856" spans="1:10" ht="15.75" x14ac:dyDescent="0.25">
      <c r="A856" s="31">
        <v>66992</v>
      </c>
      <c r="B856" s="14">
        <f>67.3039 * CHOOSE(CONTROL!$C$15, $E$9, 100%, $G$9) + CHOOSE(CONTROL!$C$38, 0.0264, 0)</f>
        <v>67.330299999999994</v>
      </c>
      <c r="C856" s="14">
        <f>63.6791 * CHOOSE(CONTROL!$C$15, $E$9, 100%, $G$9) + CHOOSE(CONTROL!$C$38, 0.0354, 0)</f>
        <v>63.714500000000001</v>
      </c>
      <c r="D856" s="14">
        <f>63.6713 * CHOOSE(CONTROL!$C$15, $E$9, 100%, $G$9) + CHOOSE(CONTROL!$C$38, 0.0354, 0)</f>
        <v>63.706700000000005</v>
      </c>
      <c r="E856" s="45">
        <f>67.1477 * CHOOSE(CONTROL!$C$15, $E$9, 100%, $G$9) + CHOOSE(CONTROL!$C$38, 0.0354, 0)</f>
        <v>67.183099999999996</v>
      </c>
      <c r="F856" s="44">
        <f>67.1477 * CHOOSE(CONTROL!$C$15, $E$9, 100%, $G$9) + CHOOSE(CONTROL!$C$38, 0.0264, 0)</f>
        <v>67.174099999999996</v>
      </c>
      <c r="G856" s="14">
        <f>63.6775 * CHOOSE(CONTROL!$C$15, $E$9, 100%, $G$9) + CHOOSE(CONTROL!$C$38, 0.0354, 0)</f>
        <v>63.712900000000005</v>
      </c>
      <c r="H856" s="14">
        <f>63.6775 * CHOOSE(CONTROL!$C$15, $E$9, 100%, $G$9) + CHOOSE(CONTROL!$C$38, 0.0354, 0)</f>
        <v>63.712900000000005</v>
      </c>
      <c r="I856" s="14">
        <f>63.6791 * CHOOSE(CONTROL!$C$15, $E$9, 100%, $G$9) + CHOOSE(CONTROL!$C$38, 0.0354, 0)</f>
        <v>63.714500000000001</v>
      </c>
      <c r="J856" s="43">
        <f>625.4467</f>
        <v>625.44669999999996</v>
      </c>
    </row>
    <row r="857" spans="1:10" ht="15.75" x14ac:dyDescent="0.25">
      <c r="A857" s="31">
        <v>67022</v>
      </c>
      <c r="B857" s="14">
        <f>68.2648 * CHOOSE(CONTROL!$C$15, $E$9, 100%, $G$9) + CHOOSE(CONTROL!$C$38, 0.0264, 0)</f>
        <v>68.291199999999989</v>
      </c>
      <c r="C857" s="14">
        <f>64.59 * CHOOSE(CONTROL!$C$15, $E$9, 100%, $G$9) + CHOOSE(CONTROL!$C$38, 0.0354, 0)</f>
        <v>64.625399999999999</v>
      </c>
      <c r="D857" s="14">
        <f>64.5822 * CHOOSE(CONTROL!$C$15, $E$9, 100%, $G$9) + CHOOSE(CONTROL!$C$38, 0.0354, 0)</f>
        <v>64.617599999999996</v>
      </c>
      <c r="E857" s="45">
        <f>68.1086 * CHOOSE(CONTROL!$C$15, $E$9, 100%, $G$9) + CHOOSE(CONTROL!$C$38, 0.0354, 0)</f>
        <v>68.143999999999991</v>
      </c>
      <c r="F857" s="44">
        <f>68.1086 * CHOOSE(CONTROL!$C$15, $E$9, 100%, $G$9) + CHOOSE(CONTROL!$C$38, 0.0264, 0)</f>
        <v>68.134999999999991</v>
      </c>
      <c r="G857" s="14">
        <f>64.5884 * CHOOSE(CONTROL!$C$15, $E$9, 100%, $G$9) + CHOOSE(CONTROL!$C$38, 0.0354, 0)</f>
        <v>64.623799999999989</v>
      </c>
      <c r="H857" s="14">
        <f>64.5884 * CHOOSE(CONTROL!$C$15, $E$9, 100%, $G$9) + CHOOSE(CONTROL!$C$38, 0.0354, 0)</f>
        <v>64.623799999999989</v>
      </c>
      <c r="I857" s="14">
        <f>64.59 * CHOOSE(CONTROL!$C$15, $E$9, 100%, $G$9) + CHOOSE(CONTROL!$C$38, 0.0354, 0)</f>
        <v>64.625399999999999</v>
      </c>
      <c r="J857" s="43">
        <f>634.4587</f>
        <v>634.45870000000002</v>
      </c>
    </row>
    <row r="858" spans="1:10" ht="15.75" x14ac:dyDescent="0.25">
      <c r="A858" s="31">
        <v>67053</v>
      </c>
      <c r="B858" s="14">
        <f>67.9485 * CHOOSE(CONTROL!$C$15, $E$9, 100%, $G$9) + CHOOSE(CONTROL!$C$38, 0.0264, 0)</f>
        <v>67.974899999999991</v>
      </c>
      <c r="C858" s="14">
        <f>64.2901 * CHOOSE(CONTROL!$C$15, $E$9, 100%, $G$9) + CHOOSE(CONTROL!$C$38, 0.0354, 0)</f>
        <v>64.325499999999991</v>
      </c>
      <c r="D858" s="14">
        <f>64.2823 * CHOOSE(CONTROL!$C$15, $E$9, 100%, $G$9) + CHOOSE(CONTROL!$C$38, 0.0354, 0)</f>
        <v>64.317700000000002</v>
      </c>
      <c r="E858" s="45">
        <f>67.7922 * CHOOSE(CONTROL!$C$15, $E$9, 100%, $G$9) + CHOOSE(CONTROL!$C$38, 0.0354, 0)</f>
        <v>67.82759999999999</v>
      </c>
      <c r="F858" s="44">
        <f>67.7922 * CHOOSE(CONTROL!$C$15, $E$9, 100%, $G$9) + CHOOSE(CONTROL!$C$38, 0.0264, 0)</f>
        <v>67.818599999999989</v>
      </c>
      <c r="G858" s="14">
        <f>64.2885 * CHOOSE(CONTROL!$C$15, $E$9, 100%, $G$9) + CHOOSE(CONTROL!$C$38, 0.0354, 0)</f>
        <v>64.323899999999995</v>
      </c>
      <c r="H858" s="14">
        <f>64.2885 * CHOOSE(CONTROL!$C$15, $E$9, 100%, $G$9) + CHOOSE(CONTROL!$C$38, 0.0354, 0)</f>
        <v>64.323899999999995</v>
      </c>
      <c r="I858" s="14">
        <f>64.2901 * CHOOSE(CONTROL!$C$15, $E$9, 100%, $G$9) + CHOOSE(CONTROL!$C$38, 0.0354, 0)</f>
        <v>64.325499999999991</v>
      </c>
      <c r="J858" s="43">
        <f>631.4915</f>
        <v>631.49149999999997</v>
      </c>
    </row>
    <row r="859" spans="1:10" ht="15.75" x14ac:dyDescent="0.25">
      <c r="A859" s="31">
        <v>67084</v>
      </c>
      <c r="B859" s="14">
        <f>66.381 * CHOOSE(CONTROL!$C$15, $E$9, 100%, $G$9) + CHOOSE(CONTROL!$C$38, 0.0264, 0)</f>
        <v>66.407399999999996</v>
      </c>
      <c r="C859" s="14">
        <f>62.8042 * CHOOSE(CONTROL!$C$15, $E$9, 100%, $G$9) + CHOOSE(CONTROL!$C$38, 0.0354, 0)</f>
        <v>62.839600000000004</v>
      </c>
      <c r="D859" s="14">
        <f>62.7964 * CHOOSE(CONTROL!$C$15, $E$9, 100%, $G$9) + CHOOSE(CONTROL!$C$38, 0.0354, 0)</f>
        <v>62.831800000000001</v>
      </c>
      <c r="E859" s="45">
        <f>66.2248 * CHOOSE(CONTROL!$C$15, $E$9, 100%, $G$9) + CHOOSE(CONTROL!$C$38, 0.0354, 0)</f>
        <v>66.260199999999998</v>
      </c>
      <c r="F859" s="44">
        <f>66.2248 * CHOOSE(CONTROL!$C$15, $E$9, 100%, $G$9) + CHOOSE(CONTROL!$C$38, 0.0264, 0)</f>
        <v>66.251199999999997</v>
      </c>
      <c r="G859" s="14">
        <f>62.8026 * CHOOSE(CONTROL!$C$15, $E$9, 100%, $G$9) + CHOOSE(CONTROL!$C$38, 0.0354, 0)</f>
        <v>62.838000000000001</v>
      </c>
      <c r="H859" s="14">
        <f>62.8026 * CHOOSE(CONTROL!$C$15, $E$9, 100%, $G$9) + CHOOSE(CONTROL!$C$38, 0.0354, 0)</f>
        <v>62.838000000000001</v>
      </c>
      <c r="I859" s="14">
        <f>62.8042 * CHOOSE(CONTROL!$C$15, $E$9, 100%, $G$9) + CHOOSE(CONTROL!$C$38, 0.0354, 0)</f>
        <v>62.839600000000004</v>
      </c>
      <c r="J859" s="43">
        <f>616.7906</f>
        <v>616.79060000000004</v>
      </c>
    </row>
    <row r="860" spans="1:10" ht="15.75" x14ac:dyDescent="0.25">
      <c r="A860" s="31">
        <v>67114</v>
      </c>
      <c r="B860" s="14">
        <f>64.1951 * CHOOSE(CONTROL!$C$15, $E$9, 100%, $G$9) + CHOOSE(CONTROL!$C$38, 0.0264, 0)</f>
        <v>64.221499999999992</v>
      </c>
      <c r="C860" s="14">
        <f>60.732 * CHOOSE(CONTROL!$C$15, $E$9, 100%, $G$9) + CHOOSE(CONTROL!$C$38, 0.0354, 0)</f>
        <v>60.767400000000002</v>
      </c>
      <c r="D860" s="14">
        <f>60.7242 * CHOOSE(CONTROL!$C$15, $E$9, 100%, $G$9) + CHOOSE(CONTROL!$C$38, 0.0354, 0)</f>
        <v>60.759600000000006</v>
      </c>
      <c r="E860" s="45">
        <f>64.0389 * CHOOSE(CONTROL!$C$15, $E$9, 100%, $G$9) + CHOOSE(CONTROL!$C$38, 0.0354, 0)</f>
        <v>64.074299999999994</v>
      </c>
      <c r="F860" s="44">
        <f>64.0389 * CHOOSE(CONTROL!$C$15, $E$9, 100%, $G$9) + CHOOSE(CONTROL!$C$38, 0.0264, 0)</f>
        <v>64.065299999999993</v>
      </c>
      <c r="G860" s="14">
        <f>60.7304 * CHOOSE(CONTROL!$C$15, $E$9, 100%, $G$9) + CHOOSE(CONTROL!$C$38, 0.0354, 0)</f>
        <v>60.765800000000006</v>
      </c>
      <c r="H860" s="14">
        <f>60.7304 * CHOOSE(CONTROL!$C$15, $E$9, 100%, $G$9) + CHOOSE(CONTROL!$C$38, 0.0354, 0)</f>
        <v>60.765800000000006</v>
      </c>
      <c r="I860" s="14">
        <f>60.732 * CHOOSE(CONTROL!$C$15, $E$9, 100%, $G$9) + CHOOSE(CONTROL!$C$38, 0.0354, 0)</f>
        <v>60.767400000000002</v>
      </c>
      <c r="J860" s="43">
        <f>596.2896</f>
        <v>596.28959999999995</v>
      </c>
    </row>
    <row r="861" spans="1:10" ht="15.75" x14ac:dyDescent="0.25">
      <c r="A861" s="31">
        <v>67145</v>
      </c>
      <c r="B861" s="14">
        <f>61.9965 * CHOOSE(CONTROL!$C$15, $E$9, 100%, $G$9) + CHOOSE(CONTROL!$C$38, 0.0251, 0)</f>
        <v>62.021599999999999</v>
      </c>
      <c r="C861" s="14">
        <f>58.6478 * CHOOSE(CONTROL!$C$15, $E$9, 100%, $G$9) + CHOOSE(CONTROL!$C$38, 0.0342, 0)</f>
        <v>58.681999999999995</v>
      </c>
      <c r="D861" s="14">
        <f>58.6399 * CHOOSE(CONTROL!$C$15, $E$9, 100%, $G$9) + CHOOSE(CONTROL!$C$38, 0.0342, 0)</f>
        <v>58.674099999999996</v>
      </c>
      <c r="E861" s="45">
        <f>61.8403 * CHOOSE(CONTROL!$C$15, $E$9, 100%, $G$9) + CHOOSE(CONTROL!$C$38, 0.0342, 0)</f>
        <v>61.874499999999998</v>
      </c>
      <c r="F861" s="44">
        <f>61.8403 * CHOOSE(CONTROL!$C$15, $E$9, 100%, $G$9) + CHOOSE(CONTROL!$C$38, 0.0251, 0)</f>
        <v>61.865400000000001</v>
      </c>
      <c r="G861" s="14">
        <f>58.6462 * CHOOSE(CONTROL!$C$15, $E$9, 100%, $G$9) + CHOOSE(CONTROL!$C$38, 0.0342, 0)</f>
        <v>58.680399999999999</v>
      </c>
      <c r="H861" s="14">
        <f>58.6462 * CHOOSE(CONTROL!$C$15, $E$9, 100%, $G$9) + CHOOSE(CONTROL!$C$38, 0.0342, 0)</f>
        <v>58.680399999999999</v>
      </c>
      <c r="I861" s="14">
        <f>58.6478 * CHOOSE(CONTROL!$C$15, $E$9, 100%, $G$9) + CHOOSE(CONTROL!$C$38, 0.0342, 0)</f>
        <v>58.681999999999995</v>
      </c>
      <c r="J861" s="43">
        <f>575.6693</f>
        <v>575.66930000000002</v>
      </c>
    </row>
    <row r="862" spans="1:10" ht="15.75" x14ac:dyDescent="0.25">
      <c r="A862" s="31">
        <v>67175</v>
      </c>
      <c r="B862" s="14">
        <f>61.5592 * CHOOSE(CONTROL!$C$15, $E$9, 100%, $G$9) + CHOOSE(CONTROL!$C$38, 0.0251, 0)</f>
        <v>61.584299999999999</v>
      </c>
      <c r="C862" s="14">
        <f>58.2332 * CHOOSE(CONTROL!$C$15, $E$9, 100%, $G$9) + CHOOSE(CONTROL!$C$38, 0.0342, 0)</f>
        <v>58.267399999999995</v>
      </c>
      <c r="D862" s="14">
        <f>58.2254 * CHOOSE(CONTROL!$C$15, $E$9, 100%, $G$9) + CHOOSE(CONTROL!$C$38, 0.0342, 0)</f>
        <v>58.259599999999999</v>
      </c>
      <c r="E862" s="45">
        <f>61.4029 * CHOOSE(CONTROL!$C$15, $E$9, 100%, $G$9) + CHOOSE(CONTROL!$C$38, 0.0342, 0)</f>
        <v>61.437100000000001</v>
      </c>
      <c r="F862" s="44">
        <f>61.4029 * CHOOSE(CONTROL!$C$15, $E$9, 100%, $G$9) + CHOOSE(CONTROL!$C$38, 0.0251, 0)</f>
        <v>61.428000000000004</v>
      </c>
      <c r="G862" s="14">
        <f>58.2316 * CHOOSE(CONTROL!$C$15, $E$9, 100%, $G$9) + CHOOSE(CONTROL!$C$38, 0.0342, 0)</f>
        <v>58.265799999999999</v>
      </c>
      <c r="H862" s="14">
        <f>58.2316 * CHOOSE(CONTROL!$C$15, $E$9, 100%, $G$9) + CHOOSE(CONTROL!$C$38, 0.0342, 0)</f>
        <v>58.265799999999999</v>
      </c>
      <c r="I862" s="14">
        <f>58.2332 * CHOOSE(CONTROL!$C$15, $E$9, 100%, $G$9) + CHOOSE(CONTROL!$C$38, 0.0342, 0)</f>
        <v>58.267399999999995</v>
      </c>
      <c r="J862" s="43">
        <f>571.5675</f>
        <v>571.5675</v>
      </c>
    </row>
    <row r="863" spans="1:10" ht="15.75" x14ac:dyDescent="0.25">
      <c r="A863" s="31">
        <v>67206</v>
      </c>
      <c r="B863" s="14">
        <f>59.7507 * CHOOSE(CONTROL!$C$15, $E$9, 100%, $G$9) + CHOOSE(CONTROL!$C$38, 0.0251, 0)</f>
        <v>59.775800000000004</v>
      </c>
      <c r="C863" s="14">
        <f>56.5188 * CHOOSE(CONTROL!$C$15, $E$9, 100%, $G$9) + CHOOSE(CONTROL!$C$38, 0.0342, 0)</f>
        <v>56.552999999999997</v>
      </c>
      <c r="D863" s="14">
        <f>56.511 * CHOOSE(CONTROL!$C$15, $E$9, 100%, $G$9) + CHOOSE(CONTROL!$C$38, 0.0342, 0)</f>
        <v>56.545200000000001</v>
      </c>
      <c r="E863" s="45">
        <f>59.5945 * CHOOSE(CONTROL!$C$15, $E$9, 100%, $G$9) + CHOOSE(CONTROL!$C$38, 0.0342, 0)</f>
        <v>59.628699999999995</v>
      </c>
      <c r="F863" s="44">
        <f>59.5945 * CHOOSE(CONTROL!$C$15, $E$9, 100%, $G$9) + CHOOSE(CONTROL!$C$38, 0.0251, 0)</f>
        <v>59.619599999999998</v>
      </c>
      <c r="G863" s="14">
        <f>56.5172 * CHOOSE(CONTROL!$C$15, $E$9, 100%, $G$9) + CHOOSE(CONTROL!$C$38, 0.0342, 0)</f>
        <v>56.551400000000001</v>
      </c>
      <c r="H863" s="14">
        <f>56.5172 * CHOOSE(CONTROL!$C$15, $E$9, 100%, $G$9) + CHOOSE(CONTROL!$C$38, 0.0342, 0)</f>
        <v>56.551400000000001</v>
      </c>
      <c r="I863" s="14">
        <f>56.5188 * CHOOSE(CONTROL!$C$15, $E$9, 100%, $G$9) + CHOOSE(CONTROL!$C$38, 0.0342, 0)</f>
        <v>56.552999999999997</v>
      </c>
      <c r="J863" s="43">
        <f>554.6062</f>
        <v>554.60619999999994</v>
      </c>
    </row>
    <row r="864" spans="1:10" ht="15.75" x14ac:dyDescent="0.25">
      <c r="A864" s="31">
        <v>67237</v>
      </c>
      <c r="B864" s="14">
        <f>59.3016 * CHOOSE(CONTROL!$C$15, $E$9, 100%, $G$9) + CHOOSE(CONTROL!$C$38, 0.0251, 0)</f>
        <v>59.326700000000002</v>
      </c>
      <c r="C864" s="14">
        <f>56.093 * CHOOSE(CONTROL!$C$15, $E$9, 100%, $G$9) + CHOOSE(CONTROL!$C$38, 0.0342, 0)</f>
        <v>56.127200000000002</v>
      </c>
      <c r="D864" s="14">
        <f>56.0852 * CHOOSE(CONTROL!$C$15, $E$9, 100%, $G$9) + CHOOSE(CONTROL!$C$38, 0.0342, 0)</f>
        <v>56.119399999999999</v>
      </c>
      <c r="E864" s="45">
        <f>59.1454 * CHOOSE(CONTROL!$C$15, $E$9, 100%, $G$9) + CHOOSE(CONTROL!$C$38, 0.0342, 0)</f>
        <v>59.179600000000001</v>
      </c>
      <c r="F864" s="44">
        <f>59.1454 * CHOOSE(CONTROL!$C$15, $E$9, 100%, $G$9) + CHOOSE(CONTROL!$C$38, 0.0251, 0)</f>
        <v>59.170500000000004</v>
      </c>
      <c r="G864" s="14">
        <f>56.0915 * CHOOSE(CONTROL!$C$15, $E$9, 100%, $G$9) + CHOOSE(CONTROL!$C$38, 0.0342, 0)</f>
        <v>56.125700000000002</v>
      </c>
      <c r="H864" s="14">
        <f>56.0915 * CHOOSE(CONTROL!$C$15, $E$9, 100%, $G$9) + CHOOSE(CONTROL!$C$38, 0.0342, 0)</f>
        <v>56.125700000000002</v>
      </c>
      <c r="I864" s="14">
        <f>56.093 * CHOOSE(CONTROL!$C$15, $E$9, 100%, $G$9) + CHOOSE(CONTROL!$C$38, 0.0342, 0)</f>
        <v>56.127200000000002</v>
      </c>
      <c r="J864" s="43">
        <f>554.2058</f>
        <v>554.20579999999995</v>
      </c>
    </row>
    <row r="865" spans="1:10" ht="15.75" x14ac:dyDescent="0.25">
      <c r="A865" s="31">
        <v>67266</v>
      </c>
      <c r="B865" s="14">
        <f>59.1385 * CHOOSE(CONTROL!$C$15, $E$9, 100%, $G$9) + CHOOSE(CONTROL!$C$38, 0.0251, 0)</f>
        <v>59.163600000000002</v>
      </c>
      <c r="C865" s="14">
        <f>55.9384 * CHOOSE(CONTROL!$C$15, $E$9, 100%, $G$9) + CHOOSE(CONTROL!$C$38, 0.0342, 0)</f>
        <v>55.9726</v>
      </c>
      <c r="D865" s="14">
        <f>55.9306 * CHOOSE(CONTROL!$C$15, $E$9, 100%, $G$9) + CHOOSE(CONTROL!$C$38, 0.0342, 0)</f>
        <v>55.964799999999997</v>
      </c>
      <c r="E865" s="45">
        <f>58.9823 * CHOOSE(CONTROL!$C$15, $E$9, 100%, $G$9) + CHOOSE(CONTROL!$C$38, 0.0342, 0)</f>
        <v>59.016500000000001</v>
      </c>
      <c r="F865" s="44">
        <f>58.9823 * CHOOSE(CONTROL!$C$15, $E$9, 100%, $G$9) + CHOOSE(CONTROL!$C$38, 0.0251, 0)</f>
        <v>59.007400000000004</v>
      </c>
      <c r="G865" s="14">
        <f>55.9368 * CHOOSE(CONTROL!$C$15, $E$9, 100%, $G$9) + CHOOSE(CONTROL!$C$38, 0.0342, 0)</f>
        <v>55.970999999999997</v>
      </c>
      <c r="H865" s="14">
        <f>55.9368 * CHOOSE(CONTROL!$C$15, $E$9, 100%, $G$9) + CHOOSE(CONTROL!$C$38, 0.0342, 0)</f>
        <v>55.970999999999997</v>
      </c>
      <c r="I865" s="14">
        <f>55.9384 * CHOOSE(CONTROL!$C$15, $E$9, 100%, $G$9) + CHOOSE(CONTROL!$C$38, 0.0342, 0)</f>
        <v>55.9726</v>
      </c>
      <c r="J865" s="43">
        <f>552.6653</f>
        <v>552.6653</v>
      </c>
    </row>
    <row r="866" spans="1:10" ht="15.75" x14ac:dyDescent="0.25">
      <c r="A866" s="31">
        <v>67297</v>
      </c>
      <c r="B866" s="14">
        <f>62.2229 * CHOOSE(CONTROL!$C$15, $E$9, 100%, $G$9) + CHOOSE(CONTROL!$C$38, 0.0251, 0)</f>
        <v>62.248000000000005</v>
      </c>
      <c r="C866" s="14">
        <f>58.8624 * CHOOSE(CONTROL!$C$15, $E$9, 100%, $G$9) + CHOOSE(CONTROL!$C$38, 0.0342, 0)</f>
        <v>58.896599999999999</v>
      </c>
      <c r="D866" s="14">
        <f>58.8546 * CHOOSE(CONTROL!$C$15, $E$9, 100%, $G$9) + CHOOSE(CONTROL!$C$38, 0.0342, 0)</f>
        <v>58.888799999999996</v>
      </c>
      <c r="E866" s="45">
        <f>62.0667 * CHOOSE(CONTROL!$C$15, $E$9, 100%, $G$9) + CHOOSE(CONTROL!$C$38, 0.0342, 0)</f>
        <v>62.100899999999996</v>
      </c>
      <c r="F866" s="44">
        <f>62.0667 * CHOOSE(CONTROL!$C$15, $E$9, 100%, $G$9) + CHOOSE(CONTROL!$C$38, 0.0251, 0)</f>
        <v>62.091799999999999</v>
      </c>
      <c r="G866" s="14">
        <f>58.8608 * CHOOSE(CONTROL!$C$15, $E$9, 100%, $G$9) + CHOOSE(CONTROL!$C$38, 0.0342, 0)</f>
        <v>58.894999999999996</v>
      </c>
      <c r="H866" s="14">
        <f>58.8608 * CHOOSE(CONTROL!$C$15, $E$9, 100%, $G$9) + CHOOSE(CONTROL!$C$38, 0.0342, 0)</f>
        <v>58.894999999999996</v>
      </c>
      <c r="I866" s="14">
        <f>58.8624 * CHOOSE(CONTROL!$C$15, $E$9, 100%, $G$9) + CHOOSE(CONTROL!$C$38, 0.0342, 0)</f>
        <v>58.896599999999999</v>
      </c>
      <c r="J866" s="43">
        <f>581.7939</f>
        <v>581.79390000000001</v>
      </c>
    </row>
    <row r="867" spans="1:10" ht="15.75" x14ac:dyDescent="0.25">
      <c r="A867" s="31">
        <v>67327</v>
      </c>
      <c r="B867" s="14">
        <f>66.2227 * CHOOSE(CONTROL!$C$15, $E$9, 100%, $G$9) + CHOOSE(CONTROL!$C$38, 0.0251, 0)</f>
        <v>66.247799999999998</v>
      </c>
      <c r="C867" s="14">
        <f>62.6541 * CHOOSE(CONTROL!$C$15, $E$9, 100%, $G$9) + CHOOSE(CONTROL!$C$38, 0.0342, 0)</f>
        <v>62.688299999999998</v>
      </c>
      <c r="D867" s="14">
        <f>62.6463 * CHOOSE(CONTROL!$C$15, $E$9, 100%, $G$9) + CHOOSE(CONTROL!$C$38, 0.0342, 0)</f>
        <v>62.680499999999995</v>
      </c>
      <c r="E867" s="45">
        <f>66.0664 * CHOOSE(CONTROL!$C$15, $E$9, 100%, $G$9) + CHOOSE(CONTROL!$C$38, 0.0342, 0)</f>
        <v>66.1006</v>
      </c>
      <c r="F867" s="44">
        <f>66.0664 * CHOOSE(CONTROL!$C$15, $E$9, 100%, $G$9) + CHOOSE(CONTROL!$C$38, 0.0251, 0)</f>
        <v>66.091499999999996</v>
      </c>
      <c r="G867" s="14">
        <f>62.6525 * CHOOSE(CONTROL!$C$15, $E$9, 100%, $G$9) + CHOOSE(CONTROL!$C$38, 0.0342, 0)</f>
        <v>62.686700000000002</v>
      </c>
      <c r="H867" s="14">
        <f>62.6525 * CHOOSE(CONTROL!$C$15, $E$9, 100%, $G$9) + CHOOSE(CONTROL!$C$38, 0.0342, 0)</f>
        <v>62.686700000000002</v>
      </c>
      <c r="I867" s="14">
        <f>62.6541 * CHOOSE(CONTROL!$C$15, $E$9, 100%, $G$9) + CHOOSE(CONTROL!$C$38, 0.0342, 0)</f>
        <v>62.688299999999998</v>
      </c>
      <c r="J867" s="43">
        <f>619.5668</f>
        <v>619.56679999999994</v>
      </c>
    </row>
    <row r="868" spans="1:10" ht="15.75" x14ac:dyDescent="0.25">
      <c r="A868" s="31">
        <v>67358</v>
      </c>
      <c r="B868" s="14">
        <f>68.4243 * CHOOSE(CONTROL!$C$15, $E$9, 100%, $G$9) + CHOOSE(CONTROL!$C$38, 0.0264, 0)</f>
        <v>68.450699999999998</v>
      </c>
      <c r="C868" s="14">
        <f>64.7412 * CHOOSE(CONTROL!$C$15, $E$9, 100%, $G$9) + CHOOSE(CONTROL!$C$38, 0.0354, 0)</f>
        <v>64.776600000000002</v>
      </c>
      <c r="D868" s="14">
        <f>64.7333 * CHOOSE(CONTROL!$C$15, $E$9, 100%, $G$9) + CHOOSE(CONTROL!$C$38, 0.0354, 0)</f>
        <v>64.768699999999995</v>
      </c>
      <c r="E868" s="45">
        <f>68.268 * CHOOSE(CONTROL!$C$15, $E$9, 100%, $G$9) + CHOOSE(CONTROL!$C$38, 0.0354, 0)</f>
        <v>68.303399999999996</v>
      </c>
      <c r="F868" s="44">
        <f>68.268 * CHOOSE(CONTROL!$C$15, $E$9, 100%, $G$9) + CHOOSE(CONTROL!$C$38, 0.0264, 0)</f>
        <v>68.294399999999996</v>
      </c>
      <c r="G868" s="14">
        <f>64.7396 * CHOOSE(CONTROL!$C$15, $E$9, 100%, $G$9) + CHOOSE(CONTROL!$C$38, 0.0354, 0)</f>
        <v>64.774999999999991</v>
      </c>
      <c r="H868" s="14">
        <f>64.7396 * CHOOSE(CONTROL!$C$15, $E$9, 100%, $G$9) + CHOOSE(CONTROL!$C$38, 0.0354, 0)</f>
        <v>64.774999999999991</v>
      </c>
      <c r="I868" s="14">
        <f>64.7412 * CHOOSE(CONTROL!$C$15, $E$9, 100%, $G$9) + CHOOSE(CONTROL!$C$38, 0.0354, 0)</f>
        <v>64.776600000000002</v>
      </c>
      <c r="J868" s="43">
        <f>640.3583</f>
        <v>640.35829999999999</v>
      </c>
    </row>
    <row r="869" spans="1:10" ht="15.75" x14ac:dyDescent="0.25">
      <c r="A869" s="31">
        <v>67388</v>
      </c>
      <c r="B869" s="14">
        <f>69.4013 * CHOOSE(CONTROL!$C$15, $E$9, 100%, $G$9) + CHOOSE(CONTROL!$C$38, 0.0264, 0)</f>
        <v>69.427700000000002</v>
      </c>
      <c r="C869" s="14">
        <f>65.6674 * CHOOSE(CONTROL!$C$15, $E$9, 100%, $G$9) + CHOOSE(CONTROL!$C$38, 0.0354, 0)</f>
        <v>65.702799999999996</v>
      </c>
      <c r="D869" s="14">
        <f>65.6595 * CHOOSE(CONTROL!$C$15, $E$9, 100%, $G$9) + CHOOSE(CONTROL!$C$38, 0.0354, 0)</f>
        <v>65.69489999999999</v>
      </c>
      <c r="E869" s="45">
        <f>69.245 * CHOOSE(CONTROL!$C$15, $E$9, 100%, $G$9) + CHOOSE(CONTROL!$C$38, 0.0354, 0)</f>
        <v>69.2804</v>
      </c>
      <c r="F869" s="44">
        <f>69.245 * CHOOSE(CONTROL!$C$15, $E$9, 100%, $G$9) + CHOOSE(CONTROL!$C$38, 0.0264, 0)</f>
        <v>69.2714</v>
      </c>
      <c r="G869" s="14">
        <f>65.6658 * CHOOSE(CONTROL!$C$15, $E$9, 100%, $G$9) + CHOOSE(CONTROL!$C$38, 0.0354, 0)</f>
        <v>65.7012</v>
      </c>
      <c r="H869" s="14">
        <f>65.6658 * CHOOSE(CONTROL!$C$15, $E$9, 100%, $G$9) + CHOOSE(CONTROL!$C$38, 0.0354, 0)</f>
        <v>65.7012</v>
      </c>
      <c r="I869" s="14">
        <f>65.6674 * CHOOSE(CONTROL!$C$15, $E$9, 100%, $G$9) + CHOOSE(CONTROL!$C$38, 0.0354, 0)</f>
        <v>65.702799999999996</v>
      </c>
      <c r="J869" s="43">
        <f>649.5851</f>
        <v>649.58510000000001</v>
      </c>
    </row>
    <row r="870" spans="1:10" ht="15.75" x14ac:dyDescent="0.25">
      <c r="A870" s="31">
        <v>67419</v>
      </c>
      <c r="B870" s="14">
        <f>69.0796 * CHOOSE(CONTROL!$C$15, $E$9, 100%, $G$9) + CHOOSE(CONTROL!$C$38, 0.0264, 0)</f>
        <v>69.105999999999995</v>
      </c>
      <c r="C870" s="14">
        <f>65.3624 * CHOOSE(CONTROL!$C$15, $E$9, 100%, $G$9) + CHOOSE(CONTROL!$C$38, 0.0354, 0)</f>
        <v>65.397799999999989</v>
      </c>
      <c r="D870" s="14">
        <f>65.3546 * CHOOSE(CONTROL!$C$15, $E$9, 100%, $G$9) + CHOOSE(CONTROL!$C$38, 0.0354, 0)</f>
        <v>65.39</v>
      </c>
      <c r="E870" s="45">
        <f>68.9233 * CHOOSE(CONTROL!$C$15, $E$9, 100%, $G$9) + CHOOSE(CONTROL!$C$38, 0.0354, 0)</f>
        <v>68.958699999999993</v>
      </c>
      <c r="F870" s="44">
        <f>68.9233 * CHOOSE(CONTROL!$C$15, $E$9, 100%, $G$9) + CHOOSE(CONTROL!$C$38, 0.0264, 0)</f>
        <v>68.949699999999993</v>
      </c>
      <c r="G870" s="14">
        <f>65.3608 * CHOOSE(CONTROL!$C$15, $E$9, 100%, $G$9) + CHOOSE(CONTROL!$C$38, 0.0354, 0)</f>
        <v>65.396199999999993</v>
      </c>
      <c r="H870" s="14">
        <f>65.3608 * CHOOSE(CONTROL!$C$15, $E$9, 100%, $G$9) + CHOOSE(CONTROL!$C$38, 0.0354, 0)</f>
        <v>65.396199999999993</v>
      </c>
      <c r="I870" s="14">
        <f>65.3624 * CHOOSE(CONTROL!$C$15, $E$9, 100%, $G$9) + CHOOSE(CONTROL!$C$38, 0.0354, 0)</f>
        <v>65.397799999999989</v>
      </c>
      <c r="J870" s="43">
        <f>646.5472</f>
        <v>646.54719999999998</v>
      </c>
    </row>
    <row r="871" spans="1:10" ht="15.75" x14ac:dyDescent="0.25">
      <c r="A871" s="31">
        <v>67450</v>
      </c>
      <c r="B871" s="14">
        <f>67.4858 * CHOOSE(CONTROL!$C$15, $E$9, 100%, $G$9) + CHOOSE(CONTROL!$C$38, 0.0264, 0)</f>
        <v>67.512199999999993</v>
      </c>
      <c r="C871" s="14">
        <f>63.8515 * CHOOSE(CONTROL!$C$15, $E$9, 100%, $G$9) + CHOOSE(CONTROL!$C$38, 0.0354, 0)</f>
        <v>63.886900000000004</v>
      </c>
      <c r="D871" s="14">
        <f>63.8437 * CHOOSE(CONTROL!$C$15, $E$9, 100%, $G$9) + CHOOSE(CONTROL!$C$38, 0.0354, 0)</f>
        <v>63.879100000000001</v>
      </c>
      <c r="E871" s="45">
        <f>67.3296 * CHOOSE(CONTROL!$C$15, $E$9, 100%, $G$9) + CHOOSE(CONTROL!$C$38, 0.0354, 0)</f>
        <v>67.364999999999995</v>
      </c>
      <c r="F871" s="44">
        <f>67.3296 * CHOOSE(CONTROL!$C$15, $E$9, 100%, $G$9) + CHOOSE(CONTROL!$C$38, 0.0264, 0)</f>
        <v>67.355999999999995</v>
      </c>
      <c r="G871" s="14">
        <f>63.85 * CHOOSE(CONTROL!$C$15, $E$9, 100%, $G$9) + CHOOSE(CONTROL!$C$38, 0.0354, 0)</f>
        <v>63.885400000000004</v>
      </c>
      <c r="H871" s="14">
        <f>63.85 * CHOOSE(CONTROL!$C$15, $E$9, 100%, $G$9) + CHOOSE(CONTROL!$C$38, 0.0354, 0)</f>
        <v>63.885400000000004</v>
      </c>
      <c r="I871" s="14">
        <f>63.8515 * CHOOSE(CONTROL!$C$15, $E$9, 100%, $G$9) + CHOOSE(CONTROL!$C$38, 0.0354, 0)</f>
        <v>63.886900000000004</v>
      </c>
      <c r="J871" s="43">
        <f>631.4959</f>
        <v>631.49590000000001</v>
      </c>
    </row>
    <row r="872" spans="1:10" ht="15.75" x14ac:dyDescent="0.25">
      <c r="A872" s="31">
        <v>67480</v>
      </c>
      <c r="B872" s="14">
        <f>65.2632 * CHOOSE(CONTROL!$C$15, $E$9, 100%, $G$9) + CHOOSE(CONTROL!$C$38, 0.0264, 0)</f>
        <v>65.289599999999993</v>
      </c>
      <c r="C872" s="14">
        <f>61.7445 * CHOOSE(CONTROL!$C$15, $E$9, 100%, $G$9) + CHOOSE(CONTROL!$C$38, 0.0354, 0)</f>
        <v>61.779900000000005</v>
      </c>
      <c r="D872" s="14">
        <f>61.7367 * CHOOSE(CONTROL!$C$15, $E$9, 100%, $G$9) + CHOOSE(CONTROL!$C$38, 0.0354, 0)</f>
        <v>61.772100000000002</v>
      </c>
      <c r="E872" s="45">
        <f>65.107 * CHOOSE(CONTROL!$C$15, $E$9, 100%, $G$9) + CHOOSE(CONTROL!$C$38, 0.0354, 0)</f>
        <v>65.142399999999995</v>
      </c>
      <c r="F872" s="44">
        <f>65.107 * CHOOSE(CONTROL!$C$15, $E$9, 100%, $G$9) + CHOOSE(CONTROL!$C$38, 0.0264, 0)</f>
        <v>65.133399999999995</v>
      </c>
      <c r="G872" s="14">
        <f>61.743 * CHOOSE(CONTROL!$C$15, $E$9, 100%, $G$9) + CHOOSE(CONTROL!$C$38, 0.0354, 0)</f>
        <v>61.778400000000005</v>
      </c>
      <c r="H872" s="14">
        <f>61.743 * CHOOSE(CONTROL!$C$15, $E$9, 100%, $G$9) + CHOOSE(CONTROL!$C$38, 0.0354, 0)</f>
        <v>61.778400000000005</v>
      </c>
      <c r="I872" s="14">
        <f>61.7445 * CHOOSE(CONTROL!$C$15, $E$9, 100%, $G$9) + CHOOSE(CONTROL!$C$38, 0.0354, 0)</f>
        <v>61.779900000000005</v>
      </c>
      <c r="J872" s="43">
        <f>610.506</f>
        <v>610.50599999999997</v>
      </c>
    </row>
    <row r="873" spans="1:10" ht="15.75" x14ac:dyDescent="0.25">
      <c r="A873" s="31">
        <v>67511</v>
      </c>
      <c r="B873" s="14">
        <f>63.0277 * CHOOSE(CONTROL!$C$15, $E$9, 100%, $G$9) + CHOOSE(CONTROL!$C$38, 0.0251, 0)</f>
        <v>63.052800000000005</v>
      </c>
      <c r="C873" s="14">
        <f>59.6253 * CHOOSE(CONTROL!$C$15, $E$9, 100%, $G$9) + CHOOSE(CONTROL!$C$38, 0.0342, 0)</f>
        <v>59.659500000000001</v>
      </c>
      <c r="D873" s="14">
        <f>59.6175 * CHOOSE(CONTROL!$C$15, $E$9, 100%, $G$9) + CHOOSE(CONTROL!$C$38, 0.0342, 0)</f>
        <v>59.651699999999998</v>
      </c>
      <c r="E873" s="45">
        <f>62.8714 * CHOOSE(CONTROL!$C$15, $E$9, 100%, $G$9) + CHOOSE(CONTROL!$C$38, 0.0342, 0)</f>
        <v>62.9056</v>
      </c>
      <c r="F873" s="44">
        <f>62.8714 * CHOOSE(CONTROL!$C$15, $E$9, 100%, $G$9) + CHOOSE(CONTROL!$C$38, 0.0251, 0)</f>
        <v>62.896500000000003</v>
      </c>
      <c r="G873" s="14">
        <f>59.6237 * CHOOSE(CONTROL!$C$15, $E$9, 100%, $G$9) + CHOOSE(CONTROL!$C$38, 0.0342, 0)</f>
        <v>59.657899999999998</v>
      </c>
      <c r="H873" s="14">
        <f>59.6237 * CHOOSE(CONTROL!$C$15, $E$9, 100%, $G$9) + CHOOSE(CONTROL!$C$38, 0.0342, 0)</f>
        <v>59.657899999999998</v>
      </c>
      <c r="I873" s="14">
        <f>59.6253 * CHOOSE(CONTROL!$C$15, $E$9, 100%, $G$9) + CHOOSE(CONTROL!$C$38, 0.0342, 0)</f>
        <v>59.659500000000001</v>
      </c>
      <c r="J873" s="43">
        <f>589.3941</f>
        <v>589.39409999999998</v>
      </c>
    </row>
    <row r="874" spans="1:10" ht="15.75" x14ac:dyDescent="0.25">
      <c r="A874" s="31">
        <v>67541</v>
      </c>
      <c r="B874" s="14">
        <f>62.583 * CHOOSE(CONTROL!$C$15, $E$9, 100%, $G$9) + CHOOSE(CONTROL!$C$38, 0.0251, 0)</f>
        <v>62.6081</v>
      </c>
      <c r="C874" s="14">
        <f>59.2037 * CHOOSE(CONTROL!$C$15, $E$9, 100%, $G$9) + CHOOSE(CONTROL!$C$38, 0.0342, 0)</f>
        <v>59.237899999999996</v>
      </c>
      <c r="D874" s="14">
        <f>59.1959 * CHOOSE(CONTROL!$C$15, $E$9, 100%, $G$9) + CHOOSE(CONTROL!$C$38, 0.0342, 0)</f>
        <v>59.2301</v>
      </c>
      <c r="E874" s="45">
        <f>62.4268 * CHOOSE(CONTROL!$C$15, $E$9, 100%, $G$9) + CHOOSE(CONTROL!$C$38, 0.0342, 0)</f>
        <v>62.460999999999999</v>
      </c>
      <c r="F874" s="44">
        <f>62.4268 * CHOOSE(CONTROL!$C$15, $E$9, 100%, $G$9) + CHOOSE(CONTROL!$C$38, 0.0251, 0)</f>
        <v>62.451900000000002</v>
      </c>
      <c r="G874" s="14">
        <f>59.2022 * CHOOSE(CONTROL!$C$15, $E$9, 100%, $G$9) + CHOOSE(CONTROL!$C$38, 0.0342, 0)</f>
        <v>59.236399999999996</v>
      </c>
      <c r="H874" s="14">
        <f>59.2022 * CHOOSE(CONTROL!$C$15, $E$9, 100%, $G$9) + CHOOSE(CONTROL!$C$38, 0.0342, 0)</f>
        <v>59.236399999999996</v>
      </c>
      <c r="I874" s="14">
        <f>59.2037 * CHOOSE(CONTROL!$C$15, $E$9, 100%, $G$9) + CHOOSE(CONTROL!$C$38, 0.0342, 0)</f>
        <v>59.237899999999996</v>
      </c>
      <c r="J874" s="43">
        <f>585.1945</f>
        <v>585.19449999999995</v>
      </c>
    </row>
    <row r="875" spans="1:10" ht="15.75" x14ac:dyDescent="0.25">
      <c r="A875" s="31">
        <v>67572</v>
      </c>
      <c r="B875" s="14">
        <f>60.7442 * CHOOSE(CONTROL!$C$15, $E$9, 100%, $G$9) + CHOOSE(CONTROL!$C$38, 0.0251, 0)</f>
        <v>60.769300000000001</v>
      </c>
      <c r="C875" s="14">
        <f>57.4605 * CHOOSE(CONTROL!$C$15, $E$9, 100%, $G$9) + CHOOSE(CONTROL!$C$38, 0.0342, 0)</f>
        <v>57.494700000000002</v>
      </c>
      <c r="D875" s="14">
        <f>57.4527 * CHOOSE(CONTROL!$C$15, $E$9, 100%, $G$9) + CHOOSE(CONTROL!$C$38, 0.0342, 0)</f>
        <v>57.486899999999999</v>
      </c>
      <c r="E875" s="45">
        <f>60.5879 * CHOOSE(CONTROL!$C$15, $E$9, 100%, $G$9) + CHOOSE(CONTROL!$C$38, 0.0342, 0)</f>
        <v>60.622099999999996</v>
      </c>
      <c r="F875" s="44">
        <f>60.5879 * CHOOSE(CONTROL!$C$15, $E$9, 100%, $G$9) + CHOOSE(CONTROL!$C$38, 0.0251, 0)</f>
        <v>60.613</v>
      </c>
      <c r="G875" s="14">
        <f>57.459 * CHOOSE(CONTROL!$C$15, $E$9, 100%, $G$9) + CHOOSE(CONTROL!$C$38, 0.0342, 0)</f>
        <v>57.493200000000002</v>
      </c>
      <c r="H875" s="14">
        <f>57.459 * CHOOSE(CONTROL!$C$15, $E$9, 100%, $G$9) + CHOOSE(CONTROL!$C$38, 0.0342, 0)</f>
        <v>57.493200000000002</v>
      </c>
      <c r="I875" s="14">
        <f>57.4605 * CHOOSE(CONTROL!$C$15, $E$9, 100%, $G$9) + CHOOSE(CONTROL!$C$38, 0.0342, 0)</f>
        <v>57.494700000000002</v>
      </c>
      <c r="J875" s="43">
        <f>567.8288</f>
        <v>567.8288</v>
      </c>
    </row>
    <row r="876" spans="1:10" ht="15.75" x14ac:dyDescent="0.25">
      <c r="A876" s="31">
        <v>67603</v>
      </c>
      <c r="B876" s="14">
        <f>60.2875 * CHOOSE(CONTROL!$C$15, $E$9, 100%, $G$9) + CHOOSE(CONTROL!$C$38, 0.0251, 0)</f>
        <v>60.312600000000003</v>
      </c>
      <c r="C876" s="14">
        <f>57.0276 * CHOOSE(CONTROL!$C$15, $E$9, 100%, $G$9) + CHOOSE(CONTROL!$C$38, 0.0342, 0)</f>
        <v>57.061799999999998</v>
      </c>
      <c r="D876" s="14">
        <f>57.0198 * CHOOSE(CONTROL!$C$15, $E$9, 100%, $G$9) + CHOOSE(CONTROL!$C$38, 0.0342, 0)</f>
        <v>57.053999999999995</v>
      </c>
      <c r="E876" s="45">
        <f>60.1313 * CHOOSE(CONTROL!$C$15, $E$9, 100%, $G$9) + CHOOSE(CONTROL!$C$38, 0.0342, 0)</f>
        <v>60.165500000000002</v>
      </c>
      <c r="F876" s="44">
        <f>60.1313 * CHOOSE(CONTROL!$C$15, $E$9, 100%, $G$9) + CHOOSE(CONTROL!$C$38, 0.0251, 0)</f>
        <v>60.156400000000005</v>
      </c>
      <c r="G876" s="14">
        <f>57.0261 * CHOOSE(CONTROL!$C$15, $E$9, 100%, $G$9) + CHOOSE(CONTROL!$C$38, 0.0342, 0)</f>
        <v>57.060299999999998</v>
      </c>
      <c r="H876" s="14">
        <f>57.0261 * CHOOSE(CONTROL!$C$15, $E$9, 100%, $G$9) + CHOOSE(CONTROL!$C$38, 0.0342, 0)</f>
        <v>57.060299999999998</v>
      </c>
      <c r="I876" s="14">
        <f>57.0276 * CHOOSE(CONTROL!$C$15, $E$9, 100%, $G$9) + CHOOSE(CONTROL!$C$38, 0.0342, 0)</f>
        <v>57.061799999999998</v>
      </c>
      <c r="J876" s="43">
        <f>567.4189</f>
        <v>567.41890000000001</v>
      </c>
    </row>
    <row r="877" spans="1:10" ht="15.75" x14ac:dyDescent="0.25">
      <c r="A877" s="31">
        <v>67631</v>
      </c>
      <c r="B877" s="14">
        <f>60.1217 * CHOOSE(CONTROL!$C$15, $E$9, 100%, $G$9) + CHOOSE(CONTROL!$C$38, 0.0251, 0)</f>
        <v>60.146799999999999</v>
      </c>
      <c r="C877" s="14">
        <f>56.8704 * CHOOSE(CONTROL!$C$15, $E$9, 100%, $G$9) + CHOOSE(CONTROL!$C$38, 0.0342, 0)</f>
        <v>56.904599999999995</v>
      </c>
      <c r="D877" s="14">
        <f>56.8626 * CHOOSE(CONTROL!$C$15, $E$9, 100%, $G$9) + CHOOSE(CONTROL!$C$38, 0.0342, 0)</f>
        <v>56.896799999999999</v>
      </c>
      <c r="E877" s="45">
        <f>59.9654 * CHOOSE(CONTROL!$C$15, $E$9, 100%, $G$9) + CHOOSE(CONTROL!$C$38, 0.0342, 0)</f>
        <v>59.999600000000001</v>
      </c>
      <c r="F877" s="44">
        <f>59.9654 * CHOOSE(CONTROL!$C$15, $E$9, 100%, $G$9) + CHOOSE(CONTROL!$C$38, 0.0251, 0)</f>
        <v>59.990500000000004</v>
      </c>
      <c r="G877" s="14">
        <f>56.8688 * CHOOSE(CONTROL!$C$15, $E$9, 100%, $G$9) + CHOOSE(CONTROL!$C$38, 0.0342, 0)</f>
        <v>56.902999999999999</v>
      </c>
      <c r="H877" s="14">
        <f>56.8688 * CHOOSE(CONTROL!$C$15, $E$9, 100%, $G$9) + CHOOSE(CONTROL!$C$38, 0.0342, 0)</f>
        <v>56.902999999999999</v>
      </c>
      <c r="I877" s="14">
        <f>56.8704 * CHOOSE(CONTROL!$C$15, $E$9, 100%, $G$9) + CHOOSE(CONTROL!$C$38, 0.0342, 0)</f>
        <v>56.904599999999995</v>
      </c>
      <c r="J877" s="43">
        <f>565.8416</f>
        <v>565.84159999999997</v>
      </c>
    </row>
    <row r="878" spans="1:10" ht="15.75" x14ac:dyDescent="0.25">
      <c r="A878" s="31">
        <v>67662</v>
      </c>
      <c r="B878" s="14">
        <f>63.2579 * CHOOSE(CONTROL!$C$15, $E$9, 100%, $G$9) + CHOOSE(CONTROL!$C$38, 0.0251, 0)</f>
        <v>63.283000000000001</v>
      </c>
      <c r="C878" s="14">
        <f>59.8435 * CHOOSE(CONTROL!$C$15, $E$9, 100%, $G$9) + CHOOSE(CONTROL!$C$38, 0.0342, 0)</f>
        <v>59.877699999999997</v>
      </c>
      <c r="D878" s="14">
        <f>59.8357 * CHOOSE(CONTROL!$C$15, $E$9, 100%, $G$9) + CHOOSE(CONTROL!$C$38, 0.0342, 0)</f>
        <v>59.869900000000001</v>
      </c>
      <c r="E878" s="45">
        <f>63.1016 * CHOOSE(CONTROL!$C$15, $E$9, 100%, $G$9) + CHOOSE(CONTROL!$C$38, 0.0342, 0)</f>
        <v>63.135799999999996</v>
      </c>
      <c r="F878" s="44">
        <f>63.1016 * CHOOSE(CONTROL!$C$15, $E$9, 100%, $G$9) + CHOOSE(CONTROL!$C$38, 0.0251, 0)</f>
        <v>63.1267</v>
      </c>
      <c r="G878" s="14">
        <f>59.8419 * CHOOSE(CONTROL!$C$15, $E$9, 100%, $G$9) + CHOOSE(CONTROL!$C$38, 0.0342, 0)</f>
        <v>59.876100000000001</v>
      </c>
      <c r="H878" s="14">
        <f>59.8419 * CHOOSE(CONTROL!$C$15, $E$9, 100%, $G$9) + CHOOSE(CONTROL!$C$38, 0.0342, 0)</f>
        <v>59.876100000000001</v>
      </c>
      <c r="I878" s="14">
        <f>59.8435 * CHOOSE(CONTROL!$C$15, $E$9, 100%, $G$9) + CHOOSE(CONTROL!$C$38, 0.0342, 0)</f>
        <v>59.877699999999997</v>
      </c>
      <c r="J878" s="43">
        <f>595.6648</f>
        <v>595.66480000000001</v>
      </c>
    </row>
    <row r="879" spans="1:10" ht="15.75" x14ac:dyDescent="0.25">
      <c r="A879" s="31">
        <v>67692</v>
      </c>
      <c r="B879" s="14">
        <f>67.3248 * CHOOSE(CONTROL!$C$15, $E$9, 100%, $G$9) + CHOOSE(CONTROL!$C$38, 0.0251, 0)</f>
        <v>67.349899999999991</v>
      </c>
      <c r="C879" s="14">
        <f>63.6989 * CHOOSE(CONTROL!$C$15, $E$9, 100%, $G$9) + CHOOSE(CONTROL!$C$38, 0.0342, 0)</f>
        <v>63.7331</v>
      </c>
      <c r="D879" s="14">
        <f>63.6911 * CHOOSE(CONTROL!$C$15, $E$9, 100%, $G$9) + CHOOSE(CONTROL!$C$38, 0.0342, 0)</f>
        <v>63.725299999999997</v>
      </c>
      <c r="E879" s="45">
        <f>67.1686 * CHOOSE(CONTROL!$C$15, $E$9, 100%, $G$9) + CHOOSE(CONTROL!$C$38, 0.0342, 0)</f>
        <v>67.202799999999996</v>
      </c>
      <c r="F879" s="44">
        <f>67.1686 * CHOOSE(CONTROL!$C$15, $E$9, 100%, $G$9) + CHOOSE(CONTROL!$C$38, 0.0251, 0)</f>
        <v>67.193699999999993</v>
      </c>
      <c r="G879" s="14">
        <f>63.6973 * CHOOSE(CONTROL!$C$15, $E$9, 100%, $G$9) + CHOOSE(CONTROL!$C$38, 0.0342, 0)</f>
        <v>63.731499999999997</v>
      </c>
      <c r="H879" s="14">
        <f>63.6973 * CHOOSE(CONTROL!$C$15, $E$9, 100%, $G$9) + CHOOSE(CONTROL!$C$38, 0.0342, 0)</f>
        <v>63.731499999999997</v>
      </c>
      <c r="I879" s="14">
        <f>63.6989 * CHOOSE(CONTROL!$C$15, $E$9, 100%, $G$9) + CHOOSE(CONTROL!$C$38, 0.0342, 0)</f>
        <v>63.7331</v>
      </c>
      <c r="J879" s="43">
        <f>634.3382</f>
        <v>634.33820000000003</v>
      </c>
    </row>
    <row r="880" spans="1:10" ht="15.75" x14ac:dyDescent="0.25">
      <c r="A880" s="31">
        <v>67723</v>
      </c>
      <c r="B880" s="14">
        <f>69.5634 * CHOOSE(CONTROL!$C$15, $E$9, 100%, $G$9) + CHOOSE(CONTROL!$C$38, 0.0264, 0)</f>
        <v>69.589799999999997</v>
      </c>
      <c r="C880" s="14">
        <f>65.821 * CHOOSE(CONTROL!$C$15, $E$9, 100%, $G$9) + CHOOSE(CONTROL!$C$38, 0.0354, 0)</f>
        <v>65.856399999999994</v>
      </c>
      <c r="D880" s="14">
        <f>65.8132 * CHOOSE(CONTROL!$C$15, $E$9, 100%, $G$9) + CHOOSE(CONTROL!$C$38, 0.0354, 0)</f>
        <v>65.84859999999999</v>
      </c>
      <c r="E880" s="45">
        <f>69.4071 * CHOOSE(CONTROL!$C$15, $E$9, 100%, $G$9) + CHOOSE(CONTROL!$C$38, 0.0354, 0)</f>
        <v>69.442499999999995</v>
      </c>
      <c r="F880" s="44">
        <f>69.4071 * CHOOSE(CONTROL!$C$15, $E$9, 100%, $G$9) + CHOOSE(CONTROL!$C$38, 0.0264, 0)</f>
        <v>69.433499999999995</v>
      </c>
      <c r="G880" s="14">
        <f>65.8195 * CHOOSE(CONTROL!$C$15, $E$9, 100%, $G$9) + CHOOSE(CONTROL!$C$38, 0.0354, 0)</f>
        <v>65.854900000000001</v>
      </c>
      <c r="H880" s="14">
        <f>65.8195 * CHOOSE(CONTROL!$C$15, $E$9, 100%, $G$9) + CHOOSE(CONTROL!$C$38, 0.0354, 0)</f>
        <v>65.854900000000001</v>
      </c>
      <c r="I880" s="14">
        <f>65.821 * CHOOSE(CONTROL!$C$15, $E$9, 100%, $G$9) + CHOOSE(CONTROL!$C$38, 0.0354, 0)</f>
        <v>65.856399999999994</v>
      </c>
      <c r="J880" s="43">
        <f>655.6254</f>
        <v>655.62540000000001</v>
      </c>
    </row>
    <row r="881" spans="1:10" ht="15.75" x14ac:dyDescent="0.25">
      <c r="A881" s="31">
        <v>67753</v>
      </c>
      <c r="B881" s="14">
        <f>70.5568 * CHOOSE(CONTROL!$C$15, $E$9, 100%, $G$9) + CHOOSE(CONTROL!$C$38, 0.0264, 0)</f>
        <v>70.583199999999991</v>
      </c>
      <c r="C881" s="14">
        <f>66.7628 * CHOOSE(CONTROL!$C$15, $E$9, 100%, $G$9) + CHOOSE(CONTROL!$C$38, 0.0354, 0)</f>
        <v>66.798199999999994</v>
      </c>
      <c r="D881" s="14">
        <f>66.755 * CHOOSE(CONTROL!$C$15, $E$9, 100%, $G$9) + CHOOSE(CONTROL!$C$38, 0.0354, 0)</f>
        <v>66.790399999999991</v>
      </c>
      <c r="E881" s="45">
        <f>70.4006 * CHOOSE(CONTROL!$C$15, $E$9, 100%, $G$9) + CHOOSE(CONTROL!$C$38, 0.0354, 0)</f>
        <v>70.435999999999993</v>
      </c>
      <c r="F881" s="44">
        <f>70.4006 * CHOOSE(CONTROL!$C$15, $E$9, 100%, $G$9) + CHOOSE(CONTROL!$C$38, 0.0264, 0)</f>
        <v>70.426999999999992</v>
      </c>
      <c r="G881" s="14">
        <f>66.7612 * CHOOSE(CONTROL!$C$15, $E$9, 100%, $G$9) + CHOOSE(CONTROL!$C$38, 0.0354, 0)</f>
        <v>66.796599999999998</v>
      </c>
      <c r="H881" s="14">
        <f>66.7612 * CHOOSE(CONTROL!$C$15, $E$9, 100%, $G$9) + CHOOSE(CONTROL!$C$38, 0.0354, 0)</f>
        <v>66.796599999999998</v>
      </c>
      <c r="I881" s="14">
        <f>66.7628 * CHOOSE(CONTROL!$C$15, $E$9, 100%, $G$9) + CHOOSE(CONTROL!$C$38, 0.0354, 0)</f>
        <v>66.798199999999994</v>
      </c>
      <c r="J881" s="43">
        <f>665.0722</f>
        <v>665.07219999999995</v>
      </c>
    </row>
    <row r="882" spans="1:10" ht="15.75" x14ac:dyDescent="0.25">
      <c r="A882" s="31">
        <v>67784</v>
      </c>
      <c r="B882" s="14">
        <f>70.2298 * CHOOSE(CONTROL!$C$15, $E$9, 100%, $G$9) + CHOOSE(CONTROL!$C$38, 0.0264, 0)</f>
        <v>70.256199999999993</v>
      </c>
      <c r="C882" s="14">
        <f>66.4527 * CHOOSE(CONTROL!$C$15, $E$9, 100%, $G$9) + CHOOSE(CONTROL!$C$38, 0.0354, 0)</f>
        <v>66.488099999999989</v>
      </c>
      <c r="D882" s="14">
        <f>66.4449 * CHOOSE(CONTROL!$C$15, $E$9, 100%, $G$9) + CHOOSE(CONTROL!$C$38, 0.0354, 0)</f>
        <v>66.4803</v>
      </c>
      <c r="E882" s="45">
        <f>70.0735 * CHOOSE(CONTROL!$C$15, $E$9, 100%, $G$9) + CHOOSE(CONTROL!$C$38, 0.0354, 0)</f>
        <v>70.108899999999991</v>
      </c>
      <c r="F882" s="44">
        <f>70.0735 * CHOOSE(CONTROL!$C$15, $E$9, 100%, $G$9) + CHOOSE(CONTROL!$C$38, 0.0264, 0)</f>
        <v>70.099899999999991</v>
      </c>
      <c r="G882" s="14">
        <f>66.4512 * CHOOSE(CONTROL!$C$15, $E$9, 100%, $G$9) + CHOOSE(CONTROL!$C$38, 0.0354, 0)</f>
        <v>66.486599999999996</v>
      </c>
      <c r="H882" s="14">
        <f>66.4512 * CHOOSE(CONTROL!$C$15, $E$9, 100%, $G$9) + CHOOSE(CONTROL!$C$38, 0.0354, 0)</f>
        <v>66.486599999999996</v>
      </c>
      <c r="I882" s="14">
        <f>66.4527 * CHOOSE(CONTROL!$C$15, $E$9, 100%, $G$9) + CHOOSE(CONTROL!$C$38, 0.0354, 0)</f>
        <v>66.488099999999989</v>
      </c>
      <c r="J882" s="43">
        <f>661.9619</f>
        <v>661.96190000000001</v>
      </c>
    </row>
    <row r="883" spans="1:10" ht="15.75" x14ac:dyDescent="0.25">
      <c r="A883" s="31">
        <v>67815</v>
      </c>
      <c r="B883" s="14">
        <f>68.6092 * CHOOSE(CONTROL!$C$15, $E$9, 100%, $G$9) + CHOOSE(CONTROL!$C$38, 0.0264, 0)</f>
        <v>68.635599999999997</v>
      </c>
      <c r="C883" s="14">
        <f>64.9165 * CHOOSE(CONTROL!$C$15, $E$9, 100%, $G$9) + CHOOSE(CONTROL!$C$38, 0.0354, 0)</f>
        <v>64.951899999999995</v>
      </c>
      <c r="D883" s="14">
        <f>64.9087 * CHOOSE(CONTROL!$C$15, $E$9, 100%, $G$9) + CHOOSE(CONTROL!$C$38, 0.0354, 0)</f>
        <v>64.944099999999992</v>
      </c>
      <c r="E883" s="45">
        <f>68.4529 * CHOOSE(CONTROL!$C$15, $E$9, 100%, $G$9) + CHOOSE(CONTROL!$C$38, 0.0354, 0)</f>
        <v>68.488299999999995</v>
      </c>
      <c r="F883" s="44">
        <f>68.4529 * CHOOSE(CONTROL!$C$15, $E$9, 100%, $G$9) + CHOOSE(CONTROL!$C$38, 0.0264, 0)</f>
        <v>68.479299999999995</v>
      </c>
      <c r="G883" s="14">
        <f>64.9149 * CHOOSE(CONTROL!$C$15, $E$9, 100%, $G$9) + CHOOSE(CONTROL!$C$38, 0.0354, 0)</f>
        <v>64.950299999999999</v>
      </c>
      <c r="H883" s="14">
        <f>64.9149 * CHOOSE(CONTROL!$C$15, $E$9, 100%, $G$9) + CHOOSE(CONTROL!$C$38, 0.0354, 0)</f>
        <v>64.950299999999999</v>
      </c>
      <c r="I883" s="14">
        <f>64.9165 * CHOOSE(CONTROL!$C$15, $E$9, 100%, $G$9) + CHOOSE(CONTROL!$C$38, 0.0354, 0)</f>
        <v>64.951899999999995</v>
      </c>
      <c r="J883" s="43">
        <f>646.5517</f>
        <v>646.55169999999998</v>
      </c>
    </row>
    <row r="884" spans="1:10" ht="15.75" x14ac:dyDescent="0.25">
      <c r="A884" s="31">
        <v>67845</v>
      </c>
      <c r="B884" s="14">
        <f>66.3493 * CHOOSE(CONTROL!$C$15, $E$9, 100%, $G$9) + CHOOSE(CONTROL!$C$38, 0.0264, 0)</f>
        <v>66.375699999999995</v>
      </c>
      <c r="C884" s="14">
        <f>62.7741 * CHOOSE(CONTROL!$C$15, $E$9, 100%, $G$9) + CHOOSE(CONTROL!$C$38, 0.0354, 0)</f>
        <v>62.8095</v>
      </c>
      <c r="D884" s="14">
        <f>62.7663 * CHOOSE(CONTROL!$C$15, $E$9, 100%, $G$9) + CHOOSE(CONTROL!$C$38, 0.0354, 0)</f>
        <v>62.801700000000004</v>
      </c>
      <c r="E884" s="45">
        <f>66.193 * CHOOSE(CONTROL!$C$15, $E$9, 100%, $G$9) + CHOOSE(CONTROL!$C$38, 0.0354, 0)</f>
        <v>66.228399999999993</v>
      </c>
      <c r="F884" s="44">
        <f>66.193 * CHOOSE(CONTROL!$C$15, $E$9, 100%, $G$9) + CHOOSE(CONTROL!$C$38, 0.0264, 0)</f>
        <v>66.219399999999993</v>
      </c>
      <c r="G884" s="14">
        <f>62.7725 * CHOOSE(CONTROL!$C$15, $E$9, 100%, $G$9) + CHOOSE(CONTROL!$C$38, 0.0354, 0)</f>
        <v>62.807900000000004</v>
      </c>
      <c r="H884" s="14">
        <f>62.7725 * CHOOSE(CONTROL!$C$15, $E$9, 100%, $G$9) + CHOOSE(CONTROL!$C$38, 0.0354, 0)</f>
        <v>62.807900000000004</v>
      </c>
      <c r="I884" s="14">
        <f>62.7741 * CHOOSE(CONTROL!$C$15, $E$9, 100%, $G$9) + CHOOSE(CONTROL!$C$38, 0.0354, 0)</f>
        <v>62.8095</v>
      </c>
      <c r="J884" s="43">
        <f>625.0614</f>
        <v>625.06140000000005</v>
      </c>
    </row>
    <row r="885" spans="1:10" ht="15.75" x14ac:dyDescent="0.25">
      <c r="A885" s="31">
        <v>67876</v>
      </c>
      <c r="B885" s="14">
        <f>64.0762 * CHOOSE(CONTROL!$C$15, $E$9, 100%, $G$9) + CHOOSE(CONTROL!$C$38, 0.0251, 0)</f>
        <v>64.101299999999995</v>
      </c>
      <c r="C885" s="14">
        <f>60.6192 * CHOOSE(CONTROL!$C$15, $E$9, 100%, $G$9) + CHOOSE(CONTROL!$C$38, 0.0342, 0)</f>
        <v>60.653399999999998</v>
      </c>
      <c r="D885" s="14">
        <f>60.6114 * CHOOSE(CONTROL!$C$15, $E$9, 100%, $G$9) + CHOOSE(CONTROL!$C$38, 0.0342, 0)</f>
        <v>60.645600000000002</v>
      </c>
      <c r="E885" s="45">
        <f>63.9199 * CHOOSE(CONTROL!$C$15, $E$9, 100%, $G$9) + CHOOSE(CONTROL!$C$38, 0.0342, 0)</f>
        <v>63.954099999999997</v>
      </c>
      <c r="F885" s="44">
        <f>63.9199 * CHOOSE(CONTROL!$C$15, $E$9, 100%, $G$9) + CHOOSE(CONTROL!$C$38, 0.0251, 0)</f>
        <v>63.945</v>
      </c>
      <c r="G885" s="14">
        <f>60.6177 * CHOOSE(CONTROL!$C$15, $E$9, 100%, $G$9) + CHOOSE(CONTROL!$C$38, 0.0342, 0)</f>
        <v>60.651899999999998</v>
      </c>
      <c r="H885" s="14">
        <f>60.6177 * CHOOSE(CONTROL!$C$15, $E$9, 100%, $G$9) + CHOOSE(CONTROL!$C$38, 0.0342, 0)</f>
        <v>60.651899999999998</v>
      </c>
      <c r="I885" s="14">
        <f>60.6192 * CHOOSE(CONTROL!$C$15, $E$9, 100%, $G$9) + CHOOSE(CONTROL!$C$38, 0.0342, 0)</f>
        <v>60.653399999999998</v>
      </c>
      <c r="J885" s="43">
        <f>603.4461</f>
        <v>603.4461</v>
      </c>
    </row>
    <row r="886" spans="1:10" ht="15.75" x14ac:dyDescent="0.25">
      <c r="A886" s="31">
        <v>67906</v>
      </c>
      <c r="B886" s="14">
        <f>63.624 * CHOOSE(CONTROL!$C$15, $E$9, 100%, $G$9) + CHOOSE(CONTROL!$C$38, 0.0251, 0)</f>
        <v>63.649100000000004</v>
      </c>
      <c r="C886" s="14">
        <f>60.1906 * CHOOSE(CONTROL!$C$15, $E$9, 100%, $G$9) + CHOOSE(CONTROL!$C$38, 0.0342, 0)</f>
        <v>60.224800000000002</v>
      </c>
      <c r="D886" s="14">
        <f>60.1828 * CHOOSE(CONTROL!$C$15, $E$9, 100%, $G$9) + CHOOSE(CONTROL!$C$38, 0.0342, 0)</f>
        <v>60.216999999999999</v>
      </c>
      <c r="E886" s="45">
        <f>63.4678 * CHOOSE(CONTROL!$C$15, $E$9, 100%, $G$9) + CHOOSE(CONTROL!$C$38, 0.0342, 0)</f>
        <v>63.501999999999995</v>
      </c>
      <c r="F886" s="44">
        <f>63.4678 * CHOOSE(CONTROL!$C$15, $E$9, 100%, $G$9) + CHOOSE(CONTROL!$C$38, 0.0251, 0)</f>
        <v>63.492899999999999</v>
      </c>
      <c r="G886" s="14">
        <f>60.189 * CHOOSE(CONTROL!$C$15, $E$9, 100%, $G$9) + CHOOSE(CONTROL!$C$38, 0.0342, 0)</f>
        <v>60.223199999999999</v>
      </c>
      <c r="H886" s="14">
        <f>60.189 * CHOOSE(CONTROL!$C$15, $E$9, 100%, $G$9) + CHOOSE(CONTROL!$C$38, 0.0342, 0)</f>
        <v>60.223199999999999</v>
      </c>
      <c r="I886" s="14">
        <f>60.1906 * CHOOSE(CONTROL!$C$15, $E$9, 100%, $G$9) + CHOOSE(CONTROL!$C$38, 0.0342, 0)</f>
        <v>60.224800000000002</v>
      </c>
      <c r="J886" s="43">
        <f>599.1464</f>
        <v>599.14639999999997</v>
      </c>
    </row>
    <row r="887" spans="1:10" ht="15.75" x14ac:dyDescent="0.25">
      <c r="A887" s="31">
        <v>67937</v>
      </c>
      <c r="B887" s="14">
        <f>61.7543 * CHOOSE(CONTROL!$C$15, $E$9, 100%, $G$9) + CHOOSE(CONTROL!$C$38, 0.0251, 0)</f>
        <v>61.779400000000003</v>
      </c>
      <c r="C887" s="14">
        <f>58.4181 * CHOOSE(CONTROL!$C$15, $E$9, 100%, $G$9) + CHOOSE(CONTROL!$C$38, 0.0342, 0)</f>
        <v>58.452300000000001</v>
      </c>
      <c r="D887" s="14">
        <f>58.4103 * CHOOSE(CONTROL!$C$15, $E$9, 100%, $G$9) + CHOOSE(CONTROL!$C$38, 0.0342, 0)</f>
        <v>58.444499999999998</v>
      </c>
      <c r="E887" s="45">
        <f>61.598 * CHOOSE(CONTROL!$C$15, $E$9, 100%, $G$9) + CHOOSE(CONTROL!$C$38, 0.0342, 0)</f>
        <v>61.632199999999997</v>
      </c>
      <c r="F887" s="44">
        <f>61.598 * CHOOSE(CONTROL!$C$15, $E$9, 100%, $G$9) + CHOOSE(CONTROL!$C$38, 0.0251, 0)</f>
        <v>61.623100000000001</v>
      </c>
      <c r="G887" s="14">
        <f>58.4165 * CHOOSE(CONTROL!$C$15, $E$9, 100%, $G$9) + CHOOSE(CONTROL!$C$38, 0.0342, 0)</f>
        <v>58.450699999999998</v>
      </c>
      <c r="H887" s="14">
        <f>58.4165 * CHOOSE(CONTROL!$C$15, $E$9, 100%, $G$9) + CHOOSE(CONTROL!$C$38, 0.0342, 0)</f>
        <v>58.450699999999998</v>
      </c>
      <c r="I887" s="14">
        <f>58.4181 * CHOOSE(CONTROL!$C$15, $E$9, 100%, $G$9) + CHOOSE(CONTROL!$C$38, 0.0342, 0)</f>
        <v>58.452300000000001</v>
      </c>
      <c r="J887" s="43">
        <f>581.3667</f>
        <v>581.36670000000004</v>
      </c>
    </row>
    <row r="888" spans="1:10" ht="15.75" x14ac:dyDescent="0.25">
      <c r="A888" s="31">
        <v>67968</v>
      </c>
      <c r="B888" s="14">
        <f>61.29 * CHOOSE(CONTROL!$C$15, $E$9, 100%, $G$9) + CHOOSE(CONTROL!$C$38, 0.0251, 0)</f>
        <v>61.315100000000001</v>
      </c>
      <c r="C888" s="14">
        <f>57.9779 * CHOOSE(CONTROL!$C$15, $E$9, 100%, $G$9) + CHOOSE(CONTROL!$C$38, 0.0342, 0)</f>
        <v>58.012099999999997</v>
      </c>
      <c r="D888" s="14">
        <f>57.9701 * CHOOSE(CONTROL!$C$15, $E$9, 100%, $G$9) + CHOOSE(CONTROL!$C$38, 0.0342, 0)</f>
        <v>58.004300000000001</v>
      </c>
      <c r="E888" s="45">
        <f>61.1337 * CHOOSE(CONTROL!$C$15, $E$9, 100%, $G$9) + CHOOSE(CONTROL!$C$38, 0.0342, 0)</f>
        <v>61.167899999999996</v>
      </c>
      <c r="F888" s="44">
        <f>61.1337 * CHOOSE(CONTROL!$C$15, $E$9, 100%, $G$9) + CHOOSE(CONTROL!$C$38, 0.0251, 0)</f>
        <v>61.158799999999999</v>
      </c>
      <c r="G888" s="14">
        <f>57.9764 * CHOOSE(CONTROL!$C$15, $E$9, 100%, $G$9) + CHOOSE(CONTROL!$C$38, 0.0342, 0)</f>
        <v>58.010599999999997</v>
      </c>
      <c r="H888" s="14">
        <f>57.9764 * CHOOSE(CONTROL!$C$15, $E$9, 100%, $G$9) + CHOOSE(CONTROL!$C$38, 0.0342, 0)</f>
        <v>58.010599999999997</v>
      </c>
      <c r="I888" s="14">
        <f>57.9779 * CHOOSE(CONTROL!$C$15, $E$9, 100%, $G$9) + CHOOSE(CONTROL!$C$38, 0.0342, 0)</f>
        <v>58.012099999999997</v>
      </c>
      <c r="J888" s="43">
        <f>580.947</f>
        <v>580.947</v>
      </c>
    </row>
    <row r="889" spans="1:10" ht="15.75" x14ac:dyDescent="0.25">
      <c r="A889" s="31">
        <v>67996</v>
      </c>
      <c r="B889" s="14">
        <f>61.1213 * CHOOSE(CONTROL!$C$15, $E$9, 100%, $G$9) + CHOOSE(CONTROL!$C$38, 0.0251, 0)</f>
        <v>61.1464</v>
      </c>
      <c r="C889" s="14">
        <f>57.8181 * CHOOSE(CONTROL!$C$15, $E$9, 100%, $G$9) + CHOOSE(CONTROL!$C$38, 0.0342, 0)</f>
        <v>57.8523</v>
      </c>
      <c r="D889" s="14">
        <f>57.8102 * CHOOSE(CONTROL!$C$15, $E$9, 100%, $G$9) + CHOOSE(CONTROL!$C$38, 0.0342, 0)</f>
        <v>57.8444</v>
      </c>
      <c r="E889" s="45">
        <f>60.9651 * CHOOSE(CONTROL!$C$15, $E$9, 100%, $G$9) + CHOOSE(CONTROL!$C$38, 0.0342, 0)</f>
        <v>60.999299999999998</v>
      </c>
      <c r="F889" s="44">
        <f>60.9651 * CHOOSE(CONTROL!$C$15, $E$9, 100%, $G$9) + CHOOSE(CONTROL!$C$38, 0.0251, 0)</f>
        <v>60.990200000000002</v>
      </c>
      <c r="G889" s="14">
        <f>57.8165 * CHOOSE(CONTROL!$C$15, $E$9, 100%, $G$9) + CHOOSE(CONTROL!$C$38, 0.0342, 0)</f>
        <v>57.850699999999996</v>
      </c>
      <c r="H889" s="14">
        <f>57.8165 * CHOOSE(CONTROL!$C$15, $E$9, 100%, $G$9) + CHOOSE(CONTROL!$C$38, 0.0342, 0)</f>
        <v>57.850699999999996</v>
      </c>
      <c r="I889" s="14">
        <f>57.8181 * CHOOSE(CONTROL!$C$15, $E$9, 100%, $G$9) + CHOOSE(CONTROL!$C$38, 0.0342, 0)</f>
        <v>57.8523</v>
      </c>
      <c r="J889" s="43">
        <f>579.3321</f>
        <v>579.33209999999997</v>
      </c>
    </row>
    <row r="890" spans="1:10" ht="15.75" x14ac:dyDescent="0.25">
      <c r="A890" s="31">
        <v>68027</v>
      </c>
      <c r="B890" s="14">
        <f>64.3102 * CHOOSE(CONTROL!$C$15, $E$9, 100%, $G$9) + CHOOSE(CONTROL!$C$38, 0.0251, 0)</f>
        <v>64.335299999999989</v>
      </c>
      <c r="C890" s="14">
        <f>60.8411 * CHOOSE(CONTROL!$C$15, $E$9, 100%, $G$9) + CHOOSE(CONTROL!$C$38, 0.0342, 0)</f>
        <v>60.875299999999996</v>
      </c>
      <c r="D890" s="14">
        <f>60.8333 * CHOOSE(CONTROL!$C$15, $E$9, 100%, $G$9) + CHOOSE(CONTROL!$C$38, 0.0342, 0)</f>
        <v>60.8675</v>
      </c>
      <c r="E890" s="45">
        <f>64.154 * CHOOSE(CONTROL!$C$15, $E$9, 100%, $G$9) + CHOOSE(CONTROL!$C$38, 0.0342, 0)</f>
        <v>64.188199999999995</v>
      </c>
      <c r="F890" s="44">
        <f>64.154 * CHOOSE(CONTROL!$C$15, $E$9, 100%, $G$9) + CHOOSE(CONTROL!$C$38, 0.0251, 0)</f>
        <v>64.179099999999991</v>
      </c>
      <c r="G890" s="14">
        <f>60.8395 * CHOOSE(CONTROL!$C$15, $E$9, 100%, $G$9) + CHOOSE(CONTROL!$C$38, 0.0342, 0)</f>
        <v>60.873699999999999</v>
      </c>
      <c r="H890" s="14">
        <f>60.8395 * CHOOSE(CONTROL!$C$15, $E$9, 100%, $G$9) + CHOOSE(CONTROL!$C$38, 0.0342, 0)</f>
        <v>60.873699999999999</v>
      </c>
      <c r="I890" s="14">
        <f>60.8411 * CHOOSE(CONTROL!$C$15, $E$9, 100%, $G$9) + CHOOSE(CONTROL!$C$38, 0.0342, 0)</f>
        <v>60.875299999999996</v>
      </c>
      <c r="J890" s="43">
        <f>609.8663</f>
        <v>609.86630000000002</v>
      </c>
    </row>
    <row r="891" spans="1:10" ht="15.75" x14ac:dyDescent="0.25">
      <c r="A891" s="31">
        <v>68057</v>
      </c>
      <c r="B891" s="14">
        <f>68.4455 * CHOOSE(CONTROL!$C$15, $E$9, 100%, $G$9) + CHOOSE(CONTROL!$C$38, 0.0251, 0)</f>
        <v>68.47059999999999</v>
      </c>
      <c r="C891" s="14">
        <f>64.7613 * CHOOSE(CONTROL!$C$15, $E$9, 100%, $G$9) + CHOOSE(CONTROL!$C$38, 0.0342, 0)</f>
        <v>64.795500000000004</v>
      </c>
      <c r="D891" s="14">
        <f>64.7535 * CHOOSE(CONTROL!$C$15, $E$9, 100%, $G$9) + CHOOSE(CONTROL!$C$38, 0.0342, 0)</f>
        <v>64.787700000000001</v>
      </c>
      <c r="E891" s="45">
        <f>68.2892 * CHOOSE(CONTROL!$C$15, $E$9, 100%, $G$9) + CHOOSE(CONTROL!$C$38, 0.0342, 0)</f>
        <v>68.323399999999992</v>
      </c>
      <c r="F891" s="44">
        <f>68.2892 * CHOOSE(CONTROL!$C$15, $E$9, 100%, $G$9) + CHOOSE(CONTROL!$C$38, 0.0251, 0)</f>
        <v>68.314299999999989</v>
      </c>
      <c r="G891" s="14">
        <f>64.7597 * CHOOSE(CONTROL!$C$15, $E$9, 100%, $G$9) + CHOOSE(CONTROL!$C$38, 0.0342, 0)</f>
        <v>64.793899999999994</v>
      </c>
      <c r="H891" s="14">
        <f>64.7597 * CHOOSE(CONTROL!$C$15, $E$9, 100%, $G$9) + CHOOSE(CONTROL!$C$38, 0.0342, 0)</f>
        <v>64.793899999999994</v>
      </c>
      <c r="I891" s="14">
        <f>64.7613 * CHOOSE(CONTROL!$C$15, $E$9, 100%, $G$9) + CHOOSE(CONTROL!$C$38, 0.0342, 0)</f>
        <v>64.795500000000004</v>
      </c>
      <c r="J891" s="43">
        <f>649.4618</f>
        <v>649.46180000000004</v>
      </c>
    </row>
    <row r="892" spans="1:10" ht="15.75" x14ac:dyDescent="0.25">
      <c r="A892" s="31">
        <v>68088</v>
      </c>
      <c r="B892" s="14">
        <f>70.7217 * CHOOSE(CONTROL!$C$15, $E$9, 100%, $G$9) + CHOOSE(CONTROL!$C$38, 0.0264, 0)</f>
        <v>70.748099999999994</v>
      </c>
      <c r="C892" s="14">
        <f>66.9191 * CHOOSE(CONTROL!$C$15, $E$9, 100%, $G$9) + CHOOSE(CONTROL!$C$38, 0.0354, 0)</f>
        <v>66.954499999999996</v>
      </c>
      <c r="D892" s="14">
        <f>66.9113 * CHOOSE(CONTROL!$C$15, $E$9, 100%, $G$9) + CHOOSE(CONTROL!$C$38, 0.0354, 0)</f>
        <v>66.946699999999993</v>
      </c>
      <c r="E892" s="45">
        <f>70.5654 * CHOOSE(CONTROL!$C$15, $E$9, 100%, $G$9) + CHOOSE(CONTROL!$C$38, 0.0354, 0)</f>
        <v>70.600799999999992</v>
      </c>
      <c r="F892" s="44">
        <f>70.5654 * CHOOSE(CONTROL!$C$15, $E$9, 100%, $G$9) + CHOOSE(CONTROL!$C$38, 0.0264, 0)</f>
        <v>70.591799999999992</v>
      </c>
      <c r="G892" s="14">
        <f>66.9175 * CHOOSE(CONTROL!$C$15, $E$9, 100%, $G$9) + CHOOSE(CONTROL!$C$38, 0.0354, 0)</f>
        <v>66.9529</v>
      </c>
      <c r="H892" s="14">
        <f>66.9175 * CHOOSE(CONTROL!$C$15, $E$9, 100%, $G$9) + CHOOSE(CONTROL!$C$38, 0.0354, 0)</f>
        <v>66.9529</v>
      </c>
      <c r="I892" s="14">
        <f>66.9191 * CHOOSE(CONTROL!$C$15, $E$9, 100%, $G$9) + CHOOSE(CONTROL!$C$38, 0.0354, 0)</f>
        <v>66.954499999999996</v>
      </c>
      <c r="J892" s="43">
        <f>671.2565</f>
        <v>671.25649999999996</v>
      </c>
    </row>
    <row r="893" spans="1:10" ht="15.75" x14ac:dyDescent="0.25">
      <c r="A893" s="31">
        <v>68118</v>
      </c>
      <c r="B893" s="14">
        <f>71.7318 * CHOOSE(CONTROL!$C$15, $E$9, 100%, $G$9) + CHOOSE(CONTROL!$C$38, 0.0264, 0)</f>
        <v>71.758200000000002</v>
      </c>
      <c r="C893" s="14">
        <f>67.8767 * CHOOSE(CONTROL!$C$15, $E$9, 100%, $G$9) + CHOOSE(CONTROL!$C$38, 0.0354, 0)</f>
        <v>67.912099999999995</v>
      </c>
      <c r="D893" s="14">
        <f>67.8689 * CHOOSE(CONTROL!$C$15, $E$9, 100%, $G$9) + CHOOSE(CONTROL!$C$38, 0.0354, 0)</f>
        <v>67.904299999999992</v>
      </c>
      <c r="E893" s="45">
        <f>71.5756 * CHOOSE(CONTROL!$C$15, $E$9, 100%, $G$9) + CHOOSE(CONTROL!$C$38, 0.0354, 0)</f>
        <v>71.61099999999999</v>
      </c>
      <c r="F893" s="44">
        <f>71.5756 * CHOOSE(CONTROL!$C$15, $E$9, 100%, $G$9) + CHOOSE(CONTROL!$C$38, 0.0264, 0)</f>
        <v>71.60199999999999</v>
      </c>
      <c r="G893" s="14">
        <f>67.8751 * CHOOSE(CONTROL!$C$15, $E$9, 100%, $G$9) + CHOOSE(CONTROL!$C$38, 0.0354, 0)</f>
        <v>67.910499999999999</v>
      </c>
      <c r="H893" s="14">
        <f>67.8751 * CHOOSE(CONTROL!$C$15, $E$9, 100%, $G$9) + CHOOSE(CONTROL!$C$38, 0.0354, 0)</f>
        <v>67.910499999999999</v>
      </c>
      <c r="I893" s="14">
        <f>67.8767 * CHOOSE(CONTROL!$C$15, $E$9, 100%, $G$9) + CHOOSE(CONTROL!$C$38, 0.0354, 0)</f>
        <v>67.912099999999995</v>
      </c>
      <c r="J893" s="43">
        <f>680.9285</f>
        <v>680.92849999999999</v>
      </c>
    </row>
    <row r="894" spans="1:10" ht="15.75" x14ac:dyDescent="0.25">
      <c r="A894" s="31">
        <v>68149</v>
      </c>
      <c r="B894" s="14">
        <f>71.3992 * CHOOSE(CONTROL!$C$15, $E$9, 100%, $G$9) + CHOOSE(CONTROL!$C$38, 0.0264, 0)</f>
        <v>71.425599999999989</v>
      </c>
      <c r="C894" s="14">
        <f>67.5614 * CHOOSE(CONTROL!$C$15, $E$9, 100%, $G$9) + CHOOSE(CONTROL!$C$38, 0.0354, 0)</f>
        <v>67.596800000000002</v>
      </c>
      <c r="D894" s="14">
        <f>67.5536 * CHOOSE(CONTROL!$C$15, $E$9, 100%, $G$9) + CHOOSE(CONTROL!$C$38, 0.0354, 0)</f>
        <v>67.588999999999999</v>
      </c>
      <c r="E894" s="45">
        <f>71.243 * CHOOSE(CONTROL!$C$15, $E$9, 100%, $G$9) + CHOOSE(CONTROL!$C$38, 0.0354, 0)</f>
        <v>71.278399999999991</v>
      </c>
      <c r="F894" s="44">
        <f>71.243 * CHOOSE(CONTROL!$C$15, $E$9, 100%, $G$9) + CHOOSE(CONTROL!$C$38, 0.0264, 0)</f>
        <v>71.26939999999999</v>
      </c>
      <c r="G894" s="14">
        <f>67.5598 * CHOOSE(CONTROL!$C$15, $E$9, 100%, $G$9) + CHOOSE(CONTROL!$C$38, 0.0354, 0)</f>
        <v>67.595199999999991</v>
      </c>
      <c r="H894" s="14">
        <f>67.5598 * CHOOSE(CONTROL!$C$15, $E$9, 100%, $G$9) + CHOOSE(CONTROL!$C$38, 0.0354, 0)</f>
        <v>67.595199999999991</v>
      </c>
      <c r="I894" s="14">
        <f>67.5614 * CHOOSE(CONTROL!$C$15, $E$9, 100%, $G$9) + CHOOSE(CONTROL!$C$38, 0.0354, 0)</f>
        <v>67.596800000000002</v>
      </c>
      <c r="J894" s="43">
        <f>677.744</f>
        <v>677.74400000000003</v>
      </c>
    </row>
    <row r="895" spans="1:10" ht="15.75" x14ac:dyDescent="0.25">
      <c r="A895" s="31">
        <v>68180</v>
      </c>
      <c r="B895" s="14">
        <f>69.7514 * CHOOSE(CONTROL!$C$15, $E$9, 100%, $G$9) + CHOOSE(CONTROL!$C$38, 0.0264, 0)</f>
        <v>69.777799999999999</v>
      </c>
      <c r="C895" s="14">
        <f>65.9993 * CHOOSE(CONTROL!$C$15, $E$9, 100%, $G$9) + CHOOSE(CONTROL!$C$38, 0.0354, 0)</f>
        <v>66.034700000000001</v>
      </c>
      <c r="D895" s="14">
        <f>65.9915 * CHOOSE(CONTROL!$C$15, $E$9, 100%, $G$9) + CHOOSE(CONTROL!$C$38, 0.0354, 0)</f>
        <v>66.026899999999998</v>
      </c>
      <c r="E895" s="45">
        <f>69.5952 * CHOOSE(CONTROL!$C$15, $E$9, 100%, $G$9) + CHOOSE(CONTROL!$C$38, 0.0354, 0)</f>
        <v>69.630600000000001</v>
      </c>
      <c r="F895" s="44">
        <f>69.5952 * CHOOSE(CONTROL!$C$15, $E$9, 100%, $G$9) + CHOOSE(CONTROL!$C$38, 0.0264, 0)</f>
        <v>69.621600000000001</v>
      </c>
      <c r="G895" s="14">
        <f>65.9977 * CHOOSE(CONTROL!$C$15, $E$9, 100%, $G$9) + CHOOSE(CONTROL!$C$38, 0.0354, 0)</f>
        <v>66.03309999999999</v>
      </c>
      <c r="H895" s="14">
        <f>65.9977 * CHOOSE(CONTROL!$C$15, $E$9, 100%, $G$9) + CHOOSE(CONTROL!$C$38, 0.0354, 0)</f>
        <v>66.03309999999999</v>
      </c>
      <c r="I895" s="14">
        <f>65.9993 * CHOOSE(CONTROL!$C$15, $E$9, 100%, $G$9) + CHOOSE(CONTROL!$C$38, 0.0354, 0)</f>
        <v>66.034700000000001</v>
      </c>
      <c r="J895" s="43">
        <f>661.9664</f>
        <v>661.96640000000002</v>
      </c>
    </row>
    <row r="896" spans="1:10" ht="15.75" x14ac:dyDescent="0.25">
      <c r="A896" s="31">
        <v>68210</v>
      </c>
      <c r="B896" s="14">
        <f>67.4535 * CHOOSE(CONTROL!$C$15, $E$9, 100%, $G$9) + CHOOSE(CONTROL!$C$38, 0.0264, 0)</f>
        <v>67.479900000000001</v>
      </c>
      <c r="C896" s="14">
        <f>63.8209 * CHOOSE(CONTROL!$C$15, $E$9, 100%, $G$9) + CHOOSE(CONTROL!$C$38, 0.0354, 0)</f>
        <v>63.856300000000005</v>
      </c>
      <c r="D896" s="14">
        <f>63.8131 * CHOOSE(CONTROL!$C$15, $E$9, 100%, $G$9) + CHOOSE(CONTROL!$C$38, 0.0354, 0)</f>
        <v>63.848500000000001</v>
      </c>
      <c r="E896" s="45">
        <f>67.2973 * CHOOSE(CONTROL!$C$15, $E$9, 100%, $G$9) + CHOOSE(CONTROL!$C$38, 0.0354, 0)</f>
        <v>67.332700000000003</v>
      </c>
      <c r="F896" s="44">
        <f>67.2973 * CHOOSE(CONTROL!$C$15, $E$9, 100%, $G$9) + CHOOSE(CONTROL!$C$38, 0.0264, 0)</f>
        <v>67.323700000000002</v>
      </c>
      <c r="G896" s="14">
        <f>63.8194 * CHOOSE(CONTROL!$C$15, $E$9, 100%, $G$9) + CHOOSE(CONTROL!$C$38, 0.0354, 0)</f>
        <v>63.854800000000004</v>
      </c>
      <c r="H896" s="14">
        <f>63.8194 * CHOOSE(CONTROL!$C$15, $E$9, 100%, $G$9) + CHOOSE(CONTROL!$C$38, 0.0354, 0)</f>
        <v>63.854800000000004</v>
      </c>
      <c r="I896" s="14">
        <f>63.8209 * CHOOSE(CONTROL!$C$15, $E$9, 100%, $G$9) + CHOOSE(CONTROL!$C$38, 0.0354, 0)</f>
        <v>63.856300000000005</v>
      </c>
      <c r="J896" s="43">
        <f>639.9638</f>
        <v>639.96379999999999</v>
      </c>
    </row>
    <row r="897" spans="1:10" ht="15.75" x14ac:dyDescent="0.25">
      <c r="A897" s="31">
        <v>68241</v>
      </c>
      <c r="B897" s="14">
        <f>65.1423 * CHOOSE(CONTROL!$C$15, $E$9, 100%, $G$9) + CHOOSE(CONTROL!$C$38, 0.0251, 0)</f>
        <v>65.167400000000001</v>
      </c>
      <c r="C897" s="14">
        <f>61.6299 * CHOOSE(CONTROL!$C$15, $E$9, 100%, $G$9) + CHOOSE(CONTROL!$C$38, 0.0342, 0)</f>
        <v>61.664099999999998</v>
      </c>
      <c r="D897" s="14">
        <f>61.6221 * CHOOSE(CONTROL!$C$15, $E$9, 100%, $G$9) + CHOOSE(CONTROL!$C$38, 0.0342, 0)</f>
        <v>61.656300000000002</v>
      </c>
      <c r="E897" s="45">
        <f>64.986 * CHOOSE(CONTROL!$C$15, $E$9, 100%, $G$9) + CHOOSE(CONTROL!$C$38, 0.0342, 0)</f>
        <v>65.020200000000003</v>
      </c>
      <c r="F897" s="44">
        <f>64.986 * CHOOSE(CONTROL!$C$15, $E$9, 100%, $G$9) + CHOOSE(CONTROL!$C$38, 0.0251, 0)</f>
        <v>65.011099999999999</v>
      </c>
      <c r="G897" s="14">
        <f>61.6283 * CHOOSE(CONTROL!$C$15, $E$9, 100%, $G$9) + CHOOSE(CONTROL!$C$38, 0.0342, 0)</f>
        <v>61.662500000000001</v>
      </c>
      <c r="H897" s="14">
        <f>61.6283 * CHOOSE(CONTROL!$C$15, $E$9, 100%, $G$9) + CHOOSE(CONTROL!$C$38, 0.0342, 0)</f>
        <v>61.662500000000001</v>
      </c>
      <c r="I897" s="14">
        <f>61.6299 * CHOOSE(CONTROL!$C$15, $E$9, 100%, $G$9) + CHOOSE(CONTROL!$C$38, 0.0342, 0)</f>
        <v>61.664099999999998</v>
      </c>
      <c r="J897" s="43">
        <f>617.8332</f>
        <v>617.83320000000003</v>
      </c>
    </row>
    <row r="898" spans="1:10" ht="15.75" x14ac:dyDescent="0.25">
      <c r="A898" s="31">
        <v>68271</v>
      </c>
      <c r="B898" s="14">
        <f>64.6825 * CHOOSE(CONTROL!$C$15, $E$9, 100%, $G$9) + CHOOSE(CONTROL!$C$38, 0.0251, 0)</f>
        <v>64.707599999999999</v>
      </c>
      <c r="C898" s="14">
        <f>61.194 * CHOOSE(CONTROL!$C$15, $E$9, 100%, $G$9) + CHOOSE(CONTROL!$C$38, 0.0342, 0)</f>
        <v>61.228200000000001</v>
      </c>
      <c r="D898" s="14">
        <f>61.1862 * CHOOSE(CONTROL!$C$15, $E$9, 100%, $G$9) + CHOOSE(CONTROL!$C$38, 0.0342, 0)</f>
        <v>61.220399999999998</v>
      </c>
      <c r="E898" s="45">
        <f>64.5263 * CHOOSE(CONTROL!$C$15, $E$9, 100%, $G$9) + CHOOSE(CONTROL!$C$38, 0.0342, 0)</f>
        <v>64.560500000000005</v>
      </c>
      <c r="F898" s="44">
        <f>64.5263 * CHOOSE(CONTROL!$C$15, $E$9, 100%, $G$9) + CHOOSE(CONTROL!$C$38, 0.0251, 0)</f>
        <v>64.551400000000001</v>
      </c>
      <c r="G898" s="14">
        <f>61.1925 * CHOOSE(CONTROL!$C$15, $E$9, 100%, $G$9) + CHOOSE(CONTROL!$C$38, 0.0342, 0)</f>
        <v>61.226700000000001</v>
      </c>
      <c r="H898" s="14">
        <f>61.1925 * CHOOSE(CONTROL!$C$15, $E$9, 100%, $G$9) + CHOOSE(CONTROL!$C$38, 0.0342, 0)</f>
        <v>61.226700000000001</v>
      </c>
      <c r="I898" s="14">
        <f>61.194 * CHOOSE(CONTROL!$C$15, $E$9, 100%, $G$9) + CHOOSE(CONTROL!$C$38, 0.0342, 0)</f>
        <v>61.228200000000001</v>
      </c>
      <c r="J898" s="43">
        <f>613.431</f>
        <v>613.43100000000004</v>
      </c>
    </row>
    <row r="899" spans="1:10" ht="15.75" x14ac:dyDescent="0.25">
      <c r="A899" s="31">
        <v>68302</v>
      </c>
      <c r="B899" s="14">
        <f>62.7814 * CHOOSE(CONTROL!$C$15, $E$9, 100%, $G$9) + CHOOSE(CONTROL!$C$38, 0.0251, 0)</f>
        <v>62.8065</v>
      </c>
      <c r="C899" s="14">
        <f>59.3918 * CHOOSE(CONTROL!$C$15, $E$9, 100%, $G$9) + CHOOSE(CONTROL!$C$38, 0.0342, 0)</f>
        <v>59.426000000000002</v>
      </c>
      <c r="D899" s="14">
        <f>59.384 * CHOOSE(CONTROL!$C$15, $E$9, 100%, $G$9) + CHOOSE(CONTROL!$C$38, 0.0342, 0)</f>
        <v>59.418199999999999</v>
      </c>
      <c r="E899" s="45">
        <f>62.6251 * CHOOSE(CONTROL!$C$15, $E$9, 100%, $G$9) + CHOOSE(CONTROL!$C$38, 0.0342, 0)</f>
        <v>62.659300000000002</v>
      </c>
      <c r="F899" s="44">
        <f>62.6251 * CHOOSE(CONTROL!$C$15, $E$9, 100%, $G$9) + CHOOSE(CONTROL!$C$38, 0.0251, 0)</f>
        <v>62.650200000000005</v>
      </c>
      <c r="G899" s="14">
        <f>59.3902 * CHOOSE(CONTROL!$C$15, $E$9, 100%, $G$9) + CHOOSE(CONTROL!$C$38, 0.0342, 0)</f>
        <v>59.424399999999999</v>
      </c>
      <c r="H899" s="14">
        <f>59.3902 * CHOOSE(CONTROL!$C$15, $E$9, 100%, $G$9) + CHOOSE(CONTROL!$C$38, 0.0342, 0)</f>
        <v>59.424399999999999</v>
      </c>
      <c r="I899" s="14">
        <f>59.3918 * CHOOSE(CONTROL!$C$15, $E$9, 100%, $G$9) + CHOOSE(CONTROL!$C$38, 0.0342, 0)</f>
        <v>59.426000000000002</v>
      </c>
      <c r="J899" s="43">
        <f>595.2274</f>
        <v>595.22739999999999</v>
      </c>
    </row>
    <row r="900" spans="1:10" ht="15.75" x14ac:dyDescent="0.25">
      <c r="A900" s="31">
        <v>68333</v>
      </c>
      <c r="B900" s="14">
        <f>62.3092 * CHOOSE(CONTROL!$C$15, $E$9, 100%, $G$9) + CHOOSE(CONTROL!$C$38, 0.0251, 0)</f>
        <v>62.334299999999999</v>
      </c>
      <c r="C900" s="14">
        <f>58.9442 * CHOOSE(CONTROL!$C$15, $E$9, 100%, $G$9) + CHOOSE(CONTROL!$C$38, 0.0342, 0)</f>
        <v>58.978400000000001</v>
      </c>
      <c r="D900" s="14">
        <f>58.9364 * CHOOSE(CONTROL!$C$15, $E$9, 100%, $G$9) + CHOOSE(CONTROL!$C$38, 0.0342, 0)</f>
        <v>58.970599999999997</v>
      </c>
      <c r="E900" s="45">
        <f>62.153 * CHOOSE(CONTROL!$C$15, $E$9, 100%, $G$9) + CHOOSE(CONTROL!$C$38, 0.0342, 0)</f>
        <v>62.187199999999997</v>
      </c>
      <c r="F900" s="44">
        <f>62.153 * CHOOSE(CONTROL!$C$15, $E$9, 100%, $G$9) + CHOOSE(CONTROL!$C$38, 0.0251, 0)</f>
        <v>62.178100000000001</v>
      </c>
      <c r="G900" s="14">
        <f>58.9426 * CHOOSE(CONTROL!$C$15, $E$9, 100%, $G$9) + CHOOSE(CONTROL!$C$38, 0.0342, 0)</f>
        <v>58.976799999999997</v>
      </c>
      <c r="H900" s="14">
        <f>58.9426 * CHOOSE(CONTROL!$C$15, $E$9, 100%, $G$9) + CHOOSE(CONTROL!$C$38, 0.0342, 0)</f>
        <v>58.976799999999997</v>
      </c>
      <c r="I900" s="14">
        <f>58.9442 * CHOOSE(CONTROL!$C$15, $E$9, 100%, $G$9) + CHOOSE(CONTROL!$C$38, 0.0342, 0)</f>
        <v>58.978400000000001</v>
      </c>
      <c r="J900" s="43">
        <f>594.7976</f>
        <v>594.79759999999999</v>
      </c>
    </row>
    <row r="901" spans="1:10" ht="15.75" x14ac:dyDescent="0.25">
      <c r="A901" s="31">
        <v>68361</v>
      </c>
      <c r="B901" s="14">
        <f>62.1378 * CHOOSE(CONTROL!$C$15, $E$9, 100%, $G$9) + CHOOSE(CONTROL!$C$38, 0.0251, 0)</f>
        <v>62.1629</v>
      </c>
      <c r="C901" s="14">
        <f>58.7816 * CHOOSE(CONTROL!$C$15, $E$9, 100%, $G$9) + CHOOSE(CONTROL!$C$38, 0.0342, 0)</f>
        <v>58.815799999999996</v>
      </c>
      <c r="D901" s="14">
        <f>58.7738 * CHOOSE(CONTROL!$C$15, $E$9, 100%, $G$9) + CHOOSE(CONTROL!$C$38, 0.0342, 0)</f>
        <v>58.808</v>
      </c>
      <c r="E901" s="45">
        <f>61.9815 * CHOOSE(CONTROL!$C$15, $E$9, 100%, $G$9) + CHOOSE(CONTROL!$C$38, 0.0342, 0)</f>
        <v>62.015699999999995</v>
      </c>
      <c r="F901" s="44">
        <f>61.9815 * CHOOSE(CONTROL!$C$15, $E$9, 100%, $G$9) + CHOOSE(CONTROL!$C$38, 0.0251, 0)</f>
        <v>62.006599999999999</v>
      </c>
      <c r="G901" s="14">
        <f>58.7801 * CHOOSE(CONTROL!$C$15, $E$9, 100%, $G$9) + CHOOSE(CONTROL!$C$38, 0.0342, 0)</f>
        <v>58.814299999999996</v>
      </c>
      <c r="H901" s="14">
        <f>58.7801 * CHOOSE(CONTROL!$C$15, $E$9, 100%, $G$9) + CHOOSE(CONTROL!$C$38, 0.0342, 0)</f>
        <v>58.814299999999996</v>
      </c>
      <c r="I901" s="14">
        <f>58.7816 * CHOOSE(CONTROL!$C$15, $E$9, 100%, $G$9) + CHOOSE(CONTROL!$C$38, 0.0342, 0)</f>
        <v>58.815799999999996</v>
      </c>
      <c r="J901" s="43">
        <f>593.1443</f>
        <v>593.14430000000004</v>
      </c>
    </row>
    <row r="902" spans="1:10" ht="15.75" x14ac:dyDescent="0.25">
      <c r="A902" s="31">
        <v>68392</v>
      </c>
      <c r="B902" s="14">
        <f>65.3803 * CHOOSE(CONTROL!$C$15, $E$9, 100%, $G$9) + CHOOSE(CONTROL!$C$38, 0.0251, 0)</f>
        <v>65.4054</v>
      </c>
      <c r="C902" s="14">
        <f>61.8555 * CHOOSE(CONTROL!$C$15, $E$9, 100%, $G$9) + CHOOSE(CONTROL!$C$38, 0.0342, 0)</f>
        <v>61.889699999999998</v>
      </c>
      <c r="D902" s="14">
        <f>61.8477 * CHOOSE(CONTROL!$C$15, $E$9, 100%, $G$9) + CHOOSE(CONTROL!$C$38, 0.0342, 0)</f>
        <v>61.881900000000002</v>
      </c>
      <c r="E902" s="45">
        <f>65.224 * CHOOSE(CONTROL!$C$15, $E$9, 100%, $G$9) + CHOOSE(CONTROL!$C$38, 0.0342, 0)</f>
        <v>65.258200000000002</v>
      </c>
      <c r="F902" s="44">
        <f>65.224 * CHOOSE(CONTROL!$C$15, $E$9, 100%, $G$9) + CHOOSE(CONTROL!$C$38, 0.0251, 0)</f>
        <v>65.249099999999999</v>
      </c>
      <c r="G902" s="14">
        <f>61.8539 * CHOOSE(CONTROL!$C$15, $E$9, 100%, $G$9) + CHOOSE(CONTROL!$C$38, 0.0342, 0)</f>
        <v>61.888100000000001</v>
      </c>
      <c r="H902" s="14">
        <f>61.8539 * CHOOSE(CONTROL!$C$15, $E$9, 100%, $G$9) + CHOOSE(CONTROL!$C$38, 0.0342, 0)</f>
        <v>61.888100000000001</v>
      </c>
      <c r="I902" s="14">
        <f>61.8555 * CHOOSE(CONTROL!$C$15, $E$9, 100%, $G$9) + CHOOSE(CONTROL!$C$38, 0.0342, 0)</f>
        <v>61.889699999999998</v>
      </c>
      <c r="J902" s="43">
        <f>624.4064</f>
        <v>624.40639999999996</v>
      </c>
    </row>
    <row r="903" spans="1:10" ht="15.75" x14ac:dyDescent="0.25">
      <c r="A903" s="31">
        <v>68422</v>
      </c>
      <c r="B903" s="14">
        <f>69.585 * CHOOSE(CONTROL!$C$15, $E$9, 100%, $G$9) + CHOOSE(CONTROL!$C$38, 0.0251, 0)</f>
        <v>69.610099999999989</v>
      </c>
      <c r="C903" s="14">
        <f>65.8415 * CHOOSE(CONTROL!$C$15, $E$9, 100%, $G$9) + CHOOSE(CONTROL!$C$38, 0.0342, 0)</f>
        <v>65.875699999999995</v>
      </c>
      <c r="D903" s="14">
        <f>65.8337 * CHOOSE(CONTROL!$C$15, $E$9, 100%, $G$9) + CHOOSE(CONTROL!$C$38, 0.0342, 0)</f>
        <v>65.867899999999992</v>
      </c>
      <c r="E903" s="45">
        <f>69.4287 * CHOOSE(CONTROL!$C$15, $E$9, 100%, $G$9) + CHOOSE(CONTROL!$C$38, 0.0342, 0)</f>
        <v>69.462900000000005</v>
      </c>
      <c r="F903" s="44">
        <f>69.4287 * CHOOSE(CONTROL!$C$15, $E$9, 100%, $G$9) + CHOOSE(CONTROL!$C$38, 0.0251, 0)</f>
        <v>69.453800000000001</v>
      </c>
      <c r="G903" s="14">
        <f>65.8399 * CHOOSE(CONTROL!$C$15, $E$9, 100%, $G$9) + CHOOSE(CONTROL!$C$38, 0.0342, 0)</f>
        <v>65.874099999999999</v>
      </c>
      <c r="H903" s="14">
        <f>65.8399 * CHOOSE(CONTROL!$C$15, $E$9, 100%, $G$9) + CHOOSE(CONTROL!$C$38, 0.0342, 0)</f>
        <v>65.874099999999999</v>
      </c>
      <c r="I903" s="14">
        <f>65.8415 * CHOOSE(CONTROL!$C$15, $E$9, 100%, $G$9) + CHOOSE(CONTROL!$C$38, 0.0342, 0)</f>
        <v>65.875699999999995</v>
      </c>
      <c r="J903" s="43">
        <f>664.9459</f>
        <v>664.94590000000005</v>
      </c>
    </row>
    <row r="904" spans="1:10" ht="15.75" x14ac:dyDescent="0.25">
      <c r="A904" s="31">
        <v>68453</v>
      </c>
      <c r="B904" s="14">
        <f>71.8994 * CHOOSE(CONTROL!$C$15, $E$9, 100%, $G$9) + CHOOSE(CONTROL!$C$38, 0.0264, 0)</f>
        <v>71.925799999999995</v>
      </c>
      <c r="C904" s="14">
        <f>68.0356 * CHOOSE(CONTROL!$C$15, $E$9, 100%, $G$9) + CHOOSE(CONTROL!$C$38, 0.0354, 0)</f>
        <v>68.070999999999998</v>
      </c>
      <c r="D904" s="14">
        <f>68.0277 * CHOOSE(CONTROL!$C$15, $E$9, 100%, $G$9) + CHOOSE(CONTROL!$C$38, 0.0354, 0)</f>
        <v>68.063099999999991</v>
      </c>
      <c r="E904" s="45">
        <f>71.7432 * CHOOSE(CONTROL!$C$15, $E$9, 100%, $G$9) + CHOOSE(CONTROL!$C$38, 0.0354, 0)</f>
        <v>71.778599999999997</v>
      </c>
      <c r="F904" s="44">
        <f>71.7432 * CHOOSE(CONTROL!$C$15, $E$9, 100%, $G$9) + CHOOSE(CONTROL!$C$38, 0.0264, 0)</f>
        <v>71.769599999999997</v>
      </c>
      <c r="G904" s="14">
        <f>68.034 * CHOOSE(CONTROL!$C$15, $E$9, 100%, $G$9) + CHOOSE(CONTROL!$C$38, 0.0354, 0)</f>
        <v>68.069400000000002</v>
      </c>
      <c r="H904" s="14">
        <f>68.034 * CHOOSE(CONTROL!$C$15, $E$9, 100%, $G$9) + CHOOSE(CONTROL!$C$38, 0.0354, 0)</f>
        <v>68.069400000000002</v>
      </c>
      <c r="I904" s="14">
        <f>68.0356 * CHOOSE(CONTROL!$C$15, $E$9, 100%, $G$9) + CHOOSE(CONTROL!$C$38, 0.0354, 0)</f>
        <v>68.070999999999998</v>
      </c>
      <c r="J904" s="43">
        <f>687.2602</f>
        <v>687.26020000000005</v>
      </c>
    </row>
    <row r="905" spans="1:10" ht="15.75" x14ac:dyDescent="0.25">
      <c r="A905" s="31">
        <v>68483</v>
      </c>
      <c r="B905" s="14">
        <f>72.9265 * CHOOSE(CONTROL!$C$15, $E$9, 100%, $G$9) + CHOOSE(CONTROL!$C$38, 0.0264, 0)</f>
        <v>72.9529</v>
      </c>
      <c r="C905" s="14">
        <f>69.0092 * CHOOSE(CONTROL!$C$15, $E$9, 100%, $G$9) + CHOOSE(CONTROL!$C$38, 0.0354, 0)</f>
        <v>69.044600000000003</v>
      </c>
      <c r="D905" s="14">
        <f>69.0014 * CHOOSE(CONTROL!$C$15, $E$9, 100%, $G$9) + CHOOSE(CONTROL!$C$38, 0.0354, 0)</f>
        <v>69.036799999999999</v>
      </c>
      <c r="E905" s="45">
        <f>72.7703 * CHOOSE(CONTROL!$C$15, $E$9, 100%, $G$9) + CHOOSE(CONTROL!$C$38, 0.0354, 0)</f>
        <v>72.805700000000002</v>
      </c>
      <c r="F905" s="44">
        <f>72.7703 * CHOOSE(CONTROL!$C$15, $E$9, 100%, $G$9) + CHOOSE(CONTROL!$C$38, 0.0264, 0)</f>
        <v>72.796700000000001</v>
      </c>
      <c r="G905" s="14">
        <f>69.0077 * CHOOSE(CONTROL!$C$15, $E$9, 100%, $G$9) + CHOOSE(CONTROL!$C$38, 0.0354, 0)</f>
        <v>69.043099999999995</v>
      </c>
      <c r="H905" s="14">
        <f>69.0077 * CHOOSE(CONTROL!$C$15, $E$9, 100%, $G$9) + CHOOSE(CONTROL!$C$38, 0.0354, 0)</f>
        <v>69.043099999999995</v>
      </c>
      <c r="I905" s="14">
        <f>69.0092 * CHOOSE(CONTROL!$C$15, $E$9, 100%, $G$9) + CHOOSE(CONTROL!$C$38, 0.0354, 0)</f>
        <v>69.044600000000003</v>
      </c>
      <c r="J905" s="43">
        <f>697.1629</f>
        <v>697.16290000000004</v>
      </c>
    </row>
    <row r="906" spans="1:10" ht="15.75" x14ac:dyDescent="0.25">
      <c r="A906" s="31">
        <v>68514</v>
      </c>
      <c r="B906" s="14">
        <f>72.5883 * CHOOSE(CONTROL!$C$15, $E$9, 100%, $G$9) + CHOOSE(CONTROL!$C$38, 0.0264, 0)</f>
        <v>72.614699999999999</v>
      </c>
      <c r="C906" s="14">
        <f>68.6887 * CHOOSE(CONTROL!$C$15, $E$9, 100%, $G$9) + CHOOSE(CONTROL!$C$38, 0.0354, 0)</f>
        <v>68.724099999999993</v>
      </c>
      <c r="D906" s="14">
        <f>68.6808 * CHOOSE(CONTROL!$C$15, $E$9, 100%, $G$9) + CHOOSE(CONTROL!$C$38, 0.0354, 0)</f>
        <v>68.716200000000001</v>
      </c>
      <c r="E906" s="45">
        <f>72.4321 * CHOOSE(CONTROL!$C$15, $E$9, 100%, $G$9) + CHOOSE(CONTROL!$C$38, 0.0354, 0)</f>
        <v>72.467500000000001</v>
      </c>
      <c r="F906" s="44">
        <f>72.4321 * CHOOSE(CONTROL!$C$15, $E$9, 100%, $G$9) + CHOOSE(CONTROL!$C$38, 0.0264, 0)</f>
        <v>72.458500000000001</v>
      </c>
      <c r="G906" s="14">
        <f>68.6871 * CHOOSE(CONTROL!$C$15, $E$9, 100%, $G$9) + CHOOSE(CONTROL!$C$38, 0.0354, 0)</f>
        <v>68.722499999999997</v>
      </c>
      <c r="H906" s="14">
        <f>68.6871 * CHOOSE(CONTROL!$C$15, $E$9, 100%, $G$9) + CHOOSE(CONTROL!$C$38, 0.0354, 0)</f>
        <v>68.722499999999997</v>
      </c>
      <c r="I906" s="14">
        <f>68.6887 * CHOOSE(CONTROL!$C$15, $E$9, 100%, $G$9) + CHOOSE(CONTROL!$C$38, 0.0354, 0)</f>
        <v>68.724099999999993</v>
      </c>
      <c r="J906" s="43">
        <f>693.9025</f>
        <v>693.90250000000003</v>
      </c>
    </row>
    <row r="907" spans="1:10" ht="15.75" x14ac:dyDescent="0.25">
      <c r="A907" s="31">
        <v>68545</v>
      </c>
      <c r="B907" s="14">
        <f>70.9129 * CHOOSE(CONTROL!$C$15, $E$9, 100%, $G$9) + CHOOSE(CONTROL!$C$38, 0.0264, 0)</f>
        <v>70.939299999999989</v>
      </c>
      <c r="C907" s="14">
        <f>67.1003 * CHOOSE(CONTROL!$C$15, $E$9, 100%, $G$9) + CHOOSE(CONTROL!$C$38, 0.0354, 0)</f>
        <v>67.1357</v>
      </c>
      <c r="D907" s="14">
        <f>67.0925 * CHOOSE(CONTROL!$C$15, $E$9, 100%, $G$9) + CHOOSE(CONTROL!$C$38, 0.0354, 0)</f>
        <v>67.127899999999997</v>
      </c>
      <c r="E907" s="45">
        <f>70.7566 * CHOOSE(CONTROL!$C$15, $E$9, 100%, $G$9) + CHOOSE(CONTROL!$C$38, 0.0354, 0)</f>
        <v>70.792000000000002</v>
      </c>
      <c r="F907" s="44">
        <f>70.7566 * CHOOSE(CONTROL!$C$15, $E$9, 100%, $G$9) + CHOOSE(CONTROL!$C$38, 0.0264, 0)</f>
        <v>70.783000000000001</v>
      </c>
      <c r="G907" s="14">
        <f>67.0988 * CHOOSE(CONTROL!$C$15, $E$9, 100%, $G$9) + CHOOSE(CONTROL!$C$38, 0.0354, 0)</f>
        <v>67.134199999999993</v>
      </c>
      <c r="H907" s="14">
        <f>67.0988 * CHOOSE(CONTROL!$C$15, $E$9, 100%, $G$9) + CHOOSE(CONTROL!$C$38, 0.0354, 0)</f>
        <v>67.134199999999993</v>
      </c>
      <c r="I907" s="14">
        <f>67.1003 * CHOOSE(CONTROL!$C$15, $E$9, 100%, $G$9) + CHOOSE(CONTROL!$C$38, 0.0354, 0)</f>
        <v>67.1357</v>
      </c>
      <c r="J907" s="43">
        <f>677.7487</f>
        <v>677.74869999999999</v>
      </c>
    </row>
    <row r="908" spans="1:10" ht="15.75" x14ac:dyDescent="0.25">
      <c r="A908" s="31">
        <v>68575</v>
      </c>
      <c r="B908" s="14">
        <f>68.5764 * CHOOSE(CONTROL!$C$15, $E$9, 100%, $G$9) + CHOOSE(CONTROL!$C$38, 0.0264, 0)</f>
        <v>68.602800000000002</v>
      </c>
      <c r="C908" s="14">
        <f>64.8854 * CHOOSE(CONTROL!$C$15, $E$9, 100%, $G$9) + CHOOSE(CONTROL!$C$38, 0.0354, 0)</f>
        <v>64.9208</v>
      </c>
      <c r="D908" s="14">
        <f>64.8775 * CHOOSE(CONTROL!$C$15, $E$9, 100%, $G$9) + CHOOSE(CONTROL!$C$38, 0.0354, 0)</f>
        <v>64.912899999999993</v>
      </c>
      <c r="E908" s="45">
        <f>68.4201 * CHOOSE(CONTROL!$C$15, $E$9, 100%, $G$9) + CHOOSE(CONTROL!$C$38, 0.0354, 0)</f>
        <v>68.455500000000001</v>
      </c>
      <c r="F908" s="44">
        <f>68.4201 * CHOOSE(CONTROL!$C$15, $E$9, 100%, $G$9) + CHOOSE(CONTROL!$C$38, 0.0264, 0)</f>
        <v>68.4465</v>
      </c>
      <c r="G908" s="14">
        <f>64.8838 * CHOOSE(CONTROL!$C$15, $E$9, 100%, $G$9) + CHOOSE(CONTROL!$C$38, 0.0354, 0)</f>
        <v>64.919199999999989</v>
      </c>
      <c r="H908" s="14">
        <f>64.8838 * CHOOSE(CONTROL!$C$15, $E$9, 100%, $G$9) + CHOOSE(CONTROL!$C$38, 0.0354, 0)</f>
        <v>64.919199999999989</v>
      </c>
      <c r="I908" s="14">
        <f>64.8854 * CHOOSE(CONTROL!$C$15, $E$9, 100%, $G$9) + CHOOSE(CONTROL!$C$38, 0.0354, 0)</f>
        <v>64.9208</v>
      </c>
      <c r="J908" s="43">
        <f>655.2215</f>
        <v>655.22149999999999</v>
      </c>
    </row>
    <row r="909" spans="1:10" ht="15.75" x14ac:dyDescent="0.25">
      <c r="A909" s="31">
        <v>68606</v>
      </c>
      <c r="B909" s="14">
        <f>66.2263 * CHOOSE(CONTROL!$C$15, $E$9, 100%, $G$9) + CHOOSE(CONTROL!$C$38, 0.0251, 0)</f>
        <v>66.25139999999999</v>
      </c>
      <c r="C909" s="14">
        <f>62.6575 * CHOOSE(CONTROL!$C$15, $E$9, 100%, $G$9) + CHOOSE(CONTROL!$C$38, 0.0342, 0)</f>
        <v>62.691699999999997</v>
      </c>
      <c r="D909" s="14">
        <f>62.6497 * CHOOSE(CONTROL!$C$15, $E$9, 100%, $G$9) + CHOOSE(CONTROL!$C$38, 0.0342, 0)</f>
        <v>62.683900000000001</v>
      </c>
      <c r="E909" s="45">
        <f>66.07 * CHOOSE(CONTROL!$C$15, $E$9, 100%, $G$9) + CHOOSE(CONTROL!$C$38, 0.0342, 0)</f>
        <v>66.104199999999992</v>
      </c>
      <c r="F909" s="44">
        <f>66.07 * CHOOSE(CONTROL!$C$15, $E$9, 100%, $G$9) + CHOOSE(CONTROL!$C$38, 0.0251, 0)</f>
        <v>66.095099999999988</v>
      </c>
      <c r="G909" s="14">
        <f>62.6559 * CHOOSE(CONTROL!$C$15, $E$9, 100%, $G$9) + CHOOSE(CONTROL!$C$38, 0.0342, 0)</f>
        <v>62.690100000000001</v>
      </c>
      <c r="H909" s="14">
        <f>62.6559 * CHOOSE(CONTROL!$C$15, $E$9, 100%, $G$9) + CHOOSE(CONTROL!$C$38, 0.0342, 0)</f>
        <v>62.690100000000001</v>
      </c>
      <c r="I909" s="14">
        <f>62.6575 * CHOOSE(CONTROL!$C$15, $E$9, 100%, $G$9) + CHOOSE(CONTROL!$C$38, 0.0342, 0)</f>
        <v>62.691699999999997</v>
      </c>
      <c r="J909" s="43">
        <f>632.5633</f>
        <v>632.56330000000003</v>
      </c>
    </row>
    <row r="910" spans="1:10" ht="15.75" x14ac:dyDescent="0.25">
      <c r="A910" s="31">
        <v>68636</v>
      </c>
      <c r="B910" s="14">
        <f>65.7588 * CHOOSE(CONTROL!$C$15, $E$9, 100%, $G$9) + CHOOSE(CONTROL!$C$38, 0.0251, 0)</f>
        <v>65.783899999999988</v>
      </c>
      <c r="C910" s="14">
        <f>62.2143 * CHOOSE(CONTROL!$C$15, $E$9, 100%, $G$9) + CHOOSE(CONTROL!$C$38, 0.0342, 0)</f>
        <v>62.2485</v>
      </c>
      <c r="D910" s="14">
        <f>62.2065 * CHOOSE(CONTROL!$C$15, $E$9, 100%, $G$9) + CHOOSE(CONTROL!$C$38, 0.0342, 0)</f>
        <v>62.240699999999997</v>
      </c>
      <c r="E910" s="45">
        <f>65.6025 * CHOOSE(CONTROL!$C$15, $E$9, 100%, $G$9) + CHOOSE(CONTROL!$C$38, 0.0342, 0)</f>
        <v>65.636700000000005</v>
      </c>
      <c r="F910" s="44">
        <f>65.6025 * CHOOSE(CONTROL!$C$15, $E$9, 100%, $G$9) + CHOOSE(CONTROL!$C$38, 0.0251, 0)</f>
        <v>65.627600000000001</v>
      </c>
      <c r="G910" s="14">
        <f>62.2128 * CHOOSE(CONTROL!$C$15, $E$9, 100%, $G$9) + CHOOSE(CONTROL!$C$38, 0.0342, 0)</f>
        <v>62.247</v>
      </c>
      <c r="H910" s="14">
        <f>62.2128 * CHOOSE(CONTROL!$C$15, $E$9, 100%, $G$9) + CHOOSE(CONTROL!$C$38, 0.0342, 0)</f>
        <v>62.247</v>
      </c>
      <c r="I910" s="14">
        <f>62.2143 * CHOOSE(CONTROL!$C$15, $E$9, 100%, $G$9) + CHOOSE(CONTROL!$C$38, 0.0342, 0)</f>
        <v>62.2485</v>
      </c>
      <c r="J910" s="43">
        <f>628.0561</f>
        <v>628.05610000000001</v>
      </c>
    </row>
    <row r="911" spans="1:10" ht="15.75" x14ac:dyDescent="0.25">
      <c r="A911" s="31">
        <v>68667</v>
      </c>
      <c r="B911" s="14">
        <f>63.8257 * CHOOSE(CONTROL!$C$15, $E$9, 100%, $G$9) + CHOOSE(CONTROL!$C$38, 0.0251, 0)</f>
        <v>63.8508</v>
      </c>
      <c r="C911" s="14">
        <f>60.3818 * CHOOSE(CONTROL!$C$15, $E$9, 100%, $G$9) + CHOOSE(CONTROL!$C$38, 0.0342, 0)</f>
        <v>60.415999999999997</v>
      </c>
      <c r="D911" s="14">
        <f>60.374 * CHOOSE(CONTROL!$C$15, $E$9, 100%, $G$9) + CHOOSE(CONTROL!$C$38, 0.0342, 0)</f>
        <v>60.408200000000001</v>
      </c>
      <c r="E911" s="45">
        <f>63.6695 * CHOOSE(CONTROL!$C$15, $E$9, 100%, $G$9) + CHOOSE(CONTROL!$C$38, 0.0342, 0)</f>
        <v>63.703699999999998</v>
      </c>
      <c r="F911" s="44">
        <f>63.6695 * CHOOSE(CONTROL!$C$15, $E$9, 100%, $G$9) + CHOOSE(CONTROL!$C$38, 0.0251, 0)</f>
        <v>63.694600000000001</v>
      </c>
      <c r="G911" s="14">
        <f>60.3802 * CHOOSE(CONTROL!$C$15, $E$9, 100%, $G$9) + CHOOSE(CONTROL!$C$38, 0.0342, 0)</f>
        <v>60.414400000000001</v>
      </c>
      <c r="H911" s="14">
        <f>60.3802 * CHOOSE(CONTROL!$C$15, $E$9, 100%, $G$9) + CHOOSE(CONTROL!$C$38, 0.0342, 0)</f>
        <v>60.414400000000001</v>
      </c>
      <c r="I911" s="14">
        <f>60.3818 * CHOOSE(CONTROL!$C$15, $E$9, 100%, $G$9) + CHOOSE(CONTROL!$C$38, 0.0342, 0)</f>
        <v>60.415999999999997</v>
      </c>
      <c r="J911" s="43">
        <f>609.4185</f>
        <v>609.41849999999999</v>
      </c>
    </row>
    <row r="912" spans="1:10" ht="15.75" x14ac:dyDescent="0.25">
      <c r="A912" s="31">
        <v>68698</v>
      </c>
      <c r="B912" s="14">
        <f>63.3457 * CHOOSE(CONTROL!$C$15, $E$9, 100%, $G$9) + CHOOSE(CONTROL!$C$38, 0.0251, 0)</f>
        <v>63.370800000000003</v>
      </c>
      <c r="C912" s="14">
        <f>59.9267 * CHOOSE(CONTROL!$C$15, $E$9, 100%, $G$9) + CHOOSE(CONTROL!$C$38, 0.0342, 0)</f>
        <v>59.960899999999995</v>
      </c>
      <c r="D912" s="14">
        <f>59.9189 * CHOOSE(CONTROL!$C$15, $E$9, 100%, $G$9) + CHOOSE(CONTROL!$C$38, 0.0342, 0)</f>
        <v>59.953099999999999</v>
      </c>
      <c r="E912" s="45">
        <f>63.1894 * CHOOSE(CONTROL!$C$15, $E$9, 100%, $G$9) + CHOOSE(CONTROL!$C$38, 0.0342, 0)</f>
        <v>63.223599999999998</v>
      </c>
      <c r="F912" s="44">
        <f>63.1894 * CHOOSE(CONTROL!$C$15, $E$9, 100%, $G$9) + CHOOSE(CONTROL!$C$38, 0.0251, 0)</f>
        <v>63.214500000000001</v>
      </c>
      <c r="G912" s="14">
        <f>59.9251 * CHOOSE(CONTROL!$C$15, $E$9, 100%, $G$9) + CHOOSE(CONTROL!$C$38, 0.0342, 0)</f>
        <v>59.959299999999999</v>
      </c>
      <c r="H912" s="14">
        <f>59.9251 * CHOOSE(CONTROL!$C$15, $E$9, 100%, $G$9) + CHOOSE(CONTROL!$C$38, 0.0342, 0)</f>
        <v>59.959299999999999</v>
      </c>
      <c r="I912" s="14">
        <f>59.9267 * CHOOSE(CONTROL!$C$15, $E$9, 100%, $G$9) + CHOOSE(CONTROL!$C$38, 0.0342, 0)</f>
        <v>59.960899999999995</v>
      </c>
      <c r="J912" s="43">
        <f>608.9785</f>
        <v>608.97850000000005</v>
      </c>
    </row>
    <row r="913" spans="1:10" ht="15.75" x14ac:dyDescent="0.25">
      <c r="A913" s="31">
        <v>68727</v>
      </c>
      <c r="B913" s="14">
        <f>63.1713 * CHOOSE(CONTROL!$C$15, $E$9, 100%, $G$9) + CHOOSE(CONTROL!$C$38, 0.0251, 0)</f>
        <v>63.196400000000004</v>
      </c>
      <c r="C913" s="14">
        <f>59.7614 * CHOOSE(CONTROL!$C$15, $E$9, 100%, $G$9) + CHOOSE(CONTROL!$C$38, 0.0342, 0)</f>
        <v>59.7956</v>
      </c>
      <c r="D913" s="14">
        <f>59.7536 * CHOOSE(CONTROL!$C$15, $E$9, 100%, $G$9) + CHOOSE(CONTROL!$C$38, 0.0342, 0)</f>
        <v>59.787799999999997</v>
      </c>
      <c r="E913" s="45">
        <f>63.015 * CHOOSE(CONTROL!$C$15, $E$9, 100%, $G$9) + CHOOSE(CONTROL!$C$38, 0.0342, 0)</f>
        <v>63.049199999999999</v>
      </c>
      <c r="F913" s="44">
        <f>63.015 * CHOOSE(CONTROL!$C$15, $E$9, 100%, $G$9) + CHOOSE(CONTROL!$C$38, 0.0251, 0)</f>
        <v>63.040100000000002</v>
      </c>
      <c r="G913" s="14">
        <f>59.7599 * CHOOSE(CONTROL!$C$15, $E$9, 100%, $G$9) + CHOOSE(CONTROL!$C$38, 0.0342, 0)</f>
        <v>59.7941</v>
      </c>
      <c r="H913" s="14">
        <f>59.7599 * CHOOSE(CONTROL!$C$15, $E$9, 100%, $G$9) + CHOOSE(CONTROL!$C$38, 0.0342, 0)</f>
        <v>59.7941</v>
      </c>
      <c r="I913" s="14">
        <f>59.7614 * CHOOSE(CONTROL!$C$15, $E$9, 100%, $G$9) + CHOOSE(CONTROL!$C$38, 0.0342, 0)</f>
        <v>59.7956</v>
      </c>
      <c r="J913" s="43">
        <f>607.2857</f>
        <v>607.28570000000002</v>
      </c>
    </row>
    <row r="914" spans="1:10" ht="15.75" x14ac:dyDescent="0.25">
      <c r="A914" s="31">
        <v>68758</v>
      </c>
      <c r="B914" s="14">
        <f>66.4683 * CHOOSE(CONTROL!$C$15, $E$9, 100%, $G$9) + CHOOSE(CONTROL!$C$38, 0.0251, 0)</f>
        <v>66.493399999999994</v>
      </c>
      <c r="C914" s="14">
        <f>62.8869 * CHOOSE(CONTROL!$C$15, $E$9, 100%, $G$9) + CHOOSE(CONTROL!$C$38, 0.0342, 0)</f>
        <v>62.921099999999996</v>
      </c>
      <c r="D914" s="14">
        <f>62.8791 * CHOOSE(CONTROL!$C$15, $E$9, 100%, $G$9) + CHOOSE(CONTROL!$C$38, 0.0342, 0)</f>
        <v>62.9133</v>
      </c>
      <c r="E914" s="45">
        <f>66.312 * CHOOSE(CONTROL!$C$15, $E$9, 100%, $G$9) + CHOOSE(CONTROL!$C$38, 0.0342, 0)</f>
        <v>66.346199999999996</v>
      </c>
      <c r="F914" s="44">
        <f>66.312 * CHOOSE(CONTROL!$C$15, $E$9, 100%, $G$9) + CHOOSE(CONTROL!$C$38, 0.0251, 0)</f>
        <v>66.337099999999992</v>
      </c>
      <c r="G914" s="14">
        <f>62.8853 * CHOOSE(CONTROL!$C$15, $E$9, 100%, $G$9) + CHOOSE(CONTROL!$C$38, 0.0342, 0)</f>
        <v>62.919499999999999</v>
      </c>
      <c r="H914" s="14">
        <f>62.8853 * CHOOSE(CONTROL!$C$15, $E$9, 100%, $G$9) + CHOOSE(CONTROL!$C$38, 0.0342, 0)</f>
        <v>62.919499999999999</v>
      </c>
      <c r="I914" s="14">
        <f>62.8869 * CHOOSE(CONTROL!$C$15, $E$9, 100%, $G$9) + CHOOSE(CONTROL!$C$38, 0.0342, 0)</f>
        <v>62.921099999999996</v>
      </c>
      <c r="J914" s="43">
        <f>639.2932</f>
        <v>639.29319999999996</v>
      </c>
    </row>
    <row r="915" spans="1:10" ht="15.75" x14ac:dyDescent="0.25">
      <c r="A915" s="31">
        <v>68788</v>
      </c>
      <c r="B915" s="14">
        <f>70.7436 * CHOOSE(CONTROL!$C$15, $E$9, 100%, $G$9) + CHOOSE(CONTROL!$C$38, 0.0251, 0)</f>
        <v>70.768699999999995</v>
      </c>
      <c r="C915" s="14">
        <f>66.9399 * CHOOSE(CONTROL!$C$15, $E$9, 100%, $G$9) + CHOOSE(CONTROL!$C$38, 0.0342, 0)</f>
        <v>66.974099999999993</v>
      </c>
      <c r="D915" s="14">
        <f>66.9321 * CHOOSE(CONTROL!$C$15, $E$9, 100%, $G$9) + CHOOSE(CONTROL!$C$38, 0.0342, 0)</f>
        <v>66.966300000000004</v>
      </c>
      <c r="E915" s="45">
        <f>70.5874 * CHOOSE(CONTROL!$C$15, $E$9, 100%, $G$9) + CHOOSE(CONTROL!$C$38, 0.0342, 0)</f>
        <v>70.621600000000001</v>
      </c>
      <c r="F915" s="44">
        <f>70.5874 * CHOOSE(CONTROL!$C$15, $E$9, 100%, $G$9) + CHOOSE(CONTROL!$C$38, 0.0251, 0)</f>
        <v>70.612499999999997</v>
      </c>
      <c r="G915" s="14">
        <f>66.9383 * CHOOSE(CONTROL!$C$15, $E$9, 100%, $G$9) + CHOOSE(CONTROL!$C$38, 0.0342, 0)</f>
        <v>66.972499999999997</v>
      </c>
      <c r="H915" s="14">
        <f>66.9383 * CHOOSE(CONTROL!$C$15, $E$9, 100%, $G$9) + CHOOSE(CONTROL!$C$38, 0.0342, 0)</f>
        <v>66.972499999999997</v>
      </c>
      <c r="I915" s="14">
        <f>66.9399 * CHOOSE(CONTROL!$C$15, $E$9, 100%, $G$9) + CHOOSE(CONTROL!$C$38, 0.0342, 0)</f>
        <v>66.974099999999993</v>
      </c>
      <c r="J915" s="43">
        <f>680.7993</f>
        <v>680.79930000000002</v>
      </c>
    </row>
    <row r="916" spans="1:10" ht="15.75" x14ac:dyDescent="0.25">
      <c r="A916" s="31">
        <v>68819</v>
      </c>
      <c r="B916" s="14">
        <f>73.0969 * CHOOSE(CONTROL!$C$15, $E$9, 100%, $G$9) + CHOOSE(CONTROL!$C$38, 0.0264, 0)</f>
        <v>73.1233</v>
      </c>
      <c r="C916" s="14">
        <f>69.1708 * CHOOSE(CONTROL!$C$15, $E$9, 100%, $G$9) + CHOOSE(CONTROL!$C$38, 0.0354, 0)</f>
        <v>69.206199999999995</v>
      </c>
      <c r="D916" s="14">
        <f>69.163 * CHOOSE(CONTROL!$C$15, $E$9, 100%, $G$9) + CHOOSE(CONTROL!$C$38, 0.0354, 0)</f>
        <v>69.198399999999992</v>
      </c>
      <c r="E916" s="45">
        <f>72.9407 * CHOOSE(CONTROL!$C$15, $E$9, 100%, $G$9) + CHOOSE(CONTROL!$C$38, 0.0354, 0)</f>
        <v>72.976100000000002</v>
      </c>
      <c r="F916" s="44">
        <f>72.9407 * CHOOSE(CONTROL!$C$15, $E$9, 100%, $G$9) + CHOOSE(CONTROL!$C$38, 0.0264, 0)</f>
        <v>72.967100000000002</v>
      </c>
      <c r="G916" s="14">
        <f>69.1692 * CHOOSE(CONTROL!$C$15, $E$9, 100%, $G$9) + CHOOSE(CONTROL!$C$38, 0.0354, 0)</f>
        <v>69.204599999999999</v>
      </c>
      <c r="H916" s="14">
        <f>69.1692 * CHOOSE(CONTROL!$C$15, $E$9, 100%, $G$9) + CHOOSE(CONTROL!$C$38, 0.0354, 0)</f>
        <v>69.204599999999999</v>
      </c>
      <c r="I916" s="14">
        <f>69.1708 * CHOOSE(CONTROL!$C$15, $E$9, 100%, $G$9) + CHOOSE(CONTROL!$C$38, 0.0354, 0)</f>
        <v>69.206199999999995</v>
      </c>
      <c r="J916" s="43">
        <f>703.6455</f>
        <v>703.64549999999997</v>
      </c>
    </row>
    <row r="917" spans="1:10" ht="15.75" x14ac:dyDescent="0.25">
      <c r="A917" s="31">
        <v>68849</v>
      </c>
      <c r="B917" s="14">
        <f>74.1413 * CHOOSE(CONTROL!$C$15, $E$9, 100%, $G$9) + CHOOSE(CONTROL!$C$38, 0.0264, 0)</f>
        <v>74.167699999999996</v>
      </c>
      <c r="C917" s="14">
        <f>70.1608 * CHOOSE(CONTROL!$C$15, $E$9, 100%, $G$9) + CHOOSE(CONTROL!$C$38, 0.0354, 0)</f>
        <v>70.19619999999999</v>
      </c>
      <c r="D917" s="14">
        <f>70.153 * CHOOSE(CONTROL!$C$15, $E$9, 100%, $G$9) + CHOOSE(CONTROL!$C$38, 0.0354, 0)</f>
        <v>70.188400000000001</v>
      </c>
      <c r="E917" s="45">
        <f>73.985 * CHOOSE(CONTROL!$C$15, $E$9, 100%, $G$9) + CHOOSE(CONTROL!$C$38, 0.0354, 0)</f>
        <v>74.020399999999995</v>
      </c>
      <c r="F917" s="44">
        <f>73.985 * CHOOSE(CONTROL!$C$15, $E$9, 100%, $G$9) + CHOOSE(CONTROL!$C$38, 0.0264, 0)</f>
        <v>74.011399999999995</v>
      </c>
      <c r="G917" s="14">
        <f>70.1593 * CHOOSE(CONTROL!$C$15, $E$9, 100%, $G$9) + CHOOSE(CONTROL!$C$38, 0.0354, 0)</f>
        <v>70.194699999999997</v>
      </c>
      <c r="H917" s="14">
        <f>70.1593 * CHOOSE(CONTROL!$C$15, $E$9, 100%, $G$9) + CHOOSE(CONTROL!$C$38, 0.0354, 0)</f>
        <v>70.194699999999997</v>
      </c>
      <c r="I917" s="14">
        <f>70.1608 * CHOOSE(CONTROL!$C$15, $E$9, 100%, $G$9) + CHOOSE(CONTROL!$C$38, 0.0354, 0)</f>
        <v>70.19619999999999</v>
      </c>
      <c r="J917" s="43">
        <f>713.7843</f>
        <v>713.78430000000003</v>
      </c>
    </row>
    <row r="918" spans="1:10" ht="15.75" x14ac:dyDescent="0.25">
      <c r="A918" s="31">
        <v>68880</v>
      </c>
      <c r="B918" s="14">
        <f>73.7974 * CHOOSE(CONTROL!$C$15, $E$9, 100%, $G$9) + CHOOSE(CONTROL!$C$38, 0.0264, 0)</f>
        <v>73.823799999999991</v>
      </c>
      <c r="C918" s="14">
        <f>69.8349 * CHOOSE(CONTROL!$C$15, $E$9, 100%, $G$9) + CHOOSE(CONTROL!$C$38, 0.0354, 0)</f>
        <v>69.8703</v>
      </c>
      <c r="D918" s="14">
        <f>69.827 * CHOOSE(CONTROL!$C$15, $E$9, 100%, $G$9) + CHOOSE(CONTROL!$C$38, 0.0354, 0)</f>
        <v>69.862399999999994</v>
      </c>
      <c r="E918" s="45">
        <f>73.6412 * CHOOSE(CONTROL!$C$15, $E$9, 100%, $G$9) + CHOOSE(CONTROL!$C$38, 0.0354, 0)</f>
        <v>73.676599999999993</v>
      </c>
      <c r="F918" s="44">
        <f>73.6412 * CHOOSE(CONTROL!$C$15, $E$9, 100%, $G$9) + CHOOSE(CONTROL!$C$38, 0.0264, 0)</f>
        <v>73.667599999999993</v>
      </c>
      <c r="G918" s="14">
        <f>69.8333 * CHOOSE(CONTROL!$C$15, $E$9, 100%, $G$9) + CHOOSE(CONTROL!$C$38, 0.0354, 0)</f>
        <v>69.86869999999999</v>
      </c>
      <c r="H918" s="14">
        <f>69.8333 * CHOOSE(CONTROL!$C$15, $E$9, 100%, $G$9) + CHOOSE(CONTROL!$C$38, 0.0354, 0)</f>
        <v>69.86869999999999</v>
      </c>
      <c r="I918" s="14">
        <f>69.8349 * CHOOSE(CONTROL!$C$15, $E$9, 100%, $G$9) + CHOOSE(CONTROL!$C$38, 0.0354, 0)</f>
        <v>69.8703</v>
      </c>
      <c r="J918" s="43">
        <f>710.4461</f>
        <v>710.4461</v>
      </c>
    </row>
    <row r="919" spans="1:10" ht="15.75" x14ac:dyDescent="0.25">
      <c r="A919" s="31">
        <v>68911</v>
      </c>
      <c r="B919" s="14">
        <f>72.0938 * CHOOSE(CONTROL!$C$15, $E$9, 100%, $G$9) + CHOOSE(CONTROL!$C$38, 0.0264, 0)</f>
        <v>72.120199999999997</v>
      </c>
      <c r="C919" s="14">
        <f>68.2199 * CHOOSE(CONTROL!$C$15, $E$9, 100%, $G$9) + CHOOSE(CONTROL!$C$38, 0.0354, 0)</f>
        <v>68.255299999999991</v>
      </c>
      <c r="D919" s="14">
        <f>68.2121 * CHOOSE(CONTROL!$C$15, $E$9, 100%, $G$9) + CHOOSE(CONTROL!$C$38, 0.0354, 0)</f>
        <v>68.247500000000002</v>
      </c>
      <c r="E919" s="45">
        <f>71.9376 * CHOOSE(CONTROL!$C$15, $E$9, 100%, $G$9) + CHOOSE(CONTROL!$C$38, 0.0354, 0)</f>
        <v>71.972999999999999</v>
      </c>
      <c r="F919" s="44">
        <f>71.9376 * CHOOSE(CONTROL!$C$15, $E$9, 100%, $G$9) + CHOOSE(CONTROL!$C$38, 0.0264, 0)</f>
        <v>71.963999999999999</v>
      </c>
      <c r="G919" s="14">
        <f>68.2183 * CHOOSE(CONTROL!$C$15, $E$9, 100%, $G$9) + CHOOSE(CONTROL!$C$38, 0.0354, 0)</f>
        <v>68.253699999999995</v>
      </c>
      <c r="H919" s="14">
        <f>68.2183 * CHOOSE(CONTROL!$C$15, $E$9, 100%, $G$9) + CHOOSE(CONTROL!$C$38, 0.0354, 0)</f>
        <v>68.253699999999995</v>
      </c>
      <c r="I919" s="14">
        <f>68.2199 * CHOOSE(CONTROL!$C$15, $E$9, 100%, $G$9) + CHOOSE(CONTROL!$C$38, 0.0354, 0)</f>
        <v>68.255299999999991</v>
      </c>
      <c r="J919" s="43">
        <f>693.9073</f>
        <v>693.90729999999996</v>
      </c>
    </row>
    <row r="920" spans="1:10" ht="15.75" x14ac:dyDescent="0.25">
      <c r="A920" s="31">
        <v>68941</v>
      </c>
      <c r="B920" s="14">
        <f>69.7181 * CHOOSE(CONTROL!$C$15, $E$9, 100%, $G$9) + CHOOSE(CONTROL!$C$38, 0.0264, 0)</f>
        <v>69.744500000000002</v>
      </c>
      <c r="C920" s="14">
        <f>65.9677 * CHOOSE(CONTROL!$C$15, $E$9, 100%, $G$9) + CHOOSE(CONTROL!$C$38, 0.0354, 0)</f>
        <v>66.003099999999989</v>
      </c>
      <c r="D920" s="14">
        <f>65.9599 * CHOOSE(CONTROL!$C$15, $E$9, 100%, $G$9) + CHOOSE(CONTROL!$C$38, 0.0354, 0)</f>
        <v>65.9953</v>
      </c>
      <c r="E920" s="45">
        <f>69.5618 * CHOOSE(CONTROL!$C$15, $E$9, 100%, $G$9) + CHOOSE(CONTROL!$C$38, 0.0354, 0)</f>
        <v>69.597200000000001</v>
      </c>
      <c r="F920" s="44">
        <f>69.5618 * CHOOSE(CONTROL!$C$15, $E$9, 100%, $G$9) + CHOOSE(CONTROL!$C$38, 0.0264, 0)</f>
        <v>69.588200000000001</v>
      </c>
      <c r="G920" s="14">
        <f>65.9661 * CHOOSE(CONTROL!$C$15, $E$9, 100%, $G$9) + CHOOSE(CONTROL!$C$38, 0.0354, 0)</f>
        <v>66.001499999999993</v>
      </c>
      <c r="H920" s="14">
        <f>65.9661 * CHOOSE(CONTROL!$C$15, $E$9, 100%, $G$9) + CHOOSE(CONTROL!$C$38, 0.0354, 0)</f>
        <v>66.001499999999993</v>
      </c>
      <c r="I920" s="14">
        <f>65.9677 * CHOOSE(CONTROL!$C$15, $E$9, 100%, $G$9) + CHOOSE(CONTROL!$C$38, 0.0354, 0)</f>
        <v>66.003099999999989</v>
      </c>
      <c r="J920" s="43">
        <f>670.843</f>
        <v>670.84299999999996</v>
      </c>
    </row>
    <row r="921" spans="1:10" ht="15.75" x14ac:dyDescent="0.25">
      <c r="A921" s="31">
        <v>68972</v>
      </c>
      <c r="B921" s="14">
        <f>67.3285 * CHOOSE(CONTROL!$C$15, $E$9, 100%, $G$9) + CHOOSE(CONTROL!$C$38, 0.0251, 0)</f>
        <v>67.3536</v>
      </c>
      <c r="C921" s="14">
        <f>63.7024 * CHOOSE(CONTROL!$C$15, $E$9, 100%, $G$9) + CHOOSE(CONTROL!$C$38, 0.0342, 0)</f>
        <v>63.736599999999996</v>
      </c>
      <c r="D921" s="14">
        <f>63.6946 * CHOOSE(CONTROL!$C$15, $E$9, 100%, $G$9) + CHOOSE(CONTROL!$C$38, 0.0342, 0)</f>
        <v>63.7288</v>
      </c>
      <c r="E921" s="45">
        <f>67.1722 * CHOOSE(CONTROL!$C$15, $E$9, 100%, $G$9) + CHOOSE(CONTROL!$C$38, 0.0342, 0)</f>
        <v>67.206400000000002</v>
      </c>
      <c r="F921" s="44">
        <f>67.1722 * CHOOSE(CONTROL!$C$15, $E$9, 100%, $G$9) + CHOOSE(CONTROL!$C$38, 0.0251, 0)</f>
        <v>67.197299999999998</v>
      </c>
      <c r="G921" s="14">
        <f>63.7008 * CHOOSE(CONTROL!$C$15, $E$9, 100%, $G$9) + CHOOSE(CONTROL!$C$38, 0.0342, 0)</f>
        <v>63.734999999999999</v>
      </c>
      <c r="H921" s="14">
        <f>63.7008 * CHOOSE(CONTROL!$C$15, $E$9, 100%, $G$9) + CHOOSE(CONTROL!$C$38, 0.0342, 0)</f>
        <v>63.734999999999999</v>
      </c>
      <c r="I921" s="14">
        <f>63.7024 * CHOOSE(CONTROL!$C$15, $E$9, 100%, $G$9) + CHOOSE(CONTROL!$C$38, 0.0342, 0)</f>
        <v>63.736599999999996</v>
      </c>
      <c r="J921" s="43">
        <f>647.6445</f>
        <v>647.64449999999999</v>
      </c>
    </row>
    <row r="922" spans="1:10" ht="15.75" x14ac:dyDescent="0.25">
      <c r="A922" s="31">
        <v>69002</v>
      </c>
      <c r="B922" s="14">
        <f>66.8532 * CHOOSE(CONTROL!$C$15, $E$9, 100%, $G$9) + CHOOSE(CONTROL!$C$38, 0.0251, 0)</f>
        <v>66.878299999999996</v>
      </c>
      <c r="C922" s="14">
        <f>63.2518 * CHOOSE(CONTROL!$C$15, $E$9, 100%, $G$9) + CHOOSE(CONTROL!$C$38, 0.0342, 0)</f>
        <v>63.286000000000001</v>
      </c>
      <c r="D922" s="14">
        <f>63.244 * CHOOSE(CONTROL!$C$15, $E$9, 100%, $G$9) + CHOOSE(CONTROL!$C$38, 0.0342, 0)</f>
        <v>63.278199999999998</v>
      </c>
      <c r="E922" s="45">
        <f>66.6969 * CHOOSE(CONTROL!$C$15, $E$9, 100%, $G$9) + CHOOSE(CONTROL!$C$38, 0.0342, 0)</f>
        <v>66.731099999999998</v>
      </c>
      <c r="F922" s="44">
        <f>66.6969 * CHOOSE(CONTROL!$C$15, $E$9, 100%, $G$9) + CHOOSE(CONTROL!$C$38, 0.0251, 0)</f>
        <v>66.721999999999994</v>
      </c>
      <c r="G922" s="14">
        <f>63.2502 * CHOOSE(CONTROL!$C$15, $E$9, 100%, $G$9) + CHOOSE(CONTROL!$C$38, 0.0342, 0)</f>
        <v>63.284399999999998</v>
      </c>
      <c r="H922" s="14">
        <f>63.2502 * CHOOSE(CONTROL!$C$15, $E$9, 100%, $G$9) + CHOOSE(CONTROL!$C$38, 0.0342, 0)</f>
        <v>63.284399999999998</v>
      </c>
      <c r="I922" s="14">
        <f>63.2518 * CHOOSE(CONTROL!$C$15, $E$9, 100%, $G$9) + CHOOSE(CONTROL!$C$38, 0.0342, 0)</f>
        <v>63.286000000000001</v>
      </c>
      <c r="J922" s="43">
        <f>643.0299</f>
        <v>643.0299</v>
      </c>
    </row>
    <row r="923" spans="1:10" ht="15.75" x14ac:dyDescent="0.25">
      <c r="A923" s="31">
        <v>69033</v>
      </c>
      <c r="B923" s="14">
        <f>64.8876 * CHOOSE(CONTROL!$C$15, $E$9, 100%, $G$9) + CHOOSE(CONTROL!$C$38, 0.0251, 0)</f>
        <v>64.912700000000001</v>
      </c>
      <c r="C923" s="14">
        <f>61.3885 * CHOOSE(CONTROL!$C$15, $E$9, 100%, $G$9) + CHOOSE(CONTROL!$C$38, 0.0342, 0)</f>
        <v>61.422699999999999</v>
      </c>
      <c r="D923" s="14">
        <f>61.3806 * CHOOSE(CONTROL!$C$15, $E$9, 100%, $G$9) + CHOOSE(CONTROL!$C$38, 0.0342, 0)</f>
        <v>61.4148</v>
      </c>
      <c r="E923" s="45">
        <f>64.7314 * CHOOSE(CONTROL!$C$15, $E$9, 100%, $G$9) + CHOOSE(CONTROL!$C$38, 0.0342, 0)</f>
        <v>64.765599999999992</v>
      </c>
      <c r="F923" s="44">
        <f>64.7314 * CHOOSE(CONTROL!$C$15, $E$9, 100%, $G$9) + CHOOSE(CONTROL!$C$38, 0.0251, 0)</f>
        <v>64.756499999999988</v>
      </c>
      <c r="G923" s="14">
        <f>61.3869 * CHOOSE(CONTROL!$C$15, $E$9, 100%, $G$9) + CHOOSE(CONTROL!$C$38, 0.0342, 0)</f>
        <v>61.421099999999996</v>
      </c>
      <c r="H923" s="14">
        <f>61.3869 * CHOOSE(CONTROL!$C$15, $E$9, 100%, $G$9) + CHOOSE(CONTROL!$C$38, 0.0342, 0)</f>
        <v>61.421099999999996</v>
      </c>
      <c r="I923" s="14">
        <f>61.3885 * CHOOSE(CONTROL!$C$15, $E$9, 100%, $G$9) + CHOOSE(CONTROL!$C$38, 0.0342, 0)</f>
        <v>61.422699999999999</v>
      </c>
      <c r="J923" s="43">
        <f>623.9479</f>
        <v>623.9479</v>
      </c>
    </row>
    <row r="924" spans="1:10" ht="15.75" x14ac:dyDescent="0.25">
      <c r="A924" s="31">
        <v>69064</v>
      </c>
      <c r="B924" s="14">
        <f>64.3995 * CHOOSE(CONTROL!$C$15, $E$9, 100%, $G$9) + CHOOSE(CONTROL!$C$38, 0.0251, 0)</f>
        <v>64.424599999999998</v>
      </c>
      <c r="C924" s="14">
        <f>60.9257 * CHOOSE(CONTROL!$C$15, $E$9, 100%, $G$9) + CHOOSE(CONTROL!$C$38, 0.0342, 0)</f>
        <v>60.959899999999998</v>
      </c>
      <c r="D924" s="14">
        <f>60.9179 * CHOOSE(CONTROL!$C$15, $E$9, 100%, $G$9) + CHOOSE(CONTROL!$C$38, 0.0342, 0)</f>
        <v>60.952100000000002</v>
      </c>
      <c r="E924" s="45">
        <f>64.2432 * CHOOSE(CONTROL!$C$15, $E$9, 100%, $G$9) + CHOOSE(CONTROL!$C$38, 0.0342, 0)</f>
        <v>64.2774</v>
      </c>
      <c r="F924" s="44">
        <f>64.2432 * CHOOSE(CONTROL!$C$15, $E$9, 100%, $G$9) + CHOOSE(CONTROL!$C$38, 0.0251, 0)</f>
        <v>64.268299999999996</v>
      </c>
      <c r="G924" s="14">
        <f>60.9242 * CHOOSE(CONTROL!$C$15, $E$9, 100%, $G$9) + CHOOSE(CONTROL!$C$38, 0.0342, 0)</f>
        <v>60.958399999999997</v>
      </c>
      <c r="H924" s="14">
        <f>60.9242 * CHOOSE(CONTROL!$C$15, $E$9, 100%, $G$9) + CHOOSE(CONTROL!$C$38, 0.0342, 0)</f>
        <v>60.958399999999997</v>
      </c>
      <c r="I924" s="14">
        <f>60.9257 * CHOOSE(CONTROL!$C$15, $E$9, 100%, $G$9) + CHOOSE(CONTROL!$C$38, 0.0342, 0)</f>
        <v>60.959899999999998</v>
      </c>
      <c r="J924" s="43">
        <f>623.4975</f>
        <v>623.49749999999995</v>
      </c>
    </row>
    <row r="925" spans="1:10" ht="15.75" x14ac:dyDescent="0.25">
      <c r="A925" s="31">
        <v>69092</v>
      </c>
      <c r="B925" s="14">
        <f>64.2222 * CHOOSE(CONTROL!$C$15, $E$9, 100%, $G$9) + CHOOSE(CONTROL!$C$38, 0.0251, 0)</f>
        <v>64.247299999999996</v>
      </c>
      <c r="C925" s="14">
        <f>60.7576 * CHOOSE(CONTROL!$C$15, $E$9, 100%, $G$9) + CHOOSE(CONTROL!$C$38, 0.0342, 0)</f>
        <v>60.791799999999995</v>
      </c>
      <c r="D925" s="14">
        <f>60.7498 * CHOOSE(CONTROL!$C$15, $E$9, 100%, $G$9) + CHOOSE(CONTROL!$C$38, 0.0342, 0)</f>
        <v>60.783999999999999</v>
      </c>
      <c r="E925" s="45">
        <f>64.0659 * CHOOSE(CONTROL!$C$15, $E$9, 100%, $G$9) + CHOOSE(CONTROL!$C$38, 0.0342, 0)</f>
        <v>64.100099999999998</v>
      </c>
      <c r="F925" s="44">
        <f>64.0659 * CHOOSE(CONTROL!$C$15, $E$9, 100%, $G$9) + CHOOSE(CONTROL!$C$38, 0.0251, 0)</f>
        <v>64.090999999999994</v>
      </c>
      <c r="G925" s="14">
        <f>60.7561 * CHOOSE(CONTROL!$C$15, $E$9, 100%, $G$9) + CHOOSE(CONTROL!$C$38, 0.0342, 0)</f>
        <v>60.790300000000002</v>
      </c>
      <c r="H925" s="14">
        <f>60.7561 * CHOOSE(CONTROL!$C$15, $E$9, 100%, $G$9) + CHOOSE(CONTROL!$C$38, 0.0342, 0)</f>
        <v>60.790300000000002</v>
      </c>
      <c r="I925" s="14">
        <f>60.7576 * CHOOSE(CONTROL!$C$15, $E$9, 100%, $G$9) + CHOOSE(CONTROL!$C$38, 0.0342, 0)</f>
        <v>60.791799999999995</v>
      </c>
      <c r="J925" s="43">
        <f>621.7643</f>
        <v>621.76430000000005</v>
      </c>
    </row>
    <row r="926" spans="1:10" ht="15.75" x14ac:dyDescent="0.25">
      <c r="A926" s="31">
        <v>69123</v>
      </c>
      <c r="B926" s="14">
        <f>67.5745 * CHOOSE(CONTROL!$C$15, $E$9, 100%, $G$9) + CHOOSE(CONTROL!$C$38, 0.0251, 0)</f>
        <v>67.599599999999995</v>
      </c>
      <c r="C926" s="14">
        <f>63.9356 * CHOOSE(CONTROL!$C$15, $E$9, 100%, $G$9) + CHOOSE(CONTROL!$C$38, 0.0342, 0)</f>
        <v>63.969799999999999</v>
      </c>
      <c r="D926" s="14">
        <f>63.9278 * CHOOSE(CONTROL!$C$15, $E$9, 100%, $G$9) + CHOOSE(CONTROL!$C$38, 0.0342, 0)</f>
        <v>63.961999999999996</v>
      </c>
      <c r="E926" s="45">
        <f>67.4183 * CHOOSE(CONTROL!$C$15, $E$9, 100%, $G$9) + CHOOSE(CONTROL!$C$38, 0.0342, 0)</f>
        <v>67.452500000000001</v>
      </c>
      <c r="F926" s="44">
        <f>67.4183 * CHOOSE(CONTROL!$C$15, $E$9, 100%, $G$9) + CHOOSE(CONTROL!$C$38, 0.0251, 0)</f>
        <v>67.443399999999997</v>
      </c>
      <c r="G926" s="14">
        <f>63.9341 * CHOOSE(CONTROL!$C$15, $E$9, 100%, $G$9) + CHOOSE(CONTROL!$C$38, 0.0342, 0)</f>
        <v>63.968299999999999</v>
      </c>
      <c r="H926" s="14">
        <f>63.9341 * CHOOSE(CONTROL!$C$15, $E$9, 100%, $G$9) + CHOOSE(CONTROL!$C$38, 0.0342, 0)</f>
        <v>63.968299999999999</v>
      </c>
      <c r="I926" s="14">
        <f>63.9356 * CHOOSE(CONTROL!$C$15, $E$9, 100%, $G$9) + CHOOSE(CONTROL!$C$38, 0.0342, 0)</f>
        <v>63.969799999999999</v>
      </c>
      <c r="J926" s="43">
        <f>654.5349</f>
        <v>654.53489999999999</v>
      </c>
    </row>
    <row r="927" spans="1:10" ht="15.75" x14ac:dyDescent="0.25">
      <c r="A927" s="31">
        <v>69153</v>
      </c>
      <c r="B927" s="14">
        <f>71.9217 * CHOOSE(CONTROL!$C$15, $E$9, 100%, $G$9) + CHOOSE(CONTROL!$C$38, 0.0251, 0)</f>
        <v>71.946799999999996</v>
      </c>
      <c r="C927" s="14">
        <f>68.0567 * CHOOSE(CONTROL!$C$15, $E$9, 100%, $G$9) + CHOOSE(CONTROL!$C$38, 0.0342, 0)</f>
        <v>68.090900000000005</v>
      </c>
      <c r="D927" s="14">
        <f>68.0489 * CHOOSE(CONTROL!$C$15, $E$9, 100%, $G$9) + CHOOSE(CONTROL!$C$38, 0.0342, 0)</f>
        <v>68.083100000000002</v>
      </c>
      <c r="E927" s="45">
        <f>71.7655 * CHOOSE(CONTROL!$C$15, $E$9, 100%, $G$9) + CHOOSE(CONTROL!$C$38, 0.0342, 0)</f>
        <v>71.799700000000001</v>
      </c>
      <c r="F927" s="44">
        <f>71.7655 * CHOOSE(CONTROL!$C$15, $E$9, 100%, $G$9) + CHOOSE(CONTROL!$C$38, 0.0251, 0)</f>
        <v>71.790599999999998</v>
      </c>
      <c r="G927" s="14">
        <f>68.0552 * CHOOSE(CONTROL!$C$15, $E$9, 100%, $G$9) + CHOOSE(CONTROL!$C$38, 0.0342, 0)</f>
        <v>68.089399999999998</v>
      </c>
      <c r="H927" s="14">
        <f>68.0552 * CHOOSE(CONTROL!$C$15, $E$9, 100%, $G$9) + CHOOSE(CONTROL!$C$38, 0.0342, 0)</f>
        <v>68.089399999999998</v>
      </c>
      <c r="I927" s="14">
        <f>68.0567 * CHOOSE(CONTROL!$C$15, $E$9, 100%, $G$9) + CHOOSE(CONTROL!$C$38, 0.0342, 0)</f>
        <v>68.090900000000005</v>
      </c>
      <c r="J927" s="43">
        <f>697.0305</f>
        <v>697.03049999999996</v>
      </c>
    </row>
    <row r="928" spans="1:10" ht="15.75" x14ac:dyDescent="0.25">
      <c r="A928" s="31">
        <v>69184</v>
      </c>
      <c r="B928" s="14">
        <f>74.3146 * CHOOSE(CONTROL!$C$15, $E$9, 100%, $G$9) + CHOOSE(CONTROL!$C$38, 0.0264, 0)</f>
        <v>74.340999999999994</v>
      </c>
      <c r="C928" s="14">
        <f>70.3251 * CHOOSE(CONTROL!$C$15, $E$9, 100%, $G$9) + CHOOSE(CONTROL!$C$38, 0.0354, 0)</f>
        <v>70.360500000000002</v>
      </c>
      <c r="D928" s="14">
        <f>70.3173 * CHOOSE(CONTROL!$C$15, $E$9, 100%, $G$9) + CHOOSE(CONTROL!$C$38, 0.0354, 0)</f>
        <v>70.352699999999999</v>
      </c>
      <c r="E928" s="45">
        <f>74.1583 * CHOOSE(CONTROL!$C$15, $E$9, 100%, $G$9) + CHOOSE(CONTROL!$C$38, 0.0354, 0)</f>
        <v>74.193699999999993</v>
      </c>
      <c r="F928" s="44">
        <f>74.1583 * CHOOSE(CONTROL!$C$15, $E$9, 100%, $G$9) + CHOOSE(CONTROL!$C$38, 0.0264, 0)</f>
        <v>74.184699999999992</v>
      </c>
      <c r="G928" s="14">
        <f>70.3235 * CHOOSE(CONTROL!$C$15, $E$9, 100%, $G$9) + CHOOSE(CONTROL!$C$38, 0.0354, 0)</f>
        <v>70.358899999999991</v>
      </c>
      <c r="H928" s="14">
        <f>70.3235 * CHOOSE(CONTROL!$C$15, $E$9, 100%, $G$9) + CHOOSE(CONTROL!$C$38, 0.0354, 0)</f>
        <v>70.358899999999991</v>
      </c>
      <c r="I928" s="14">
        <f>70.3251 * CHOOSE(CONTROL!$C$15, $E$9, 100%, $G$9) + CHOOSE(CONTROL!$C$38, 0.0354, 0)</f>
        <v>70.360500000000002</v>
      </c>
      <c r="J928" s="43">
        <f>720.4215</f>
        <v>720.42150000000004</v>
      </c>
    </row>
    <row r="929" spans="1:10" ht="15.75" x14ac:dyDescent="0.25">
      <c r="A929" s="31">
        <v>69214</v>
      </c>
      <c r="B929" s="14">
        <f>75.3765 * CHOOSE(CONTROL!$C$15, $E$9, 100%, $G$9) + CHOOSE(CONTROL!$C$38, 0.0264, 0)</f>
        <v>75.402899999999988</v>
      </c>
      <c r="C929" s="14">
        <f>71.3318 * CHOOSE(CONTROL!$C$15, $E$9, 100%, $G$9) + CHOOSE(CONTROL!$C$38, 0.0354, 0)</f>
        <v>71.367199999999997</v>
      </c>
      <c r="D929" s="14">
        <f>71.324 * CHOOSE(CONTROL!$C$15, $E$9, 100%, $G$9) + CHOOSE(CONTROL!$C$38, 0.0354, 0)</f>
        <v>71.359399999999994</v>
      </c>
      <c r="E929" s="45">
        <f>75.2202 * CHOOSE(CONTROL!$C$15, $E$9, 100%, $G$9) + CHOOSE(CONTROL!$C$38, 0.0354, 0)</f>
        <v>75.255600000000001</v>
      </c>
      <c r="F929" s="44">
        <f>75.2202 * CHOOSE(CONTROL!$C$15, $E$9, 100%, $G$9) + CHOOSE(CONTROL!$C$38, 0.0264, 0)</f>
        <v>75.246600000000001</v>
      </c>
      <c r="G929" s="14">
        <f>71.3302 * CHOOSE(CONTROL!$C$15, $E$9, 100%, $G$9) + CHOOSE(CONTROL!$C$38, 0.0354, 0)</f>
        <v>71.365600000000001</v>
      </c>
      <c r="H929" s="14">
        <f>71.3302 * CHOOSE(CONTROL!$C$15, $E$9, 100%, $G$9) + CHOOSE(CONTROL!$C$38, 0.0354, 0)</f>
        <v>71.365600000000001</v>
      </c>
      <c r="I929" s="14">
        <f>71.3318 * CHOOSE(CONTROL!$C$15, $E$9, 100%, $G$9) + CHOOSE(CONTROL!$C$38, 0.0354, 0)</f>
        <v>71.367199999999997</v>
      </c>
      <c r="J929" s="43">
        <f>730.802</f>
        <v>730.80200000000002</v>
      </c>
    </row>
    <row r="930" spans="1:10" ht="15.75" x14ac:dyDescent="0.25">
      <c r="A930" s="31">
        <v>69245</v>
      </c>
      <c r="B930" s="14">
        <f>75.0269 * CHOOSE(CONTROL!$C$15, $E$9, 100%, $G$9) + CHOOSE(CONTROL!$C$38, 0.0264, 0)</f>
        <v>75.053299999999993</v>
      </c>
      <c r="C930" s="14">
        <f>71.0003 * CHOOSE(CONTROL!$C$15, $E$9, 100%, $G$9) + CHOOSE(CONTROL!$C$38, 0.0354, 0)</f>
        <v>71.035699999999991</v>
      </c>
      <c r="D930" s="14">
        <f>70.9925 * CHOOSE(CONTROL!$C$15, $E$9, 100%, $G$9) + CHOOSE(CONTROL!$C$38, 0.0354, 0)</f>
        <v>71.027900000000002</v>
      </c>
      <c r="E930" s="45">
        <f>74.8706 * CHOOSE(CONTROL!$C$15, $E$9, 100%, $G$9) + CHOOSE(CONTROL!$C$38, 0.0354, 0)</f>
        <v>74.905999999999992</v>
      </c>
      <c r="F930" s="44">
        <f>74.8706 * CHOOSE(CONTROL!$C$15, $E$9, 100%, $G$9) + CHOOSE(CONTROL!$C$38, 0.0264, 0)</f>
        <v>74.896999999999991</v>
      </c>
      <c r="G930" s="14">
        <f>70.9988 * CHOOSE(CONTROL!$C$15, $E$9, 100%, $G$9) + CHOOSE(CONTROL!$C$38, 0.0354, 0)</f>
        <v>71.034199999999998</v>
      </c>
      <c r="H930" s="14">
        <f>70.9988 * CHOOSE(CONTROL!$C$15, $E$9, 100%, $G$9) + CHOOSE(CONTROL!$C$38, 0.0354, 0)</f>
        <v>71.034199999999998</v>
      </c>
      <c r="I930" s="14">
        <f>71.0003 * CHOOSE(CONTROL!$C$15, $E$9, 100%, $G$9) + CHOOSE(CONTROL!$C$38, 0.0354, 0)</f>
        <v>71.035699999999991</v>
      </c>
      <c r="J930" s="43">
        <f>727.3842</f>
        <v>727.38419999999996</v>
      </c>
    </row>
    <row r="931" spans="1:10" ht="15.75" x14ac:dyDescent="0.25">
      <c r="A931" s="31">
        <v>69276</v>
      </c>
      <c r="B931" s="14">
        <f>73.2946 * CHOOSE(CONTROL!$C$15, $E$9, 100%, $G$9) + CHOOSE(CONTROL!$C$38, 0.0264, 0)</f>
        <v>73.320999999999998</v>
      </c>
      <c r="C931" s="14">
        <f>69.3582 * CHOOSE(CONTROL!$C$15, $E$9, 100%, $G$9) + CHOOSE(CONTROL!$C$38, 0.0354, 0)</f>
        <v>69.393599999999992</v>
      </c>
      <c r="D931" s="14">
        <f>69.3504 * CHOOSE(CONTROL!$C$15, $E$9, 100%, $G$9) + CHOOSE(CONTROL!$C$38, 0.0354, 0)</f>
        <v>69.385799999999989</v>
      </c>
      <c r="E931" s="45">
        <f>73.1384 * CHOOSE(CONTROL!$C$15, $E$9, 100%, $G$9) + CHOOSE(CONTROL!$C$38, 0.0354, 0)</f>
        <v>73.1738</v>
      </c>
      <c r="F931" s="44">
        <f>73.1384 * CHOOSE(CONTROL!$C$15, $E$9, 100%, $G$9) + CHOOSE(CONTROL!$C$38, 0.0264, 0)</f>
        <v>73.1648</v>
      </c>
      <c r="G931" s="14">
        <f>69.3566 * CHOOSE(CONTROL!$C$15, $E$9, 100%, $G$9) + CHOOSE(CONTROL!$C$38, 0.0354, 0)</f>
        <v>69.391999999999996</v>
      </c>
      <c r="H931" s="14">
        <f>69.3566 * CHOOSE(CONTROL!$C$15, $E$9, 100%, $G$9) + CHOOSE(CONTROL!$C$38, 0.0354, 0)</f>
        <v>69.391999999999996</v>
      </c>
      <c r="I931" s="14">
        <f>69.3582 * CHOOSE(CONTROL!$C$15, $E$9, 100%, $G$9) + CHOOSE(CONTROL!$C$38, 0.0354, 0)</f>
        <v>69.393599999999992</v>
      </c>
      <c r="J931" s="43">
        <f>710.451</f>
        <v>710.45100000000002</v>
      </c>
    </row>
    <row r="932" spans="1:10" ht="15.75" x14ac:dyDescent="0.25">
      <c r="A932" s="31">
        <v>69306</v>
      </c>
      <c r="B932" s="14">
        <f>70.879 * CHOOSE(CONTROL!$C$15, $E$9, 100%, $G$9) + CHOOSE(CONTROL!$C$38, 0.0264, 0)</f>
        <v>70.9054</v>
      </c>
      <c r="C932" s="14">
        <f>67.0682 * CHOOSE(CONTROL!$C$15, $E$9, 100%, $G$9) + CHOOSE(CONTROL!$C$38, 0.0354, 0)</f>
        <v>67.1036</v>
      </c>
      <c r="D932" s="14">
        <f>67.0604 * CHOOSE(CONTROL!$C$15, $E$9, 100%, $G$9) + CHOOSE(CONTROL!$C$38, 0.0354, 0)</f>
        <v>67.095799999999997</v>
      </c>
      <c r="E932" s="45">
        <f>70.7227 * CHOOSE(CONTROL!$C$15, $E$9, 100%, $G$9) + CHOOSE(CONTROL!$C$38, 0.0354, 0)</f>
        <v>70.758099999999999</v>
      </c>
      <c r="F932" s="44">
        <f>70.7227 * CHOOSE(CONTROL!$C$15, $E$9, 100%, $G$9) + CHOOSE(CONTROL!$C$38, 0.0264, 0)</f>
        <v>70.749099999999999</v>
      </c>
      <c r="G932" s="14">
        <f>67.0666 * CHOOSE(CONTROL!$C$15, $E$9, 100%, $G$9) + CHOOSE(CONTROL!$C$38, 0.0354, 0)</f>
        <v>67.10199999999999</v>
      </c>
      <c r="H932" s="14">
        <f>67.0666 * CHOOSE(CONTROL!$C$15, $E$9, 100%, $G$9) + CHOOSE(CONTROL!$C$38, 0.0354, 0)</f>
        <v>67.10199999999999</v>
      </c>
      <c r="I932" s="14">
        <f>67.0682 * CHOOSE(CONTROL!$C$15, $E$9, 100%, $G$9) + CHOOSE(CONTROL!$C$38, 0.0354, 0)</f>
        <v>67.1036</v>
      </c>
      <c r="J932" s="43">
        <f>686.8369</f>
        <v>686.83690000000001</v>
      </c>
    </row>
    <row r="933" spans="1:10" ht="15.75" x14ac:dyDescent="0.25">
      <c r="A933" s="31">
        <v>69337</v>
      </c>
      <c r="B933" s="14">
        <f>68.4492 * CHOOSE(CONTROL!$C$15, $E$9, 100%, $G$9) + CHOOSE(CONTROL!$C$38, 0.0251, 0)</f>
        <v>68.474299999999999</v>
      </c>
      <c r="C933" s="14">
        <f>64.7648 * CHOOSE(CONTROL!$C$15, $E$9, 100%, $G$9) + CHOOSE(CONTROL!$C$38, 0.0342, 0)</f>
        <v>64.798999999999992</v>
      </c>
      <c r="D933" s="14">
        <f>64.757 * CHOOSE(CONTROL!$C$15, $E$9, 100%, $G$9) + CHOOSE(CONTROL!$C$38, 0.0342, 0)</f>
        <v>64.791200000000003</v>
      </c>
      <c r="E933" s="45">
        <f>68.293 * CHOOSE(CONTROL!$C$15, $E$9, 100%, $G$9) + CHOOSE(CONTROL!$C$38, 0.0342, 0)</f>
        <v>68.327200000000005</v>
      </c>
      <c r="F933" s="44">
        <f>68.293 * CHOOSE(CONTROL!$C$15, $E$9, 100%, $G$9) + CHOOSE(CONTROL!$C$38, 0.0251, 0)</f>
        <v>68.318100000000001</v>
      </c>
      <c r="G933" s="14">
        <f>64.7633 * CHOOSE(CONTROL!$C$15, $E$9, 100%, $G$9) + CHOOSE(CONTROL!$C$38, 0.0342, 0)</f>
        <v>64.797499999999999</v>
      </c>
      <c r="H933" s="14">
        <f>64.7633 * CHOOSE(CONTROL!$C$15, $E$9, 100%, $G$9) + CHOOSE(CONTROL!$C$38, 0.0342, 0)</f>
        <v>64.797499999999999</v>
      </c>
      <c r="I933" s="14">
        <f>64.7648 * CHOOSE(CONTROL!$C$15, $E$9, 100%, $G$9) + CHOOSE(CONTROL!$C$38, 0.0342, 0)</f>
        <v>64.798999999999992</v>
      </c>
      <c r="J933" s="43">
        <f>663.0853</f>
        <v>663.08529999999996</v>
      </c>
    </row>
    <row r="934" spans="1:10" ht="15.75" x14ac:dyDescent="0.25">
      <c r="A934" s="31">
        <v>69367</v>
      </c>
      <c r="B934" s="14">
        <f>67.9659 * CHOOSE(CONTROL!$C$15, $E$9, 100%, $G$9) + CHOOSE(CONTROL!$C$38, 0.0251, 0)</f>
        <v>67.991</v>
      </c>
      <c r="C934" s="14">
        <f>64.3066 * CHOOSE(CONTROL!$C$15, $E$9, 100%, $G$9) + CHOOSE(CONTROL!$C$38, 0.0342, 0)</f>
        <v>64.340800000000002</v>
      </c>
      <c r="D934" s="14">
        <f>64.2988 * CHOOSE(CONTROL!$C$15, $E$9, 100%, $G$9) + CHOOSE(CONTROL!$C$38, 0.0342, 0)</f>
        <v>64.332999999999998</v>
      </c>
      <c r="E934" s="45">
        <f>67.8097 * CHOOSE(CONTROL!$C$15, $E$9, 100%, $G$9) + CHOOSE(CONTROL!$C$38, 0.0342, 0)</f>
        <v>67.843900000000005</v>
      </c>
      <c r="F934" s="44">
        <f>67.8097 * CHOOSE(CONTROL!$C$15, $E$9, 100%, $G$9) + CHOOSE(CONTROL!$C$38, 0.0251, 0)</f>
        <v>67.834800000000001</v>
      </c>
      <c r="G934" s="14">
        <f>64.3051 * CHOOSE(CONTROL!$C$15, $E$9, 100%, $G$9) + CHOOSE(CONTROL!$C$38, 0.0342, 0)</f>
        <v>64.339299999999994</v>
      </c>
      <c r="H934" s="14">
        <f>64.3051 * CHOOSE(CONTROL!$C$15, $E$9, 100%, $G$9) + CHOOSE(CONTROL!$C$38, 0.0342, 0)</f>
        <v>64.339299999999994</v>
      </c>
      <c r="I934" s="14">
        <f>64.3066 * CHOOSE(CONTROL!$C$15, $E$9, 100%, $G$9) + CHOOSE(CONTROL!$C$38, 0.0342, 0)</f>
        <v>64.340800000000002</v>
      </c>
      <c r="J934" s="43">
        <f>658.3607</f>
        <v>658.36069999999995</v>
      </c>
    </row>
    <row r="935" spans="1:10" ht="15.75" x14ac:dyDescent="0.25">
      <c r="A935" s="31">
        <v>69398</v>
      </c>
      <c r="B935" s="14">
        <f>65.9673 * CHOOSE(CONTROL!$C$15, $E$9, 100%, $G$9) + CHOOSE(CONTROL!$C$38, 0.0251, 0)</f>
        <v>65.992399999999989</v>
      </c>
      <c r="C935" s="14">
        <f>62.412 * CHOOSE(CONTROL!$C$15, $E$9, 100%, $G$9) + CHOOSE(CONTROL!$C$38, 0.0342, 0)</f>
        <v>62.446199999999997</v>
      </c>
      <c r="D935" s="14">
        <f>62.4042 * CHOOSE(CONTROL!$C$15, $E$9, 100%, $G$9) + CHOOSE(CONTROL!$C$38, 0.0342, 0)</f>
        <v>62.438400000000001</v>
      </c>
      <c r="E935" s="45">
        <f>65.8111 * CHOOSE(CONTROL!$C$15, $E$9, 100%, $G$9) + CHOOSE(CONTROL!$C$38, 0.0342, 0)</f>
        <v>65.845299999999995</v>
      </c>
      <c r="F935" s="44">
        <f>65.8111 * CHOOSE(CONTROL!$C$15, $E$9, 100%, $G$9) + CHOOSE(CONTROL!$C$38, 0.0251, 0)</f>
        <v>65.836199999999991</v>
      </c>
      <c r="G935" s="14">
        <f>62.4105 * CHOOSE(CONTROL!$C$15, $E$9, 100%, $G$9) + CHOOSE(CONTROL!$C$38, 0.0342, 0)</f>
        <v>62.444699999999997</v>
      </c>
      <c r="H935" s="14">
        <f>62.4105 * CHOOSE(CONTROL!$C$15, $E$9, 100%, $G$9) + CHOOSE(CONTROL!$C$38, 0.0342, 0)</f>
        <v>62.444699999999997</v>
      </c>
      <c r="I935" s="14">
        <f>62.412 * CHOOSE(CONTROL!$C$15, $E$9, 100%, $G$9) + CHOOSE(CONTROL!$C$38, 0.0342, 0)</f>
        <v>62.446199999999997</v>
      </c>
      <c r="J935" s="43">
        <f>638.8238</f>
        <v>638.82380000000001</v>
      </c>
    </row>
    <row r="936" spans="1:10" ht="15.75" x14ac:dyDescent="0.25">
      <c r="A936" s="31">
        <v>69429</v>
      </c>
      <c r="B936" s="14">
        <f>65.471 * CHOOSE(CONTROL!$C$15, $E$9, 100%, $G$9) + CHOOSE(CONTROL!$C$38, 0.0251, 0)</f>
        <v>65.496099999999998</v>
      </c>
      <c r="C936" s="14">
        <f>61.9415 * CHOOSE(CONTROL!$C$15, $E$9, 100%, $G$9) + CHOOSE(CONTROL!$C$38, 0.0342, 0)</f>
        <v>61.975699999999996</v>
      </c>
      <c r="D936" s="14">
        <f>61.9337 * CHOOSE(CONTROL!$C$15, $E$9, 100%, $G$9) + CHOOSE(CONTROL!$C$38, 0.0342, 0)</f>
        <v>61.9679</v>
      </c>
      <c r="E936" s="45">
        <f>65.3148 * CHOOSE(CONTROL!$C$15, $E$9, 100%, $G$9) + CHOOSE(CONTROL!$C$38, 0.0342, 0)</f>
        <v>65.349000000000004</v>
      </c>
      <c r="F936" s="44">
        <f>65.3148 * CHOOSE(CONTROL!$C$15, $E$9, 100%, $G$9) + CHOOSE(CONTROL!$C$38, 0.0251, 0)</f>
        <v>65.3399</v>
      </c>
      <c r="G936" s="14">
        <f>61.9399 * CHOOSE(CONTROL!$C$15, $E$9, 100%, $G$9) + CHOOSE(CONTROL!$C$38, 0.0342, 0)</f>
        <v>61.9741</v>
      </c>
      <c r="H936" s="14">
        <f>61.9399 * CHOOSE(CONTROL!$C$15, $E$9, 100%, $G$9) + CHOOSE(CONTROL!$C$38, 0.0342, 0)</f>
        <v>61.9741</v>
      </c>
      <c r="I936" s="14">
        <f>61.9415 * CHOOSE(CONTROL!$C$15, $E$9, 100%, $G$9) + CHOOSE(CONTROL!$C$38, 0.0342, 0)</f>
        <v>61.975699999999996</v>
      </c>
      <c r="J936" s="43">
        <f>638.3626</f>
        <v>638.36260000000004</v>
      </c>
    </row>
    <row r="937" spans="1:10" ht="15.75" x14ac:dyDescent="0.25">
      <c r="A937" s="31">
        <v>69457</v>
      </c>
      <c r="B937" s="14">
        <f>65.2907 * CHOOSE(CONTROL!$C$15, $E$9, 100%, $G$9) + CHOOSE(CONTROL!$C$38, 0.0251, 0)</f>
        <v>65.315799999999996</v>
      </c>
      <c r="C937" s="14">
        <f>61.7706 * CHOOSE(CONTROL!$C$15, $E$9, 100%, $G$9) + CHOOSE(CONTROL!$C$38, 0.0342, 0)</f>
        <v>61.8048</v>
      </c>
      <c r="D937" s="14">
        <f>61.7628 * CHOOSE(CONTROL!$C$15, $E$9, 100%, $G$9) + CHOOSE(CONTROL!$C$38, 0.0342, 0)</f>
        <v>61.796999999999997</v>
      </c>
      <c r="E937" s="45">
        <f>65.1345 * CHOOSE(CONTROL!$C$15, $E$9, 100%, $G$9) + CHOOSE(CONTROL!$C$38, 0.0342, 0)</f>
        <v>65.168700000000001</v>
      </c>
      <c r="F937" s="44">
        <f>65.1345 * CHOOSE(CONTROL!$C$15, $E$9, 100%, $G$9) + CHOOSE(CONTROL!$C$38, 0.0251, 0)</f>
        <v>65.159599999999998</v>
      </c>
      <c r="G937" s="14">
        <f>61.7691 * CHOOSE(CONTROL!$C$15, $E$9, 100%, $G$9) + CHOOSE(CONTROL!$C$38, 0.0342, 0)</f>
        <v>61.8033</v>
      </c>
      <c r="H937" s="14">
        <f>61.7691 * CHOOSE(CONTROL!$C$15, $E$9, 100%, $G$9) + CHOOSE(CONTROL!$C$38, 0.0342, 0)</f>
        <v>61.8033</v>
      </c>
      <c r="I937" s="14">
        <f>61.7706 * CHOOSE(CONTROL!$C$15, $E$9, 100%, $G$9) + CHOOSE(CONTROL!$C$38, 0.0342, 0)</f>
        <v>61.8048</v>
      </c>
      <c r="J937" s="43">
        <f>636.5881</f>
        <v>636.58810000000005</v>
      </c>
    </row>
    <row r="938" spans="1:10" ht="15.75" x14ac:dyDescent="0.25">
      <c r="A938" s="31">
        <v>69488</v>
      </c>
      <c r="B938" s="14">
        <f>68.6994 * CHOOSE(CONTROL!$C$15, $E$9, 100%, $G$9) + CHOOSE(CONTROL!$C$38, 0.0251, 0)</f>
        <v>68.724499999999992</v>
      </c>
      <c r="C938" s="14">
        <f>65.002 * CHOOSE(CONTROL!$C$15, $E$9, 100%, $G$9) + CHOOSE(CONTROL!$C$38, 0.0342, 0)</f>
        <v>65.036199999999994</v>
      </c>
      <c r="D938" s="14">
        <f>64.9942 * CHOOSE(CONTROL!$C$15, $E$9, 100%, $G$9) + CHOOSE(CONTROL!$C$38, 0.0342, 0)</f>
        <v>65.028400000000005</v>
      </c>
      <c r="E938" s="45">
        <f>68.5432 * CHOOSE(CONTROL!$C$15, $E$9, 100%, $G$9) + CHOOSE(CONTROL!$C$38, 0.0342, 0)</f>
        <v>68.577399999999997</v>
      </c>
      <c r="F938" s="44">
        <f>68.5432 * CHOOSE(CONTROL!$C$15, $E$9, 100%, $G$9) + CHOOSE(CONTROL!$C$38, 0.0251, 0)</f>
        <v>68.568299999999994</v>
      </c>
      <c r="G938" s="14">
        <f>65.0004 * CHOOSE(CONTROL!$C$15, $E$9, 100%, $G$9) + CHOOSE(CONTROL!$C$38, 0.0342, 0)</f>
        <v>65.034599999999998</v>
      </c>
      <c r="H938" s="14">
        <f>65.0004 * CHOOSE(CONTROL!$C$15, $E$9, 100%, $G$9) + CHOOSE(CONTROL!$C$38, 0.0342, 0)</f>
        <v>65.034599999999998</v>
      </c>
      <c r="I938" s="14">
        <f>65.002 * CHOOSE(CONTROL!$C$15, $E$9, 100%, $G$9) + CHOOSE(CONTROL!$C$38, 0.0342, 0)</f>
        <v>65.036199999999994</v>
      </c>
      <c r="J938" s="43">
        <f>670.14</f>
        <v>670.14</v>
      </c>
    </row>
    <row r="939" spans="1:10" ht="15.75" x14ac:dyDescent="0.25">
      <c r="A939" s="31">
        <v>69518</v>
      </c>
      <c r="B939" s="14">
        <f>73.1196 * CHOOSE(CONTROL!$C$15, $E$9, 100%, $G$9) + CHOOSE(CONTROL!$C$38, 0.0251, 0)</f>
        <v>73.1447</v>
      </c>
      <c r="C939" s="14">
        <f>69.1923 * CHOOSE(CONTROL!$C$15, $E$9, 100%, $G$9) + CHOOSE(CONTROL!$C$38, 0.0342, 0)</f>
        <v>69.226500000000001</v>
      </c>
      <c r="D939" s="14">
        <f>69.1845 * CHOOSE(CONTROL!$C$15, $E$9, 100%, $G$9) + CHOOSE(CONTROL!$C$38, 0.0342, 0)</f>
        <v>69.218699999999998</v>
      </c>
      <c r="E939" s="45">
        <f>72.9634 * CHOOSE(CONTROL!$C$15, $E$9, 100%, $G$9) + CHOOSE(CONTROL!$C$38, 0.0342, 0)</f>
        <v>72.997599999999991</v>
      </c>
      <c r="F939" s="44">
        <f>72.9634 * CHOOSE(CONTROL!$C$15, $E$9, 100%, $G$9) + CHOOSE(CONTROL!$C$38, 0.0251, 0)</f>
        <v>72.988499999999988</v>
      </c>
      <c r="G939" s="14">
        <f>69.1907 * CHOOSE(CONTROL!$C$15, $E$9, 100%, $G$9) + CHOOSE(CONTROL!$C$38, 0.0342, 0)</f>
        <v>69.224900000000005</v>
      </c>
      <c r="H939" s="14">
        <f>69.1907 * CHOOSE(CONTROL!$C$15, $E$9, 100%, $G$9) + CHOOSE(CONTROL!$C$38, 0.0342, 0)</f>
        <v>69.224900000000005</v>
      </c>
      <c r="I939" s="14">
        <f>69.1923 * CHOOSE(CONTROL!$C$15, $E$9, 100%, $G$9) + CHOOSE(CONTROL!$C$38, 0.0342, 0)</f>
        <v>69.226500000000001</v>
      </c>
      <c r="J939" s="43">
        <f>713.6488</f>
        <v>713.64880000000005</v>
      </c>
    </row>
    <row r="940" spans="1:10" ht="15.75" x14ac:dyDescent="0.25">
      <c r="A940" s="31">
        <v>69549</v>
      </c>
      <c r="B940" s="14">
        <f>75.5527 * CHOOSE(CONTROL!$C$15, $E$9, 100%, $G$9) + CHOOSE(CONTROL!$C$38, 0.0264, 0)</f>
        <v>75.579099999999997</v>
      </c>
      <c r="C940" s="14">
        <f>71.4988 * CHOOSE(CONTROL!$C$15, $E$9, 100%, $G$9) + CHOOSE(CONTROL!$C$38, 0.0354, 0)</f>
        <v>71.534199999999998</v>
      </c>
      <c r="D940" s="14">
        <f>71.491 * CHOOSE(CONTROL!$C$15, $E$9, 100%, $G$9) + CHOOSE(CONTROL!$C$38, 0.0354, 0)</f>
        <v>71.526399999999995</v>
      </c>
      <c r="E940" s="45">
        <f>75.3964 * CHOOSE(CONTROL!$C$15, $E$9, 100%, $G$9) + CHOOSE(CONTROL!$C$38, 0.0354, 0)</f>
        <v>75.431799999999996</v>
      </c>
      <c r="F940" s="44">
        <f>75.3964 * CHOOSE(CONTROL!$C$15, $E$9, 100%, $G$9) + CHOOSE(CONTROL!$C$38, 0.0264, 0)</f>
        <v>75.422799999999995</v>
      </c>
      <c r="G940" s="14">
        <f>71.4972 * CHOOSE(CONTROL!$C$15, $E$9, 100%, $G$9) + CHOOSE(CONTROL!$C$38, 0.0354, 0)</f>
        <v>71.532600000000002</v>
      </c>
      <c r="H940" s="14">
        <f>71.4972 * CHOOSE(CONTROL!$C$15, $E$9, 100%, $G$9) + CHOOSE(CONTROL!$C$38, 0.0354, 0)</f>
        <v>71.532600000000002</v>
      </c>
      <c r="I940" s="14">
        <f>71.4988 * CHOOSE(CONTROL!$C$15, $E$9, 100%, $G$9) + CHOOSE(CONTROL!$C$38, 0.0354, 0)</f>
        <v>71.534199999999998</v>
      </c>
      <c r="J940" s="43">
        <f>737.5974</f>
        <v>737.59739999999999</v>
      </c>
    </row>
    <row r="941" spans="1:10" ht="15.75" x14ac:dyDescent="0.25">
      <c r="A941" s="31">
        <v>69579</v>
      </c>
      <c r="B941" s="14">
        <f>76.6324 * CHOOSE(CONTROL!$C$15, $E$9, 100%, $G$9) + CHOOSE(CONTROL!$C$38, 0.0264, 0)</f>
        <v>76.658799999999999</v>
      </c>
      <c r="C941" s="14">
        <f>72.5224 * CHOOSE(CONTROL!$C$15, $E$9, 100%, $G$9) + CHOOSE(CONTROL!$C$38, 0.0354, 0)</f>
        <v>72.5578</v>
      </c>
      <c r="D941" s="14">
        <f>72.5146 * CHOOSE(CONTROL!$C$15, $E$9, 100%, $G$9) + CHOOSE(CONTROL!$C$38, 0.0354, 0)</f>
        <v>72.55</v>
      </c>
      <c r="E941" s="45">
        <f>76.4762 * CHOOSE(CONTROL!$C$15, $E$9, 100%, $G$9) + CHOOSE(CONTROL!$C$38, 0.0354, 0)</f>
        <v>76.511600000000001</v>
      </c>
      <c r="F941" s="44">
        <f>76.4762 * CHOOSE(CONTROL!$C$15, $E$9, 100%, $G$9) + CHOOSE(CONTROL!$C$38, 0.0264, 0)</f>
        <v>76.502600000000001</v>
      </c>
      <c r="G941" s="14">
        <f>72.5208 * CHOOSE(CONTROL!$C$15, $E$9, 100%, $G$9) + CHOOSE(CONTROL!$C$38, 0.0354, 0)</f>
        <v>72.55619999999999</v>
      </c>
      <c r="H941" s="14">
        <f>72.5208 * CHOOSE(CONTROL!$C$15, $E$9, 100%, $G$9) + CHOOSE(CONTROL!$C$38, 0.0354, 0)</f>
        <v>72.55619999999999</v>
      </c>
      <c r="I941" s="14">
        <f>72.5224 * CHOOSE(CONTROL!$C$15, $E$9, 100%, $G$9) + CHOOSE(CONTROL!$C$38, 0.0354, 0)</f>
        <v>72.5578</v>
      </c>
      <c r="J941" s="43">
        <f>748.2254</f>
        <v>748.22540000000004</v>
      </c>
    </row>
    <row r="942" spans="1:10" ht="15.75" x14ac:dyDescent="0.25">
      <c r="A942" s="31">
        <v>69610</v>
      </c>
      <c r="B942" s="14">
        <f>76.2769 * CHOOSE(CONTROL!$C$15, $E$9, 100%, $G$9) + CHOOSE(CONTROL!$C$38, 0.0264, 0)</f>
        <v>76.303299999999993</v>
      </c>
      <c r="C942" s="14">
        <f>72.1854 * CHOOSE(CONTROL!$C$15, $E$9, 100%, $G$9) + CHOOSE(CONTROL!$C$38, 0.0354, 0)</f>
        <v>72.220799999999997</v>
      </c>
      <c r="D942" s="14">
        <f>72.1776 * CHOOSE(CONTROL!$C$15, $E$9, 100%, $G$9) + CHOOSE(CONTROL!$C$38, 0.0354, 0)</f>
        <v>72.212999999999994</v>
      </c>
      <c r="E942" s="45">
        <f>76.1207 * CHOOSE(CONTROL!$C$15, $E$9, 100%, $G$9) + CHOOSE(CONTROL!$C$38, 0.0354, 0)</f>
        <v>76.156099999999995</v>
      </c>
      <c r="F942" s="44">
        <f>76.1207 * CHOOSE(CONTROL!$C$15, $E$9, 100%, $G$9) + CHOOSE(CONTROL!$C$38, 0.0264, 0)</f>
        <v>76.147099999999995</v>
      </c>
      <c r="G942" s="14">
        <f>72.1838 * CHOOSE(CONTROL!$C$15, $E$9, 100%, $G$9) + CHOOSE(CONTROL!$C$38, 0.0354, 0)</f>
        <v>72.219200000000001</v>
      </c>
      <c r="H942" s="14">
        <f>72.1838 * CHOOSE(CONTROL!$C$15, $E$9, 100%, $G$9) + CHOOSE(CONTROL!$C$38, 0.0354, 0)</f>
        <v>72.219200000000001</v>
      </c>
      <c r="I942" s="14">
        <f>72.1854 * CHOOSE(CONTROL!$C$15, $E$9, 100%, $G$9) + CHOOSE(CONTROL!$C$38, 0.0354, 0)</f>
        <v>72.220799999999997</v>
      </c>
      <c r="J942" s="43">
        <f>744.7262</f>
        <v>744.72619999999995</v>
      </c>
    </row>
    <row r="943" spans="1:10" ht="15.75" x14ac:dyDescent="0.25">
      <c r="A943" s="31">
        <v>69641</v>
      </c>
      <c r="B943" s="14">
        <f>74.5156 * CHOOSE(CONTROL!$C$15, $E$9, 100%, $G$9) + CHOOSE(CONTROL!$C$38, 0.0264, 0)</f>
        <v>74.542000000000002</v>
      </c>
      <c r="C943" s="14">
        <f>70.5157 * CHOOSE(CONTROL!$C$15, $E$9, 100%, $G$9) + CHOOSE(CONTROL!$C$38, 0.0354, 0)</f>
        <v>70.551099999999991</v>
      </c>
      <c r="D943" s="14">
        <f>70.5078 * CHOOSE(CONTROL!$C$15, $E$9, 100%, $G$9) + CHOOSE(CONTROL!$C$38, 0.0354, 0)</f>
        <v>70.543199999999999</v>
      </c>
      <c r="E943" s="45">
        <f>74.3593 * CHOOSE(CONTROL!$C$15, $E$9, 100%, $G$9) + CHOOSE(CONTROL!$C$38, 0.0354, 0)</f>
        <v>74.3947</v>
      </c>
      <c r="F943" s="44">
        <f>74.3593 * CHOOSE(CONTROL!$C$15, $E$9, 100%, $G$9) + CHOOSE(CONTROL!$C$38, 0.0264, 0)</f>
        <v>74.3857</v>
      </c>
      <c r="G943" s="14">
        <f>70.5141 * CHOOSE(CONTROL!$C$15, $E$9, 100%, $G$9) + CHOOSE(CONTROL!$C$38, 0.0354, 0)</f>
        <v>70.549499999999995</v>
      </c>
      <c r="H943" s="14">
        <f>70.5141 * CHOOSE(CONTROL!$C$15, $E$9, 100%, $G$9) + CHOOSE(CONTROL!$C$38, 0.0354, 0)</f>
        <v>70.549499999999995</v>
      </c>
      <c r="I943" s="14">
        <f>70.5157 * CHOOSE(CONTROL!$C$15, $E$9, 100%, $G$9) + CHOOSE(CONTROL!$C$38, 0.0354, 0)</f>
        <v>70.551099999999991</v>
      </c>
      <c r="J943" s="43">
        <f>727.3893</f>
        <v>727.38930000000005</v>
      </c>
    </row>
    <row r="944" spans="1:10" ht="15.75" x14ac:dyDescent="0.25">
      <c r="A944" s="31">
        <v>69671</v>
      </c>
      <c r="B944" s="14">
        <f>72.0593 * CHOOSE(CONTROL!$C$15, $E$9, 100%, $G$9) + CHOOSE(CONTROL!$C$38, 0.0264, 0)</f>
        <v>72.085699999999989</v>
      </c>
      <c r="C944" s="14">
        <f>68.1872 * CHOOSE(CONTROL!$C$15, $E$9, 100%, $G$9) + CHOOSE(CONTROL!$C$38, 0.0354, 0)</f>
        <v>68.2226</v>
      </c>
      <c r="D944" s="14">
        <f>68.1793 * CHOOSE(CONTROL!$C$15, $E$9, 100%, $G$9) + CHOOSE(CONTROL!$C$38, 0.0354, 0)</f>
        <v>68.214699999999993</v>
      </c>
      <c r="E944" s="45">
        <f>71.9031 * CHOOSE(CONTROL!$C$15, $E$9, 100%, $G$9) + CHOOSE(CONTROL!$C$38, 0.0354, 0)</f>
        <v>71.938499999999991</v>
      </c>
      <c r="F944" s="44">
        <f>71.9031 * CHOOSE(CONTROL!$C$15, $E$9, 100%, $G$9) + CHOOSE(CONTROL!$C$38, 0.0264, 0)</f>
        <v>71.92949999999999</v>
      </c>
      <c r="G944" s="14">
        <f>68.1856 * CHOOSE(CONTROL!$C$15, $E$9, 100%, $G$9) + CHOOSE(CONTROL!$C$38, 0.0354, 0)</f>
        <v>68.220999999999989</v>
      </c>
      <c r="H944" s="14">
        <f>68.1856 * CHOOSE(CONTROL!$C$15, $E$9, 100%, $G$9) + CHOOSE(CONTROL!$C$38, 0.0354, 0)</f>
        <v>68.220999999999989</v>
      </c>
      <c r="I944" s="14">
        <f>68.1872 * CHOOSE(CONTROL!$C$15, $E$9, 100%, $G$9) + CHOOSE(CONTROL!$C$38, 0.0354, 0)</f>
        <v>68.2226</v>
      </c>
      <c r="J944" s="43">
        <f>703.2121</f>
        <v>703.21209999999996</v>
      </c>
    </row>
    <row r="945" spans="1:10" ht="15.75" x14ac:dyDescent="0.25">
      <c r="A945" s="31">
        <v>69702</v>
      </c>
      <c r="B945" s="14">
        <f>69.5888 * CHOOSE(CONTROL!$C$15, $E$9, 100%, $G$9) + CHOOSE(CONTROL!$C$38, 0.0251, 0)</f>
        <v>69.613900000000001</v>
      </c>
      <c r="C945" s="14">
        <f>65.8451 * CHOOSE(CONTROL!$C$15, $E$9, 100%, $G$9) + CHOOSE(CONTROL!$C$38, 0.0342, 0)</f>
        <v>65.879300000000001</v>
      </c>
      <c r="D945" s="14">
        <f>65.8373 * CHOOSE(CONTROL!$C$15, $E$9, 100%, $G$9) + CHOOSE(CONTROL!$C$38, 0.0342, 0)</f>
        <v>65.871499999999997</v>
      </c>
      <c r="E945" s="45">
        <f>69.4325 * CHOOSE(CONTROL!$C$15, $E$9, 100%, $G$9) + CHOOSE(CONTROL!$C$38, 0.0342, 0)</f>
        <v>69.466700000000003</v>
      </c>
      <c r="F945" s="44">
        <f>69.4325 * CHOOSE(CONTROL!$C$15, $E$9, 100%, $G$9) + CHOOSE(CONTROL!$C$38, 0.0251, 0)</f>
        <v>69.457599999999999</v>
      </c>
      <c r="G945" s="14">
        <f>65.8436 * CHOOSE(CONTROL!$C$15, $E$9, 100%, $G$9) + CHOOSE(CONTROL!$C$38, 0.0342, 0)</f>
        <v>65.877799999999993</v>
      </c>
      <c r="H945" s="14">
        <f>65.8436 * CHOOSE(CONTROL!$C$15, $E$9, 100%, $G$9) + CHOOSE(CONTROL!$C$38, 0.0342, 0)</f>
        <v>65.877799999999993</v>
      </c>
      <c r="I945" s="14">
        <f>65.8451 * CHOOSE(CONTROL!$C$15, $E$9, 100%, $G$9) + CHOOSE(CONTROL!$C$38, 0.0342, 0)</f>
        <v>65.879300000000001</v>
      </c>
      <c r="J945" s="43">
        <f>678.8943</f>
        <v>678.89430000000004</v>
      </c>
    </row>
    <row r="946" spans="1:10" ht="15.75" x14ac:dyDescent="0.25">
      <c r="A946" s="31">
        <v>69732</v>
      </c>
      <c r="B946" s="14">
        <f>69.0974 * CHOOSE(CONTROL!$C$15, $E$9, 100%, $G$9) + CHOOSE(CONTROL!$C$38, 0.0251, 0)</f>
        <v>69.122499999999988</v>
      </c>
      <c r="C946" s="14">
        <f>65.3792 * CHOOSE(CONTROL!$C$15, $E$9, 100%, $G$9) + CHOOSE(CONTROL!$C$38, 0.0342, 0)</f>
        <v>65.413399999999996</v>
      </c>
      <c r="D946" s="14">
        <f>65.3714 * CHOOSE(CONTROL!$C$15, $E$9, 100%, $G$9) + CHOOSE(CONTROL!$C$38, 0.0342, 0)</f>
        <v>65.405599999999993</v>
      </c>
      <c r="E946" s="45">
        <f>68.9411 * CHOOSE(CONTROL!$C$15, $E$9, 100%, $G$9) + CHOOSE(CONTROL!$C$38, 0.0342, 0)</f>
        <v>68.975300000000004</v>
      </c>
      <c r="F946" s="44">
        <f>68.9411 * CHOOSE(CONTROL!$C$15, $E$9, 100%, $G$9) + CHOOSE(CONTROL!$C$38, 0.0251, 0)</f>
        <v>68.966200000000001</v>
      </c>
      <c r="G946" s="14">
        <f>65.3777 * CHOOSE(CONTROL!$C$15, $E$9, 100%, $G$9) + CHOOSE(CONTROL!$C$38, 0.0342, 0)</f>
        <v>65.411900000000003</v>
      </c>
      <c r="H946" s="14">
        <f>65.3777 * CHOOSE(CONTROL!$C$15, $E$9, 100%, $G$9) + CHOOSE(CONTROL!$C$38, 0.0342, 0)</f>
        <v>65.411900000000003</v>
      </c>
      <c r="I946" s="14">
        <f>65.3792 * CHOOSE(CONTROL!$C$15, $E$9, 100%, $G$9) + CHOOSE(CONTROL!$C$38, 0.0342, 0)</f>
        <v>65.413399999999996</v>
      </c>
      <c r="J946" s="43">
        <f>674.057</f>
        <v>674.05700000000002</v>
      </c>
    </row>
    <row r="947" spans="1:10" ht="15.75" x14ac:dyDescent="0.25">
      <c r="A947" s="31">
        <v>69763</v>
      </c>
      <c r="B947" s="14">
        <f>67.0652 * CHOOSE(CONTROL!$C$15, $E$9, 100%, $G$9) + CHOOSE(CONTROL!$C$38, 0.0251, 0)</f>
        <v>67.090299999999999</v>
      </c>
      <c r="C947" s="14">
        <f>63.4528 * CHOOSE(CONTROL!$C$15, $E$9, 100%, $G$9) + CHOOSE(CONTROL!$C$38, 0.0342, 0)</f>
        <v>63.487000000000002</v>
      </c>
      <c r="D947" s="14">
        <f>63.445 * CHOOSE(CONTROL!$C$15, $E$9, 100%, $G$9) + CHOOSE(CONTROL!$C$38, 0.0342, 0)</f>
        <v>63.479199999999999</v>
      </c>
      <c r="E947" s="45">
        <f>66.9089 * CHOOSE(CONTROL!$C$15, $E$9, 100%, $G$9) + CHOOSE(CONTROL!$C$38, 0.0342, 0)</f>
        <v>66.943100000000001</v>
      </c>
      <c r="F947" s="44">
        <f>66.9089 * CHOOSE(CONTROL!$C$15, $E$9, 100%, $G$9) + CHOOSE(CONTROL!$C$38, 0.0251, 0)</f>
        <v>66.933999999999997</v>
      </c>
      <c r="G947" s="14">
        <f>63.4512 * CHOOSE(CONTROL!$C$15, $E$9, 100%, $G$9) + CHOOSE(CONTROL!$C$38, 0.0342, 0)</f>
        <v>63.485399999999998</v>
      </c>
      <c r="H947" s="14">
        <f>63.4512 * CHOOSE(CONTROL!$C$15, $E$9, 100%, $G$9) + CHOOSE(CONTROL!$C$38, 0.0342, 0)</f>
        <v>63.485399999999998</v>
      </c>
      <c r="I947" s="14">
        <f>63.4528 * CHOOSE(CONTROL!$C$15, $E$9, 100%, $G$9) + CHOOSE(CONTROL!$C$38, 0.0342, 0)</f>
        <v>63.487000000000002</v>
      </c>
      <c r="J947" s="43">
        <f>654.0543</f>
        <v>654.05430000000001</v>
      </c>
    </row>
    <row r="948" spans="1:10" ht="15.75" x14ac:dyDescent="0.25">
      <c r="A948" s="31">
        <v>69794</v>
      </c>
      <c r="B948" s="14">
        <f>66.5605 * CHOOSE(CONTROL!$C$15, $E$9, 100%, $G$9) + CHOOSE(CONTROL!$C$38, 0.0251, 0)</f>
        <v>66.585599999999999</v>
      </c>
      <c r="C948" s="14">
        <f>62.9744 * CHOOSE(CONTROL!$C$15, $E$9, 100%, $G$9) + CHOOSE(CONTROL!$C$38, 0.0342, 0)</f>
        <v>63.008600000000001</v>
      </c>
      <c r="D948" s="14">
        <f>62.9666 * CHOOSE(CONTROL!$C$15, $E$9, 100%, $G$9) + CHOOSE(CONTROL!$C$38, 0.0342, 0)</f>
        <v>63.000799999999998</v>
      </c>
      <c r="E948" s="45">
        <f>66.4043 * CHOOSE(CONTROL!$C$15, $E$9, 100%, $G$9) + CHOOSE(CONTROL!$C$38, 0.0342, 0)</f>
        <v>66.438500000000005</v>
      </c>
      <c r="F948" s="44">
        <f>66.4043 * CHOOSE(CONTROL!$C$15, $E$9, 100%, $G$9) + CHOOSE(CONTROL!$C$38, 0.0251, 0)</f>
        <v>66.429400000000001</v>
      </c>
      <c r="G948" s="14">
        <f>62.9728 * CHOOSE(CONTROL!$C$15, $E$9, 100%, $G$9) + CHOOSE(CONTROL!$C$38, 0.0342, 0)</f>
        <v>63.006999999999998</v>
      </c>
      <c r="H948" s="14">
        <f>62.9728 * CHOOSE(CONTROL!$C$15, $E$9, 100%, $G$9) + CHOOSE(CONTROL!$C$38, 0.0342, 0)</f>
        <v>63.006999999999998</v>
      </c>
      <c r="I948" s="14">
        <f>62.9744 * CHOOSE(CONTROL!$C$15, $E$9, 100%, $G$9) + CHOOSE(CONTROL!$C$38, 0.0342, 0)</f>
        <v>63.008600000000001</v>
      </c>
      <c r="J948" s="43">
        <f>653.5821</f>
        <v>653.58209999999997</v>
      </c>
    </row>
    <row r="949" spans="1:10" ht="15.75" x14ac:dyDescent="0.25">
      <c r="A949" s="31">
        <v>69822</v>
      </c>
      <c r="B949" s="14">
        <f>66.3772 * CHOOSE(CONTROL!$C$15, $E$9, 100%, $G$9) + CHOOSE(CONTROL!$C$38, 0.0251, 0)</f>
        <v>66.402299999999997</v>
      </c>
      <c r="C949" s="14">
        <f>62.8006 * CHOOSE(CONTROL!$C$15, $E$9, 100%, $G$9) + CHOOSE(CONTROL!$C$38, 0.0342, 0)</f>
        <v>62.834800000000001</v>
      </c>
      <c r="D949" s="14">
        <f>62.7928 * CHOOSE(CONTROL!$C$15, $E$9, 100%, $G$9) + CHOOSE(CONTROL!$C$38, 0.0342, 0)</f>
        <v>62.826999999999998</v>
      </c>
      <c r="E949" s="45">
        <f>66.221 * CHOOSE(CONTROL!$C$15, $E$9, 100%, $G$9) + CHOOSE(CONTROL!$C$38, 0.0342, 0)</f>
        <v>66.255200000000002</v>
      </c>
      <c r="F949" s="44">
        <f>66.221 * CHOOSE(CONTROL!$C$15, $E$9, 100%, $G$9) + CHOOSE(CONTROL!$C$38, 0.0251, 0)</f>
        <v>66.246099999999998</v>
      </c>
      <c r="G949" s="14">
        <f>62.799 * CHOOSE(CONTROL!$C$15, $E$9, 100%, $G$9) + CHOOSE(CONTROL!$C$38, 0.0342, 0)</f>
        <v>62.833199999999998</v>
      </c>
      <c r="H949" s="14">
        <f>62.799 * CHOOSE(CONTROL!$C$15, $E$9, 100%, $G$9) + CHOOSE(CONTROL!$C$38, 0.0342, 0)</f>
        <v>62.833199999999998</v>
      </c>
      <c r="I949" s="14">
        <f>62.8006 * CHOOSE(CONTROL!$C$15, $E$9, 100%, $G$9) + CHOOSE(CONTROL!$C$38, 0.0342, 0)</f>
        <v>62.834800000000001</v>
      </c>
      <c r="J949" s="43">
        <f>651.7654</f>
        <v>651.7654</v>
      </c>
    </row>
    <row r="950" spans="1:10" ht="15.75" x14ac:dyDescent="0.25">
      <c r="A950" s="31">
        <v>69853</v>
      </c>
      <c r="B950" s="14">
        <f>69.8432 * CHOOSE(CONTROL!$C$15, $E$9, 100%, $G$9) + CHOOSE(CONTROL!$C$38, 0.0251, 0)</f>
        <v>69.868299999999991</v>
      </c>
      <c r="C950" s="14">
        <f>66.0863 * CHOOSE(CONTROL!$C$15, $E$9, 100%, $G$9) + CHOOSE(CONTROL!$C$38, 0.0342, 0)</f>
        <v>66.120499999999993</v>
      </c>
      <c r="D950" s="14">
        <f>66.0785 * CHOOSE(CONTROL!$C$15, $E$9, 100%, $G$9) + CHOOSE(CONTROL!$C$38, 0.0342, 0)</f>
        <v>66.112700000000004</v>
      </c>
      <c r="E950" s="45">
        <f>69.6869 * CHOOSE(CONTROL!$C$15, $E$9, 100%, $G$9) + CHOOSE(CONTROL!$C$38, 0.0342, 0)</f>
        <v>69.721099999999993</v>
      </c>
      <c r="F950" s="44">
        <f>69.6869 * CHOOSE(CONTROL!$C$15, $E$9, 100%, $G$9) + CHOOSE(CONTROL!$C$38, 0.0251, 0)</f>
        <v>69.711999999999989</v>
      </c>
      <c r="G950" s="14">
        <f>66.0847 * CHOOSE(CONTROL!$C$15, $E$9, 100%, $G$9) + CHOOSE(CONTROL!$C$38, 0.0342, 0)</f>
        <v>66.118899999999996</v>
      </c>
      <c r="H950" s="14">
        <f>66.0847 * CHOOSE(CONTROL!$C$15, $E$9, 100%, $G$9) + CHOOSE(CONTROL!$C$38, 0.0342, 0)</f>
        <v>66.118899999999996</v>
      </c>
      <c r="I950" s="14">
        <f>66.0863 * CHOOSE(CONTROL!$C$15, $E$9, 100%, $G$9) + CHOOSE(CONTROL!$C$38, 0.0342, 0)</f>
        <v>66.120499999999993</v>
      </c>
      <c r="J950" s="43">
        <f>686.1172</f>
        <v>686.11720000000003</v>
      </c>
    </row>
    <row r="951" spans="1:10" ht="15.75" x14ac:dyDescent="0.25">
      <c r="A951" s="31">
        <v>69883</v>
      </c>
      <c r="B951" s="14">
        <f>74.3377 * CHOOSE(CONTROL!$C$15, $E$9, 100%, $G$9) + CHOOSE(CONTROL!$C$38, 0.0251, 0)</f>
        <v>74.362799999999993</v>
      </c>
      <c r="C951" s="14">
        <f>70.347 * CHOOSE(CONTROL!$C$15, $E$9, 100%, $G$9) + CHOOSE(CONTROL!$C$38, 0.0342, 0)</f>
        <v>70.381199999999993</v>
      </c>
      <c r="D951" s="14">
        <f>70.3392 * CHOOSE(CONTROL!$C$15, $E$9, 100%, $G$9) + CHOOSE(CONTROL!$C$38, 0.0342, 0)</f>
        <v>70.373400000000004</v>
      </c>
      <c r="E951" s="45">
        <f>74.1814 * CHOOSE(CONTROL!$C$15, $E$9, 100%, $G$9) + CHOOSE(CONTROL!$C$38, 0.0342, 0)</f>
        <v>74.215599999999995</v>
      </c>
      <c r="F951" s="44">
        <f>74.1814 * CHOOSE(CONTROL!$C$15, $E$9, 100%, $G$9) + CHOOSE(CONTROL!$C$38, 0.0251, 0)</f>
        <v>74.206499999999991</v>
      </c>
      <c r="G951" s="14">
        <f>70.3454 * CHOOSE(CONTROL!$C$15, $E$9, 100%, $G$9) + CHOOSE(CONTROL!$C$38, 0.0342, 0)</f>
        <v>70.379599999999996</v>
      </c>
      <c r="H951" s="14">
        <f>70.3454 * CHOOSE(CONTROL!$C$15, $E$9, 100%, $G$9) + CHOOSE(CONTROL!$C$38, 0.0342, 0)</f>
        <v>70.379599999999996</v>
      </c>
      <c r="I951" s="14">
        <f>70.347 * CHOOSE(CONTROL!$C$15, $E$9, 100%, $G$9) + CHOOSE(CONTROL!$C$38, 0.0342, 0)</f>
        <v>70.381199999999993</v>
      </c>
      <c r="J951" s="43">
        <f>730.6632</f>
        <v>730.66319999999996</v>
      </c>
    </row>
    <row r="952" spans="1:10" ht="15.75" x14ac:dyDescent="0.25">
      <c r="A952" s="31">
        <v>69914</v>
      </c>
      <c r="B952" s="14">
        <f>76.8116 * CHOOSE(CONTROL!$C$15, $E$9, 100%, $G$9) + CHOOSE(CONTROL!$C$38, 0.0264, 0)</f>
        <v>76.837999999999994</v>
      </c>
      <c r="C952" s="14">
        <f>72.6922 * CHOOSE(CONTROL!$C$15, $E$9, 100%, $G$9) + CHOOSE(CONTROL!$C$38, 0.0354, 0)</f>
        <v>72.727599999999995</v>
      </c>
      <c r="D952" s="14">
        <f>72.6844 * CHOOSE(CONTROL!$C$15, $E$9, 100%, $G$9) + CHOOSE(CONTROL!$C$38, 0.0354, 0)</f>
        <v>72.719799999999992</v>
      </c>
      <c r="E952" s="45">
        <f>76.6553 * CHOOSE(CONTROL!$C$15, $E$9, 100%, $G$9) + CHOOSE(CONTROL!$C$38, 0.0354, 0)</f>
        <v>76.690699999999993</v>
      </c>
      <c r="F952" s="44">
        <f>76.6553 * CHOOSE(CONTROL!$C$15, $E$9, 100%, $G$9) + CHOOSE(CONTROL!$C$38, 0.0264, 0)</f>
        <v>76.681699999999992</v>
      </c>
      <c r="G952" s="14">
        <f>72.6907 * CHOOSE(CONTROL!$C$15, $E$9, 100%, $G$9) + CHOOSE(CONTROL!$C$38, 0.0354, 0)</f>
        <v>72.726100000000002</v>
      </c>
      <c r="H952" s="14">
        <f>72.6907 * CHOOSE(CONTROL!$C$15, $E$9, 100%, $G$9) + CHOOSE(CONTROL!$C$38, 0.0354, 0)</f>
        <v>72.726100000000002</v>
      </c>
      <c r="I952" s="14">
        <f>72.6922 * CHOOSE(CONTROL!$C$15, $E$9, 100%, $G$9) + CHOOSE(CONTROL!$C$38, 0.0354, 0)</f>
        <v>72.727599999999995</v>
      </c>
      <c r="J952" s="43">
        <f>755.1828</f>
        <v>755.18280000000004</v>
      </c>
    </row>
    <row r="953" spans="1:10" ht="15.75" x14ac:dyDescent="0.25">
      <c r="A953" s="31">
        <v>69944</v>
      </c>
      <c r="B953" s="14">
        <f>77.9095 * CHOOSE(CONTROL!$C$15, $E$9, 100%, $G$9) + CHOOSE(CONTROL!$C$38, 0.0264, 0)</f>
        <v>77.93589999999999</v>
      </c>
      <c r="C953" s="14">
        <f>73.733 * CHOOSE(CONTROL!$C$15, $E$9, 100%, $G$9) + CHOOSE(CONTROL!$C$38, 0.0354, 0)</f>
        <v>73.7684</v>
      </c>
      <c r="D953" s="14">
        <f>73.7252 * CHOOSE(CONTROL!$C$15, $E$9, 100%, $G$9) + CHOOSE(CONTROL!$C$38, 0.0354, 0)</f>
        <v>73.760599999999997</v>
      </c>
      <c r="E953" s="45">
        <f>77.7532 * CHOOSE(CONTROL!$C$15, $E$9, 100%, $G$9) + CHOOSE(CONTROL!$C$38, 0.0354, 0)</f>
        <v>77.788600000000002</v>
      </c>
      <c r="F953" s="44">
        <f>77.7532 * CHOOSE(CONTROL!$C$15, $E$9, 100%, $G$9) + CHOOSE(CONTROL!$C$38, 0.0264, 0)</f>
        <v>77.779600000000002</v>
      </c>
      <c r="G953" s="14">
        <f>73.7314 * CHOOSE(CONTROL!$C$15, $E$9, 100%, $G$9) + CHOOSE(CONTROL!$C$38, 0.0354, 0)</f>
        <v>73.766799999999989</v>
      </c>
      <c r="H953" s="14">
        <f>73.7314 * CHOOSE(CONTROL!$C$15, $E$9, 100%, $G$9) + CHOOSE(CONTROL!$C$38, 0.0354, 0)</f>
        <v>73.766799999999989</v>
      </c>
      <c r="I953" s="14">
        <f>73.733 * CHOOSE(CONTROL!$C$15, $E$9, 100%, $G$9) + CHOOSE(CONTROL!$C$38, 0.0354, 0)</f>
        <v>73.7684</v>
      </c>
      <c r="J953" s="43">
        <f>766.0642</f>
        <v>766.06420000000003</v>
      </c>
    </row>
    <row r="954" spans="1:10" ht="15.75" x14ac:dyDescent="0.25">
      <c r="A954" s="31">
        <v>69975</v>
      </c>
      <c r="B954" s="14">
        <f>77.548 * CHOOSE(CONTROL!$C$15, $E$9, 100%, $G$9) + CHOOSE(CONTROL!$C$38, 0.0264, 0)</f>
        <v>77.574399999999997</v>
      </c>
      <c r="C954" s="14">
        <f>73.3903 * CHOOSE(CONTROL!$C$15, $E$9, 100%, $G$9) + CHOOSE(CONTROL!$C$38, 0.0354, 0)</f>
        <v>73.425699999999992</v>
      </c>
      <c r="D954" s="14">
        <f>73.3825 * CHOOSE(CONTROL!$C$15, $E$9, 100%, $G$9) + CHOOSE(CONTROL!$C$38, 0.0354, 0)</f>
        <v>73.417899999999989</v>
      </c>
      <c r="E954" s="45">
        <f>77.3917 * CHOOSE(CONTROL!$C$15, $E$9, 100%, $G$9) + CHOOSE(CONTROL!$C$38, 0.0354, 0)</f>
        <v>77.427099999999996</v>
      </c>
      <c r="F954" s="44">
        <f>77.3917 * CHOOSE(CONTROL!$C$15, $E$9, 100%, $G$9) + CHOOSE(CONTROL!$C$38, 0.0264, 0)</f>
        <v>77.418099999999995</v>
      </c>
      <c r="G954" s="14">
        <f>73.3888 * CHOOSE(CONTROL!$C$15, $E$9, 100%, $G$9) + CHOOSE(CONTROL!$C$38, 0.0354, 0)</f>
        <v>73.424199999999999</v>
      </c>
      <c r="H954" s="14">
        <f>73.3888 * CHOOSE(CONTROL!$C$15, $E$9, 100%, $G$9) + CHOOSE(CONTROL!$C$38, 0.0354, 0)</f>
        <v>73.424199999999999</v>
      </c>
      <c r="I954" s="14">
        <f>73.3903 * CHOOSE(CONTROL!$C$15, $E$9, 100%, $G$9) + CHOOSE(CONTROL!$C$38, 0.0354, 0)</f>
        <v>73.425699999999992</v>
      </c>
      <c r="J954" s="43">
        <f>762.4816</f>
        <v>762.48159999999996</v>
      </c>
    </row>
    <row r="955" spans="1:10" ht="15.75" x14ac:dyDescent="0.25">
      <c r="A955" s="31">
        <v>70006</v>
      </c>
      <c r="B955" s="14">
        <f>75.7571 * CHOOSE(CONTROL!$C$15, $E$9, 100%, $G$9) + CHOOSE(CONTROL!$C$38, 0.0264, 0)</f>
        <v>75.783499999999989</v>
      </c>
      <c r="C955" s="14">
        <f>71.6926 * CHOOSE(CONTROL!$C$15, $E$9, 100%, $G$9) + CHOOSE(CONTROL!$C$38, 0.0354, 0)</f>
        <v>71.727999999999994</v>
      </c>
      <c r="D955" s="14">
        <f>71.6847 * CHOOSE(CONTROL!$C$15, $E$9, 100%, $G$9) + CHOOSE(CONTROL!$C$38, 0.0354, 0)</f>
        <v>71.720100000000002</v>
      </c>
      <c r="E955" s="45">
        <f>75.6008 * CHOOSE(CONTROL!$C$15, $E$9, 100%, $G$9) + CHOOSE(CONTROL!$C$38, 0.0354, 0)</f>
        <v>75.636200000000002</v>
      </c>
      <c r="F955" s="44">
        <f>75.6008 * CHOOSE(CONTROL!$C$15, $E$9, 100%, $G$9) + CHOOSE(CONTROL!$C$38, 0.0264, 0)</f>
        <v>75.627200000000002</v>
      </c>
      <c r="G955" s="14">
        <f>71.691 * CHOOSE(CONTROL!$C$15, $E$9, 100%, $G$9) + CHOOSE(CONTROL!$C$38, 0.0354, 0)</f>
        <v>71.726399999999998</v>
      </c>
      <c r="H955" s="14">
        <f>71.691 * CHOOSE(CONTROL!$C$15, $E$9, 100%, $G$9) + CHOOSE(CONTROL!$C$38, 0.0354, 0)</f>
        <v>71.726399999999998</v>
      </c>
      <c r="I955" s="14">
        <f>71.6926 * CHOOSE(CONTROL!$C$15, $E$9, 100%, $G$9) + CHOOSE(CONTROL!$C$38, 0.0354, 0)</f>
        <v>71.727999999999994</v>
      </c>
      <c r="J955" s="43">
        <f>744.7313</f>
        <v>744.73130000000003</v>
      </c>
    </row>
    <row r="956" spans="1:10" ht="15.75" x14ac:dyDescent="0.25">
      <c r="A956" s="31">
        <v>70036</v>
      </c>
      <c r="B956" s="14">
        <f>73.2595 * CHOOSE(CONTROL!$C$15, $E$9, 100%, $G$9) + CHOOSE(CONTROL!$C$38, 0.0264, 0)</f>
        <v>73.285899999999998</v>
      </c>
      <c r="C956" s="14">
        <f>69.3249 * CHOOSE(CONTROL!$C$15, $E$9, 100%, $G$9) + CHOOSE(CONTROL!$C$38, 0.0354, 0)</f>
        <v>69.360299999999995</v>
      </c>
      <c r="D956" s="14">
        <f>69.3171 * CHOOSE(CONTROL!$C$15, $E$9, 100%, $G$9) + CHOOSE(CONTROL!$C$38, 0.0354, 0)</f>
        <v>69.352499999999992</v>
      </c>
      <c r="E956" s="45">
        <f>73.1033 * CHOOSE(CONTROL!$C$15, $E$9, 100%, $G$9) + CHOOSE(CONTROL!$C$38, 0.0354, 0)</f>
        <v>73.1387</v>
      </c>
      <c r="F956" s="44">
        <f>73.1033 * CHOOSE(CONTROL!$C$15, $E$9, 100%, $G$9) + CHOOSE(CONTROL!$C$38, 0.0264, 0)</f>
        <v>73.1297</v>
      </c>
      <c r="G956" s="14">
        <f>69.3234 * CHOOSE(CONTROL!$C$15, $E$9, 100%, $G$9) + CHOOSE(CONTROL!$C$38, 0.0354, 0)</f>
        <v>69.358800000000002</v>
      </c>
      <c r="H956" s="14">
        <f>69.3234 * CHOOSE(CONTROL!$C$15, $E$9, 100%, $G$9) + CHOOSE(CONTROL!$C$38, 0.0354, 0)</f>
        <v>69.358800000000002</v>
      </c>
      <c r="I956" s="14">
        <f>69.3249 * CHOOSE(CONTROL!$C$15, $E$9, 100%, $G$9) + CHOOSE(CONTROL!$C$38, 0.0354, 0)</f>
        <v>69.360299999999995</v>
      </c>
      <c r="J956" s="43">
        <f>719.9777</f>
        <v>719.97770000000003</v>
      </c>
    </row>
    <row r="957" spans="1:10" ht="15.75" x14ac:dyDescent="0.25">
      <c r="A957" s="31">
        <v>70067</v>
      </c>
      <c r="B957" s="14">
        <f>70.7475 * CHOOSE(CONTROL!$C$15, $E$9, 100%, $G$9) + CHOOSE(CONTROL!$C$38, 0.0251, 0)</f>
        <v>70.772599999999997</v>
      </c>
      <c r="C957" s="14">
        <f>66.9436 * CHOOSE(CONTROL!$C$15, $E$9, 100%, $G$9) + CHOOSE(CONTROL!$C$38, 0.0342, 0)</f>
        <v>66.977800000000002</v>
      </c>
      <c r="D957" s="14">
        <f>66.9357 * CHOOSE(CONTROL!$C$15, $E$9, 100%, $G$9) + CHOOSE(CONTROL!$C$38, 0.0342, 0)</f>
        <v>66.969899999999996</v>
      </c>
      <c r="E957" s="45">
        <f>70.5912 * CHOOSE(CONTROL!$C$15, $E$9, 100%, $G$9) + CHOOSE(CONTROL!$C$38, 0.0342, 0)</f>
        <v>70.625399999999999</v>
      </c>
      <c r="F957" s="44">
        <f>70.5912 * CHOOSE(CONTROL!$C$15, $E$9, 100%, $G$9) + CHOOSE(CONTROL!$C$38, 0.0251, 0)</f>
        <v>70.616299999999995</v>
      </c>
      <c r="G957" s="14">
        <f>66.942 * CHOOSE(CONTROL!$C$15, $E$9, 100%, $G$9) + CHOOSE(CONTROL!$C$38, 0.0342, 0)</f>
        <v>66.976199999999992</v>
      </c>
      <c r="H957" s="14">
        <f>66.942 * CHOOSE(CONTROL!$C$15, $E$9, 100%, $G$9) + CHOOSE(CONTROL!$C$38, 0.0342, 0)</f>
        <v>66.976199999999992</v>
      </c>
      <c r="I957" s="14">
        <f>66.9436 * CHOOSE(CONTROL!$C$15, $E$9, 100%, $G$9) + CHOOSE(CONTROL!$C$38, 0.0342, 0)</f>
        <v>66.977800000000002</v>
      </c>
      <c r="J957" s="43">
        <f>695.0802</f>
        <v>695.08019999999999</v>
      </c>
    </row>
    <row r="958" spans="1:10" ht="15.75" x14ac:dyDescent="0.25">
      <c r="A958" s="31">
        <v>70097</v>
      </c>
      <c r="B958" s="14">
        <f>70.2478 * CHOOSE(CONTROL!$C$15, $E$9, 100%, $G$9) + CHOOSE(CONTROL!$C$38, 0.0251, 0)</f>
        <v>70.272899999999993</v>
      </c>
      <c r="C958" s="14">
        <f>66.4698 * CHOOSE(CONTROL!$C$15, $E$9, 100%, $G$9) + CHOOSE(CONTROL!$C$38, 0.0342, 0)</f>
        <v>66.504000000000005</v>
      </c>
      <c r="D958" s="14">
        <f>66.462 * CHOOSE(CONTROL!$C$15, $E$9, 100%, $G$9) + CHOOSE(CONTROL!$C$38, 0.0342, 0)</f>
        <v>66.496200000000002</v>
      </c>
      <c r="E958" s="45">
        <f>70.0916 * CHOOSE(CONTROL!$C$15, $E$9, 100%, $G$9) + CHOOSE(CONTROL!$C$38, 0.0342, 0)</f>
        <v>70.125799999999998</v>
      </c>
      <c r="F958" s="44">
        <f>70.0916 * CHOOSE(CONTROL!$C$15, $E$9, 100%, $G$9) + CHOOSE(CONTROL!$C$38, 0.0251, 0)</f>
        <v>70.116699999999994</v>
      </c>
      <c r="G958" s="14">
        <f>66.4683 * CHOOSE(CONTROL!$C$15, $E$9, 100%, $G$9) + CHOOSE(CONTROL!$C$38, 0.0342, 0)</f>
        <v>66.502499999999998</v>
      </c>
      <c r="H958" s="14">
        <f>66.4683 * CHOOSE(CONTROL!$C$15, $E$9, 100%, $G$9) + CHOOSE(CONTROL!$C$38, 0.0342, 0)</f>
        <v>66.502499999999998</v>
      </c>
      <c r="I958" s="14">
        <f>66.4698 * CHOOSE(CONTROL!$C$15, $E$9, 100%, $G$9) + CHOOSE(CONTROL!$C$38, 0.0342, 0)</f>
        <v>66.504000000000005</v>
      </c>
      <c r="J958" s="43">
        <f>690.1275</f>
        <v>690.12750000000005</v>
      </c>
    </row>
    <row r="959" spans="1:10" ht="15.75" x14ac:dyDescent="0.25">
      <c r="A959" s="31">
        <v>70128</v>
      </c>
      <c r="B959" s="14">
        <f>68.1815 * CHOOSE(CONTROL!$C$15, $E$9, 100%, $G$9) + CHOOSE(CONTROL!$C$38, 0.0251, 0)</f>
        <v>68.206599999999995</v>
      </c>
      <c r="C959" s="14">
        <f>64.511 * CHOOSE(CONTROL!$C$15, $E$9, 100%, $G$9) + CHOOSE(CONTROL!$C$38, 0.0342, 0)</f>
        <v>64.545199999999994</v>
      </c>
      <c r="D959" s="14">
        <f>64.5032 * CHOOSE(CONTROL!$C$15, $E$9, 100%, $G$9) + CHOOSE(CONTROL!$C$38, 0.0342, 0)</f>
        <v>64.537400000000005</v>
      </c>
      <c r="E959" s="45">
        <f>68.0253 * CHOOSE(CONTROL!$C$15, $E$9, 100%, $G$9) + CHOOSE(CONTROL!$C$38, 0.0342, 0)</f>
        <v>68.0595</v>
      </c>
      <c r="F959" s="44">
        <f>68.0253 * CHOOSE(CONTROL!$C$15, $E$9, 100%, $G$9) + CHOOSE(CONTROL!$C$38, 0.0251, 0)</f>
        <v>68.050399999999996</v>
      </c>
      <c r="G959" s="14">
        <f>64.5095 * CHOOSE(CONTROL!$C$15, $E$9, 100%, $G$9) + CHOOSE(CONTROL!$C$38, 0.0342, 0)</f>
        <v>64.543700000000001</v>
      </c>
      <c r="H959" s="14">
        <f>64.5095 * CHOOSE(CONTROL!$C$15, $E$9, 100%, $G$9) + CHOOSE(CONTROL!$C$38, 0.0342, 0)</f>
        <v>64.543700000000001</v>
      </c>
      <c r="I959" s="14">
        <f>64.511 * CHOOSE(CONTROL!$C$15, $E$9, 100%, $G$9) + CHOOSE(CONTROL!$C$38, 0.0342, 0)</f>
        <v>64.545199999999994</v>
      </c>
      <c r="J959" s="43">
        <f>669.6479</f>
        <v>669.64790000000005</v>
      </c>
    </row>
    <row r="960" spans="1:10" ht="15.75" x14ac:dyDescent="0.25">
      <c r="A960" s="31">
        <v>70159</v>
      </c>
      <c r="B960" s="14">
        <f>67.6684 * CHOOSE(CONTROL!$C$15, $E$9, 100%, $G$9) + CHOOSE(CONTROL!$C$38, 0.0251, 0)</f>
        <v>67.6935</v>
      </c>
      <c r="C960" s="14">
        <f>64.0246 * CHOOSE(CONTROL!$C$15, $E$9, 100%, $G$9) + CHOOSE(CONTROL!$C$38, 0.0342, 0)</f>
        <v>64.058800000000005</v>
      </c>
      <c r="D960" s="14">
        <f>64.0168 * CHOOSE(CONTROL!$C$15, $E$9, 100%, $G$9) + CHOOSE(CONTROL!$C$38, 0.0342, 0)</f>
        <v>64.051000000000002</v>
      </c>
      <c r="E960" s="45">
        <f>67.5121 * CHOOSE(CONTROL!$C$15, $E$9, 100%, $G$9) + CHOOSE(CONTROL!$C$38, 0.0342, 0)</f>
        <v>67.546300000000002</v>
      </c>
      <c r="F960" s="44">
        <f>67.5121 * CHOOSE(CONTROL!$C$15, $E$9, 100%, $G$9) + CHOOSE(CONTROL!$C$38, 0.0251, 0)</f>
        <v>67.537199999999999</v>
      </c>
      <c r="G960" s="14">
        <f>64.023 * CHOOSE(CONTROL!$C$15, $E$9, 100%, $G$9) + CHOOSE(CONTROL!$C$38, 0.0342, 0)</f>
        <v>64.057199999999995</v>
      </c>
      <c r="H960" s="14">
        <f>64.023 * CHOOSE(CONTROL!$C$15, $E$9, 100%, $G$9) + CHOOSE(CONTROL!$C$38, 0.0342, 0)</f>
        <v>64.057199999999995</v>
      </c>
      <c r="I960" s="14">
        <f>64.0246 * CHOOSE(CONTROL!$C$15, $E$9, 100%, $G$9) + CHOOSE(CONTROL!$C$38, 0.0342, 0)</f>
        <v>64.058800000000005</v>
      </c>
      <c r="J960" s="43">
        <f>669.1645</f>
        <v>669.16449999999998</v>
      </c>
    </row>
    <row r="961" spans="1:10" ht="15.75" x14ac:dyDescent="0.25">
      <c r="A961" s="31">
        <v>70188</v>
      </c>
      <c r="B961" s="14">
        <f>67.482 * CHOOSE(CONTROL!$C$15, $E$9, 100%, $G$9) + CHOOSE(CONTROL!$C$38, 0.0251, 0)</f>
        <v>67.507099999999994</v>
      </c>
      <c r="C961" s="14">
        <f>63.8479 * CHOOSE(CONTROL!$C$15, $E$9, 100%, $G$9) + CHOOSE(CONTROL!$C$38, 0.0342, 0)</f>
        <v>63.882100000000001</v>
      </c>
      <c r="D961" s="14">
        <f>63.8401 * CHOOSE(CONTROL!$C$15, $E$9, 100%, $G$9) + CHOOSE(CONTROL!$C$38, 0.0342, 0)</f>
        <v>63.874299999999998</v>
      </c>
      <c r="E961" s="45">
        <f>67.3257 * CHOOSE(CONTROL!$C$15, $E$9, 100%, $G$9) + CHOOSE(CONTROL!$C$38, 0.0342, 0)</f>
        <v>67.359899999999996</v>
      </c>
      <c r="F961" s="44">
        <f>67.3257 * CHOOSE(CONTROL!$C$15, $E$9, 100%, $G$9) + CHOOSE(CONTROL!$C$38, 0.0251, 0)</f>
        <v>67.350799999999992</v>
      </c>
      <c r="G961" s="14">
        <f>63.8463 * CHOOSE(CONTROL!$C$15, $E$9, 100%, $G$9) + CHOOSE(CONTROL!$C$38, 0.0342, 0)</f>
        <v>63.880499999999998</v>
      </c>
      <c r="H961" s="14">
        <f>63.8463 * CHOOSE(CONTROL!$C$15, $E$9, 100%, $G$9) + CHOOSE(CONTROL!$C$38, 0.0342, 0)</f>
        <v>63.880499999999998</v>
      </c>
      <c r="I961" s="14">
        <f>63.8479 * CHOOSE(CONTROL!$C$15, $E$9, 100%, $G$9) + CHOOSE(CONTROL!$C$38, 0.0342, 0)</f>
        <v>63.882100000000001</v>
      </c>
      <c r="J961" s="43">
        <f>667.3044</f>
        <v>667.30439999999999</v>
      </c>
    </row>
    <row r="962" spans="1:10" ht="15.75" x14ac:dyDescent="0.25">
      <c r="A962" s="31">
        <v>70219</v>
      </c>
      <c r="B962" s="14">
        <f>71.0062 * CHOOSE(CONTROL!$C$15, $E$9, 100%, $G$9) + CHOOSE(CONTROL!$C$38, 0.0251, 0)</f>
        <v>71.031300000000002</v>
      </c>
      <c r="C962" s="14">
        <f>67.1888 * CHOOSE(CONTROL!$C$15, $E$9, 100%, $G$9) + CHOOSE(CONTROL!$C$38, 0.0342, 0)</f>
        <v>67.222999999999999</v>
      </c>
      <c r="D962" s="14">
        <f>67.1809 * CHOOSE(CONTROL!$C$15, $E$9, 100%, $G$9) + CHOOSE(CONTROL!$C$38, 0.0342, 0)</f>
        <v>67.215099999999993</v>
      </c>
      <c r="E962" s="45">
        <f>70.8499 * CHOOSE(CONTROL!$C$15, $E$9, 100%, $G$9) + CHOOSE(CONTROL!$C$38, 0.0342, 0)</f>
        <v>70.884100000000004</v>
      </c>
      <c r="F962" s="44">
        <f>70.8499 * CHOOSE(CONTROL!$C$15, $E$9, 100%, $G$9) + CHOOSE(CONTROL!$C$38, 0.0251, 0)</f>
        <v>70.875</v>
      </c>
      <c r="G962" s="14">
        <f>67.1872 * CHOOSE(CONTROL!$C$15, $E$9, 100%, $G$9) + CHOOSE(CONTROL!$C$38, 0.0342, 0)</f>
        <v>67.221400000000003</v>
      </c>
      <c r="H962" s="14">
        <f>67.1872 * CHOOSE(CONTROL!$C$15, $E$9, 100%, $G$9) + CHOOSE(CONTROL!$C$38, 0.0342, 0)</f>
        <v>67.221400000000003</v>
      </c>
      <c r="I962" s="14">
        <f>67.1888 * CHOOSE(CONTROL!$C$15, $E$9, 100%, $G$9) + CHOOSE(CONTROL!$C$38, 0.0342, 0)</f>
        <v>67.222999999999999</v>
      </c>
      <c r="J962" s="43">
        <f>702.4752</f>
        <v>702.47519999999997</v>
      </c>
    </row>
    <row r="963" spans="1:10" ht="15.75" x14ac:dyDescent="0.25">
      <c r="A963" s="31">
        <v>70249</v>
      </c>
      <c r="B963" s="14">
        <f>75.5761 * CHOOSE(CONTROL!$C$15, $E$9, 100%, $G$9) + CHOOSE(CONTROL!$C$38, 0.0251, 0)</f>
        <v>75.601199999999992</v>
      </c>
      <c r="C963" s="14">
        <f>71.521 * CHOOSE(CONTROL!$C$15, $E$9, 100%, $G$9) + CHOOSE(CONTROL!$C$38, 0.0342, 0)</f>
        <v>71.555199999999999</v>
      </c>
      <c r="D963" s="14">
        <f>71.5132 * CHOOSE(CONTROL!$C$15, $E$9, 100%, $G$9) + CHOOSE(CONTROL!$C$38, 0.0342, 0)</f>
        <v>71.547399999999996</v>
      </c>
      <c r="E963" s="45">
        <f>75.4199 * CHOOSE(CONTROL!$C$15, $E$9, 100%, $G$9) + CHOOSE(CONTROL!$C$38, 0.0342, 0)</f>
        <v>75.454099999999997</v>
      </c>
      <c r="F963" s="44">
        <f>75.4199 * CHOOSE(CONTROL!$C$15, $E$9, 100%, $G$9) + CHOOSE(CONTROL!$C$38, 0.0251, 0)</f>
        <v>75.444999999999993</v>
      </c>
      <c r="G963" s="14">
        <f>71.5195 * CHOOSE(CONTROL!$C$15, $E$9, 100%, $G$9) + CHOOSE(CONTROL!$C$38, 0.0342, 0)</f>
        <v>71.553699999999992</v>
      </c>
      <c r="H963" s="14">
        <f>71.5195 * CHOOSE(CONTROL!$C$15, $E$9, 100%, $G$9) + CHOOSE(CONTROL!$C$38, 0.0342, 0)</f>
        <v>71.553699999999992</v>
      </c>
      <c r="I963" s="14">
        <f>71.521 * CHOOSE(CONTROL!$C$15, $E$9, 100%, $G$9) + CHOOSE(CONTROL!$C$38, 0.0342, 0)</f>
        <v>71.555199999999999</v>
      </c>
      <c r="J963" s="43">
        <f>748.0833</f>
        <v>748.08330000000001</v>
      </c>
    </row>
    <row r="964" spans="1:10" ht="15.75" x14ac:dyDescent="0.25">
      <c r="A964" s="31">
        <v>70280</v>
      </c>
      <c r="B964" s="14">
        <f>78.0916 * CHOOSE(CONTROL!$C$15, $E$9, 100%, $G$9) + CHOOSE(CONTROL!$C$38, 0.0264, 0)</f>
        <v>78.117999999999995</v>
      </c>
      <c r="C964" s="14">
        <f>73.9057 * CHOOSE(CONTROL!$C$15, $E$9, 100%, $G$9) + CHOOSE(CONTROL!$C$38, 0.0354, 0)</f>
        <v>73.941099999999992</v>
      </c>
      <c r="D964" s="14">
        <f>73.8979 * CHOOSE(CONTROL!$C$15, $E$9, 100%, $G$9) + CHOOSE(CONTROL!$C$38, 0.0354, 0)</f>
        <v>73.933300000000003</v>
      </c>
      <c r="E964" s="45">
        <f>77.9354 * CHOOSE(CONTROL!$C$15, $E$9, 100%, $G$9) + CHOOSE(CONTROL!$C$38, 0.0354, 0)</f>
        <v>77.970799999999997</v>
      </c>
      <c r="F964" s="44">
        <f>77.9354 * CHOOSE(CONTROL!$C$15, $E$9, 100%, $G$9) + CHOOSE(CONTROL!$C$38, 0.0264, 0)</f>
        <v>77.961799999999997</v>
      </c>
      <c r="G964" s="14">
        <f>73.9041 * CHOOSE(CONTROL!$C$15, $E$9, 100%, $G$9) + CHOOSE(CONTROL!$C$38, 0.0354, 0)</f>
        <v>73.939499999999995</v>
      </c>
      <c r="H964" s="14">
        <f>73.9041 * CHOOSE(CONTROL!$C$15, $E$9, 100%, $G$9) + CHOOSE(CONTROL!$C$38, 0.0354, 0)</f>
        <v>73.939499999999995</v>
      </c>
      <c r="I964" s="14">
        <f>73.9057 * CHOOSE(CONTROL!$C$15, $E$9, 100%, $G$9) + CHOOSE(CONTROL!$C$38, 0.0354, 0)</f>
        <v>73.941099999999992</v>
      </c>
      <c r="J964" s="43">
        <f>773.1875</f>
        <v>773.1875</v>
      </c>
    </row>
    <row r="965" spans="1:10" ht="15.75" x14ac:dyDescent="0.25">
      <c r="A965" s="31">
        <v>70310</v>
      </c>
      <c r="B965" s="14">
        <f>79.2079 * CHOOSE(CONTROL!$C$15, $E$9, 100%, $G$9) + CHOOSE(CONTROL!$C$38, 0.0264, 0)</f>
        <v>79.23429999999999</v>
      </c>
      <c r="C965" s="14">
        <f>74.9639 * CHOOSE(CONTROL!$C$15, $E$9, 100%, $G$9) + CHOOSE(CONTROL!$C$38, 0.0354, 0)</f>
        <v>74.999299999999991</v>
      </c>
      <c r="D965" s="14">
        <f>74.9561 * CHOOSE(CONTROL!$C$15, $E$9, 100%, $G$9) + CHOOSE(CONTROL!$C$38, 0.0354, 0)</f>
        <v>74.991500000000002</v>
      </c>
      <c r="E965" s="45">
        <f>79.0517 * CHOOSE(CONTROL!$C$15, $E$9, 100%, $G$9) + CHOOSE(CONTROL!$C$38, 0.0354, 0)</f>
        <v>79.087099999999992</v>
      </c>
      <c r="F965" s="44">
        <f>79.0517 * CHOOSE(CONTROL!$C$15, $E$9, 100%, $G$9) + CHOOSE(CONTROL!$C$38, 0.0264, 0)</f>
        <v>79.078099999999992</v>
      </c>
      <c r="G965" s="14">
        <f>74.9624 * CHOOSE(CONTROL!$C$15, $E$9, 100%, $G$9) + CHOOSE(CONTROL!$C$38, 0.0354, 0)</f>
        <v>74.997799999999998</v>
      </c>
      <c r="H965" s="14">
        <f>74.9624 * CHOOSE(CONTROL!$C$15, $E$9, 100%, $G$9) + CHOOSE(CONTROL!$C$38, 0.0354, 0)</f>
        <v>74.997799999999998</v>
      </c>
      <c r="I965" s="14">
        <f>74.9639 * CHOOSE(CONTROL!$C$15, $E$9, 100%, $G$9) + CHOOSE(CONTROL!$C$38, 0.0354, 0)</f>
        <v>74.999299999999991</v>
      </c>
      <c r="J965" s="43">
        <f>784.3283</f>
        <v>784.32830000000001</v>
      </c>
    </row>
    <row r="966" spans="1:10" ht="15.75" x14ac:dyDescent="0.25">
      <c r="A966" s="31">
        <v>70341</v>
      </c>
      <c r="B966" s="14">
        <f>78.8404 * CHOOSE(CONTROL!$C$15, $E$9, 100%, $G$9) + CHOOSE(CONTROL!$C$38, 0.0264, 0)</f>
        <v>78.866799999999998</v>
      </c>
      <c r="C966" s="14">
        <f>74.6155 * CHOOSE(CONTROL!$C$15, $E$9, 100%, $G$9) + CHOOSE(CONTROL!$C$38, 0.0354, 0)</f>
        <v>74.650899999999993</v>
      </c>
      <c r="D966" s="14">
        <f>74.6077 * CHOOSE(CONTROL!$C$15, $E$9, 100%, $G$9) + CHOOSE(CONTROL!$C$38, 0.0354, 0)</f>
        <v>74.64309999999999</v>
      </c>
      <c r="E966" s="45">
        <f>78.6841 * CHOOSE(CONTROL!$C$15, $E$9, 100%, $G$9) + CHOOSE(CONTROL!$C$38, 0.0354, 0)</f>
        <v>78.719499999999996</v>
      </c>
      <c r="F966" s="44">
        <f>78.6841 * CHOOSE(CONTROL!$C$15, $E$9, 100%, $G$9) + CHOOSE(CONTROL!$C$38, 0.0264, 0)</f>
        <v>78.710499999999996</v>
      </c>
      <c r="G966" s="14">
        <f>74.614 * CHOOSE(CONTROL!$C$15, $E$9, 100%, $G$9) + CHOOSE(CONTROL!$C$38, 0.0354, 0)</f>
        <v>74.6494</v>
      </c>
      <c r="H966" s="14">
        <f>74.614 * CHOOSE(CONTROL!$C$15, $E$9, 100%, $G$9) + CHOOSE(CONTROL!$C$38, 0.0354, 0)</f>
        <v>74.6494</v>
      </c>
      <c r="I966" s="14">
        <f>74.6155 * CHOOSE(CONTROL!$C$15, $E$9, 100%, $G$9) + CHOOSE(CONTROL!$C$38, 0.0354, 0)</f>
        <v>74.650899999999993</v>
      </c>
      <c r="J966" s="43">
        <f>780.6603</f>
        <v>780.66030000000001</v>
      </c>
    </row>
    <row r="967" spans="1:10" ht="15.75" x14ac:dyDescent="0.25">
      <c r="A967" s="31">
        <v>70372</v>
      </c>
      <c r="B967" s="14">
        <f>77.0194 * CHOOSE(CONTROL!$C$15, $E$9, 100%, $G$9) + CHOOSE(CONTROL!$C$38, 0.0264, 0)</f>
        <v>77.0458</v>
      </c>
      <c r="C967" s="14">
        <f>72.8892 * CHOOSE(CONTROL!$C$15, $E$9, 100%, $G$9) + CHOOSE(CONTROL!$C$38, 0.0354, 0)</f>
        <v>72.924599999999998</v>
      </c>
      <c r="D967" s="14">
        <f>72.8814 * CHOOSE(CONTROL!$C$15, $E$9, 100%, $G$9) + CHOOSE(CONTROL!$C$38, 0.0354, 0)</f>
        <v>72.916799999999995</v>
      </c>
      <c r="E967" s="45">
        <f>76.8631 * CHOOSE(CONTROL!$C$15, $E$9, 100%, $G$9) + CHOOSE(CONTROL!$C$38, 0.0354, 0)</f>
        <v>76.898499999999999</v>
      </c>
      <c r="F967" s="44">
        <f>76.8631 * CHOOSE(CONTROL!$C$15, $E$9, 100%, $G$9) + CHOOSE(CONTROL!$C$38, 0.0264, 0)</f>
        <v>76.889499999999998</v>
      </c>
      <c r="G967" s="14">
        <f>72.8877 * CHOOSE(CONTROL!$C$15, $E$9, 100%, $G$9) + CHOOSE(CONTROL!$C$38, 0.0354, 0)</f>
        <v>72.923099999999991</v>
      </c>
      <c r="H967" s="14">
        <f>72.8877 * CHOOSE(CONTROL!$C$15, $E$9, 100%, $G$9) + CHOOSE(CONTROL!$C$38, 0.0354, 0)</f>
        <v>72.923099999999991</v>
      </c>
      <c r="I967" s="14">
        <f>72.8892 * CHOOSE(CONTROL!$C$15, $E$9, 100%, $G$9) + CHOOSE(CONTROL!$C$38, 0.0354, 0)</f>
        <v>72.924599999999998</v>
      </c>
      <c r="J967" s="43">
        <f>762.4868</f>
        <v>762.48680000000002</v>
      </c>
    </row>
    <row r="968" spans="1:10" ht="15.75" x14ac:dyDescent="0.25">
      <c r="A968" s="31">
        <v>70402</v>
      </c>
      <c r="B968" s="14">
        <f>74.4799 * CHOOSE(CONTROL!$C$15, $E$9, 100%, $G$9) + CHOOSE(CONTROL!$C$38, 0.0264, 0)</f>
        <v>74.506299999999996</v>
      </c>
      <c r="C968" s="14">
        <f>70.4818 * CHOOSE(CONTROL!$C$15, $E$9, 100%, $G$9) + CHOOSE(CONTROL!$C$38, 0.0354, 0)</f>
        <v>70.517200000000003</v>
      </c>
      <c r="D968" s="14">
        <f>70.474 * CHOOSE(CONTROL!$C$15, $E$9, 100%, $G$9) + CHOOSE(CONTROL!$C$38, 0.0354, 0)</f>
        <v>70.509399999999999</v>
      </c>
      <c r="E968" s="45">
        <f>74.3237 * CHOOSE(CONTROL!$C$15, $E$9, 100%, $G$9) + CHOOSE(CONTROL!$C$38, 0.0354, 0)</f>
        <v>74.359099999999998</v>
      </c>
      <c r="F968" s="44">
        <f>74.3237 * CHOOSE(CONTROL!$C$15, $E$9, 100%, $G$9) + CHOOSE(CONTROL!$C$38, 0.0264, 0)</f>
        <v>74.350099999999998</v>
      </c>
      <c r="G968" s="14">
        <f>70.4803 * CHOOSE(CONTROL!$C$15, $E$9, 100%, $G$9) + CHOOSE(CONTROL!$C$38, 0.0354, 0)</f>
        <v>70.515699999999995</v>
      </c>
      <c r="H968" s="14">
        <f>70.4803 * CHOOSE(CONTROL!$C$15, $E$9, 100%, $G$9) + CHOOSE(CONTROL!$C$38, 0.0354, 0)</f>
        <v>70.515699999999995</v>
      </c>
      <c r="I968" s="14">
        <f>70.4818 * CHOOSE(CONTROL!$C$15, $E$9, 100%, $G$9) + CHOOSE(CONTROL!$C$38, 0.0354, 0)</f>
        <v>70.517200000000003</v>
      </c>
      <c r="J968" s="43">
        <f>737.1431</f>
        <v>737.1431</v>
      </c>
    </row>
    <row r="969" spans="1:10" ht="15.75" x14ac:dyDescent="0.25">
      <c r="A969" s="31">
        <v>70433</v>
      </c>
      <c r="B969" s="14">
        <f>71.9257 * CHOOSE(CONTROL!$C$15, $E$9, 100%, $G$9) + CHOOSE(CONTROL!$C$38, 0.0251, 0)</f>
        <v>71.950800000000001</v>
      </c>
      <c r="C969" s="14">
        <f>68.0604 * CHOOSE(CONTROL!$C$15, $E$9, 100%, $G$9) + CHOOSE(CONTROL!$C$38, 0.0342, 0)</f>
        <v>68.0946</v>
      </c>
      <c r="D969" s="14">
        <f>68.0526 * CHOOSE(CONTROL!$C$15, $E$9, 100%, $G$9) + CHOOSE(CONTROL!$C$38, 0.0342, 0)</f>
        <v>68.086799999999997</v>
      </c>
      <c r="E969" s="45">
        <f>71.7694 * CHOOSE(CONTROL!$C$15, $E$9, 100%, $G$9) + CHOOSE(CONTROL!$C$38, 0.0342, 0)</f>
        <v>71.803600000000003</v>
      </c>
      <c r="F969" s="44">
        <f>71.7694 * CHOOSE(CONTROL!$C$15, $E$9, 100%, $G$9) + CHOOSE(CONTROL!$C$38, 0.0251, 0)</f>
        <v>71.794499999999999</v>
      </c>
      <c r="G969" s="14">
        <f>68.0589 * CHOOSE(CONTROL!$C$15, $E$9, 100%, $G$9) + CHOOSE(CONTROL!$C$38, 0.0342, 0)</f>
        <v>68.093099999999993</v>
      </c>
      <c r="H969" s="14">
        <f>68.0589 * CHOOSE(CONTROL!$C$15, $E$9, 100%, $G$9) + CHOOSE(CONTROL!$C$38, 0.0342, 0)</f>
        <v>68.093099999999993</v>
      </c>
      <c r="I969" s="14">
        <f>68.0604 * CHOOSE(CONTROL!$C$15, $E$9, 100%, $G$9) + CHOOSE(CONTROL!$C$38, 0.0342, 0)</f>
        <v>68.0946</v>
      </c>
      <c r="J969" s="43">
        <f>711.6519</f>
        <v>711.65189999999996</v>
      </c>
    </row>
    <row r="970" spans="1:10" ht="15.75" x14ac:dyDescent="0.25">
      <c r="A970" s="31">
        <v>70463</v>
      </c>
      <c r="B970" s="14">
        <f>71.4176 * CHOOSE(CONTROL!$C$15, $E$9, 100%, $G$9) + CHOOSE(CONTROL!$C$38, 0.0251, 0)</f>
        <v>71.442699999999988</v>
      </c>
      <c r="C970" s="14">
        <f>67.5788 * CHOOSE(CONTROL!$C$15, $E$9, 100%, $G$9) + CHOOSE(CONTROL!$C$38, 0.0342, 0)</f>
        <v>67.613</v>
      </c>
      <c r="D970" s="14">
        <f>67.571 * CHOOSE(CONTROL!$C$15, $E$9, 100%, $G$9) + CHOOSE(CONTROL!$C$38, 0.0342, 0)</f>
        <v>67.605199999999996</v>
      </c>
      <c r="E970" s="45">
        <f>71.2613 * CHOOSE(CONTROL!$C$15, $E$9, 100%, $G$9) + CHOOSE(CONTROL!$C$38, 0.0342, 0)</f>
        <v>71.295500000000004</v>
      </c>
      <c r="F970" s="44">
        <f>71.2613 * CHOOSE(CONTROL!$C$15, $E$9, 100%, $G$9) + CHOOSE(CONTROL!$C$38, 0.0251, 0)</f>
        <v>71.2864</v>
      </c>
      <c r="G970" s="14">
        <f>67.5772 * CHOOSE(CONTROL!$C$15, $E$9, 100%, $G$9) + CHOOSE(CONTROL!$C$38, 0.0342, 0)</f>
        <v>67.611400000000003</v>
      </c>
      <c r="H970" s="14">
        <f>67.5772 * CHOOSE(CONTROL!$C$15, $E$9, 100%, $G$9) + CHOOSE(CONTROL!$C$38, 0.0342, 0)</f>
        <v>67.611400000000003</v>
      </c>
      <c r="I970" s="14">
        <f>67.5788 * CHOOSE(CONTROL!$C$15, $E$9, 100%, $G$9) + CHOOSE(CONTROL!$C$38, 0.0342, 0)</f>
        <v>67.613</v>
      </c>
      <c r="J970" s="43">
        <f>706.5812</f>
        <v>706.58119999999997</v>
      </c>
    </row>
    <row r="971" spans="1:10" ht="15.75" x14ac:dyDescent="0.25">
      <c r="A971" s="31">
        <v>70494</v>
      </c>
      <c r="B971" s="14">
        <f>69.3166 * CHOOSE(CONTROL!$C$15, $E$9, 100%, $G$9) + CHOOSE(CONTROL!$C$38, 0.0251, 0)</f>
        <v>69.341699999999989</v>
      </c>
      <c r="C971" s="14">
        <f>65.5871 * CHOOSE(CONTROL!$C$15, $E$9, 100%, $G$9) + CHOOSE(CONTROL!$C$38, 0.0342, 0)</f>
        <v>65.621300000000005</v>
      </c>
      <c r="D971" s="14">
        <f>65.5792 * CHOOSE(CONTROL!$C$15, $E$9, 100%, $G$9) + CHOOSE(CONTROL!$C$38, 0.0342, 0)</f>
        <v>65.613399999999999</v>
      </c>
      <c r="E971" s="45">
        <f>69.1603 * CHOOSE(CONTROL!$C$15, $E$9, 100%, $G$9) + CHOOSE(CONTROL!$C$38, 0.0342, 0)</f>
        <v>69.194500000000005</v>
      </c>
      <c r="F971" s="44">
        <f>69.1603 * CHOOSE(CONTROL!$C$15, $E$9, 100%, $G$9) + CHOOSE(CONTROL!$C$38, 0.0251, 0)</f>
        <v>69.185400000000001</v>
      </c>
      <c r="G971" s="14">
        <f>65.5855 * CHOOSE(CONTROL!$C$15, $E$9, 100%, $G$9) + CHOOSE(CONTROL!$C$38, 0.0342, 0)</f>
        <v>65.619699999999995</v>
      </c>
      <c r="H971" s="14">
        <f>65.5855 * CHOOSE(CONTROL!$C$15, $E$9, 100%, $G$9) + CHOOSE(CONTROL!$C$38, 0.0342, 0)</f>
        <v>65.619699999999995</v>
      </c>
      <c r="I971" s="14">
        <f>65.5871 * CHOOSE(CONTROL!$C$15, $E$9, 100%, $G$9) + CHOOSE(CONTROL!$C$38, 0.0342, 0)</f>
        <v>65.621300000000005</v>
      </c>
      <c r="J971" s="43">
        <f>685.6134</f>
        <v>685.61339999999996</v>
      </c>
    </row>
    <row r="972" spans="1:10" ht="15.75" x14ac:dyDescent="0.25">
      <c r="A972" s="31">
        <v>70525</v>
      </c>
      <c r="B972" s="14">
        <f>68.7948 * CHOOSE(CONTROL!$C$15, $E$9, 100%, $G$9) + CHOOSE(CONTROL!$C$38, 0.0251, 0)</f>
        <v>68.81989999999999</v>
      </c>
      <c r="C972" s="14">
        <f>65.0924 * CHOOSE(CONTROL!$C$15, $E$9, 100%, $G$9) + CHOOSE(CONTROL!$C$38, 0.0342, 0)</f>
        <v>65.126599999999996</v>
      </c>
      <c r="D972" s="14">
        <f>65.0846 * CHOOSE(CONTROL!$C$15, $E$9, 100%, $G$9) + CHOOSE(CONTROL!$C$38, 0.0342, 0)</f>
        <v>65.118799999999993</v>
      </c>
      <c r="E972" s="45">
        <f>68.6386 * CHOOSE(CONTROL!$C$15, $E$9, 100%, $G$9) + CHOOSE(CONTROL!$C$38, 0.0342, 0)</f>
        <v>68.672799999999995</v>
      </c>
      <c r="F972" s="44">
        <f>68.6386 * CHOOSE(CONTROL!$C$15, $E$9, 100%, $G$9) + CHOOSE(CONTROL!$C$38, 0.0251, 0)</f>
        <v>68.663699999999992</v>
      </c>
      <c r="G972" s="14">
        <f>65.0909 * CHOOSE(CONTROL!$C$15, $E$9, 100%, $G$9) + CHOOSE(CONTROL!$C$38, 0.0342, 0)</f>
        <v>65.125100000000003</v>
      </c>
      <c r="H972" s="14">
        <f>65.0909 * CHOOSE(CONTROL!$C$15, $E$9, 100%, $G$9) + CHOOSE(CONTROL!$C$38, 0.0342, 0)</f>
        <v>65.125100000000003</v>
      </c>
      <c r="I972" s="14">
        <f>65.0924 * CHOOSE(CONTROL!$C$15, $E$9, 100%, $G$9) + CHOOSE(CONTROL!$C$38, 0.0342, 0)</f>
        <v>65.126599999999996</v>
      </c>
      <c r="J972" s="43">
        <f>685.1184</f>
        <v>685.11839999999995</v>
      </c>
    </row>
    <row r="973" spans="1:10" ht="15.75" x14ac:dyDescent="0.25">
      <c r="A973" s="31">
        <v>70553</v>
      </c>
      <c r="B973" s="14">
        <f>68.6053 * CHOOSE(CONTROL!$C$15, $E$9, 100%, $G$9) + CHOOSE(CONTROL!$C$38, 0.0251, 0)</f>
        <v>68.630399999999995</v>
      </c>
      <c r="C973" s="14">
        <f>64.9128 * CHOOSE(CONTROL!$C$15, $E$9, 100%, $G$9) + CHOOSE(CONTROL!$C$38, 0.0342, 0)</f>
        <v>64.947000000000003</v>
      </c>
      <c r="D973" s="14">
        <f>64.905 * CHOOSE(CONTROL!$C$15, $E$9, 100%, $G$9) + CHOOSE(CONTROL!$C$38, 0.0342, 0)</f>
        <v>64.9392</v>
      </c>
      <c r="E973" s="45">
        <f>68.4491 * CHOOSE(CONTROL!$C$15, $E$9, 100%, $G$9) + CHOOSE(CONTROL!$C$38, 0.0342, 0)</f>
        <v>68.4833</v>
      </c>
      <c r="F973" s="44">
        <f>68.4491 * CHOOSE(CONTROL!$C$15, $E$9, 100%, $G$9) + CHOOSE(CONTROL!$C$38, 0.0251, 0)</f>
        <v>68.474199999999996</v>
      </c>
      <c r="G973" s="14">
        <f>64.9112 * CHOOSE(CONTROL!$C$15, $E$9, 100%, $G$9) + CHOOSE(CONTROL!$C$38, 0.0342, 0)</f>
        <v>64.945399999999992</v>
      </c>
      <c r="H973" s="14">
        <f>64.9112 * CHOOSE(CONTROL!$C$15, $E$9, 100%, $G$9) + CHOOSE(CONTROL!$C$38, 0.0342, 0)</f>
        <v>64.945399999999992</v>
      </c>
      <c r="I973" s="14">
        <f>64.9128 * CHOOSE(CONTROL!$C$15, $E$9, 100%, $G$9) + CHOOSE(CONTROL!$C$38, 0.0342, 0)</f>
        <v>64.947000000000003</v>
      </c>
      <c r="J973" s="43">
        <f>683.214</f>
        <v>683.21400000000006</v>
      </c>
    </row>
    <row r="974" spans="1:10" ht="15.75" x14ac:dyDescent="0.25">
      <c r="A974" s="31">
        <v>70584</v>
      </c>
      <c r="B974" s="14">
        <f>72.1887 * CHOOSE(CONTROL!$C$15, $E$9, 100%, $G$9) + CHOOSE(CONTROL!$C$38, 0.0251, 0)</f>
        <v>72.213799999999992</v>
      </c>
      <c r="C974" s="14">
        <f>68.3098 * CHOOSE(CONTROL!$C$15, $E$9, 100%, $G$9) + CHOOSE(CONTROL!$C$38, 0.0342, 0)</f>
        <v>68.343999999999994</v>
      </c>
      <c r="D974" s="14">
        <f>68.302 * CHOOSE(CONTROL!$C$15, $E$9, 100%, $G$9) + CHOOSE(CONTROL!$C$38, 0.0342, 0)</f>
        <v>68.336200000000005</v>
      </c>
      <c r="E974" s="45">
        <f>72.0324 * CHOOSE(CONTROL!$C$15, $E$9, 100%, $G$9) + CHOOSE(CONTROL!$C$38, 0.0342, 0)</f>
        <v>72.066599999999994</v>
      </c>
      <c r="F974" s="44">
        <f>72.0324 * CHOOSE(CONTROL!$C$15, $E$9, 100%, $G$9) + CHOOSE(CONTROL!$C$38, 0.0251, 0)</f>
        <v>72.05749999999999</v>
      </c>
      <c r="G974" s="14">
        <f>68.3082 * CHOOSE(CONTROL!$C$15, $E$9, 100%, $G$9) + CHOOSE(CONTROL!$C$38, 0.0342, 0)</f>
        <v>68.342399999999998</v>
      </c>
      <c r="H974" s="14">
        <f>68.3082 * CHOOSE(CONTROL!$C$15, $E$9, 100%, $G$9) + CHOOSE(CONTROL!$C$38, 0.0342, 0)</f>
        <v>68.342399999999998</v>
      </c>
      <c r="I974" s="14">
        <f>68.3098 * CHOOSE(CONTROL!$C$15, $E$9, 100%, $G$9) + CHOOSE(CONTROL!$C$38, 0.0342, 0)</f>
        <v>68.343999999999994</v>
      </c>
      <c r="J974" s="43">
        <f>719.2233</f>
        <v>719.22329999999999</v>
      </c>
    </row>
    <row r="975" spans="1:10" ht="15.75" x14ac:dyDescent="0.25">
      <c r="A975" s="31">
        <v>70614</v>
      </c>
      <c r="B975" s="14">
        <f>76.8354 * CHOOSE(CONTROL!$C$15, $E$9, 100%, $G$9) + CHOOSE(CONTROL!$C$38, 0.0251, 0)</f>
        <v>76.860500000000002</v>
      </c>
      <c r="C975" s="14">
        <f>72.7148 * CHOOSE(CONTROL!$C$15, $E$9, 100%, $G$9) + CHOOSE(CONTROL!$C$38, 0.0342, 0)</f>
        <v>72.748999999999995</v>
      </c>
      <c r="D975" s="14">
        <f>72.707 * CHOOSE(CONTROL!$C$15, $E$9, 100%, $G$9) + CHOOSE(CONTROL!$C$38, 0.0342, 0)</f>
        <v>72.741199999999992</v>
      </c>
      <c r="E975" s="45">
        <f>76.6792 * CHOOSE(CONTROL!$C$15, $E$9, 100%, $G$9) + CHOOSE(CONTROL!$C$38, 0.0342, 0)</f>
        <v>76.713399999999993</v>
      </c>
      <c r="F975" s="44">
        <f>76.6792 * CHOOSE(CONTROL!$C$15, $E$9, 100%, $G$9) + CHOOSE(CONTROL!$C$38, 0.0251, 0)</f>
        <v>76.704299999999989</v>
      </c>
      <c r="G975" s="14">
        <f>72.7133 * CHOOSE(CONTROL!$C$15, $E$9, 100%, $G$9) + CHOOSE(CONTROL!$C$38, 0.0342, 0)</f>
        <v>72.747500000000002</v>
      </c>
      <c r="H975" s="14">
        <f>72.7133 * CHOOSE(CONTROL!$C$15, $E$9, 100%, $G$9) + CHOOSE(CONTROL!$C$38, 0.0342, 0)</f>
        <v>72.747500000000002</v>
      </c>
      <c r="I975" s="14">
        <f>72.7148 * CHOOSE(CONTROL!$C$15, $E$9, 100%, $G$9) + CHOOSE(CONTROL!$C$38, 0.0342, 0)</f>
        <v>72.748999999999995</v>
      </c>
      <c r="J975" s="43">
        <f>765.9188</f>
        <v>765.91880000000003</v>
      </c>
    </row>
    <row r="976" spans="1:10" ht="15.75" x14ac:dyDescent="0.25">
      <c r="A976" s="31">
        <v>70645</v>
      </c>
      <c r="B976" s="14">
        <f>79.3932 * CHOOSE(CONTROL!$C$15, $E$9, 100%, $G$9) + CHOOSE(CONTROL!$C$38, 0.0264, 0)</f>
        <v>79.419599999999988</v>
      </c>
      <c r="C976" s="14">
        <f>75.1395 * CHOOSE(CONTROL!$C$15, $E$9, 100%, $G$9) + CHOOSE(CONTROL!$C$38, 0.0354, 0)</f>
        <v>75.174899999999994</v>
      </c>
      <c r="D976" s="14">
        <f>75.1317 * CHOOSE(CONTROL!$C$15, $E$9, 100%, $G$9) + CHOOSE(CONTROL!$C$38, 0.0354, 0)</f>
        <v>75.167099999999991</v>
      </c>
      <c r="E976" s="45">
        <f>79.2369 * CHOOSE(CONTROL!$C$15, $E$9, 100%, $G$9) + CHOOSE(CONTROL!$C$38, 0.0354, 0)</f>
        <v>79.272300000000001</v>
      </c>
      <c r="F976" s="44">
        <f>79.2369 * CHOOSE(CONTROL!$C$15, $E$9, 100%, $G$9) + CHOOSE(CONTROL!$C$38, 0.0264, 0)</f>
        <v>79.263300000000001</v>
      </c>
      <c r="G976" s="14">
        <f>75.138 * CHOOSE(CONTROL!$C$15, $E$9, 100%, $G$9) + CHOOSE(CONTROL!$C$38, 0.0354, 0)</f>
        <v>75.173400000000001</v>
      </c>
      <c r="H976" s="14">
        <f>75.138 * CHOOSE(CONTROL!$C$15, $E$9, 100%, $G$9) + CHOOSE(CONTROL!$C$38, 0.0354, 0)</f>
        <v>75.173400000000001</v>
      </c>
      <c r="I976" s="14">
        <f>75.1395 * CHOOSE(CONTROL!$C$15, $E$9, 100%, $G$9) + CHOOSE(CONTROL!$C$38, 0.0354, 0)</f>
        <v>75.174899999999994</v>
      </c>
      <c r="J976" s="43">
        <f>791.6215</f>
        <v>791.62149999999997</v>
      </c>
    </row>
    <row r="977" spans="1:10" ht="15.75" x14ac:dyDescent="0.25">
      <c r="A977" s="31">
        <v>70675</v>
      </c>
      <c r="B977" s="14">
        <f>80.5283 * CHOOSE(CONTROL!$C$15, $E$9, 100%, $G$9) + CHOOSE(CONTROL!$C$38, 0.0264, 0)</f>
        <v>80.554699999999997</v>
      </c>
      <c r="C977" s="14">
        <f>76.2156 * CHOOSE(CONTROL!$C$15, $E$9, 100%, $G$9) + CHOOSE(CONTROL!$C$38, 0.0354, 0)</f>
        <v>76.250999999999991</v>
      </c>
      <c r="D977" s="14">
        <f>76.2078 * CHOOSE(CONTROL!$C$15, $E$9, 100%, $G$9) + CHOOSE(CONTROL!$C$38, 0.0354, 0)</f>
        <v>76.243200000000002</v>
      </c>
      <c r="E977" s="45">
        <f>80.372 * CHOOSE(CONTROL!$C$15, $E$9, 100%, $G$9) + CHOOSE(CONTROL!$C$38, 0.0354, 0)</f>
        <v>80.407399999999996</v>
      </c>
      <c r="F977" s="44">
        <f>80.372 * CHOOSE(CONTROL!$C$15, $E$9, 100%, $G$9) + CHOOSE(CONTROL!$C$38, 0.0264, 0)</f>
        <v>80.398399999999995</v>
      </c>
      <c r="G977" s="14">
        <f>76.214 * CHOOSE(CONTROL!$C$15, $E$9, 100%, $G$9) + CHOOSE(CONTROL!$C$38, 0.0354, 0)</f>
        <v>76.249399999999994</v>
      </c>
      <c r="H977" s="14">
        <f>76.214 * CHOOSE(CONTROL!$C$15, $E$9, 100%, $G$9) + CHOOSE(CONTROL!$C$38, 0.0354, 0)</f>
        <v>76.249399999999994</v>
      </c>
      <c r="I977" s="14">
        <f>76.2156 * CHOOSE(CONTROL!$C$15, $E$9, 100%, $G$9) + CHOOSE(CONTROL!$C$38, 0.0354, 0)</f>
        <v>76.250999999999991</v>
      </c>
      <c r="J977" s="43">
        <f>803.0279</f>
        <v>803.02790000000005</v>
      </c>
    </row>
    <row r="978" spans="1:10" ht="15.75" x14ac:dyDescent="0.25">
      <c r="A978" s="31">
        <v>70706</v>
      </c>
      <c r="B978" s="14">
        <f>80.1545 * CHOOSE(CONTROL!$C$15, $E$9, 100%, $G$9) + CHOOSE(CONTROL!$C$38, 0.0264, 0)</f>
        <v>80.180899999999994</v>
      </c>
      <c r="C978" s="14">
        <f>75.8613 * CHOOSE(CONTROL!$C$15, $E$9, 100%, $G$9) + CHOOSE(CONTROL!$C$38, 0.0354, 0)</f>
        <v>75.896699999999996</v>
      </c>
      <c r="D978" s="14">
        <f>75.8535 * CHOOSE(CONTROL!$C$15, $E$9, 100%, $G$9) + CHOOSE(CONTROL!$C$38, 0.0354, 0)</f>
        <v>75.888899999999992</v>
      </c>
      <c r="E978" s="45">
        <f>79.9983 * CHOOSE(CONTROL!$C$15, $E$9, 100%, $G$9) + CHOOSE(CONTROL!$C$38, 0.0354, 0)</f>
        <v>80.033699999999996</v>
      </c>
      <c r="F978" s="44">
        <f>79.9983 * CHOOSE(CONTROL!$C$15, $E$9, 100%, $G$9) + CHOOSE(CONTROL!$C$38, 0.0264, 0)</f>
        <v>80.024699999999996</v>
      </c>
      <c r="G978" s="14">
        <f>75.8597 * CHOOSE(CONTROL!$C$15, $E$9, 100%, $G$9) + CHOOSE(CONTROL!$C$38, 0.0354, 0)</f>
        <v>75.895099999999999</v>
      </c>
      <c r="H978" s="14">
        <f>75.8597 * CHOOSE(CONTROL!$C$15, $E$9, 100%, $G$9) + CHOOSE(CONTROL!$C$38, 0.0354, 0)</f>
        <v>75.895099999999999</v>
      </c>
      <c r="I978" s="14">
        <f>75.8613 * CHOOSE(CONTROL!$C$15, $E$9, 100%, $G$9) + CHOOSE(CONTROL!$C$38, 0.0354, 0)</f>
        <v>75.896699999999996</v>
      </c>
      <c r="J978" s="43">
        <f>799.2724</f>
        <v>799.27239999999995</v>
      </c>
    </row>
    <row r="979" spans="1:10" ht="15.75" x14ac:dyDescent="0.25">
      <c r="A979" s="31">
        <v>70737</v>
      </c>
      <c r="B979" s="14">
        <f>78.3029 * CHOOSE(CONTROL!$C$15, $E$9, 100%, $G$9) + CHOOSE(CONTROL!$C$38, 0.0264, 0)</f>
        <v>78.329299999999989</v>
      </c>
      <c r="C979" s="14">
        <f>74.106 * CHOOSE(CONTROL!$C$15, $E$9, 100%, $G$9) + CHOOSE(CONTROL!$C$38, 0.0354, 0)</f>
        <v>74.14139999999999</v>
      </c>
      <c r="D979" s="14">
        <f>74.0982 * CHOOSE(CONTROL!$C$15, $E$9, 100%, $G$9) + CHOOSE(CONTROL!$C$38, 0.0354, 0)</f>
        <v>74.133600000000001</v>
      </c>
      <c r="E979" s="45">
        <f>78.1467 * CHOOSE(CONTROL!$C$15, $E$9, 100%, $G$9) + CHOOSE(CONTROL!$C$38, 0.0354, 0)</f>
        <v>78.182099999999991</v>
      </c>
      <c r="F979" s="44">
        <f>78.1467 * CHOOSE(CONTROL!$C$15, $E$9, 100%, $G$9) + CHOOSE(CONTROL!$C$38, 0.0264, 0)</f>
        <v>78.173099999999991</v>
      </c>
      <c r="G979" s="14">
        <f>74.1044 * CHOOSE(CONTROL!$C$15, $E$9, 100%, $G$9) + CHOOSE(CONTROL!$C$38, 0.0354, 0)</f>
        <v>74.139799999999994</v>
      </c>
      <c r="H979" s="14">
        <f>74.1044 * CHOOSE(CONTROL!$C$15, $E$9, 100%, $G$9) + CHOOSE(CONTROL!$C$38, 0.0354, 0)</f>
        <v>74.139799999999994</v>
      </c>
      <c r="I979" s="14">
        <f>74.106 * CHOOSE(CONTROL!$C$15, $E$9, 100%, $G$9) + CHOOSE(CONTROL!$C$38, 0.0354, 0)</f>
        <v>74.14139999999999</v>
      </c>
      <c r="J979" s="43">
        <f>780.6657</f>
        <v>780.66570000000002</v>
      </c>
    </row>
    <row r="980" spans="1:10" ht="15.75" x14ac:dyDescent="0.25">
      <c r="A980" s="31">
        <v>70767</v>
      </c>
      <c r="B980" s="14">
        <f>75.7208 * CHOOSE(CONTROL!$C$15, $E$9, 100%, $G$9) + CHOOSE(CONTROL!$C$38, 0.0264, 0)</f>
        <v>75.747199999999992</v>
      </c>
      <c r="C980" s="14">
        <f>71.6582 * CHOOSE(CONTROL!$C$15, $E$9, 100%, $G$9) + CHOOSE(CONTROL!$C$38, 0.0354, 0)</f>
        <v>71.693599999999989</v>
      </c>
      <c r="D980" s="14">
        <f>71.6504 * CHOOSE(CONTROL!$C$15, $E$9, 100%, $G$9) + CHOOSE(CONTROL!$C$38, 0.0354, 0)</f>
        <v>71.6858</v>
      </c>
      <c r="E980" s="45">
        <f>75.5645 * CHOOSE(CONTROL!$C$15, $E$9, 100%, $G$9) + CHOOSE(CONTROL!$C$38, 0.0354, 0)</f>
        <v>75.599899999999991</v>
      </c>
      <c r="F980" s="44">
        <f>75.5645 * CHOOSE(CONTROL!$C$15, $E$9, 100%, $G$9) + CHOOSE(CONTROL!$C$38, 0.0264, 0)</f>
        <v>75.590899999999991</v>
      </c>
      <c r="G980" s="14">
        <f>71.6566 * CHOOSE(CONTROL!$C$15, $E$9, 100%, $G$9) + CHOOSE(CONTROL!$C$38, 0.0354, 0)</f>
        <v>71.691999999999993</v>
      </c>
      <c r="H980" s="14">
        <f>71.6566 * CHOOSE(CONTROL!$C$15, $E$9, 100%, $G$9) + CHOOSE(CONTROL!$C$38, 0.0354, 0)</f>
        <v>71.691999999999993</v>
      </c>
      <c r="I980" s="14">
        <f>71.6582 * CHOOSE(CONTROL!$C$15, $E$9, 100%, $G$9) + CHOOSE(CONTROL!$C$38, 0.0354, 0)</f>
        <v>71.693599999999989</v>
      </c>
      <c r="J980" s="43">
        <f>754.7177</f>
        <v>754.71770000000004</v>
      </c>
    </row>
    <row r="981" spans="1:10" ht="15.75" x14ac:dyDescent="0.25">
      <c r="A981" s="31">
        <v>70798</v>
      </c>
      <c r="B981" s="14">
        <f>73.1236 * CHOOSE(CONTROL!$C$15, $E$9, 100%, $G$9) + CHOOSE(CONTROL!$C$38, 0.0251, 0)</f>
        <v>73.148699999999991</v>
      </c>
      <c r="C981" s="14">
        <f>69.1961 * CHOOSE(CONTROL!$C$15, $E$9, 100%, $G$9) + CHOOSE(CONTROL!$C$38, 0.0342, 0)</f>
        <v>69.2303</v>
      </c>
      <c r="D981" s="14">
        <f>69.1883 * CHOOSE(CONTROL!$C$15, $E$9, 100%, $G$9) + CHOOSE(CONTROL!$C$38, 0.0342, 0)</f>
        <v>69.222499999999997</v>
      </c>
      <c r="E981" s="45">
        <f>72.9674 * CHOOSE(CONTROL!$C$15, $E$9, 100%, $G$9) + CHOOSE(CONTROL!$C$38, 0.0342, 0)</f>
        <v>73.001599999999996</v>
      </c>
      <c r="F981" s="44">
        <f>72.9674 * CHOOSE(CONTROL!$C$15, $E$9, 100%, $G$9) + CHOOSE(CONTROL!$C$38, 0.0251, 0)</f>
        <v>72.992499999999993</v>
      </c>
      <c r="G981" s="14">
        <f>69.1945 * CHOOSE(CONTROL!$C$15, $E$9, 100%, $G$9) + CHOOSE(CONTROL!$C$38, 0.0342, 0)</f>
        <v>69.228700000000003</v>
      </c>
      <c r="H981" s="14">
        <f>69.1945 * CHOOSE(CONTROL!$C$15, $E$9, 100%, $G$9) + CHOOSE(CONTROL!$C$38, 0.0342, 0)</f>
        <v>69.228700000000003</v>
      </c>
      <c r="I981" s="14">
        <f>69.1961 * CHOOSE(CONTROL!$C$15, $E$9, 100%, $G$9) + CHOOSE(CONTROL!$C$38, 0.0342, 0)</f>
        <v>69.2303</v>
      </c>
      <c r="J981" s="43">
        <f>728.6188</f>
        <v>728.61879999999996</v>
      </c>
    </row>
    <row r="982" spans="1:10" ht="15.75" x14ac:dyDescent="0.25">
      <c r="A982" s="31">
        <v>70828</v>
      </c>
      <c r="B982" s="14">
        <f>72.607 * CHOOSE(CONTROL!$C$15, $E$9, 100%, $G$9) + CHOOSE(CONTROL!$C$38, 0.0251, 0)</f>
        <v>72.632099999999994</v>
      </c>
      <c r="C982" s="14">
        <f>68.7063 * CHOOSE(CONTROL!$C$15, $E$9, 100%, $G$9) + CHOOSE(CONTROL!$C$38, 0.0342, 0)</f>
        <v>68.740499999999997</v>
      </c>
      <c r="D982" s="14">
        <f>68.6985 * CHOOSE(CONTROL!$C$15, $E$9, 100%, $G$9) + CHOOSE(CONTROL!$C$38, 0.0342, 0)</f>
        <v>68.732699999999994</v>
      </c>
      <c r="E982" s="45">
        <f>72.4508 * CHOOSE(CONTROL!$C$15, $E$9, 100%, $G$9) + CHOOSE(CONTROL!$C$38, 0.0342, 0)</f>
        <v>72.484999999999999</v>
      </c>
      <c r="F982" s="44">
        <f>72.4508 * CHOOSE(CONTROL!$C$15, $E$9, 100%, $G$9) + CHOOSE(CONTROL!$C$38, 0.0251, 0)</f>
        <v>72.475899999999996</v>
      </c>
      <c r="G982" s="14">
        <f>68.7048 * CHOOSE(CONTROL!$C$15, $E$9, 100%, $G$9) + CHOOSE(CONTROL!$C$38, 0.0342, 0)</f>
        <v>68.739000000000004</v>
      </c>
      <c r="H982" s="14">
        <f>68.7048 * CHOOSE(CONTROL!$C$15, $E$9, 100%, $G$9) + CHOOSE(CONTROL!$C$38, 0.0342, 0)</f>
        <v>68.739000000000004</v>
      </c>
      <c r="I982" s="14">
        <f>68.7063 * CHOOSE(CONTROL!$C$15, $E$9, 100%, $G$9) + CHOOSE(CONTROL!$C$38, 0.0342, 0)</f>
        <v>68.740499999999997</v>
      </c>
      <c r="J982" s="43">
        <f>723.4272</f>
        <v>723.42719999999997</v>
      </c>
    </row>
    <row r="983" spans="1:10" ht="15.75" x14ac:dyDescent="0.25">
      <c r="A983" s="31">
        <v>70859</v>
      </c>
      <c r="B983" s="14">
        <f>70.4707 * CHOOSE(CONTROL!$C$15, $E$9, 100%, $G$9) + CHOOSE(CONTROL!$C$38, 0.0251, 0)</f>
        <v>70.495799999999988</v>
      </c>
      <c r="C983" s="14">
        <f>66.6812 * CHOOSE(CONTROL!$C$15, $E$9, 100%, $G$9) + CHOOSE(CONTROL!$C$38, 0.0342, 0)</f>
        <v>66.715400000000002</v>
      </c>
      <c r="D983" s="14">
        <f>66.6733 * CHOOSE(CONTROL!$C$15, $E$9, 100%, $G$9) + CHOOSE(CONTROL!$C$38, 0.0342, 0)</f>
        <v>66.707499999999996</v>
      </c>
      <c r="E983" s="45">
        <f>70.3145 * CHOOSE(CONTROL!$C$15, $E$9, 100%, $G$9) + CHOOSE(CONTROL!$C$38, 0.0342, 0)</f>
        <v>70.348699999999994</v>
      </c>
      <c r="F983" s="44">
        <f>70.3145 * CHOOSE(CONTROL!$C$15, $E$9, 100%, $G$9) + CHOOSE(CONTROL!$C$38, 0.0251, 0)</f>
        <v>70.33959999999999</v>
      </c>
      <c r="G983" s="14">
        <f>66.6796 * CHOOSE(CONTROL!$C$15, $E$9, 100%, $G$9) + CHOOSE(CONTROL!$C$38, 0.0342, 0)</f>
        <v>66.713799999999992</v>
      </c>
      <c r="H983" s="14">
        <f>66.6796 * CHOOSE(CONTROL!$C$15, $E$9, 100%, $G$9) + CHOOSE(CONTROL!$C$38, 0.0342, 0)</f>
        <v>66.713799999999992</v>
      </c>
      <c r="I983" s="14">
        <f>66.6812 * CHOOSE(CONTROL!$C$15, $E$9, 100%, $G$9) + CHOOSE(CONTROL!$C$38, 0.0342, 0)</f>
        <v>66.715400000000002</v>
      </c>
      <c r="J983" s="43">
        <f>701.9594</f>
        <v>701.95939999999996</v>
      </c>
    </row>
    <row r="984" spans="1:10" ht="15.75" x14ac:dyDescent="0.25">
      <c r="A984" s="31">
        <v>70890</v>
      </c>
      <c r="B984" s="14">
        <f>69.9402 * CHOOSE(CONTROL!$C$15, $E$9, 100%, $G$9) + CHOOSE(CONTROL!$C$38, 0.0251, 0)</f>
        <v>69.965299999999999</v>
      </c>
      <c r="C984" s="14">
        <f>66.1782 * CHOOSE(CONTROL!$C$15, $E$9, 100%, $G$9) + CHOOSE(CONTROL!$C$38, 0.0342, 0)</f>
        <v>66.212400000000002</v>
      </c>
      <c r="D984" s="14">
        <f>66.1704 * CHOOSE(CONTROL!$C$15, $E$9, 100%, $G$9) + CHOOSE(CONTROL!$C$38, 0.0342, 0)</f>
        <v>66.204599999999999</v>
      </c>
      <c r="E984" s="45">
        <f>69.7839 * CHOOSE(CONTROL!$C$15, $E$9, 100%, $G$9) + CHOOSE(CONTROL!$C$38, 0.0342, 0)</f>
        <v>69.818100000000001</v>
      </c>
      <c r="F984" s="44">
        <f>69.7839 * CHOOSE(CONTROL!$C$15, $E$9, 100%, $G$9) + CHOOSE(CONTROL!$C$38, 0.0251, 0)</f>
        <v>69.808999999999997</v>
      </c>
      <c r="G984" s="14">
        <f>66.1767 * CHOOSE(CONTROL!$C$15, $E$9, 100%, $G$9) + CHOOSE(CONTROL!$C$38, 0.0342, 0)</f>
        <v>66.210899999999995</v>
      </c>
      <c r="H984" s="14">
        <f>66.1767 * CHOOSE(CONTROL!$C$15, $E$9, 100%, $G$9) + CHOOSE(CONTROL!$C$38, 0.0342, 0)</f>
        <v>66.210899999999995</v>
      </c>
      <c r="I984" s="14">
        <f>66.1782 * CHOOSE(CONTROL!$C$15, $E$9, 100%, $G$9) + CHOOSE(CONTROL!$C$38, 0.0342, 0)</f>
        <v>66.212400000000002</v>
      </c>
      <c r="J984" s="43">
        <f>701.4526</f>
        <v>701.45259999999996</v>
      </c>
    </row>
    <row r="985" spans="1:10" ht="15.75" x14ac:dyDescent="0.25">
      <c r="A985" s="31">
        <v>70918</v>
      </c>
      <c r="B985" s="14">
        <f>69.7475 * CHOOSE(CONTROL!$C$15, $E$9, 100%, $G$9) + CHOOSE(CONTROL!$C$38, 0.0251, 0)</f>
        <v>69.772599999999997</v>
      </c>
      <c r="C985" s="14">
        <f>65.9956 * CHOOSE(CONTROL!$C$15, $E$9, 100%, $G$9) + CHOOSE(CONTROL!$C$38, 0.0342, 0)</f>
        <v>66.029799999999994</v>
      </c>
      <c r="D985" s="14">
        <f>65.9877 * CHOOSE(CONTROL!$C$15, $E$9, 100%, $G$9) + CHOOSE(CONTROL!$C$38, 0.0342, 0)</f>
        <v>66.021900000000002</v>
      </c>
      <c r="E985" s="45">
        <f>69.5912 * CHOOSE(CONTROL!$C$15, $E$9, 100%, $G$9) + CHOOSE(CONTROL!$C$38, 0.0342, 0)</f>
        <v>69.625399999999999</v>
      </c>
      <c r="F985" s="44">
        <f>69.5912 * CHOOSE(CONTROL!$C$15, $E$9, 100%, $G$9) + CHOOSE(CONTROL!$C$38, 0.0251, 0)</f>
        <v>69.616299999999995</v>
      </c>
      <c r="G985" s="14">
        <f>65.994 * CHOOSE(CONTROL!$C$15, $E$9, 100%, $G$9) + CHOOSE(CONTROL!$C$38, 0.0342, 0)</f>
        <v>66.028199999999998</v>
      </c>
      <c r="H985" s="14">
        <f>65.994 * CHOOSE(CONTROL!$C$15, $E$9, 100%, $G$9) + CHOOSE(CONTROL!$C$38, 0.0342, 0)</f>
        <v>66.028199999999998</v>
      </c>
      <c r="I985" s="14">
        <f>65.9956 * CHOOSE(CONTROL!$C$15, $E$9, 100%, $G$9) + CHOOSE(CONTROL!$C$38, 0.0342, 0)</f>
        <v>66.029799999999994</v>
      </c>
      <c r="J985" s="43">
        <f>699.5028</f>
        <v>699.50279999999998</v>
      </c>
    </row>
    <row r="986" spans="1:10" ht="15.75" x14ac:dyDescent="0.25">
      <c r="A986" s="31">
        <v>70949</v>
      </c>
      <c r="B986" s="14">
        <f>73.3911 * CHOOSE(CONTROL!$C$15, $E$9, 100%, $G$9) + CHOOSE(CONTROL!$C$38, 0.0251, 0)</f>
        <v>73.416199999999989</v>
      </c>
      <c r="C986" s="14">
        <f>69.4496 * CHOOSE(CONTROL!$C$15, $E$9, 100%, $G$9) + CHOOSE(CONTROL!$C$38, 0.0342, 0)</f>
        <v>69.483800000000002</v>
      </c>
      <c r="D986" s="14">
        <f>69.4418 * CHOOSE(CONTROL!$C$15, $E$9, 100%, $G$9) + CHOOSE(CONTROL!$C$38, 0.0342, 0)</f>
        <v>69.475999999999999</v>
      </c>
      <c r="E986" s="45">
        <f>73.2348 * CHOOSE(CONTROL!$C$15, $E$9, 100%, $G$9) + CHOOSE(CONTROL!$C$38, 0.0342, 0)</f>
        <v>73.269000000000005</v>
      </c>
      <c r="F986" s="44">
        <f>73.2348 * CHOOSE(CONTROL!$C$15, $E$9, 100%, $G$9) + CHOOSE(CONTROL!$C$38, 0.0251, 0)</f>
        <v>73.259900000000002</v>
      </c>
      <c r="G986" s="14">
        <f>69.448 * CHOOSE(CONTROL!$C$15, $E$9, 100%, $G$9) + CHOOSE(CONTROL!$C$38, 0.0342, 0)</f>
        <v>69.482199999999992</v>
      </c>
      <c r="H986" s="14">
        <f>69.448 * CHOOSE(CONTROL!$C$15, $E$9, 100%, $G$9) + CHOOSE(CONTROL!$C$38, 0.0342, 0)</f>
        <v>69.482199999999992</v>
      </c>
      <c r="I986" s="14">
        <f>69.4496 * CHOOSE(CONTROL!$C$15, $E$9, 100%, $G$9) + CHOOSE(CONTROL!$C$38, 0.0342, 0)</f>
        <v>69.483800000000002</v>
      </c>
      <c r="J986" s="43">
        <f>736.3706</f>
        <v>736.37059999999997</v>
      </c>
    </row>
    <row r="987" spans="1:10" ht="15.75" x14ac:dyDescent="0.25">
      <c r="A987" s="31">
        <v>70979</v>
      </c>
      <c r="B987" s="14">
        <f>78.1159 * CHOOSE(CONTROL!$C$15, $E$9, 100%, $G$9) + CHOOSE(CONTROL!$C$38, 0.0251, 0)</f>
        <v>78.140999999999991</v>
      </c>
      <c r="C987" s="14">
        <f>73.9287 * CHOOSE(CONTROL!$C$15, $E$9, 100%, $G$9) + CHOOSE(CONTROL!$C$38, 0.0342, 0)</f>
        <v>73.962900000000005</v>
      </c>
      <c r="D987" s="14">
        <f>73.9209 * CHOOSE(CONTROL!$C$15, $E$9, 100%, $G$9) + CHOOSE(CONTROL!$C$38, 0.0342, 0)</f>
        <v>73.955100000000002</v>
      </c>
      <c r="E987" s="45">
        <f>77.9596 * CHOOSE(CONTROL!$C$15, $E$9, 100%, $G$9) + CHOOSE(CONTROL!$C$38, 0.0342, 0)</f>
        <v>77.993799999999993</v>
      </c>
      <c r="F987" s="44">
        <f>77.9596 * CHOOSE(CONTROL!$C$15, $E$9, 100%, $G$9) + CHOOSE(CONTROL!$C$38, 0.0251, 0)</f>
        <v>77.984699999999989</v>
      </c>
      <c r="G987" s="14">
        <f>73.9271 * CHOOSE(CONTROL!$C$15, $E$9, 100%, $G$9) + CHOOSE(CONTROL!$C$38, 0.0342, 0)</f>
        <v>73.961299999999994</v>
      </c>
      <c r="H987" s="14">
        <f>73.9271 * CHOOSE(CONTROL!$C$15, $E$9, 100%, $G$9) + CHOOSE(CONTROL!$C$38, 0.0342, 0)</f>
        <v>73.961299999999994</v>
      </c>
      <c r="I987" s="14">
        <f>73.9287 * CHOOSE(CONTROL!$C$15, $E$9, 100%, $G$9) + CHOOSE(CONTROL!$C$38, 0.0342, 0)</f>
        <v>73.962900000000005</v>
      </c>
      <c r="J987" s="43">
        <f>784.1794</f>
        <v>784.17939999999999</v>
      </c>
    </row>
    <row r="988" spans="1:10" ht="15.75" x14ac:dyDescent="0.25">
      <c r="A988" s="31">
        <v>71010</v>
      </c>
      <c r="B988" s="14">
        <f>80.7166 * CHOOSE(CONTROL!$C$15, $E$9, 100%, $G$9) + CHOOSE(CONTROL!$C$38, 0.0264, 0)</f>
        <v>80.742999999999995</v>
      </c>
      <c r="C988" s="14">
        <f>76.3941 * CHOOSE(CONTROL!$C$15, $E$9, 100%, $G$9) + CHOOSE(CONTROL!$C$38, 0.0354, 0)</f>
        <v>76.42949999999999</v>
      </c>
      <c r="D988" s="14">
        <f>76.3863 * CHOOSE(CONTROL!$C$15, $E$9, 100%, $G$9) + CHOOSE(CONTROL!$C$38, 0.0354, 0)</f>
        <v>76.421700000000001</v>
      </c>
      <c r="E988" s="45">
        <f>80.5603 * CHOOSE(CONTROL!$C$15, $E$9, 100%, $G$9) + CHOOSE(CONTROL!$C$38, 0.0354, 0)</f>
        <v>80.595699999999994</v>
      </c>
      <c r="F988" s="44">
        <f>80.5603 * CHOOSE(CONTROL!$C$15, $E$9, 100%, $G$9) + CHOOSE(CONTROL!$C$38, 0.0264, 0)</f>
        <v>80.586699999999993</v>
      </c>
      <c r="G988" s="14">
        <f>76.3926 * CHOOSE(CONTROL!$C$15, $E$9, 100%, $G$9) + CHOOSE(CONTROL!$C$38, 0.0354, 0)</f>
        <v>76.427999999999997</v>
      </c>
      <c r="H988" s="14">
        <f>76.3926 * CHOOSE(CONTROL!$C$15, $E$9, 100%, $G$9) + CHOOSE(CONTROL!$C$38, 0.0354, 0)</f>
        <v>76.427999999999997</v>
      </c>
      <c r="I988" s="14">
        <f>76.3941 * CHOOSE(CONTROL!$C$15, $E$9, 100%, $G$9) + CHOOSE(CONTROL!$C$38, 0.0354, 0)</f>
        <v>76.42949999999999</v>
      </c>
      <c r="J988" s="43">
        <f>810.4949</f>
        <v>810.49490000000003</v>
      </c>
    </row>
    <row r="989" spans="1:10" ht="15.75" x14ac:dyDescent="0.25">
      <c r="A989" s="31">
        <v>71040</v>
      </c>
      <c r="B989" s="14">
        <f>81.8707 * CHOOSE(CONTROL!$C$15, $E$9, 100%, $G$9) + CHOOSE(CONTROL!$C$38, 0.0264, 0)</f>
        <v>81.897099999999995</v>
      </c>
      <c r="C989" s="14">
        <f>77.4882 * CHOOSE(CONTROL!$C$15, $E$9, 100%, $G$9) + CHOOSE(CONTROL!$C$38, 0.0354, 0)</f>
        <v>77.523600000000002</v>
      </c>
      <c r="D989" s="14">
        <f>77.4804 * CHOOSE(CONTROL!$C$15, $E$9, 100%, $G$9) + CHOOSE(CONTROL!$C$38, 0.0354, 0)</f>
        <v>77.515799999999999</v>
      </c>
      <c r="E989" s="45">
        <f>81.7145 * CHOOSE(CONTROL!$C$15, $E$9, 100%, $G$9) + CHOOSE(CONTROL!$C$38, 0.0354, 0)</f>
        <v>81.749899999999997</v>
      </c>
      <c r="F989" s="44">
        <f>81.7145 * CHOOSE(CONTROL!$C$15, $E$9, 100%, $G$9) + CHOOSE(CONTROL!$C$38, 0.0264, 0)</f>
        <v>81.740899999999996</v>
      </c>
      <c r="G989" s="14">
        <f>77.4867 * CHOOSE(CONTROL!$C$15, $E$9, 100%, $G$9) + CHOOSE(CONTROL!$C$38, 0.0354, 0)</f>
        <v>77.522099999999995</v>
      </c>
      <c r="H989" s="14">
        <f>77.4867 * CHOOSE(CONTROL!$C$15, $E$9, 100%, $G$9) + CHOOSE(CONTROL!$C$38, 0.0354, 0)</f>
        <v>77.522099999999995</v>
      </c>
      <c r="I989" s="14">
        <f>77.4882 * CHOOSE(CONTROL!$C$15, $E$9, 100%, $G$9) + CHOOSE(CONTROL!$C$38, 0.0354, 0)</f>
        <v>77.523600000000002</v>
      </c>
      <c r="J989" s="43">
        <f>822.1733</f>
        <v>822.17330000000004</v>
      </c>
    </row>
    <row r="990" spans="1:10" ht="15.75" x14ac:dyDescent="0.25">
      <c r="A990" s="31">
        <v>71071</v>
      </c>
      <c r="B990" s="14">
        <f>81.4907 * CHOOSE(CONTROL!$C$15, $E$9, 100%, $G$9) + CHOOSE(CONTROL!$C$38, 0.0264, 0)</f>
        <v>81.517099999999999</v>
      </c>
      <c r="C990" s="14">
        <f>77.128 * CHOOSE(CONTROL!$C$15, $E$9, 100%, $G$9) + CHOOSE(CONTROL!$C$38, 0.0354, 0)</f>
        <v>77.163399999999996</v>
      </c>
      <c r="D990" s="14">
        <f>77.1202 * CHOOSE(CONTROL!$C$15, $E$9, 100%, $G$9) + CHOOSE(CONTROL!$C$38, 0.0354, 0)</f>
        <v>77.155599999999993</v>
      </c>
      <c r="E990" s="45">
        <f>81.3345 * CHOOSE(CONTROL!$C$15, $E$9, 100%, $G$9) + CHOOSE(CONTROL!$C$38, 0.0354, 0)</f>
        <v>81.369900000000001</v>
      </c>
      <c r="F990" s="44">
        <f>81.3345 * CHOOSE(CONTROL!$C$15, $E$9, 100%, $G$9) + CHOOSE(CONTROL!$C$38, 0.0264, 0)</f>
        <v>81.360900000000001</v>
      </c>
      <c r="G990" s="14">
        <f>77.1264 * CHOOSE(CONTROL!$C$15, $E$9, 100%, $G$9) + CHOOSE(CONTROL!$C$38, 0.0354, 0)</f>
        <v>77.161799999999999</v>
      </c>
      <c r="H990" s="14">
        <f>77.1264 * CHOOSE(CONTROL!$C$15, $E$9, 100%, $G$9) + CHOOSE(CONTROL!$C$38, 0.0354, 0)</f>
        <v>77.161799999999999</v>
      </c>
      <c r="I990" s="14">
        <f>77.128 * CHOOSE(CONTROL!$C$15, $E$9, 100%, $G$9) + CHOOSE(CONTROL!$C$38, 0.0354, 0)</f>
        <v>77.163399999999996</v>
      </c>
      <c r="J990" s="43">
        <f>818.3282</f>
        <v>818.32820000000004</v>
      </c>
    </row>
    <row r="991" spans="1:10" ht="15.75" x14ac:dyDescent="0.25">
      <c r="A991" s="31">
        <v>71102</v>
      </c>
      <c r="B991" s="14">
        <f>79.608 * CHOOSE(CONTROL!$C$15, $E$9, 100%, $G$9) + CHOOSE(CONTROL!$C$38, 0.0264, 0)</f>
        <v>79.634399999999999</v>
      </c>
      <c r="C991" s="14">
        <f>75.3432 * CHOOSE(CONTROL!$C$15, $E$9, 100%, $G$9) + CHOOSE(CONTROL!$C$38, 0.0354, 0)</f>
        <v>75.378599999999992</v>
      </c>
      <c r="D991" s="14">
        <f>75.3354 * CHOOSE(CONTROL!$C$15, $E$9, 100%, $G$9) + CHOOSE(CONTROL!$C$38, 0.0354, 0)</f>
        <v>75.370800000000003</v>
      </c>
      <c r="E991" s="45">
        <f>79.4518 * CHOOSE(CONTROL!$C$15, $E$9, 100%, $G$9) + CHOOSE(CONTROL!$C$38, 0.0354, 0)</f>
        <v>79.487200000000001</v>
      </c>
      <c r="F991" s="44">
        <f>79.4518 * CHOOSE(CONTROL!$C$15, $E$9, 100%, $G$9) + CHOOSE(CONTROL!$C$38, 0.0264, 0)</f>
        <v>79.478200000000001</v>
      </c>
      <c r="G991" s="14">
        <f>75.3417 * CHOOSE(CONTROL!$C$15, $E$9, 100%, $G$9) + CHOOSE(CONTROL!$C$38, 0.0354, 0)</f>
        <v>75.377099999999999</v>
      </c>
      <c r="H991" s="14">
        <f>75.3417 * CHOOSE(CONTROL!$C$15, $E$9, 100%, $G$9) + CHOOSE(CONTROL!$C$38, 0.0354, 0)</f>
        <v>75.377099999999999</v>
      </c>
      <c r="I991" s="14">
        <f>75.3432 * CHOOSE(CONTROL!$C$15, $E$9, 100%, $G$9) + CHOOSE(CONTROL!$C$38, 0.0354, 0)</f>
        <v>75.378599999999992</v>
      </c>
      <c r="J991" s="43">
        <f>799.2779</f>
        <v>799.27790000000005</v>
      </c>
    </row>
    <row r="992" spans="1:10" ht="15.75" x14ac:dyDescent="0.25">
      <c r="A992" s="31">
        <v>71132</v>
      </c>
      <c r="B992" s="14">
        <f>76.9825 * CHOOSE(CONTROL!$C$15, $E$9, 100%, $G$9) + CHOOSE(CONTROL!$C$38, 0.0264, 0)</f>
        <v>77.008899999999997</v>
      </c>
      <c r="C992" s="14">
        <f>72.8543 * CHOOSE(CONTROL!$C$15, $E$9, 100%, $G$9) + CHOOSE(CONTROL!$C$38, 0.0354, 0)</f>
        <v>72.889699999999991</v>
      </c>
      <c r="D992" s="14">
        <f>72.8465 * CHOOSE(CONTROL!$C$15, $E$9, 100%, $G$9) + CHOOSE(CONTROL!$C$38, 0.0354, 0)</f>
        <v>72.881900000000002</v>
      </c>
      <c r="E992" s="45">
        <f>76.8263 * CHOOSE(CONTROL!$C$15, $E$9, 100%, $G$9) + CHOOSE(CONTROL!$C$38, 0.0354, 0)</f>
        <v>76.861699999999999</v>
      </c>
      <c r="F992" s="44">
        <f>76.8263 * CHOOSE(CONTROL!$C$15, $E$9, 100%, $G$9) + CHOOSE(CONTROL!$C$38, 0.0264, 0)</f>
        <v>76.852699999999999</v>
      </c>
      <c r="G992" s="14">
        <f>72.8527 * CHOOSE(CONTROL!$C$15, $E$9, 100%, $G$9) + CHOOSE(CONTROL!$C$38, 0.0354, 0)</f>
        <v>72.888099999999994</v>
      </c>
      <c r="H992" s="14">
        <f>72.8527 * CHOOSE(CONTROL!$C$15, $E$9, 100%, $G$9) + CHOOSE(CONTROL!$C$38, 0.0354, 0)</f>
        <v>72.888099999999994</v>
      </c>
      <c r="I992" s="14">
        <f>72.8543 * CHOOSE(CONTROL!$C$15, $E$9, 100%, $G$9) + CHOOSE(CONTROL!$C$38, 0.0354, 0)</f>
        <v>72.889699999999991</v>
      </c>
      <c r="J992" s="43">
        <f>772.7113</f>
        <v>772.71130000000005</v>
      </c>
    </row>
    <row r="993" spans="1:10" ht="15.75" x14ac:dyDescent="0.25">
      <c r="A993" s="31">
        <v>71163</v>
      </c>
      <c r="B993" s="14">
        <f>74.3417 * CHOOSE(CONTROL!$C$15, $E$9, 100%, $G$9) + CHOOSE(CONTROL!$C$38, 0.0251, 0)</f>
        <v>74.366799999999998</v>
      </c>
      <c r="C993" s="14">
        <f>70.3508 * CHOOSE(CONTROL!$C$15, $E$9, 100%, $G$9) + CHOOSE(CONTROL!$C$38, 0.0342, 0)</f>
        <v>70.385000000000005</v>
      </c>
      <c r="D993" s="14">
        <f>70.343 * CHOOSE(CONTROL!$C$15, $E$9, 100%, $G$9) + CHOOSE(CONTROL!$C$38, 0.0342, 0)</f>
        <v>70.377200000000002</v>
      </c>
      <c r="E993" s="45">
        <f>74.1855 * CHOOSE(CONTROL!$C$15, $E$9, 100%, $G$9) + CHOOSE(CONTROL!$C$38, 0.0342, 0)</f>
        <v>74.219700000000003</v>
      </c>
      <c r="F993" s="44">
        <f>74.1855 * CHOOSE(CONTROL!$C$15, $E$9, 100%, $G$9) + CHOOSE(CONTROL!$C$38, 0.0251, 0)</f>
        <v>74.210599999999999</v>
      </c>
      <c r="G993" s="14">
        <f>70.3493 * CHOOSE(CONTROL!$C$15, $E$9, 100%, $G$9) + CHOOSE(CONTROL!$C$38, 0.0342, 0)</f>
        <v>70.383499999999998</v>
      </c>
      <c r="H993" s="14">
        <f>70.3493 * CHOOSE(CONTROL!$C$15, $E$9, 100%, $G$9) + CHOOSE(CONTROL!$C$38, 0.0342, 0)</f>
        <v>70.383499999999998</v>
      </c>
      <c r="I993" s="14">
        <f>70.3508 * CHOOSE(CONTROL!$C$15, $E$9, 100%, $G$9) + CHOOSE(CONTROL!$C$38, 0.0342, 0)</f>
        <v>70.385000000000005</v>
      </c>
      <c r="J993" s="43">
        <f>745.9901</f>
        <v>745.99009999999998</v>
      </c>
    </row>
    <row r="994" spans="1:10" ht="15.75" x14ac:dyDescent="0.25">
      <c r="A994" s="31">
        <v>71193</v>
      </c>
      <c r="B994" s="14">
        <f>73.8164 * CHOOSE(CONTROL!$C$15, $E$9, 100%, $G$9) + CHOOSE(CONTROL!$C$38, 0.0251, 0)</f>
        <v>73.841499999999996</v>
      </c>
      <c r="C994" s="14">
        <f>69.8528 * CHOOSE(CONTROL!$C$15, $E$9, 100%, $G$9) + CHOOSE(CONTROL!$C$38, 0.0342, 0)</f>
        <v>69.887</v>
      </c>
      <c r="D994" s="14">
        <f>69.845 * CHOOSE(CONTROL!$C$15, $E$9, 100%, $G$9) + CHOOSE(CONTROL!$C$38, 0.0342, 0)</f>
        <v>69.879199999999997</v>
      </c>
      <c r="E994" s="45">
        <f>73.6602 * CHOOSE(CONTROL!$C$15, $E$9, 100%, $G$9) + CHOOSE(CONTROL!$C$38, 0.0342, 0)</f>
        <v>73.694400000000002</v>
      </c>
      <c r="F994" s="44">
        <f>73.6602 * CHOOSE(CONTROL!$C$15, $E$9, 100%, $G$9) + CHOOSE(CONTROL!$C$38, 0.0251, 0)</f>
        <v>73.685299999999998</v>
      </c>
      <c r="G994" s="14">
        <f>69.8513 * CHOOSE(CONTROL!$C$15, $E$9, 100%, $G$9) + CHOOSE(CONTROL!$C$38, 0.0342, 0)</f>
        <v>69.885499999999993</v>
      </c>
      <c r="H994" s="14">
        <f>69.8513 * CHOOSE(CONTROL!$C$15, $E$9, 100%, $G$9) + CHOOSE(CONTROL!$C$38, 0.0342, 0)</f>
        <v>69.885499999999993</v>
      </c>
      <c r="I994" s="14">
        <f>69.8528 * CHOOSE(CONTROL!$C$15, $E$9, 100%, $G$9) + CHOOSE(CONTROL!$C$38, 0.0342, 0)</f>
        <v>69.887</v>
      </c>
      <c r="J994" s="43">
        <f>740.6748</f>
        <v>740.6748</v>
      </c>
    </row>
    <row r="995" spans="1:10" ht="15.75" x14ac:dyDescent="0.25">
      <c r="A995" s="31">
        <v>71224</v>
      </c>
      <c r="B995" s="14">
        <f>71.6442 * CHOOSE(CONTROL!$C$15, $E$9, 100%, $G$9) + CHOOSE(CONTROL!$C$38, 0.0251, 0)</f>
        <v>71.669299999999993</v>
      </c>
      <c r="C995" s="14">
        <f>67.7936 * CHOOSE(CONTROL!$C$15, $E$9, 100%, $G$9) + CHOOSE(CONTROL!$C$38, 0.0342, 0)</f>
        <v>67.827799999999996</v>
      </c>
      <c r="D995" s="14">
        <f>67.7858 * CHOOSE(CONTROL!$C$15, $E$9, 100%, $G$9) + CHOOSE(CONTROL!$C$38, 0.0342, 0)</f>
        <v>67.819999999999993</v>
      </c>
      <c r="E995" s="45">
        <f>71.488 * CHOOSE(CONTROL!$C$15, $E$9, 100%, $G$9) + CHOOSE(CONTROL!$C$38, 0.0342, 0)</f>
        <v>71.522199999999998</v>
      </c>
      <c r="F995" s="44">
        <f>71.488 * CHOOSE(CONTROL!$C$15, $E$9, 100%, $G$9) + CHOOSE(CONTROL!$C$38, 0.0251, 0)</f>
        <v>71.513099999999994</v>
      </c>
      <c r="G995" s="14">
        <f>67.7921 * CHOOSE(CONTROL!$C$15, $E$9, 100%, $G$9) + CHOOSE(CONTROL!$C$38, 0.0342, 0)</f>
        <v>67.826300000000003</v>
      </c>
      <c r="H995" s="14">
        <f>67.7921 * CHOOSE(CONTROL!$C$15, $E$9, 100%, $G$9) + CHOOSE(CONTROL!$C$38, 0.0342, 0)</f>
        <v>67.826300000000003</v>
      </c>
      <c r="I995" s="14">
        <f>67.7936 * CHOOSE(CONTROL!$C$15, $E$9, 100%, $G$9) + CHOOSE(CONTROL!$C$38, 0.0342, 0)</f>
        <v>67.827799999999996</v>
      </c>
      <c r="J995" s="43">
        <f>718.6952</f>
        <v>718.6952</v>
      </c>
    </row>
    <row r="996" spans="1:10" ht="15.75" x14ac:dyDescent="0.25">
      <c r="A996" s="31">
        <v>71255</v>
      </c>
      <c r="B996" s="14">
        <f>71.1048 * CHOOSE(CONTROL!$C$15, $E$9, 100%, $G$9) + CHOOSE(CONTROL!$C$38, 0.0251, 0)</f>
        <v>71.129899999999992</v>
      </c>
      <c r="C996" s="14">
        <f>67.2823 * CHOOSE(CONTROL!$C$15, $E$9, 100%, $G$9) + CHOOSE(CONTROL!$C$38, 0.0342, 0)</f>
        <v>67.316500000000005</v>
      </c>
      <c r="D996" s="14">
        <f>67.2744 * CHOOSE(CONTROL!$C$15, $E$9, 100%, $G$9) + CHOOSE(CONTROL!$C$38, 0.0342, 0)</f>
        <v>67.308599999999998</v>
      </c>
      <c r="E996" s="45">
        <f>70.9485 * CHOOSE(CONTROL!$C$15, $E$9, 100%, $G$9) + CHOOSE(CONTROL!$C$38, 0.0342, 0)</f>
        <v>70.982699999999994</v>
      </c>
      <c r="F996" s="44">
        <f>70.9485 * CHOOSE(CONTROL!$C$15, $E$9, 100%, $G$9) + CHOOSE(CONTROL!$C$38, 0.0251, 0)</f>
        <v>70.97359999999999</v>
      </c>
      <c r="G996" s="14">
        <f>67.2807 * CHOOSE(CONTROL!$C$15, $E$9, 100%, $G$9) + CHOOSE(CONTROL!$C$38, 0.0342, 0)</f>
        <v>67.314899999999994</v>
      </c>
      <c r="H996" s="14">
        <f>67.2807 * CHOOSE(CONTROL!$C$15, $E$9, 100%, $G$9) + CHOOSE(CONTROL!$C$38, 0.0342, 0)</f>
        <v>67.314899999999994</v>
      </c>
      <c r="I996" s="14">
        <f>67.2823 * CHOOSE(CONTROL!$C$15, $E$9, 100%, $G$9) + CHOOSE(CONTROL!$C$38, 0.0342, 0)</f>
        <v>67.316500000000005</v>
      </c>
      <c r="J996" s="43">
        <f>718.1763</f>
        <v>718.17629999999997</v>
      </c>
    </row>
    <row r="997" spans="1:10" ht="15.75" x14ac:dyDescent="0.25">
      <c r="A997" s="31">
        <v>71283</v>
      </c>
      <c r="B997" s="14">
        <f>70.9089 * CHOOSE(CONTROL!$C$15, $E$9, 100%, $G$9) + CHOOSE(CONTROL!$C$38, 0.0251, 0)</f>
        <v>70.933999999999997</v>
      </c>
      <c r="C997" s="14">
        <f>67.0965 * CHOOSE(CONTROL!$C$15, $E$9, 100%, $G$9) + CHOOSE(CONTROL!$C$38, 0.0342, 0)</f>
        <v>67.130700000000004</v>
      </c>
      <c r="D997" s="14">
        <f>67.0887 * CHOOSE(CONTROL!$C$15, $E$9, 100%, $G$9) + CHOOSE(CONTROL!$C$38, 0.0342, 0)</f>
        <v>67.122900000000001</v>
      </c>
      <c r="E997" s="45">
        <f>70.7526 * CHOOSE(CONTROL!$C$15, $E$9, 100%, $G$9) + CHOOSE(CONTROL!$C$38, 0.0342, 0)</f>
        <v>70.786799999999999</v>
      </c>
      <c r="F997" s="44">
        <f>70.7526 * CHOOSE(CONTROL!$C$15, $E$9, 100%, $G$9) + CHOOSE(CONTROL!$C$38, 0.0251, 0)</f>
        <v>70.777699999999996</v>
      </c>
      <c r="G997" s="14">
        <f>67.095 * CHOOSE(CONTROL!$C$15, $E$9, 100%, $G$9) + CHOOSE(CONTROL!$C$38, 0.0342, 0)</f>
        <v>67.129199999999997</v>
      </c>
      <c r="H997" s="14">
        <f>67.095 * CHOOSE(CONTROL!$C$15, $E$9, 100%, $G$9) + CHOOSE(CONTROL!$C$38, 0.0342, 0)</f>
        <v>67.129199999999997</v>
      </c>
      <c r="I997" s="14">
        <f>67.0965 * CHOOSE(CONTROL!$C$15, $E$9, 100%, $G$9) + CHOOSE(CONTROL!$C$38, 0.0342, 0)</f>
        <v>67.130700000000004</v>
      </c>
      <c r="J997" s="43">
        <f>716.18</f>
        <v>716.18</v>
      </c>
    </row>
    <row r="998" spans="1:10" ht="15.75" x14ac:dyDescent="0.25">
      <c r="A998" s="31">
        <v>71314</v>
      </c>
      <c r="B998" s="14">
        <f>74.6136 * CHOOSE(CONTROL!$C$15, $E$9, 100%, $G$9) + CHOOSE(CONTROL!$C$38, 0.0251, 0)</f>
        <v>74.6387</v>
      </c>
      <c r="C998" s="14">
        <f>70.6086 * CHOOSE(CONTROL!$C$15, $E$9, 100%, $G$9) + CHOOSE(CONTROL!$C$38, 0.0342, 0)</f>
        <v>70.642799999999994</v>
      </c>
      <c r="D998" s="14">
        <f>70.6008 * CHOOSE(CONTROL!$C$15, $E$9, 100%, $G$9) + CHOOSE(CONTROL!$C$38, 0.0342, 0)</f>
        <v>70.635000000000005</v>
      </c>
      <c r="E998" s="45">
        <f>74.4574 * CHOOSE(CONTROL!$C$15, $E$9, 100%, $G$9) + CHOOSE(CONTROL!$C$38, 0.0342, 0)</f>
        <v>74.491600000000005</v>
      </c>
      <c r="F998" s="44">
        <f>74.4574 * CHOOSE(CONTROL!$C$15, $E$9, 100%, $G$9) + CHOOSE(CONTROL!$C$38, 0.0251, 0)</f>
        <v>74.482500000000002</v>
      </c>
      <c r="G998" s="14">
        <f>70.607 * CHOOSE(CONTROL!$C$15, $E$9, 100%, $G$9) + CHOOSE(CONTROL!$C$38, 0.0342, 0)</f>
        <v>70.641199999999998</v>
      </c>
      <c r="H998" s="14">
        <f>70.607 * CHOOSE(CONTROL!$C$15, $E$9, 100%, $G$9) + CHOOSE(CONTROL!$C$38, 0.0342, 0)</f>
        <v>70.641199999999998</v>
      </c>
      <c r="I998" s="14">
        <f>70.6086 * CHOOSE(CONTROL!$C$15, $E$9, 100%, $G$9) + CHOOSE(CONTROL!$C$38, 0.0342, 0)</f>
        <v>70.642799999999994</v>
      </c>
      <c r="J998" s="43">
        <f>753.9268</f>
        <v>753.92679999999996</v>
      </c>
    </row>
    <row r="999" spans="1:10" ht="15.75" x14ac:dyDescent="0.25">
      <c r="A999" s="31">
        <v>71344</v>
      </c>
      <c r="B999" s="14">
        <f>79.4178 * CHOOSE(CONTROL!$C$15, $E$9, 100%, $G$9) + CHOOSE(CONTROL!$C$38, 0.0251, 0)</f>
        <v>79.442899999999995</v>
      </c>
      <c r="C999" s="14">
        <f>75.1629 * CHOOSE(CONTROL!$C$15, $E$9, 100%, $G$9) + CHOOSE(CONTROL!$C$38, 0.0342, 0)</f>
        <v>75.197099999999992</v>
      </c>
      <c r="D999" s="14">
        <f>75.1551 * CHOOSE(CONTROL!$C$15, $E$9, 100%, $G$9) + CHOOSE(CONTROL!$C$38, 0.0342, 0)</f>
        <v>75.189300000000003</v>
      </c>
      <c r="E999" s="45">
        <f>79.2616 * CHOOSE(CONTROL!$C$15, $E$9, 100%, $G$9) + CHOOSE(CONTROL!$C$38, 0.0342, 0)</f>
        <v>79.2958</v>
      </c>
      <c r="F999" s="44">
        <f>79.2616 * CHOOSE(CONTROL!$C$15, $E$9, 100%, $G$9) + CHOOSE(CONTROL!$C$38, 0.0251, 0)</f>
        <v>79.286699999999996</v>
      </c>
      <c r="G999" s="14">
        <f>75.1614 * CHOOSE(CONTROL!$C$15, $E$9, 100%, $G$9) + CHOOSE(CONTROL!$C$38, 0.0342, 0)</f>
        <v>75.195599999999999</v>
      </c>
      <c r="H999" s="14">
        <f>75.1614 * CHOOSE(CONTROL!$C$15, $E$9, 100%, $G$9) + CHOOSE(CONTROL!$C$38, 0.0342, 0)</f>
        <v>75.195599999999999</v>
      </c>
      <c r="I999" s="14">
        <f>75.1629 * CHOOSE(CONTROL!$C$15, $E$9, 100%, $G$9) + CHOOSE(CONTROL!$C$38, 0.0342, 0)</f>
        <v>75.197099999999992</v>
      </c>
      <c r="J999" s="43">
        <f>802.8754</f>
        <v>802.87540000000001</v>
      </c>
    </row>
    <row r="1000" spans="1:10" ht="15.75" x14ac:dyDescent="0.25">
      <c r="A1000" s="31">
        <v>71375</v>
      </c>
      <c r="B1000" s="14">
        <f>82.0622 * CHOOSE(CONTROL!$C$15, $E$9, 100%, $G$9) + CHOOSE(CONTROL!$C$38, 0.0264, 0)</f>
        <v>82.0886</v>
      </c>
      <c r="C1000" s="14">
        <f>77.6698 * CHOOSE(CONTROL!$C$15, $E$9, 100%, $G$9) + CHOOSE(CONTROL!$C$38, 0.0354, 0)</f>
        <v>77.705199999999991</v>
      </c>
      <c r="D1000" s="14">
        <f>77.662 * CHOOSE(CONTROL!$C$15, $E$9, 100%, $G$9) + CHOOSE(CONTROL!$C$38, 0.0354, 0)</f>
        <v>77.697400000000002</v>
      </c>
      <c r="E1000" s="45">
        <f>81.906 * CHOOSE(CONTROL!$C$15, $E$9, 100%, $G$9) + CHOOSE(CONTROL!$C$38, 0.0354, 0)</f>
        <v>81.941400000000002</v>
      </c>
      <c r="F1000" s="44">
        <f>81.906 * CHOOSE(CONTROL!$C$15, $E$9, 100%, $G$9) + CHOOSE(CONTROL!$C$38, 0.0264, 0)</f>
        <v>81.932400000000001</v>
      </c>
      <c r="G1000" s="14">
        <f>77.6682 * CHOOSE(CONTROL!$C$15, $E$9, 100%, $G$9) + CHOOSE(CONTROL!$C$38, 0.0354, 0)</f>
        <v>77.703599999999994</v>
      </c>
      <c r="H1000" s="14">
        <f>77.6682 * CHOOSE(CONTROL!$C$15, $E$9, 100%, $G$9) + CHOOSE(CONTROL!$C$38, 0.0354, 0)</f>
        <v>77.703599999999994</v>
      </c>
      <c r="I1000" s="14">
        <f>77.6698 * CHOOSE(CONTROL!$C$15, $E$9, 100%, $G$9) + CHOOSE(CONTROL!$C$38, 0.0354, 0)</f>
        <v>77.705199999999991</v>
      </c>
      <c r="J1000" s="43">
        <f>829.8183</f>
        <v>829.81830000000002</v>
      </c>
    </row>
    <row r="1001" spans="1:10" ht="15.75" x14ac:dyDescent="0.25">
      <c r="A1001" s="31">
        <v>71405</v>
      </c>
      <c r="B1001" s="14">
        <f>83.2358 * CHOOSE(CONTROL!$C$15, $E$9, 100%, $G$9) + CHOOSE(CONTROL!$C$38, 0.0264, 0)</f>
        <v>83.262199999999993</v>
      </c>
      <c r="C1001" s="14">
        <f>78.7823 * CHOOSE(CONTROL!$C$15, $E$9, 100%, $G$9) + CHOOSE(CONTROL!$C$38, 0.0354, 0)</f>
        <v>78.817700000000002</v>
      </c>
      <c r="D1001" s="14">
        <f>78.7745 * CHOOSE(CONTROL!$C$15, $E$9, 100%, $G$9) + CHOOSE(CONTROL!$C$38, 0.0354, 0)</f>
        <v>78.809899999999999</v>
      </c>
      <c r="E1001" s="45">
        <f>83.0795 * CHOOSE(CONTROL!$C$15, $E$9, 100%, $G$9) + CHOOSE(CONTROL!$C$38, 0.0354, 0)</f>
        <v>83.114899999999992</v>
      </c>
      <c r="F1001" s="44">
        <f>83.0795 * CHOOSE(CONTROL!$C$15, $E$9, 100%, $G$9) + CHOOSE(CONTROL!$C$38, 0.0264, 0)</f>
        <v>83.105899999999991</v>
      </c>
      <c r="G1001" s="14">
        <f>78.7807 * CHOOSE(CONTROL!$C$15, $E$9, 100%, $G$9) + CHOOSE(CONTROL!$C$38, 0.0354, 0)</f>
        <v>78.816099999999992</v>
      </c>
      <c r="H1001" s="14">
        <f>78.7807 * CHOOSE(CONTROL!$C$15, $E$9, 100%, $G$9) + CHOOSE(CONTROL!$C$38, 0.0354, 0)</f>
        <v>78.816099999999992</v>
      </c>
      <c r="I1001" s="14">
        <f>78.7823 * CHOOSE(CONTROL!$C$15, $E$9, 100%, $G$9) + CHOOSE(CONTROL!$C$38, 0.0354, 0)</f>
        <v>78.817700000000002</v>
      </c>
      <c r="J1001" s="43">
        <f>841.7751</f>
        <v>841.77509999999995</v>
      </c>
    </row>
    <row r="1002" spans="1:10" ht="15.75" x14ac:dyDescent="0.25">
      <c r="A1002" s="31">
        <v>71436</v>
      </c>
      <c r="B1002" s="14">
        <f>82.8494 * CHOOSE(CONTROL!$C$15, $E$9, 100%, $G$9) + CHOOSE(CONTROL!$C$38, 0.0264, 0)</f>
        <v>82.875799999999998</v>
      </c>
      <c r="C1002" s="14">
        <f>78.416 * CHOOSE(CONTROL!$C$15, $E$9, 100%, $G$9) + CHOOSE(CONTROL!$C$38, 0.0354, 0)</f>
        <v>78.451399999999992</v>
      </c>
      <c r="D1002" s="14">
        <f>78.4082 * CHOOSE(CONTROL!$C$15, $E$9, 100%, $G$9) + CHOOSE(CONTROL!$C$38, 0.0354, 0)</f>
        <v>78.443599999999989</v>
      </c>
      <c r="E1002" s="45">
        <f>82.6931 * CHOOSE(CONTROL!$C$15, $E$9, 100%, $G$9) + CHOOSE(CONTROL!$C$38, 0.0354, 0)</f>
        <v>82.728499999999997</v>
      </c>
      <c r="F1002" s="44">
        <f>82.6931 * CHOOSE(CONTROL!$C$15, $E$9, 100%, $G$9) + CHOOSE(CONTROL!$C$38, 0.0264, 0)</f>
        <v>82.719499999999996</v>
      </c>
      <c r="G1002" s="14">
        <f>78.4144 * CHOOSE(CONTROL!$C$15, $E$9, 100%, $G$9) + CHOOSE(CONTROL!$C$38, 0.0354, 0)</f>
        <v>78.449799999999996</v>
      </c>
      <c r="H1002" s="14">
        <f>78.4144 * CHOOSE(CONTROL!$C$15, $E$9, 100%, $G$9) + CHOOSE(CONTROL!$C$38, 0.0354, 0)</f>
        <v>78.449799999999996</v>
      </c>
      <c r="I1002" s="14">
        <f>78.416 * CHOOSE(CONTROL!$C$15, $E$9, 100%, $G$9) + CHOOSE(CONTROL!$C$38, 0.0354, 0)</f>
        <v>78.451399999999992</v>
      </c>
      <c r="J1002" s="43">
        <f>837.8384</f>
        <v>837.83839999999998</v>
      </c>
    </row>
    <row r="1003" spans="1:10" ht="15.75" x14ac:dyDescent="0.25">
      <c r="A1003" s="31">
        <v>71467</v>
      </c>
      <c r="B1003" s="14">
        <f>80.9351 * CHOOSE(CONTROL!$C$15, $E$9, 100%, $G$9) + CHOOSE(CONTROL!$C$38, 0.0264, 0)</f>
        <v>80.961500000000001</v>
      </c>
      <c r="C1003" s="14">
        <f>76.6012 * CHOOSE(CONTROL!$C$15, $E$9, 100%, $G$9) + CHOOSE(CONTROL!$C$38, 0.0354, 0)</f>
        <v>76.636600000000001</v>
      </c>
      <c r="D1003" s="14">
        <f>76.5934 * CHOOSE(CONTROL!$C$15, $E$9, 100%, $G$9) + CHOOSE(CONTROL!$C$38, 0.0354, 0)</f>
        <v>76.628799999999998</v>
      </c>
      <c r="E1003" s="45">
        <f>80.7788 * CHOOSE(CONTROL!$C$15, $E$9, 100%, $G$9) + CHOOSE(CONTROL!$C$38, 0.0354, 0)</f>
        <v>80.8142</v>
      </c>
      <c r="F1003" s="44">
        <f>80.7788 * CHOOSE(CONTROL!$C$15, $E$9, 100%, $G$9) + CHOOSE(CONTROL!$C$38, 0.0264, 0)</f>
        <v>80.805199999999999</v>
      </c>
      <c r="G1003" s="14">
        <f>76.5997 * CHOOSE(CONTROL!$C$15, $E$9, 100%, $G$9) + CHOOSE(CONTROL!$C$38, 0.0354, 0)</f>
        <v>76.635099999999994</v>
      </c>
      <c r="H1003" s="14">
        <f>76.5997 * CHOOSE(CONTROL!$C$15, $E$9, 100%, $G$9) + CHOOSE(CONTROL!$C$38, 0.0354, 0)</f>
        <v>76.635099999999994</v>
      </c>
      <c r="I1003" s="14">
        <f>76.6012 * CHOOSE(CONTROL!$C$15, $E$9, 100%, $G$9) + CHOOSE(CONTROL!$C$38, 0.0354, 0)</f>
        <v>76.636600000000001</v>
      </c>
      <c r="J1003" s="43">
        <f>818.3339</f>
        <v>818.33389999999997</v>
      </c>
    </row>
    <row r="1004" spans="1:10" ht="15.75" x14ac:dyDescent="0.25">
      <c r="A1004" s="31">
        <v>71497</v>
      </c>
      <c r="B1004" s="14">
        <f>78.2654 * CHOOSE(CONTROL!$C$15, $E$9, 100%, $G$9) + CHOOSE(CONTROL!$C$38, 0.0264, 0)</f>
        <v>78.291799999999995</v>
      </c>
      <c r="C1004" s="14">
        <f>74.0705 * CHOOSE(CONTROL!$C$15, $E$9, 100%, $G$9) + CHOOSE(CONTROL!$C$38, 0.0354, 0)</f>
        <v>74.105899999999991</v>
      </c>
      <c r="D1004" s="14">
        <f>74.0626 * CHOOSE(CONTROL!$C$15, $E$9, 100%, $G$9) + CHOOSE(CONTROL!$C$38, 0.0354, 0)</f>
        <v>74.097999999999999</v>
      </c>
      <c r="E1004" s="45">
        <f>78.1092 * CHOOSE(CONTROL!$C$15, $E$9, 100%, $G$9) + CHOOSE(CONTROL!$C$38, 0.0354, 0)</f>
        <v>78.144599999999997</v>
      </c>
      <c r="F1004" s="44">
        <f>78.1092 * CHOOSE(CONTROL!$C$15, $E$9, 100%, $G$9) + CHOOSE(CONTROL!$C$38, 0.0264, 0)</f>
        <v>78.135599999999997</v>
      </c>
      <c r="G1004" s="14">
        <f>74.0689 * CHOOSE(CONTROL!$C$15, $E$9, 100%, $G$9) + CHOOSE(CONTROL!$C$38, 0.0354, 0)</f>
        <v>74.104299999999995</v>
      </c>
      <c r="H1004" s="14">
        <f>74.0689 * CHOOSE(CONTROL!$C$15, $E$9, 100%, $G$9) + CHOOSE(CONTROL!$C$38, 0.0354, 0)</f>
        <v>74.104299999999995</v>
      </c>
      <c r="I1004" s="14">
        <f>74.0705 * CHOOSE(CONTROL!$C$15, $E$9, 100%, $G$9) + CHOOSE(CONTROL!$C$38, 0.0354, 0)</f>
        <v>74.105899999999991</v>
      </c>
      <c r="J1004" s="43">
        <f>791.1339</f>
        <v>791.13390000000004</v>
      </c>
    </row>
    <row r="1005" spans="1:10" ht="15.75" x14ac:dyDescent="0.25">
      <c r="A1005" s="31">
        <v>71528</v>
      </c>
      <c r="B1005" s="14">
        <f>75.5803 * CHOOSE(CONTROL!$C$15, $E$9, 100%, $G$9) + CHOOSE(CONTROL!$C$38, 0.0251, 0)</f>
        <v>75.605399999999989</v>
      </c>
      <c r="C1005" s="14">
        <f>71.525 * CHOOSE(CONTROL!$C$15, $E$9, 100%, $G$9) + CHOOSE(CONTROL!$C$38, 0.0342, 0)</f>
        <v>71.559200000000004</v>
      </c>
      <c r="D1005" s="14">
        <f>71.5172 * CHOOSE(CONTROL!$C$15, $E$9, 100%, $G$9) + CHOOSE(CONTROL!$C$38, 0.0342, 0)</f>
        <v>71.551400000000001</v>
      </c>
      <c r="E1005" s="45">
        <f>75.424 * CHOOSE(CONTROL!$C$15, $E$9, 100%, $G$9) + CHOOSE(CONTROL!$C$38, 0.0342, 0)</f>
        <v>75.458200000000005</v>
      </c>
      <c r="F1005" s="44">
        <f>75.424 * CHOOSE(CONTROL!$C$15, $E$9, 100%, $G$9) + CHOOSE(CONTROL!$C$38, 0.0251, 0)</f>
        <v>75.449100000000001</v>
      </c>
      <c r="G1005" s="14">
        <f>71.5234 * CHOOSE(CONTROL!$C$15, $E$9, 100%, $G$9) + CHOOSE(CONTROL!$C$38, 0.0342, 0)</f>
        <v>71.557599999999994</v>
      </c>
      <c r="H1005" s="14">
        <f>71.5234 * CHOOSE(CONTROL!$C$15, $E$9, 100%, $G$9) + CHOOSE(CONTROL!$C$38, 0.0342, 0)</f>
        <v>71.557599999999994</v>
      </c>
      <c r="I1005" s="14">
        <f>71.525 * CHOOSE(CONTROL!$C$15, $E$9, 100%, $G$9) + CHOOSE(CONTROL!$C$38, 0.0342, 0)</f>
        <v>71.559200000000004</v>
      </c>
      <c r="J1005" s="43">
        <f>763.7756</f>
        <v>763.77560000000005</v>
      </c>
    </row>
    <row r="1006" spans="1:10" ht="15.75" x14ac:dyDescent="0.25">
      <c r="A1006" s="31">
        <v>71558</v>
      </c>
      <c r="B1006" s="14">
        <f>75.0461 * CHOOSE(CONTROL!$C$15, $E$9, 100%, $G$9) + CHOOSE(CONTROL!$C$38, 0.0251, 0)</f>
        <v>75.07119999999999</v>
      </c>
      <c r="C1006" s="14">
        <f>71.0186 * CHOOSE(CONTROL!$C$15, $E$9, 100%, $G$9) + CHOOSE(CONTROL!$C$38, 0.0342, 0)</f>
        <v>71.052800000000005</v>
      </c>
      <c r="D1006" s="14">
        <f>71.0108 * CHOOSE(CONTROL!$C$15, $E$9, 100%, $G$9) + CHOOSE(CONTROL!$C$38, 0.0342, 0)</f>
        <v>71.045000000000002</v>
      </c>
      <c r="E1006" s="45">
        <f>74.8899 * CHOOSE(CONTROL!$C$15, $E$9, 100%, $G$9) + CHOOSE(CONTROL!$C$38, 0.0342, 0)</f>
        <v>74.924099999999996</v>
      </c>
      <c r="F1006" s="44">
        <f>74.8899 * CHOOSE(CONTROL!$C$15, $E$9, 100%, $G$9) + CHOOSE(CONTROL!$C$38, 0.0251, 0)</f>
        <v>74.914999999999992</v>
      </c>
      <c r="G1006" s="14">
        <f>71.0171 * CHOOSE(CONTROL!$C$15, $E$9, 100%, $G$9) + CHOOSE(CONTROL!$C$38, 0.0342, 0)</f>
        <v>71.051299999999998</v>
      </c>
      <c r="H1006" s="14">
        <f>71.0171 * CHOOSE(CONTROL!$C$15, $E$9, 100%, $G$9) + CHOOSE(CONTROL!$C$38, 0.0342, 0)</f>
        <v>71.051299999999998</v>
      </c>
      <c r="I1006" s="14">
        <f>71.0186 * CHOOSE(CONTROL!$C$15, $E$9, 100%, $G$9) + CHOOSE(CONTROL!$C$38, 0.0342, 0)</f>
        <v>71.052800000000005</v>
      </c>
      <c r="J1006" s="43">
        <f>758.3336</f>
        <v>758.33360000000005</v>
      </c>
    </row>
    <row r="1007" spans="1:10" ht="15.75" x14ac:dyDescent="0.25">
      <c r="A1007" s="31">
        <v>71589</v>
      </c>
      <c r="B1007" s="14">
        <f>72.8375 * CHOOSE(CONTROL!$C$15, $E$9, 100%, $G$9) + CHOOSE(CONTROL!$C$38, 0.0251, 0)</f>
        <v>72.8626</v>
      </c>
      <c r="C1007" s="14">
        <f>68.9248 * CHOOSE(CONTROL!$C$15, $E$9, 100%, $G$9) + CHOOSE(CONTROL!$C$38, 0.0342, 0)</f>
        <v>68.959000000000003</v>
      </c>
      <c r="D1007" s="14">
        <f>68.917 * CHOOSE(CONTROL!$C$15, $E$9, 100%, $G$9) + CHOOSE(CONTROL!$C$38, 0.0342, 0)</f>
        <v>68.9512</v>
      </c>
      <c r="E1007" s="45">
        <f>72.6812 * CHOOSE(CONTROL!$C$15, $E$9, 100%, $G$9) + CHOOSE(CONTROL!$C$38, 0.0342, 0)</f>
        <v>72.715400000000002</v>
      </c>
      <c r="F1007" s="44">
        <f>72.6812 * CHOOSE(CONTROL!$C$15, $E$9, 100%, $G$9) + CHOOSE(CONTROL!$C$38, 0.0251, 0)</f>
        <v>72.706299999999999</v>
      </c>
      <c r="G1007" s="14">
        <f>68.9232 * CHOOSE(CONTROL!$C$15, $E$9, 100%, $G$9) + CHOOSE(CONTROL!$C$38, 0.0342, 0)</f>
        <v>68.957399999999993</v>
      </c>
      <c r="H1007" s="14">
        <f>68.9232 * CHOOSE(CONTROL!$C$15, $E$9, 100%, $G$9) + CHOOSE(CONTROL!$C$38, 0.0342, 0)</f>
        <v>68.957399999999993</v>
      </c>
      <c r="I1007" s="14">
        <f>68.9248 * CHOOSE(CONTROL!$C$15, $E$9, 100%, $G$9) + CHOOSE(CONTROL!$C$38, 0.0342, 0)</f>
        <v>68.959000000000003</v>
      </c>
      <c r="J1007" s="43">
        <f>735.8299</f>
        <v>735.82989999999995</v>
      </c>
    </row>
    <row r="1008" spans="1:10" ht="15.75" x14ac:dyDescent="0.25">
      <c r="A1008" s="31">
        <v>71620</v>
      </c>
      <c r="B1008" s="14">
        <f>72.289 * CHOOSE(CONTROL!$C$15, $E$9, 100%, $G$9) + CHOOSE(CONTROL!$C$38, 0.0251, 0)</f>
        <v>72.314099999999996</v>
      </c>
      <c r="C1008" s="14">
        <f>68.4048 * CHOOSE(CONTROL!$C$15, $E$9, 100%, $G$9) + CHOOSE(CONTROL!$C$38, 0.0342, 0)</f>
        <v>68.438999999999993</v>
      </c>
      <c r="D1008" s="14">
        <f>68.397 * CHOOSE(CONTROL!$C$15, $E$9, 100%, $G$9) + CHOOSE(CONTROL!$C$38, 0.0342, 0)</f>
        <v>68.431200000000004</v>
      </c>
      <c r="E1008" s="45">
        <f>72.1327 * CHOOSE(CONTROL!$C$15, $E$9, 100%, $G$9) + CHOOSE(CONTROL!$C$38, 0.0342, 0)</f>
        <v>72.166899999999998</v>
      </c>
      <c r="F1008" s="44">
        <f>72.1327 * CHOOSE(CONTROL!$C$15, $E$9, 100%, $G$9) + CHOOSE(CONTROL!$C$38, 0.0251, 0)</f>
        <v>72.157799999999995</v>
      </c>
      <c r="G1008" s="14">
        <f>68.4033 * CHOOSE(CONTROL!$C$15, $E$9, 100%, $G$9) + CHOOSE(CONTROL!$C$38, 0.0342, 0)</f>
        <v>68.4375</v>
      </c>
      <c r="H1008" s="14">
        <f>68.4033 * CHOOSE(CONTROL!$C$15, $E$9, 100%, $G$9) + CHOOSE(CONTROL!$C$38, 0.0342, 0)</f>
        <v>68.4375</v>
      </c>
      <c r="I1008" s="14">
        <f>68.4048 * CHOOSE(CONTROL!$C$15, $E$9, 100%, $G$9) + CHOOSE(CONTROL!$C$38, 0.0342, 0)</f>
        <v>68.438999999999993</v>
      </c>
      <c r="J1008" s="43">
        <f>735.2987</f>
        <v>735.29870000000005</v>
      </c>
    </row>
    <row r="1009" spans="1:10" ht="15.75" x14ac:dyDescent="0.25">
      <c r="A1009" s="31">
        <v>71649</v>
      </c>
      <c r="B1009" s="14">
        <f>72.0897 * CHOOSE(CONTROL!$C$15, $E$9, 100%, $G$9) + CHOOSE(CONTROL!$C$38, 0.0251, 0)</f>
        <v>72.114799999999988</v>
      </c>
      <c r="C1009" s="14">
        <f>68.216 * CHOOSE(CONTROL!$C$15, $E$9, 100%, $G$9) + CHOOSE(CONTROL!$C$38, 0.0342, 0)</f>
        <v>68.250199999999992</v>
      </c>
      <c r="D1009" s="14">
        <f>68.2082 * CHOOSE(CONTROL!$C$15, $E$9, 100%, $G$9) + CHOOSE(CONTROL!$C$38, 0.0342, 0)</f>
        <v>68.242400000000004</v>
      </c>
      <c r="E1009" s="45">
        <f>71.9335 * CHOOSE(CONTROL!$C$15, $E$9, 100%, $G$9) + CHOOSE(CONTROL!$C$38, 0.0342, 0)</f>
        <v>71.967699999999994</v>
      </c>
      <c r="F1009" s="44">
        <f>71.9335 * CHOOSE(CONTROL!$C$15, $E$9, 100%, $G$9) + CHOOSE(CONTROL!$C$38, 0.0251, 0)</f>
        <v>71.95859999999999</v>
      </c>
      <c r="G1009" s="14">
        <f>68.2144 * CHOOSE(CONTROL!$C$15, $E$9, 100%, $G$9) + CHOOSE(CONTROL!$C$38, 0.0342, 0)</f>
        <v>68.248599999999996</v>
      </c>
      <c r="H1009" s="14">
        <f>68.2144 * CHOOSE(CONTROL!$C$15, $E$9, 100%, $G$9) + CHOOSE(CONTROL!$C$38, 0.0342, 0)</f>
        <v>68.248599999999996</v>
      </c>
      <c r="I1009" s="14">
        <f>68.216 * CHOOSE(CONTROL!$C$15, $E$9, 100%, $G$9) + CHOOSE(CONTROL!$C$38, 0.0342, 0)</f>
        <v>68.250199999999992</v>
      </c>
      <c r="J1009" s="43">
        <f>733.2548</f>
        <v>733.25480000000005</v>
      </c>
    </row>
    <row r="1010" spans="1:10" ht="15.75" x14ac:dyDescent="0.25">
      <c r="A1010" s="31">
        <v>71680</v>
      </c>
      <c r="B1010" s="14">
        <f>75.8568 * CHOOSE(CONTROL!$C$15, $E$9, 100%, $G$9) + CHOOSE(CONTROL!$C$38, 0.0251, 0)</f>
        <v>75.881900000000002</v>
      </c>
      <c r="C1010" s="14">
        <f>71.7871 * CHOOSE(CONTROL!$C$15, $E$9, 100%, $G$9) + CHOOSE(CONTROL!$C$38, 0.0342, 0)</f>
        <v>71.821299999999994</v>
      </c>
      <c r="D1010" s="14">
        <f>71.7793 * CHOOSE(CONTROL!$C$15, $E$9, 100%, $G$9) + CHOOSE(CONTROL!$C$38, 0.0342, 0)</f>
        <v>71.813500000000005</v>
      </c>
      <c r="E1010" s="45">
        <f>75.7005 * CHOOSE(CONTROL!$C$15, $E$9, 100%, $G$9) + CHOOSE(CONTROL!$C$38, 0.0342, 0)</f>
        <v>75.734700000000004</v>
      </c>
      <c r="F1010" s="44">
        <f>75.7005 * CHOOSE(CONTROL!$C$15, $E$9, 100%, $G$9) + CHOOSE(CONTROL!$C$38, 0.0251, 0)</f>
        <v>75.7256</v>
      </c>
      <c r="G1010" s="14">
        <f>71.7855 * CHOOSE(CONTROL!$C$15, $E$9, 100%, $G$9) + CHOOSE(CONTROL!$C$38, 0.0342, 0)</f>
        <v>71.819699999999997</v>
      </c>
      <c r="H1010" s="14">
        <f>71.7855 * CHOOSE(CONTROL!$C$15, $E$9, 100%, $G$9) + CHOOSE(CONTROL!$C$38, 0.0342, 0)</f>
        <v>71.819699999999997</v>
      </c>
      <c r="I1010" s="14">
        <f>71.7871 * CHOOSE(CONTROL!$C$15, $E$9, 100%, $G$9) + CHOOSE(CONTROL!$C$38, 0.0342, 0)</f>
        <v>71.821299999999994</v>
      </c>
      <c r="J1010" s="43">
        <f>771.9016</f>
        <v>771.90160000000003</v>
      </c>
    </row>
    <row r="1011" spans="1:10" ht="15.75" x14ac:dyDescent="0.25">
      <c r="A1011" s="31">
        <v>71710</v>
      </c>
      <c r="B1011" s="14">
        <f>80.7417 * CHOOSE(CONTROL!$C$15, $E$9, 100%, $G$9) + CHOOSE(CONTROL!$C$38, 0.0251, 0)</f>
        <v>80.766799999999989</v>
      </c>
      <c r="C1011" s="14">
        <f>76.4179 * CHOOSE(CONTROL!$C$15, $E$9, 100%, $G$9) + CHOOSE(CONTROL!$C$38, 0.0342, 0)</f>
        <v>76.452100000000002</v>
      </c>
      <c r="D1011" s="14">
        <f>76.4101 * CHOOSE(CONTROL!$C$15, $E$9, 100%, $G$9) + CHOOSE(CONTROL!$C$38, 0.0342, 0)</f>
        <v>76.444299999999998</v>
      </c>
      <c r="E1011" s="45">
        <f>80.5854 * CHOOSE(CONTROL!$C$15, $E$9, 100%, $G$9) + CHOOSE(CONTROL!$C$38, 0.0342, 0)</f>
        <v>80.619600000000005</v>
      </c>
      <c r="F1011" s="44">
        <f>80.5854 * CHOOSE(CONTROL!$C$15, $E$9, 100%, $G$9) + CHOOSE(CONTROL!$C$38, 0.0251, 0)</f>
        <v>80.610500000000002</v>
      </c>
      <c r="G1011" s="14">
        <f>76.4163 * CHOOSE(CONTROL!$C$15, $E$9, 100%, $G$9) + CHOOSE(CONTROL!$C$38, 0.0342, 0)</f>
        <v>76.450500000000005</v>
      </c>
      <c r="H1011" s="14">
        <f>76.4163 * CHOOSE(CONTROL!$C$15, $E$9, 100%, $G$9) + CHOOSE(CONTROL!$C$38, 0.0342, 0)</f>
        <v>76.450500000000005</v>
      </c>
      <c r="I1011" s="14">
        <f>76.4179 * CHOOSE(CONTROL!$C$15, $E$9, 100%, $G$9) + CHOOSE(CONTROL!$C$38, 0.0342, 0)</f>
        <v>76.452100000000002</v>
      </c>
      <c r="J1011" s="43">
        <f>822.0172</f>
        <v>822.0172</v>
      </c>
    </row>
    <row r="1012" spans="1:10" ht="15.75" x14ac:dyDescent="0.25">
      <c r="A1012" s="31">
        <v>71741</v>
      </c>
      <c r="B1012" s="14">
        <f>83.4305 * CHOOSE(CONTROL!$C$15, $E$9, 100%, $G$9) + CHOOSE(CONTROL!$C$38, 0.0264, 0)</f>
        <v>83.45689999999999</v>
      </c>
      <c r="C1012" s="14">
        <f>78.9669 * CHOOSE(CONTROL!$C$15, $E$9, 100%, $G$9) + CHOOSE(CONTROL!$C$38, 0.0354, 0)</f>
        <v>79.002299999999991</v>
      </c>
      <c r="D1012" s="14">
        <f>78.9591 * CHOOSE(CONTROL!$C$15, $E$9, 100%, $G$9) + CHOOSE(CONTROL!$C$38, 0.0354, 0)</f>
        <v>78.994500000000002</v>
      </c>
      <c r="E1012" s="45">
        <f>83.2742 * CHOOSE(CONTROL!$C$15, $E$9, 100%, $G$9) + CHOOSE(CONTROL!$C$38, 0.0354, 0)</f>
        <v>83.309599999999989</v>
      </c>
      <c r="F1012" s="44">
        <f>83.2742 * CHOOSE(CONTROL!$C$15, $E$9, 100%, $G$9) + CHOOSE(CONTROL!$C$38, 0.0264, 0)</f>
        <v>83.300599999999989</v>
      </c>
      <c r="G1012" s="14">
        <f>78.9653 * CHOOSE(CONTROL!$C$15, $E$9, 100%, $G$9) + CHOOSE(CONTROL!$C$38, 0.0354, 0)</f>
        <v>79.000699999999995</v>
      </c>
      <c r="H1012" s="14">
        <f>78.9653 * CHOOSE(CONTROL!$C$15, $E$9, 100%, $G$9) + CHOOSE(CONTROL!$C$38, 0.0354, 0)</f>
        <v>79.000699999999995</v>
      </c>
      <c r="I1012" s="14">
        <f>78.9669 * CHOOSE(CONTROL!$C$15, $E$9, 100%, $G$9) + CHOOSE(CONTROL!$C$38, 0.0354, 0)</f>
        <v>79.002299999999991</v>
      </c>
      <c r="J1012" s="43">
        <f>849.6025</f>
        <v>849.60249999999996</v>
      </c>
    </row>
    <row r="1013" spans="1:10" ht="15.75" x14ac:dyDescent="0.25">
      <c r="A1013" s="31">
        <v>71771</v>
      </c>
      <c r="B1013" s="14">
        <f>84.6237 * CHOOSE(CONTROL!$C$15, $E$9, 100%, $G$9) + CHOOSE(CONTROL!$C$38, 0.0264, 0)</f>
        <v>84.650099999999995</v>
      </c>
      <c r="C1013" s="14">
        <f>80.0981 * CHOOSE(CONTROL!$C$15, $E$9, 100%, $G$9) + CHOOSE(CONTROL!$C$38, 0.0354, 0)</f>
        <v>80.133499999999998</v>
      </c>
      <c r="D1013" s="14">
        <f>80.0902 * CHOOSE(CONTROL!$C$15, $E$9, 100%, $G$9) + CHOOSE(CONTROL!$C$38, 0.0354, 0)</f>
        <v>80.125599999999991</v>
      </c>
      <c r="E1013" s="45">
        <f>84.4675 * CHOOSE(CONTROL!$C$15, $E$9, 100%, $G$9) + CHOOSE(CONTROL!$C$38, 0.0354, 0)</f>
        <v>84.502899999999997</v>
      </c>
      <c r="F1013" s="44">
        <f>84.4675 * CHOOSE(CONTROL!$C$15, $E$9, 100%, $G$9) + CHOOSE(CONTROL!$C$38, 0.0264, 0)</f>
        <v>84.493899999999996</v>
      </c>
      <c r="G1013" s="14">
        <f>80.0965 * CHOOSE(CONTROL!$C$15, $E$9, 100%, $G$9) + CHOOSE(CONTROL!$C$38, 0.0354, 0)</f>
        <v>80.131900000000002</v>
      </c>
      <c r="H1013" s="14">
        <f>80.0965 * CHOOSE(CONTROL!$C$15, $E$9, 100%, $G$9) + CHOOSE(CONTROL!$C$38, 0.0354, 0)</f>
        <v>80.131900000000002</v>
      </c>
      <c r="I1013" s="14">
        <f>80.0981 * CHOOSE(CONTROL!$C$15, $E$9, 100%, $G$9) + CHOOSE(CONTROL!$C$38, 0.0354, 0)</f>
        <v>80.133499999999998</v>
      </c>
      <c r="J1013" s="43">
        <f>861.8443</f>
        <v>861.84429999999998</v>
      </c>
    </row>
    <row r="1014" spans="1:10" ht="15.75" x14ac:dyDescent="0.25">
      <c r="A1014" s="31">
        <v>71802</v>
      </c>
      <c r="B1014" s="14">
        <f>84.2309 * CHOOSE(CONTROL!$C$15, $E$9, 100%, $G$9) + CHOOSE(CONTROL!$C$38, 0.0264, 0)</f>
        <v>84.257300000000001</v>
      </c>
      <c r="C1014" s="14">
        <f>79.7256 * CHOOSE(CONTROL!$C$15, $E$9, 100%, $G$9) + CHOOSE(CONTROL!$C$38, 0.0354, 0)</f>
        <v>79.760999999999996</v>
      </c>
      <c r="D1014" s="14">
        <f>79.7178 * CHOOSE(CONTROL!$C$15, $E$9, 100%, $G$9) + CHOOSE(CONTROL!$C$38, 0.0354, 0)</f>
        <v>79.753199999999993</v>
      </c>
      <c r="E1014" s="45">
        <f>84.0746 * CHOOSE(CONTROL!$C$15, $E$9, 100%, $G$9) + CHOOSE(CONTROL!$C$38, 0.0354, 0)</f>
        <v>84.11</v>
      </c>
      <c r="F1014" s="44">
        <f>84.0746 * CHOOSE(CONTROL!$C$15, $E$9, 100%, $G$9) + CHOOSE(CONTROL!$C$38, 0.0264, 0)</f>
        <v>84.100999999999999</v>
      </c>
      <c r="G1014" s="14">
        <f>79.7241 * CHOOSE(CONTROL!$C$15, $E$9, 100%, $G$9) + CHOOSE(CONTROL!$C$38, 0.0354, 0)</f>
        <v>79.759500000000003</v>
      </c>
      <c r="H1014" s="14">
        <f>79.7241 * CHOOSE(CONTROL!$C$15, $E$9, 100%, $G$9) + CHOOSE(CONTROL!$C$38, 0.0354, 0)</f>
        <v>79.759500000000003</v>
      </c>
      <c r="I1014" s="14">
        <f>79.7256 * CHOOSE(CONTROL!$C$15, $E$9, 100%, $G$9) + CHOOSE(CONTROL!$C$38, 0.0354, 0)</f>
        <v>79.760999999999996</v>
      </c>
      <c r="J1014" s="43">
        <f>857.8137</f>
        <v>857.81370000000004</v>
      </c>
    </row>
    <row r="1015" spans="1:10" ht="15.75" x14ac:dyDescent="0.25">
      <c r="A1015" s="31">
        <v>71833</v>
      </c>
      <c r="B1015" s="14">
        <f>82.2844 * CHOOSE(CONTROL!$C$15, $E$9, 100%, $G$9) + CHOOSE(CONTROL!$C$38, 0.0264, 0)</f>
        <v>82.3108</v>
      </c>
      <c r="C1015" s="14">
        <f>77.8804 * CHOOSE(CONTROL!$C$15, $E$9, 100%, $G$9) + CHOOSE(CONTROL!$C$38, 0.0354, 0)</f>
        <v>77.91579999999999</v>
      </c>
      <c r="D1015" s="14">
        <f>77.8726 * CHOOSE(CONTROL!$C$15, $E$9, 100%, $G$9) + CHOOSE(CONTROL!$C$38, 0.0354, 0)</f>
        <v>77.908000000000001</v>
      </c>
      <c r="E1015" s="45">
        <f>82.1281 * CHOOSE(CONTROL!$C$15, $E$9, 100%, $G$9) + CHOOSE(CONTROL!$C$38, 0.0354, 0)</f>
        <v>82.163499999999999</v>
      </c>
      <c r="F1015" s="44">
        <f>82.1281 * CHOOSE(CONTROL!$C$15, $E$9, 100%, $G$9) + CHOOSE(CONTROL!$C$38, 0.0264, 0)</f>
        <v>82.154499999999999</v>
      </c>
      <c r="G1015" s="14">
        <f>77.8788 * CHOOSE(CONTROL!$C$15, $E$9, 100%, $G$9) + CHOOSE(CONTROL!$C$38, 0.0354, 0)</f>
        <v>77.914199999999994</v>
      </c>
      <c r="H1015" s="14">
        <f>77.8788 * CHOOSE(CONTROL!$C$15, $E$9, 100%, $G$9) + CHOOSE(CONTROL!$C$38, 0.0354, 0)</f>
        <v>77.914199999999994</v>
      </c>
      <c r="I1015" s="14">
        <f>77.8804 * CHOOSE(CONTROL!$C$15, $E$9, 100%, $G$9) + CHOOSE(CONTROL!$C$38, 0.0354, 0)</f>
        <v>77.91579999999999</v>
      </c>
      <c r="J1015" s="43">
        <f>837.8442</f>
        <v>837.8442</v>
      </c>
    </row>
    <row r="1016" spans="1:10" ht="15.75" x14ac:dyDescent="0.25">
      <c r="A1016" s="31">
        <v>71863</v>
      </c>
      <c r="B1016" s="14">
        <f>79.5699 * CHOOSE(CONTROL!$C$15, $E$9, 100%, $G$9) + CHOOSE(CONTROL!$C$38, 0.0264, 0)</f>
        <v>79.596299999999999</v>
      </c>
      <c r="C1016" s="14">
        <f>75.3071 * CHOOSE(CONTROL!$C$15, $E$9, 100%, $G$9) + CHOOSE(CONTROL!$C$38, 0.0354, 0)</f>
        <v>75.342500000000001</v>
      </c>
      <c r="D1016" s="14">
        <f>75.2993 * CHOOSE(CONTROL!$C$15, $E$9, 100%, $G$9) + CHOOSE(CONTROL!$C$38, 0.0354, 0)</f>
        <v>75.334699999999998</v>
      </c>
      <c r="E1016" s="45">
        <f>79.4137 * CHOOSE(CONTROL!$C$15, $E$9, 100%, $G$9) + CHOOSE(CONTROL!$C$38, 0.0354, 0)</f>
        <v>79.449100000000001</v>
      </c>
      <c r="F1016" s="44">
        <f>79.4137 * CHOOSE(CONTROL!$C$15, $E$9, 100%, $G$9) + CHOOSE(CONTROL!$C$38, 0.0264, 0)</f>
        <v>79.440100000000001</v>
      </c>
      <c r="G1016" s="14">
        <f>75.3055 * CHOOSE(CONTROL!$C$15, $E$9, 100%, $G$9) + CHOOSE(CONTROL!$C$38, 0.0354, 0)</f>
        <v>75.340899999999991</v>
      </c>
      <c r="H1016" s="14">
        <f>75.3055 * CHOOSE(CONTROL!$C$15, $E$9, 100%, $G$9) + CHOOSE(CONTROL!$C$38, 0.0354, 0)</f>
        <v>75.340899999999991</v>
      </c>
      <c r="I1016" s="14">
        <f>75.3071 * CHOOSE(CONTROL!$C$15, $E$9, 100%, $G$9) + CHOOSE(CONTROL!$C$38, 0.0354, 0)</f>
        <v>75.342500000000001</v>
      </c>
      <c r="J1016" s="43">
        <f>809.9957</f>
        <v>809.99570000000006</v>
      </c>
    </row>
    <row r="1017" spans="1:10" ht="15.75" x14ac:dyDescent="0.25">
      <c r="A1017" s="31">
        <v>71894</v>
      </c>
      <c r="B1017" s="14">
        <f>76.8396 * CHOOSE(CONTROL!$C$15, $E$9, 100%, $G$9) + CHOOSE(CONTROL!$C$38, 0.0251, 0)</f>
        <v>76.864699999999999</v>
      </c>
      <c r="C1017" s="14">
        <f>72.7188 * CHOOSE(CONTROL!$C$15, $E$9, 100%, $G$9) + CHOOSE(CONTROL!$C$38, 0.0342, 0)</f>
        <v>72.753</v>
      </c>
      <c r="D1017" s="14">
        <f>72.711 * CHOOSE(CONTROL!$C$15, $E$9, 100%, $G$9) + CHOOSE(CONTROL!$C$38, 0.0342, 0)</f>
        <v>72.745199999999997</v>
      </c>
      <c r="E1017" s="45">
        <f>76.6834 * CHOOSE(CONTROL!$C$15, $E$9, 100%, $G$9) + CHOOSE(CONTROL!$C$38, 0.0342, 0)</f>
        <v>76.717600000000004</v>
      </c>
      <c r="F1017" s="44">
        <f>76.6834 * CHOOSE(CONTROL!$C$15, $E$9, 100%, $G$9) + CHOOSE(CONTROL!$C$38, 0.0251, 0)</f>
        <v>76.708500000000001</v>
      </c>
      <c r="G1017" s="14">
        <f>72.7173 * CHOOSE(CONTROL!$C$15, $E$9, 100%, $G$9) + CHOOSE(CONTROL!$C$38, 0.0342, 0)</f>
        <v>72.751499999999993</v>
      </c>
      <c r="H1017" s="14">
        <f>72.7173 * CHOOSE(CONTROL!$C$15, $E$9, 100%, $G$9) + CHOOSE(CONTROL!$C$38, 0.0342, 0)</f>
        <v>72.751499999999993</v>
      </c>
      <c r="I1017" s="14">
        <f>72.7188 * CHOOSE(CONTROL!$C$15, $E$9, 100%, $G$9) + CHOOSE(CONTROL!$C$38, 0.0342, 0)</f>
        <v>72.753</v>
      </c>
      <c r="J1017" s="43">
        <f>781.9852</f>
        <v>781.98519999999996</v>
      </c>
    </row>
    <row r="1018" spans="1:10" ht="15.75" x14ac:dyDescent="0.25">
      <c r="A1018" s="31">
        <v>71924</v>
      </c>
      <c r="B1018" s="14">
        <f>76.2965 * CHOOSE(CONTROL!$C$15, $E$9, 100%, $G$9) + CHOOSE(CONTROL!$C$38, 0.0251, 0)</f>
        <v>76.321599999999989</v>
      </c>
      <c r="C1018" s="14">
        <f>72.204 * CHOOSE(CONTROL!$C$15, $E$9, 100%, $G$9) + CHOOSE(CONTROL!$C$38, 0.0342, 0)</f>
        <v>72.238199999999992</v>
      </c>
      <c r="D1018" s="14">
        <f>72.1962 * CHOOSE(CONTROL!$C$15, $E$9, 100%, $G$9) + CHOOSE(CONTROL!$C$38, 0.0342, 0)</f>
        <v>72.230400000000003</v>
      </c>
      <c r="E1018" s="45">
        <f>76.1403 * CHOOSE(CONTROL!$C$15, $E$9, 100%, $G$9) + CHOOSE(CONTROL!$C$38, 0.0342, 0)</f>
        <v>76.174499999999995</v>
      </c>
      <c r="F1018" s="44">
        <f>76.1403 * CHOOSE(CONTROL!$C$15, $E$9, 100%, $G$9) + CHOOSE(CONTROL!$C$38, 0.0251, 0)</f>
        <v>76.165399999999991</v>
      </c>
      <c r="G1018" s="14">
        <f>72.2024 * CHOOSE(CONTROL!$C$15, $E$9, 100%, $G$9) + CHOOSE(CONTROL!$C$38, 0.0342, 0)</f>
        <v>72.236599999999996</v>
      </c>
      <c r="H1018" s="14">
        <f>72.2024 * CHOOSE(CONTROL!$C$15, $E$9, 100%, $G$9) + CHOOSE(CONTROL!$C$38, 0.0342, 0)</f>
        <v>72.236599999999996</v>
      </c>
      <c r="I1018" s="14">
        <f>72.204 * CHOOSE(CONTROL!$C$15, $E$9, 100%, $G$9) + CHOOSE(CONTROL!$C$38, 0.0342, 0)</f>
        <v>72.238199999999992</v>
      </c>
      <c r="J1018" s="43">
        <f>776.4134</f>
        <v>776.41340000000002</v>
      </c>
    </row>
    <row r="1019" spans="1:10" ht="15.75" x14ac:dyDescent="0.25">
      <c r="A1019" s="31">
        <v>71955</v>
      </c>
      <c r="B1019" s="14">
        <f>74.0507 * CHOOSE(CONTROL!$C$15, $E$9, 100%, $G$9) + CHOOSE(CONTROL!$C$38, 0.0251, 0)</f>
        <v>74.075800000000001</v>
      </c>
      <c r="C1019" s="14">
        <f>70.075 * CHOOSE(CONTROL!$C$15, $E$9, 100%, $G$9) + CHOOSE(CONTROL!$C$38, 0.0342, 0)</f>
        <v>70.109200000000001</v>
      </c>
      <c r="D1019" s="14">
        <f>70.0672 * CHOOSE(CONTROL!$C$15, $E$9, 100%, $G$9) + CHOOSE(CONTROL!$C$38, 0.0342, 0)</f>
        <v>70.101399999999998</v>
      </c>
      <c r="E1019" s="45">
        <f>73.8945 * CHOOSE(CONTROL!$C$15, $E$9, 100%, $G$9) + CHOOSE(CONTROL!$C$38, 0.0342, 0)</f>
        <v>73.928699999999992</v>
      </c>
      <c r="F1019" s="44">
        <f>73.8945 * CHOOSE(CONTROL!$C$15, $E$9, 100%, $G$9) + CHOOSE(CONTROL!$C$38, 0.0251, 0)</f>
        <v>73.919599999999988</v>
      </c>
      <c r="G1019" s="14">
        <f>70.0734 * CHOOSE(CONTROL!$C$15, $E$9, 100%, $G$9) + CHOOSE(CONTROL!$C$38, 0.0342, 0)</f>
        <v>70.107600000000005</v>
      </c>
      <c r="H1019" s="14">
        <f>70.0734 * CHOOSE(CONTROL!$C$15, $E$9, 100%, $G$9) + CHOOSE(CONTROL!$C$38, 0.0342, 0)</f>
        <v>70.107600000000005</v>
      </c>
      <c r="I1019" s="14">
        <f>70.075 * CHOOSE(CONTROL!$C$15, $E$9, 100%, $G$9) + CHOOSE(CONTROL!$C$38, 0.0342, 0)</f>
        <v>70.109200000000001</v>
      </c>
      <c r="J1019" s="43">
        <f>753.3732</f>
        <v>753.3732</v>
      </c>
    </row>
    <row r="1020" spans="1:10" ht="15.75" x14ac:dyDescent="0.25">
      <c r="A1020" s="31">
        <v>71986</v>
      </c>
      <c r="B1020" s="14">
        <f>73.493 * CHOOSE(CONTROL!$C$15, $E$9, 100%, $G$9) + CHOOSE(CONTROL!$C$38, 0.0251, 0)</f>
        <v>73.51809999999999</v>
      </c>
      <c r="C1020" s="14">
        <f>69.5463 * CHOOSE(CONTROL!$C$15, $E$9, 100%, $G$9) + CHOOSE(CONTROL!$C$38, 0.0342, 0)</f>
        <v>69.580500000000001</v>
      </c>
      <c r="D1020" s="14">
        <f>69.5385 * CHOOSE(CONTROL!$C$15, $E$9, 100%, $G$9) + CHOOSE(CONTROL!$C$38, 0.0342, 0)</f>
        <v>69.572699999999998</v>
      </c>
      <c r="E1020" s="45">
        <f>73.3368 * CHOOSE(CONTROL!$C$15, $E$9, 100%, $G$9) + CHOOSE(CONTROL!$C$38, 0.0342, 0)</f>
        <v>73.370999999999995</v>
      </c>
      <c r="F1020" s="44">
        <f>73.3368 * CHOOSE(CONTROL!$C$15, $E$9, 100%, $G$9) + CHOOSE(CONTROL!$C$38, 0.0251, 0)</f>
        <v>73.361899999999991</v>
      </c>
      <c r="G1020" s="14">
        <f>69.5447 * CHOOSE(CONTROL!$C$15, $E$9, 100%, $G$9) + CHOOSE(CONTROL!$C$38, 0.0342, 0)</f>
        <v>69.578900000000004</v>
      </c>
      <c r="H1020" s="14">
        <f>69.5447 * CHOOSE(CONTROL!$C$15, $E$9, 100%, $G$9) + CHOOSE(CONTROL!$C$38, 0.0342, 0)</f>
        <v>69.578900000000004</v>
      </c>
      <c r="I1020" s="14">
        <f>69.5463 * CHOOSE(CONTROL!$C$15, $E$9, 100%, $G$9) + CHOOSE(CONTROL!$C$38, 0.0342, 0)</f>
        <v>69.580500000000001</v>
      </c>
      <c r="J1020" s="43">
        <f>752.8293</f>
        <v>752.82929999999999</v>
      </c>
    </row>
    <row r="1021" spans="1:10" ht="15.75" x14ac:dyDescent="0.25">
      <c r="A1021" s="31">
        <v>72014</v>
      </c>
      <c r="B1021" s="14">
        <f>73.2905 * CHOOSE(CONTROL!$C$15, $E$9, 100%, $G$9) + CHOOSE(CONTROL!$C$38, 0.0251, 0)</f>
        <v>73.315599999999989</v>
      </c>
      <c r="C1021" s="14">
        <f>69.3542 * CHOOSE(CONTROL!$C$15, $E$9, 100%, $G$9) + CHOOSE(CONTROL!$C$38, 0.0342, 0)</f>
        <v>69.388400000000004</v>
      </c>
      <c r="D1021" s="14">
        <f>69.3464 * CHOOSE(CONTROL!$C$15, $E$9, 100%, $G$9) + CHOOSE(CONTROL!$C$38, 0.0342, 0)</f>
        <v>69.380600000000001</v>
      </c>
      <c r="E1021" s="45">
        <f>73.1342 * CHOOSE(CONTROL!$C$15, $E$9, 100%, $G$9) + CHOOSE(CONTROL!$C$38, 0.0342, 0)</f>
        <v>73.168400000000005</v>
      </c>
      <c r="F1021" s="44">
        <f>73.1342 * CHOOSE(CONTROL!$C$15, $E$9, 100%, $G$9) + CHOOSE(CONTROL!$C$38, 0.0251, 0)</f>
        <v>73.159300000000002</v>
      </c>
      <c r="G1021" s="14">
        <f>69.3527 * CHOOSE(CONTROL!$C$15, $E$9, 100%, $G$9) + CHOOSE(CONTROL!$C$38, 0.0342, 0)</f>
        <v>69.386899999999997</v>
      </c>
      <c r="H1021" s="14">
        <f>69.3527 * CHOOSE(CONTROL!$C$15, $E$9, 100%, $G$9) + CHOOSE(CONTROL!$C$38, 0.0342, 0)</f>
        <v>69.386899999999997</v>
      </c>
      <c r="I1021" s="14">
        <f>69.3542 * CHOOSE(CONTROL!$C$15, $E$9, 100%, $G$9) + CHOOSE(CONTROL!$C$38, 0.0342, 0)</f>
        <v>69.388400000000004</v>
      </c>
      <c r="J1021" s="43">
        <f>750.7367</f>
        <v>750.73670000000004</v>
      </c>
    </row>
    <row r="1022" spans="1:10" ht="15.75" x14ac:dyDescent="0.25">
      <c r="A1022" s="31">
        <v>72045</v>
      </c>
      <c r="B1022" s="14">
        <f>77.1208 * CHOOSE(CONTROL!$C$15, $E$9, 100%, $G$9) + CHOOSE(CONTROL!$C$38, 0.0251, 0)</f>
        <v>77.145899999999997</v>
      </c>
      <c r="C1022" s="14">
        <f>72.9853 * CHOOSE(CONTROL!$C$15, $E$9, 100%, $G$9) + CHOOSE(CONTROL!$C$38, 0.0342, 0)</f>
        <v>73.019499999999994</v>
      </c>
      <c r="D1022" s="14">
        <f>72.9775 * CHOOSE(CONTROL!$C$15, $E$9, 100%, $G$9) + CHOOSE(CONTROL!$C$38, 0.0342, 0)</f>
        <v>73.011700000000005</v>
      </c>
      <c r="E1022" s="45">
        <f>76.9645 * CHOOSE(CONTROL!$C$15, $E$9, 100%, $G$9) + CHOOSE(CONTROL!$C$38, 0.0342, 0)</f>
        <v>76.998699999999999</v>
      </c>
      <c r="F1022" s="44">
        <f>76.9645 * CHOOSE(CONTROL!$C$15, $E$9, 100%, $G$9) + CHOOSE(CONTROL!$C$38, 0.0251, 0)</f>
        <v>76.989599999999996</v>
      </c>
      <c r="G1022" s="14">
        <f>72.9838 * CHOOSE(CONTROL!$C$15, $E$9, 100%, $G$9) + CHOOSE(CONTROL!$C$38, 0.0342, 0)</f>
        <v>73.018000000000001</v>
      </c>
      <c r="H1022" s="14">
        <f>72.9838 * CHOOSE(CONTROL!$C$15, $E$9, 100%, $G$9) + CHOOSE(CONTROL!$C$38, 0.0342, 0)</f>
        <v>73.018000000000001</v>
      </c>
      <c r="I1022" s="14">
        <f>72.9853 * CHOOSE(CONTROL!$C$15, $E$9, 100%, $G$9) + CHOOSE(CONTROL!$C$38, 0.0342, 0)</f>
        <v>73.019499999999994</v>
      </c>
      <c r="J1022" s="43">
        <f>790.3049</f>
        <v>790.30489999999998</v>
      </c>
    </row>
    <row r="1023" spans="1:10" ht="15.75" x14ac:dyDescent="0.25">
      <c r="A1023" s="31">
        <v>72075</v>
      </c>
      <c r="B1023" s="14">
        <f>82.0877 * CHOOSE(CONTROL!$C$15, $E$9, 100%, $G$9) + CHOOSE(CONTROL!$C$38, 0.0251, 0)</f>
        <v>82.112799999999993</v>
      </c>
      <c r="C1023" s="14">
        <f>77.694 * CHOOSE(CONTROL!$C$15, $E$9, 100%, $G$9) + CHOOSE(CONTROL!$C$38, 0.0342, 0)</f>
        <v>77.728200000000001</v>
      </c>
      <c r="D1023" s="14">
        <f>77.6861 * CHOOSE(CONTROL!$C$15, $E$9, 100%, $G$9) + CHOOSE(CONTROL!$C$38, 0.0342, 0)</f>
        <v>77.720299999999995</v>
      </c>
      <c r="E1023" s="45">
        <f>81.9315 * CHOOSE(CONTROL!$C$15, $E$9, 100%, $G$9) + CHOOSE(CONTROL!$C$38, 0.0342, 0)</f>
        <v>81.965699999999998</v>
      </c>
      <c r="F1023" s="44">
        <f>81.9315 * CHOOSE(CONTROL!$C$15, $E$9, 100%, $G$9) + CHOOSE(CONTROL!$C$38, 0.0251, 0)</f>
        <v>81.956599999999995</v>
      </c>
      <c r="G1023" s="14">
        <f>77.6924 * CHOOSE(CONTROL!$C$15, $E$9, 100%, $G$9) + CHOOSE(CONTROL!$C$38, 0.0342, 0)</f>
        <v>77.726600000000005</v>
      </c>
      <c r="H1023" s="14">
        <f>77.6924 * CHOOSE(CONTROL!$C$15, $E$9, 100%, $G$9) + CHOOSE(CONTROL!$C$38, 0.0342, 0)</f>
        <v>77.726600000000005</v>
      </c>
      <c r="I1023" s="14">
        <f>77.694 * CHOOSE(CONTROL!$C$15, $E$9, 100%, $G$9) + CHOOSE(CONTROL!$C$38, 0.0342, 0)</f>
        <v>77.728200000000001</v>
      </c>
      <c r="J1023" s="43">
        <f>841.6153</f>
        <v>841.61530000000005</v>
      </c>
    </row>
    <row r="1024" spans="1:10" ht="15.75" x14ac:dyDescent="0.25">
      <c r="A1024" s="31">
        <v>72106</v>
      </c>
      <c r="B1024" s="14">
        <f>84.8217 * CHOOSE(CONTROL!$C$15, $E$9, 100%, $G$9) + CHOOSE(CONTROL!$C$38, 0.0264, 0)</f>
        <v>84.848100000000002</v>
      </c>
      <c r="C1024" s="14">
        <f>80.2857 * CHOOSE(CONTROL!$C$15, $E$9, 100%, $G$9) + CHOOSE(CONTROL!$C$38, 0.0354, 0)</f>
        <v>80.321100000000001</v>
      </c>
      <c r="D1024" s="14">
        <f>80.2779 * CHOOSE(CONTROL!$C$15, $E$9, 100%, $G$9) + CHOOSE(CONTROL!$C$38, 0.0354, 0)</f>
        <v>80.313299999999998</v>
      </c>
      <c r="E1024" s="45">
        <f>84.6655 * CHOOSE(CONTROL!$C$15, $E$9, 100%, $G$9) + CHOOSE(CONTROL!$C$38, 0.0354, 0)</f>
        <v>84.70089999999999</v>
      </c>
      <c r="F1024" s="44">
        <f>84.6655 * CHOOSE(CONTROL!$C$15, $E$9, 100%, $G$9) + CHOOSE(CONTROL!$C$38, 0.0264, 0)</f>
        <v>84.69189999999999</v>
      </c>
      <c r="G1024" s="14">
        <f>80.2842 * CHOOSE(CONTROL!$C$15, $E$9, 100%, $G$9) + CHOOSE(CONTROL!$C$38, 0.0354, 0)</f>
        <v>80.319599999999994</v>
      </c>
      <c r="H1024" s="14">
        <f>80.2842 * CHOOSE(CONTROL!$C$15, $E$9, 100%, $G$9) + CHOOSE(CONTROL!$C$38, 0.0354, 0)</f>
        <v>80.319599999999994</v>
      </c>
      <c r="I1024" s="14">
        <f>80.2857 * CHOOSE(CONTROL!$C$15, $E$9, 100%, $G$9) + CHOOSE(CONTROL!$C$38, 0.0354, 0)</f>
        <v>80.321100000000001</v>
      </c>
      <c r="J1024" s="43">
        <f>869.8583</f>
        <v>869.85829999999999</v>
      </c>
    </row>
    <row r="1025" spans="1:10" ht="15.75" x14ac:dyDescent="0.25">
      <c r="A1025" s="31">
        <v>72136</v>
      </c>
      <c r="B1025" s="14">
        <f>86.035 * CHOOSE(CONTROL!$C$15, $E$9, 100%, $G$9) + CHOOSE(CONTROL!$C$38, 0.0264, 0)</f>
        <v>86.061399999999992</v>
      </c>
      <c r="C1025" s="14">
        <f>81.4359 * CHOOSE(CONTROL!$C$15, $E$9, 100%, $G$9) + CHOOSE(CONTROL!$C$38, 0.0354, 0)</f>
        <v>81.471299999999999</v>
      </c>
      <c r="D1025" s="14">
        <f>81.4281 * CHOOSE(CONTROL!$C$15, $E$9, 100%, $G$9) + CHOOSE(CONTROL!$C$38, 0.0354, 0)</f>
        <v>81.463499999999996</v>
      </c>
      <c r="E1025" s="45">
        <f>85.8788 * CHOOSE(CONTROL!$C$15, $E$9, 100%, $G$9) + CHOOSE(CONTROL!$C$38, 0.0354, 0)</f>
        <v>85.914199999999994</v>
      </c>
      <c r="F1025" s="44">
        <f>85.8788 * CHOOSE(CONTROL!$C$15, $E$9, 100%, $G$9) + CHOOSE(CONTROL!$C$38, 0.0264, 0)</f>
        <v>85.905199999999994</v>
      </c>
      <c r="G1025" s="14">
        <f>81.4344 * CHOOSE(CONTROL!$C$15, $E$9, 100%, $G$9) + CHOOSE(CONTROL!$C$38, 0.0354, 0)</f>
        <v>81.469799999999992</v>
      </c>
      <c r="H1025" s="14">
        <f>81.4344 * CHOOSE(CONTROL!$C$15, $E$9, 100%, $G$9) + CHOOSE(CONTROL!$C$38, 0.0354, 0)</f>
        <v>81.469799999999992</v>
      </c>
      <c r="I1025" s="14">
        <f>81.4359 * CHOOSE(CONTROL!$C$15, $E$9, 100%, $G$9) + CHOOSE(CONTROL!$C$38, 0.0354, 0)</f>
        <v>81.471299999999999</v>
      </c>
      <c r="J1025" s="43">
        <f>882.392</f>
        <v>882.39200000000005</v>
      </c>
    </row>
    <row r="1026" spans="1:10" ht="15.75" x14ac:dyDescent="0.25">
      <c r="A1026" s="31">
        <v>72167</v>
      </c>
      <c r="B1026" s="14">
        <f>85.6356 * CHOOSE(CONTROL!$C$15, $E$9, 100%, $G$9) + CHOOSE(CONTROL!$C$38, 0.0264, 0)</f>
        <v>85.661999999999992</v>
      </c>
      <c r="C1026" s="14">
        <f>81.0572 * CHOOSE(CONTROL!$C$15, $E$9, 100%, $G$9) + CHOOSE(CONTROL!$C$38, 0.0354, 0)</f>
        <v>81.09259999999999</v>
      </c>
      <c r="D1026" s="14">
        <f>81.0494 * CHOOSE(CONTROL!$C$15, $E$9, 100%, $G$9) + CHOOSE(CONTROL!$C$38, 0.0354, 0)</f>
        <v>81.084800000000001</v>
      </c>
      <c r="E1026" s="45">
        <f>85.4793 * CHOOSE(CONTROL!$C$15, $E$9, 100%, $G$9) + CHOOSE(CONTROL!$C$38, 0.0354, 0)</f>
        <v>85.514699999999991</v>
      </c>
      <c r="F1026" s="44">
        <f>85.4793 * CHOOSE(CONTROL!$C$15, $E$9, 100%, $G$9) + CHOOSE(CONTROL!$C$38, 0.0264, 0)</f>
        <v>85.50569999999999</v>
      </c>
      <c r="G1026" s="14">
        <f>81.0557 * CHOOSE(CONTROL!$C$15, $E$9, 100%, $G$9) + CHOOSE(CONTROL!$C$38, 0.0354, 0)</f>
        <v>81.091099999999997</v>
      </c>
      <c r="H1026" s="14">
        <f>81.0557 * CHOOSE(CONTROL!$C$15, $E$9, 100%, $G$9) + CHOOSE(CONTROL!$C$38, 0.0354, 0)</f>
        <v>81.091099999999997</v>
      </c>
      <c r="I1026" s="14">
        <f>81.0572 * CHOOSE(CONTROL!$C$15, $E$9, 100%, $G$9) + CHOOSE(CONTROL!$C$38, 0.0354, 0)</f>
        <v>81.09259999999999</v>
      </c>
      <c r="J1026" s="43">
        <f>878.2653</f>
        <v>878.26530000000002</v>
      </c>
    </row>
    <row r="1027" spans="1:10" ht="15.75" x14ac:dyDescent="0.25">
      <c r="A1027" s="31">
        <v>72198</v>
      </c>
      <c r="B1027" s="14">
        <f>83.6564 * CHOOSE(CONTROL!$C$15, $E$9, 100%, $G$9) + CHOOSE(CONTROL!$C$38, 0.0264, 0)</f>
        <v>83.6828</v>
      </c>
      <c r="C1027" s="14">
        <f>79.181 * CHOOSE(CONTROL!$C$15, $E$9, 100%, $G$9) + CHOOSE(CONTROL!$C$38, 0.0354, 0)</f>
        <v>79.216399999999993</v>
      </c>
      <c r="D1027" s="14">
        <f>79.1732 * CHOOSE(CONTROL!$C$15, $E$9, 100%, $G$9) + CHOOSE(CONTROL!$C$38, 0.0354, 0)</f>
        <v>79.20859999999999</v>
      </c>
      <c r="E1027" s="45">
        <f>83.5001 * CHOOSE(CONTROL!$C$15, $E$9, 100%, $G$9) + CHOOSE(CONTROL!$C$38, 0.0354, 0)</f>
        <v>83.535499999999999</v>
      </c>
      <c r="F1027" s="44">
        <f>83.5001 * CHOOSE(CONTROL!$C$15, $E$9, 100%, $G$9) + CHOOSE(CONTROL!$C$38, 0.0264, 0)</f>
        <v>83.526499999999999</v>
      </c>
      <c r="G1027" s="14">
        <f>79.1794 * CHOOSE(CONTROL!$C$15, $E$9, 100%, $G$9) + CHOOSE(CONTROL!$C$38, 0.0354, 0)</f>
        <v>79.214799999999997</v>
      </c>
      <c r="H1027" s="14">
        <f>79.1794 * CHOOSE(CONTROL!$C$15, $E$9, 100%, $G$9) + CHOOSE(CONTROL!$C$38, 0.0354, 0)</f>
        <v>79.214799999999997</v>
      </c>
      <c r="I1027" s="14">
        <f>79.181 * CHOOSE(CONTROL!$C$15, $E$9, 100%, $G$9) + CHOOSE(CONTROL!$C$38, 0.0354, 0)</f>
        <v>79.216399999999993</v>
      </c>
      <c r="J1027" s="43">
        <f>857.8196</f>
        <v>857.81960000000004</v>
      </c>
    </row>
    <row r="1028" spans="1:10" ht="15.75" x14ac:dyDescent="0.25">
      <c r="A1028" s="31">
        <v>72228</v>
      </c>
      <c r="B1028" s="14">
        <f>80.8963 * CHOOSE(CONTROL!$C$15, $E$9, 100%, $G$9) + CHOOSE(CONTROL!$C$38, 0.0264, 0)</f>
        <v>80.922699999999992</v>
      </c>
      <c r="C1028" s="14">
        <f>76.5645 * CHOOSE(CONTROL!$C$15, $E$9, 100%, $G$9) + CHOOSE(CONTROL!$C$38, 0.0354, 0)</f>
        <v>76.599899999999991</v>
      </c>
      <c r="D1028" s="14">
        <f>76.5567 * CHOOSE(CONTROL!$C$15, $E$9, 100%, $G$9) + CHOOSE(CONTROL!$C$38, 0.0354, 0)</f>
        <v>76.592100000000002</v>
      </c>
      <c r="E1028" s="45">
        <f>80.74 * CHOOSE(CONTROL!$C$15, $E$9, 100%, $G$9) + CHOOSE(CONTROL!$C$38, 0.0354, 0)</f>
        <v>80.775399999999991</v>
      </c>
      <c r="F1028" s="44">
        <f>80.74 * CHOOSE(CONTROL!$C$15, $E$9, 100%, $G$9) + CHOOSE(CONTROL!$C$38, 0.0264, 0)</f>
        <v>80.76639999999999</v>
      </c>
      <c r="G1028" s="14">
        <f>76.5629 * CHOOSE(CONTROL!$C$15, $E$9, 100%, $G$9) + CHOOSE(CONTROL!$C$38, 0.0354, 0)</f>
        <v>76.598299999999995</v>
      </c>
      <c r="H1028" s="14">
        <f>76.5629 * CHOOSE(CONTROL!$C$15, $E$9, 100%, $G$9) + CHOOSE(CONTROL!$C$38, 0.0354, 0)</f>
        <v>76.598299999999995</v>
      </c>
      <c r="I1028" s="14">
        <f>76.5645 * CHOOSE(CONTROL!$C$15, $E$9, 100%, $G$9) + CHOOSE(CONTROL!$C$38, 0.0354, 0)</f>
        <v>76.599899999999991</v>
      </c>
      <c r="J1028" s="43">
        <f>829.3072</f>
        <v>829.30719999999997</v>
      </c>
    </row>
    <row r="1029" spans="1:10" ht="15.75" x14ac:dyDescent="0.25">
      <c r="A1029" s="31">
        <v>72259</v>
      </c>
      <c r="B1029" s="14">
        <f>78.1202 * CHOOSE(CONTROL!$C$15, $E$9, 100%, $G$9) + CHOOSE(CONTROL!$C$38, 0.0251, 0)</f>
        <v>78.145299999999992</v>
      </c>
      <c r="C1029" s="14">
        <f>73.9327 * CHOOSE(CONTROL!$C$15, $E$9, 100%, $G$9) + CHOOSE(CONTROL!$C$38, 0.0342, 0)</f>
        <v>73.966899999999995</v>
      </c>
      <c r="D1029" s="14">
        <f>73.9249 * CHOOSE(CONTROL!$C$15, $E$9, 100%, $G$9) + CHOOSE(CONTROL!$C$38, 0.0342, 0)</f>
        <v>73.959099999999992</v>
      </c>
      <c r="E1029" s="45">
        <f>77.9639 * CHOOSE(CONTROL!$C$15, $E$9, 100%, $G$9) + CHOOSE(CONTROL!$C$38, 0.0342, 0)</f>
        <v>77.998099999999994</v>
      </c>
      <c r="F1029" s="44">
        <f>77.9639 * CHOOSE(CONTROL!$C$15, $E$9, 100%, $G$9) + CHOOSE(CONTROL!$C$38, 0.0251, 0)</f>
        <v>77.98899999999999</v>
      </c>
      <c r="G1029" s="14">
        <f>73.9312 * CHOOSE(CONTROL!$C$15, $E$9, 100%, $G$9) + CHOOSE(CONTROL!$C$38, 0.0342, 0)</f>
        <v>73.965400000000002</v>
      </c>
      <c r="H1029" s="14">
        <f>73.9312 * CHOOSE(CONTROL!$C$15, $E$9, 100%, $G$9) + CHOOSE(CONTROL!$C$38, 0.0342, 0)</f>
        <v>73.965400000000002</v>
      </c>
      <c r="I1029" s="14">
        <f>73.9327 * CHOOSE(CONTROL!$C$15, $E$9, 100%, $G$9) + CHOOSE(CONTROL!$C$38, 0.0342, 0)</f>
        <v>73.966899999999995</v>
      </c>
      <c r="J1029" s="43">
        <f>800.6289</f>
        <v>800.62890000000004</v>
      </c>
    </row>
    <row r="1030" spans="1:10" ht="15.75" x14ac:dyDescent="0.25">
      <c r="A1030" s="31">
        <v>72289</v>
      </c>
      <c r="B1030" s="14">
        <f>77.5679 * CHOOSE(CONTROL!$C$15, $E$9, 100%, $G$9) + CHOOSE(CONTROL!$C$38, 0.0251, 0)</f>
        <v>77.592999999999989</v>
      </c>
      <c r="C1030" s="14">
        <f>73.4092 * CHOOSE(CONTROL!$C$15, $E$9, 100%, $G$9) + CHOOSE(CONTROL!$C$38, 0.0342, 0)</f>
        <v>73.443399999999997</v>
      </c>
      <c r="D1030" s="14">
        <f>73.4014 * CHOOSE(CONTROL!$C$15, $E$9, 100%, $G$9) + CHOOSE(CONTROL!$C$38, 0.0342, 0)</f>
        <v>73.435599999999994</v>
      </c>
      <c r="E1030" s="45">
        <f>77.4117 * CHOOSE(CONTROL!$C$15, $E$9, 100%, $G$9) + CHOOSE(CONTROL!$C$38, 0.0342, 0)</f>
        <v>77.445899999999995</v>
      </c>
      <c r="F1030" s="44">
        <f>77.4117 * CHOOSE(CONTROL!$C$15, $E$9, 100%, $G$9) + CHOOSE(CONTROL!$C$38, 0.0251, 0)</f>
        <v>77.436799999999991</v>
      </c>
      <c r="G1030" s="14">
        <f>73.4077 * CHOOSE(CONTROL!$C$15, $E$9, 100%, $G$9) + CHOOSE(CONTROL!$C$38, 0.0342, 0)</f>
        <v>73.441900000000004</v>
      </c>
      <c r="H1030" s="14">
        <f>73.4077 * CHOOSE(CONTROL!$C$15, $E$9, 100%, $G$9) + CHOOSE(CONTROL!$C$38, 0.0342, 0)</f>
        <v>73.441900000000004</v>
      </c>
      <c r="I1030" s="14">
        <f>73.4092 * CHOOSE(CONTROL!$C$15, $E$9, 100%, $G$9) + CHOOSE(CONTROL!$C$38, 0.0342, 0)</f>
        <v>73.443399999999997</v>
      </c>
      <c r="J1030" s="43">
        <f>794.9242</f>
        <v>794.92420000000004</v>
      </c>
    </row>
    <row r="1031" spans="1:10" ht="15.75" x14ac:dyDescent="0.25">
      <c r="A1031" s="31">
        <v>72320</v>
      </c>
      <c r="B1031" s="14">
        <f>75.2844 * CHOOSE(CONTROL!$C$15, $E$9, 100%, $G$9) + CHOOSE(CONTROL!$C$38, 0.0251, 0)</f>
        <v>75.3095</v>
      </c>
      <c r="C1031" s="14">
        <f>71.2445 * CHOOSE(CONTROL!$C$15, $E$9, 100%, $G$9) + CHOOSE(CONTROL!$C$38, 0.0342, 0)</f>
        <v>71.278700000000001</v>
      </c>
      <c r="D1031" s="14">
        <f>71.2367 * CHOOSE(CONTROL!$C$15, $E$9, 100%, $G$9) + CHOOSE(CONTROL!$C$38, 0.0342, 0)</f>
        <v>71.270899999999997</v>
      </c>
      <c r="E1031" s="45">
        <f>75.1282 * CHOOSE(CONTROL!$C$15, $E$9, 100%, $G$9) + CHOOSE(CONTROL!$C$38, 0.0342, 0)</f>
        <v>75.162400000000005</v>
      </c>
      <c r="F1031" s="44">
        <f>75.1282 * CHOOSE(CONTROL!$C$15, $E$9, 100%, $G$9) + CHOOSE(CONTROL!$C$38, 0.0251, 0)</f>
        <v>75.153300000000002</v>
      </c>
      <c r="G1031" s="14">
        <f>71.2429 * CHOOSE(CONTROL!$C$15, $E$9, 100%, $G$9) + CHOOSE(CONTROL!$C$38, 0.0342, 0)</f>
        <v>71.277100000000004</v>
      </c>
      <c r="H1031" s="14">
        <f>71.2429 * CHOOSE(CONTROL!$C$15, $E$9, 100%, $G$9) + CHOOSE(CONTROL!$C$38, 0.0342, 0)</f>
        <v>71.277100000000004</v>
      </c>
      <c r="I1031" s="14">
        <f>71.2445 * CHOOSE(CONTROL!$C$15, $E$9, 100%, $G$9) + CHOOSE(CONTROL!$C$38, 0.0342, 0)</f>
        <v>71.278700000000001</v>
      </c>
      <c r="J1031" s="43">
        <f>771.3348</f>
        <v>771.33479999999997</v>
      </c>
    </row>
    <row r="1032" spans="1:10" ht="15.75" x14ac:dyDescent="0.25">
      <c r="A1032" s="31">
        <v>72351</v>
      </c>
      <c r="B1032" s="14">
        <f>74.7173 * CHOOSE(CONTROL!$C$15, $E$9, 100%, $G$9) + CHOOSE(CONTROL!$C$38, 0.0251, 0)</f>
        <v>74.742399999999989</v>
      </c>
      <c r="C1032" s="14">
        <f>70.7069 * CHOOSE(CONTROL!$C$15, $E$9, 100%, $G$9) + CHOOSE(CONTROL!$C$38, 0.0342, 0)</f>
        <v>70.741100000000003</v>
      </c>
      <c r="D1032" s="14">
        <f>70.6991 * CHOOSE(CONTROL!$C$15, $E$9, 100%, $G$9) + CHOOSE(CONTROL!$C$38, 0.0342, 0)</f>
        <v>70.7333</v>
      </c>
      <c r="E1032" s="45">
        <f>74.5611 * CHOOSE(CONTROL!$C$15, $E$9, 100%, $G$9) + CHOOSE(CONTROL!$C$38, 0.0342, 0)</f>
        <v>74.595299999999995</v>
      </c>
      <c r="F1032" s="44">
        <f>74.5611 * CHOOSE(CONTROL!$C$15, $E$9, 100%, $G$9) + CHOOSE(CONTROL!$C$38, 0.0251, 0)</f>
        <v>74.586199999999991</v>
      </c>
      <c r="G1032" s="14">
        <f>70.7053 * CHOOSE(CONTROL!$C$15, $E$9, 100%, $G$9) + CHOOSE(CONTROL!$C$38, 0.0342, 0)</f>
        <v>70.739499999999992</v>
      </c>
      <c r="H1032" s="14">
        <f>70.7053 * CHOOSE(CONTROL!$C$15, $E$9, 100%, $G$9) + CHOOSE(CONTROL!$C$38, 0.0342, 0)</f>
        <v>70.739499999999992</v>
      </c>
      <c r="I1032" s="14">
        <f>70.7069 * CHOOSE(CONTROL!$C$15, $E$9, 100%, $G$9) + CHOOSE(CONTROL!$C$38, 0.0342, 0)</f>
        <v>70.741100000000003</v>
      </c>
      <c r="J1032" s="43">
        <f>770.7779</f>
        <v>770.77790000000005</v>
      </c>
    </row>
    <row r="1033" spans="1:10" ht="15.75" x14ac:dyDescent="0.25">
      <c r="A1033" s="31">
        <v>72379</v>
      </c>
      <c r="B1033" s="14">
        <f>74.5114 * CHOOSE(CONTROL!$C$15, $E$9, 100%, $G$9) + CHOOSE(CONTROL!$C$38, 0.0251, 0)</f>
        <v>74.53649999999999</v>
      </c>
      <c r="C1033" s="14">
        <f>70.5116 * CHOOSE(CONTROL!$C$15, $E$9, 100%, $G$9) + CHOOSE(CONTROL!$C$38, 0.0342, 0)</f>
        <v>70.5458</v>
      </c>
      <c r="D1033" s="14">
        <f>70.5038 * CHOOSE(CONTROL!$C$15, $E$9, 100%, $G$9) + CHOOSE(CONTROL!$C$38, 0.0342, 0)</f>
        <v>70.537999999999997</v>
      </c>
      <c r="E1033" s="45">
        <f>74.3551 * CHOOSE(CONTROL!$C$15, $E$9, 100%, $G$9) + CHOOSE(CONTROL!$C$38, 0.0342, 0)</f>
        <v>74.389299999999992</v>
      </c>
      <c r="F1033" s="44">
        <f>74.3551 * CHOOSE(CONTROL!$C$15, $E$9, 100%, $G$9) + CHOOSE(CONTROL!$C$38, 0.0251, 0)</f>
        <v>74.380199999999988</v>
      </c>
      <c r="G1033" s="14">
        <f>70.5101 * CHOOSE(CONTROL!$C$15, $E$9, 100%, $G$9) + CHOOSE(CONTROL!$C$38, 0.0342, 0)</f>
        <v>70.544299999999993</v>
      </c>
      <c r="H1033" s="14">
        <f>70.5101 * CHOOSE(CONTROL!$C$15, $E$9, 100%, $G$9) + CHOOSE(CONTROL!$C$38, 0.0342, 0)</f>
        <v>70.544299999999993</v>
      </c>
      <c r="I1033" s="14">
        <f>70.5116 * CHOOSE(CONTROL!$C$15, $E$9, 100%, $G$9) + CHOOSE(CONTROL!$C$38, 0.0342, 0)</f>
        <v>70.5458</v>
      </c>
      <c r="J1033" s="43">
        <f>768.6354</f>
        <v>768.6354</v>
      </c>
    </row>
    <row r="1034" spans="1:10" ht="15.75" x14ac:dyDescent="0.25">
      <c r="A1034" s="31">
        <v>72410</v>
      </c>
      <c r="B1034" s="14">
        <f>78.406 * CHOOSE(CONTROL!$C$15, $E$9, 100%, $G$9) + CHOOSE(CONTROL!$C$38, 0.0251, 0)</f>
        <v>78.431100000000001</v>
      </c>
      <c r="C1034" s="14">
        <f>74.2037 * CHOOSE(CONTROL!$C$15, $E$9, 100%, $G$9) + CHOOSE(CONTROL!$C$38, 0.0342, 0)</f>
        <v>74.237899999999996</v>
      </c>
      <c r="D1034" s="14">
        <f>74.1959 * CHOOSE(CONTROL!$C$15, $E$9, 100%, $G$9) + CHOOSE(CONTROL!$C$38, 0.0342, 0)</f>
        <v>74.230099999999993</v>
      </c>
      <c r="E1034" s="45">
        <f>78.2498 * CHOOSE(CONTROL!$C$15, $E$9, 100%, $G$9) + CHOOSE(CONTROL!$C$38, 0.0342, 0)</f>
        <v>78.283999999999992</v>
      </c>
      <c r="F1034" s="44">
        <f>78.2498 * CHOOSE(CONTROL!$C$15, $E$9, 100%, $G$9) + CHOOSE(CONTROL!$C$38, 0.0251, 0)</f>
        <v>78.274899999999988</v>
      </c>
      <c r="G1034" s="14">
        <f>74.2022 * CHOOSE(CONTROL!$C$15, $E$9, 100%, $G$9) + CHOOSE(CONTROL!$C$38, 0.0342, 0)</f>
        <v>74.236400000000003</v>
      </c>
      <c r="H1034" s="14">
        <f>74.2022 * CHOOSE(CONTROL!$C$15, $E$9, 100%, $G$9) + CHOOSE(CONTROL!$C$38, 0.0342, 0)</f>
        <v>74.236400000000003</v>
      </c>
      <c r="I1034" s="14">
        <f>74.2037 * CHOOSE(CONTROL!$C$15, $E$9, 100%, $G$9) + CHOOSE(CONTROL!$C$38, 0.0342, 0)</f>
        <v>74.237899999999996</v>
      </c>
      <c r="J1034" s="43">
        <f>809.1469</f>
        <v>809.14689999999996</v>
      </c>
    </row>
    <row r="1035" spans="1:10" ht="15.75" x14ac:dyDescent="0.25">
      <c r="A1035" s="31">
        <v>72440</v>
      </c>
      <c r="B1035" s="14">
        <f>83.4564 * CHOOSE(CONTROL!$C$15, $E$9, 100%, $G$9) + CHOOSE(CONTROL!$C$38, 0.0251, 0)</f>
        <v>83.481499999999997</v>
      </c>
      <c r="C1035" s="14">
        <f>78.9915 * CHOOSE(CONTROL!$C$15, $E$9, 100%, $G$9) + CHOOSE(CONTROL!$C$38, 0.0342, 0)</f>
        <v>79.025700000000001</v>
      </c>
      <c r="D1035" s="14">
        <f>78.9836 * CHOOSE(CONTROL!$C$15, $E$9, 100%, $G$9) + CHOOSE(CONTROL!$C$38, 0.0342, 0)</f>
        <v>79.017799999999994</v>
      </c>
      <c r="E1035" s="45">
        <f>83.3002 * CHOOSE(CONTROL!$C$15, $E$9, 100%, $G$9) + CHOOSE(CONTROL!$C$38, 0.0342, 0)</f>
        <v>83.334400000000002</v>
      </c>
      <c r="F1035" s="44">
        <f>83.3002 * CHOOSE(CONTROL!$C$15, $E$9, 100%, $G$9) + CHOOSE(CONTROL!$C$38, 0.0251, 0)</f>
        <v>83.325299999999999</v>
      </c>
      <c r="G1035" s="14">
        <f>78.9899 * CHOOSE(CONTROL!$C$15, $E$9, 100%, $G$9) + CHOOSE(CONTROL!$C$38, 0.0342, 0)</f>
        <v>79.024100000000004</v>
      </c>
      <c r="H1035" s="14">
        <f>78.9899 * CHOOSE(CONTROL!$C$15, $E$9, 100%, $G$9) + CHOOSE(CONTROL!$C$38, 0.0342, 0)</f>
        <v>79.024100000000004</v>
      </c>
      <c r="I1035" s="14">
        <f>78.9915 * CHOOSE(CONTROL!$C$15, $E$9, 100%, $G$9) + CHOOSE(CONTROL!$C$38, 0.0342, 0)</f>
        <v>79.025700000000001</v>
      </c>
      <c r="J1035" s="43">
        <f>861.6807</f>
        <v>861.6807</v>
      </c>
    </row>
    <row r="1036" spans="1:10" ht="15.75" x14ac:dyDescent="0.25">
      <c r="A1036" s="31">
        <v>72471</v>
      </c>
      <c r="B1036" s="14">
        <f>86.2364 * CHOOSE(CONTROL!$C$15, $E$9, 100%, $G$9) + CHOOSE(CONTROL!$C$38, 0.0264, 0)</f>
        <v>86.262799999999999</v>
      </c>
      <c r="C1036" s="14">
        <f>81.6268 * CHOOSE(CONTROL!$C$15, $E$9, 100%, $G$9) + CHOOSE(CONTROL!$C$38, 0.0354, 0)</f>
        <v>81.662199999999999</v>
      </c>
      <c r="D1036" s="14">
        <f>81.619 * CHOOSE(CONTROL!$C$15, $E$9, 100%, $G$9) + CHOOSE(CONTROL!$C$38, 0.0354, 0)</f>
        <v>81.654399999999995</v>
      </c>
      <c r="E1036" s="45">
        <f>86.0801 * CHOOSE(CONTROL!$C$15, $E$9, 100%, $G$9) + CHOOSE(CONTROL!$C$38, 0.0354, 0)</f>
        <v>86.115499999999997</v>
      </c>
      <c r="F1036" s="44">
        <f>86.0801 * CHOOSE(CONTROL!$C$15, $E$9, 100%, $G$9) + CHOOSE(CONTROL!$C$38, 0.0264, 0)</f>
        <v>86.106499999999997</v>
      </c>
      <c r="G1036" s="14">
        <f>81.6252 * CHOOSE(CONTROL!$C$15, $E$9, 100%, $G$9) + CHOOSE(CONTROL!$C$38, 0.0354, 0)</f>
        <v>81.660600000000002</v>
      </c>
      <c r="H1036" s="14">
        <f>81.6252 * CHOOSE(CONTROL!$C$15, $E$9, 100%, $G$9) + CHOOSE(CONTROL!$C$38, 0.0354, 0)</f>
        <v>81.660600000000002</v>
      </c>
      <c r="I1036" s="14">
        <f>81.6268 * CHOOSE(CONTROL!$C$15, $E$9, 100%, $G$9) + CHOOSE(CONTROL!$C$38, 0.0354, 0)</f>
        <v>81.662199999999999</v>
      </c>
      <c r="J1036" s="43">
        <f>890.597</f>
        <v>890.59699999999998</v>
      </c>
    </row>
    <row r="1037" spans="1:10" ht="15.75" x14ac:dyDescent="0.25">
      <c r="A1037" s="31">
        <v>72501</v>
      </c>
      <c r="B1037" s="14">
        <f>87.47 * CHOOSE(CONTROL!$C$15, $E$9, 100%, $G$9) + CHOOSE(CONTROL!$C$38, 0.0264, 0)</f>
        <v>87.496399999999994</v>
      </c>
      <c r="C1037" s="14">
        <f>82.7963 * CHOOSE(CONTROL!$C$15, $E$9, 100%, $G$9) + CHOOSE(CONTROL!$C$38, 0.0354, 0)</f>
        <v>82.831699999999998</v>
      </c>
      <c r="D1037" s="14">
        <f>82.7885 * CHOOSE(CONTROL!$C$15, $E$9, 100%, $G$9) + CHOOSE(CONTROL!$C$38, 0.0354, 0)</f>
        <v>82.823899999999995</v>
      </c>
      <c r="E1037" s="45">
        <f>87.3138 * CHOOSE(CONTROL!$C$15, $E$9, 100%, $G$9) + CHOOSE(CONTROL!$C$38, 0.0354, 0)</f>
        <v>87.349199999999996</v>
      </c>
      <c r="F1037" s="44">
        <f>87.3138 * CHOOSE(CONTROL!$C$15, $E$9, 100%, $G$9) + CHOOSE(CONTROL!$C$38, 0.0264, 0)</f>
        <v>87.340199999999996</v>
      </c>
      <c r="G1037" s="14">
        <f>82.7947 * CHOOSE(CONTROL!$C$15, $E$9, 100%, $G$9) + CHOOSE(CONTROL!$C$38, 0.0354, 0)</f>
        <v>82.830100000000002</v>
      </c>
      <c r="H1037" s="14">
        <f>82.7947 * CHOOSE(CONTROL!$C$15, $E$9, 100%, $G$9) + CHOOSE(CONTROL!$C$38, 0.0354, 0)</f>
        <v>82.830100000000002</v>
      </c>
      <c r="I1037" s="14">
        <f>82.7963 * CHOOSE(CONTROL!$C$15, $E$9, 100%, $G$9) + CHOOSE(CONTROL!$C$38, 0.0354, 0)</f>
        <v>82.831699999999998</v>
      </c>
      <c r="J1037" s="43">
        <f>903.4295</f>
        <v>903.42949999999996</v>
      </c>
    </row>
    <row r="1038" spans="1:10" ht="15.75" x14ac:dyDescent="0.25">
      <c r="A1038" s="31">
        <v>72532</v>
      </c>
      <c r="B1038" s="14">
        <f>87.0638 * CHOOSE(CONTROL!$C$15, $E$9, 100%, $G$9) + CHOOSE(CONTROL!$C$38, 0.0264, 0)</f>
        <v>87.090199999999996</v>
      </c>
      <c r="C1038" s="14">
        <f>82.4112 * CHOOSE(CONTROL!$C$15, $E$9, 100%, $G$9) + CHOOSE(CONTROL!$C$38, 0.0354, 0)</f>
        <v>82.446599999999989</v>
      </c>
      <c r="D1038" s="14">
        <f>82.4034 * CHOOSE(CONTROL!$C$15, $E$9, 100%, $G$9) + CHOOSE(CONTROL!$C$38, 0.0354, 0)</f>
        <v>82.438800000000001</v>
      </c>
      <c r="E1038" s="45">
        <f>86.9076 * CHOOSE(CONTROL!$C$15, $E$9, 100%, $G$9) + CHOOSE(CONTROL!$C$38, 0.0354, 0)</f>
        <v>86.942999999999998</v>
      </c>
      <c r="F1038" s="44">
        <f>86.9076 * CHOOSE(CONTROL!$C$15, $E$9, 100%, $G$9) + CHOOSE(CONTROL!$C$38, 0.0264, 0)</f>
        <v>86.933999999999997</v>
      </c>
      <c r="G1038" s="14">
        <f>82.4097 * CHOOSE(CONTROL!$C$15, $E$9, 100%, $G$9) + CHOOSE(CONTROL!$C$38, 0.0354, 0)</f>
        <v>82.445099999999996</v>
      </c>
      <c r="H1038" s="14">
        <f>82.4097 * CHOOSE(CONTROL!$C$15, $E$9, 100%, $G$9) + CHOOSE(CONTROL!$C$38, 0.0354, 0)</f>
        <v>82.445099999999996</v>
      </c>
      <c r="I1038" s="14">
        <f>82.4112 * CHOOSE(CONTROL!$C$15, $E$9, 100%, $G$9) + CHOOSE(CONTROL!$C$38, 0.0354, 0)</f>
        <v>82.446599999999989</v>
      </c>
      <c r="J1038" s="43">
        <f>899.2045</f>
        <v>899.20450000000005</v>
      </c>
    </row>
    <row r="1039" spans="1:10" ht="15.75" x14ac:dyDescent="0.25">
      <c r="A1039" s="31">
        <v>72563</v>
      </c>
      <c r="B1039" s="14">
        <f>85.0514 * CHOOSE(CONTROL!$C$15, $E$9, 100%, $G$9) + CHOOSE(CONTROL!$C$38, 0.0264, 0)</f>
        <v>85.077799999999996</v>
      </c>
      <c r="C1039" s="14">
        <f>80.5035 * CHOOSE(CONTROL!$C$15, $E$9, 100%, $G$9) + CHOOSE(CONTROL!$C$38, 0.0354, 0)</f>
        <v>80.538899999999998</v>
      </c>
      <c r="D1039" s="14">
        <f>80.4957 * CHOOSE(CONTROL!$C$15, $E$9, 100%, $G$9) + CHOOSE(CONTROL!$C$38, 0.0354, 0)</f>
        <v>80.531099999999995</v>
      </c>
      <c r="E1039" s="45">
        <f>84.8952 * CHOOSE(CONTROL!$C$15, $E$9, 100%, $G$9) + CHOOSE(CONTROL!$C$38, 0.0354, 0)</f>
        <v>84.930599999999998</v>
      </c>
      <c r="F1039" s="44">
        <f>84.8952 * CHOOSE(CONTROL!$C$15, $E$9, 100%, $G$9) + CHOOSE(CONTROL!$C$38, 0.0264, 0)</f>
        <v>84.921599999999998</v>
      </c>
      <c r="G1039" s="14">
        <f>80.5019 * CHOOSE(CONTROL!$C$15, $E$9, 100%, $G$9) + CHOOSE(CONTROL!$C$38, 0.0354, 0)</f>
        <v>80.537300000000002</v>
      </c>
      <c r="H1039" s="14">
        <f>80.5019 * CHOOSE(CONTROL!$C$15, $E$9, 100%, $G$9) + CHOOSE(CONTROL!$C$38, 0.0354, 0)</f>
        <v>80.537300000000002</v>
      </c>
      <c r="I1039" s="14">
        <f>80.5035 * CHOOSE(CONTROL!$C$15, $E$9, 100%, $G$9) + CHOOSE(CONTROL!$C$38, 0.0354, 0)</f>
        <v>80.538899999999998</v>
      </c>
      <c r="J1039" s="43">
        <f>878.2714</f>
        <v>878.27139999999997</v>
      </c>
    </row>
    <row r="1040" spans="1:10" ht="15.75" x14ac:dyDescent="0.25">
      <c r="A1040" s="31">
        <v>72593</v>
      </c>
      <c r="B1040" s="14">
        <f>82.245 * CHOOSE(CONTROL!$C$15, $E$9, 100%, $G$9) + CHOOSE(CONTROL!$C$38, 0.0264, 0)</f>
        <v>82.2714</v>
      </c>
      <c r="C1040" s="14">
        <f>77.843 * CHOOSE(CONTROL!$C$15, $E$9, 100%, $G$9) + CHOOSE(CONTROL!$C$38, 0.0354, 0)</f>
        <v>77.878399999999999</v>
      </c>
      <c r="D1040" s="14">
        <f>77.8352 * CHOOSE(CONTROL!$C$15, $E$9, 100%, $G$9) + CHOOSE(CONTROL!$C$38, 0.0354, 0)</f>
        <v>77.870599999999996</v>
      </c>
      <c r="E1040" s="45">
        <f>82.0887 * CHOOSE(CONTROL!$C$15, $E$9, 100%, $G$9) + CHOOSE(CONTROL!$C$38, 0.0354, 0)</f>
        <v>82.124099999999999</v>
      </c>
      <c r="F1040" s="44">
        <f>82.0887 * CHOOSE(CONTROL!$C$15, $E$9, 100%, $G$9) + CHOOSE(CONTROL!$C$38, 0.0264, 0)</f>
        <v>82.115099999999998</v>
      </c>
      <c r="G1040" s="14">
        <f>77.8414 * CHOOSE(CONTROL!$C$15, $E$9, 100%, $G$9) + CHOOSE(CONTROL!$C$38, 0.0354, 0)</f>
        <v>77.876799999999989</v>
      </c>
      <c r="H1040" s="14">
        <f>77.8414 * CHOOSE(CONTROL!$C$15, $E$9, 100%, $G$9) + CHOOSE(CONTROL!$C$38, 0.0354, 0)</f>
        <v>77.876799999999989</v>
      </c>
      <c r="I1040" s="14">
        <f>77.843 * CHOOSE(CONTROL!$C$15, $E$9, 100%, $G$9) + CHOOSE(CONTROL!$C$38, 0.0354, 0)</f>
        <v>77.878399999999999</v>
      </c>
      <c r="J1040" s="43">
        <f>849.0791</f>
        <v>849.07910000000004</v>
      </c>
    </row>
    <row r="1041" spans="1:10" ht="15.75" x14ac:dyDescent="0.25">
      <c r="A1041" s="31">
        <v>72624</v>
      </c>
      <c r="B1041" s="14">
        <f>79.4222 * CHOOSE(CONTROL!$C$15, $E$9, 100%, $G$9) + CHOOSE(CONTROL!$C$38, 0.0251, 0)</f>
        <v>79.447299999999998</v>
      </c>
      <c r="C1041" s="14">
        <f>75.167 * CHOOSE(CONTROL!$C$15, $E$9, 100%, $G$9) + CHOOSE(CONTROL!$C$38, 0.0342, 0)</f>
        <v>75.2012</v>
      </c>
      <c r="D1041" s="14">
        <f>75.1592 * CHOOSE(CONTROL!$C$15, $E$9, 100%, $G$9) + CHOOSE(CONTROL!$C$38, 0.0342, 0)</f>
        <v>75.193399999999997</v>
      </c>
      <c r="E1041" s="45">
        <f>79.2659 * CHOOSE(CONTROL!$C$15, $E$9, 100%, $G$9) + CHOOSE(CONTROL!$C$38, 0.0342, 0)</f>
        <v>79.3001</v>
      </c>
      <c r="F1041" s="44">
        <f>79.2659 * CHOOSE(CONTROL!$C$15, $E$9, 100%, $G$9) + CHOOSE(CONTROL!$C$38, 0.0251, 0)</f>
        <v>79.290999999999997</v>
      </c>
      <c r="G1041" s="14">
        <f>75.1655 * CHOOSE(CONTROL!$C$15, $E$9, 100%, $G$9) + CHOOSE(CONTROL!$C$38, 0.0342, 0)</f>
        <v>75.199699999999993</v>
      </c>
      <c r="H1041" s="14">
        <f>75.1655 * CHOOSE(CONTROL!$C$15, $E$9, 100%, $G$9) + CHOOSE(CONTROL!$C$38, 0.0342, 0)</f>
        <v>75.199699999999993</v>
      </c>
      <c r="I1041" s="14">
        <f>75.167 * CHOOSE(CONTROL!$C$15, $E$9, 100%, $G$9) + CHOOSE(CONTROL!$C$38, 0.0342, 0)</f>
        <v>75.2012</v>
      </c>
      <c r="J1041" s="43">
        <f>819.7171</f>
        <v>819.71709999999996</v>
      </c>
    </row>
    <row r="1042" spans="1:10" ht="15.75" x14ac:dyDescent="0.25">
      <c r="A1042" s="31">
        <v>72654</v>
      </c>
      <c r="B1042" s="14">
        <f>78.8607 * CHOOSE(CONTROL!$C$15, $E$9, 100%, $G$9) + CHOOSE(CONTROL!$C$38, 0.0251, 0)</f>
        <v>78.885799999999989</v>
      </c>
      <c r="C1042" s="14">
        <f>74.6347 * CHOOSE(CONTROL!$C$15, $E$9, 100%, $G$9) + CHOOSE(CONTROL!$C$38, 0.0342, 0)</f>
        <v>74.668899999999994</v>
      </c>
      <c r="D1042" s="14">
        <f>74.6269 * CHOOSE(CONTROL!$C$15, $E$9, 100%, $G$9) + CHOOSE(CONTROL!$C$38, 0.0342, 0)</f>
        <v>74.661100000000005</v>
      </c>
      <c r="E1042" s="45">
        <f>78.7044 * CHOOSE(CONTROL!$C$15, $E$9, 100%, $G$9) + CHOOSE(CONTROL!$C$38, 0.0342, 0)</f>
        <v>78.738600000000005</v>
      </c>
      <c r="F1042" s="44">
        <f>78.7044 * CHOOSE(CONTROL!$C$15, $E$9, 100%, $G$9) + CHOOSE(CONTROL!$C$38, 0.0251, 0)</f>
        <v>78.729500000000002</v>
      </c>
      <c r="G1042" s="14">
        <f>74.6332 * CHOOSE(CONTROL!$C$15, $E$9, 100%, $G$9) + CHOOSE(CONTROL!$C$38, 0.0342, 0)</f>
        <v>74.667400000000001</v>
      </c>
      <c r="H1042" s="14">
        <f>74.6332 * CHOOSE(CONTROL!$C$15, $E$9, 100%, $G$9) + CHOOSE(CONTROL!$C$38, 0.0342, 0)</f>
        <v>74.667400000000001</v>
      </c>
      <c r="I1042" s="14">
        <f>74.6347 * CHOOSE(CONTROL!$C$15, $E$9, 100%, $G$9) + CHOOSE(CONTROL!$C$38, 0.0342, 0)</f>
        <v>74.668899999999994</v>
      </c>
      <c r="J1042" s="43">
        <f>813.8764</f>
        <v>813.87639999999999</v>
      </c>
    </row>
    <row r="1043" spans="1:10" ht="15.75" x14ac:dyDescent="0.25">
      <c r="A1043" s="31">
        <v>72685</v>
      </c>
      <c r="B1043" s="14">
        <f>76.5388 * CHOOSE(CONTROL!$C$15, $E$9, 100%, $G$9) + CHOOSE(CONTROL!$C$38, 0.0251, 0)</f>
        <v>76.56389999999999</v>
      </c>
      <c r="C1043" s="14">
        <f>72.4336 * CHOOSE(CONTROL!$C$15, $E$9, 100%, $G$9) + CHOOSE(CONTROL!$C$38, 0.0342, 0)</f>
        <v>72.467799999999997</v>
      </c>
      <c r="D1043" s="14">
        <f>72.4258 * CHOOSE(CONTROL!$C$15, $E$9, 100%, $G$9) + CHOOSE(CONTROL!$C$38, 0.0342, 0)</f>
        <v>72.459999999999994</v>
      </c>
      <c r="E1043" s="45">
        <f>76.3825 * CHOOSE(CONTROL!$C$15, $E$9, 100%, $G$9) + CHOOSE(CONTROL!$C$38, 0.0342, 0)</f>
        <v>76.416699999999992</v>
      </c>
      <c r="F1043" s="44">
        <f>76.3825 * CHOOSE(CONTROL!$C$15, $E$9, 100%, $G$9) + CHOOSE(CONTROL!$C$38, 0.0251, 0)</f>
        <v>76.407599999999988</v>
      </c>
      <c r="G1043" s="14">
        <f>72.4321 * CHOOSE(CONTROL!$C$15, $E$9, 100%, $G$9) + CHOOSE(CONTROL!$C$38, 0.0342, 0)</f>
        <v>72.466300000000004</v>
      </c>
      <c r="H1043" s="14">
        <f>72.4321 * CHOOSE(CONTROL!$C$15, $E$9, 100%, $G$9) + CHOOSE(CONTROL!$C$38, 0.0342, 0)</f>
        <v>72.466300000000004</v>
      </c>
      <c r="I1043" s="14">
        <f>72.4336 * CHOOSE(CONTROL!$C$15, $E$9, 100%, $G$9) + CHOOSE(CONTROL!$C$38, 0.0342, 0)</f>
        <v>72.467799999999997</v>
      </c>
      <c r="J1043" s="43">
        <f>789.7246</f>
        <v>789.72460000000001</v>
      </c>
    </row>
    <row r="1044" spans="1:10" ht="15.75" x14ac:dyDescent="0.25">
      <c r="A1044" s="31">
        <v>72716</v>
      </c>
      <c r="B1044" s="14">
        <f>75.9622 * CHOOSE(CONTROL!$C$15, $E$9, 100%, $G$9) + CHOOSE(CONTROL!$C$38, 0.0251, 0)</f>
        <v>75.987299999999991</v>
      </c>
      <c r="C1044" s="14">
        <f>71.887 * CHOOSE(CONTROL!$C$15, $E$9, 100%, $G$9) + CHOOSE(CONTROL!$C$38, 0.0342, 0)</f>
        <v>71.921199999999999</v>
      </c>
      <c r="D1044" s="14">
        <f>71.8792 * CHOOSE(CONTROL!$C$15, $E$9, 100%, $G$9) + CHOOSE(CONTROL!$C$38, 0.0342, 0)</f>
        <v>71.913399999999996</v>
      </c>
      <c r="E1044" s="45">
        <f>75.8059 * CHOOSE(CONTROL!$C$15, $E$9, 100%, $G$9) + CHOOSE(CONTROL!$C$38, 0.0342, 0)</f>
        <v>75.840099999999993</v>
      </c>
      <c r="F1044" s="44">
        <f>75.8059 * CHOOSE(CONTROL!$C$15, $E$9, 100%, $G$9) + CHOOSE(CONTROL!$C$38, 0.0251, 0)</f>
        <v>75.830999999999989</v>
      </c>
      <c r="G1044" s="14">
        <f>71.8855 * CHOOSE(CONTROL!$C$15, $E$9, 100%, $G$9) + CHOOSE(CONTROL!$C$38, 0.0342, 0)</f>
        <v>71.919699999999992</v>
      </c>
      <c r="H1044" s="14">
        <f>71.8855 * CHOOSE(CONTROL!$C$15, $E$9, 100%, $G$9) + CHOOSE(CONTROL!$C$38, 0.0342, 0)</f>
        <v>71.919699999999992</v>
      </c>
      <c r="I1044" s="14">
        <f>71.887 * CHOOSE(CONTROL!$C$15, $E$9, 100%, $G$9) + CHOOSE(CONTROL!$C$38, 0.0342, 0)</f>
        <v>71.921199999999999</v>
      </c>
      <c r="J1044" s="43">
        <f>789.1544</f>
        <v>789.15440000000001</v>
      </c>
    </row>
    <row r="1045" spans="1:10" ht="15.75" x14ac:dyDescent="0.25">
      <c r="A1045" s="31">
        <v>72744</v>
      </c>
      <c r="B1045" s="14">
        <f>75.7528 * CHOOSE(CONTROL!$C$15, $E$9, 100%, $G$9) + CHOOSE(CONTROL!$C$38, 0.0251, 0)</f>
        <v>75.777899999999988</v>
      </c>
      <c r="C1045" s="14">
        <f>71.6885 * CHOOSE(CONTROL!$C$15, $E$9, 100%, $G$9) + CHOOSE(CONTROL!$C$38, 0.0342, 0)</f>
        <v>71.722700000000003</v>
      </c>
      <c r="D1045" s="14">
        <f>71.6807 * CHOOSE(CONTROL!$C$15, $E$9, 100%, $G$9) + CHOOSE(CONTROL!$C$38, 0.0342, 0)</f>
        <v>71.7149</v>
      </c>
      <c r="E1045" s="45">
        <f>75.5965 * CHOOSE(CONTROL!$C$15, $E$9, 100%, $G$9) + CHOOSE(CONTROL!$C$38, 0.0342, 0)</f>
        <v>75.630700000000004</v>
      </c>
      <c r="F1045" s="44">
        <f>75.5965 * CHOOSE(CONTROL!$C$15, $E$9, 100%, $G$9) + CHOOSE(CONTROL!$C$38, 0.0251, 0)</f>
        <v>75.621600000000001</v>
      </c>
      <c r="G1045" s="14">
        <f>71.6869 * CHOOSE(CONTROL!$C$15, $E$9, 100%, $G$9) + CHOOSE(CONTROL!$C$38, 0.0342, 0)</f>
        <v>71.721099999999993</v>
      </c>
      <c r="H1045" s="14">
        <f>71.6869 * CHOOSE(CONTROL!$C$15, $E$9, 100%, $G$9) + CHOOSE(CONTROL!$C$38, 0.0342, 0)</f>
        <v>71.721099999999993</v>
      </c>
      <c r="I1045" s="14">
        <f>71.6885 * CHOOSE(CONTROL!$C$15, $E$9, 100%, $G$9) + CHOOSE(CONTROL!$C$38, 0.0342, 0)</f>
        <v>71.722700000000003</v>
      </c>
      <c r="J1045" s="43">
        <f>786.9608</f>
        <v>786.96079999999995</v>
      </c>
    </row>
    <row r="1046" spans="1:10" ht="15.75" x14ac:dyDescent="0.25">
      <c r="A1046" s="31">
        <v>72775</v>
      </c>
      <c r="B1046" s="14">
        <f>79.7128 * CHOOSE(CONTROL!$C$15, $E$9, 100%, $G$9) + CHOOSE(CONTROL!$C$38, 0.0251, 0)</f>
        <v>79.737899999999996</v>
      </c>
      <c r="C1046" s="14">
        <f>75.4426 * CHOOSE(CONTROL!$C$15, $E$9, 100%, $G$9) + CHOOSE(CONTROL!$C$38, 0.0342, 0)</f>
        <v>75.476799999999997</v>
      </c>
      <c r="D1046" s="14">
        <f>75.4348 * CHOOSE(CONTROL!$C$15, $E$9, 100%, $G$9) + CHOOSE(CONTROL!$C$38, 0.0342, 0)</f>
        <v>75.468999999999994</v>
      </c>
      <c r="E1046" s="45">
        <f>79.5566 * CHOOSE(CONTROL!$C$15, $E$9, 100%, $G$9) + CHOOSE(CONTROL!$C$38, 0.0342, 0)</f>
        <v>79.590800000000002</v>
      </c>
      <c r="F1046" s="44">
        <f>79.5566 * CHOOSE(CONTROL!$C$15, $E$9, 100%, $G$9) + CHOOSE(CONTROL!$C$38, 0.0251, 0)</f>
        <v>79.581699999999998</v>
      </c>
      <c r="G1046" s="14">
        <f>75.441 * CHOOSE(CONTROL!$C$15, $E$9, 100%, $G$9) + CHOOSE(CONTROL!$C$38, 0.0342, 0)</f>
        <v>75.475200000000001</v>
      </c>
      <c r="H1046" s="14">
        <f>75.441 * CHOOSE(CONTROL!$C$15, $E$9, 100%, $G$9) + CHOOSE(CONTROL!$C$38, 0.0342, 0)</f>
        <v>75.475200000000001</v>
      </c>
      <c r="I1046" s="14">
        <f>75.4426 * CHOOSE(CONTROL!$C$15, $E$9, 100%, $G$9) + CHOOSE(CONTROL!$C$38, 0.0342, 0)</f>
        <v>75.476799999999997</v>
      </c>
      <c r="J1046" s="43">
        <f>828.4382</f>
        <v>828.43820000000005</v>
      </c>
    </row>
    <row r="1047" spans="1:10" ht="15.75" x14ac:dyDescent="0.25">
      <c r="A1047" s="31">
        <v>72805</v>
      </c>
      <c r="B1047" s="14">
        <f>84.8481 * CHOOSE(CONTROL!$C$15, $E$9, 100%, $G$9) + CHOOSE(CONTROL!$C$38, 0.0251, 0)</f>
        <v>84.873199999999997</v>
      </c>
      <c r="C1047" s="14">
        <f>80.3108 * CHOOSE(CONTROL!$C$15, $E$9, 100%, $G$9) + CHOOSE(CONTROL!$C$38, 0.0342, 0)</f>
        <v>80.344999999999999</v>
      </c>
      <c r="D1047" s="14">
        <f>80.3029 * CHOOSE(CONTROL!$C$15, $E$9, 100%, $G$9) + CHOOSE(CONTROL!$C$38, 0.0342, 0)</f>
        <v>80.337099999999992</v>
      </c>
      <c r="E1047" s="45">
        <f>84.6919 * CHOOSE(CONTROL!$C$15, $E$9, 100%, $G$9) + CHOOSE(CONTROL!$C$38, 0.0342, 0)</f>
        <v>84.726100000000002</v>
      </c>
      <c r="F1047" s="44">
        <f>84.6919 * CHOOSE(CONTROL!$C$15, $E$9, 100%, $G$9) + CHOOSE(CONTROL!$C$38, 0.0251, 0)</f>
        <v>84.716999999999999</v>
      </c>
      <c r="G1047" s="14">
        <f>80.3092 * CHOOSE(CONTROL!$C$15, $E$9, 100%, $G$9) + CHOOSE(CONTROL!$C$38, 0.0342, 0)</f>
        <v>80.343400000000003</v>
      </c>
      <c r="H1047" s="14">
        <f>80.3092 * CHOOSE(CONTROL!$C$15, $E$9, 100%, $G$9) + CHOOSE(CONTROL!$C$38, 0.0342, 0)</f>
        <v>80.343400000000003</v>
      </c>
      <c r="I1047" s="14">
        <f>80.3108 * CHOOSE(CONTROL!$C$15, $E$9, 100%, $G$9) + CHOOSE(CONTROL!$C$38, 0.0342, 0)</f>
        <v>80.344999999999999</v>
      </c>
      <c r="J1047" s="43">
        <f>882.2244</f>
        <v>882.22439999999995</v>
      </c>
    </row>
    <row r="1048" spans="1:10" ht="15.75" x14ac:dyDescent="0.25">
      <c r="A1048" s="31">
        <v>72836</v>
      </c>
      <c r="B1048" s="14">
        <f>87.6747 * CHOOSE(CONTROL!$C$15, $E$9, 100%, $G$9) + CHOOSE(CONTROL!$C$38, 0.0264, 0)</f>
        <v>87.701099999999997</v>
      </c>
      <c r="C1048" s="14">
        <f>82.9904 * CHOOSE(CONTROL!$C$15, $E$9, 100%, $G$9) + CHOOSE(CONTROL!$C$38, 0.0354, 0)</f>
        <v>83.02579999999999</v>
      </c>
      <c r="D1048" s="14">
        <f>82.9825 * CHOOSE(CONTROL!$C$15, $E$9, 100%, $G$9) + CHOOSE(CONTROL!$C$38, 0.0354, 0)</f>
        <v>83.017899999999997</v>
      </c>
      <c r="E1048" s="45">
        <f>87.5185 * CHOOSE(CONTROL!$C$15, $E$9, 100%, $G$9) + CHOOSE(CONTROL!$C$38, 0.0354, 0)</f>
        <v>87.553899999999999</v>
      </c>
      <c r="F1048" s="44">
        <f>87.5185 * CHOOSE(CONTROL!$C$15, $E$9, 100%, $G$9) + CHOOSE(CONTROL!$C$38, 0.0264, 0)</f>
        <v>87.544899999999998</v>
      </c>
      <c r="G1048" s="14">
        <f>82.9888 * CHOOSE(CONTROL!$C$15, $E$9, 100%, $G$9) + CHOOSE(CONTROL!$C$38, 0.0354, 0)</f>
        <v>83.024199999999993</v>
      </c>
      <c r="H1048" s="14">
        <f>82.9888 * CHOOSE(CONTROL!$C$15, $E$9, 100%, $G$9) + CHOOSE(CONTROL!$C$38, 0.0354, 0)</f>
        <v>83.024199999999993</v>
      </c>
      <c r="I1048" s="14">
        <f>82.9904 * CHOOSE(CONTROL!$C$15, $E$9, 100%, $G$9) + CHOOSE(CONTROL!$C$38, 0.0354, 0)</f>
        <v>83.02579999999999</v>
      </c>
      <c r="J1048" s="43">
        <f>911.8302</f>
        <v>911.83019999999999</v>
      </c>
    </row>
    <row r="1049" spans="1:10" ht="15.75" x14ac:dyDescent="0.25">
      <c r="A1049" s="31">
        <v>72866</v>
      </c>
      <c r="B1049" s="14">
        <f>88.9291 * CHOOSE(CONTROL!$C$15, $E$9, 100%, $G$9) + CHOOSE(CONTROL!$C$38, 0.0264, 0)</f>
        <v>88.955500000000001</v>
      </c>
      <c r="C1049" s="14">
        <f>84.1795 * CHOOSE(CONTROL!$C$15, $E$9, 100%, $G$9) + CHOOSE(CONTROL!$C$38, 0.0354, 0)</f>
        <v>84.2149</v>
      </c>
      <c r="D1049" s="14">
        <f>84.1717 * CHOOSE(CONTROL!$C$15, $E$9, 100%, $G$9) + CHOOSE(CONTROL!$C$38, 0.0354, 0)</f>
        <v>84.207099999999997</v>
      </c>
      <c r="E1049" s="45">
        <f>88.7729 * CHOOSE(CONTROL!$C$15, $E$9, 100%, $G$9) + CHOOSE(CONTROL!$C$38, 0.0354, 0)</f>
        <v>88.808300000000003</v>
      </c>
      <c r="F1049" s="44">
        <f>88.7729 * CHOOSE(CONTROL!$C$15, $E$9, 100%, $G$9) + CHOOSE(CONTROL!$C$38, 0.0264, 0)</f>
        <v>88.799300000000002</v>
      </c>
      <c r="G1049" s="14">
        <f>84.1779 * CHOOSE(CONTROL!$C$15, $E$9, 100%, $G$9) + CHOOSE(CONTROL!$C$38, 0.0354, 0)</f>
        <v>84.21329999999999</v>
      </c>
      <c r="H1049" s="14">
        <f>84.1779 * CHOOSE(CONTROL!$C$15, $E$9, 100%, $G$9) + CHOOSE(CONTROL!$C$38, 0.0354, 0)</f>
        <v>84.21329999999999</v>
      </c>
      <c r="I1049" s="14">
        <f>84.1795 * CHOOSE(CONTROL!$C$15, $E$9, 100%, $G$9) + CHOOSE(CONTROL!$C$38, 0.0354, 0)</f>
        <v>84.2149</v>
      </c>
      <c r="J1049" s="43">
        <f>924.9686</f>
        <v>924.96860000000004</v>
      </c>
    </row>
    <row r="1050" spans="1:10" ht="15.75" x14ac:dyDescent="0.25">
      <c r="A1050" s="31">
        <v>72897</v>
      </c>
      <c r="B1050" s="14">
        <f>88.5161 * CHOOSE(CONTROL!$C$15, $E$9, 100%, $G$9) + CHOOSE(CONTROL!$C$38, 0.0264, 0)</f>
        <v>88.54249999999999</v>
      </c>
      <c r="C1050" s="14">
        <f>83.788 * CHOOSE(CONTROL!$C$15, $E$9, 100%, $G$9) + CHOOSE(CONTROL!$C$38, 0.0354, 0)</f>
        <v>83.823399999999992</v>
      </c>
      <c r="D1050" s="14">
        <f>83.7802 * CHOOSE(CONTROL!$C$15, $E$9, 100%, $G$9) + CHOOSE(CONTROL!$C$38, 0.0354, 0)</f>
        <v>83.815599999999989</v>
      </c>
      <c r="E1050" s="45">
        <f>88.3599 * CHOOSE(CONTROL!$C$15, $E$9, 100%, $G$9) + CHOOSE(CONTROL!$C$38, 0.0354, 0)</f>
        <v>88.395299999999992</v>
      </c>
      <c r="F1050" s="44">
        <f>88.3599 * CHOOSE(CONTROL!$C$15, $E$9, 100%, $G$9) + CHOOSE(CONTROL!$C$38, 0.0264, 0)</f>
        <v>88.386299999999991</v>
      </c>
      <c r="G1050" s="14">
        <f>83.7864 * CHOOSE(CONTROL!$C$15, $E$9, 100%, $G$9) + CHOOSE(CONTROL!$C$38, 0.0354, 0)</f>
        <v>83.821799999999996</v>
      </c>
      <c r="H1050" s="14">
        <f>83.7864 * CHOOSE(CONTROL!$C$15, $E$9, 100%, $G$9) + CHOOSE(CONTROL!$C$38, 0.0354, 0)</f>
        <v>83.821799999999996</v>
      </c>
      <c r="I1050" s="14">
        <f>83.788 * CHOOSE(CONTROL!$C$15, $E$9, 100%, $G$9) + CHOOSE(CONTROL!$C$38, 0.0354, 0)</f>
        <v>83.823399999999992</v>
      </c>
      <c r="J1050" s="43">
        <f>920.6428</f>
        <v>920.64279999999997</v>
      </c>
    </row>
    <row r="1051" spans="1:10" ht="15.75" x14ac:dyDescent="0.25">
      <c r="A1051" s="31">
        <v>72928</v>
      </c>
      <c r="B1051" s="14">
        <f>86.4699 * CHOOSE(CONTROL!$C$15, $E$9, 100%, $G$9) + CHOOSE(CONTROL!$C$38, 0.0264, 0)</f>
        <v>86.496299999999991</v>
      </c>
      <c r="C1051" s="14">
        <f>81.8482 * CHOOSE(CONTROL!$C$15, $E$9, 100%, $G$9) + CHOOSE(CONTROL!$C$38, 0.0354, 0)</f>
        <v>81.883600000000001</v>
      </c>
      <c r="D1051" s="14">
        <f>81.8404 * CHOOSE(CONTROL!$C$15, $E$9, 100%, $G$9) + CHOOSE(CONTROL!$C$38, 0.0354, 0)</f>
        <v>81.875799999999998</v>
      </c>
      <c r="E1051" s="45">
        <f>86.3136 * CHOOSE(CONTROL!$C$15, $E$9, 100%, $G$9) + CHOOSE(CONTROL!$C$38, 0.0354, 0)</f>
        <v>86.34899999999999</v>
      </c>
      <c r="F1051" s="44">
        <f>86.3136 * CHOOSE(CONTROL!$C$15, $E$9, 100%, $G$9) + CHOOSE(CONTROL!$C$38, 0.0264, 0)</f>
        <v>86.339999999999989</v>
      </c>
      <c r="G1051" s="14">
        <f>81.8466 * CHOOSE(CONTROL!$C$15, $E$9, 100%, $G$9) + CHOOSE(CONTROL!$C$38, 0.0354, 0)</f>
        <v>81.881999999999991</v>
      </c>
      <c r="H1051" s="14">
        <f>81.8466 * CHOOSE(CONTROL!$C$15, $E$9, 100%, $G$9) + CHOOSE(CONTROL!$C$38, 0.0354, 0)</f>
        <v>81.881999999999991</v>
      </c>
      <c r="I1051" s="14">
        <f>81.8482 * CHOOSE(CONTROL!$C$15, $E$9, 100%, $G$9) + CHOOSE(CONTROL!$C$38, 0.0354, 0)</f>
        <v>81.883600000000001</v>
      </c>
      <c r="J1051" s="43">
        <f>899.2107</f>
        <v>899.21069999999997</v>
      </c>
    </row>
    <row r="1052" spans="1:10" ht="15.75" x14ac:dyDescent="0.25">
      <c r="A1052" s="31">
        <v>72958</v>
      </c>
      <c r="B1052" s="14">
        <f>83.6163 * CHOOSE(CONTROL!$C$15, $E$9, 100%, $G$9) + CHOOSE(CONTROL!$C$38, 0.0264, 0)</f>
        <v>83.642699999999991</v>
      </c>
      <c r="C1052" s="14">
        <f>79.143 * CHOOSE(CONTROL!$C$15, $E$9, 100%, $G$9) + CHOOSE(CONTROL!$C$38, 0.0354, 0)</f>
        <v>79.178399999999996</v>
      </c>
      <c r="D1052" s="14">
        <f>79.1352 * CHOOSE(CONTROL!$C$15, $E$9, 100%, $G$9) + CHOOSE(CONTROL!$C$38, 0.0354, 0)</f>
        <v>79.170599999999993</v>
      </c>
      <c r="E1052" s="45">
        <f>83.46 * CHOOSE(CONTROL!$C$15, $E$9, 100%, $G$9) + CHOOSE(CONTROL!$C$38, 0.0354, 0)</f>
        <v>83.495399999999989</v>
      </c>
      <c r="F1052" s="44">
        <f>83.46 * CHOOSE(CONTROL!$C$15, $E$9, 100%, $G$9) + CHOOSE(CONTROL!$C$38, 0.0264, 0)</f>
        <v>83.486399999999989</v>
      </c>
      <c r="G1052" s="14">
        <f>79.1414 * CHOOSE(CONTROL!$C$15, $E$9, 100%, $G$9) + CHOOSE(CONTROL!$C$38, 0.0354, 0)</f>
        <v>79.1768</v>
      </c>
      <c r="H1052" s="14">
        <f>79.1414 * CHOOSE(CONTROL!$C$15, $E$9, 100%, $G$9) + CHOOSE(CONTROL!$C$38, 0.0354, 0)</f>
        <v>79.1768</v>
      </c>
      <c r="I1052" s="14">
        <f>79.143 * CHOOSE(CONTROL!$C$15, $E$9, 100%, $G$9) + CHOOSE(CONTROL!$C$38, 0.0354, 0)</f>
        <v>79.178399999999996</v>
      </c>
      <c r="J1052" s="43">
        <f>869.3224</f>
        <v>869.32240000000002</v>
      </c>
    </row>
    <row r="1053" spans="1:10" ht="15.75" x14ac:dyDescent="0.25">
      <c r="A1053" s="31">
        <v>72989</v>
      </c>
      <c r="B1053" s="14">
        <f>80.7461 * CHOOSE(CONTROL!$C$15, $E$9, 100%, $G$9) + CHOOSE(CONTROL!$C$38, 0.0251, 0)</f>
        <v>80.771199999999993</v>
      </c>
      <c r="C1053" s="14">
        <f>76.4221 * CHOOSE(CONTROL!$C$15, $E$9, 100%, $G$9) + CHOOSE(CONTROL!$C$38, 0.0342, 0)</f>
        <v>76.456299999999999</v>
      </c>
      <c r="D1053" s="14">
        <f>76.4143 * CHOOSE(CONTROL!$C$15, $E$9, 100%, $G$9) + CHOOSE(CONTROL!$C$38, 0.0342, 0)</f>
        <v>76.448499999999996</v>
      </c>
      <c r="E1053" s="45">
        <f>80.5898 * CHOOSE(CONTROL!$C$15, $E$9, 100%, $G$9) + CHOOSE(CONTROL!$C$38, 0.0342, 0)</f>
        <v>80.623999999999995</v>
      </c>
      <c r="F1053" s="44">
        <f>80.5898 * CHOOSE(CONTROL!$C$15, $E$9, 100%, $G$9) + CHOOSE(CONTROL!$C$38, 0.0251, 0)</f>
        <v>80.614899999999992</v>
      </c>
      <c r="G1053" s="14">
        <f>76.4205 * CHOOSE(CONTROL!$C$15, $E$9, 100%, $G$9) + CHOOSE(CONTROL!$C$38, 0.0342, 0)</f>
        <v>76.454700000000003</v>
      </c>
      <c r="H1053" s="14">
        <f>76.4205 * CHOOSE(CONTROL!$C$15, $E$9, 100%, $G$9) + CHOOSE(CONTROL!$C$38, 0.0342, 0)</f>
        <v>76.454700000000003</v>
      </c>
      <c r="I1053" s="14">
        <f>76.4221 * CHOOSE(CONTROL!$C$15, $E$9, 100%, $G$9) + CHOOSE(CONTROL!$C$38, 0.0342, 0)</f>
        <v>76.456299999999999</v>
      </c>
      <c r="J1053" s="43">
        <f>839.2604</f>
        <v>839.2604</v>
      </c>
    </row>
    <row r="1054" spans="1:10" ht="15.75" x14ac:dyDescent="0.25">
      <c r="A1054" s="31">
        <v>73019</v>
      </c>
      <c r="B1054" s="14">
        <f>80.1752 * CHOOSE(CONTROL!$C$15, $E$9, 100%, $G$9) + CHOOSE(CONTROL!$C$38, 0.0251, 0)</f>
        <v>80.200299999999999</v>
      </c>
      <c r="C1054" s="14">
        <f>75.8808 * CHOOSE(CONTROL!$C$15, $E$9, 100%, $G$9) + CHOOSE(CONTROL!$C$38, 0.0342, 0)</f>
        <v>75.914999999999992</v>
      </c>
      <c r="D1054" s="14">
        <f>75.873 * CHOOSE(CONTROL!$C$15, $E$9, 100%, $G$9) + CHOOSE(CONTROL!$C$38, 0.0342, 0)</f>
        <v>75.907200000000003</v>
      </c>
      <c r="E1054" s="45">
        <f>80.0189 * CHOOSE(CONTROL!$C$15, $E$9, 100%, $G$9) + CHOOSE(CONTROL!$C$38, 0.0342, 0)</f>
        <v>80.053100000000001</v>
      </c>
      <c r="F1054" s="44">
        <f>80.0189 * CHOOSE(CONTROL!$C$15, $E$9, 100%, $G$9) + CHOOSE(CONTROL!$C$38, 0.0251, 0)</f>
        <v>80.043999999999997</v>
      </c>
      <c r="G1054" s="14">
        <f>75.8793 * CHOOSE(CONTROL!$C$15, $E$9, 100%, $G$9) + CHOOSE(CONTROL!$C$38, 0.0342, 0)</f>
        <v>75.913499999999999</v>
      </c>
      <c r="H1054" s="14">
        <f>75.8793 * CHOOSE(CONTROL!$C$15, $E$9, 100%, $G$9) + CHOOSE(CONTROL!$C$38, 0.0342, 0)</f>
        <v>75.913499999999999</v>
      </c>
      <c r="I1054" s="14">
        <f>75.8808 * CHOOSE(CONTROL!$C$15, $E$9, 100%, $G$9) + CHOOSE(CONTROL!$C$38, 0.0342, 0)</f>
        <v>75.914999999999992</v>
      </c>
      <c r="J1054" s="43">
        <f>833.2804</f>
        <v>833.28039999999999</v>
      </c>
    </row>
    <row r="1055" spans="1:10" ht="15.75" x14ac:dyDescent="0.25">
      <c r="A1055" s="31">
        <v>73050</v>
      </c>
      <c r="B1055" s="14">
        <f>77.8143 * CHOOSE(CONTROL!$C$15, $E$9, 100%, $G$9) + CHOOSE(CONTROL!$C$38, 0.0251, 0)</f>
        <v>77.839399999999998</v>
      </c>
      <c r="C1055" s="14">
        <f>73.6428 * CHOOSE(CONTROL!$C$15, $E$9, 100%, $G$9) + CHOOSE(CONTROL!$C$38, 0.0342, 0)</f>
        <v>73.676999999999992</v>
      </c>
      <c r="D1055" s="14">
        <f>73.6349 * CHOOSE(CONTROL!$C$15, $E$9, 100%, $G$9) + CHOOSE(CONTROL!$C$38, 0.0342, 0)</f>
        <v>73.6691</v>
      </c>
      <c r="E1055" s="45">
        <f>77.658 * CHOOSE(CONTROL!$C$15, $E$9, 100%, $G$9) + CHOOSE(CONTROL!$C$38, 0.0342, 0)</f>
        <v>77.6922</v>
      </c>
      <c r="F1055" s="44">
        <f>77.658 * CHOOSE(CONTROL!$C$15, $E$9, 100%, $G$9) + CHOOSE(CONTROL!$C$38, 0.0251, 0)</f>
        <v>77.683099999999996</v>
      </c>
      <c r="G1055" s="14">
        <f>73.6412 * CHOOSE(CONTROL!$C$15, $E$9, 100%, $G$9) + CHOOSE(CONTROL!$C$38, 0.0342, 0)</f>
        <v>73.675399999999996</v>
      </c>
      <c r="H1055" s="14">
        <f>73.6412 * CHOOSE(CONTROL!$C$15, $E$9, 100%, $G$9) + CHOOSE(CONTROL!$C$38, 0.0342, 0)</f>
        <v>73.675399999999996</v>
      </c>
      <c r="I1055" s="14">
        <f>73.6428 * CHOOSE(CONTROL!$C$15, $E$9, 100%, $G$9) + CHOOSE(CONTROL!$C$38, 0.0342, 0)</f>
        <v>73.676999999999992</v>
      </c>
      <c r="J1055" s="43">
        <f>808.5528</f>
        <v>808.55280000000005</v>
      </c>
    </row>
    <row r="1056" spans="1:10" ht="15.75" x14ac:dyDescent="0.25">
      <c r="A1056" s="31">
        <v>73081</v>
      </c>
      <c r="B1056" s="14">
        <f>77.228 * CHOOSE(CONTROL!$C$15, $E$9, 100%, $G$9) + CHOOSE(CONTROL!$C$38, 0.0251, 0)</f>
        <v>77.253099999999989</v>
      </c>
      <c r="C1056" s="14">
        <f>73.087 * CHOOSE(CONTROL!$C$15, $E$9, 100%, $G$9) + CHOOSE(CONTROL!$C$38, 0.0342, 0)</f>
        <v>73.121200000000002</v>
      </c>
      <c r="D1056" s="14">
        <f>73.0791 * CHOOSE(CONTROL!$C$15, $E$9, 100%, $G$9) + CHOOSE(CONTROL!$C$38, 0.0342, 0)</f>
        <v>73.113299999999995</v>
      </c>
      <c r="E1056" s="45">
        <f>77.0717 * CHOOSE(CONTROL!$C$15, $E$9, 100%, $G$9) + CHOOSE(CONTROL!$C$38, 0.0342, 0)</f>
        <v>77.105900000000005</v>
      </c>
      <c r="F1056" s="44">
        <f>77.0717 * CHOOSE(CONTROL!$C$15, $E$9, 100%, $G$9) + CHOOSE(CONTROL!$C$38, 0.0251, 0)</f>
        <v>77.096800000000002</v>
      </c>
      <c r="G1056" s="14">
        <f>73.0854 * CHOOSE(CONTROL!$C$15, $E$9, 100%, $G$9) + CHOOSE(CONTROL!$C$38, 0.0342, 0)</f>
        <v>73.119600000000005</v>
      </c>
      <c r="H1056" s="14">
        <f>73.0854 * CHOOSE(CONTROL!$C$15, $E$9, 100%, $G$9) + CHOOSE(CONTROL!$C$38, 0.0342, 0)</f>
        <v>73.119600000000005</v>
      </c>
      <c r="I1056" s="14">
        <f>73.087 * CHOOSE(CONTROL!$C$15, $E$9, 100%, $G$9) + CHOOSE(CONTROL!$C$38, 0.0342, 0)</f>
        <v>73.121200000000002</v>
      </c>
      <c r="J1056" s="43">
        <f>807.969</f>
        <v>807.96900000000005</v>
      </c>
    </row>
    <row r="1057" spans="1:11" ht="15.75" x14ac:dyDescent="0.25">
      <c r="A1057" s="31">
        <v>73109</v>
      </c>
      <c r="B1057" s="14">
        <f>77.015 * CHOOSE(CONTROL!$C$15, $E$9, 100%, $G$9) + CHOOSE(CONTROL!$C$38, 0.0251, 0)</f>
        <v>77.040099999999995</v>
      </c>
      <c r="C1057" s="14">
        <f>72.8851 * CHOOSE(CONTROL!$C$15, $E$9, 100%, $G$9) + CHOOSE(CONTROL!$C$38, 0.0342, 0)</f>
        <v>72.919299999999993</v>
      </c>
      <c r="D1057" s="14">
        <f>72.8773 * CHOOSE(CONTROL!$C$15, $E$9, 100%, $G$9) + CHOOSE(CONTROL!$C$38, 0.0342, 0)</f>
        <v>72.911500000000004</v>
      </c>
      <c r="E1057" s="45">
        <f>76.8588 * CHOOSE(CONTROL!$C$15, $E$9, 100%, $G$9) + CHOOSE(CONTROL!$C$38, 0.0342, 0)</f>
        <v>76.893000000000001</v>
      </c>
      <c r="F1057" s="44">
        <f>76.8588 * CHOOSE(CONTROL!$C$15, $E$9, 100%, $G$9) + CHOOSE(CONTROL!$C$38, 0.0251, 0)</f>
        <v>76.883899999999997</v>
      </c>
      <c r="G1057" s="14">
        <f>72.8835 * CHOOSE(CONTROL!$C$15, $E$9, 100%, $G$9) + CHOOSE(CONTROL!$C$38, 0.0342, 0)</f>
        <v>72.917699999999996</v>
      </c>
      <c r="H1057" s="14">
        <f>72.8835 * CHOOSE(CONTROL!$C$15, $E$9, 100%, $G$9) + CHOOSE(CONTROL!$C$38, 0.0342, 0)</f>
        <v>72.917699999999996</v>
      </c>
      <c r="I1057" s="14">
        <f>72.8851 * CHOOSE(CONTROL!$C$15, $E$9, 100%, $G$9) + CHOOSE(CONTROL!$C$38, 0.0342, 0)</f>
        <v>72.919299999999993</v>
      </c>
      <c r="J1057" s="43">
        <f>805.7231</f>
        <v>805.72310000000004</v>
      </c>
    </row>
    <row r="1058" spans="1:11" ht="15.75" x14ac:dyDescent="0.25">
      <c r="A1058" s="31">
        <v>73140</v>
      </c>
      <c r="B1058" s="14">
        <f>81.0416 * CHOOSE(CONTROL!$C$15, $E$9, 100%, $G$9) + CHOOSE(CONTROL!$C$38, 0.0251, 0)</f>
        <v>81.066699999999997</v>
      </c>
      <c r="C1058" s="14">
        <f>76.7022 * CHOOSE(CONTROL!$C$15, $E$9, 100%, $G$9) + CHOOSE(CONTROL!$C$38, 0.0342, 0)</f>
        <v>76.736400000000003</v>
      </c>
      <c r="D1058" s="14">
        <f>76.6944 * CHOOSE(CONTROL!$C$15, $E$9, 100%, $G$9) + CHOOSE(CONTROL!$C$38, 0.0342, 0)</f>
        <v>76.7286</v>
      </c>
      <c r="E1058" s="45">
        <f>80.8854 * CHOOSE(CONTROL!$C$15, $E$9, 100%, $G$9) + CHOOSE(CONTROL!$C$38, 0.0342, 0)</f>
        <v>80.919600000000003</v>
      </c>
      <c r="F1058" s="44">
        <f>80.8854 * CHOOSE(CONTROL!$C$15, $E$9, 100%, $G$9) + CHOOSE(CONTROL!$C$38, 0.0251, 0)</f>
        <v>80.910499999999999</v>
      </c>
      <c r="G1058" s="14">
        <f>76.7007 * CHOOSE(CONTROL!$C$15, $E$9, 100%, $G$9) + CHOOSE(CONTROL!$C$38, 0.0342, 0)</f>
        <v>76.734899999999996</v>
      </c>
      <c r="H1058" s="14">
        <f>76.7007 * CHOOSE(CONTROL!$C$15, $E$9, 100%, $G$9) + CHOOSE(CONTROL!$C$38, 0.0342, 0)</f>
        <v>76.734899999999996</v>
      </c>
      <c r="I1058" s="14">
        <f>76.7022 * CHOOSE(CONTROL!$C$15, $E$9, 100%, $G$9) + CHOOSE(CONTROL!$C$38, 0.0342, 0)</f>
        <v>76.736400000000003</v>
      </c>
      <c r="J1058" s="43">
        <f>848.1894</f>
        <v>848.18939999999998</v>
      </c>
    </row>
    <row r="1059" spans="1:11" ht="15.75" x14ac:dyDescent="0.25">
      <c r="A1059" s="31">
        <v>73170</v>
      </c>
      <c r="B1059" s="14">
        <f>86.2632 * CHOOSE(CONTROL!$C$15, $E$9, 100%, $G$9) + CHOOSE(CONTROL!$C$38, 0.0251, 0)</f>
        <v>86.288299999999992</v>
      </c>
      <c r="C1059" s="14">
        <f>81.6522 * CHOOSE(CONTROL!$C$15, $E$9, 100%, $G$9) + CHOOSE(CONTROL!$C$38, 0.0342, 0)</f>
        <v>81.686399999999992</v>
      </c>
      <c r="D1059" s="14">
        <f>81.6444 * CHOOSE(CONTROL!$C$15, $E$9, 100%, $G$9) + CHOOSE(CONTROL!$C$38, 0.0342, 0)</f>
        <v>81.678600000000003</v>
      </c>
      <c r="E1059" s="45">
        <f>86.1069 * CHOOSE(CONTROL!$C$15, $E$9, 100%, $G$9) + CHOOSE(CONTROL!$C$38, 0.0342, 0)</f>
        <v>86.141099999999994</v>
      </c>
      <c r="F1059" s="44">
        <f>86.1069 * CHOOSE(CONTROL!$C$15, $E$9, 100%, $G$9) + CHOOSE(CONTROL!$C$38, 0.0251, 0)</f>
        <v>86.131999999999991</v>
      </c>
      <c r="G1059" s="14">
        <f>81.6506 * CHOOSE(CONTROL!$C$15, $E$9, 100%, $G$9) + CHOOSE(CONTROL!$C$38, 0.0342, 0)</f>
        <v>81.684799999999996</v>
      </c>
      <c r="H1059" s="14">
        <f>81.6506 * CHOOSE(CONTROL!$C$15, $E$9, 100%, $G$9) + CHOOSE(CONTROL!$C$38, 0.0342, 0)</f>
        <v>81.684799999999996</v>
      </c>
      <c r="I1059" s="14">
        <f>81.6522 * CHOOSE(CONTROL!$C$15, $E$9, 100%, $G$9) + CHOOSE(CONTROL!$C$38, 0.0342, 0)</f>
        <v>81.686399999999992</v>
      </c>
      <c r="J1059" s="43">
        <f>903.258</f>
        <v>903.25800000000004</v>
      </c>
    </row>
    <row r="1060" spans="1:11" ht="15.75" x14ac:dyDescent="0.25">
      <c r="A1060" s="31">
        <v>73201</v>
      </c>
      <c r="B1060" s="14">
        <f>89.1373 * CHOOSE(CONTROL!$C$15, $E$9, 100%, $G$9) + CHOOSE(CONTROL!$C$38, 0.0264, 0)</f>
        <v>89.163699999999992</v>
      </c>
      <c r="C1060" s="14">
        <f>84.3768 * CHOOSE(CONTROL!$C$15, $E$9, 100%, $G$9) + CHOOSE(CONTROL!$C$38, 0.0354, 0)</f>
        <v>84.412199999999999</v>
      </c>
      <c r="D1060" s="14">
        <f>84.369 * CHOOSE(CONTROL!$C$15, $E$9, 100%, $G$9) + CHOOSE(CONTROL!$C$38, 0.0354, 0)</f>
        <v>84.404399999999995</v>
      </c>
      <c r="E1060" s="45">
        <f>88.981 * CHOOSE(CONTROL!$C$15, $E$9, 100%, $G$9) + CHOOSE(CONTROL!$C$38, 0.0354, 0)</f>
        <v>89.01639999999999</v>
      </c>
      <c r="F1060" s="44">
        <f>88.981 * CHOOSE(CONTROL!$C$15, $E$9, 100%, $G$9) + CHOOSE(CONTROL!$C$38, 0.0264, 0)</f>
        <v>89.00739999999999</v>
      </c>
      <c r="G1060" s="14">
        <f>84.3753 * CHOOSE(CONTROL!$C$15, $E$9, 100%, $G$9) + CHOOSE(CONTROL!$C$38, 0.0354, 0)</f>
        <v>84.410699999999991</v>
      </c>
      <c r="H1060" s="14">
        <f>84.3753 * CHOOSE(CONTROL!$C$15, $E$9, 100%, $G$9) + CHOOSE(CONTROL!$C$38, 0.0354, 0)</f>
        <v>84.410699999999991</v>
      </c>
      <c r="I1060" s="14">
        <f>84.3768 * CHOOSE(CONTROL!$C$15, $E$9, 100%, $G$9) + CHOOSE(CONTROL!$C$38, 0.0354, 0)</f>
        <v>84.412199999999999</v>
      </c>
      <c r="J1060" s="43">
        <f>933.5696</f>
        <v>933.56960000000004</v>
      </c>
    </row>
    <row r="1061" spans="1:11" ht="15.75" x14ac:dyDescent="0.25">
      <c r="A1061" s="31">
        <v>73231</v>
      </c>
      <c r="B1061" s="14">
        <f>90.4128 * CHOOSE(CONTROL!$C$15, $E$9, 100%, $G$9) + CHOOSE(CONTROL!$C$38, 0.0264, 0)</f>
        <v>90.4392</v>
      </c>
      <c r="C1061" s="14">
        <f>85.586 * CHOOSE(CONTROL!$C$15, $E$9, 100%, $G$9) + CHOOSE(CONTROL!$C$38, 0.0354, 0)</f>
        <v>85.621399999999994</v>
      </c>
      <c r="D1061" s="14">
        <f>85.5782 * CHOOSE(CONTROL!$C$15, $E$9, 100%, $G$9) + CHOOSE(CONTROL!$C$38, 0.0354, 0)</f>
        <v>85.613599999999991</v>
      </c>
      <c r="E1061" s="45">
        <f>90.2565 * CHOOSE(CONTROL!$C$15, $E$9, 100%, $G$9) + CHOOSE(CONTROL!$C$38, 0.0354, 0)</f>
        <v>90.291899999999998</v>
      </c>
      <c r="F1061" s="44">
        <f>90.2565 * CHOOSE(CONTROL!$C$15, $E$9, 100%, $G$9) + CHOOSE(CONTROL!$C$38, 0.0264, 0)</f>
        <v>90.282899999999998</v>
      </c>
      <c r="G1061" s="14">
        <f>85.5844 * CHOOSE(CONTROL!$C$15, $E$9, 100%, $G$9) + CHOOSE(CONTROL!$C$38, 0.0354, 0)</f>
        <v>85.619799999999998</v>
      </c>
      <c r="H1061" s="14">
        <f>85.5844 * CHOOSE(CONTROL!$C$15, $E$9, 100%, $G$9) + CHOOSE(CONTROL!$C$38, 0.0354, 0)</f>
        <v>85.619799999999998</v>
      </c>
      <c r="I1061" s="14">
        <f>85.586 * CHOOSE(CONTROL!$C$15, $E$9, 100%, $G$9) + CHOOSE(CONTROL!$C$38, 0.0354, 0)</f>
        <v>85.621399999999994</v>
      </c>
      <c r="J1061" s="43">
        <f>947.0213</f>
        <v>947.0213</v>
      </c>
    </row>
    <row r="1062" spans="1:11" ht="15.75" x14ac:dyDescent="0.25">
      <c r="A1062" s="31">
        <v>73262</v>
      </c>
      <c r="B1062" s="14">
        <f>89.9928 * CHOOSE(CONTROL!$C$15, $E$9, 100%, $G$9) + CHOOSE(CONTROL!$C$38, 0.0264, 0)</f>
        <v>90.019199999999998</v>
      </c>
      <c r="C1062" s="14">
        <f>85.1879 * CHOOSE(CONTROL!$C$15, $E$9, 100%, $G$9) + CHOOSE(CONTROL!$C$38, 0.0354, 0)</f>
        <v>85.223299999999995</v>
      </c>
      <c r="D1062" s="14">
        <f>85.18 * CHOOSE(CONTROL!$C$15, $E$9, 100%, $G$9) + CHOOSE(CONTROL!$C$38, 0.0354, 0)</f>
        <v>85.215400000000002</v>
      </c>
      <c r="E1062" s="45">
        <f>89.8366 * CHOOSE(CONTROL!$C$15, $E$9, 100%, $G$9) + CHOOSE(CONTROL!$C$38, 0.0354, 0)</f>
        <v>89.872</v>
      </c>
      <c r="F1062" s="44">
        <f>89.8366 * CHOOSE(CONTROL!$C$15, $E$9, 100%, $G$9) + CHOOSE(CONTROL!$C$38, 0.0264, 0)</f>
        <v>89.863</v>
      </c>
      <c r="G1062" s="14">
        <f>85.1863 * CHOOSE(CONTROL!$C$15, $E$9, 100%, $G$9) + CHOOSE(CONTROL!$C$38, 0.0354, 0)</f>
        <v>85.221699999999998</v>
      </c>
      <c r="H1062" s="14">
        <f>85.1863 * CHOOSE(CONTROL!$C$15, $E$9, 100%, $G$9) + CHOOSE(CONTROL!$C$38, 0.0354, 0)</f>
        <v>85.221699999999998</v>
      </c>
      <c r="I1062" s="14">
        <f>85.1879 * CHOOSE(CONTROL!$C$15, $E$9, 100%, $G$9) + CHOOSE(CONTROL!$C$38, 0.0354, 0)</f>
        <v>85.223299999999995</v>
      </c>
      <c r="J1062" s="43">
        <f>942.5923</f>
        <v>942.59230000000002</v>
      </c>
    </row>
    <row r="1063" spans="1:11" ht="15.75" x14ac:dyDescent="0.25">
      <c r="A1063" s="31">
        <v>73293</v>
      </c>
      <c r="B1063" s="14">
        <f>87.9122 * CHOOSE(CONTROL!$C$15, $E$9, 100%, $G$9) + CHOOSE(CONTROL!$C$38, 0.0264, 0)</f>
        <v>87.938599999999994</v>
      </c>
      <c r="C1063" s="14">
        <f>83.2155 * CHOOSE(CONTROL!$C$15, $E$9, 100%, $G$9) + CHOOSE(CONTROL!$C$38, 0.0354, 0)</f>
        <v>83.250900000000001</v>
      </c>
      <c r="D1063" s="14">
        <f>83.2076 * CHOOSE(CONTROL!$C$15, $E$9, 100%, $G$9) + CHOOSE(CONTROL!$C$38, 0.0354, 0)</f>
        <v>83.242999999999995</v>
      </c>
      <c r="E1063" s="45">
        <f>87.7559 * CHOOSE(CONTROL!$C$15, $E$9, 100%, $G$9) + CHOOSE(CONTROL!$C$38, 0.0354, 0)</f>
        <v>87.791299999999993</v>
      </c>
      <c r="F1063" s="44">
        <f>87.7559 * CHOOSE(CONTROL!$C$15, $E$9, 100%, $G$9) + CHOOSE(CONTROL!$C$38, 0.0264, 0)</f>
        <v>87.782299999999992</v>
      </c>
      <c r="G1063" s="14">
        <f>83.2139 * CHOOSE(CONTROL!$C$15, $E$9, 100%, $G$9) + CHOOSE(CONTROL!$C$38, 0.0354, 0)</f>
        <v>83.249299999999991</v>
      </c>
      <c r="H1063" s="14">
        <f>83.2139 * CHOOSE(CONTROL!$C$15, $E$9, 100%, $G$9) + CHOOSE(CONTROL!$C$38, 0.0354, 0)</f>
        <v>83.249299999999991</v>
      </c>
      <c r="I1063" s="14">
        <f>83.2155 * CHOOSE(CONTROL!$C$15, $E$9, 100%, $G$9) + CHOOSE(CONTROL!$C$38, 0.0354, 0)</f>
        <v>83.250900000000001</v>
      </c>
      <c r="J1063" s="43">
        <f>920.6492</f>
        <v>920.64919999999995</v>
      </c>
    </row>
    <row r="1064" spans="1:11" ht="15.75" x14ac:dyDescent="0.25">
      <c r="A1064" s="31">
        <v>73323</v>
      </c>
      <c r="B1064" s="14">
        <f>85.0106 * CHOOSE(CONTROL!$C$15, $E$9, 100%, $G$9) + CHOOSE(CONTROL!$C$38, 0.0264, 0)</f>
        <v>85.036999999999992</v>
      </c>
      <c r="C1064" s="14">
        <f>80.4648 * CHOOSE(CONTROL!$C$15, $E$9, 100%, $G$9) + CHOOSE(CONTROL!$C$38, 0.0354, 0)</f>
        <v>80.500199999999992</v>
      </c>
      <c r="D1064" s="14">
        <f>80.457 * CHOOSE(CONTROL!$C$15, $E$9, 100%, $G$9) + CHOOSE(CONTROL!$C$38, 0.0354, 0)</f>
        <v>80.492399999999989</v>
      </c>
      <c r="E1064" s="45">
        <f>84.8544 * CHOOSE(CONTROL!$C$15, $E$9, 100%, $G$9) + CHOOSE(CONTROL!$C$38, 0.0354, 0)</f>
        <v>84.889799999999994</v>
      </c>
      <c r="F1064" s="44">
        <f>84.8544 * CHOOSE(CONTROL!$C$15, $E$9, 100%, $G$9) + CHOOSE(CONTROL!$C$38, 0.0264, 0)</f>
        <v>84.880799999999994</v>
      </c>
      <c r="G1064" s="14">
        <f>80.4633 * CHOOSE(CONTROL!$C$15, $E$9, 100%, $G$9) + CHOOSE(CONTROL!$C$38, 0.0354, 0)</f>
        <v>80.498699999999999</v>
      </c>
      <c r="H1064" s="14">
        <f>80.4633 * CHOOSE(CONTROL!$C$15, $E$9, 100%, $G$9) + CHOOSE(CONTROL!$C$38, 0.0354, 0)</f>
        <v>80.498699999999999</v>
      </c>
      <c r="I1064" s="14">
        <f>80.4648 * CHOOSE(CONTROL!$C$15, $E$9, 100%, $G$9) + CHOOSE(CONTROL!$C$38, 0.0354, 0)</f>
        <v>80.500199999999992</v>
      </c>
      <c r="J1064" s="43">
        <f>890.0484</f>
        <v>890.04840000000002</v>
      </c>
    </row>
    <row r="1065" spans="1:11" ht="15.75" x14ac:dyDescent="0.25">
      <c r="A1065" s="31">
        <v>73354</v>
      </c>
      <c r="B1065" s="14">
        <f>82.0922 * CHOOSE(CONTROL!$C$15, $E$9, 100%, $G$9) + CHOOSE(CONTROL!$C$38, 0.0251, 0)</f>
        <v>82.1173</v>
      </c>
      <c r="C1065" s="14">
        <f>77.6982 * CHOOSE(CONTROL!$C$15, $E$9, 100%, $G$9) + CHOOSE(CONTROL!$C$38, 0.0342, 0)</f>
        <v>77.732399999999998</v>
      </c>
      <c r="D1065" s="14">
        <f>77.6904 * CHOOSE(CONTROL!$C$15, $E$9, 100%, $G$9) + CHOOSE(CONTROL!$C$38, 0.0342, 0)</f>
        <v>77.724599999999995</v>
      </c>
      <c r="E1065" s="45">
        <f>81.936 * CHOOSE(CONTROL!$C$15, $E$9, 100%, $G$9) + CHOOSE(CONTROL!$C$38, 0.0342, 0)</f>
        <v>81.970200000000006</v>
      </c>
      <c r="F1065" s="44">
        <f>81.936 * CHOOSE(CONTROL!$C$15, $E$9, 100%, $G$9) + CHOOSE(CONTROL!$C$38, 0.0251, 0)</f>
        <v>81.961100000000002</v>
      </c>
      <c r="G1065" s="14">
        <f>77.6967 * CHOOSE(CONTROL!$C$15, $E$9, 100%, $G$9) + CHOOSE(CONTROL!$C$38, 0.0342, 0)</f>
        <v>77.730900000000005</v>
      </c>
      <c r="H1065" s="14">
        <f>77.6967 * CHOOSE(CONTROL!$C$15, $E$9, 100%, $G$9) + CHOOSE(CONTROL!$C$38, 0.0342, 0)</f>
        <v>77.730900000000005</v>
      </c>
      <c r="I1065" s="14">
        <f>77.6982 * CHOOSE(CONTROL!$C$15, $E$9, 100%, $G$9) + CHOOSE(CONTROL!$C$38, 0.0342, 0)</f>
        <v>77.732399999999998</v>
      </c>
      <c r="J1065" s="43">
        <f>859.2696</f>
        <v>859.26959999999997</v>
      </c>
    </row>
    <row r="1066" spans="1:11" ht="15.75" x14ac:dyDescent="0.25">
      <c r="A1066" s="31">
        <v>73384</v>
      </c>
      <c r="B1066" s="14">
        <f>81.5117 * CHOOSE(CONTROL!$C$15, $E$9, 100%, $G$9) + CHOOSE(CONTROL!$C$38, 0.0251, 0)</f>
        <v>81.536799999999999</v>
      </c>
      <c r="C1066" s="14">
        <f>77.1479 * CHOOSE(CONTROL!$C$15, $E$9, 100%, $G$9) + CHOOSE(CONTROL!$C$38, 0.0342, 0)</f>
        <v>77.182100000000005</v>
      </c>
      <c r="D1066" s="14">
        <f>77.1401 * CHOOSE(CONTROL!$C$15, $E$9, 100%, $G$9) + CHOOSE(CONTROL!$C$38, 0.0342, 0)</f>
        <v>77.174300000000002</v>
      </c>
      <c r="E1066" s="45">
        <f>81.3555 * CHOOSE(CONTROL!$C$15, $E$9, 100%, $G$9) + CHOOSE(CONTROL!$C$38, 0.0342, 0)</f>
        <v>81.389700000000005</v>
      </c>
      <c r="F1066" s="44">
        <f>81.3555 * CHOOSE(CONTROL!$C$15, $E$9, 100%, $G$9) + CHOOSE(CONTROL!$C$38, 0.0251, 0)</f>
        <v>81.380600000000001</v>
      </c>
      <c r="G1066" s="14">
        <f>77.1463 * CHOOSE(CONTROL!$C$15, $E$9, 100%, $G$9) + CHOOSE(CONTROL!$C$38, 0.0342, 0)</f>
        <v>77.180499999999995</v>
      </c>
      <c r="H1066" s="14">
        <f>77.1463 * CHOOSE(CONTROL!$C$15, $E$9, 100%, $G$9) + CHOOSE(CONTROL!$C$38, 0.0342, 0)</f>
        <v>77.180499999999995</v>
      </c>
      <c r="I1066" s="14">
        <f>77.1479 * CHOOSE(CONTROL!$C$15, $E$9, 100%, $G$9) + CHOOSE(CONTROL!$C$38, 0.0342, 0)</f>
        <v>77.182100000000005</v>
      </c>
      <c r="J1066" s="43">
        <f>853.1471</f>
        <v>853.14710000000002</v>
      </c>
    </row>
    <row r="1067" spans="1:11" ht="15.75" x14ac:dyDescent="0.25">
      <c r="A1067" s="31">
        <v>73415</v>
      </c>
      <c r="B1067" s="14">
        <f>79.1112 * CHOOSE(CONTROL!$C$15, $E$9, 100%, $G$9) + CHOOSE(CONTROL!$C$38, 0.0251, 0)</f>
        <v>79.136299999999991</v>
      </c>
      <c r="C1067" s="14">
        <f>74.8722 * CHOOSE(CONTROL!$C$15, $E$9, 100%, $G$9) + CHOOSE(CONTROL!$C$38, 0.0342, 0)</f>
        <v>74.906400000000005</v>
      </c>
      <c r="D1067" s="14">
        <f>74.8644 * CHOOSE(CONTROL!$C$15, $E$9, 100%, $G$9) + CHOOSE(CONTROL!$C$38, 0.0342, 0)</f>
        <v>74.898600000000002</v>
      </c>
      <c r="E1067" s="45">
        <f>78.9549 * CHOOSE(CONTROL!$C$15, $E$9, 100%, $G$9) + CHOOSE(CONTROL!$C$38, 0.0342, 0)</f>
        <v>78.989099999999993</v>
      </c>
      <c r="F1067" s="44">
        <f>78.9549 * CHOOSE(CONTROL!$C$15, $E$9, 100%, $G$9) + CHOOSE(CONTROL!$C$38, 0.0251, 0)</f>
        <v>78.97999999999999</v>
      </c>
      <c r="G1067" s="14">
        <f>74.8706 * CHOOSE(CONTROL!$C$15, $E$9, 100%, $G$9) + CHOOSE(CONTROL!$C$38, 0.0342, 0)</f>
        <v>74.904799999999994</v>
      </c>
      <c r="H1067" s="14">
        <f>74.8706 * CHOOSE(CONTROL!$C$15, $E$9, 100%, $G$9) + CHOOSE(CONTROL!$C$38, 0.0342, 0)</f>
        <v>74.904799999999994</v>
      </c>
      <c r="I1067" s="14">
        <f>74.8722 * CHOOSE(CONTROL!$C$15, $E$9, 100%, $G$9) + CHOOSE(CONTROL!$C$38, 0.0342, 0)</f>
        <v>74.906400000000005</v>
      </c>
      <c r="J1067" s="43">
        <f>827.8299</f>
        <v>827.82989999999995</v>
      </c>
    </row>
    <row r="1068" spans="1:11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</row>
    <row r="1069" spans="1:11" ht="15" x14ac:dyDescent="0.2">
      <c r="A1069" s="10">
        <v>2013</v>
      </c>
      <c r="B1069" s="14">
        <f t="shared" ref="B1069:J1069" si="0">AVERAGE(B12:B23)</f>
        <v>16.303338162088526</v>
      </c>
      <c r="C1069" s="14">
        <f t="shared" si="0"/>
        <v>15.557558053209043</v>
      </c>
      <c r="D1069" s="14">
        <f t="shared" si="0"/>
        <v>15.549751803209043</v>
      </c>
      <c r="E1069" s="14">
        <f t="shared" si="0"/>
        <v>15.549751803209043</v>
      </c>
      <c r="F1069" s="14">
        <f t="shared" si="0"/>
        <v>16.014065603682283</v>
      </c>
      <c r="G1069" s="14">
        <f t="shared" si="0"/>
        <v>15.555985136542375</v>
      </c>
      <c r="H1069" s="14">
        <f t="shared" si="0"/>
        <v>15.555985136542375</v>
      </c>
      <c r="I1069" s="14">
        <f t="shared" si="0"/>
        <v>15.557558053209043</v>
      </c>
      <c r="J1069" s="14">
        <f t="shared" si="0"/>
        <v>93.204166666666652</v>
      </c>
      <c r="K1069" s="14"/>
    </row>
    <row r="1070" spans="1:11" ht="15" x14ac:dyDescent="0.2">
      <c r="A1070" s="10">
        <v>2014</v>
      </c>
      <c r="B1070" s="14">
        <f t="shared" ref="B1070:J1070" si="1">AVERAGE(B24:B35)</f>
        <v>15.660016666666666</v>
      </c>
      <c r="C1070" s="14">
        <f t="shared" si="1"/>
        <v>14.88785</v>
      </c>
      <c r="D1070" s="14">
        <f t="shared" si="1"/>
        <v>14.879975</v>
      </c>
      <c r="E1070" s="14">
        <f t="shared" si="1"/>
        <v>15.51285</v>
      </c>
      <c r="F1070" s="14">
        <f t="shared" si="1"/>
        <v>15.503791666666663</v>
      </c>
      <c r="G1070" s="14">
        <f t="shared" si="1"/>
        <v>14.886274999999999</v>
      </c>
      <c r="H1070" s="14">
        <f t="shared" si="1"/>
        <v>14.886274999999999</v>
      </c>
      <c r="I1070" s="14">
        <f t="shared" si="1"/>
        <v>14.88785</v>
      </c>
      <c r="J1070" s="14">
        <f t="shared" si="1"/>
        <v>90.457499999999996</v>
      </c>
      <c r="K1070" s="14"/>
    </row>
    <row r="1071" spans="1:11" ht="15" x14ac:dyDescent="0.2">
      <c r="A1071" s="10">
        <v>2015</v>
      </c>
      <c r="B1071" s="14">
        <f t="shared" ref="B1071:J1071" si="2">AVERAGE(B36:B47)</f>
        <v>15.163241666666666</v>
      </c>
      <c r="C1071" s="14">
        <f t="shared" si="2"/>
        <v>14.401899999999999</v>
      </c>
      <c r="D1071" s="14">
        <f t="shared" si="2"/>
        <v>14.3941</v>
      </c>
      <c r="E1071" s="14">
        <f t="shared" si="2"/>
        <v>15.016100000000002</v>
      </c>
      <c r="F1071" s="14">
        <f t="shared" si="2"/>
        <v>15.007041666666664</v>
      </c>
      <c r="G1071" s="14">
        <f t="shared" si="2"/>
        <v>14.4003</v>
      </c>
      <c r="H1071" s="14">
        <f t="shared" si="2"/>
        <v>14.4003</v>
      </c>
      <c r="I1071" s="14">
        <f t="shared" si="2"/>
        <v>14.401899999999999</v>
      </c>
      <c r="J1071" s="14">
        <f t="shared" si="2"/>
        <v>87.27833333333335</v>
      </c>
      <c r="K1071" s="14"/>
    </row>
    <row r="1072" spans="1:11" ht="15" x14ac:dyDescent="0.2">
      <c r="A1072" s="10">
        <v>2016</v>
      </c>
      <c r="B1072" s="14">
        <f t="shared" ref="B1072:J1072" si="3">AVERAGE(B48:B59)</f>
        <v>15.746583333333328</v>
      </c>
      <c r="C1072" s="14">
        <f t="shared" si="3"/>
        <v>15.133699999999997</v>
      </c>
      <c r="D1072" s="14">
        <f t="shared" si="3"/>
        <v>15.125883333333332</v>
      </c>
      <c r="E1072" s="14">
        <f t="shared" si="3"/>
        <v>15.599391666666664</v>
      </c>
      <c r="F1072" s="14">
        <f t="shared" si="3"/>
        <v>15.590333333333334</v>
      </c>
      <c r="G1072" s="14">
        <f t="shared" si="3"/>
        <v>15.132116666666667</v>
      </c>
      <c r="H1072" s="14">
        <f t="shared" si="3"/>
        <v>15.132116666666667</v>
      </c>
      <c r="I1072" s="14">
        <f t="shared" si="3"/>
        <v>15.133699999999997</v>
      </c>
      <c r="J1072" s="14">
        <f t="shared" si="3"/>
        <v>95.633166666666668</v>
      </c>
      <c r="K1072" s="14"/>
    </row>
    <row r="1073" spans="1:11" ht="15" x14ac:dyDescent="0.2">
      <c r="A1073" s="10">
        <v>2017</v>
      </c>
      <c r="B1073" s="14">
        <f t="shared" ref="B1073:J1073" si="4">AVERAGE(B60:B71)</f>
        <v>15.804125000000001</v>
      </c>
      <c r="C1073" s="14">
        <f t="shared" si="4"/>
        <v>15.190858333333331</v>
      </c>
      <c r="D1073" s="14">
        <f t="shared" si="4"/>
        <v>15.183033333333332</v>
      </c>
      <c r="E1073" s="14">
        <f t="shared" si="4"/>
        <v>15.65695</v>
      </c>
      <c r="F1073" s="14">
        <f t="shared" si="4"/>
        <v>15.647891666666666</v>
      </c>
      <c r="G1073" s="14">
        <f t="shared" si="4"/>
        <v>15.189300000000001</v>
      </c>
      <c r="H1073" s="14">
        <f t="shared" si="4"/>
        <v>15.189300000000001</v>
      </c>
      <c r="I1073" s="14">
        <f t="shared" si="4"/>
        <v>15.190858333333331</v>
      </c>
      <c r="J1073" s="14">
        <f t="shared" si="4"/>
        <v>96.232900000000015</v>
      </c>
      <c r="K1073" s="14"/>
    </row>
    <row r="1074" spans="1:11" ht="15" x14ac:dyDescent="0.2">
      <c r="A1074" s="10">
        <v>2018</v>
      </c>
      <c r="B1074" s="14">
        <f t="shared" ref="B1074:J1074" si="5">AVERAGE(B72:B83)</f>
        <v>17.317608333333332</v>
      </c>
      <c r="C1074" s="14">
        <f t="shared" si="5"/>
        <v>16.85103333333333</v>
      </c>
      <c r="D1074" s="14">
        <f t="shared" si="5"/>
        <v>16.84323333333333</v>
      </c>
      <c r="E1074" s="14">
        <f t="shared" si="5"/>
        <v>17.170449999999999</v>
      </c>
      <c r="F1074" s="14">
        <f t="shared" si="5"/>
        <v>17.161391666666663</v>
      </c>
      <c r="G1074" s="14">
        <f t="shared" si="5"/>
        <v>16.849499999999999</v>
      </c>
      <c r="H1074" s="14">
        <f t="shared" si="5"/>
        <v>16.849499999999999</v>
      </c>
      <c r="I1074" s="14">
        <f t="shared" si="5"/>
        <v>16.85103333333333</v>
      </c>
      <c r="J1074" s="14">
        <f t="shared" si="5"/>
        <v>110.98133333333332</v>
      </c>
      <c r="K1074" s="14"/>
    </row>
    <row r="1075" spans="1:11" ht="15" x14ac:dyDescent="0.2">
      <c r="A1075" s="10">
        <v>2019</v>
      </c>
      <c r="B1075" s="14">
        <f t="shared" ref="B1075:J1075" si="6">AVERAGE(B84:B95)</f>
        <v>17.773716666666662</v>
      </c>
      <c r="C1075" s="14">
        <f t="shared" si="6"/>
        <v>17.274333333333331</v>
      </c>
      <c r="D1075" s="14">
        <f t="shared" si="6"/>
        <v>17.266533333333332</v>
      </c>
      <c r="E1075" s="14">
        <f t="shared" si="6"/>
        <v>17.626491666666663</v>
      </c>
      <c r="F1075" s="14">
        <f t="shared" si="6"/>
        <v>17.617433333333334</v>
      </c>
      <c r="G1075" s="14">
        <f t="shared" si="6"/>
        <v>17.272774999999999</v>
      </c>
      <c r="H1075" s="14">
        <f t="shared" si="6"/>
        <v>17.272774999999999</v>
      </c>
      <c r="I1075" s="14">
        <f t="shared" si="6"/>
        <v>17.274333333333331</v>
      </c>
      <c r="J1075" s="14">
        <f t="shared" si="6"/>
        <v>113.54180833333335</v>
      </c>
      <c r="K1075" s="14"/>
    </row>
    <row r="1076" spans="1:11" ht="15" x14ac:dyDescent="0.2">
      <c r="A1076" s="10">
        <v>2020</v>
      </c>
      <c r="B1076" s="14">
        <f t="shared" ref="B1076:J1076" si="7">AVERAGE(B96:B107)</f>
        <v>18.34900833333333</v>
      </c>
      <c r="C1076" s="14">
        <f t="shared" si="7"/>
        <v>17.696324999999998</v>
      </c>
      <c r="D1076" s="14">
        <f t="shared" si="7"/>
        <v>17.688508333333331</v>
      </c>
      <c r="E1076" s="14">
        <f t="shared" si="7"/>
        <v>18.201816666666662</v>
      </c>
      <c r="F1076" s="14">
        <f t="shared" si="7"/>
        <v>18.19275833333333</v>
      </c>
      <c r="G1076" s="14">
        <f t="shared" si="7"/>
        <v>17.694775</v>
      </c>
      <c r="H1076" s="14">
        <f t="shared" si="7"/>
        <v>17.694775</v>
      </c>
      <c r="I1076" s="14">
        <f t="shared" si="7"/>
        <v>17.696324999999998</v>
      </c>
      <c r="J1076" s="14">
        <f t="shared" si="7"/>
        <v>116.10022500000001</v>
      </c>
      <c r="K1076" s="14"/>
    </row>
    <row r="1077" spans="1:11" ht="15" x14ac:dyDescent="0.2">
      <c r="A1077" s="10">
        <v>2021</v>
      </c>
      <c r="B1077" s="14">
        <f t="shared" ref="B1077:J1077" si="8">AVERAGE(B108:B119)</f>
        <v>19.422558333333331</v>
      </c>
      <c r="C1077" s="14">
        <f t="shared" si="8"/>
        <v>18.469091666666667</v>
      </c>
      <c r="D1077" s="14">
        <f t="shared" si="8"/>
        <v>18.461275000000001</v>
      </c>
      <c r="E1077" s="14">
        <f t="shared" si="8"/>
        <v>19.275358333333333</v>
      </c>
      <c r="F1077" s="14">
        <f t="shared" si="8"/>
        <v>19.266299999999998</v>
      </c>
      <c r="G1077" s="14">
        <f t="shared" si="8"/>
        <v>18.467508333333335</v>
      </c>
      <c r="H1077" s="14">
        <f t="shared" si="8"/>
        <v>18.467508333333335</v>
      </c>
      <c r="I1077" s="14">
        <f t="shared" si="8"/>
        <v>18.469091666666667</v>
      </c>
      <c r="J1077" s="14">
        <f t="shared" si="8"/>
        <v>122.03735833333333</v>
      </c>
      <c r="K1077" s="14"/>
    </row>
    <row r="1078" spans="1:11" ht="15" x14ac:dyDescent="0.2">
      <c r="A1078" s="10">
        <v>2022</v>
      </c>
      <c r="B1078" s="14">
        <f t="shared" ref="B1078:J1078" si="9">AVERAGE(B120:B131)</f>
        <v>20.263100000000001</v>
      </c>
      <c r="C1078" s="14">
        <f t="shared" si="9"/>
        <v>19.305666666666667</v>
      </c>
      <c r="D1078" s="14">
        <f t="shared" si="9"/>
        <v>19.297858333333334</v>
      </c>
      <c r="E1078" s="14">
        <f t="shared" si="9"/>
        <v>20.115883333333333</v>
      </c>
      <c r="F1078" s="14">
        <f t="shared" si="9"/>
        <v>20.106824999999997</v>
      </c>
      <c r="G1078" s="14">
        <f t="shared" si="9"/>
        <v>19.304091666666665</v>
      </c>
      <c r="H1078" s="14">
        <f t="shared" si="9"/>
        <v>19.304091666666665</v>
      </c>
      <c r="I1078" s="14">
        <f t="shared" si="9"/>
        <v>19.305666666666667</v>
      </c>
      <c r="J1078" s="14">
        <f t="shared" si="9"/>
        <v>128.27124999999998</v>
      </c>
      <c r="K1078" s="14"/>
    </row>
    <row r="1079" spans="1:11" ht="15" x14ac:dyDescent="0.2">
      <c r="A1079" s="10">
        <v>2023</v>
      </c>
      <c r="B1079" s="14">
        <f t="shared" ref="B1079:J1079" si="10">AVERAGE(B132:B143)</f>
        <v>21.363733333333329</v>
      </c>
      <c r="C1079" s="14">
        <f t="shared" si="10"/>
        <v>20.239483333333329</v>
      </c>
      <c r="D1079" s="14">
        <f t="shared" si="10"/>
        <v>20.231683333333333</v>
      </c>
      <c r="E1079" s="14">
        <f t="shared" si="10"/>
        <v>21.216533333333331</v>
      </c>
      <c r="F1079" s="14">
        <f t="shared" si="10"/>
        <v>21.207474999999999</v>
      </c>
      <c r="G1079" s="14">
        <f t="shared" si="10"/>
        <v>20.237941666666668</v>
      </c>
      <c r="H1079" s="14">
        <f t="shared" si="10"/>
        <v>20.237941666666668</v>
      </c>
      <c r="I1079" s="14">
        <f t="shared" si="10"/>
        <v>20.239483333333329</v>
      </c>
      <c r="J1079" s="14">
        <f t="shared" si="10"/>
        <v>134.81665833333332</v>
      </c>
      <c r="K1079" s="14"/>
    </row>
    <row r="1080" spans="1:11" ht="15" x14ac:dyDescent="0.2">
      <c r="A1080" s="10">
        <v>2024</v>
      </c>
      <c r="B1080" s="14">
        <f t="shared" ref="B1080:J1080" si="11">AVERAGE(B144:B155)</f>
        <v>22.500974999999997</v>
      </c>
      <c r="C1080" s="14">
        <f t="shared" si="11"/>
        <v>21.208308333333331</v>
      </c>
      <c r="D1080" s="14">
        <f t="shared" si="11"/>
        <v>21.200491666666665</v>
      </c>
      <c r="E1080" s="14">
        <f t="shared" si="11"/>
        <v>22.353791666666666</v>
      </c>
      <c r="F1080" s="14">
        <f t="shared" si="11"/>
        <v>22.344733333333334</v>
      </c>
      <c r="G1080" s="14">
        <f t="shared" si="11"/>
        <v>21.206733333333332</v>
      </c>
      <c r="H1080" s="14">
        <f t="shared" si="11"/>
        <v>21.206733333333332</v>
      </c>
      <c r="I1080" s="14">
        <f t="shared" si="11"/>
        <v>21.208308333333331</v>
      </c>
      <c r="J1080" s="14">
        <f t="shared" si="11"/>
        <v>141.68893333333332</v>
      </c>
      <c r="K1080" s="14"/>
    </row>
    <row r="1081" spans="1:11" ht="15" x14ac:dyDescent="0.2">
      <c r="A1081" s="10">
        <v>2025</v>
      </c>
      <c r="B1081" s="14">
        <f t="shared" ref="B1081:J1081" si="12">AVERAGE(B156:B167)</f>
        <v>23.644308333333328</v>
      </c>
      <c r="C1081" s="14">
        <f t="shared" si="12"/>
        <v>22.181591666666666</v>
      </c>
      <c r="D1081" s="14">
        <f t="shared" si="12"/>
        <v>22.173758333333335</v>
      </c>
      <c r="E1081" s="14">
        <f t="shared" si="12"/>
        <v>23.497116666666667</v>
      </c>
      <c r="F1081" s="14">
        <f t="shared" si="12"/>
        <v>23.488058333333331</v>
      </c>
      <c r="G1081" s="14">
        <f t="shared" si="12"/>
        <v>22.180033333333331</v>
      </c>
      <c r="H1081" s="14">
        <f t="shared" si="12"/>
        <v>22.180033333333331</v>
      </c>
      <c r="I1081" s="14">
        <f t="shared" si="12"/>
        <v>22.181591666666666</v>
      </c>
      <c r="J1081" s="14">
        <f t="shared" si="12"/>
        <v>148.90432500000003</v>
      </c>
      <c r="K1081" s="14"/>
    </row>
    <row r="1082" spans="1:11" ht="15" x14ac:dyDescent="0.2">
      <c r="A1082" s="10">
        <v>2026</v>
      </c>
      <c r="B1082" s="14">
        <f t="shared" ref="B1082:J1082" si="13">AVERAGE(B168:B179)</f>
        <v>24.186841666666666</v>
      </c>
      <c r="C1082" s="14">
        <f t="shared" si="13"/>
        <v>22.717658333333333</v>
      </c>
      <c r="D1082" s="14">
        <f t="shared" si="13"/>
        <v>22.70985833333334</v>
      </c>
      <c r="E1082" s="14">
        <f t="shared" si="13"/>
        <v>24.039658333333335</v>
      </c>
      <c r="F1082" s="14">
        <f t="shared" si="13"/>
        <v>24.030599999999993</v>
      </c>
      <c r="G1082" s="14">
        <f t="shared" si="13"/>
        <v>22.716108333333327</v>
      </c>
      <c r="H1082" s="14">
        <f t="shared" si="13"/>
        <v>22.716108333333327</v>
      </c>
      <c r="I1082" s="14">
        <f t="shared" si="13"/>
        <v>22.717658333333333</v>
      </c>
      <c r="J1082" s="14">
        <f t="shared" si="13"/>
        <v>152.65531666666666</v>
      </c>
      <c r="K1082" s="14"/>
    </row>
    <row r="1083" spans="1:11" ht="15" x14ac:dyDescent="0.2">
      <c r="A1083" s="10">
        <v>2027</v>
      </c>
      <c r="B1083" s="14">
        <f t="shared" ref="B1083:J1083" si="14">AVERAGE(B180:B191)</f>
        <v>24.786116666666668</v>
      </c>
      <c r="C1083" s="14">
        <f t="shared" si="14"/>
        <v>23.310475</v>
      </c>
      <c r="D1083" s="14">
        <f t="shared" si="14"/>
        <v>23.302674999999997</v>
      </c>
      <c r="E1083" s="14">
        <f t="shared" si="14"/>
        <v>24.638933333333338</v>
      </c>
      <c r="F1083" s="14">
        <f t="shared" si="14"/>
        <v>24.629874999999995</v>
      </c>
      <c r="G1083" s="14">
        <f t="shared" si="14"/>
        <v>23.308899999999998</v>
      </c>
      <c r="H1083" s="14">
        <f t="shared" si="14"/>
        <v>23.308899999999998</v>
      </c>
      <c r="I1083" s="14">
        <f t="shared" si="14"/>
        <v>23.310475</v>
      </c>
      <c r="J1083" s="14">
        <f t="shared" si="14"/>
        <v>156.50068333333334</v>
      </c>
      <c r="K1083" s="14"/>
    </row>
    <row r="1084" spans="1:11" ht="15" x14ac:dyDescent="0.2">
      <c r="A1084" s="10">
        <v>2028</v>
      </c>
      <c r="B1084" s="14">
        <f t="shared" ref="B1084:J1084" si="15">AVERAGE(B192:B203)</f>
        <v>25.334708333333328</v>
      </c>
      <c r="C1084" s="14">
        <f t="shared" si="15"/>
        <v>23.85253333333333</v>
      </c>
      <c r="D1084" s="14">
        <f t="shared" si="15"/>
        <v>23.844733333333334</v>
      </c>
      <c r="E1084" s="14">
        <f t="shared" si="15"/>
        <v>25.18750833333333</v>
      </c>
      <c r="F1084" s="14">
        <f t="shared" si="15"/>
        <v>25.178449999999998</v>
      </c>
      <c r="G1084" s="14">
        <f t="shared" si="15"/>
        <v>23.850958333333335</v>
      </c>
      <c r="H1084" s="14">
        <f t="shared" si="15"/>
        <v>23.850958333333335</v>
      </c>
      <c r="I1084" s="14">
        <f t="shared" si="15"/>
        <v>23.85253333333333</v>
      </c>
      <c r="J1084" s="14">
        <f t="shared" si="15"/>
        <v>160.44282500000003</v>
      </c>
      <c r="K1084" s="14"/>
    </row>
    <row r="1085" spans="1:11" ht="15" x14ac:dyDescent="0.2">
      <c r="A1085" s="10">
        <v>2029</v>
      </c>
      <c r="B1085" s="14">
        <f t="shared" ref="B1085:J1085" si="16">AVERAGE(B204:B215)</f>
        <v>25.966191666666663</v>
      </c>
      <c r="C1085" s="14">
        <f t="shared" si="16"/>
        <v>24.477483333333335</v>
      </c>
      <c r="D1085" s="14">
        <f t="shared" si="16"/>
        <v>24.469674999999999</v>
      </c>
      <c r="E1085" s="14">
        <f t="shared" si="16"/>
        <v>25.819008333333329</v>
      </c>
      <c r="F1085" s="14">
        <f t="shared" si="16"/>
        <v>25.809950000000001</v>
      </c>
      <c r="G1085" s="14">
        <f t="shared" si="16"/>
        <v>24.475925</v>
      </c>
      <c r="H1085" s="14">
        <f t="shared" si="16"/>
        <v>24.475925</v>
      </c>
      <c r="I1085" s="14">
        <f t="shared" si="16"/>
        <v>24.477483333333335</v>
      </c>
      <c r="J1085" s="14">
        <f t="shared" si="16"/>
        <v>164.48420000000002</v>
      </c>
      <c r="K1085" s="14"/>
    </row>
    <row r="1086" spans="1:11" ht="15" x14ac:dyDescent="0.2">
      <c r="A1086" s="10">
        <v>2030</v>
      </c>
      <c r="B1086" s="14">
        <f t="shared" ref="B1086:J1086" si="17">AVERAGE(B216:B227)</f>
        <v>26.490549999999995</v>
      </c>
      <c r="C1086" s="14">
        <f t="shared" si="17"/>
        <v>24.998758333333331</v>
      </c>
      <c r="D1086" s="14">
        <f t="shared" si="17"/>
        <v>24.990949999999998</v>
      </c>
      <c r="E1086" s="14">
        <f t="shared" si="17"/>
        <v>26.343374999999998</v>
      </c>
      <c r="F1086" s="14">
        <f t="shared" si="17"/>
        <v>26.334316666666666</v>
      </c>
      <c r="G1086" s="14">
        <f t="shared" si="17"/>
        <v>24.997200000000003</v>
      </c>
      <c r="H1086" s="14">
        <f t="shared" si="17"/>
        <v>24.997200000000003</v>
      </c>
      <c r="I1086" s="14">
        <f t="shared" si="17"/>
        <v>24.998758333333331</v>
      </c>
      <c r="J1086" s="14">
        <f t="shared" si="17"/>
        <v>168.20285833333332</v>
      </c>
      <c r="K1086" s="14"/>
    </row>
    <row r="1087" spans="1:11" ht="15" x14ac:dyDescent="0.2">
      <c r="A1087" s="10">
        <v>2031</v>
      </c>
      <c r="B1087" s="14">
        <f t="shared" ref="B1087:J1087" si="18">AVERAGE(B228:B239)</f>
        <v>27.023116666666667</v>
      </c>
      <c r="C1087" s="14">
        <f t="shared" si="18"/>
        <v>25.503808333333328</v>
      </c>
      <c r="D1087" s="14">
        <f t="shared" si="18"/>
        <v>25.496008333333332</v>
      </c>
      <c r="E1087" s="14">
        <f t="shared" si="18"/>
        <v>26.875924999999995</v>
      </c>
      <c r="F1087" s="14">
        <f t="shared" si="18"/>
        <v>26.866866666666663</v>
      </c>
      <c r="G1087" s="14">
        <f t="shared" si="18"/>
        <v>25.502241666666663</v>
      </c>
      <c r="H1087" s="14">
        <f t="shared" si="18"/>
        <v>25.502241666666663</v>
      </c>
      <c r="I1087" s="14">
        <f t="shared" si="18"/>
        <v>25.503808333333328</v>
      </c>
      <c r="J1087" s="14">
        <f t="shared" si="18"/>
        <v>172.81079166666663</v>
      </c>
      <c r="K1087" s="14"/>
    </row>
    <row r="1088" spans="1:11" ht="15" x14ac:dyDescent="0.2">
      <c r="A1088" s="10">
        <v>2032</v>
      </c>
      <c r="B1088" s="14">
        <f t="shared" ref="B1088:J1088" si="19">AVERAGE(B240:B251)</f>
        <v>27.46630833333333</v>
      </c>
      <c r="C1088" s="14">
        <f t="shared" si="19"/>
        <v>25.923941666666664</v>
      </c>
      <c r="D1088" s="14">
        <f t="shared" si="19"/>
        <v>25.916125000000005</v>
      </c>
      <c r="E1088" s="14">
        <f t="shared" si="19"/>
        <v>27.319108333333332</v>
      </c>
      <c r="F1088" s="14">
        <f t="shared" si="19"/>
        <v>27.310049999999993</v>
      </c>
      <c r="G1088" s="14">
        <f t="shared" si="19"/>
        <v>25.922375000000002</v>
      </c>
      <c r="H1088" s="14">
        <f t="shared" si="19"/>
        <v>25.922375000000002</v>
      </c>
      <c r="I1088" s="14">
        <f t="shared" si="19"/>
        <v>25.923941666666664</v>
      </c>
      <c r="J1088" s="14">
        <f t="shared" si="19"/>
        <v>176.93085833333336</v>
      </c>
      <c r="K1088" s="14"/>
    </row>
    <row r="1089" spans="1:11" ht="15" x14ac:dyDescent="0.2">
      <c r="A1089" s="10">
        <v>2033</v>
      </c>
      <c r="B1089" s="14">
        <f t="shared" ref="B1089:J1089" si="20">AVERAGE(B252:B263)</f>
        <v>27.916941666666663</v>
      </c>
      <c r="C1089" s="14">
        <f t="shared" si="20"/>
        <v>26.351125</v>
      </c>
      <c r="D1089" s="14">
        <f t="shared" si="20"/>
        <v>26.343308333333336</v>
      </c>
      <c r="E1089" s="14">
        <f t="shared" si="20"/>
        <v>27.769741666666661</v>
      </c>
      <c r="F1089" s="14">
        <f t="shared" si="20"/>
        <v>27.760683333333329</v>
      </c>
      <c r="G1089" s="14">
        <f t="shared" si="20"/>
        <v>26.349566666666664</v>
      </c>
      <c r="H1089" s="14">
        <f t="shared" si="20"/>
        <v>26.349566666666664</v>
      </c>
      <c r="I1089" s="14">
        <f t="shared" si="20"/>
        <v>26.351125</v>
      </c>
      <c r="J1089" s="14">
        <f t="shared" si="20"/>
        <v>181.14915833333336</v>
      </c>
      <c r="K1089" s="14"/>
    </row>
    <row r="1090" spans="1:11" ht="15" x14ac:dyDescent="0.2">
      <c r="A1090" s="10">
        <v>2034</v>
      </c>
      <c r="B1090" s="14">
        <f t="shared" ref="B1090:J1090" si="21">AVERAGE(B264:B275)</f>
        <v>28.375141666666664</v>
      </c>
      <c r="C1090" s="14">
        <f t="shared" si="21"/>
        <v>26.785508333333329</v>
      </c>
      <c r="D1090" s="14">
        <f t="shared" si="21"/>
        <v>26.777675000000002</v>
      </c>
      <c r="E1090" s="14">
        <f t="shared" si="21"/>
        <v>28.227933333333329</v>
      </c>
      <c r="F1090" s="14">
        <f t="shared" si="21"/>
        <v>28.218874999999997</v>
      </c>
      <c r="G1090" s="14">
        <f t="shared" si="21"/>
        <v>26.783925</v>
      </c>
      <c r="H1090" s="14">
        <f t="shared" si="21"/>
        <v>26.783925</v>
      </c>
      <c r="I1090" s="14">
        <f t="shared" si="21"/>
        <v>26.785508333333329</v>
      </c>
      <c r="J1090" s="14">
        <f t="shared" si="21"/>
        <v>185.4680166666667</v>
      </c>
      <c r="K1090" s="14"/>
    </row>
    <row r="1091" spans="1:11" ht="15" x14ac:dyDescent="0.2">
      <c r="A1091" s="10">
        <v>2035</v>
      </c>
      <c r="B1091" s="14">
        <f t="shared" ref="B1091:J1091" si="22">AVERAGE(B276:B287)</f>
        <v>28.841016666666665</v>
      </c>
      <c r="C1091" s="14">
        <f t="shared" si="22"/>
        <v>27.227166666666665</v>
      </c>
      <c r="D1091" s="14">
        <f t="shared" si="22"/>
        <v>27.219341666666669</v>
      </c>
      <c r="E1091" s="14">
        <f t="shared" si="22"/>
        <v>28.693825</v>
      </c>
      <c r="F1091" s="14">
        <f t="shared" si="22"/>
        <v>28.684766666666665</v>
      </c>
      <c r="G1091" s="14">
        <f t="shared" si="22"/>
        <v>27.22560833333333</v>
      </c>
      <c r="H1091" s="14">
        <f t="shared" si="22"/>
        <v>27.22560833333333</v>
      </c>
      <c r="I1091" s="14">
        <f t="shared" si="22"/>
        <v>27.227166666666665</v>
      </c>
      <c r="J1091" s="14">
        <f t="shared" si="22"/>
        <v>189.88985833333334</v>
      </c>
      <c r="K1091" s="14"/>
    </row>
    <row r="1092" spans="1:11" ht="15" x14ac:dyDescent="0.2">
      <c r="A1092" s="10">
        <v>2036</v>
      </c>
      <c r="B1092" s="14">
        <f t="shared" ref="B1092:J1092" si="23">AVERAGE(B288:B299)</f>
        <v>29.314749999999993</v>
      </c>
      <c r="C1092" s="14">
        <f t="shared" si="23"/>
        <v>27.676241666666666</v>
      </c>
      <c r="D1092" s="14">
        <f t="shared" si="23"/>
        <v>27.668425000000003</v>
      </c>
      <c r="E1092" s="14">
        <f t="shared" si="23"/>
        <v>29.167566666666669</v>
      </c>
      <c r="F1092" s="14">
        <f t="shared" si="23"/>
        <v>29.15850833333333</v>
      </c>
      <c r="G1092" s="14">
        <f t="shared" si="23"/>
        <v>27.674674999999997</v>
      </c>
      <c r="H1092" s="14">
        <f t="shared" si="23"/>
        <v>27.674674999999997</v>
      </c>
      <c r="I1092" s="14">
        <f t="shared" si="23"/>
        <v>27.676241666666666</v>
      </c>
      <c r="J1092" s="14">
        <f t="shared" si="23"/>
        <v>194.41710000000003</v>
      </c>
      <c r="K1092" s="14"/>
    </row>
    <row r="1093" spans="1:11" ht="15" x14ac:dyDescent="0.2">
      <c r="A1093" s="10">
        <v>2037</v>
      </c>
      <c r="B1093" s="14">
        <f t="shared" ref="B1093:J1093" si="24">AVERAGE(B300:B311)</f>
        <v>29.796441666666663</v>
      </c>
      <c r="C1093" s="14">
        <f t="shared" si="24"/>
        <v>28.132866666666668</v>
      </c>
      <c r="D1093" s="14">
        <f t="shared" si="24"/>
        <v>28.125066666666665</v>
      </c>
      <c r="E1093" s="14">
        <f t="shared" si="24"/>
        <v>29.649224999999998</v>
      </c>
      <c r="F1093" s="14">
        <f t="shared" si="24"/>
        <v>29.640166666666673</v>
      </c>
      <c r="G1093" s="14">
        <f t="shared" si="24"/>
        <v>28.131308333333333</v>
      </c>
      <c r="H1093" s="14">
        <f t="shared" si="24"/>
        <v>28.131308333333333</v>
      </c>
      <c r="I1093" s="14">
        <f t="shared" si="24"/>
        <v>28.132866666666668</v>
      </c>
      <c r="J1093" s="14">
        <f t="shared" si="24"/>
        <v>199.05229999999997</v>
      </c>
      <c r="K1093" s="14"/>
    </row>
    <row r="1094" spans="1:11" ht="15" x14ac:dyDescent="0.2">
      <c r="A1094" s="10">
        <f t="shared" ref="A1094:A1125" si="25">A1093+1</f>
        <v>2038</v>
      </c>
      <c r="B1094" s="14">
        <f t="shared" ref="B1094:J1094" si="26">AVERAGE(B312:B323)</f>
        <v>30.286208333333331</v>
      </c>
      <c r="C1094" s="14">
        <f t="shared" si="26"/>
        <v>28.597166666666666</v>
      </c>
      <c r="D1094" s="14">
        <f t="shared" si="26"/>
        <v>28.589366666666667</v>
      </c>
      <c r="E1094" s="14">
        <f t="shared" si="26"/>
        <v>30.139008333333333</v>
      </c>
      <c r="F1094" s="14">
        <f t="shared" si="26"/>
        <v>30.129949999999997</v>
      </c>
      <c r="G1094" s="14">
        <f t="shared" si="26"/>
        <v>28.595608333333342</v>
      </c>
      <c r="H1094" s="14">
        <f t="shared" si="26"/>
        <v>28.595608333333342</v>
      </c>
      <c r="I1094" s="14">
        <f t="shared" si="26"/>
        <v>28.597166666666666</v>
      </c>
      <c r="J1094" s="14">
        <f t="shared" si="26"/>
        <v>203.79801666666665</v>
      </c>
    </row>
    <row r="1095" spans="1:11" ht="15" x14ac:dyDescent="0.2">
      <c r="A1095" s="10">
        <f t="shared" si="25"/>
        <v>2039</v>
      </c>
      <c r="B1095" s="14">
        <f t="shared" ref="B1095:J1095" si="27">AVERAGE(B324:B335)</f>
        <v>30.784208333333329</v>
      </c>
      <c r="C1095" s="14">
        <f t="shared" si="27"/>
        <v>29.069266666666667</v>
      </c>
      <c r="D1095" s="14">
        <f t="shared" si="27"/>
        <v>29.061458333333324</v>
      </c>
      <c r="E1095" s="14">
        <f t="shared" si="27"/>
        <v>30.637008333333327</v>
      </c>
      <c r="F1095" s="14">
        <f t="shared" si="27"/>
        <v>30.627950000000002</v>
      </c>
      <c r="G1095" s="14">
        <f t="shared" si="27"/>
        <v>29.067708333333329</v>
      </c>
      <c r="H1095" s="14">
        <f t="shared" si="27"/>
        <v>29.067708333333329</v>
      </c>
      <c r="I1095" s="14">
        <f t="shared" si="27"/>
        <v>29.069266666666667</v>
      </c>
      <c r="J1095" s="14">
        <f t="shared" si="27"/>
        <v>208.65685833333336</v>
      </c>
    </row>
    <row r="1096" spans="1:11" ht="15" x14ac:dyDescent="0.2">
      <c r="A1096" s="10">
        <f t="shared" si="25"/>
        <v>2040</v>
      </c>
      <c r="B1096" s="14">
        <f t="shared" ref="B1096:J1096" si="28">AVERAGE(B336:B347)</f>
        <v>31.290566666666667</v>
      </c>
      <c r="C1096" s="14">
        <f t="shared" si="28"/>
        <v>29.549308333333329</v>
      </c>
      <c r="D1096" s="14">
        <f t="shared" si="28"/>
        <v>29.541475000000002</v>
      </c>
      <c r="E1096" s="14">
        <f t="shared" si="28"/>
        <v>31.143375000000002</v>
      </c>
      <c r="F1096" s="14">
        <f t="shared" si="28"/>
        <v>31.134316666666663</v>
      </c>
      <c r="G1096" s="14">
        <f t="shared" si="28"/>
        <v>29.547725</v>
      </c>
      <c r="H1096" s="14">
        <f t="shared" si="28"/>
        <v>29.547725</v>
      </c>
      <c r="I1096" s="14">
        <f t="shared" si="28"/>
        <v>29.549308333333329</v>
      </c>
      <c r="J1096" s="14">
        <f t="shared" si="28"/>
        <v>213.63155833333337</v>
      </c>
    </row>
    <row r="1097" spans="1:11" ht="15" x14ac:dyDescent="0.2">
      <c r="A1097" s="10">
        <f t="shared" si="25"/>
        <v>2041</v>
      </c>
      <c r="B1097" s="14">
        <f t="shared" ref="B1097:J1097" si="29">AVERAGE(B348:B359)</f>
        <v>31.805449999999997</v>
      </c>
      <c r="C1097" s="14">
        <f t="shared" si="29"/>
        <v>30.037400000000002</v>
      </c>
      <c r="D1097" s="14">
        <f t="shared" si="29"/>
        <v>30.029574999999998</v>
      </c>
      <c r="E1097" s="14">
        <f t="shared" si="29"/>
        <v>31.658266666666666</v>
      </c>
      <c r="F1097" s="14">
        <f t="shared" si="29"/>
        <v>31.649208333333334</v>
      </c>
      <c r="G1097" s="14">
        <f t="shared" si="29"/>
        <v>30.035824999999992</v>
      </c>
      <c r="H1097" s="14">
        <f t="shared" si="29"/>
        <v>30.035824999999992</v>
      </c>
      <c r="I1097" s="14">
        <f t="shared" si="29"/>
        <v>30.037400000000002</v>
      </c>
      <c r="J1097" s="14">
        <f t="shared" si="29"/>
        <v>218.72484166666666</v>
      </c>
    </row>
    <row r="1098" spans="1:11" ht="15" x14ac:dyDescent="0.2">
      <c r="A1098" s="10">
        <f t="shared" si="25"/>
        <v>2042</v>
      </c>
      <c r="B1098" s="14">
        <f t="shared" ref="B1098:J1098" si="30">AVERAGE(B360:B371)</f>
        <v>32.328966666666666</v>
      </c>
      <c r="C1098" s="14">
        <f t="shared" si="30"/>
        <v>30.533674999999999</v>
      </c>
      <c r="D1098" s="14">
        <f t="shared" si="30"/>
        <v>30.525866666666669</v>
      </c>
      <c r="E1098" s="14">
        <f t="shared" si="30"/>
        <v>32.181774999999995</v>
      </c>
      <c r="F1098" s="14">
        <f t="shared" si="30"/>
        <v>32.172716666666666</v>
      </c>
      <c r="G1098" s="14">
        <f t="shared" si="30"/>
        <v>30.532124999999997</v>
      </c>
      <c r="H1098" s="14">
        <f t="shared" si="30"/>
        <v>30.532124999999997</v>
      </c>
      <c r="I1098" s="14">
        <f t="shared" si="30"/>
        <v>30.533674999999999</v>
      </c>
      <c r="J1098" s="14">
        <f t="shared" si="30"/>
        <v>223.93956666666668</v>
      </c>
    </row>
    <row r="1099" spans="1:11" ht="15" x14ac:dyDescent="0.2">
      <c r="A1099" s="10">
        <f t="shared" si="25"/>
        <v>2043</v>
      </c>
      <c r="B1099" s="14">
        <f t="shared" ref="B1099:J1099" si="31">AVERAGE(B372:B383)</f>
        <v>32.861291666666666</v>
      </c>
      <c r="C1099" s="14">
        <f t="shared" si="31"/>
        <v>31.038308333333337</v>
      </c>
      <c r="D1099" s="14">
        <f t="shared" si="31"/>
        <v>31.03050833333333</v>
      </c>
      <c r="E1099" s="14">
        <f t="shared" si="31"/>
        <v>32.714108333333336</v>
      </c>
      <c r="F1099" s="14">
        <f t="shared" si="31"/>
        <v>32.705050000000007</v>
      </c>
      <c r="G1099" s="14">
        <f t="shared" si="31"/>
        <v>31.036758333333328</v>
      </c>
      <c r="H1099" s="14">
        <f t="shared" si="31"/>
        <v>31.036758333333328</v>
      </c>
      <c r="I1099" s="14">
        <f t="shared" si="31"/>
        <v>31.038308333333337</v>
      </c>
      <c r="J1099" s="14">
        <f t="shared" si="31"/>
        <v>229.27863333333332</v>
      </c>
    </row>
    <row r="1100" spans="1:11" ht="15" x14ac:dyDescent="0.2">
      <c r="A1100" s="10">
        <f t="shared" si="25"/>
        <v>2044</v>
      </c>
      <c r="B1100" s="14">
        <f t="shared" ref="B1100:J1100" si="32">AVERAGE(B384:B395)</f>
        <v>33.402549999999998</v>
      </c>
      <c r="C1100" s="14">
        <f t="shared" si="32"/>
        <v>31.551424999999995</v>
      </c>
      <c r="D1100" s="14">
        <f t="shared" si="32"/>
        <v>31.543608333333335</v>
      </c>
      <c r="E1100" s="14">
        <f t="shared" si="32"/>
        <v>33.255366666666667</v>
      </c>
      <c r="F1100" s="14">
        <f t="shared" si="32"/>
        <v>33.246308333333332</v>
      </c>
      <c r="G1100" s="14">
        <f t="shared" si="32"/>
        <v>31.549866666666663</v>
      </c>
      <c r="H1100" s="14">
        <f t="shared" si="32"/>
        <v>31.549866666666663</v>
      </c>
      <c r="I1100" s="14">
        <f t="shared" si="32"/>
        <v>31.551424999999995</v>
      </c>
      <c r="J1100" s="14">
        <f t="shared" si="32"/>
        <v>234.74498333333335</v>
      </c>
    </row>
    <row r="1101" spans="1:11" ht="15" x14ac:dyDescent="0.2">
      <c r="A1101" s="10">
        <f t="shared" si="25"/>
        <v>2045</v>
      </c>
      <c r="B1101" s="14">
        <f t="shared" ref="B1101:J1101" si="33">AVERAGE(B396:B407)</f>
        <v>33.952908333333333</v>
      </c>
      <c r="C1101" s="14">
        <f t="shared" si="33"/>
        <v>32.073166666666658</v>
      </c>
      <c r="D1101" s="14">
        <f t="shared" si="33"/>
        <v>32.065341666666669</v>
      </c>
      <c r="E1101" s="14">
        <f t="shared" si="33"/>
        <v>33.805708333333328</v>
      </c>
      <c r="F1101" s="14">
        <f t="shared" si="33"/>
        <v>33.796650000000007</v>
      </c>
      <c r="G1101" s="14">
        <f t="shared" si="33"/>
        <v>32.071600000000011</v>
      </c>
      <c r="H1101" s="14">
        <f t="shared" si="33"/>
        <v>32.071600000000011</v>
      </c>
      <c r="I1101" s="14">
        <f t="shared" si="33"/>
        <v>32.073166666666658</v>
      </c>
      <c r="J1101" s="14">
        <f t="shared" si="33"/>
        <v>240.34165000000004</v>
      </c>
    </row>
    <row r="1102" spans="1:11" ht="15" x14ac:dyDescent="0.2">
      <c r="A1102" s="10">
        <f t="shared" si="25"/>
        <v>2046</v>
      </c>
      <c r="B1102" s="14">
        <f t="shared" ref="B1102:J1102" si="34">AVERAGE(B408:B419)</f>
        <v>34.512508333333336</v>
      </c>
      <c r="C1102" s="14">
        <f t="shared" si="34"/>
        <v>32.603649999999995</v>
      </c>
      <c r="D1102" s="14">
        <f t="shared" si="34"/>
        <v>32.595824999999998</v>
      </c>
      <c r="E1102" s="14">
        <f t="shared" si="34"/>
        <v>34.365308333333338</v>
      </c>
      <c r="F1102" s="14">
        <f t="shared" si="34"/>
        <v>34.356250000000003</v>
      </c>
      <c r="G1102" s="14">
        <f t="shared" si="34"/>
        <v>32.602091666666659</v>
      </c>
      <c r="H1102" s="14">
        <f t="shared" si="34"/>
        <v>32.602091666666659</v>
      </c>
      <c r="I1102" s="14">
        <f t="shared" si="34"/>
        <v>32.603649999999995</v>
      </c>
      <c r="J1102" s="14">
        <f t="shared" si="34"/>
        <v>246.07177499999997</v>
      </c>
    </row>
    <row r="1103" spans="1:11" ht="15" x14ac:dyDescent="0.2">
      <c r="A1103" s="10">
        <f t="shared" si="25"/>
        <v>2047</v>
      </c>
      <c r="B1103" s="14">
        <f t="shared" ref="B1103:J1103" si="35">AVERAGE(B420:B431)</f>
        <v>35.081508333333332</v>
      </c>
      <c r="C1103" s="14">
        <f t="shared" si="35"/>
        <v>33.14306666666667</v>
      </c>
      <c r="D1103" s="14">
        <f t="shared" si="35"/>
        <v>33.135241666666666</v>
      </c>
      <c r="E1103" s="14">
        <f t="shared" si="35"/>
        <v>34.934308333333327</v>
      </c>
      <c r="F1103" s="14">
        <f t="shared" si="35"/>
        <v>34.925249999999998</v>
      </c>
      <c r="G1103" s="14">
        <f t="shared" si="35"/>
        <v>33.141499999999994</v>
      </c>
      <c r="H1103" s="14">
        <f t="shared" si="35"/>
        <v>33.141499999999994</v>
      </c>
      <c r="I1103" s="14">
        <f t="shared" si="35"/>
        <v>33.14306666666667</v>
      </c>
      <c r="J1103" s="14">
        <f t="shared" si="35"/>
        <v>251.93848333333335</v>
      </c>
    </row>
    <row r="1104" spans="1:11" ht="15" x14ac:dyDescent="0.2">
      <c r="A1104" s="10">
        <f t="shared" si="25"/>
        <v>2048</v>
      </c>
      <c r="B1104" s="14">
        <f t="shared" ref="B1104:J1104" si="36">AVERAGE(B432:B443)</f>
        <v>35.660066666666673</v>
      </c>
      <c r="C1104" s="14">
        <f t="shared" si="36"/>
        <v>33.691524999999999</v>
      </c>
      <c r="D1104" s="14">
        <f t="shared" si="36"/>
        <v>33.683708333333335</v>
      </c>
      <c r="E1104" s="14">
        <f t="shared" si="36"/>
        <v>35.512875000000001</v>
      </c>
      <c r="F1104" s="14">
        <f t="shared" si="36"/>
        <v>35.503816666666665</v>
      </c>
      <c r="G1104" s="14">
        <f t="shared" si="36"/>
        <v>33.68996666666667</v>
      </c>
      <c r="H1104" s="14">
        <f t="shared" si="36"/>
        <v>33.68996666666667</v>
      </c>
      <c r="I1104" s="14">
        <f t="shared" si="36"/>
        <v>33.691524999999999</v>
      </c>
      <c r="J1104" s="14">
        <f t="shared" si="36"/>
        <v>257.94508333333334</v>
      </c>
    </row>
    <row r="1105" spans="1:10" ht="15" x14ac:dyDescent="0.2">
      <c r="A1105" s="10">
        <f t="shared" si="25"/>
        <v>2049</v>
      </c>
      <c r="B1105" s="14">
        <f t="shared" ref="B1105:J1105" si="37">AVERAGE(B444:B455)</f>
        <v>36.248349999999995</v>
      </c>
      <c r="C1105" s="14">
        <f t="shared" si="37"/>
        <v>34.249208333333335</v>
      </c>
      <c r="D1105" s="14">
        <f t="shared" si="37"/>
        <v>34.241399999999992</v>
      </c>
      <c r="E1105" s="14">
        <f t="shared" si="37"/>
        <v>36.101166666666671</v>
      </c>
      <c r="F1105" s="14">
        <f t="shared" si="37"/>
        <v>36.092108333333336</v>
      </c>
      <c r="G1105" s="14">
        <f t="shared" si="37"/>
        <v>34.247641666666674</v>
      </c>
      <c r="H1105" s="14">
        <f t="shared" si="37"/>
        <v>34.247641666666674</v>
      </c>
      <c r="I1105" s="14">
        <f t="shared" si="37"/>
        <v>34.249208333333335</v>
      </c>
      <c r="J1105" s="14">
        <f t="shared" si="37"/>
        <v>264.09485833333332</v>
      </c>
    </row>
    <row r="1106" spans="1:10" ht="15" x14ac:dyDescent="0.2">
      <c r="A1106" s="10">
        <f t="shared" si="25"/>
        <v>2050</v>
      </c>
      <c r="B1106" s="14">
        <f t="shared" ref="B1106:J1106" si="38">AVERAGE(B456:B467)</f>
        <v>36.84650833333334</v>
      </c>
      <c r="C1106" s="14">
        <f t="shared" si="38"/>
        <v>34.816266666666664</v>
      </c>
      <c r="D1106" s="14">
        <f t="shared" si="38"/>
        <v>34.80844166666666</v>
      </c>
      <c r="E1106" s="14">
        <f t="shared" si="38"/>
        <v>36.699324999999995</v>
      </c>
      <c r="F1106" s="14">
        <f t="shared" si="38"/>
        <v>36.690266666666666</v>
      </c>
      <c r="G1106" s="14">
        <f t="shared" si="38"/>
        <v>34.814708333333328</v>
      </c>
      <c r="H1106" s="14">
        <f t="shared" si="38"/>
        <v>34.814708333333328</v>
      </c>
      <c r="I1106" s="14">
        <f t="shared" si="38"/>
        <v>34.816266666666664</v>
      </c>
      <c r="J1106" s="14">
        <f t="shared" si="38"/>
        <v>270.39129166666669</v>
      </c>
    </row>
    <row r="1107" spans="1:10" ht="15" x14ac:dyDescent="0.2">
      <c r="A1107" s="10">
        <f t="shared" si="25"/>
        <v>2051</v>
      </c>
      <c r="B1107" s="14">
        <f t="shared" ref="B1107:J1107" si="39">AVERAGE(B468:B479)</f>
        <v>37.454741666666663</v>
      </c>
      <c r="C1107" s="14">
        <f t="shared" si="39"/>
        <v>35.392825000000002</v>
      </c>
      <c r="D1107" s="14">
        <f t="shared" si="39"/>
        <v>35.385025000000006</v>
      </c>
      <c r="E1107" s="14">
        <f t="shared" si="39"/>
        <v>37.307524999999998</v>
      </c>
      <c r="F1107" s="14">
        <f t="shared" si="39"/>
        <v>37.29846666666667</v>
      </c>
      <c r="G1107" s="14">
        <f t="shared" si="39"/>
        <v>35.391266666666667</v>
      </c>
      <c r="H1107" s="14">
        <f t="shared" si="39"/>
        <v>35.391266666666667</v>
      </c>
      <c r="I1107" s="14">
        <f t="shared" si="39"/>
        <v>35.392825000000002</v>
      </c>
      <c r="J1107" s="14">
        <f t="shared" si="39"/>
        <v>276.83782500000007</v>
      </c>
    </row>
    <row r="1108" spans="1:10" ht="15" x14ac:dyDescent="0.2">
      <c r="A1108" s="10">
        <f t="shared" si="25"/>
        <v>2052</v>
      </c>
      <c r="B1108" s="14">
        <f t="shared" ref="B1108:J1108" si="40">AVERAGE(B480:B491)</f>
        <v>38.073150000000005</v>
      </c>
      <c r="C1108" s="14">
        <f t="shared" si="40"/>
        <v>35.979108333333329</v>
      </c>
      <c r="D1108" s="14">
        <f t="shared" si="40"/>
        <v>35.971300000000006</v>
      </c>
      <c r="E1108" s="14">
        <f t="shared" si="40"/>
        <v>37.925966666666675</v>
      </c>
      <c r="F1108" s="14">
        <f t="shared" si="40"/>
        <v>37.916908333333346</v>
      </c>
      <c r="G1108" s="14">
        <f t="shared" si="40"/>
        <v>35.977525</v>
      </c>
      <c r="H1108" s="14">
        <f t="shared" si="40"/>
        <v>35.977525</v>
      </c>
      <c r="I1108" s="14">
        <f t="shared" si="40"/>
        <v>35.979108333333329</v>
      </c>
      <c r="J1108" s="14">
        <f t="shared" si="40"/>
        <v>283.43804999999998</v>
      </c>
    </row>
    <row r="1109" spans="1:10" ht="15" x14ac:dyDescent="0.2">
      <c r="A1109" s="10">
        <f t="shared" si="25"/>
        <v>2053</v>
      </c>
      <c r="B1109" s="14">
        <f t="shared" ref="B1109:J1109" si="41">AVERAGE(B492:B503)</f>
        <v>38.701974999999997</v>
      </c>
      <c r="C1109" s="14">
        <f t="shared" si="41"/>
        <v>36.575208333333329</v>
      </c>
      <c r="D1109" s="14">
        <f t="shared" si="41"/>
        <v>36.567408333333333</v>
      </c>
      <c r="E1109" s="14">
        <f t="shared" si="41"/>
        <v>38.554799999999993</v>
      </c>
      <c r="F1109" s="14">
        <f t="shared" si="41"/>
        <v>38.545741666666672</v>
      </c>
      <c r="G1109" s="14">
        <f t="shared" si="41"/>
        <v>36.573649999999994</v>
      </c>
      <c r="H1109" s="14">
        <f t="shared" si="41"/>
        <v>36.573649999999994</v>
      </c>
      <c r="I1109" s="14">
        <f t="shared" si="41"/>
        <v>36.575208333333329</v>
      </c>
      <c r="J1109" s="14">
        <f t="shared" si="41"/>
        <v>290.19566666666668</v>
      </c>
    </row>
    <row r="1110" spans="1:10" ht="15" x14ac:dyDescent="0.2">
      <c r="A1110" s="10">
        <f t="shared" si="25"/>
        <v>2054</v>
      </c>
      <c r="B1110" s="14">
        <f t="shared" ref="B1110:J1110" si="42">AVERAGE(B504:B515)</f>
        <v>39.341366666666666</v>
      </c>
      <c r="C1110" s="14">
        <f t="shared" si="42"/>
        <v>37.181341666666675</v>
      </c>
      <c r="D1110" s="14">
        <f t="shared" si="42"/>
        <v>37.173525000000005</v>
      </c>
      <c r="E1110" s="14">
        <f t="shared" si="42"/>
        <v>39.194166666666668</v>
      </c>
      <c r="F1110" s="14">
        <f t="shared" si="42"/>
        <v>39.185108333333339</v>
      </c>
      <c r="G1110" s="14">
        <f t="shared" si="42"/>
        <v>37.179774999999999</v>
      </c>
      <c r="H1110" s="14">
        <f t="shared" si="42"/>
        <v>37.179774999999999</v>
      </c>
      <c r="I1110" s="14">
        <f t="shared" si="42"/>
        <v>37.181341666666675</v>
      </c>
      <c r="J1110" s="14">
        <f t="shared" si="42"/>
        <v>297.11435</v>
      </c>
    </row>
    <row r="1111" spans="1:10" ht="15" x14ac:dyDescent="0.2">
      <c r="A1111" s="10">
        <f t="shared" si="25"/>
        <v>2055</v>
      </c>
      <c r="B1111" s="14">
        <f t="shared" ref="B1111:J1111" si="43">AVERAGE(B516:B527)</f>
        <v>39.991491666666661</v>
      </c>
      <c r="C1111" s="14">
        <f t="shared" si="43"/>
        <v>37.797650000000004</v>
      </c>
      <c r="D1111" s="14">
        <f t="shared" si="43"/>
        <v>37.789841666666668</v>
      </c>
      <c r="E1111" s="14">
        <f t="shared" si="43"/>
        <v>39.844308333333331</v>
      </c>
      <c r="F1111" s="14">
        <f t="shared" si="43"/>
        <v>39.835250000000009</v>
      </c>
      <c r="G1111" s="14">
        <f t="shared" si="43"/>
        <v>37.796100000000003</v>
      </c>
      <c r="H1111" s="14">
        <f t="shared" si="43"/>
        <v>37.796100000000003</v>
      </c>
      <c r="I1111" s="14">
        <f t="shared" si="43"/>
        <v>37.797650000000004</v>
      </c>
      <c r="J1111" s="14">
        <f t="shared" si="43"/>
        <v>304.19800833333335</v>
      </c>
    </row>
    <row r="1112" spans="1:10" ht="15" x14ac:dyDescent="0.2">
      <c r="A1112" s="10">
        <f t="shared" si="25"/>
        <v>2056</v>
      </c>
      <c r="B1112" s="14">
        <f t="shared" ref="B1112:J1112" si="44">AVERAGE(B528:B539)</f>
        <v>40.652549999999998</v>
      </c>
      <c r="C1112" s="14">
        <f t="shared" si="44"/>
        <v>38.424308333333336</v>
      </c>
      <c r="D1112" s="14">
        <f t="shared" si="44"/>
        <v>38.416508333333333</v>
      </c>
      <c r="E1112" s="14">
        <f t="shared" si="44"/>
        <v>40.505341666666673</v>
      </c>
      <c r="F1112" s="14">
        <f t="shared" si="44"/>
        <v>40.496283333333338</v>
      </c>
      <c r="G1112" s="14">
        <f t="shared" si="44"/>
        <v>38.422766666666668</v>
      </c>
      <c r="H1112" s="14">
        <f t="shared" si="44"/>
        <v>38.422766666666668</v>
      </c>
      <c r="I1112" s="14">
        <f t="shared" si="44"/>
        <v>38.424308333333336</v>
      </c>
      <c r="J1112" s="14">
        <f t="shared" si="44"/>
        <v>311.45053333333334</v>
      </c>
    </row>
    <row r="1113" spans="1:10" ht="15" x14ac:dyDescent="0.2">
      <c r="A1113" s="10">
        <f t="shared" si="25"/>
        <v>2057</v>
      </c>
      <c r="B1113" s="14">
        <f t="shared" ref="B1113:J1113" si="45">AVERAGE(B540:B551)</f>
        <v>41.324691666666666</v>
      </c>
      <c r="C1113" s="14">
        <f t="shared" si="45"/>
        <v>39.061508333333336</v>
      </c>
      <c r="D1113" s="14">
        <f t="shared" si="45"/>
        <v>39.05370833333334</v>
      </c>
      <c r="E1113" s="14">
        <f t="shared" si="45"/>
        <v>41.177508333333328</v>
      </c>
      <c r="F1113" s="14">
        <f t="shared" si="45"/>
        <v>41.16845</v>
      </c>
      <c r="G1113" s="14">
        <f t="shared" si="45"/>
        <v>39.059941666666667</v>
      </c>
      <c r="H1113" s="14">
        <f t="shared" si="45"/>
        <v>39.059941666666667</v>
      </c>
      <c r="I1113" s="14">
        <f t="shared" si="45"/>
        <v>39.061508333333336</v>
      </c>
      <c r="J1113" s="14">
        <f t="shared" si="45"/>
        <v>318.87598333333341</v>
      </c>
    </row>
    <row r="1114" spans="1:10" ht="15" x14ac:dyDescent="0.2">
      <c r="A1114" s="10">
        <f t="shared" si="25"/>
        <v>2058</v>
      </c>
      <c r="B1114" s="14">
        <f t="shared" ref="B1114:J1114" si="46">AVERAGE(B552:B563)</f>
        <v>42.008141666666674</v>
      </c>
      <c r="C1114" s="14">
        <f t="shared" si="46"/>
        <v>39.709408333333336</v>
      </c>
      <c r="D1114" s="14">
        <f t="shared" si="46"/>
        <v>39.701600000000006</v>
      </c>
      <c r="E1114" s="14">
        <f t="shared" si="46"/>
        <v>41.860941666666669</v>
      </c>
      <c r="F1114" s="14">
        <f t="shared" si="46"/>
        <v>41.851883333333333</v>
      </c>
      <c r="G1114" s="14">
        <f t="shared" si="46"/>
        <v>39.707841666666674</v>
      </c>
      <c r="H1114" s="14">
        <f t="shared" si="46"/>
        <v>39.707841666666674</v>
      </c>
      <c r="I1114" s="14">
        <f t="shared" si="46"/>
        <v>39.709408333333336</v>
      </c>
      <c r="J1114" s="14">
        <f t="shared" si="46"/>
        <v>326.47845000000001</v>
      </c>
    </row>
    <row r="1115" spans="1:10" ht="15" x14ac:dyDescent="0.2">
      <c r="A1115" s="10">
        <f t="shared" si="25"/>
        <v>2059</v>
      </c>
      <c r="B1115" s="14">
        <f t="shared" ref="B1115:J1115" si="47">AVERAGE(B564:B575)</f>
        <v>42.703058333333331</v>
      </c>
      <c r="C1115" s="14">
        <f t="shared" si="47"/>
        <v>40.368199999999995</v>
      </c>
      <c r="D1115" s="14">
        <f t="shared" si="47"/>
        <v>40.360374999999998</v>
      </c>
      <c r="E1115" s="14">
        <f t="shared" si="47"/>
        <v>42.555866666666667</v>
      </c>
      <c r="F1115" s="14">
        <f t="shared" si="47"/>
        <v>42.546808333333338</v>
      </c>
      <c r="G1115" s="14">
        <f t="shared" si="47"/>
        <v>40.366624999999999</v>
      </c>
      <c r="H1115" s="14">
        <f t="shared" si="47"/>
        <v>40.366624999999999</v>
      </c>
      <c r="I1115" s="14">
        <f t="shared" si="47"/>
        <v>40.368199999999995</v>
      </c>
      <c r="J1115" s="14">
        <f t="shared" si="47"/>
        <v>334.26219166666664</v>
      </c>
    </row>
    <row r="1116" spans="1:10" ht="15" x14ac:dyDescent="0.2">
      <c r="A1116" s="10">
        <f t="shared" si="25"/>
        <v>2060</v>
      </c>
      <c r="B1116" s="14">
        <f t="shared" ref="B1116:J1116" si="48">AVERAGE(B576:B587)</f>
        <v>43.409666666666674</v>
      </c>
      <c r="C1116" s="14">
        <f t="shared" si="48"/>
        <v>41.038024999999998</v>
      </c>
      <c r="D1116" s="14">
        <f t="shared" si="48"/>
        <v>41.030225000000002</v>
      </c>
      <c r="E1116" s="14">
        <f t="shared" si="48"/>
        <v>43.262466666666676</v>
      </c>
      <c r="F1116" s="14">
        <f t="shared" si="48"/>
        <v>43.25340833333334</v>
      </c>
      <c r="G1116" s="14">
        <f t="shared" si="48"/>
        <v>41.036466666666676</v>
      </c>
      <c r="H1116" s="14">
        <f t="shared" si="48"/>
        <v>41.036466666666676</v>
      </c>
      <c r="I1116" s="14">
        <f t="shared" si="48"/>
        <v>41.038024999999998</v>
      </c>
      <c r="J1116" s="14">
        <f t="shared" si="48"/>
        <v>342.23151666666666</v>
      </c>
    </row>
    <row r="1117" spans="1:10" ht="15" x14ac:dyDescent="0.2">
      <c r="A1117" s="10">
        <f t="shared" si="25"/>
        <v>2061</v>
      </c>
      <c r="B1117" s="14">
        <f t="shared" ref="B1117:J1117" si="49">AVERAGE(B588:B599)</f>
        <v>44.128141666666664</v>
      </c>
      <c r="C1117" s="14">
        <f t="shared" si="49"/>
        <v>41.719133333333339</v>
      </c>
      <c r="D1117" s="14">
        <f t="shared" si="49"/>
        <v>41.711325000000002</v>
      </c>
      <c r="E1117" s="14">
        <f t="shared" si="49"/>
        <v>43.980941666666673</v>
      </c>
      <c r="F1117" s="14">
        <f t="shared" si="49"/>
        <v>43.971883333333324</v>
      </c>
      <c r="G1117" s="14">
        <f t="shared" si="49"/>
        <v>41.717575000000004</v>
      </c>
      <c r="H1117" s="14">
        <f t="shared" si="49"/>
        <v>41.717575000000004</v>
      </c>
      <c r="I1117" s="14">
        <f t="shared" si="49"/>
        <v>41.719133333333339</v>
      </c>
      <c r="J1117" s="14">
        <f t="shared" si="49"/>
        <v>350.39080833333338</v>
      </c>
    </row>
    <row r="1118" spans="1:10" ht="15" x14ac:dyDescent="0.2">
      <c r="A1118" s="10">
        <f t="shared" si="25"/>
        <v>2062</v>
      </c>
      <c r="B1118" s="14">
        <f t="shared" ref="B1118:J1127" ca="1" si="50">AVERAGE(OFFSET(B$600,($A1118-$A$1118)*12,0,12,1))</f>
        <v>44.858675000000005</v>
      </c>
      <c r="C1118" s="14">
        <f t="shared" ca="1" si="50"/>
        <v>42.411683333333336</v>
      </c>
      <c r="D1118" s="14">
        <f t="shared" ca="1" si="50"/>
        <v>42.403883333333333</v>
      </c>
      <c r="E1118" s="14">
        <f t="shared" ca="1" si="50"/>
        <v>44.711483333333341</v>
      </c>
      <c r="F1118" s="14">
        <f t="shared" ca="1" si="50"/>
        <v>44.702425000000005</v>
      </c>
      <c r="G1118" s="14">
        <f t="shared" ca="1" si="50"/>
        <v>42.410116666666674</v>
      </c>
      <c r="H1118" s="14">
        <f t="shared" ca="1" si="50"/>
        <v>42.410116666666674</v>
      </c>
      <c r="I1118" s="14">
        <f t="shared" ca="1" si="50"/>
        <v>42.411683333333336</v>
      </c>
      <c r="J1118" s="14">
        <f t="shared" ca="1" si="50"/>
        <v>358.74466666666666</v>
      </c>
    </row>
    <row r="1119" spans="1:10" ht="15" x14ac:dyDescent="0.2">
      <c r="A1119" s="10">
        <f t="shared" si="25"/>
        <v>2063</v>
      </c>
      <c r="B1119" s="14">
        <f t="shared" ca="1" si="50"/>
        <v>45.601491666666668</v>
      </c>
      <c r="C1119" s="14">
        <f t="shared" ca="1" si="50"/>
        <v>43.115849999999995</v>
      </c>
      <c r="D1119" s="14">
        <f t="shared" ca="1" si="50"/>
        <v>43.108041666666679</v>
      </c>
      <c r="E1119" s="14">
        <f t="shared" ca="1" si="50"/>
        <v>45.454308333333337</v>
      </c>
      <c r="F1119" s="14">
        <f t="shared" ca="1" si="50"/>
        <v>45.445250000000009</v>
      </c>
      <c r="G1119" s="14">
        <f t="shared" ca="1" si="50"/>
        <v>43.114308333333348</v>
      </c>
      <c r="H1119" s="14">
        <f t="shared" ca="1" si="50"/>
        <v>43.114308333333348</v>
      </c>
      <c r="I1119" s="14">
        <f t="shared" ca="1" si="50"/>
        <v>43.115849999999995</v>
      </c>
      <c r="J1119" s="14">
        <f t="shared" ca="1" si="50"/>
        <v>367.29767499999997</v>
      </c>
    </row>
    <row r="1120" spans="1:10" ht="15" x14ac:dyDescent="0.2">
      <c r="A1120" s="10">
        <f t="shared" si="25"/>
        <v>2064</v>
      </c>
      <c r="B1120" s="14">
        <f t="shared" ca="1" si="50"/>
        <v>46.3568</v>
      </c>
      <c r="C1120" s="14">
        <f t="shared" ca="1" si="50"/>
        <v>43.831858333333336</v>
      </c>
      <c r="D1120" s="14">
        <f t="shared" ca="1" si="50"/>
        <v>43.82405</v>
      </c>
      <c r="E1120" s="14">
        <f t="shared" ca="1" si="50"/>
        <v>46.209583333333335</v>
      </c>
      <c r="F1120" s="14">
        <f t="shared" ca="1" si="50"/>
        <v>46.200524999999999</v>
      </c>
      <c r="G1120" s="14">
        <f t="shared" ca="1" si="50"/>
        <v>43.830316666666675</v>
      </c>
      <c r="H1120" s="14">
        <f t="shared" ca="1" si="50"/>
        <v>43.830316666666675</v>
      </c>
      <c r="I1120" s="14">
        <f t="shared" ca="1" si="50"/>
        <v>43.831858333333336</v>
      </c>
      <c r="J1120" s="14">
        <f t="shared" ca="1" si="50"/>
        <v>376.05461666666662</v>
      </c>
    </row>
    <row r="1121" spans="1:10" ht="15" x14ac:dyDescent="0.2">
      <c r="A1121" s="10">
        <f t="shared" si="25"/>
        <v>2065</v>
      </c>
      <c r="B1121" s="14">
        <f t="shared" ca="1" si="50"/>
        <v>47.124766666666666</v>
      </c>
      <c r="C1121" s="14">
        <f t="shared" ca="1" si="50"/>
        <v>44.559899999999999</v>
      </c>
      <c r="D1121" s="14">
        <f t="shared" ca="1" si="50"/>
        <v>44.552083333333336</v>
      </c>
      <c r="E1121" s="14">
        <f t="shared" ca="1" si="50"/>
        <v>46.977583333333335</v>
      </c>
      <c r="F1121" s="14">
        <f t="shared" ca="1" si="50"/>
        <v>46.968525</v>
      </c>
      <c r="G1121" s="14">
        <f t="shared" ca="1" si="50"/>
        <v>44.558349999999997</v>
      </c>
      <c r="H1121" s="14">
        <f t="shared" ca="1" si="50"/>
        <v>44.558349999999997</v>
      </c>
      <c r="I1121" s="14">
        <f t="shared" ca="1" si="50"/>
        <v>44.559899999999999</v>
      </c>
      <c r="J1121" s="14">
        <f t="shared" ca="1" si="50"/>
        <v>385.02033333333333</v>
      </c>
    </row>
    <row r="1122" spans="1:10" ht="15" x14ac:dyDescent="0.2">
      <c r="A1122" s="10">
        <f t="shared" si="25"/>
        <v>2066</v>
      </c>
      <c r="B1122" s="14">
        <f t="shared" ca="1" si="50"/>
        <v>47.905658333333342</v>
      </c>
      <c r="C1122" s="14">
        <f t="shared" ca="1" si="50"/>
        <v>45.300166666666676</v>
      </c>
      <c r="D1122" s="14">
        <f t="shared" ca="1" si="50"/>
        <v>45.292366666666673</v>
      </c>
      <c r="E1122" s="14">
        <f t="shared" ca="1" si="50"/>
        <v>47.75845833333333</v>
      </c>
      <c r="F1122" s="14">
        <f t="shared" ca="1" si="50"/>
        <v>47.749400000000001</v>
      </c>
      <c r="G1122" s="14">
        <f t="shared" ca="1" si="50"/>
        <v>45.298624999999994</v>
      </c>
      <c r="H1122" s="14">
        <f t="shared" ca="1" si="50"/>
        <v>45.298624999999994</v>
      </c>
      <c r="I1122" s="14">
        <f t="shared" ca="1" si="50"/>
        <v>45.300166666666676</v>
      </c>
      <c r="J1122" s="14">
        <f t="shared" ca="1" si="50"/>
        <v>394.19976666666668</v>
      </c>
    </row>
    <row r="1123" spans="1:10" ht="15" x14ac:dyDescent="0.2">
      <c r="A1123" s="10">
        <f t="shared" si="25"/>
        <v>2067</v>
      </c>
      <c r="B1123" s="14">
        <f t="shared" ca="1" si="50"/>
        <v>48.699658333333332</v>
      </c>
      <c r="C1123" s="14">
        <f t="shared" ca="1" si="50"/>
        <v>46.05288333333332</v>
      </c>
      <c r="D1123" s="14">
        <f t="shared" ca="1" si="50"/>
        <v>46.045058333333337</v>
      </c>
      <c r="E1123" s="14">
        <f t="shared" ca="1" si="50"/>
        <v>48.552466666666668</v>
      </c>
      <c r="F1123" s="14">
        <f t="shared" ca="1" si="50"/>
        <v>48.543408333333332</v>
      </c>
      <c r="G1123" s="14">
        <f t="shared" ca="1" si="50"/>
        <v>46.051324999999991</v>
      </c>
      <c r="H1123" s="14">
        <f t="shared" ca="1" si="50"/>
        <v>46.051324999999991</v>
      </c>
      <c r="I1123" s="14">
        <f t="shared" ca="1" si="50"/>
        <v>46.05288333333332</v>
      </c>
      <c r="J1123" s="14">
        <f t="shared" ca="1" si="50"/>
        <v>403.59809166666656</v>
      </c>
    </row>
    <row r="1124" spans="1:10" ht="15" x14ac:dyDescent="0.2">
      <c r="A1124" s="10">
        <f t="shared" si="25"/>
        <v>2068</v>
      </c>
      <c r="B1124" s="14">
        <f t="shared" ca="1" si="50"/>
        <v>49.507000000000005</v>
      </c>
      <c r="C1124" s="14">
        <f t="shared" ca="1" si="50"/>
        <v>46.818249999999999</v>
      </c>
      <c r="D1124" s="14">
        <f t="shared" ca="1" si="50"/>
        <v>46.810408333333335</v>
      </c>
      <c r="E1124" s="14">
        <f t="shared" ca="1" si="50"/>
        <v>49.359816666666667</v>
      </c>
      <c r="F1124" s="14">
        <f t="shared" ca="1" si="50"/>
        <v>49.350758333333339</v>
      </c>
      <c r="G1124" s="14">
        <f t="shared" ca="1" si="50"/>
        <v>46.816675000000004</v>
      </c>
      <c r="H1124" s="14">
        <f t="shared" ca="1" si="50"/>
        <v>46.816675000000004</v>
      </c>
      <c r="I1124" s="14">
        <f t="shared" ca="1" si="50"/>
        <v>46.818249999999999</v>
      </c>
      <c r="J1124" s="14">
        <f t="shared" ca="1" si="50"/>
        <v>413.22047500000002</v>
      </c>
    </row>
    <row r="1125" spans="1:10" ht="15" x14ac:dyDescent="0.2">
      <c r="A1125" s="10">
        <f t="shared" si="25"/>
        <v>2069</v>
      </c>
      <c r="B1125" s="14">
        <f t="shared" ca="1" si="50"/>
        <v>50.327908333333333</v>
      </c>
      <c r="C1125" s="14">
        <f t="shared" ca="1" si="50"/>
        <v>47.596458333333338</v>
      </c>
      <c r="D1125" s="14">
        <f t="shared" ca="1" si="50"/>
        <v>47.588633333333341</v>
      </c>
      <c r="E1125" s="14">
        <f t="shared" ca="1" si="50"/>
        <v>50.180716666666676</v>
      </c>
      <c r="F1125" s="14">
        <f t="shared" ca="1" si="50"/>
        <v>50.17165833333334</v>
      </c>
      <c r="G1125" s="14">
        <f t="shared" ca="1" si="50"/>
        <v>47.594866666666668</v>
      </c>
      <c r="H1125" s="14">
        <f t="shared" ca="1" si="50"/>
        <v>47.594866666666668</v>
      </c>
      <c r="I1125" s="14">
        <f t="shared" ca="1" si="50"/>
        <v>47.596458333333338</v>
      </c>
      <c r="J1125" s="14">
        <f t="shared" ca="1" si="50"/>
        <v>423.07226666666656</v>
      </c>
    </row>
    <row r="1126" spans="1:10" ht="15" x14ac:dyDescent="0.2">
      <c r="A1126" s="10">
        <f t="shared" ref="A1126:A1156" si="51">A1125+1</f>
        <v>2070</v>
      </c>
      <c r="B1126" s="14">
        <f t="shared" ca="1" si="50"/>
        <v>51.162600000000005</v>
      </c>
      <c r="C1126" s="14">
        <f t="shared" ca="1" si="50"/>
        <v>48.387724999999996</v>
      </c>
      <c r="D1126" s="14">
        <f t="shared" ca="1" si="50"/>
        <v>48.379916666666666</v>
      </c>
      <c r="E1126" s="14">
        <f t="shared" ca="1" si="50"/>
        <v>51.015408333333333</v>
      </c>
      <c r="F1126" s="14">
        <f t="shared" ca="1" si="50"/>
        <v>51.006350000000005</v>
      </c>
      <c r="G1126" s="14">
        <f t="shared" ca="1" si="50"/>
        <v>48.386141666666667</v>
      </c>
      <c r="H1126" s="14">
        <f t="shared" ca="1" si="50"/>
        <v>48.386141666666667</v>
      </c>
      <c r="I1126" s="14">
        <f t="shared" ca="1" si="50"/>
        <v>48.387724999999996</v>
      </c>
      <c r="J1126" s="14">
        <f t="shared" ca="1" si="50"/>
        <v>433.15896666666669</v>
      </c>
    </row>
    <row r="1127" spans="1:10" ht="15" x14ac:dyDescent="0.2">
      <c r="A1127" s="10">
        <f t="shared" si="51"/>
        <v>2071</v>
      </c>
      <c r="B1127" s="14">
        <f t="shared" ca="1" si="50"/>
        <v>52.011324999999999</v>
      </c>
      <c r="C1127" s="14">
        <f t="shared" ca="1" si="50"/>
        <v>49.192299999999989</v>
      </c>
      <c r="D1127" s="14">
        <f t="shared" ca="1" si="50"/>
        <v>49.18448333333334</v>
      </c>
      <c r="E1127" s="14">
        <f t="shared" ca="1" si="50"/>
        <v>51.864133333333335</v>
      </c>
      <c r="F1127" s="14">
        <f t="shared" ca="1" si="50"/>
        <v>51.855075000000006</v>
      </c>
      <c r="G1127" s="14">
        <f t="shared" ca="1" si="50"/>
        <v>49.190733333333334</v>
      </c>
      <c r="H1127" s="14">
        <f t="shared" ca="1" si="50"/>
        <v>49.190733333333334</v>
      </c>
      <c r="I1127" s="14">
        <f t="shared" ca="1" si="50"/>
        <v>49.192299999999989</v>
      </c>
      <c r="J1127" s="14">
        <f t="shared" ca="1" si="50"/>
        <v>443.48610000000002</v>
      </c>
    </row>
    <row r="1128" spans="1:10" ht="15" x14ac:dyDescent="0.2">
      <c r="A1128" s="10">
        <f t="shared" si="51"/>
        <v>2072</v>
      </c>
      <c r="B1128" s="14">
        <f t="shared" ref="B1128:J1137" ca="1" si="52">AVERAGE(OFFSET(B$600,($A1128-$A$1118)*12,0,12,1))</f>
        <v>52.874300000000005</v>
      </c>
      <c r="C1128" s="14">
        <f t="shared" ca="1" si="52"/>
        <v>50.010400000000004</v>
      </c>
      <c r="D1128" s="14">
        <f t="shared" ca="1" si="52"/>
        <v>50.00259166666666</v>
      </c>
      <c r="E1128" s="14">
        <f t="shared" ca="1" si="52"/>
        <v>52.72711666666666</v>
      </c>
      <c r="F1128" s="14">
        <f t="shared" ca="1" si="52"/>
        <v>52.718058333333339</v>
      </c>
      <c r="G1128" s="14">
        <f t="shared" ca="1" si="52"/>
        <v>50.008808333333327</v>
      </c>
      <c r="H1128" s="14">
        <f t="shared" ca="1" si="52"/>
        <v>50.008808333333327</v>
      </c>
      <c r="I1128" s="14">
        <f t="shared" ca="1" si="52"/>
        <v>50.010400000000004</v>
      </c>
      <c r="J1128" s="14">
        <f t="shared" ca="1" si="52"/>
        <v>454.05947500000002</v>
      </c>
    </row>
    <row r="1129" spans="1:10" ht="15" x14ac:dyDescent="0.2">
      <c r="A1129" s="10">
        <f t="shared" si="51"/>
        <v>2073</v>
      </c>
      <c r="B1129" s="14">
        <f t="shared" ca="1" si="52"/>
        <v>53.751783333333343</v>
      </c>
      <c r="C1129" s="14">
        <f t="shared" ca="1" si="52"/>
        <v>50.842208333333332</v>
      </c>
      <c r="D1129" s="14">
        <f t="shared" ca="1" si="52"/>
        <v>50.834408333333336</v>
      </c>
      <c r="E1129" s="14">
        <f t="shared" ca="1" si="52"/>
        <v>53.604591666666671</v>
      </c>
      <c r="F1129" s="14">
        <f t="shared" ca="1" si="52"/>
        <v>53.595533333333343</v>
      </c>
      <c r="G1129" s="14">
        <f t="shared" ca="1" si="52"/>
        <v>50.840675000000012</v>
      </c>
      <c r="H1129" s="14">
        <f t="shared" ca="1" si="52"/>
        <v>50.840675000000012</v>
      </c>
      <c r="I1129" s="14">
        <f t="shared" ca="1" si="52"/>
        <v>50.842208333333332</v>
      </c>
      <c r="J1129" s="14">
        <f t="shared" ca="1" si="52"/>
        <v>464.88494166666669</v>
      </c>
    </row>
    <row r="1130" spans="1:10" ht="15" x14ac:dyDescent="0.2">
      <c r="A1130" s="10">
        <f t="shared" si="51"/>
        <v>2074</v>
      </c>
      <c r="B1130" s="14">
        <f t="shared" ca="1" si="52"/>
        <v>54.643983333333345</v>
      </c>
      <c r="C1130" s="14">
        <f t="shared" ca="1" si="52"/>
        <v>51.688041666666663</v>
      </c>
      <c r="D1130" s="14">
        <f t="shared" ca="1" si="52"/>
        <v>51.680225</v>
      </c>
      <c r="E1130" s="14">
        <f t="shared" ca="1" si="52"/>
        <v>54.496816666666668</v>
      </c>
      <c r="F1130" s="14">
        <f t="shared" ca="1" si="52"/>
        <v>54.487758333333346</v>
      </c>
      <c r="G1130" s="14">
        <f t="shared" ca="1" si="52"/>
        <v>51.686475000000002</v>
      </c>
      <c r="H1130" s="14">
        <f t="shared" ca="1" si="52"/>
        <v>51.686475000000002</v>
      </c>
      <c r="I1130" s="14">
        <f t="shared" ca="1" si="52"/>
        <v>51.688041666666663</v>
      </c>
      <c r="J1130" s="14">
        <f t="shared" ca="1" si="52"/>
        <v>475.96848333333332</v>
      </c>
    </row>
    <row r="1131" spans="1:10" ht="15" x14ac:dyDescent="0.2">
      <c r="A1131" s="10">
        <f t="shared" si="51"/>
        <v>2075</v>
      </c>
      <c r="B1131" s="14">
        <f t="shared" ca="1" si="52"/>
        <v>55.551208333333342</v>
      </c>
      <c r="C1131" s="14">
        <f t="shared" ca="1" si="52"/>
        <v>52.54805833333333</v>
      </c>
      <c r="D1131" s="14">
        <f t="shared" ca="1" si="52"/>
        <v>52.540250000000007</v>
      </c>
      <c r="E1131" s="14">
        <f t="shared" ca="1" si="52"/>
        <v>55.404000000000003</v>
      </c>
      <c r="F1131" s="14">
        <f t="shared" ca="1" si="52"/>
        <v>55.394941666666661</v>
      </c>
      <c r="G1131" s="14">
        <f t="shared" ca="1" si="52"/>
        <v>52.546475000000008</v>
      </c>
      <c r="H1131" s="14">
        <f t="shared" ca="1" si="52"/>
        <v>52.546475000000008</v>
      </c>
      <c r="I1131" s="14">
        <f t="shared" ca="1" si="52"/>
        <v>52.54805833333333</v>
      </c>
      <c r="J1131" s="14">
        <f t="shared" ca="1" si="52"/>
        <v>487.31627499999996</v>
      </c>
    </row>
    <row r="1132" spans="1:10" ht="15" x14ac:dyDescent="0.2">
      <c r="A1132" s="10">
        <f t="shared" si="51"/>
        <v>2076</v>
      </c>
      <c r="B1132" s="14">
        <f t="shared" ca="1" si="52"/>
        <v>56.473641666666659</v>
      </c>
      <c r="C1132" s="14">
        <f t="shared" ca="1" si="52"/>
        <v>53.422525000000007</v>
      </c>
      <c r="D1132" s="14">
        <f t="shared" ca="1" si="52"/>
        <v>53.414716666666664</v>
      </c>
      <c r="E1132" s="14">
        <f t="shared" ca="1" si="52"/>
        <v>56.326466666666676</v>
      </c>
      <c r="F1132" s="14">
        <f t="shared" ca="1" si="52"/>
        <v>56.31740833333334</v>
      </c>
      <c r="G1132" s="14">
        <f t="shared" ca="1" si="52"/>
        <v>53.420966666666665</v>
      </c>
      <c r="H1132" s="14">
        <f t="shared" ca="1" si="52"/>
        <v>53.420966666666665</v>
      </c>
      <c r="I1132" s="14">
        <f t="shared" ca="1" si="52"/>
        <v>53.422525000000007</v>
      </c>
      <c r="J1132" s="14">
        <f t="shared" ca="1" si="52"/>
        <v>498.93463333333347</v>
      </c>
    </row>
    <row r="1133" spans="1:10" ht="15" x14ac:dyDescent="0.2">
      <c r="A1133" s="10">
        <f t="shared" si="51"/>
        <v>2077</v>
      </c>
      <c r="B1133" s="14">
        <f t="shared" ca="1" si="52"/>
        <v>57.411600000000014</v>
      </c>
      <c r="C1133" s="14">
        <f t="shared" ca="1" si="52"/>
        <v>54.311683333333328</v>
      </c>
      <c r="D1133" s="14">
        <f t="shared" ca="1" si="52"/>
        <v>54.303866666666664</v>
      </c>
      <c r="E1133" s="14">
        <f t="shared" ca="1" si="52"/>
        <v>57.264391666666675</v>
      </c>
      <c r="F1133" s="14">
        <f t="shared" ca="1" si="52"/>
        <v>57.255333333333333</v>
      </c>
      <c r="G1133" s="14">
        <f t="shared" ca="1" si="52"/>
        <v>54.310124999999999</v>
      </c>
      <c r="H1133" s="14">
        <f t="shared" ca="1" si="52"/>
        <v>54.310124999999999</v>
      </c>
      <c r="I1133" s="14">
        <f t="shared" ca="1" si="52"/>
        <v>54.311683333333328</v>
      </c>
      <c r="J1133" s="14">
        <f t="shared" ca="1" si="52"/>
        <v>510.82999166666673</v>
      </c>
    </row>
    <row r="1134" spans="1:10" ht="15" x14ac:dyDescent="0.2">
      <c r="A1134" s="10">
        <f t="shared" si="51"/>
        <v>2078</v>
      </c>
      <c r="B1134" s="14">
        <f t="shared" ca="1" si="52"/>
        <v>58.365274999999997</v>
      </c>
      <c r="C1134" s="14">
        <f t="shared" ca="1" si="52"/>
        <v>55.215775000000001</v>
      </c>
      <c r="D1134" s="14">
        <f t="shared" ca="1" si="52"/>
        <v>55.207966666666671</v>
      </c>
      <c r="E1134" s="14">
        <f t="shared" ca="1" si="52"/>
        <v>58.21810833333334</v>
      </c>
      <c r="F1134" s="14">
        <f t="shared" ca="1" si="52"/>
        <v>58.209049999999998</v>
      </c>
      <c r="G1134" s="14">
        <f t="shared" ca="1" si="52"/>
        <v>55.214208333333339</v>
      </c>
      <c r="H1134" s="14">
        <f t="shared" ca="1" si="52"/>
        <v>55.214208333333339</v>
      </c>
      <c r="I1134" s="14">
        <f t="shared" ca="1" si="52"/>
        <v>55.215775000000001</v>
      </c>
      <c r="J1134" s="14">
        <f t="shared" ca="1" si="52"/>
        <v>523.00893333333329</v>
      </c>
    </row>
    <row r="1135" spans="1:10" ht="15" x14ac:dyDescent="0.2">
      <c r="A1135" s="10">
        <f t="shared" si="51"/>
        <v>2079</v>
      </c>
      <c r="B1135" s="14">
        <f t="shared" ca="1" si="52"/>
        <v>59.335008333333342</v>
      </c>
      <c r="C1135" s="14">
        <f t="shared" ca="1" si="52"/>
        <v>56.135066666666667</v>
      </c>
      <c r="D1135" s="14">
        <f t="shared" ca="1" si="52"/>
        <v>56.127258333333337</v>
      </c>
      <c r="E1135" s="14">
        <f t="shared" ca="1" si="52"/>
        <v>59.18781666666667</v>
      </c>
      <c r="F1135" s="14">
        <f t="shared" ca="1" si="52"/>
        <v>59.178758333333342</v>
      </c>
      <c r="G1135" s="14">
        <f t="shared" ca="1" si="52"/>
        <v>56.133483333333338</v>
      </c>
      <c r="H1135" s="14">
        <f t="shared" ca="1" si="52"/>
        <v>56.133483333333338</v>
      </c>
      <c r="I1135" s="14">
        <f t="shared" ca="1" si="52"/>
        <v>56.135066666666667</v>
      </c>
      <c r="J1135" s="14">
        <f t="shared" ca="1" si="52"/>
        <v>535.47826666666663</v>
      </c>
    </row>
    <row r="1136" spans="1:10" ht="15" x14ac:dyDescent="0.2">
      <c r="A1136" s="10">
        <f t="shared" si="51"/>
        <v>2080</v>
      </c>
      <c r="B1136" s="14">
        <f t="shared" ca="1" si="52"/>
        <v>60.321041666666673</v>
      </c>
      <c r="C1136" s="14">
        <f t="shared" ca="1" si="52"/>
        <v>57.069791666666674</v>
      </c>
      <c r="D1136" s="14">
        <f t="shared" ca="1" si="52"/>
        <v>57.06197499999999</v>
      </c>
      <c r="E1136" s="14">
        <f t="shared" ca="1" si="52"/>
        <v>60.173841666666668</v>
      </c>
      <c r="F1136" s="14">
        <f t="shared" ca="1" si="52"/>
        <v>60.164783333333339</v>
      </c>
      <c r="G1136" s="14">
        <f t="shared" ca="1" si="52"/>
        <v>57.068233333333332</v>
      </c>
      <c r="H1136" s="14">
        <f t="shared" ca="1" si="52"/>
        <v>57.068233333333332</v>
      </c>
      <c r="I1136" s="14">
        <f t="shared" ca="1" si="52"/>
        <v>57.069791666666674</v>
      </c>
      <c r="J1136" s="14">
        <f t="shared" ca="1" si="52"/>
        <v>548.24488333333341</v>
      </c>
    </row>
    <row r="1137" spans="1:10" ht="15" x14ac:dyDescent="0.2">
      <c r="A1137" s="10">
        <f t="shared" si="51"/>
        <v>2081</v>
      </c>
      <c r="B1137" s="14">
        <f t="shared" ca="1" si="52"/>
        <v>61.323608333333333</v>
      </c>
      <c r="C1137" s="14">
        <f t="shared" ca="1" si="52"/>
        <v>58.020216666666663</v>
      </c>
      <c r="D1137" s="14">
        <f t="shared" ca="1" si="52"/>
        <v>58.012408333333347</v>
      </c>
      <c r="E1137" s="14">
        <f t="shared" ca="1" si="52"/>
        <v>61.176425000000002</v>
      </c>
      <c r="F1137" s="14">
        <f t="shared" ca="1" si="52"/>
        <v>61.167366666666652</v>
      </c>
      <c r="G1137" s="14">
        <f t="shared" ca="1" si="52"/>
        <v>58.018658333333327</v>
      </c>
      <c r="H1137" s="14">
        <f t="shared" ca="1" si="52"/>
        <v>58.018658333333327</v>
      </c>
      <c r="I1137" s="14">
        <f t="shared" ca="1" si="52"/>
        <v>58.020216666666663</v>
      </c>
      <c r="J1137" s="14">
        <f t="shared" ca="1" si="52"/>
        <v>561.31584166666676</v>
      </c>
    </row>
    <row r="1138" spans="1:10" ht="15" x14ac:dyDescent="0.2">
      <c r="A1138" s="10">
        <f t="shared" si="51"/>
        <v>2082</v>
      </c>
      <c r="B1138" s="14">
        <f t="shared" ref="B1138:J1147" ca="1" si="53">AVERAGE(OFFSET(B$600,($A1138-$A$1118)*12,0,12,1))</f>
        <v>62.343025000000011</v>
      </c>
      <c r="C1138" s="14">
        <f t="shared" ca="1" si="53"/>
        <v>58.986625000000004</v>
      </c>
      <c r="D1138" s="14">
        <f t="shared" ca="1" si="53"/>
        <v>58.97881666666666</v>
      </c>
      <c r="E1138" s="14">
        <f t="shared" ca="1" si="53"/>
        <v>62.195841666666666</v>
      </c>
      <c r="F1138" s="14">
        <f t="shared" ca="1" si="53"/>
        <v>62.186783333333331</v>
      </c>
      <c r="G1138" s="14">
        <f t="shared" ca="1" si="53"/>
        <v>58.985050000000001</v>
      </c>
      <c r="H1138" s="14">
        <f t="shared" ca="1" si="53"/>
        <v>58.985050000000001</v>
      </c>
      <c r="I1138" s="14">
        <f t="shared" ca="1" si="53"/>
        <v>58.986625000000004</v>
      </c>
      <c r="J1138" s="14">
        <f t="shared" ca="1" si="53"/>
        <v>574.69846666666672</v>
      </c>
    </row>
    <row r="1139" spans="1:10" ht="15" x14ac:dyDescent="0.2">
      <c r="A1139" s="10">
        <f t="shared" si="51"/>
        <v>2083</v>
      </c>
      <c r="B1139" s="14">
        <f t="shared" ca="1" si="53"/>
        <v>63.379566666666669</v>
      </c>
      <c r="C1139" s="14">
        <f t="shared" ca="1" si="53"/>
        <v>59.969266666666663</v>
      </c>
      <c r="D1139" s="14">
        <f t="shared" ca="1" si="53"/>
        <v>59.961449999999992</v>
      </c>
      <c r="E1139" s="14">
        <f t="shared" ca="1" si="53"/>
        <v>63.232400000000005</v>
      </c>
      <c r="F1139" s="14">
        <f t="shared" ca="1" si="53"/>
        <v>63.22334166666667</v>
      </c>
      <c r="G1139" s="14">
        <f t="shared" ca="1" si="53"/>
        <v>59.967674999999986</v>
      </c>
      <c r="H1139" s="14">
        <f t="shared" ca="1" si="53"/>
        <v>59.967674999999986</v>
      </c>
      <c r="I1139" s="14">
        <f t="shared" ca="1" si="53"/>
        <v>59.969266666666663</v>
      </c>
      <c r="J1139" s="14">
        <f t="shared" ca="1" si="53"/>
        <v>588.40014166666674</v>
      </c>
    </row>
    <row r="1140" spans="1:10" ht="15" x14ac:dyDescent="0.2">
      <c r="A1140" s="10">
        <f t="shared" si="51"/>
        <v>2084</v>
      </c>
      <c r="B1140" s="14">
        <f t="shared" ca="1" si="53"/>
        <v>64.43354166666667</v>
      </c>
      <c r="C1140" s="14">
        <f t="shared" ca="1" si="53"/>
        <v>60.968399999999995</v>
      </c>
      <c r="D1140" s="14">
        <f t="shared" ca="1" si="53"/>
        <v>60.960583333333325</v>
      </c>
      <c r="E1140" s="14">
        <f t="shared" ca="1" si="53"/>
        <v>64.286350000000013</v>
      </c>
      <c r="F1140" s="14">
        <f t="shared" ca="1" si="53"/>
        <v>64.27729166666667</v>
      </c>
      <c r="G1140" s="14">
        <f t="shared" ca="1" si="53"/>
        <v>60.966841666666674</v>
      </c>
      <c r="H1140" s="14">
        <f t="shared" ca="1" si="53"/>
        <v>60.966841666666674</v>
      </c>
      <c r="I1140" s="14">
        <f t="shared" ca="1" si="53"/>
        <v>60.968399999999995</v>
      </c>
      <c r="J1140" s="14">
        <f t="shared" ca="1" si="53"/>
        <v>602.42847499999993</v>
      </c>
    </row>
    <row r="1141" spans="1:10" ht="15" x14ac:dyDescent="0.2">
      <c r="A1141" s="10">
        <f t="shared" si="51"/>
        <v>2085</v>
      </c>
      <c r="B1141" s="14">
        <f t="shared" ca="1" si="53"/>
        <v>65.505216666666669</v>
      </c>
      <c r="C1141" s="14">
        <f t="shared" ca="1" si="53"/>
        <v>61.984316666666665</v>
      </c>
      <c r="D1141" s="14">
        <f t="shared" ca="1" si="53"/>
        <v>61.976516666666647</v>
      </c>
      <c r="E1141" s="14">
        <f t="shared" ca="1" si="53"/>
        <v>65.358008333333331</v>
      </c>
      <c r="F1141" s="14">
        <f t="shared" ca="1" si="53"/>
        <v>65.348950000000002</v>
      </c>
      <c r="G1141" s="14">
        <f t="shared" ca="1" si="53"/>
        <v>61.982750000000003</v>
      </c>
      <c r="H1141" s="14">
        <f t="shared" ca="1" si="53"/>
        <v>61.982750000000003</v>
      </c>
      <c r="I1141" s="14">
        <f t="shared" ca="1" si="53"/>
        <v>61.984316666666665</v>
      </c>
      <c r="J1141" s="14">
        <f t="shared" ca="1" si="53"/>
        <v>616.79127499999993</v>
      </c>
    </row>
    <row r="1142" spans="1:10" ht="15" x14ac:dyDescent="0.2">
      <c r="A1142" s="10">
        <f t="shared" si="51"/>
        <v>2086</v>
      </c>
      <c r="B1142" s="14">
        <f t="shared" ca="1" si="53"/>
        <v>66.594875000000002</v>
      </c>
      <c r="C1142" s="14">
        <f t="shared" ca="1" si="53"/>
        <v>63.017325</v>
      </c>
      <c r="D1142" s="14">
        <f t="shared" ca="1" si="53"/>
        <v>63.009516666666663</v>
      </c>
      <c r="E1142" s="14">
        <f t="shared" ca="1" si="53"/>
        <v>66.447691666666671</v>
      </c>
      <c r="F1142" s="14">
        <f t="shared" ca="1" si="53"/>
        <v>66.438633333333357</v>
      </c>
      <c r="G1142" s="14">
        <f t="shared" ca="1" si="53"/>
        <v>63.015750000000004</v>
      </c>
      <c r="H1142" s="14">
        <f t="shared" ca="1" si="53"/>
        <v>63.015750000000004</v>
      </c>
      <c r="I1142" s="14">
        <f t="shared" ca="1" si="53"/>
        <v>63.017325</v>
      </c>
      <c r="J1142" s="14">
        <f t="shared" ca="1" si="53"/>
        <v>631.49649999999986</v>
      </c>
    </row>
    <row r="1143" spans="1:10" ht="15" x14ac:dyDescent="0.2">
      <c r="A1143" s="10">
        <f t="shared" si="51"/>
        <v>2087</v>
      </c>
      <c r="B1143" s="14">
        <f t="shared" ca="1" si="53"/>
        <v>67.702858333333339</v>
      </c>
      <c r="C1143" s="14">
        <f t="shared" ca="1" si="53"/>
        <v>64.067666666666653</v>
      </c>
      <c r="D1143" s="14">
        <f t="shared" ca="1" si="53"/>
        <v>64.059841666666657</v>
      </c>
      <c r="E1143" s="14">
        <f t="shared" ca="1" si="53"/>
        <v>67.555658333333341</v>
      </c>
      <c r="F1143" s="14">
        <f t="shared" ca="1" si="53"/>
        <v>67.546599999999998</v>
      </c>
      <c r="G1143" s="14">
        <f t="shared" ca="1" si="53"/>
        <v>64.066099999999992</v>
      </c>
      <c r="H1143" s="14">
        <f t="shared" ca="1" si="53"/>
        <v>64.066099999999992</v>
      </c>
      <c r="I1143" s="14">
        <f t="shared" ca="1" si="53"/>
        <v>64.067666666666653</v>
      </c>
      <c r="J1143" s="14">
        <f t="shared" ca="1" si="53"/>
        <v>646.552325</v>
      </c>
    </row>
    <row r="1144" spans="1:10" ht="15" x14ac:dyDescent="0.2">
      <c r="A1144" s="10">
        <f t="shared" si="51"/>
        <v>2088</v>
      </c>
      <c r="B1144" s="14">
        <f t="shared" ca="1" si="53"/>
        <v>68.829449999999994</v>
      </c>
      <c r="C1144" s="14">
        <f t="shared" ca="1" si="53"/>
        <v>65.135674999999978</v>
      </c>
      <c r="D1144" s="14">
        <f t="shared" ca="1" si="53"/>
        <v>65.127858333333322</v>
      </c>
      <c r="E1144" s="14">
        <f t="shared" ca="1" si="53"/>
        <v>68.682249999999996</v>
      </c>
      <c r="F1144" s="14">
        <f t="shared" ca="1" si="53"/>
        <v>68.673191666666668</v>
      </c>
      <c r="G1144" s="14">
        <f t="shared" ca="1" si="53"/>
        <v>65.134091666666663</v>
      </c>
      <c r="H1144" s="14">
        <f t="shared" ca="1" si="53"/>
        <v>65.134091666666663</v>
      </c>
      <c r="I1144" s="14">
        <f t="shared" ca="1" si="53"/>
        <v>65.135674999999978</v>
      </c>
      <c r="J1144" s="14">
        <f t="shared" ca="1" si="53"/>
        <v>661.96710000000007</v>
      </c>
    </row>
    <row r="1145" spans="1:10" ht="15" x14ac:dyDescent="0.2">
      <c r="A1145" s="10">
        <f t="shared" si="51"/>
        <v>2089</v>
      </c>
      <c r="B1145" s="14">
        <f t="shared" ca="1" si="53"/>
        <v>69.97496666666666</v>
      </c>
      <c r="C1145" s="14">
        <f t="shared" ca="1" si="53"/>
        <v>66.221583333333328</v>
      </c>
      <c r="D1145" s="14">
        <f t="shared" ca="1" si="53"/>
        <v>66.213783333333325</v>
      </c>
      <c r="E1145" s="14">
        <f t="shared" ca="1" si="53"/>
        <v>69.827774999999988</v>
      </c>
      <c r="F1145" s="14">
        <f t="shared" ca="1" si="53"/>
        <v>69.81871666666666</v>
      </c>
      <c r="G1145" s="14">
        <f t="shared" ca="1" si="53"/>
        <v>66.220050000000001</v>
      </c>
      <c r="H1145" s="14">
        <f t="shared" ca="1" si="53"/>
        <v>66.220050000000001</v>
      </c>
      <c r="I1145" s="14">
        <f t="shared" ca="1" si="53"/>
        <v>66.221583333333328</v>
      </c>
      <c r="J1145" s="14">
        <f t="shared" ca="1" si="53"/>
        <v>677.74938333333341</v>
      </c>
    </row>
    <row r="1146" spans="1:10" ht="15" x14ac:dyDescent="0.2">
      <c r="A1146" s="10">
        <f t="shared" si="51"/>
        <v>2090</v>
      </c>
      <c r="B1146" s="14">
        <f t="shared" ca="1" si="53"/>
        <v>71.139724999999984</v>
      </c>
      <c r="C1146" s="14">
        <f t="shared" ca="1" si="53"/>
        <v>67.325783333333334</v>
      </c>
      <c r="D1146" s="14">
        <f t="shared" ca="1" si="53"/>
        <v>67.317966666666663</v>
      </c>
      <c r="E1146" s="14">
        <f t="shared" ca="1" si="53"/>
        <v>70.992541666666668</v>
      </c>
      <c r="F1146" s="14">
        <f t="shared" ca="1" si="53"/>
        <v>70.983483333333325</v>
      </c>
      <c r="G1146" s="14">
        <f t="shared" ca="1" si="53"/>
        <v>67.324208333333331</v>
      </c>
      <c r="H1146" s="14">
        <f t="shared" ca="1" si="53"/>
        <v>67.324208333333331</v>
      </c>
      <c r="I1146" s="14">
        <f t="shared" ca="1" si="53"/>
        <v>67.325783333333334</v>
      </c>
      <c r="J1146" s="14">
        <f t="shared" ca="1" si="53"/>
        <v>693.90795833333334</v>
      </c>
    </row>
    <row r="1147" spans="1:10" ht="15" x14ac:dyDescent="0.2">
      <c r="A1147" s="10">
        <f t="shared" si="51"/>
        <v>2091</v>
      </c>
      <c r="B1147" s="14">
        <f t="shared" ca="1" si="53"/>
        <v>72.324066666666667</v>
      </c>
      <c r="C1147" s="14">
        <f t="shared" ca="1" si="53"/>
        <v>68.448508333333336</v>
      </c>
      <c r="D1147" s="14">
        <f t="shared" ca="1" si="53"/>
        <v>68.440691666666666</v>
      </c>
      <c r="E1147" s="14">
        <f t="shared" ca="1" si="53"/>
        <v>72.176866666666669</v>
      </c>
      <c r="F1147" s="14">
        <f t="shared" ca="1" si="53"/>
        <v>72.167808333333326</v>
      </c>
      <c r="G1147" s="14">
        <f t="shared" ca="1" si="53"/>
        <v>68.446949999999973</v>
      </c>
      <c r="H1147" s="14">
        <f t="shared" ca="1" si="53"/>
        <v>68.446949999999973</v>
      </c>
      <c r="I1147" s="14">
        <f t="shared" ca="1" si="53"/>
        <v>68.448508333333336</v>
      </c>
      <c r="J1147" s="14">
        <f t="shared" ca="1" si="53"/>
        <v>710.45175833333349</v>
      </c>
    </row>
    <row r="1148" spans="1:10" ht="15" x14ac:dyDescent="0.2">
      <c r="A1148" s="10">
        <f t="shared" si="51"/>
        <v>2092</v>
      </c>
      <c r="B1148" s="14">
        <f t="shared" ref="B1148:J1156" ca="1" si="54">AVERAGE(OFFSET(B$600,($A1148-$A$1118)*12,0,12,1))</f>
        <v>73.528291666666647</v>
      </c>
      <c r="C1148" s="14">
        <f t="shared" ca="1" si="54"/>
        <v>69.59009166666668</v>
      </c>
      <c r="D1148" s="14">
        <f t="shared" ca="1" si="54"/>
        <v>69.582274999999996</v>
      </c>
      <c r="E1148" s="14">
        <f t="shared" ca="1" si="54"/>
        <v>73.381083333333336</v>
      </c>
      <c r="F1148" s="14">
        <f t="shared" ca="1" si="54"/>
        <v>73.372024999999994</v>
      </c>
      <c r="G1148" s="14">
        <f t="shared" ca="1" si="54"/>
        <v>69.588541666666671</v>
      </c>
      <c r="H1148" s="14">
        <f t="shared" ca="1" si="54"/>
        <v>69.588541666666671</v>
      </c>
      <c r="I1148" s="14">
        <f t="shared" ca="1" si="54"/>
        <v>69.59009166666668</v>
      </c>
      <c r="J1148" s="14">
        <f t="shared" ca="1" si="54"/>
        <v>727.38999166666656</v>
      </c>
    </row>
    <row r="1149" spans="1:10" ht="15" x14ac:dyDescent="0.2">
      <c r="A1149" s="10">
        <f t="shared" si="51"/>
        <v>2093</v>
      </c>
      <c r="B1149" s="14">
        <f t="shared" ca="1" si="54"/>
        <v>74.752741666666665</v>
      </c>
      <c r="C1149" s="14">
        <f t="shared" ca="1" si="54"/>
        <v>70.750866666666667</v>
      </c>
      <c r="D1149" s="14">
        <f t="shared" ca="1" si="54"/>
        <v>70.743058333333323</v>
      </c>
      <c r="E1149" s="14">
        <f t="shared" ca="1" si="54"/>
        <v>74.605566666666661</v>
      </c>
      <c r="F1149" s="14">
        <f t="shared" ca="1" si="54"/>
        <v>74.596508333333333</v>
      </c>
      <c r="G1149" s="14">
        <f t="shared" ca="1" si="54"/>
        <v>70.749300000000005</v>
      </c>
      <c r="H1149" s="14">
        <f t="shared" ca="1" si="54"/>
        <v>70.749300000000005</v>
      </c>
      <c r="I1149" s="14">
        <f t="shared" ca="1" si="54"/>
        <v>70.750866666666667</v>
      </c>
      <c r="J1149" s="14">
        <f t="shared" ca="1" si="54"/>
        <v>744.73209166666663</v>
      </c>
    </row>
    <row r="1150" spans="1:10" ht="15" x14ac:dyDescent="0.2">
      <c r="A1150" s="10">
        <f t="shared" si="51"/>
        <v>2094</v>
      </c>
      <c r="B1150" s="14">
        <f t="shared" ca="1" si="54"/>
        <v>75.997766666666664</v>
      </c>
      <c r="C1150" s="14">
        <f t="shared" ca="1" si="54"/>
        <v>71.931124999999994</v>
      </c>
      <c r="D1150" s="14">
        <f t="shared" ca="1" si="54"/>
        <v>71.923316666666665</v>
      </c>
      <c r="E1150" s="14">
        <f t="shared" ca="1" si="54"/>
        <v>75.850583333333347</v>
      </c>
      <c r="F1150" s="14">
        <f t="shared" ca="1" si="54"/>
        <v>75.841525000000004</v>
      </c>
      <c r="G1150" s="14">
        <f t="shared" ca="1" si="54"/>
        <v>71.929583333333326</v>
      </c>
      <c r="H1150" s="14">
        <f t="shared" ca="1" si="54"/>
        <v>71.929583333333326</v>
      </c>
      <c r="I1150" s="14">
        <f t="shared" ca="1" si="54"/>
        <v>71.931124999999994</v>
      </c>
      <c r="J1150" s="14">
        <f t="shared" ca="1" si="54"/>
        <v>762.48759166666662</v>
      </c>
    </row>
    <row r="1151" spans="1:10" ht="15" x14ac:dyDescent="0.2">
      <c r="A1151" s="10">
        <f t="shared" si="51"/>
        <v>2095</v>
      </c>
      <c r="B1151" s="14">
        <f t="shared" ca="1" si="54"/>
        <v>77.263716666666667</v>
      </c>
      <c r="C1151" s="14">
        <f t="shared" ca="1" si="54"/>
        <v>73.131241666666668</v>
      </c>
      <c r="D1151" s="14">
        <f t="shared" ca="1" si="54"/>
        <v>73.123424999999983</v>
      </c>
      <c r="E1151" s="14">
        <f t="shared" ca="1" si="54"/>
        <v>77.116516666666669</v>
      </c>
      <c r="F1151" s="14">
        <f t="shared" ca="1" si="54"/>
        <v>77.107458333333341</v>
      </c>
      <c r="G1151" s="14">
        <f t="shared" ca="1" si="54"/>
        <v>73.129674999999992</v>
      </c>
      <c r="H1151" s="14">
        <f t="shared" ca="1" si="54"/>
        <v>73.129674999999992</v>
      </c>
      <c r="I1151" s="14">
        <f t="shared" ca="1" si="54"/>
        <v>73.131241666666668</v>
      </c>
      <c r="J1151" s="14">
        <f t="shared" ca="1" si="54"/>
        <v>780.66643333333332</v>
      </c>
    </row>
    <row r="1152" spans="1:10" ht="15" x14ac:dyDescent="0.2">
      <c r="A1152" s="10">
        <f t="shared" si="51"/>
        <v>2096</v>
      </c>
      <c r="B1152" s="14">
        <f t="shared" ca="1" si="54"/>
        <v>78.550924999999992</v>
      </c>
      <c r="C1152" s="14">
        <f t="shared" ca="1" si="54"/>
        <v>74.351508333333328</v>
      </c>
      <c r="D1152" s="14">
        <f t="shared" ca="1" si="54"/>
        <v>74.343699999999998</v>
      </c>
      <c r="E1152" s="14">
        <f t="shared" ca="1" si="54"/>
        <v>78.403733333333335</v>
      </c>
      <c r="F1152" s="14">
        <f t="shared" ca="1" si="54"/>
        <v>78.394674999999992</v>
      </c>
      <c r="G1152" s="14">
        <f t="shared" ca="1" si="54"/>
        <v>74.34993333333334</v>
      </c>
      <c r="H1152" s="14">
        <f t="shared" ca="1" si="54"/>
        <v>74.34993333333334</v>
      </c>
      <c r="I1152" s="14">
        <f t="shared" ca="1" si="54"/>
        <v>74.351508333333328</v>
      </c>
      <c r="J1152" s="14">
        <f t="shared" ca="1" si="54"/>
        <v>799.27870833333327</v>
      </c>
    </row>
    <row r="1153" spans="1:10" ht="15" x14ac:dyDescent="0.2">
      <c r="A1153" s="10">
        <f t="shared" si="51"/>
        <v>2097</v>
      </c>
      <c r="B1153" s="14">
        <f t="shared" ca="1" si="54"/>
        <v>79.859766666666658</v>
      </c>
      <c r="C1153" s="14">
        <f t="shared" ca="1" si="54"/>
        <v>75.592241666666652</v>
      </c>
      <c r="D1153" s="14">
        <f t="shared" ca="1" si="54"/>
        <v>75.584433333333337</v>
      </c>
      <c r="E1153" s="14">
        <f t="shared" ca="1" si="54"/>
        <v>79.712574999999987</v>
      </c>
      <c r="F1153" s="14">
        <f t="shared" ca="1" si="54"/>
        <v>79.703516666666644</v>
      </c>
      <c r="G1153" s="14">
        <f t="shared" ca="1" si="54"/>
        <v>75.590699999999998</v>
      </c>
      <c r="H1153" s="14">
        <f t="shared" ca="1" si="54"/>
        <v>75.590699999999998</v>
      </c>
      <c r="I1153" s="14">
        <f t="shared" ca="1" si="54"/>
        <v>75.592241666666652</v>
      </c>
      <c r="J1153" s="14">
        <f t="shared" ca="1" si="54"/>
        <v>818.33470833333331</v>
      </c>
    </row>
    <row r="1154" spans="1:10" ht="15" x14ac:dyDescent="0.2">
      <c r="A1154" s="10">
        <f t="shared" si="51"/>
        <v>2098</v>
      </c>
      <c r="B1154" s="14">
        <f t="shared" ca="1" si="54"/>
        <v>81.190591666666663</v>
      </c>
      <c r="C1154" s="14">
        <f t="shared" ca="1" si="54"/>
        <v>76.853850000000008</v>
      </c>
      <c r="D1154" s="14">
        <f t="shared" ca="1" si="54"/>
        <v>76.846041666666665</v>
      </c>
      <c r="E1154" s="14">
        <f t="shared" ca="1" si="54"/>
        <v>81.043400000000005</v>
      </c>
      <c r="F1154" s="14">
        <f t="shared" ca="1" si="54"/>
        <v>81.034341666666663</v>
      </c>
      <c r="G1154" s="14">
        <f t="shared" ca="1" si="54"/>
        <v>76.8523</v>
      </c>
      <c r="H1154" s="14">
        <f t="shared" ca="1" si="54"/>
        <v>76.8523</v>
      </c>
      <c r="I1154" s="14">
        <f t="shared" ca="1" si="54"/>
        <v>76.853850000000008</v>
      </c>
      <c r="J1154" s="14">
        <f t="shared" ca="1" si="54"/>
        <v>837.84504166666648</v>
      </c>
    </row>
    <row r="1155" spans="1:10" ht="15" x14ac:dyDescent="0.2">
      <c r="A1155" s="10">
        <f t="shared" si="51"/>
        <v>2099</v>
      </c>
      <c r="B1155" s="14">
        <f t="shared" ca="1" si="54"/>
        <v>82.543774999999997</v>
      </c>
      <c r="C1155" s="14">
        <f t="shared" ca="1" si="54"/>
        <v>78.136674999999997</v>
      </c>
      <c r="D1155" s="14">
        <f t="shared" ca="1" si="54"/>
        <v>78.12885</v>
      </c>
      <c r="E1155" s="14">
        <f t="shared" ca="1" si="54"/>
        <v>82.396574999999999</v>
      </c>
      <c r="F1155" s="14">
        <f t="shared" ca="1" si="54"/>
        <v>82.387516666666656</v>
      </c>
      <c r="G1155" s="14">
        <f t="shared" ca="1" si="54"/>
        <v>78.135091666666654</v>
      </c>
      <c r="H1155" s="14">
        <f t="shared" ca="1" si="54"/>
        <v>78.135091666666654</v>
      </c>
      <c r="I1155" s="14">
        <f t="shared" ca="1" si="54"/>
        <v>78.136674999999997</v>
      </c>
      <c r="J1155" s="14">
        <f t="shared" ca="1" si="54"/>
        <v>857.82050833333324</v>
      </c>
    </row>
    <row r="1156" spans="1:10" ht="15" x14ac:dyDescent="0.2">
      <c r="A1156" s="10">
        <f t="shared" si="51"/>
        <v>2100</v>
      </c>
      <c r="B1156" s="14">
        <f t="shared" ca="1" si="54"/>
        <v>83.919691666666651</v>
      </c>
      <c r="C1156" s="14">
        <f t="shared" ca="1" si="54"/>
        <v>79.441016666666656</v>
      </c>
      <c r="D1156" s="14">
        <f t="shared" ca="1" si="54"/>
        <v>79.433191666666673</v>
      </c>
      <c r="E1156" s="14">
        <f t="shared" ca="1" si="54"/>
        <v>83.772499999999994</v>
      </c>
      <c r="F1156" s="14">
        <f t="shared" ca="1" si="54"/>
        <v>83.763441666666665</v>
      </c>
      <c r="G1156" s="14">
        <f t="shared" ca="1" si="54"/>
        <v>79.439450000000008</v>
      </c>
      <c r="H1156" s="14">
        <f t="shared" ca="1" si="54"/>
        <v>79.439450000000008</v>
      </c>
      <c r="I1156" s="14">
        <f t="shared" ca="1" si="54"/>
        <v>79.441016666666656</v>
      </c>
      <c r="J1156" s="14">
        <f t="shared" ca="1" si="54"/>
        <v>878.27224166666667</v>
      </c>
    </row>
    <row r="1157" spans="1:10" x14ac:dyDescent="0.2">
      <c r="A1157" s="8"/>
    </row>
    <row r="1158" spans="1:10" x14ac:dyDescent="0.2">
      <c r="A1158" s="8"/>
    </row>
    <row r="1159" spans="1:10" x14ac:dyDescent="0.2">
      <c r="A1159" s="8"/>
    </row>
    <row r="1160" spans="1:10" x14ac:dyDescent="0.2">
      <c r="A1160" s="8"/>
    </row>
    <row r="1161" spans="1:10" x14ac:dyDescent="0.2">
      <c r="A1161" s="8"/>
    </row>
    <row r="1162" spans="1:10" x14ac:dyDescent="0.2">
      <c r="A1162" s="8"/>
    </row>
    <row r="1163" spans="1:10" x14ac:dyDescent="0.2">
      <c r="A1163" s="8"/>
    </row>
    <row r="1164" spans="1:10" x14ac:dyDescent="0.2">
      <c r="A1164" s="8"/>
    </row>
    <row r="1165" spans="1:10" x14ac:dyDescent="0.2">
      <c r="A1165" s="8"/>
    </row>
    <row r="1166" spans="1:10" x14ac:dyDescent="0.2">
      <c r="A1166" s="8"/>
    </row>
    <row r="1167" spans="1:10" x14ac:dyDescent="0.2">
      <c r="A1167" s="8"/>
    </row>
    <row r="1168" spans="1:10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9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209550</xdr:colOff>
                    <xdr:row>7</xdr:row>
                    <xdr:rowOff>180975</xdr:rowOff>
                  </from>
                  <to>
                    <xdr:col>8</xdr:col>
                    <xdr:colOff>342900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8</xdr:col>
                    <xdr:colOff>476250</xdr:colOff>
                    <xdr:row>7</xdr:row>
                    <xdr:rowOff>180975</xdr:rowOff>
                  </from>
                  <to>
                    <xdr:col>9</xdr:col>
                    <xdr:colOff>609600</xdr:colOff>
                    <xdr:row>9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72"/>
  <sheetViews>
    <sheetView zoomScale="75" zoomScaleNormal="75" workbookViewId="0">
      <pane xSplit="1" ySplit="12" topLeftCell="B13" activePane="bottomRight" state="frozen"/>
      <selection activeCell="C20" sqref="C20:C21"/>
      <selection pane="topRight" activeCell="C20" sqref="C20:C21"/>
      <selection pane="bottomLeft" activeCell="C20" sqref="C20:C21"/>
      <selection pane="bottomRight" activeCell="B13" sqref="B13"/>
    </sheetView>
  </sheetViews>
  <sheetFormatPr defaultColWidth="7.109375" defaultRowHeight="12.75" x14ac:dyDescent="0.2"/>
  <cols>
    <col min="1" max="1" width="18.21875" style="30" customWidth="1"/>
    <col min="2" max="10" width="13" style="30" customWidth="1"/>
    <col min="11" max="11" width="18.6640625" style="30" customWidth="1"/>
    <col min="12" max="12" width="13" style="30" customWidth="1"/>
    <col min="13" max="16" width="20.6640625" style="30" customWidth="1"/>
    <col min="17" max="17" width="15.5546875" style="30" customWidth="1"/>
    <col min="18" max="18" width="16.21875" style="30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ht="15.75" x14ac:dyDescent="0.25">
      <c r="A1" s="102" t="s">
        <v>91</v>
      </c>
    </row>
    <row r="2" spans="1:29" ht="15.75" x14ac:dyDescent="0.25">
      <c r="A2" s="102" t="s">
        <v>92</v>
      </c>
    </row>
    <row r="3" spans="1:29" ht="15.75" x14ac:dyDescent="0.25">
      <c r="A3" s="102" t="s">
        <v>93</v>
      </c>
    </row>
    <row r="4" spans="1:29" ht="15.75" x14ac:dyDescent="0.25">
      <c r="A4" s="102" t="s">
        <v>94</v>
      </c>
    </row>
    <row r="5" spans="1:29" ht="15.75" x14ac:dyDescent="0.25">
      <c r="A5" s="102" t="s">
        <v>96</v>
      </c>
    </row>
    <row r="6" spans="1:29" ht="15.75" x14ac:dyDescent="0.25">
      <c r="A6" s="102" t="s">
        <v>100</v>
      </c>
    </row>
    <row r="7" spans="1:29" s="22" customFormat="1" x14ac:dyDescent="0.2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</row>
    <row r="8" spans="1:29" ht="15.75" x14ac:dyDescent="0.25">
      <c r="A8" s="42" t="s">
        <v>27</v>
      </c>
      <c r="M8" s="75"/>
      <c r="N8" s="75"/>
      <c r="O8" s="71"/>
      <c r="P8" s="71"/>
      <c r="T8" s="111" t="s">
        <v>79</v>
      </c>
      <c r="U8" s="111"/>
      <c r="V8" s="111"/>
      <c r="W8" s="111"/>
      <c r="X8" s="111"/>
      <c r="Y8" s="111"/>
    </row>
    <row r="9" spans="1:29" ht="16.5" thickBot="1" x14ac:dyDescent="0.3">
      <c r="A9" s="42"/>
      <c r="B9" s="40" t="s">
        <v>25</v>
      </c>
      <c r="C9" s="74">
        <f>1-0.208</f>
        <v>0.79200000000000004</v>
      </c>
      <c r="D9" s="40"/>
      <c r="E9" s="74">
        <v>1.208</v>
      </c>
      <c r="F9" s="74"/>
      <c r="G9" s="74"/>
      <c r="H9" s="1"/>
      <c r="I9" s="1"/>
      <c r="J9" s="1"/>
      <c r="K9" s="1"/>
      <c r="L9" s="1"/>
      <c r="M9" s="1"/>
      <c r="N9" s="1"/>
      <c r="O9" s="1"/>
      <c r="P9" s="1"/>
      <c r="T9" s="111" t="s">
        <v>78</v>
      </c>
      <c r="U9" s="111"/>
      <c r="V9" s="111"/>
      <c r="W9" s="111"/>
      <c r="X9" s="111"/>
      <c r="Y9" s="111"/>
      <c r="Z9" s="107"/>
      <c r="AA9" s="107"/>
      <c r="AB9" s="1"/>
    </row>
    <row r="10" spans="1:29" ht="21.75" thickTop="1" thickBot="1" x14ac:dyDescent="0.35">
      <c r="B10" s="73"/>
      <c r="C10" s="72"/>
      <c r="D10" s="73"/>
      <c r="E10" s="72"/>
      <c r="F10" s="72"/>
      <c r="G10" s="72"/>
      <c r="H10" s="1"/>
      <c r="I10" s="1"/>
      <c r="J10" s="1"/>
      <c r="K10" s="1"/>
      <c r="L10" s="1"/>
      <c r="M10" s="1"/>
      <c r="N10" s="1"/>
      <c r="O10" s="1"/>
      <c r="P10" s="1"/>
      <c r="T10" s="112" t="s">
        <v>77</v>
      </c>
      <c r="U10" s="113"/>
      <c r="V10" s="113"/>
      <c r="W10" s="113"/>
      <c r="X10" s="113"/>
      <c r="Y10" s="114"/>
      <c r="Z10" s="71"/>
      <c r="AA10" s="71"/>
      <c r="AB10" s="1"/>
    </row>
    <row r="11" spans="1:29" s="35" customFormat="1" ht="112.5" customHeight="1" thickTop="1" x14ac:dyDescent="0.25">
      <c r="B11" s="66" t="s">
        <v>76</v>
      </c>
      <c r="C11" s="70" t="s">
        <v>75</v>
      </c>
      <c r="D11" s="66" t="s">
        <v>74</v>
      </c>
      <c r="E11" s="66" t="s">
        <v>73</v>
      </c>
      <c r="F11" s="70" t="s">
        <v>72</v>
      </c>
      <c r="G11" s="70" t="s">
        <v>71</v>
      </c>
      <c r="H11" s="70" t="s">
        <v>70</v>
      </c>
      <c r="I11" s="70" t="s">
        <v>69</v>
      </c>
      <c r="J11" s="70" t="s">
        <v>68</v>
      </c>
      <c r="K11" s="67" t="s">
        <v>67</v>
      </c>
      <c r="L11" s="36" t="s">
        <v>66</v>
      </c>
      <c r="M11" s="69" t="s">
        <v>65</v>
      </c>
      <c r="N11" s="69" t="s">
        <v>64</v>
      </c>
      <c r="O11" s="69" t="s">
        <v>63</v>
      </c>
      <c r="P11" s="69" t="s">
        <v>62</v>
      </c>
      <c r="Q11" s="36" t="s">
        <v>61</v>
      </c>
      <c r="R11" s="38" t="s">
        <v>60</v>
      </c>
      <c r="S11" s="36" t="s">
        <v>59</v>
      </c>
      <c r="T11" s="65" t="s">
        <v>58</v>
      </c>
      <c r="U11" s="65" t="s">
        <v>57</v>
      </c>
      <c r="V11" s="65" t="s">
        <v>56</v>
      </c>
      <c r="W11" s="65" t="s">
        <v>55</v>
      </c>
      <c r="X11" s="65" t="s">
        <v>54</v>
      </c>
      <c r="Y11" s="65" t="s">
        <v>53</v>
      </c>
      <c r="Z11" s="38" t="s">
        <v>52</v>
      </c>
      <c r="AA11" s="38" t="s">
        <v>51</v>
      </c>
      <c r="AB11" s="66" t="s">
        <v>50</v>
      </c>
      <c r="AC11" s="68" t="s">
        <v>49</v>
      </c>
    </row>
    <row r="12" spans="1:29" s="35" customFormat="1" ht="15.75" x14ac:dyDescent="0.25">
      <c r="A12" s="37" t="s">
        <v>15</v>
      </c>
      <c r="B12" s="36" t="s">
        <v>14</v>
      </c>
      <c r="C12" s="36" t="s">
        <v>14</v>
      </c>
      <c r="D12" s="36" t="s">
        <v>14</v>
      </c>
      <c r="E12" s="36" t="s">
        <v>14</v>
      </c>
      <c r="F12" s="36" t="s">
        <v>14</v>
      </c>
      <c r="G12" s="36" t="s">
        <v>14</v>
      </c>
      <c r="H12" s="36" t="s">
        <v>14</v>
      </c>
      <c r="I12" s="36" t="s">
        <v>14</v>
      </c>
      <c r="J12" s="36" t="s">
        <v>14</v>
      </c>
      <c r="K12" s="67" t="s">
        <v>14</v>
      </c>
      <c r="L12" s="36" t="s">
        <v>14</v>
      </c>
      <c r="M12" s="36" t="s">
        <v>14</v>
      </c>
      <c r="N12" s="36" t="s">
        <v>14</v>
      </c>
      <c r="O12" s="36" t="s">
        <v>14</v>
      </c>
      <c r="P12" s="36" t="s">
        <v>14</v>
      </c>
      <c r="Q12" s="36" t="s">
        <v>14</v>
      </c>
      <c r="R12" s="36" t="s">
        <v>14</v>
      </c>
      <c r="S12" s="36" t="s">
        <v>14</v>
      </c>
      <c r="T12" s="65" t="s">
        <v>48</v>
      </c>
      <c r="U12" s="65" t="s">
        <v>48</v>
      </c>
      <c r="V12" s="65" t="s">
        <v>48</v>
      </c>
      <c r="W12" s="65" t="s">
        <v>48</v>
      </c>
      <c r="X12" s="65" t="s">
        <v>48</v>
      </c>
      <c r="Y12" s="65" t="s">
        <v>48</v>
      </c>
      <c r="Z12" s="36" t="s">
        <v>14</v>
      </c>
      <c r="AA12" s="36" t="s">
        <v>48</v>
      </c>
      <c r="AB12" s="66" t="s">
        <v>14</v>
      </c>
      <c r="AC12" s="65" t="s">
        <v>14</v>
      </c>
    </row>
    <row r="13" spans="1:29" ht="15.75" x14ac:dyDescent="0.25">
      <c r="A13" s="13">
        <v>41275</v>
      </c>
      <c r="B13" s="62">
        <v>3.4693411405589898</v>
      </c>
      <c r="C13" s="62">
        <v>3.47442538832698</v>
      </c>
      <c r="D13" s="62">
        <v>3.5918799851734899</v>
      </c>
      <c r="E13" s="62">
        <v>3.62563976038513</v>
      </c>
      <c r="F13" s="62">
        <v>3.4827097294503502</v>
      </c>
      <c r="G13" s="62">
        <v>3.4975364689593298</v>
      </c>
      <c r="H13" s="62">
        <v>3.6145177663942398</v>
      </c>
      <c r="I13" s="62">
        <v>3.5091919375943799</v>
      </c>
      <c r="J13" s="62">
        <v>3.4753097294503501</v>
      </c>
      <c r="K13" s="64"/>
      <c r="L13" s="62">
        <v>4.2015177663942396</v>
      </c>
      <c r="M13" s="62">
        <v>3.4510577257516601</v>
      </c>
      <c r="N13" s="62">
        <v>3.46575112309643</v>
      </c>
      <c r="O13" s="62">
        <v>3.5890138150970801</v>
      </c>
      <c r="P13" s="62">
        <v>3.4845926581983502</v>
      </c>
      <c r="Q13" s="62">
        <v>4.1837138150970796</v>
      </c>
      <c r="R13" s="62">
        <v>4.7811730996348203</v>
      </c>
      <c r="S13" s="62">
        <v>3.3547069680724899</v>
      </c>
      <c r="T13" s="63">
        <v>29.034112</v>
      </c>
      <c r="U13" s="63">
        <v>12.063650000000001</v>
      </c>
      <c r="V13" s="63">
        <v>4.9444999999999997</v>
      </c>
      <c r="W13" s="63">
        <v>0.56798199999999999</v>
      </c>
      <c r="X13" s="63">
        <v>0</v>
      </c>
      <c r="Y13" s="63">
        <v>0.39</v>
      </c>
      <c r="Z13" s="62">
        <v>3.49160559679886</v>
      </c>
      <c r="AA13" s="61">
        <v>0.78900000000000003</v>
      </c>
      <c r="AB13" s="60">
        <v>3.5128713827202498</v>
      </c>
      <c r="AC13" s="59">
        <v>3.5263496753376899</v>
      </c>
    </row>
    <row r="14" spans="1:29" ht="15.75" x14ac:dyDescent="0.25">
      <c r="A14" s="13">
        <v>41306</v>
      </c>
      <c r="B14" s="14">
        <v>3.3373871192168498</v>
      </c>
      <c r="C14" s="14">
        <v>3.34247136698484</v>
      </c>
      <c r="D14" s="14">
        <v>3.4274416903447098</v>
      </c>
      <c r="E14" s="14">
        <v>3.4612014655563499</v>
      </c>
      <c r="F14" s="14">
        <v>3.32921003516193</v>
      </c>
      <c r="G14" s="14">
        <v>3.3428860878936399</v>
      </c>
      <c r="H14" s="14">
        <v>3.4500794715654499</v>
      </c>
      <c r="I14" s="14">
        <v>3.3623461586604102</v>
      </c>
      <c r="J14" s="14">
        <v>3.32181003516193</v>
      </c>
      <c r="K14" s="52"/>
      <c r="L14" s="14">
        <v>4.0370794715654501</v>
      </c>
      <c r="M14" s="14">
        <v>3.2989385090408998</v>
      </c>
      <c r="N14" s="14">
        <v>3.3124915681456</v>
      </c>
      <c r="O14" s="14">
        <v>3.42605437258766</v>
      </c>
      <c r="P14" s="14">
        <v>3.3390715772188799</v>
      </c>
      <c r="Q14" s="14">
        <v>4.0207543725876604</v>
      </c>
      <c r="R14" s="14">
        <v>4.6178062585191304</v>
      </c>
      <c r="S14" s="14">
        <v>3.2267511535770201</v>
      </c>
      <c r="T14" s="56">
        <v>26.280478500000001</v>
      </c>
      <c r="U14" s="56">
        <v>10.8962</v>
      </c>
      <c r="V14" s="56">
        <v>4.4660000000000002</v>
      </c>
      <c r="W14" s="56">
        <v>0.51301600000000003</v>
      </c>
      <c r="X14" s="56">
        <v>0</v>
      </c>
      <c r="Y14" s="56">
        <v>0.39</v>
      </c>
      <c r="Z14" s="14">
        <v>3.3376078337533501</v>
      </c>
      <c r="AA14" s="55">
        <v>0.78900000000000003</v>
      </c>
      <c r="AB14" s="49">
        <v>3.3650754313211002</v>
      </c>
      <c r="AC14" s="44">
        <v>3.36964273692133</v>
      </c>
    </row>
    <row r="15" spans="1:29" ht="15.75" x14ac:dyDescent="0.25">
      <c r="A15" s="13">
        <v>41334</v>
      </c>
      <c r="B15" s="14">
        <v>3.5446221553058099</v>
      </c>
      <c r="C15" s="14">
        <v>3.5497064030738099</v>
      </c>
      <c r="D15" s="14">
        <v>3.6259111288261701</v>
      </c>
      <c r="E15" s="14">
        <v>3.6596709040378101</v>
      </c>
      <c r="F15" s="14">
        <v>3.5438843996438298</v>
      </c>
      <c r="G15" s="14">
        <v>3.5577092992119201</v>
      </c>
      <c r="H15" s="14">
        <v>3.6485489100469102</v>
      </c>
      <c r="I15" s="14">
        <v>3.55729372718785</v>
      </c>
      <c r="J15" s="14">
        <v>3.5364843996438302</v>
      </c>
      <c r="K15" s="52"/>
      <c r="L15" s="14">
        <v>4.2355489100469104</v>
      </c>
      <c r="M15" s="14">
        <v>3.5116822302857602</v>
      </c>
      <c r="N15" s="14">
        <v>3.5253827975940699</v>
      </c>
      <c r="O15" s="14">
        <v>3.6227389045196601</v>
      </c>
      <c r="P15" s="14">
        <v>3.5322605208328999</v>
      </c>
      <c r="Q15" s="14">
        <v>4.2174389045196596</v>
      </c>
      <c r="R15" s="14">
        <v>4.8149825017809604</v>
      </c>
      <c r="S15" s="14">
        <v>3.4277069680724899</v>
      </c>
      <c r="T15" s="56">
        <v>29.128712</v>
      </c>
      <c r="U15" s="56">
        <v>12.063650000000001</v>
      </c>
      <c r="V15" s="56">
        <v>4.9444999999999997</v>
      </c>
      <c r="W15" s="56">
        <v>0.71033400000000002</v>
      </c>
      <c r="X15" s="56">
        <v>0</v>
      </c>
      <c r="Y15" s="56">
        <v>0.39</v>
      </c>
      <c r="Z15" s="14">
        <v>3.51872944531473</v>
      </c>
      <c r="AA15" s="55">
        <v>0.78900000000000003</v>
      </c>
      <c r="AB15" s="49">
        <v>3.5712349617297399</v>
      </c>
      <c r="AC15" s="44">
        <v>3.5713699258364802</v>
      </c>
    </row>
    <row r="16" spans="1:29" ht="15.75" x14ac:dyDescent="0.25">
      <c r="A16" s="13">
        <v>41365</v>
      </c>
      <c r="B16" s="14">
        <v>4.1484240687378904</v>
      </c>
      <c r="C16" s="14">
        <v>4.1529056348026501</v>
      </c>
      <c r="D16" s="14">
        <v>4.3764270426620504</v>
      </c>
      <c r="E16" s="14">
        <v>4.4085325011284802</v>
      </c>
      <c r="F16" s="14">
        <v>4.15877359890011</v>
      </c>
      <c r="G16" s="14">
        <v>4.1735123563116101</v>
      </c>
      <c r="H16" s="14">
        <v>4.3983177600115999</v>
      </c>
      <c r="I16" s="14">
        <v>4.1790239832917297</v>
      </c>
      <c r="J16" s="14">
        <v>4.1517735989001103</v>
      </c>
      <c r="K16" s="52"/>
      <c r="L16" s="14">
        <v>4.9853177600115997</v>
      </c>
      <c r="M16" s="14">
        <v>4.0847896384088997</v>
      </c>
      <c r="N16" s="14">
        <v>4.09926329400085</v>
      </c>
      <c r="O16" s="14">
        <v>4.3268992801176704</v>
      </c>
      <c r="P16" s="14">
        <v>4.1113948289032702</v>
      </c>
      <c r="Q16" s="14">
        <v>4.92159928011767</v>
      </c>
      <c r="R16" s="14">
        <v>5.5209032783179701</v>
      </c>
      <c r="S16" s="14">
        <v>3.9769278955951401</v>
      </c>
      <c r="T16" s="56">
        <v>29.897007500000001</v>
      </c>
      <c r="U16" s="56">
        <v>11.6745</v>
      </c>
      <c r="V16" s="56">
        <v>4.7850000000000001</v>
      </c>
      <c r="W16" s="56">
        <v>0.68742000000000003</v>
      </c>
      <c r="X16" s="56">
        <v>0.77903628000000003</v>
      </c>
      <c r="Y16" s="56">
        <v>0.4</v>
      </c>
      <c r="Z16" s="14">
        <v>4.09674472425296</v>
      </c>
      <c r="AA16" s="55">
        <v>0.78900000000000003</v>
      </c>
      <c r="AB16" s="49">
        <v>4.2271001079906796</v>
      </c>
      <c r="AC16" s="44">
        <v>4.1729811830449197</v>
      </c>
    </row>
    <row r="17" spans="1:29" ht="15.75" x14ac:dyDescent="0.25">
      <c r="A17" s="13">
        <v>41395</v>
      </c>
      <c r="B17" s="14">
        <v>4.3329812441523696</v>
      </c>
      <c r="C17" s="14">
        <v>4.3410072762624203</v>
      </c>
      <c r="D17" s="14">
        <v>4.5615906242399502</v>
      </c>
      <c r="E17" s="14">
        <v>4.5930548614354496</v>
      </c>
      <c r="F17" s="14">
        <v>4.3524466929221504</v>
      </c>
      <c r="G17" s="14">
        <v>4.3691468189663398</v>
      </c>
      <c r="H17" s="14">
        <v>4.5816875175305896</v>
      </c>
      <c r="I17" s="14">
        <v>4.36869293934142</v>
      </c>
      <c r="J17" s="14">
        <v>4.3454466929221498</v>
      </c>
      <c r="K17" s="52"/>
      <c r="L17" s="14">
        <v>5.1686875175305902</v>
      </c>
      <c r="M17" s="14">
        <v>4.2749791898098</v>
      </c>
      <c r="N17" s="14">
        <v>4.2913789354570904</v>
      </c>
      <c r="O17" s="14">
        <v>4.5069708181861499</v>
      </c>
      <c r="P17" s="14">
        <v>4.2976358181395602</v>
      </c>
      <c r="Q17" s="14">
        <v>5.1016708181861503</v>
      </c>
      <c r="R17" s="14">
        <v>5.7014249952316103</v>
      </c>
      <c r="S17" s="14">
        <v>4.1529278955951403</v>
      </c>
      <c r="T17" s="57">
        <v>31.3819585</v>
      </c>
      <c r="U17" s="56">
        <v>12.063650000000001</v>
      </c>
      <c r="V17" s="56">
        <v>4.9444999999999997</v>
      </c>
      <c r="W17" s="56">
        <v>0.71033400000000002</v>
      </c>
      <c r="X17" s="56">
        <v>0.80500415599999997</v>
      </c>
      <c r="Y17" s="56">
        <v>0.4</v>
      </c>
      <c r="Z17" s="14">
        <v>4.2804704151434398</v>
      </c>
      <c r="AA17" s="55">
        <v>0.78900000000000003</v>
      </c>
      <c r="AB17" s="49">
        <v>4.4132889274089298</v>
      </c>
      <c r="AC17" s="44">
        <v>4.3595139595638903</v>
      </c>
    </row>
    <row r="18" spans="1:29" ht="15.75" x14ac:dyDescent="0.25">
      <c r="A18" s="13">
        <v>41426</v>
      </c>
      <c r="B18" s="14">
        <v>4.32881848007702</v>
      </c>
      <c r="C18" s="14">
        <v>4.3368445121870796</v>
      </c>
      <c r="D18" s="14">
        <v>4.4403501205455003</v>
      </c>
      <c r="E18" s="14">
        <v>4.4718143577409899</v>
      </c>
      <c r="F18" s="14">
        <v>4.3429599926592797</v>
      </c>
      <c r="G18" s="14">
        <v>4.35962830355016</v>
      </c>
      <c r="H18" s="14">
        <v>4.4604470138361396</v>
      </c>
      <c r="I18" s="14">
        <v>4.3634731878015902</v>
      </c>
      <c r="J18" s="14">
        <v>4.33595999265928</v>
      </c>
      <c r="K18" s="52"/>
      <c r="L18" s="14">
        <v>5.0474470138361403</v>
      </c>
      <c r="M18" s="14">
        <v>4.2548110264488299</v>
      </c>
      <c r="N18" s="14">
        <v>4.2711378153734403</v>
      </c>
      <c r="O18" s="14">
        <v>4.3767473961214503</v>
      </c>
      <c r="P18" s="14">
        <v>4.2815661713651796</v>
      </c>
      <c r="Q18" s="14">
        <v>4.9714473961214498</v>
      </c>
      <c r="R18" s="14">
        <v>5.57087601461176</v>
      </c>
      <c r="S18" s="14">
        <v>4.1489278955951399</v>
      </c>
      <c r="T18" s="57">
        <v>30.856738499999999</v>
      </c>
      <c r="U18" s="56">
        <v>11.6745</v>
      </c>
      <c r="V18" s="56">
        <v>4.7850000000000001</v>
      </c>
      <c r="W18" s="56">
        <v>0.68742000000000003</v>
      </c>
      <c r="X18" s="56">
        <v>0.77903628000000003</v>
      </c>
      <c r="Y18" s="56">
        <v>0.4</v>
      </c>
      <c r="Z18" s="14">
        <v>4.2635819811618703</v>
      </c>
      <c r="AA18" s="55">
        <v>0.78900000000000003</v>
      </c>
      <c r="AB18" s="49">
        <v>4.3736763494942696</v>
      </c>
      <c r="AC18" s="44">
        <v>4.30270998477351</v>
      </c>
    </row>
    <row r="19" spans="1:29" ht="15.75" x14ac:dyDescent="0.25">
      <c r="A19" s="13">
        <v>41456</v>
      </c>
      <c r="B19" s="14">
        <f>CHOOSE(CONTROL!$C$42, 4.1654, 4.1654) * CHOOSE(CONTROL!$C$21, $C$9, 100%, $E$9)</f>
        <v>4.1654</v>
      </c>
      <c r="C19" s="14">
        <f>CHOOSE(CONTROL!$C$42, 4.1735, 4.1735) * CHOOSE(CONTROL!$C$21, $C$9, 100%, $E$9)</f>
        <v>4.1734999999999998</v>
      </c>
      <c r="D19" s="14">
        <f>CHOOSE(CONTROL!$C$42, 4.3784, 4.3784) * CHOOSE(CONTROL!$C$21, $C$9, 100%, $E$9)</f>
        <v>4.3784000000000001</v>
      </c>
      <c r="E19" s="14">
        <f>CHOOSE(CONTROL!$C$42, 4.4099, 4.4099) * CHOOSE(CONTROL!$C$21, $C$9, 100%, $E$9)</f>
        <v>4.4099000000000004</v>
      </c>
      <c r="F19" s="14">
        <f>CHOOSE(CONTROL!$C$42, 4.1793, 4.1793)*CHOOSE(CONTROL!$C$21, $C$9, 100%, $E$9)</f>
        <v>4.1792999999999996</v>
      </c>
      <c r="G19" s="14">
        <f>CHOOSE(CONTROL!$C$42, 4.1959, 4.1959)*CHOOSE(CONTROL!$C$21, $C$9, 100%, $E$9)</f>
        <v>4.1959</v>
      </c>
      <c r="H19" s="14">
        <f>CHOOSE(CONTROL!$C$42, 4.3985, 4.3985) * CHOOSE(CONTROL!$C$21, $C$9, 100%, $E$9)</f>
        <v>4.3985000000000003</v>
      </c>
      <c r="I19" s="14">
        <f>CHOOSE(CONTROL!$C$42, 4.2022, 4.2022)* CHOOSE(CONTROL!$C$21, $C$9, 100%, $E$9)</f>
        <v>4.2022000000000004</v>
      </c>
      <c r="J19" s="14">
        <f>CHOOSE(CONTROL!$C$42, 4.1723, 4.1723)* CHOOSE(CONTROL!$C$21, $C$9, 100%, $E$9)</f>
        <v>4.1722999999999999</v>
      </c>
      <c r="K19" s="52"/>
      <c r="L19" s="14">
        <f>CHOOSE(CONTROL!$C$42, 4.9855, 4.9855) * CHOOSE(CONTROL!$C$21, $C$9, 100%, $E$9)</f>
        <v>4.9855</v>
      </c>
      <c r="M19" s="14">
        <f>CHOOSE(CONTROL!$C$42, 4.0945, 4.0945) * CHOOSE(CONTROL!$C$21, $C$9, 100%, $E$9)</f>
        <v>4.0945</v>
      </c>
      <c r="N19" s="14">
        <f>CHOOSE(CONTROL!$C$42, 4.1108, 4.1108) * CHOOSE(CONTROL!$C$21, $C$9, 100%, $E$9)</f>
        <v>4.1108000000000002</v>
      </c>
      <c r="O19" s="14">
        <f>CHOOSE(CONTROL!$C$42, 4.3161, 4.3161) * CHOOSE(CONTROL!$C$21, $C$9, 100%, $E$9)</f>
        <v>4.3160999999999996</v>
      </c>
      <c r="P19" s="14">
        <f>CHOOSE(CONTROL!$C$42, 4.1236, 4.1236) * CHOOSE(CONTROL!$C$21, $C$9, 100%, $E$9)</f>
        <v>4.1235999999999997</v>
      </c>
      <c r="Q19" s="14">
        <f>CHOOSE(CONTROL!$C$42, 4.9108, 4.9108) * CHOOSE(CONTROL!$C$21, $C$9, 100%, $E$9)</f>
        <v>4.9108000000000001</v>
      </c>
      <c r="R19" s="14">
        <f>CHOOSE(CONTROL!$C$42, 5.5101, 5.5101) * CHOOSE(CONTROL!$C$21, $C$9, 100%, $E$9)</f>
        <v>5.5101000000000004</v>
      </c>
      <c r="S19" s="14">
        <f>CHOOSE(CONTROL!$C$42, 3.9919, 3.9919) * CHOOSE(CONTROL!$C$21, $C$9, 100%, $E$9)</f>
        <v>3.9918999999999998</v>
      </c>
      <c r="T19" s="57">
        <f>((((430000*CHOOSE(CONTROL!$C$42, 0.4694, 0.4694)+(874000-430000)*CHOOSE(CONTROL!$C$42, 0.7185, 0.7185)+400000*CHOOSE(CONTROL!$C$42, 1.14, 1.14)+30000*0.98)*CHOOSE(CONTROL!$C$42, 31, 31))/1000000))+CHOOSE(CONTROL!$C$42, 0.1555, 0.1555)+CHOOSE(CONTROL!$C$42, 0.5217, 0.5217)</f>
        <v>31.871136</v>
      </c>
      <c r="U19" s="56">
        <f>(1000*CHOOSE(CONTROL!$C$42, 695, 695)*CHOOSE(CONTROL!$C$42, 0.5599, 0.5599)*CHOOSE(CONTROL!$C$42, 31, 31))/1000000</f>
        <v>12.063045499999998</v>
      </c>
      <c r="V19" s="56">
        <f>(1000*CHOOSE(CONTROL!$C$42, 580, 580)*CHOOSE(CONTROL!$C$42, 0.275, 0.275)*CHOOSE(CONTROL!$C$42, 31, 31))/1000000</f>
        <v>4.9444999999999997</v>
      </c>
      <c r="W19" s="56">
        <f>(1000*CHOOSE(CONTROL!$C$42, 0.1146, 0.1146)*CHOOSE(CONTROL!$C$42, 200, 200)*CHOOSE(CONTROL!$C$42, 31, 31))/1000000</f>
        <v>0.71052000000000004</v>
      </c>
      <c r="X19" s="56">
        <f>31*0.1790888*145000/1000000</f>
        <v>0.80500415599999997</v>
      </c>
      <c r="Y19" s="56">
        <f t="shared" ref="Y19:Y27" si="0">(0.16*2500000)/1000000</f>
        <v>0.4</v>
      </c>
      <c r="Z19" s="14">
        <f>CHOOSE(CONTROL!$C$42, 4.1141, 4.1141) * CHOOSE(CONTROL!$C$21, $C$9, 100%, $E$9)</f>
        <v>4.1140999999999996</v>
      </c>
      <c r="AA19" s="55">
        <f>(131500*31*(6/31))/1000000</f>
        <v>0.78900000000000003</v>
      </c>
      <c r="AB19" s="49">
        <f>(B19*194.205+C19*267.466+D19*133.845+E19*213.484+F19*40+G19*25+H19*30+I19*100+J19*300)/(194.205+267.466+133.845+213.484+30+40+25+100+300)</f>
        <v>4.2397357343558282</v>
      </c>
      <c r="AC19" s="44">
        <f>(M19*240+N19*120+O19*235+P19*100)/(240+120+235+100)</f>
        <v>4.1764309352517985</v>
      </c>
    </row>
    <row r="20" spans="1:29" ht="15.75" x14ac:dyDescent="0.25">
      <c r="A20" s="13">
        <v>41487</v>
      </c>
      <c r="B20" s="14">
        <f>CHOOSE(CONTROL!$C$42, 4.1842, 4.1842) * CHOOSE(CONTROL!$C$21, $C$9, 100%, $E$9)</f>
        <v>4.1841999999999997</v>
      </c>
      <c r="C20" s="14">
        <f>CHOOSE(CONTROL!$C$42, 4.1922, 4.1922) * CHOOSE(CONTROL!$C$21, $C$9, 100%, $E$9)</f>
        <v>4.1921999999999997</v>
      </c>
      <c r="D20" s="14">
        <f>CHOOSE(CONTROL!$C$42, 4.4064, 4.4064) * CHOOSE(CONTROL!$C$21, $C$9, 100%, $E$9)</f>
        <v>4.4063999999999997</v>
      </c>
      <c r="E20" s="14">
        <f>CHOOSE(CONTROL!$C$42, 4.4379, 4.4379) * CHOOSE(CONTROL!$C$21, $C$9, 100%, $E$9)</f>
        <v>4.4379</v>
      </c>
      <c r="F20" s="14">
        <f>CHOOSE(CONTROL!$C$42, 4.1888, 4.1888)*CHOOSE(CONTROL!$C$21, $C$9, 100%, $E$9)</f>
        <v>4.1887999999999996</v>
      </c>
      <c r="G20" s="14">
        <f>CHOOSE(CONTROL!$C$42, 4.2054, 4.2054)*CHOOSE(CONTROL!$C$21, $C$9, 100%, $E$9)</f>
        <v>4.2054</v>
      </c>
      <c r="H20" s="14">
        <f>CHOOSE(CONTROL!$C$42, 4.4265, 4.4265) * CHOOSE(CONTROL!$C$21, $C$9, 100%, $E$9)</f>
        <v>4.4264999999999999</v>
      </c>
      <c r="I20" s="14">
        <f>CHOOSE(CONTROL!$C$42, 4.2178, 4.2178)* CHOOSE(CONTROL!$C$21, $C$9, 100%, $E$9)</f>
        <v>4.2178000000000004</v>
      </c>
      <c r="J20" s="14">
        <f>CHOOSE(CONTROL!$C$42, 4.1818, 4.1818)* CHOOSE(CONTROL!$C$21, $C$9, 100%, $E$9)</f>
        <v>4.1818</v>
      </c>
      <c r="K20" s="52"/>
      <c r="L20" s="14">
        <f>CHOOSE(CONTROL!$C$42, 5.0135, 5.0135) * CHOOSE(CONTROL!$C$21, $C$9, 100%, $E$9)</f>
        <v>5.0134999999999996</v>
      </c>
      <c r="M20" s="14">
        <f>CHOOSE(CONTROL!$C$42, 4.1038, 4.1038) * CHOOSE(CONTROL!$C$21, $C$9, 100%, $E$9)</f>
        <v>4.1037999999999997</v>
      </c>
      <c r="N20" s="14">
        <f>CHOOSE(CONTROL!$C$42, 4.1201, 4.1201) * CHOOSE(CONTROL!$C$21, $C$9, 100%, $E$9)</f>
        <v>4.1200999999999999</v>
      </c>
      <c r="O20" s="14">
        <f>CHOOSE(CONTROL!$C$42, 4.3435, 4.3435) * CHOOSE(CONTROL!$C$21, $C$9, 100%, $E$9)</f>
        <v>4.3434999999999997</v>
      </c>
      <c r="P20" s="14">
        <f>CHOOSE(CONTROL!$C$42, 4.1389, 4.1389) * CHOOSE(CONTROL!$C$21, $C$9, 100%, $E$9)</f>
        <v>4.1388999999999996</v>
      </c>
      <c r="Q20" s="14">
        <f>CHOOSE(CONTROL!$C$42, 4.9382, 4.9382) * CHOOSE(CONTROL!$C$21, $C$9, 100%, $E$9)</f>
        <v>4.9382000000000001</v>
      </c>
      <c r="R20" s="14">
        <f>CHOOSE(CONTROL!$C$42, 5.5376, 5.5376) * CHOOSE(CONTROL!$C$21, $C$9, 100%, $E$9)</f>
        <v>5.5376000000000003</v>
      </c>
      <c r="S20" s="14">
        <f>CHOOSE(CONTROL!$C$42, 4.0099, 4.0099) * CHOOSE(CONTROL!$C$21, $C$9, 100%, $E$9)</f>
        <v>4.0099</v>
      </c>
      <c r="T20" s="57">
        <f>((((430000*CHOOSE(CONTROL!$C$42, 0.4694, 0.4694)+(874000-430000)*CHOOSE(CONTROL!$C$42, 0.7185, 0.7185)+400000*CHOOSE(CONTROL!$C$42, 1.14, 1.14)+30000*0.98)*CHOOSE(CONTROL!$C$42, 31, 31))/1000000))+CHOOSE(CONTROL!$C$42, 0.1911, 0.1911)+CHOOSE(CONTROL!$C$42, 0.5131, 0.5131)</f>
        <v>31.898136000000001</v>
      </c>
      <c r="U20" s="56">
        <f>(1000*CHOOSE(CONTROL!$C$42, 695, 695)*CHOOSE(CONTROL!$C$42, 0.5599, 0.5599)*CHOOSE(CONTROL!$C$42, 31, 31))/1000000</f>
        <v>12.063045499999998</v>
      </c>
      <c r="V20" s="56">
        <f>(1000*CHOOSE(CONTROL!$C$42, 580, 580)*CHOOSE(CONTROL!$C$42, 0.275, 0.275)*CHOOSE(CONTROL!$C$42, 31, 31))/1000000</f>
        <v>4.9444999999999997</v>
      </c>
      <c r="W20" s="56">
        <f>(1000*CHOOSE(CONTROL!$C$42, 0.1146, 0.1146)*CHOOSE(CONTROL!$C$42, 200, 200)*CHOOSE(CONTROL!$C$42, 31, 31))/1000000</f>
        <v>0.71052000000000004</v>
      </c>
      <c r="X20" s="56">
        <f>31*0.1790888*145000/1000000</f>
        <v>0.80500415599999997</v>
      </c>
      <c r="Y20" s="56">
        <f t="shared" si="0"/>
        <v>0.4</v>
      </c>
      <c r="Z20" s="14">
        <f>CHOOSE(CONTROL!$C$42, 4.1315, 4.1315) * CHOOSE(CONTROL!$C$21, $C$9, 100%, $E$9)</f>
        <v>4.1315</v>
      </c>
      <c r="AA20" s="55">
        <f>(131500*31*(6/31))/1000000</f>
        <v>0.78900000000000003</v>
      </c>
      <c r="AB20" s="49">
        <f>(B20*194.205+C20*267.466+D20*133.845+E20*213.484+F20*40+G20*25+H20*30+I20*100+J20*300)/(194.205+267.466+133.845+213.484+30+40+25+100+300)</f>
        <v>4.2583288173312877</v>
      </c>
      <c r="AC20" s="44">
        <f>(M20*240+N20*120+O20*235+P20*100)/(240+120+235+100)</f>
        <v>4.1927143884892084</v>
      </c>
    </row>
    <row r="21" spans="1:29" ht="15.75" x14ac:dyDescent="0.25">
      <c r="A21" s="13">
        <v>41518</v>
      </c>
      <c r="B21" s="14">
        <f>CHOOSE(CONTROL!$C$42, 4.1746, 4.1746) * CHOOSE(CONTROL!$C$21, $C$9, 100%, $E$9)</f>
        <v>4.1745999999999999</v>
      </c>
      <c r="C21" s="14">
        <f>CHOOSE(CONTROL!$C$42, 4.1826, 4.1826) * CHOOSE(CONTROL!$C$21, $C$9, 100%, $E$9)</f>
        <v>4.1825999999999999</v>
      </c>
      <c r="D21" s="14">
        <f>CHOOSE(CONTROL!$C$42, 4.3428, 4.3428) * CHOOSE(CONTROL!$C$21, $C$9, 100%, $E$9)</f>
        <v>4.3428000000000004</v>
      </c>
      <c r="E21" s="14">
        <f>CHOOSE(CONTROL!$C$42, 4.3743, 4.3743) * CHOOSE(CONTROL!$C$21, $C$9, 100%, $E$9)</f>
        <v>4.3742999999999999</v>
      </c>
      <c r="F21" s="14">
        <f>CHOOSE(CONTROL!$C$42, 4.1929, 4.1929)*CHOOSE(CONTROL!$C$21, $C$9, 100%, $E$9)</f>
        <v>4.1928999999999998</v>
      </c>
      <c r="G21" s="14">
        <f>CHOOSE(CONTROL!$C$42, 4.2096, 4.2096)*CHOOSE(CONTROL!$C$21, $C$9, 100%, $E$9)</f>
        <v>4.2096</v>
      </c>
      <c r="H21" s="14">
        <f>CHOOSE(CONTROL!$C$42, 4.3629, 4.3629) * CHOOSE(CONTROL!$C$21, $C$9, 100%, $E$9)</f>
        <v>4.3628999999999998</v>
      </c>
      <c r="I21" s="14">
        <f>CHOOSE(CONTROL!$C$42, 4.192, 4.192)* CHOOSE(CONTROL!$C$21, $C$9, 100%, $E$9)</f>
        <v>4.1920000000000002</v>
      </c>
      <c r="J21" s="14">
        <f>CHOOSE(CONTROL!$C$42, 4.1859, 4.1859)* CHOOSE(CONTROL!$C$21, $C$9, 100%, $E$9)</f>
        <v>4.1859000000000002</v>
      </c>
      <c r="K21" s="52"/>
      <c r="L21" s="14">
        <f>CHOOSE(CONTROL!$C$42, 4.9499, 4.9499) * CHOOSE(CONTROL!$C$21, $C$9, 100%, $E$9)</f>
        <v>4.9499000000000004</v>
      </c>
      <c r="M21" s="14">
        <f>CHOOSE(CONTROL!$C$42, 4.1078, 4.1078) * CHOOSE(CONTROL!$C$21, $C$9, 100%, $E$9)</f>
        <v>4.1078000000000001</v>
      </c>
      <c r="N21" s="14">
        <f>CHOOSE(CONTROL!$C$42, 4.1241, 4.1241) * CHOOSE(CONTROL!$C$21, $C$9, 100%, $E$9)</f>
        <v>4.1241000000000003</v>
      </c>
      <c r="O21" s="14">
        <f>CHOOSE(CONTROL!$C$42, 4.2812, 4.2812) * CHOOSE(CONTROL!$C$21, $C$9, 100%, $E$9)</f>
        <v>4.2812000000000001</v>
      </c>
      <c r="P21" s="14">
        <f>CHOOSE(CONTROL!$C$42, 4.1137, 4.1137) * CHOOSE(CONTROL!$C$21, $C$9, 100%, $E$9)</f>
        <v>4.1136999999999997</v>
      </c>
      <c r="Q21" s="14">
        <f>CHOOSE(CONTROL!$C$42, 4.8759, 4.8759) * CHOOSE(CONTROL!$C$21, $C$9, 100%, $E$9)</f>
        <v>4.8758999999999997</v>
      </c>
      <c r="R21" s="14">
        <f>CHOOSE(CONTROL!$C$42, 5.4751, 5.4751) * CHOOSE(CONTROL!$C$21, $C$9, 100%, $E$9)</f>
        <v>5.4751000000000003</v>
      </c>
      <c r="S21" s="14">
        <f>CHOOSE(CONTROL!$C$42, 4.0007, 4.0007) * CHOOSE(CONTROL!$C$21, $C$9, 100%, $E$9)</f>
        <v>4.0007000000000001</v>
      </c>
      <c r="T21" s="57">
        <f>((((430000*CHOOSE(CONTROL!$C$42, 0.4694, 0.4694)+(874000-430000)*CHOOSE(CONTROL!$C$42, 0.7185, 0.7185)+400000*CHOOSE(CONTROL!$C$42, 1.14, 1.14)+30000*0.98)*CHOOSE(CONTROL!$C$42, 30, 30))/1000000))+CHOOSE(CONTROL!$C$42, 0.1717, 0.1717)+CHOOSE(CONTROL!$C$42, 0.4923, 0.4923)</f>
        <v>30.851680000000002</v>
      </c>
      <c r="U21" s="56">
        <f>(1000*CHOOSE(CONTROL!$C$42, 695, 695)*CHOOSE(CONTROL!$C$42, 0.5599, 0.5599)*CHOOSE(CONTROL!$C$42, 30, 30))/1000000</f>
        <v>11.673914999999997</v>
      </c>
      <c r="V21" s="56">
        <f>(1000*CHOOSE(CONTROL!$C$42, 580, 580)*CHOOSE(CONTROL!$C$42, 0.275, 0.275)*CHOOSE(CONTROL!$C$42, 30, 30))/1000000</f>
        <v>4.7850000000000001</v>
      </c>
      <c r="W21" s="56">
        <f>(1000*CHOOSE(CONTROL!$C$42, 0.1146, 0.1146)*CHOOSE(CONTROL!$C$42, 200, 200)*CHOOSE(CONTROL!$C$42, 30, 30))/1000000</f>
        <v>0.68759999999999999</v>
      </c>
      <c r="X21" s="56">
        <f>30*0.1790888*145000/1000000</f>
        <v>0.77903627999999991</v>
      </c>
      <c r="Y21" s="56">
        <f t="shared" si="0"/>
        <v>0.4</v>
      </c>
      <c r="Z21" s="14">
        <f>CHOOSE(CONTROL!$C$42, 4.1216, 4.1216) * CHOOSE(CONTROL!$C$21, $C$9, 100%, $E$9)</f>
        <v>4.1215999999999999</v>
      </c>
      <c r="AA21" s="55">
        <f>(131500*30*(6/30))/1000000</f>
        <v>0.78900000000000003</v>
      </c>
      <c r="AB21" s="49">
        <f>(B21*194.205+C21*267.466+D21*133.845+E21*213.484+F21*40+G21*25+H21*30+I21*100+J21*300)/(194.205+267.466+133.845+213.484+30+40+25+100+300)</f>
        <v>4.2356975550613498</v>
      </c>
      <c r="AC21" s="44">
        <f>(M21*240+N21*120+O21*235+P21*100)/(240+120+235+100)</f>
        <v>4.1700949640287766</v>
      </c>
    </row>
    <row r="22" spans="1:29" ht="15.75" x14ac:dyDescent="0.25">
      <c r="A22" s="13">
        <v>41548</v>
      </c>
      <c r="B22" s="14">
        <f>CHOOSE(CONTROL!$C$42, 4.1853, 4.1853) * CHOOSE(CONTROL!$C$21, $C$9, 100%, $E$9)</f>
        <v>4.1852999999999998</v>
      </c>
      <c r="C22" s="14">
        <f>CHOOSE(CONTROL!$C$42, 4.1906, 4.1906) * CHOOSE(CONTROL!$C$21, $C$9, 100%, $E$9)</f>
        <v>4.1905999999999999</v>
      </c>
      <c r="D22" s="14">
        <f>CHOOSE(CONTROL!$C$42, 4.3528, 4.3528) * CHOOSE(CONTROL!$C$21, $C$9, 100%, $E$9)</f>
        <v>4.3528000000000002</v>
      </c>
      <c r="E22" s="14">
        <f>CHOOSE(CONTROL!$C$42, 4.3819, 4.3819) * CHOOSE(CONTROL!$C$21, $C$9, 100%, $E$9)</f>
        <v>4.3818999999999999</v>
      </c>
      <c r="F22" s="14">
        <f>CHOOSE(CONTROL!$C$42, 4.2063, 4.2063)*CHOOSE(CONTROL!$C$21, $C$9, 100%, $E$9)</f>
        <v>4.2062999999999997</v>
      </c>
      <c r="G22" s="14">
        <f>CHOOSE(CONTROL!$C$42, 4.2228, 4.2228)*CHOOSE(CONTROL!$C$21, $C$9, 100%, $E$9)</f>
        <v>4.2228000000000003</v>
      </c>
      <c r="H22" s="14">
        <f>CHOOSE(CONTROL!$C$42, 4.3724, 4.3724) * CHOOSE(CONTROL!$C$21, $C$9, 100%, $E$9)</f>
        <v>4.3723999999999998</v>
      </c>
      <c r="I22" s="14">
        <f>CHOOSE(CONTROL!$C$42, 4.2046, 4.2046)* CHOOSE(CONTROL!$C$21, $C$9, 100%, $E$9)</f>
        <v>4.2046000000000001</v>
      </c>
      <c r="J22" s="14">
        <f>CHOOSE(CONTROL!$C$42, 4.1993, 4.1993)* CHOOSE(CONTROL!$C$21, $C$9, 100%, $E$9)</f>
        <v>4.1993</v>
      </c>
      <c r="K22" s="52"/>
      <c r="L22" s="14">
        <f>CHOOSE(CONTROL!$C$42, 4.9594, 4.9594) * CHOOSE(CONTROL!$C$21, $C$9, 100%, $E$9)</f>
        <v>4.9593999999999996</v>
      </c>
      <c r="M22" s="14">
        <f>CHOOSE(CONTROL!$C$42, 4.121, 4.121) * CHOOSE(CONTROL!$C$21, $C$9, 100%, $E$9)</f>
        <v>4.1210000000000004</v>
      </c>
      <c r="N22" s="14">
        <f>CHOOSE(CONTROL!$C$42, 4.1371, 4.1371) * CHOOSE(CONTROL!$C$21, $C$9, 100%, $E$9)</f>
        <v>4.1371000000000002</v>
      </c>
      <c r="O22" s="14">
        <f>CHOOSE(CONTROL!$C$42, 4.2905, 4.2905) * CHOOSE(CONTROL!$C$21, $C$9, 100%, $E$9)</f>
        <v>4.2904999999999998</v>
      </c>
      <c r="P22" s="14">
        <f>CHOOSE(CONTROL!$C$42, 4.1259, 4.1259) * CHOOSE(CONTROL!$C$21, $C$9, 100%, $E$9)</f>
        <v>4.1258999999999997</v>
      </c>
      <c r="Q22" s="14">
        <f>CHOOSE(CONTROL!$C$42, 4.8852, 4.8852) * CHOOSE(CONTROL!$C$21, $C$9, 100%, $E$9)</f>
        <v>4.8852000000000002</v>
      </c>
      <c r="R22" s="14">
        <f>CHOOSE(CONTROL!$C$42, 5.4844, 5.4844) * CHOOSE(CONTROL!$C$21, $C$9, 100%, $E$9)</f>
        <v>5.4843999999999999</v>
      </c>
      <c r="S22" s="14">
        <f>CHOOSE(CONTROL!$C$42, 4.0127, 4.0127) * CHOOSE(CONTROL!$C$21, $C$9, 100%, $E$9)</f>
        <v>4.0126999999999997</v>
      </c>
      <c r="T2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2" s="56">
        <f>(1000*CHOOSE(CONTROL!$C$42, 695, 695)*CHOOSE(CONTROL!$C$42, 0.5599, 0.5599)*CHOOSE(CONTROL!$C$42, 31, 31))/1000000</f>
        <v>12.063045499999998</v>
      </c>
      <c r="V22" s="56">
        <f>(1000*CHOOSE(CONTROL!$C$42, 580, 580)*CHOOSE(CONTROL!$C$42, 0.275, 0.275)*CHOOSE(CONTROL!$C$42, 31, 31))/1000000</f>
        <v>4.9444999999999997</v>
      </c>
      <c r="W22" s="56">
        <f>(1000*CHOOSE(CONTROL!$C$42, 0.1146, 0.1146)*CHOOSE(CONTROL!$C$42, 200, 200)*CHOOSE(CONTROL!$C$42, 31, 31))/1000000</f>
        <v>0.71052000000000004</v>
      </c>
      <c r="X22" s="56">
        <f>31*0.1790888*145000/1000000</f>
        <v>0.80500415599999997</v>
      </c>
      <c r="Y22" s="56">
        <f t="shared" si="0"/>
        <v>0.4</v>
      </c>
      <c r="Z22" s="14">
        <f>CHOOSE(CONTROL!$C$42, 4.1339, 4.1339) * CHOOSE(CONTROL!$C$21, $C$9, 100%, $E$9)</f>
        <v>4.1338999999999997</v>
      </c>
      <c r="AA22" s="55">
        <f>(131500*31*(6/31))/1000000</f>
        <v>0.78900000000000003</v>
      </c>
      <c r="AB22" s="49">
        <f>(B22*131.881+C22*277.167+D22*79.08+E22*285.872+F22*40+G22*25+H22*0+I22*100+J22*300)/(131.881+277.167+79.08+285.872+0+40+25+100+300)</f>
        <v>4.2489197096852305</v>
      </c>
      <c r="AC22" s="44">
        <f>(M22*240+N22*120+O22*235+P22*100)/(240+120+235+100)</f>
        <v>4.1817978417266195</v>
      </c>
    </row>
    <row r="23" spans="1:29" ht="15.75" x14ac:dyDescent="0.25">
      <c r="A23" s="13">
        <v>41579</v>
      </c>
      <c r="B23" s="14">
        <f>CHOOSE(CONTROL!$C$42, 4.2567, 4.2567) * CHOOSE(CONTROL!$C$21, $C$9, 100%, $E$9)</f>
        <v>4.2567000000000004</v>
      </c>
      <c r="C23" s="14">
        <f>CHOOSE(CONTROL!$C$42, 4.2617, 4.2617) * CHOOSE(CONTROL!$C$21, $C$9, 100%, $E$9)</f>
        <v>4.2617000000000003</v>
      </c>
      <c r="D23" s="14">
        <f>CHOOSE(CONTROL!$C$42, 4.3412, 4.3412) * CHOOSE(CONTROL!$C$21, $C$9, 100%, $E$9)</f>
        <v>4.3411999999999997</v>
      </c>
      <c r="E23" s="14">
        <f>CHOOSE(CONTROL!$C$42, 4.3753, 4.3753) * CHOOSE(CONTROL!$C$21, $C$9, 100%, $E$9)</f>
        <v>4.3753000000000002</v>
      </c>
      <c r="F23" s="14">
        <f>CHOOSE(CONTROL!$C$42, 4.2766, 4.2766)*CHOOSE(CONTROL!$C$21, $C$9, 100%, $E$9)</f>
        <v>4.2766000000000002</v>
      </c>
      <c r="G23" s="14">
        <f>CHOOSE(CONTROL!$C$42, 4.2933, 4.2933)*CHOOSE(CONTROL!$C$21, $C$9, 100%, $E$9)</f>
        <v>4.2933000000000003</v>
      </c>
      <c r="H23" s="14">
        <f>CHOOSE(CONTROL!$C$42, 4.3645, 4.3645) * CHOOSE(CONTROL!$C$21, $C$9, 100%, $E$9)</f>
        <v>4.3644999999999996</v>
      </c>
      <c r="I23" s="14">
        <f>CHOOSE(CONTROL!$C$42, 4.3053, 4.3053)* CHOOSE(CONTROL!$C$21, $C$9, 100%, $E$9)</f>
        <v>4.3052999999999999</v>
      </c>
      <c r="J23" s="14">
        <f>CHOOSE(CONTROL!$C$42, 4.2696, 4.2696)* CHOOSE(CONTROL!$C$21, $C$9, 100%, $E$9)</f>
        <v>4.2695999999999996</v>
      </c>
      <c r="K23" s="52"/>
      <c r="L23" s="14">
        <f>CHOOSE(CONTROL!$C$42, 4.9515, 4.9515) * CHOOSE(CONTROL!$C$21, $C$9, 100%, $E$9)</f>
        <v>4.9515000000000002</v>
      </c>
      <c r="M23" s="14">
        <f>CHOOSE(CONTROL!$C$42, 4.1898, 4.1898) * CHOOSE(CONTROL!$C$21, $C$9, 100%, $E$9)</f>
        <v>4.1898</v>
      </c>
      <c r="N23" s="14">
        <f>CHOOSE(CONTROL!$C$42, 4.2061, 4.2061) * CHOOSE(CONTROL!$C$21, $C$9, 100%, $E$9)</f>
        <v>4.2061000000000002</v>
      </c>
      <c r="O23" s="14">
        <f>CHOOSE(CONTROL!$C$42, 4.2827, 4.2827) * CHOOSE(CONTROL!$C$21, $C$9, 100%, $E$9)</f>
        <v>4.2827000000000002</v>
      </c>
      <c r="P23" s="14">
        <f>CHOOSE(CONTROL!$C$42, 4.2246, 4.2246) * CHOOSE(CONTROL!$C$21, $C$9, 100%, $E$9)</f>
        <v>4.2245999999999997</v>
      </c>
      <c r="Q23" s="14">
        <f>CHOOSE(CONTROL!$C$42, 4.8774, 4.8774) * CHOOSE(CONTROL!$C$21, $C$9, 100%, $E$9)</f>
        <v>4.8773999999999997</v>
      </c>
      <c r="R23" s="14">
        <f>CHOOSE(CONTROL!$C$42, 5.4766, 5.4766) * CHOOSE(CONTROL!$C$21, $C$9, 100%, $E$9)</f>
        <v>5.4766000000000004</v>
      </c>
      <c r="S23" s="14">
        <f>CHOOSE(CONTROL!$C$42, 4.0817, 4.0817) * CHOOSE(CONTROL!$C$21, $C$9, 100%, $E$9)</f>
        <v>4.0816999999999997</v>
      </c>
      <c r="T2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3" s="56">
        <f>(1000*CHOOSE(CONTROL!$C$42, 695, 695)*CHOOSE(CONTROL!$C$42, 0.5599, 0.5599)*CHOOSE(CONTROL!$C$42, 30, 30))/1000000</f>
        <v>11.673914999999997</v>
      </c>
      <c r="V23" s="56">
        <f>(1000*CHOOSE(CONTROL!$C$42, 580, 580)*CHOOSE(CONTROL!$C$42, 0.275, 0.275)*CHOOSE(CONTROL!$C$42, 30, 30))/1000000</f>
        <v>4.7850000000000001</v>
      </c>
      <c r="W23" s="56">
        <f>(1000*CHOOSE(CONTROL!$C$42, 0.1146, 0.1146)*CHOOSE(CONTROL!$C$42, 200, 200)*CHOOSE(CONTROL!$C$42, 30, 30))/1000000</f>
        <v>0.68759999999999999</v>
      </c>
      <c r="X23" s="56">
        <v>0</v>
      </c>
      <c r="Y23" s="56">
        <f t="shared" si="0"/>
        <v>0.4</v>
      </c>
      <c r="Z23" s="14">
        <f>CHOOSE(CONTROL!$C$42, 4.2091, 4.2091) * CHOOSE(CONTROL!$C$21, $C$9, 100%, $E$9)</f>
        <v>4.2091000000000003</v>
      </c>
      <c r="AA23" s="55">
        <f>(131500*30*(6/30))/1000000</f>
        <v>0.78900000000000003</v>
      </c>
      <c r="AB23" s="49">
        <f>(B23*122.58+C23*297.941+D23*89.177+E23*200.302+F23*40+G23*0+H23*0+I23*100+J23*300)/(122.58+297.941+89.177+200.302+0+40+0+100+300)</f>
        <v>4.2934886771304344</v>
      </c>
      <c r="AC23" s="44">
        <f>(M23*240+N23*0+O23*355+P23*100)/(240+0+355+100)</f>
        <v>4.2422597122302159</v>
      </c>
    </row>
    <row r="24" spans="1:29" ht="15.75" x14ac:dyDescent="0.25">
      <c r="A24" s="13">
        <v>41609</v>
      </c>
      <c r="B24" s="14">
        <f>CHOOSE(CONTROL!$C$42, 4.4149, 4.4149) * CHOOSE(CONTROL!$C$21, $C$9, 100%, $E$9)</f>
        <v>4.4149000000000003</v>
      </c>
      <c r="C24" s="14">
        <f>CHOOSE(CONTROL!$C$42, 4.4199, 4.4199) * CHOOSE(CONTROL!$C$21, $C$9, 100%, $E$9)</f>
        <v>4.4199000000000002</v>
      </c>
      <c r="D24" s="14">
        <f>CHOOSE(CONTROL!$C$42, 4.4994, 4.4994) * CHOOSE(CONTROL!$C$21, $C$9, 100%, $E$9)</f>
        <v>4.4993999999999996</v>
      </c>
      <c r="E24" s="14">
        <f>CHOOSE(CONTROL!$C$42, 4.5335, 4.5335) * CHOOSE(CONTROL!$C$21, $C$9, 100%, $E$9)</f>
        <v>4.5335000000000001</v>
      </c>
      <c r="F24" s="14">
        <f>CHOOSE(CONTROL!$C$42, 4.4368, 4.4368)*CHOOSE(CONTROL!$C$21, $C$9, 100%, $E$9)</f>
        <v>4.4367999999999999</v>
      </c>
      <c r="G24" s="14">
        <f>CHOOSE(CONTROL!$C$42, 4.454, 4.454)*CHOOSE(CONTROL!$C$21, $C$9, 100%, $E$9)</f>
        <v>4.4539999999999997</v>
      </c>
      <c r="H24" s="14">
        <f>CHOOSE(CONTROL!$C$42, 4.5227, 4.5227) * CHOOSE(CONTROL!$C$21, $C$9, 100%, $E$9)</f>
        <v>4.5227000000000004</v>
      </c>
      <c r="I24" s="14">
        <f>CHOOSE(CONTROL!$C$42, 4.464, 4.464)* CHOOSE(CONTROL!$C$21, $C$9, 100%, $E$9)</f>
        <v>4.4640000000000004</v>
      </c>
      <c r="J24" s="14">
        <f>CHOOSE(CONTROL!$C$42, 4.4298, 4.4298)* CHOOSE(CONTROL!$C$21, $C$9, 100%, $E$9)</f>
        <v>4.4298000000000002</v>
      </c>
      <c r="K24" s="52"/>
      <c r="L24" s="14">
        <f>CHOOSE(CONTROL!$C$42, 5.1097, 5.1097) * CHOOSE(CONTROL!$C$21, $C$9, 100%, $E$9)</f>
        <v>5.1097000000000001</v>
      </c>
      <c r="M24" s="14">
        <f>CHOOSE(CONTROL!$C$42, 4.3467, 4.3467) * CHOOSE(CONTROL!$C$21, $C$9, 100%, $E$9)</f>
        <v>4.3467000000000002</v>
      </c>
      <c r="N24" s="14">
        <f>CHOOSE(CONTROL!$C$42, 4.3636, 4.3636) * CHOOSE(CONTROL!$C$21, $C$9, 100%, $E$9)</f>
        <v>4.3635999999999999</v>
      </c>
      <c r="O24" s="14">
        <f>CHOOSE(CONTROL!$C$42, 4.4377, 4.4377) * CHOOSE(CONTROL!$C$21, $C$9, 100%, $E$9)</f>
        <v>4.4377000000000004</v>
      </c>
      <c r="P24" s="14">
        <f>CHOOSE(CONTROL!$C$42, 4.38, 4.38) * CHOOSE(CONTROL!$C$21, $C$9, 100%, $E$9)</f>
        <v>4.38</v>
      </c>
      <c r="Q24" s="14">
        <f>CHOOSE(CONTROL!$C$42, 5.0324, 5.0324) * CHOOSE(CONTROL!$C$21, $C$9, 100%, $E$9)</f>
        <v>5.0324</v>
      </c>
      <c r="R24" s="14">
        <f>CHOOSE(CONTROL!$C$42, 5.632, 5.632) * CHOOSE(CONTROL!$C$21, $C$9, 100%, $E$9)</f>
        <v>5.6319999999999997</v>
      </c>
      <c r="S24" s="14">
        <f>CHOOSE(CONTROL!$C$42, 4.2337, 4.2337) * CHOOSE(CONTROL!$C$21, $C$9, 100%, $E$9)</f>
        <v>4.2336999999999998</v>
      </c>
      <c r="T2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4" s="56">
        <f>(1000*CHOOSE(CONTROL!$C$42, 695, 695)*CHOOSE(CONTROL!$C$42, 0.5599, 0.5599)*CHOOSE(CONTROL!$C$42, 31, 31))/1000000</f>
        <v>12.063045499999998</v>
      </c>
      <c r="V24" s="56">
        <f>(1000*CHOOSE(CONTROL!$C$42, 580, 580)*CHOOSE(CONTROL!$C$42, 0.275, 0.275)*CHOOSE(CONTROL!$C$42, 31, 31))/1000000</f>
        <v>4.9444999999999997</v>
      </c>
      <c r="W24" s="56">
        <f>(1000*CHOOSE(CONTROL!$C$42, 0.1146, 0.1146)*CHOOSE(CONTROL!$C$42, 200, 200)*CHOOSE(CONTROL!$C$42, 31, 31))/1000000</f>
        <v>0.71052000000000004</v>
      </c>
      <c r="X24" s="56">
        <v>0</v>
      </c>
      <c r="Y24" s="56">
        <f t="shared" si="0"/>
        <v>0.4</v>
      </c>
      <c r="Z24" s="14">
        <f>CHOOSE(CONTROL!$C$42, 4.3647, 4.3647) * CHOOSE(CONTROL!$C$21, $C$9, 100%, $E$9)</f>
        <v>4.3647</v>
      </c>
      <c r="AA24" s="55">
        <f>(131500*31*(6/31))/1000000</f>
        <v>0.78900000000000003</v>
      </c>
      <c r="AB24" s="49">
        <f>(B24*122.58+C24*297.941+D24*89.177+E24*200.302+F24*40+G24*0+H24*0+I24*100+J24*300)/(122.58+297.941+89.177+200.302+0+40+0+100+300)</f>
        <v>4.452323459739131</v>
      </c>
      <c r="AC24" s="44">
        <f>(M24*240+N24*0+O24*355+P24*100)/(240+0+355+100)</f>
        <v>4.3979733812949648</v>
      </c>
    </row>
    <row r="25" spans="1:29" ht="15" x14ac:dyDescent="0.2">
      <c r="A25" s="13">
        <v>41640</v>
      </c>
      <c r="B25" s="14">
        <f>CHOOSE(CONTROL!$C$42, 4.5002, 4.5002) * CHOOSE(CONTROL!$C$21, $C$9, 100%, $E$9)</f>
        <v>4.5002000000000004</v>
      </c>
      <c r="C25" s="14">
        <f>CHOOSE(CONTROL!$C$42, 4.5053, 4.5053) * CHOOSE(CONTROL!$C$21, $C$9, 100%, $E$9)</f>
        <v>4.5053000000000001</v>
      </c>
      <c r="D25" s="14">
        <f>CHOOSE(CONTROL!$C$42, 4.5847, 4.5847) * CHOOSE(CONTROL!$C$21, $C$9, 100%, $E$9)</f>
        <v>4.5846999999999998</v>
      </c>
      <c r="E25" s="14">
        <f>CHOOSE(CONTROL!$C$42, 4.6188, 4.6188) * CHOOSE(CONTROL!$C$21, $C$9, 100%, $E$9)</f>
        <v>4.6188000000000002</v>
      </c>
      <c r="F25" s="14">
        <f>CHOOSE(CONTROL!$C$42, 4.5232, 4.5232)*CHOOSE(CONTROL!$C$21, $C$9, 100%, $E$9)</f>
        <v>4.5232000000000001</v>
      </c>
      <c r="G25" s="14">
        <f>CHOOSE(CONTROL!$C$42, 4.5408, 4.5408)*CHOOSE(CONTROL!$C$21, $C$9, 100%, $E$9)</f>
        <v>4.5407999999999999</v>
      </c>
      <c r="H25" s="14">
        <f>CHOOSE(CONTROL!$C$42, 4.608, 4.608) * CHOOSE(CONTROL!$C$21, $C$9, 100%, $E$9)</f>
        <v>4.6079999999999997</v>
      </c>
      <c r="I25" s="14">
        <f>CHOOSE(CONTROL!$C$42, 4.5496, 4.5496)* CHOOSE(CONTROL!$C$21, $C$9, 100%, $E$9)</f>
        <v>4.5495999999999999</v>
      </c>
      <c r="J25" s="14">
        <f>CHOOSE(CONTROL!$C$42, 4.5162, 4.5162)* CHOOSE(CONTROL!$C$21, $C$9, 100%, $E$9)</f>
        <v>4.5162000000000004</v>
      </c>
      <c r="K25" s="58"/>
      <c r="L25" s="14">
        <f>CHOOSE(CONTROL!$C$42, 5.195, 5.195) * CHOOSE(CONTROL!$C$21, $C$9, 100%, $E$9)</f>
        <v>5.1950000000000003</v>
      </c>
      <c r="M25" s="14">
        <f>CHOOSE(CONTROL!$C$42, 4.4314, 4.4314) * CHOOSE(CONTROL!$C$21, $C$9, 100%, $E$9)</f>
        <v>4.4314</v>
      </c>
      <c r="N25" s="14">
        <f>CHOOSE(CONTROL!$C$42, 4.4486, 4.4486) * CHOOSE(CONTROL!$C$21, $C$9, 100%, $E$9)</f>
        <v>4.4485999999999999</v>
      </c>
      <c r="O25" s="14">
        <f>CHOOSE(CONTROL!$C$42, 4.5213, 4.5213) * CHOOSE(CONTROL!$C$21, $C$9, 100%, $E$9)</f>
        <v>4.5213000000000001</v>
      </c>
      <c r="P25" s="14">
        <f>CHOOSE(CONTROL!$C$42, 4.4639, 4.4639) * CHOOSE(CONTROL!$C$21, $C$9, 100%, $E$9)</f>
        <v>4.4638999999999998</v>
      </c>
      <c r="Q25" s="14">
        <f>CHOOSE(CONTROL!$C$42, 5.116, 5.116) * CHOOSE(CONTROL!$C$21, $C$9, 100%, $E$9)</f>
        <v>5.1159999999999997</v>
      </c>
      <c r="R25" s="14">
        <f>CHOOSE(CONTROL!$C$42, 5.7158, 5.7158) * CHOOSE(CONTROL!$C$21, $C$9, 100%, $E$9)</f>
        <v>5.7157999999999998</v>
      </c>
      <c r="S25" s="14">
        <f>CHOOSE(CONTROL!$C$42, 4.3157, 4.3157) * CHOOSE(CONTROL!$C$21, $C$9, 100%, $E$9)</f>
        <v>4.3156999999999996</v>
      </c>
      <c r="T2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56">
        <f>(1000*CHOOSE(CONTROL!$C$42, 695, 695)*CHOOSE(CONTROL!$C$42, 0.5599, 0.5599)*CHOOSE(CONTROL!$C$42, 31, 31))/1000000</f>
        <v>12.063045499999998</v>
      </c>
      <c r="V25" s="56">
        <f>(1000*CHOOSE(CONTROL!$C$42, 580, 580)*CHOOSE(CONTROL!$C$42, 0.275, 0.275)*CHOOSE(CONTROL!$C$42, 31, 31))/1000000</f>
        <v>4.9444999999999997</v>
      </c>
      <c r="W25" s="56">
        <f>(1000*CHOOSE(CONTROL!$C$42, 0.1146, 0.1146)*CHOOSE(CONTROL!$C$42, 200, 200)*CHOOSE(CONTROL!$C$42, 31, 31))/1000000</f>
        <v>0.71052000000000004</v>
      </c>
      <c r="X25" s="56">
        <v>0</v>
      </c>
      <c r="Y25" s="56">
        <f t="shared" si="0"/>
        <v>0.4</v>
      </c>
      <c r="Z25" s="14">
        <f>CHOOSE(CONTROL!$C$42, 4.4486, 4.4486) * CHOOSE(CONTROL!$C$21, $C$9, 100%, $E$9)</f>
        <v>4.4485999999999999</v>
      </c>
      <c r="AA25" s="55">
        <f>(131500*31*(6/31))/1000000</f>
        <v>0.78900000000000003</v>
      </c>
      <c r="AB25" s="49">
        <f>(B25*122.58+C25*297.941+D25*89.177+E25*200.302+F25*40+G25*0+H25*0+I25*100+J25*300)/(122.58+297.941+89.177+200.302+0+40+0+100+300)</f>
        <v>4.5380006719999999</v>
      </c>
      <c r="AC25" s="44">
        <f>(M25*240+N25*0+O25*355+P25*100)/(240+0+355+100)</f>
        <v>4.4819964028776971</v>
      </c>
    </row>
    <row r="26" spans="1:29" ht="15" x14ac:dyDescent="0.2">
      <c r="A26" s="13">
        <v>41671</v>
      </c>
      <c r="B26" s="14">
        <f>CHOOSE(CONTROL!$C$42, 4.4815, 4.4815) * CHOOSE(CONTROL!$C$21, $C$9, 100%, $E$9)</f>
        <v>4.4814999999999996</v>
      </c>
      <c r="C26" s="14">
        <f>CHOOSE(CONTROL!$C$42, 4.4865, 4.4865) * CHOOSE(CONTROL!$C$21, $C$9, 100%, $E$9)</f>
        <v>4.4865000000000004</v>
      </c>
      <c r="D26" s="14">
        <f>CHOOSE(CONTROL!$C$42, 4.566, 4.566) * CHOOSE(CONTROL!$C$21, $C$9, 100%, $E$9)</f>
        <v>4.5659999999999998</v>
      </c>
      <c r="E26" s="14">
        <f>CHOOSE(CONTROL!$C$42, 4.6001, 4.6001) * CHOOSE(CONTROL!$C$21, $C$9, 100%, $E$9)</f>
        <v>4.6001000000000003</v>
      </c>
      <c r="F26" s="14">
        <f>CHOOSE(CONTROL!$C$42, 4.5043, 4.5043)*CHOOSE(CONTROL!$C$21, $C$9, 100%, $E$9)</f>
        <v>4.5042999999999997</v>
      </c>
      <c r="G26" s="14">
        <f>CHOOSE(CONTROL!$C$42, 4.5217, 4.5217)*CHOOSE(CONTROL!$C$21, $C$9, 100%, $E$9)</f>
        <v>4.5217000000000001</v>
      </c>
      <c r="H26" s="14">
        <f>CHOOSE(CONTROL!$C$42, 4.5893, 4.5893) * CHOOSE(CONTROL!$C$21, $C$9, 100%, $E$9)</f>
        <v>4.5892999999999997</v>
      </c>
      <c r="I26" s="14">
        <f>CHOOSE(CONTROL!$C$42, 4.5308, 4.5308)* CHOOSE(CONTROL!$C$21, $C$9, 100%, $E$9)</f>
        <v>4.5308000000000002</v>
      </c>
      <c r="J26" s="14">
        <f>CHOOSE(CONTROL!$C$42, 4.4973, 4.4973)* CHOOSE(CONTROL!$C$21, $C$9, 100%, $E$9)</f>
        <v>4.4973000000000001</v>
      </c>
      <c r="K26" s="58"/>
      <c r="L26" s="14">
        <f>CHOOSE(CONTROL!$C$42, 5.1763, 5.1763) * CHOOSE(CONTROL!$C$21, $C$9, 100%, $E$9)</f>
        <v>5.1763000000000003</v>
      </c>
      <c r="M26" s="14">
        <f>CHOOSE(CONTROL!$C$42, 4.4128, 4.4128) * CHOOSE(CONTROL!$C$21, $C$9, 100%, $E$9)</f>
        <v>4.4127999999999998</v>
      </c>
      <c r="N26" s="14">
        <f>CHOOSE(CONTROL!$C$42, 4.4299, 4.4299) * CHOOSE(CONTROL!$C$21, $C$9, 100%, $E$9)</f>
        <v>4.4298999999999999</v>
      </c>
      <c r="O26" s="14">
        <f>CHOOSE(CONTROL!$C$42, 4.5029, 4.5029) * CHOOSE(CONTROL!$C$21, $C$9, 100%, $E$9)</f>
        <v>4.5029000000000003</v>
      </c>
      <c r="P26" s="14">
        <f>CHOOSE(CONTROL!$C$42, 4.4455, 4.4455) * CHOOSE(CONTROL!$C$21, $C$9, 100%, $E$9)</f>
        <v>4.4455</v>
      </c>
      <c r="Q26" s="14">
        <f>CHOOSE(CONTROL!$C$42, 5.0976, 5.0976) * CHOOSE(CONTROL!$C$21, $C$9, 100%, $E$9)</f>
        <v>5.0975999999999999</v>
      </c>
      <c r="R26" s="14">
        <f>CHOOSE(CONTROL!$C$42, 5.6974, 5.6974) * CHOOSE(CONTROL!$C$21, $C$9, 100%, $E$9)</f>
        <v>5.6974</v>
      </c>
      <c r="S26" s="14">
        <f>CHOOSE(CONTROL!$C$42, 4.2977, 4.2977) * CHOOSE(CONTROL!$C$21, $C$9, 100%, $E$9)</f>
        <v>4.2976999999999999</v>
      </c>
      <c r="T2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56">
        <f>(1000*CHOOSE(CONTROL!$C$42, 695, 695)*CHOOSE(CONTROL!$C$42, 0.5599, 0.5599)*CHOOSE(CONTROL!$C$42, 28, 28))/1000000</f>
        <v>10.895653999999999</v>
      </c>
      <c r="V26" s="56">
        <f>(1000*CHOOSE(CONTROL!$C$42, 580, 580)*CHOOSE(CONTROL!$C$42, 0.275, 0.275)*CHOOSE(CONTROL!$C$42, 28, 28))/1000000</f>
        <v>4.4660000000000002</v>
      </c>
      <c r="W26" s="56">
        <f>(1000*CHOOSE(CONTROL!$C$42, 0.1146, 0.1146)*CHOOSE(CONTROL!$C$42, 200, 200)*CHOOSE(CONTROL!$C$42, 28, 28))/1000000</f>
        <v>0.64176</v>
      </c>
      <c r="X26" s="56">
        <v>0</v>
      </c>
      <c r="Y26" s="56">
        <f t="shared" si="0"/>
        <v>0.4</v>
      </c>
      <c r="Z26" s="14">
        <f>CHOOSE(CONTROL!$C$42, 4.4302, 4.4302) * CHOOSE(CONTROL!$C$21, $C$9, 100%, $E$9)</f>
        <v>4.4302000000000001</v>
      </c>
      <c r="AA26" s="55">
        <f>(131500*28*(6/28))/1000000</f>
        <v>0.78900000000000003</v>
      </c>
      <c r="AB26" s="49">
        <f>(B26*122.58+C26*297.941+D26*89.177+E26*200.302+F26*40+G26*0+H26*0+I26*100+J26*300)/(122.58+297.941+89.177+200.302+0+40+0+100+300)</f>
        <v>4.519206938</v>
      </c>
      <c r="AC26" s="44">
        <f>(M26*240+N26*0+O26*355+P26*100)/(240+0+355+100)</f>
        <v>4.463527338129496</v>
      </c>
    </row>
    <row r="27" spans="1:29" ht="15" x14ac:dyDescent="0.2">
      <c r="A27" s="13">
        <v>41699</v>
      </c>
      <c r="B27" s="14">
        <f>CHOOSE(CONTROL!$C$42, 4.4242, 4.4242) * CHOOSE(CONTROL!$C$21, $C$9, 100%, $E$9)</f>
        <v>4.4241999999999999</v>
      </c>
      <c r="C27" s="14">
        <f>CHOOSE(CONTROL!$C$42, 4.4293, 4.4293) * CHOOSE(CONTROL!$C$21, $C$9, 100%, $E$9)</f>
        <v>4.4292999999999996</v>
      </c>
      <c r="D27" s="14">
        <f>CHOOSE(CONTROL!$C$42, 4.5087, 4.5087) * CHOOSE(CONTROL!$C$21, $C$9, 100%, $E$9)</f>
        <v>4.5087000000000002</v>
      </c>
      <c r="E27" s="14">
        <f>CHOOSE(CONTROL!$C$42, 4.5428, 4.5428) * CHOOSE(CONTROL!$C$21, $C$9, 100%, $E$9)</f>
        <v>4.5427999999999997</v>
      </c>
      <c r="F27" s="14">
        <f>CHOOSE(CONTROL!$C$42, 4.4463, 4.4463)*CHOOSE(CONTROL!$C$21, $C$9, 100%, $E$9)</f>
        <v>4.4462999999999999</v>
      </c>
      <c r="G27" s="14">
        <f>CHOOSE(CONTROL!$C$42, 4.4635, 4.4635)*CHOOSE(CONTROL!$C$21, $C$9, 100%, $E$9)</f>
        <v>4.4634999999999998</v>
      </c>
      <c r="H27" s="14">
        <f>CHOOSE(CONTROL!$C$42, 4.532, 4.532) * CHOOSE(CONTROL!$C$21, $C$9, 100%, $E$9)</f>
        <v>4.532</v>
      </c>
      <c r="I27" s="14">
        <f>CHOOSE(CONTROL!$C$42, 4.4734, 4.4734)* CHOOSE(CONTROL!$C$21, $C$9, 100%, $E$9)</f>
        <v>4.4733999999999998</v>
      </c>
      <c r="J27" s="14">
        <f>CHOOSE(CONTROL!$C$42, 4.4393, 4.4393)* CHOOSE(CONTROL!$C$21, $C$9, 100%, $E$9)</f>
        <v>4.4393000000000002</v>
      </c>
      <c r="K27" s="58"/>
      <c r="L27" s="14">
        <f>CHOOSE(CONTROL!$C$42, 5.119, 5.119) * CHOOSE(CONTROL!$C$21, $C$9, 100%, $E$9)</f>
        <v>5.1189999999999998</v>
      </c>
      <c r="M27" s="14">
        <f>CHOOSE(CONTROL!$C$42, 4.356, 4.356) * CHOOSE(CONTROL!$C$21, $C$9, 100%, $E$9)</f>
        <v>4.3559999999999999</v>
      </c>
      <c r="N27" s="14">
        <f>CHOOSE(CONTROL!$C$42, 4.3729, 4.3729) * CHOOSE(CONTROL!$C$21, $C$9, 100%, $E$9)</f>
        <v>4.3728999999999996</v>
      </c>
      <c r="O27" s="14">
        <f>CHOOSE(CONTROL!$C$42, 4.4469, 4.4469) * CHOOSE(CONTROL!$C$21, $C$9, 100%, $E$9)</f>
        <v>4.4469000000000003</v>
      </c>
      <c r="P27" s="14">
        <f>CHOOSE(CONTROL!$C$42, 4.3892, 4.3892) * CHOOSE(CONTROL!$C$21, $C$9, 100%, $E$9)</f>
        <v>4.3891999999999998</v>
      </c>
      <c r="Q27" s="14">
        <f>CHOOSE(CONTROL!$C$42, 5.0416, 5.0416) * CHOOSE(CONTROL!$C$21, $C$9, 100%, $E$9)</f>
        <v>5.0415999999999999</v>
      </c>
      <c r="R27" s="14">
        <f>CHOOSE(CONTROL!$C$42, 5.6412, 5.6412) * CHOOSE(CONTROL!$C$21, $C$9, 100%, $E$9)</f>
        <v>5.6412000000000004</v>
      </c>
      <c r="S27" s="14">
        <f>CHOOSE(CONTROL!$C$42, 4.2427, 4.2427) * CHOOSE(CONTROL!$C$21, $C$9, 100%, $E$9)</f>
        <v>4.2427000000000001</v>
      </c>
      <c r="T2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56">
        <f>(1000*CHOOSE(CONTROL!$C$42, 695, 695)*CHOOSE(CONTROL!$C$42, 0.5599, 0.5599)*CHOOSE(CONTROL!$C$42, 31, 31))/1000000</f>
        <v>12.063045499999998</v>
      </c>
      <c r="V27" s="56">
        <f>(1000*CHOOSE(CONTROL!$C$42, 580, 580)*CHOOSE(CONTROL!$C$42, 0.275, 0.275)*CHOOSE(CONTROL!$C$42, 31, 31))/1000000</f>
        <v>4.9444999999999997</v>
      </c>
      <c r="W27" s="56">
        <f>(1000*CHOOSE(CONTROL!$C$42, 0.1146, 0.1146)*CHOOSE(CONTROL!$C$42, 200, 200)*CHOOSE(CONTROL!$C$42, 31, 31))/1000000</f>
        <v>0.71052000000000004</v>
      </c>
      <c r="X27" s="56">
        <v>0</v>
      </c>
      <c r="Y27" s="56">
        <f t="shared" si="0"/>
        <v>0.4</v>
      </c>
      <c r="Z27" s="14">
        <f>CHOOSE(CONTROL!$C$42, 4.3739, 4.3739) * CHOOSE(CONTROL!$C$21, $C$9, 100%, $E$9)</f>
        <v>4.3738999999999999</v>
      </c>
      <c r="AA27" s="55">
        <f>(131500*31*(6/31))/1000000</f>
        <v>0.78900000000000003</v>
      </c>
      <c r="AB27" s="49">
        <f>(B27*122.58+C27*297.941+D27*89.177+E27*200.302+F27*40+G27*0+H27*0+I27*100+J27*300)/(122.58+297.941+89.177+200.302+0+40+0+100+300)</f>
        <v>4.4617171937391307</v>
      </c>
      <c r="AC27" s="44">
        <f>(M27*240+N27*0+O27*355+P27*100)/(240+0+355+100)</f>
        <v>4.4072079136690645</v>
      </c>
    </row>
    <row r="28" spans="1:29" ht="15" x14ac:dyDescent="0.2">
      <c r="A28" s="13">
        <v>41730</v>
      </c>
      <c r="B28" s="14">
        <f>CHOOSE(CONTROL!$C$42, 4.2567, 4.2567) * CHOOSE(CONTROL!$C$21, $C$9, 100%, $E$9)</f>
        <v>4.2567000000000004</v>
      </c>
      <c r="C28" s="14">
        <f>CHOOSE(CONTROL!$C$42, 4.2611, 4.2611) * CHOOSE(CONTROL!$C$21, $C$9, 100%, $E$9)</f>
        <v>4.2610999999999999</v>
      </c>
      <c r="D28" s="14">
        <f>CHOOSE(CONTROL!$C$42, 4.4901, 4.4901) * CHOOSE(CONTROL!$C$21, $C$9, 100%, $E$9)</f>
        <v>4.4901</v>
      </c>
      <c r="E28" s="14">
        <f>CHOOSE(CONTROL!$C$42, 4.5222, 4.5222) * CHOOSE(CONTROL!$C$21, $C$9, 100%, $E$9)</f>
        <v>4.5221999999999998</v>
      </c>
      <c r="F28" s="14">
        <f>CHOOSE(CONTROL!$C$42, 4.2837, 4.2837)*CHOOSE(CONTROL!$C$21, $C$9, 100%, $E$9)</f>
        <v>4.2836999999999996</v>
      </c>
      <c r="G28" s="14">
        <f>CHOOSE(CONTROL!$C$42, 4.3004, 4.3004)*CHOOSE(CONTROL!$C$21, $C$9, 100%, $E$9)</f>
        <v>4.3003999999999998</v>
      </c>
      <c r="H28" s="14">
        <f>CHOOSE(CONTROL!$C$42, 4.512, 4.512) * CHOOSE(CONTROL!$C$21, $C$9, 100%, $E$9)</f>
        <v>4.5119999999999996</v>
      </c>
      <c r="I28" s="14">
        <f>CHOOSE(CONTROL!$C$42, 4.3029, 4.3029)* CHOOSE(CONTROL!$C$21, $C$9, 100%, $E$9)</f>
        <v>4.3029000000000002</v>
      </c>
      <c r="J28" s="14">
        <f>CHOOSE(CONTROL!$C$42, 4.2767, 4.2767)* CHOOSE(CONTROL!$C$21, $C$9, 100%, $E$9)</f>
        <v>4.2766999999999999</v>
      </c>
      <c r="K28" s="58"/>
      <c r="L28" s="14">
        <f>CHOOSE(CONTROL!$C$42, 5.099, 5.099) * CHOOSE(CONTROL!$C$21, $C$9, 100%, $E$9)</f>
        <v>5.0990000000000002</v>
      </c>
      <c r="M28" s="14">
        <f>CHOOSE(CONTROL!$C$42, 4.1967, 4.1967) * CHOOSE(CONTROL!$C$21, $C$9, 100%, $E$9)</f>
        <v>4.1966999999999999</v>
      </c>
      <c r="N28" s="14">
        <f>CHOOSE(CONTROL!$C$42, 4.2131, 4.2131) * CHOOSE(CONTROL!$C$21, $C$9, 100%, $E$9)</f>
        <v>4.2130999999999998</v>
      </c>
      <c r="O28" s="14">
        <f>CHOOSE(CONTROL!$C$42, 4.4272, 4.4272) * CHOOSE(CONTROL!$C$21, $C$9, 100%, $E$9)</f>
        <v>4.4272</v>
      </c>
      <c r="P28" s="14">
        <f>CHOOSE(CONTROL!$C$42, 4.2223, 4.2223) * CHOOSE(CONTROL!$C$21, $C$9, 100%, $E$9)</f>
        <v>4.2222999999999997</v>
      </c>
      <c r="Q28" s="14">
        <f>CHOOSE(CONTROL!$C$42, 5.0219, 5.0219) * CHOOSE(CONTROL!$C$21, $C$9, 100%, $E$9)</f>
        <v>5.0218999999999996</v>
      </c>
      <c r="R28" s="14">
        <f>CHOOSE(CONTROL!$C$42, 5.6215, 5.6215) * CHOOSE(CONTROL!$C$21, $C$9, 100%, $E$9)</f>
        <v>5.6215000000000002</v>
      </c>
      <c r="S28" s="14">
        <f>CHOOSE(CONTROL!$C$42, 4.0809, 4.0809) * CHOOSE(CONTROL!$C$21, $C$9, 100%, $E$9)</f>
        <v>4.0808999999999997</v>
      </c>
      <c r="T2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56">
        <f>(1000*CHOOSE(CONTROL!$C$42, 695, 695)*CHOOSE(CONTROL!$C$42, 0.5599, 0.5599)*CHOOSE(CONTROL!$C$42, 30, 30))/1000000</f>
        <v>11.673914999999997</v>
      </c>
      <c r="V28" s="56">
        <f>(1000*CHOOSE(CONTROL!$C$42, 580, 580)*CHOOSE(CONTROL!$C$42, 0.275, 0.275)*CHOOSE(CONTROL!$C$42, 30, 30))/1000000</f>
        <v>4.7850000000000001</v>
      </c>
      <c r="W28" s="56">
        <f>(1000*CHOOSE(CONTROL!$C$42, 0.1146, 0.1146)*CHOOSE(CONTROL!$C$42, 200, 200)*CHOOSE(CONTROL!$C$42, 30, 30))/1000000</f>
        <v>0.68759999999999999</v>
      </c>
      <c r="X28" s="56">
        <f>30*0.1790888*145000/1000000</f>
        <v>0.77903627999999991</v>
      </c>
      <c r="Y28" s="56"/>
      <c r="Z28" s="14">
        <f>CHOOSE(CONTROL!$C$42, 4.1965, 4.1965) * CHOOSE(CONTROL!$C$21, $C$9, 100%, $E$9)</f>
        <v>4.1965000000000003</v>
      </c>
      <c r="AA28" s="55">
        <f>(131500*30*(6/30))/1000000</f>
        <v>0.78900000000000003</v>
      </c>
      <c r="AB28" s="49">
        <f>(B28*141.293+C28*267.993+D28*115.016+E28*249.698+F28*40+G28*25+H28*0+I28*100+J28*300)/(141.293+267.993+115.016+249.698+0+40+25+100+300)</f>
        <v>4.3431497357546416</v>
      </c>
      <c r="AC28" s="44">
        <f t="shared" ref="AC28:AC34" si="1">(M28*240+N28*120+O28*235+P28*100)/(240+120+235+100)</f>
        <v>4.2811539568345323</v>
      </c>
    </row>
    <row r="29" spans="1:29" ht="15" x14ac:dyDescent="0.2">
      <c r="A29" s="13">
        <v>41760</v>
      </c>
      <c r="B29" s="14">
        <f>CHOOSE(CONTROL!$C$42, 4.2622, 4.2622) * CHOOSE(CONTROL!$C$21, $C$9, 100%, $E$9)</f>
        <v>4.2622</v>
      </c>
      <c r="C29" s="14">
        <f>CHOOSE(CONTROL!$C$42, 4.2702, 4.2702) * CHOOSE(CONTROL!$C$21, $C$9, 100%, $E$9)</f>
        <v>4.2702</v>
      </c>
      <c r="D29" s="14">
        <f>CHOOSE(CONTROL!$C$42, 4.496, 4.496) * CHOOSE(CONTROL!$C$21, $C$9, 100%, $E$9)</f>
        <v>4.4960000000000004</v>
      </c>
      <c r="E29" s="14">
        <f>CHOOSE(CONTROL!$C$42, 4.5275, 4.5275) * CHOOSE(CONTROL!$C$21, $C$9, 100%, $E$9)</f>
        <v>4.5274999999999999</v>
      </c>
      <c r="F29" s="14">
        <f>CHOOSE(CONTROL!$C$42, 4.2879, 4.2879)*CHOOSE(CONTROL!$C$21, $C$9, 100%, $E$9)</f>
        <v>4.2878999999999996</v>
      </c>
      <c r="G29" s="14">
        <f>CHOOSE(CONTROL!$C$42, 4.3048, 4.3048)*CHOOSE(CONTROL!$C$21, $C$9, 100%, $E$9)</f>
        <v>4.3048000000000002</v>
      </c>
      <c r="H29" s="14">
        <f>CHOOSE(CONTROL!$C$42, 4.5161, 4.5161) * CHOOSE(CONTROL!$C$21, $C$9, 100%, $E$9)</f>
        <v>4.5160999999999998</v>
      </c>
      <c r="I29" s="14">
        <f>CHOOSE(CONTROL!$C$42, 4.3071, 4.3071)* CHOOSE(CONTROL!$C$21, $C$9, 100%, $E$9)</f>
        <v>4.3071000000000002</v>
      </c>
      <c r="J29" s="14">
        <f>CHOOSE(CONTROL!$C$42, 4.2809, 4.2809)* CHOOSE(CONTROL!$C$21, $C$9, 100%, $E$9)</f>
        <v>4.2808999999999999</v>
      </c>
      <c r="K29" s="58"/>
      <c r="L29" s="14">
        <f>CHOOSE(CONTROL!$C$42, 5.1031, 5.1031) * CHOOSE(CONTROL!$C$21, $C$9, 100%, $E$9)</f>
        <v>5.1031000000000004</v>
      </c>
      <c r="M29" s="14">
        <f>CHOOSE(CONTROL!$C$42, 4.2009, 4.2009) * CHOOSE(CONTROL!$C$21, $C$9, 100%, $E$9)</f>
        <v>4.2008999999999999</v>
      </c>
      <c r="N29" s="14">
        <f>CHOOSE(CONTROL!$C$42, 4.2175, 4.2175) * CHOOSE(CONTROL!$C$21, $C$9, 100%, $E$9)</f>
        <v>4.2175000000000002</v>
      </c>
      <c r="O29" s="14">
        <f>CHOOSE(CONTROL!$C$42, 4.4313, 4.4313) * CHOOSE(CONTROL!$C$21, $C$9, 100%, $E$9)</f>
        <v>4.4313000000000002</v>
      </c>
      <c r="P29" s="14">
        <f>CHOOSE(CONTROL!$C$42, 4.2264, 4.2264) * CHOOSE(CONTROL!$C$21, $C$9, 100%, $E$9)</f>
        <v>4.2263999999999999</v>
      </c>
      <c r="Q29" s="14">
        <f>CHOOSE(CONTROL!$C$42, 5.026, 5.026) * CHOOSE(CONTROL!$C$21, $C$9, 100%, $E$9)</f>
        <v>5.0259999999999998</v>
      </c>
      <c r="R29" s="14">
        <f>CHOOSE(CONTROL!$C$42, 5.6255, 5.6255) * CHOOSE(CONTROL!$C$21, $C$9, 100%, $E$9)</f>
        <v>5.6254999999999997</v>
      </c>
      <c r="S29" s="14">
        <f>CHOOSE(CONTROL!$C$42, 4.0849, 4.0849) * CHOOSE(CONTROL!$C$21, $C$9, 100%, $E$9)</f>
        <v>4.0849000000000002</v>
      </c>
      <c r="T29" s="57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56">
        <f>(1000*CHOOSE(CONTROL!$C$42, 695, 695)*CHOOSE(CONTROL!$C$42, 0.5599, 0.5599)*CHOOSE(CONTROL!$C$42, 31, 31))/1000000</f>
        <v>12.063045499999998</v>
      </c>
      <c r="V29" s="56">
        <f>(1000*CHOOSE(CONTROL!$C$42, 580, 580)*CHOOSE(CONTROL!$C$42, 0.275, 0.275)*CHOOSE(CONTROL!$C$42, 31, 31))/1000000</f>
        <v>4.9444999999999997</v>
      </c>
      <c r="W29" s="56">
        <f>(1000*CHOOSE(CONTROL!$C$42, 0.1146, 0.1146)*CHOOSE(CONTROL!$C$42, 200, 200)*CHOOSE(CONTROL!$C$42, 31, 31))/1000000</f>
        <v>0.71052000000000004</v>
      </c>
      <c r="X29" s="56">
        <f>31*0.1790888*145000/1000000</f>
        <v>0.80500415599999997</v>
      </c>
      <c r="Y29" s="56"/>
      <c r="Z29" s="14">
        <f>CHOOSE(CONTROL!$C$42, 4.2006, 4.2006) * CHOOSE(CONTROL!$C$21, $C$9, 100%, $E$9)</f>
        <v>4.2005999999999997</v>
      </c>
      <c r="AA29" s="55">
        <f>(131500*31*(6/31))/1000000</f>
        <v>0.78900000000000003</v>
      </c>
      <c r="AB29" s="49">
        <f>(B29*194.205+C29*267.466+D29*133.845+E29*213.484+F29*40+G29*25+H29*50+I29*100+J29*300)/(194.205+267.466+133.845+213.484+50+40+25+100+300)</f>
        <v>4.3490262796072505</v>
      </c>
      <c r="AC29" s="44">
        <f t="shared" si="1"/>
        <v>4.2853402877697846</v>
      </c>
    </row>
    <row r="30" spans="1:29" ht="15" x14ac:dyDescent="0.2">
      <c r="A30" s="13">
        <v>41791</v>
      </c>
      <c r="B30" s="14">
        <f>CHOOSE(CONTROL!$C$42, 4.2966, 4.2966) * CHOOSE(CONTROL!$C$21, $C$9, 100%, $E$9)</f>
        <v>4.2965999999999998</v>
      </c>
      <c r="C30" s="14">
        <f>CHOOSE(CONTROL!$C$42, 4.3046, 4.3046) * CHOOSE(CONTROL!$C$21, $C$9, 100%, $E$9)</f>
        <v>4.3045999999999998</v>
      </c>
      <c r="D30" s="14">
        <f>CHOOSE(CONTROL!$C$42, 4.5304, 4.5304) * CHOOSE(CONTROL!$C$21, $C$9, 100%, $E$9)</f>
        <v>4.5304000000000002</v>
      </c>
      <c r="E30" s="14">
        <f>CHOOSE(CONTROL!$C$42, 4.5618, 4.5618) * CHOOSE(CONTROL!$C$21, $C$9, 100%, $E$9)</f>
        <v>4.5617999999999999</v>
      </c>
      <c r="F30" s="14">
        <f>CHOOSE(CONTROL!$C$42, 4.3227, 4.3227)*CHOOSE(CONTROL!$C$21, $C$9, 100%, $E$9)</f>
        <v>4.3227000000000002</v>
      </c>
      <c r="G30" s="14">
        <f>CHOOSE(CONTROL!$C$42, 4.3397, 4.3397)*CHOOSE(CONTROL!$C$21, $C$9, 100%, $E$9)</f>
        <v>4.3396999999999997</v>
      </c>
      <c r="H30" s="14">
        <f>CHOOSE(CONTROL!$C$42, 4.5505, 4.5505) * CHOOSE(CONTROL!$C$21, $C$9, 100%, $E$9)</f>
        <v>4.5505000000000004</v>
      </c>
      <c r="I30" s="14">
        <f>CHOOSE(CONTROL!$C$42, 4.3416, 4.3416)* CHOOSE(CONTROL!$C$21, $C$9, 100%, $E$9)</f>
        <v>4.3415999999999997</v>
      </c>
      <c r="J30" s="14">
        <f>CHOOSE(CONTROL!$C$42, 4.3157, 4.3157)* CHOOSE(CONTROL!$C$21, $C$9, 100%, $E$9)</f>
        <v>4.3156999999999996</v>
      </c>
      <c r="K30" s="58"/>
      <c r="L30" s="14">
        <f>CHOOSE(CONTROL!$C$42, 5.1375, 5.1375) * CHOOSE(CONTROL!$C$21, $C$9, 100%, $E$9)</f>
        <v>5.1375000000000002</v>
      </c>
      <c r="M30" s="14">
        <f>CHOOSE(CONTROL!$C$42, 4.2349, 4.2349) * CHOOSE(CONTROL!$C$21, $C$9, 100%, $E$9)</f>
        <v>4.2348999999999997</v>
      </c>
      <c r="N30" s="14">
        <f>CHOOSE(CONTROL!$C$42, 4.2517, 4.2517) * CHOOSE(CONTROL!$C$21, $C$9, 100%, $E$9)</f>
        <v>4.2516999999999996</v>
      </c>
      <c r="O30" s="14">
        <f>CHOOSE(CONTROL!$C$42, 4.4649, 4.4649) * CHOOSE(CONTROL!$C$21, $C$9, 100%, $E$9)</f>
        <v>4.4649000000000001</v>
      </c>
      <c r="P30" s="14">
        <f>CHOOSE(CONTROL!$C$42, 4.2601, 4.2601) * CHOOSE(CONTROL!$C$21, $C$9, 100%, $E$9)</f>
        <v>4.2601000000000004</v>
      </c>
      <c r="Q30" s="14">
        <f>CHOOSE(CONTROL!$C$42, 5.0596, 5.0596) * CHOOSE(CONTROL!$C$21, $C$9, 100%, $E$9)</f>
        <v>5.0595999999999997</v>
      </c>
      <c r="R30" s="14">
        <f>CHOOSE(CONTROL!$C$42, 5.6593, 5.6593) * CHOOSE(CONTROL!$C$21, $C$9, 100%, $E$9)</f>
        <v>5.6593</v>
      </c>
      <c r="S30" s="14">
        <f>CHOOSE(CONTROL!$C$42, 4.1179, 4.1179) * CHOOSE(CONTROL!$C$21, $C$9, 100%, $E$9)</f>
        <v>4.1178999999999997</v>
      </c>
      <c r="T30" s="57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56">
        <f>(1000*CHOOSE(CONTROL!$C$42, 695, 695)*CHOOSE(CONTROL!$C$42, 0.5599, 0.5599)*CHOOSE(CONTROL!$C$42, 30, 30))/1000000</f>
        <v>11.673914999999997</v>
      </c>
      <c r="V30" s="56">
        <f>(1000*CHOOSE(CONTROL!$C$42, 580, 580)*CHOOSE(CONTROL!$C$42, 0.275, 0.275)*CHOOSE(CONTROL!$C$42, 30, 30))/1000000</f>
        <v>4.7850000000000001</v>
      </c>
      <c r="W30" s="56">
        <f>(1000*CHOOSE(CONTROL!$C$42, 0.1146, 0.1146)*CHOOSE(CONTROL!$C$42, 200, 200)*CHOOSE(CONTROL!$C$42, 30, 30))/1000000</f>
        <v>0.68759999999999999</v>
      </c>
      <c r="X30" s="56">
        <f>30*0.1790888*145000/1000000</f>
        <v>0.77903627999999991</v>
      </c>
      <c r="Y30" s="56"/>
      <c r="Z30" s="14">
        <f>CHOOSE(CONTROL!$C$42, 4.2344, 4.2344) * CHOOSE(CONTROL!$C$21, $C$9, 100%, $E$9)</f>
        <v>4.2343999999999999</v>
      </c>
      <c r="AA30" s="55">
        <f>(131500*30*(6/30))/1000000</f>
        <v>0.78900000000000003</v>
      </c>
      <c r="AB30" s="49">
        <f>(B30*194.205+C30*267.466+D30*133.845+E30*213.484+F30*40+G30*25+H30*50+I30*100+J30*300)/(194.205+267.466+133.845+213.484+50+40+25+100+300)</f>
        <v>4.3835298684290027</v>
      </c>
      <c r="AC30" s="44">
        <f t="shared" si="1"/>
        <v>4.3191964028776981</v>
      </c>
    </row>
    <row r="31" spans="1:29" ht="15" x14ac:dyDescent="0.2">
      <c r="A31" s="13">
        <v>41821</v>
      </c>
      <c r="B31" s="14">
        <f>CHOOSE(CONTROL!$C$42, 4.333, 4.333) * CHOOSE(CONTROL!$C$21, $C$9, 100%, $E$9)</f>
        <v>4.3330000000000002</v>
      </c>
      <c r="C31" s="14">
        <f>CHOOSE(CONTROL!$C$42, 4.341, 4.341) * CHOOSE(CONTROL!$C$21, $C$9, 100%, $E$9)</f>
        <v>4.3410000000000002</v>
      </c>
      <c r="D31" s="14">
        <f>CHOOSE(CONTROL!$C$42, 4.5668, 4.5668) * CHOOSE(CONTROL!$C$21, $C$9, 100%, $E$9)</f>
        <v>4.5667999999999997</v>
      </c>
      <c r="E31" s="14">
        <f>CHOOSE(CONTROL!$C$42, 4.5983, 4.5983) * CHOOSE(CONTROL!$C$21, $C$9, 100%, $E$9)</f>
        <v>4.5983000000000001</v>
      </c>
      <c r="F31" s="14">
        <f>CHOOSE(CONTROL!$C$42, 4.3596, 4.3596)*CHOOSE(CONTROL!$C$21, $C$9, 100%, $E$9)</f>
        <v>4.3596000000000004</v>
      </c>
      <c r="G31" s="14">
        <f>CHOOSE(CONTROL!$C$42, 4.3768, 4.3768)*CHOOSE(CONTROL!$C$21, $C$9, 100%, $E$9)</f>
        <v>4.3768000000000002</v>
      </c>
      <c r="H31" s="14">
        <f>CHOOSE(CONTROL!$C$42, 4.5869, 4.5869) * CHOOSE(CONTROL!$C$21, $C$9, 100%, $E$9)</f>
        <v>4.5869</v>
      </c>
      <c r="I31" s="14">
        <f>CHOOSE(CONTROL!$C$42, 4.3781, 4.3781)* CHOOSE(CONTROL!$C$21, $C$9, 100%, $E$9)</f>
        <v>4.3780999999999999</v>
      </c>
      <c r="J31" s="14">
        <f>CHOOSE(CONTROL!$C$42, 4.3526, 4.3526)* CHOOSE(CONTROL!$C$21, $C$9, 100%, $E$9)</f>
        <v>4.3525999999999998</v>
      </c>
      <c r="K31" s="58"/>
      <c r="L31" s="14">
        <f>CHOOSE(CONTROL!$C$42, 5.1739, 5.1739) * CHOOSE(CONTROL!$C$21, $C$9, 100%, $E$9)</f>
        <v>5.1738999999999997</v>
      </c>
      <c r="M31" s="14">
        <f>CHOOSE(CONTROL!$C$42, 4.2711, 4.2711) * CHOOSE(CONTROL!$C$21, $C$9, 100%, $E$9)</f>
        <v>4.2710999999999997</v>
      </c>
      <c r="N31" s="14">
        <f>CHOOSE(CONTROL!$C$42, 4.2879, 4.2879) * CHOOSE(CONTROL!$C$21, $C$9, 100%, $E$9)</f>
        <v>4.2878999999999996</v>
      </c>
      <c r="O31" s="14">
        <f>CHOOSE(CONTROL!$C$42, 4.5006, 4.5006) * CHOOSE(CONTROL!$C$21, $C$9, 100%, $E$9)</f>
        <v>4.5006000000000004</v>
      </c>
      <c r="P31" s="14">
        <f>CHOOSE(CONTROL!$C$42, 4.2959, 4.2959) * CHOOSE(CONTROL!$C$21, $C$9, 100%, $E$9)</f>
        <v>4.2958999999999996</v>
      </c>
      <c r="Q31" s="14">
        <f>CHOOSE(CONTROL!$C$42, 5.0953, 5.0953) * CHOOSE(CONTROL!$C$21, $C$9, 100%, $E$9)</f>
        <v>5.0952999999999999</v>
      </c>
      <c r="R31" s="14">
        <f>CHOOSE(CONTROL!$C$42, 5.695, 5.695) * CHOOSE(CONTROL!$C$21, $C$9, 100%, $E$9)</f>
        <v>5.6950000000000003</v>
      </c>
      <c r="S31" s="14">
        <f>CHOOSE(CONTROL!$C$42, 4.1529, 4.1529) * CHOOSE(CONTROL!$C$21, $C$9, 100%, $E$9)</f>
        <v>4.1528999999999998</v>
      </c>
      <c r="T31" s="57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56">
        <f>(1000*CHOOSE(CONTROL!$C$42, 695, 695)*CHOOSE(CONTROL!$C$42, 0.5599, 0.5599)*CHOOSE(CONTROL!$C$42, 31, 31))/1000000</f>
        <v>12.063045499999998</v>
      </c>
      <c r="V31" s="56">
        <f>(1000*CHOOSE(CONTROL!$C$42, 580, 580)*CHOOSE(CONTROL!$C$42, 0.275, 0.275)*CHOOSE(CONTROL!$C$42, 31, 31))/1000000</f>
        <v>4.9444999999999997</v>
      </c>
      <c r="W31" s="56">
        <f>(1000*CHOOSE(CONTROL!$C$42, 0.1146, 0.1146)*CHOOSE(CONTROL!$C$42, 200, 200)*CHOOSE(CONTROL!$C$42, 31, 31))/1000000</f>
        <v>0.71052000000000004</v>
      </c>
      <c r="X31" s="56">
        <f>31*0.1790888*145000/1000000</f>
        <v>0.80500415599999997</v>
      </c>
      <c r="Y31" s="56"/>
      <c r="Z31" s="14">
        <f>CHOOSE(CONTROL!$C$42, 4.2702, 4.2702) * CHOOSE(CONTROL!$C$21, $C$9, 100%, $E$9)</f>
        <v>4.2702</v>
      </c>
      <c r="AA31" s="55">
        <f>(131500*31*(6/31))/1000000</f>
        <v>0.78900000000000003</v>
      </c>
      <c r="AB31" s="49">
        <f>(B31*194.205+C31*267.466+D31*133.845+E31*213.484+F31*40+G31*25+H31*50+I31*100+J31*300)/(194.205+267.466+133.845+213.484+50+40+25+100+300)</f>
        <v>4.420095161782478</v>
      </c>
      <c r="AC31" s="44">
        <f t="shared" si="1"/>
        <v>4.355169784172662</v>
      </c>
    </row>
    <row r="32" spans="1:29" ht="15" x14ac:dyDescent="0.2">
      <c r="A32" s="13">
        <v>41852</v>
      </c>
      <c r="B32" s="14">
        <f>CHOOSE(CONTROL!$C$42, 4.3517, 4.3517) * CHOOSE(CONTROL!$C$21, $C$9, 100%, $E$9)</f>
        <v>4.3517000000000001</v>
      </c>
      <c r="C32" s="14">
        <f>CHOOSE(CONTROL!$C$42, 4.3597, 4.3597) * CHOOSE(CONTROL!$C$21, $C$9, 100%, $E$9)</f>
        <v>4.3597000000000001</v>
      </c>
      <c r="D32" s="14">
        <f>CHOOSE(CONTROL!$C$42, 4.5855, 4.5855) * CHOOSE(CONTROL!$C$21, $C$9, 100%, $E$9)</f>
        <v>4.5854999999999997</v>
      </c>
      <c r="E32" s="14">
        <f>CHOOSE(CONTROL!$C$42, 4.617, 4.617) * CHOOSE(CONTROL!$C$21, $C$9, 100%, $E$9)</f>
        <v>4.617</v>
      </c>
      <c r="F32" s="14">
        <f>CHOOSE(CONTROL!$C$42, 4.3785, 4.3785)*CHOOSE(CONTROL!$C$21, $C$9, 100%, $E$9)</f>
        <v>4.3784999999999998</v>
      </c>
      <c r="G32" s="14">
        <f>CHOOSE(CONTROL!$C$42, 4.3958, 4.3958)*CHOOSE(CONTROL!$C$21, $C$9, 100%, $E$9)</f>
        <v>4.3958000000000004</v>
      </c>
      <c r="H32" s="14">
        <f>CHOOSE(CONTROL!$C$42, 4.6056, 4.6056) * CHOOSE(CONTROL!$C$21, $C$9, 100%, $E$9)</f>
        <v>4.6055999999999999</v>
      </c>
      <c r="I32" s="14">
        <f>CHOOSE(CONTROL!$C$42, 4.3969, 4.3969)* CHOOSE(CONTROL!$C$21, $C$9, 100%, $E$9)</f>
        <v>4.3968999999999996</v>
      </c>
      <c r="J32" s="14">
        <f>CHOOSE(CONTROL!$C$42, 4.3715, 4.3715)* CHOOSE(CONTROL!$C$21, $C$9, 100%, $E$9)</f>
        <v>4.3715000000000002</v>
      </c>
      <c r="K32" s="58"/>
      <c r="L32" s="14">
        <f>CHOOSE(CONTROL!$C$42, 5.1926, 5.1926) * CHOOSE(CONTROL!$C$21, $C$9, 100%, $E$9)</f>
        <v>5.1925999999999997</v>
      </c>
      <c r="M32" s="14">
        <f>CHOOSE(CONTROL!$C$42, 4.2896, 4.2896) * CHOOSE(CONTROL!$C$21, $C$9, 100%, $E$9)</f>
        <v>4.2896000000000001</v>
      </c>
      <c r="N32" s="14">
        <f>CHOOSE(CONTROL!$C$42, 4.3066, 4.3066) * CHOOSE(CONTROL!$C$21, $C$9, 100%, $E$9)</f>
        <v>4.3066000000000004</v>
      </c>
      <c r="O32" s="14">
        <f>CHOOSE(CONTROL!$C$42, 4.5189, 4.5189) * CHOOSE(CONTROL!$C$21, $C$9, 100%, $E$9)</f>
        <v>4.5189000000000004</v>
      </c>
      <c r="P32" s="14">
        <f>CHOOSE(CONTROL!$C$42, 4.3143, 4.3143) * CHOOSE(CONTROL!$C$21, $C$9, 100%, $E$9)</f>
        <v>4.3143000000000002</v>
      </c>
      <c r="Q32" s="14">
        <f>CHOOSE(CONTROL!$C$42, 5.1136, 5.1136) * CHOOSE(CONTROL!$C$21, $C$9, 100%, $E$9)</f>
        <v>5.1135999999999999</v>
      </c>
      <c r="R32" s="14">
        <f>CHOOSE(CONTROL!$C$42, 5.7134, 5.7134) * CHOOSE(CONTROL!$C$21, $C$9, 100%, $E$9)</f>
        <v>5.7134</v>
      </c>
      <c r="S32" s="14">
        <f>CHOOSE(CONTROL!$C$42, 4.1709, 4.1709) * CHOOSE(CONTROL!$C$21, $C$9, 100%, $E$9)</f>
        <v>4.1708999999999996</v>
      </c>
      <c r="T32" s="57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56">
        <f>(1000*CHOOSE(CONTROL!$C$42, 695, 695)*CHOOSE(CONTROL!$C$42, 0.5599, 0.5599)*CHOOSE(CONTROL!$C$42, 31, 31))/1000000</f>
        <v>12.063045499999998</v>
      </c>
      <c r="V32" s="56">
        <f>(1000*CHOOSE(CONTROL!$C$42, 580, 580)*CHOOSE(CONTROL!$C$42, 0.275, 0.275)*CHOOSE(CONTROL!$C$42, 31, 31))/1000000</f>
        <v>4.9444999999999997</v>
      </c>
      <c r="W32" s="56">
        <f>(1000*CHOOSE(CONTROL!$C$42, 0.1146, 0.1146)*CHOOSE(CONTROL!$C$42, 200, 200)*CHOOSE(CONTROL!$C$42, 31, 31))/1000000</f>
        <v>0.71052000000000004</v>
      </c>
      <c r="X32" s="56">
        <f>31*0.1790888*145000/1000000</f>
        <v>0.80500415599999997</v>
      </c>
      <c r="Y32" s="56"/>
      <c r="Z32" s="14">
        <f>CHOOSE(CONTROL!$C$42, 4.2887, 4.2887) * CHOOSE(CONTROL!$C$21, $C$9, 100%, $E$9)</f>
        <v>4.2887000000000004</v>
      </c>
      <c r="AA32" s="55">
        <f>(131500*31*(6/31))/1000000</f>
        <v>0.78900000000000003</v>
      </c>
      <c r="AB32" s="49">
        <f>(B32*194.205+C32*267.466+D32*133.845+E32*213.484+F32*40+G32*25+H32*50+I32*100+J32*300)/(194.205+267.466+133.845+213.484+50+40+25+100+300)</f>
        <v>4.4388597388217521</v>
      </c>
      <c r="AC32" s="44">
        <f t="shared" si="1"/>
        <v>4.3736223021582736</v>
      </c>
    </row>
    <row r="33" spans="1:29" ht="15" x14ac:dyDescent="0.2">
      <c r="A33" s="13">
        <v>41883</v>
      </c>
      <c r="B33" s="14">
        <f>CHOOSE(CONTROL!$C$42, 4.3515, 4.3515) * CHOOSE(CONTROL!$C$21, $C$9, 100%, $E$9)</f>
        <v>4.3514999999999997</v>
      </c>
      <c r="C33" s="14">
        <f>CHOOSE(CONTROL!$C$42, 4.3595, 4.3595) * CHOOSE(CONTROL!$C$21, $C$9, 100%, $E$9)</f>
        <v>4.3594999999999997</v>
      </c>
      <c r="D33" s="14">
        <f>CHOOSE(CONTROL!$C$42, 4.5853, 4.5853) * CHOOSE(CONTROL!$C$21, $C$9, 100%, $E$9)</f>
        <v>4.5853000000000002</v>
      </c>
      <c r="E33" s="14">
        <f>CHOOSE(CONTROL!$C$42, 4.6168, 4.6168) * CHOOSE(CONTROL!$C$21, $C$9, 100%, $E$9)</f>
        <v>4.6167999999999996</v>
      </c>
      <c r="F33" s="14">
        <f>CHOOSE(CONTROL!$C$42, 4.3783, 4.3783)*CHOOSE(CONTROL!$C$21, $C$9, 100%, $E$9)</f>
        <v>4.3783000000000003</v>
      </c>
      <c r="G33" s="14">
        <f>CHOOSE(CONTROL!$C$42, 4.3956, 4.3956)*CHOOSE(CONTROL!$C$21, $C$9, 100%, $E$9)</f>
        <v>4.3956</v>
      </c>
      <c r="H33" s="14">
        <f>CHOOSE(CONTROL!$C$42, 4.6054, 4.6054) * CHOOSE(CONTROL!$C$21, $C$9, 100%, $E$9)</f>
        <v>4.6054000000000004</v>
      </c>
      <c r="I33" s="14">
        <f>CHOOSE(CONTROL!$C$42, 4.3966, 4.3966)* CHOOSE(CONTROL!$C$21, $C$9, 100%, $E$9)</f>
        <v>4.3966000000000003</v>
      </c>
      <c r="J33" s="14">
        <f>CHOOSE(CONTROL!$C$42, 4.3713, 4.3713)* CHOOSE(CONTROL!$C$21, $C$9, 100%, $E$9)</f>
        <v>4.3712999999999997</v>
      </c>
      <c r="K33" s="58"/>
      <c r="L33" s="14">
        <f>CHOOSE(CONTROL!$C$42, 5.1924, 5.1924) * CHOOSE(CONTROL!$C$21, $C$9, 100%, $E$9)</f>
        <v>5.1924000000000001</v>
      </c>
      <c r="M33" s="14">
        <f>CHOOSE(CONTROL!$C$42, 4.2894, 4.2894) * CHOOSE(CONTROL!$C$21, $C$9, 100%, $E$9)</f>
        <v>4.2893999999999997</v>
      </c>
      <c r="N33" s="14">
        <f>CHOOSE(CONTROL!$C$42, 4.3063, 4.3063) * CHOOSE(CONTROL!$C$21, $C$9, 100%, $E$9)</f>
        <v>4.3063000000000002</v>
      </c>
      <c r="O33" s="14">
        <f>CHOOSE(CONTROL!$C$42, 4.5187, 4.5187) * CHOOSE(CONTROL!$C$21, $C$9, 100%, $E$9)</f>
        <v>4.5186999999999999</v>
      </c>
      <c r="P33" s="14">
        <f>CHOOSE(CONTROL!$C$42, 4.3141, 4.3141) * CHOOSE(CONTROL!$C$21, $C$9, 100%, $E$9)</f>
        <v>4.3140999999999998</v>
      </c>
      <c r="Q33" s="14">
        <f>CHOOSE(CONTROL!$C$42, 5.1134, 5.1134) * CHOOSE(CONTROL!$C$21, $C$9, 100%, $E$9)</f>
        <v>5.1134000000000004</v>
      </c>
      <c r="R33" s="14">
        <f>CHOOSE(CONTROL!$C$42, 5.7132, 5.7132) * CHOOSE(CONTROL!$C$21, $C$9, 100%, $E$9)</f>
        <v>5.7131999999999996</v>
      </c>
      <c r="S33" s="14">
        <f>CHOOSE(CONTROL!$C$42, 4.1707, 4.1707) * CHOOSE(CONTROL!$C$21, $C$9, 100%, $E$9)</f>
        <v>4.1707000000000001</v>
      </c>
      <c r="T33" s="57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56">
        <f>(1000*CHOOSE(CONTROL!$C$42, 695, 695)*CHOOSE(CONTROL!$C$42, 0.5599, 0.5599)*CHOOSE(CONTROL!$C$42, 30, 30))/1000000</f>
        <v>11.673914999999997</v>
      </c>
      <c r="V33" s="56">
        <f>(1000*CHOOSE(CONTROL!$C$42, 580, 580)*CHOOSE(CONTROL!$C$42, 0.275, 0.275)*CHOOSE(CONTROL!$C$42, 30, 30))/1000000</f>
        <v>4.7850000000000001</v>
      </c>
      <c r="W33" s="56">
        <f>(1000*CHOOSE(CONTROL!$C$42, 0.1146, 0.1146)*CHOOSE(CONTROL!$C$42, 200, 200)*CHOOSE(CONTROL!$C$42, 30, 30))/1000000</f>
        <v>0.68759999999999999</v>
      </c>
      <c r="X33" s="56">
        <f>30*0.1790888*145000/1000000</f>
        <v>0.77903627999999991</v>
      </c>
      <c r="Y33" s="56"/>
      <c r="Z33" s="14">
        <f>CHOOSE(CONTROL!$C$42, 4.2884, 4.2884) * CHOOSE(CONTROL!$C$21, $C$9, 100%, $E$9)</f>
        <v>4.2884000000000002</v>
      </c>
      <c r="AA33" s="55">
        <f>(131500*30*(6/30))/1000000</f>
        <v>0.78900000000000003</v>
      </c>
      <c r="AB33" s="49">
        <f>(B33*194.205+C33*267.466+D33*133.845+E33*213.484+F33*40+G33*25+H33*50+I33*100+J33*300)/(194.205+267.466+133.845+213.484+50+40+25+100+300)</f>
        <v>4.4386521859516614</v>
      </c>
      <c r="AC33" s="44">
        <f t="shared" si="1"/>
        <v>4.3734050359712224</v>
      </c>
    </row>
    <row r="34" spans="1:29" ht="15" x14ac:dyDescent="0.2">
      <c r="A34" s="13">
        <v>41913</v>
      </c>
      <c r="B34" s="14">
        <f>CHOOSE(CONTROL!$C$42, 4.3726, 4.3726) * CHOOSE(CONTROL!$C$21, $C$9, 100%, $E$9)</f>
        <v>4.3726000000000003</v>
      </c>
      <c r="C34" s="14">
        <f>CHOOSE(CONTROL!$C$42, 4.3779, 4.3779) * CHOOSE(CONTROL!$C$21, $C$9, 100%, $E$9)</f>
        <v>4.3779000000000003</v>
      </c>
      <c r="D34" s="14">
        <f>CHOOSE(CONTROL!$C$42, 4.6087, 4.6087) * CHOOSE(CONTROL!$C$21, $C$9, 100%, $E$9)</f>
        <v>4.6086999999999998</v>
      </c>
      <c r="E34" s="14">
        <f>CHOOSE(CONTROL!$C$42, 4.6378, 4.6378) * CHOOSE(CONTROL!$C$21, $C$9, 100%, $E$9)</f>
        <v>4.6378000000000004</v>
      </c>
      <c r="F34" s="14">
        <f>CHOOSE(CONTROL!$C$42, 4.4015, 4.4015)*CHOOSE(CONTROL!$C$21, $C$9, 100%, $E$9)</f>
        <v>4.4015000000000004</v>
      </c>
      <c r="G34" s="14">
        <f>CHOOSE(CONTROL!$C$42, 4.4186, 4.4186)*CHOOSE(CONTROL!$C$21, $C$9, 100%, $E$9)</f>
        <v>4.4185999999999996</v>
      </c>
      <c r="H34" s="14">
        <f>CHOOSE(CONTROL!$C$42, 4.6283, 4.6283) * CHOOSE(CONTROL!$C$21, $C$9, 100%, $E$9)</f>
        <v>4.6283000000000003</v>
      </c>
      <c r="I34" s="14">
        <f>CHOOSE(CONTROL!$C$42, 4.4196, 4.4196)* CHOOSE(CONTROL!$C$21, $C$9, 100%, $E$9)</f>
        <v>4.4196</v>
      </c>
      <c r="J34" s="14">
        <f>CHOOSE(CONTROL!$C$42, 4.3945, 4.3945)* CHOOSE(CONTROL!$C$21, $C$9, 100%, $E$9)</f>
        <v>4.3944999999999999</v>
      </c>
      <c r="K34" s="58"/>
      <c r="L34" s="14">
        <f>CHOOSE(CONTROL!$C$42, 5.2153, 5.2153) * CHOOSE(CONTROL!$C$21, $C$9, 100%, $E$9)</f>
        <v>5.2153</v>
      </c>
      <c r="M34" s="14">
        <f>CHOOSE(CONTROL!$C$42, 4.3121, 4.3121) * CHOOSE(CONTROL!$C$21, $C$9, 100%, $E$9)</f>
        <v>4.3121</v>
      </c>
      <c r="N34" s="14">
        <f>CHOOSE(CONTROL!$C$42, 4.3289, 4.3289) * CHOOSE(CONTROL!$C$21, $C$9, 100%, $E$9)</f>
        <v>4.3289</v>
      </c>
      <c r="O34" s="14">
        <f>CHOOSE(CONTROL!$C$42, 4.5412, 4.5412) * CHOOSE(CONTROL!$C$21, $C$9, 100%, $E$9)</f>
        <v>4.5411999999999999</v>
      </c>
      <c r="P34" s="14">
        <f>CHOOSE(CONTROL!$C$42, 4.3366, 4.3366) * CHOOSE(CONTROL!$C$21, $C$9, 100%, $E$9)</f>
        <v>4.3365999999999998</v>
      </c>
      <c r="Q34" s="14">
        <f>CHOOSE(CONTROL!$C$42, 5.1359, 5.1359) * CHOOSE(CONTROL!$C$21, $C$9, 100%, $E$9)</f>
        <v>5.1359000000000004</v>
      </c>
      <c r="R34" s="14">
        <f>CHOOSE(CONTROL!$C$42, 5.7357, 5.7357) * CHOOSE(CONTROL!$C$21, $C$9, 100%, $E$9)</f>
        <v>5.7356999999999996</v>
      </c>
      <c r="S34" s="14">
        <f>CHOOSE(CONTROL!$C$42, 4.1927, 4.1927) * CHOOSE(CONTROL!$C$21, $C$9, 100%, $E$9)</f>
        <v>4.1927000000000003</v>
      </c>
      <c r="T3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56">
        <f>(1000*CHOOSE(CONTROL!$C$42, 695, 695)*CHOOSE(CONTROL!$C$42, 0.5599, 0.5599)*CHOOSE(CONTROL!$C$42, 31, 31))/1000000</f>
        <v>12.063045499999998</v>
      </c>
      <c r="V34" s="56">
        <f>(1000*CHOOSE(CONTROL!$C$42, 580, 580)*CHOOSE(CONTROL!$C$42, 0.275, 0.275)*CHOOSE(CONTROL!$C$42, 31, 31))/1000000</f>
        <v>4.9444999999999997</v>
      </c>
      <c r="W34" s="56">
        <f>(1000*CHOOSE(CONTROL!$C$42, 0.1146, 0.1146)*CHOOSE(CONTROL!$C$42, 200, 200)*CHOOSE(CONTROL!$C$42, 31, 31))/1000000</f>
        <v>0.71052000000000004</v>
      </c>
      <c r="X34" s="56">
        <f>31*0.1790888*145000/1000000</f>
        <v>0.80500415599999997</v>
      </c>
      <c r="Y34" s="56"/>
      <c r="Z34" s="14">
        <f>CHOOSE(CONTROL!$C$42, 4.311, 4.311) * CHOOSE(CONTROL!$C$21, $C$9, 100%, $E$9)</f>
        <v>4.3109999999999999</v>
      </c>
      <c r="AA34" s="55">
        <f>(131500*31*(6/31))/1000000</f>
        <v>0.78900000000000003</v>
      </c>
      <c r="AB34" s="49">
        <f>(B34*131.881+C34*277.167+D34*79.08+E34*285.872+F34*40+G34*25+H34*0+I34*100+J34*300)/(131.881+277.167+79.08+285.872+0+40+25+100+300)</f>
        <v>4.4610011521388211</v>
      </c>
      <c r="AC34" s="44">
        <f t="shared" si="1"/>
        <v>4.3959913669064745</v>
      </c>
    </row>
    <row r="35" spans="1:29" ht="15" x14ac:dyDescent="0.2">
      <c r="A35" s="13">
        <v>41944</v>
      </c>
      <c r="B35" s="14">
        <f>CHOOSE(CONTROL!$C$42, 4.4523, 4.4523) * CHOOSE(CONTROL!$C$21, $C$9, 100%, $E$9)</f>
        <v>4.4523000000000001</v>
      </c>
      <c r="C35" s="14">
        <f>CHOOSE(CONTROL!$C$42, 4.4574, 4.4574) * CHOOSE(CONTROL!$C$21, $C$9, 100%, $E$9)</f>
        <v>4.4573999999999998</v>
      </c>
      <c r="D35" s="14">
        <f>CHOOSE(CONTROL!$C$42, 4.5264, 4.5264) * CHOOSE(CONTROL!$C$21, $C$9, 100%, $E$9)</f>
        <v>4.5263999999999998</v>
      </c>
      <c r="E35" s="14">
        <f>CHOOSE(CONTROL!$C$42, 4.5605, 4.5605) * CHOOSE(CONTROL!$C$21, $C$9, 100%, $E$9)</f>
        <v>4.5605000000000002</v>
      </c>
      <c r="F35" s="14">
        <f>CHOOSE(CONTROL!$C$42, 4.4879, 4.4879)*CHOOSE(CONTROL!$C$21, $C$9, 100%, $E$9)</f>
        <v>4.4878999999999998</v>
      </c>
      <c r="G35" s="14">
        <f>CHOOSE(CONTROL!$C$42, 4.5053, 4.5053)*CHOOSE(CONTROL!$C$21, $C$9, 100%, $E$9)</f>
        <v>4.5053000000000001</v>
      </c>
      <c r="H35" s="14">
        <f>CHOOSE(CONTROL!$C$42, 4.5497, 4.5497) * CHOOSE(CONTROL!$C$21, $C$9, 100%, $E$9)</f>
        <v>4.5496999999999996</v>
      </c>
      <c r="I35" s="14">
        <f>CHOOSE(CONTROL!$C$42, 4.5026, 4.5026)* CHOOSE(CONTROL!$C$21, $C$9, 100%, $E$9)</f>
        <v>4.5026000000000002</v>
      </c>
      <c r="J35" s="14">
        <f>CHOOSE(CONTROL!$C$42, 4.4809, 4.4809)* CHOOSE(CONTROL!$C$21, $C$9, 100%, $E$9)</f>
        <v>4.4809000000000001</v>
      </c>
      <c r="K35" s="58"/>
      <c r="L35" s="14">
        <f>CHOOSE(CONTROL!$C$42, 5.1367, 5.1367) * CHOOSE(CONTROL!$C$21, $C$9, 100%, $E$9)</f>
        <v>5.1367000000000003</v>
      </c>
      <c r="M35" s="14">
        <f>CHOOSE(CONTROL!$C$42, 4.3968, 4.3968) * CHOOSE(CONTROL!$C$21, $C$9, 100%, $E$9)</f>
        <v>4.3967999999999998</v>
      </c>
      <c r="N35" s="14">
        <f>CHOOSE(CONTROL!$C$42, 4.4138, 4.4138) * CHOOSE(CONTROL!$C$21, $C$9, 100%, $E$9)</f>
        <v>4.4138000000000002</v>
      </c>
      <c r="O35" s="14">
        <f>CHOOSE(CONTROL!$C$42, 4.4642, 4.4642) * CHOOSE(CONTROL!$C$21, $C$9, 100%, $E$9)</f>
        <v>4.4641999999999999</v>
      </c>
      <c r="P35" s="14">
        <f>CHOOSE(CONTROL!$C$42, 4.4178, 4.4178) * CHOOSE(CONTROL!$C$21, $C$9, 100%, $E$9)</f>
        <v>4.4177999999999997</v>
      </c>
      <c r="Q35" s="14">
        <f>CHOOSE(CONTROL!$C$42, 5.0589, 5.0589) * CHOOSE(CONTROL!$C$21, $C$9, 100%, $E$9)</f>
        <v>5.0589000000000004</v>
      </c>
      <c r="R35" s="14">
        <f>CHOOSE(CONTROL!$C$42, 5.6585, 5.6585) * CHOOSE(CONTROL!$C$21, $C$9, 100%, $E$9)</f>
        <v>5.6585000000000001</v>
      </c>
      <c r="S35" s="14">
        <f>CHOOSE(CONTROL!$C$42, 4.2697, 4.2697) * CHOOSE(CONTROL!$C$21, $C$9, 100%, $E$9)</f>
        <v>4.2697000000000003</v>
      </c>
      <c r="T3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56">
        <f>(1000*CHOOSE(CONTROL!$C$42, 695, 695)*CHOOSE(CONTROL!$C$42, 0.5599, 0.5599)*CHOOSE(CONTROL!$C$42, 30, 30))/1000000</f>
        <v>11.673914999999997</v>
      </c>
      <c r="V35" s="56">
        <f>(1000*CHOOSE(CONTROL!$C$42, 580, 580)*CHOOSE(CONTROL!$C$42, 0.275, 0.275)*CHOOSE(CONTROL!$C$42, 30, 30))/1000000</f>
        <v>4.7850000000000001</v>
      </c>
      <c r="W35" s="56">
        <f>(1000*CHOOSE(CONTROL!$C$42, 0.1146, 0.1146)*CHOOSE(CONTROL!$C$42, 200, 200)*CHOOSE(CONTROL!$C$42, 30, 30))/1000000</f>
        <v>0.68759999999999999</v>
      </c>
      <c r="X35" s="56">
        <v>0</v>
      </c>
      <c r="Y35" s="56"/>
      <c r="Z35" s="14">
        <f>CHOOSE(CONTROL!$C$42, 4.4015, 4.4015) * CHOOSE(CONTROL!$C$21, $C$9, 100%, $E$9)</f>
        <v>4.4015000000000004</v>
      </c>
      <c r="AA35" s="55">
        <f>(131500*30*(6/30))/1000000</f>
        <v>0.78900000000000003</v>
      </c>
      <c r="AB35" s="49">
        <f>(B35*122.58+C35*297.941+D35*89.177+E35*200.302+F35*40+G35*0+H35*0+I35*100+J35*300)/(122.58+297.941+89.177+200.302+0+40+0+100+300)</f>
        <v>4.4912862532173916</v>
      </c>
      <c r="AC35" s="44">
        <f>(M35*240+N35*0+O35*355+P35*100)/(240+0+355+100)</f>
        <v>4.4342489208633094</v>
      </c>
    </row>
    <row r="36" spans="1:29" ht="15" x14ac:dyDescent="0.2">
      <c r="A36" s="13">
        <v>41974</v>
      </c>
      <c r="B36" s="14">
        <f>CHOOSE(CONTROL!$C$42, 4.6272, 4.6272) * CHOOSE(CONTROL!$C$21, $C$9, 100%, $E$9)</f>
        <v>4.6272000000000002</v>
      </c>
      <c r="C36" s="14">
        <f>CHOOSE(CONTROL!$C$42, 4.6322, 4.6322) * CHOOSE(CONTROL!$C$21, $C$9, 100%, $E$9)</f>
        <v>4.6322000000000001</v>
      </c>
      <c r="D36" s="14">
        <f>CHOOSE(CONTROL!$C$42, 4.7013, 4.7013) * CHOOSE(CONTROL!$C$21, $C$9, 100%, $E$9)</f>
        <v>4.7012999999999998</v>
      </c>
      <c r="E36" s="14">
        <f>CHOOSE(CONTROL!$C$42, 4.7354, 4.7354) * CHOOSE(CONTROL!$C$21, $C$9, 100%, $E$9)</f>
        <v>4.7354000000000003</v>
      </c>
      <c r="F36" s="14">
        <f>CHOOSE(CONTROL!$C$42, 4.665, 4.665)*CHOOSE(CONTROL!$C$21, $C$9, 100%, $E$9)</f>
        <v>4.665</v>
      </c>
      <c r="G36" s="14">
        <f>CHOOSE(CONTROL!$C$42, 4.683, 4.683)*CHOOSE(CONTROL!$C$21, $C$9, 100%, $E$9)</f>
        <v>4.6829999999999998</v>
      </c>
      <c r="H36" s="14">
        <f>CHOOSE(CONTROL!$C$42, 4.7246, 4.7246) * CHOOSE(CONTROL!$C$21, $C$9, 100%, $E$9)</f>
        <v>4.7245999999999997</v>
      </c>
      <c r="I36" s="14">
        <f>CHOOSE(CONTROL!$C$42, 4.678, 4.678)* CHOOSE(CONTROL!$C$21, $C$9, 100%, $E$9)</f>
        <v>4.6779999999999999</v>
      </c>
      <c r="J36" s="14">
        <f>CHOOSE(CONTROL!$C$42, 4.658, 4.658)* CHOOSE(CONTROL!$C$21, $C$9, 100%, $E$9)</f>
        <v>4.6580000000000004</v>
      </c>
      <c r="K36" s="58"/>
      <c r="L36" s="14">
        <f>CHOOSE(CONTROL!$C$42, 5.3116, 5.3116) * CHOOSE(CONTROL!$C$21, $C$9, 100%, $E$9)</f>
        <v>5.3116000000000003</v>
      </c>
      <c r="M36" s="14">
        <f>CHOOSE(CONTROL!$C$42, 4.5703, 4.5703) * CHOOSE(CONTROL!$C$21, $C$9, 100%, $E$9)</f>
        <v>4.5702999999999996</v>
      </c>
      <c r="N36" s="14">
        <f>CHOOSE(CONTROL!$C$42, 4.5879, 4.5879) * CHOOSE(CONTROL!$C$21, $C$9, 100%, $E$9)</f>
        <v>4.5879000000000003</v>
      </c>
      <c r="O36" s="14">
        <f>CHOOSE(CONTROL!$C$42, 4.6354, 4.6354) * CHOOSE(CONTROL!$C$21, $C$9, 100%, $E$9)</f>
        <v>4.6353999999999997</v>
      </c>
      <c r="P36" s="14">
        <f>CHOOSE(CONTROL!$C$42, 4.5896, 4.5896) * CHOOSE(CONTROL!$C$21, $C$9, 100%, $E$9)</f>
        <v>4.5895999999999999</v>
      </c>
      <c r="Q36" s="14">
        <f>CHOOSE(CONTROL!$C$42, 5.2301, 5.2301) * CHOOSE(CONTROL!$C$21, $C$9, 100%, $E$9)</f>
        <v>5.2301000000000002</v>
      </c>
      <c r="R36" s="14">
        <f>CHOOSE(CONTROL!$C$42, 5.8302, 5.8302) * CHOOSE(CONTROL!$C$21, $C$9, 100%, $E$9)</f>
        <v>5.8301999999999996</v>
      </c>
      <c r="S36" s="14">
        <f>CHOOSE(CONTROL!$C$42, 4.4377, 4.4377) * CHOOSE(CONTROL!$C$21, $C$9, 100%, $E$9)</f>
        <v>4.4377000000000004</v>
      </c>
      <c r="T3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56">
        <f>(1000*CHOOSE(CONTROL!$C$42, 695, 695)*CHOOSE(CONTROL!$C$42, 0.5599, 0.5599)*CHOOSE(CONTROL!$C$42, 31, 31))/1000000</f>
        <v>12.063045499999998</v>
      </c>
      <c r="V36" s="56">
        <f>(1000*CHOOSE(CONTROL!$C$42, 580, 580)*CHOOSE(CONTROL!$C$42, 0.275, 0.275)*CHOOSE(CONTROL!$C$42, 31, 31))/1000000</f>
        <v>4.9444999999999997</v>
      </c>
      <c r="W36" s="56">
        <f>(1000*CHOOSE(CONTROL!$C$42, 0.1146, 0.1146)*CHOOSE(CONTROL!$C$42, 200, 200)*CHOOSE(CONTROL!$C$42, 31, 31))/1000000</f>
        <v>0.71052000000000004</v>
      </c>
      <c r="X36" s="56">
        <v>0</v>
      </c>
      <c r="Y36" s="56"/>
      <c r="Z36" s="14">
        <f>CHOOSE(CONTROL!$C$42, 4.5735, 4.5735) * CHOOSE(CONTROL!$C$21, $C$9, 100%, $E$9)</f>
        <v>4.5735000000000001</v>
      </c>
      <c r="AA36" s="55">
        <f>(131500*31*(6/31))/1000000</f>
        <v>0.78900000000000003</v>
      </c>
      <c r="AB36" s="49">
        <f>(B36*122.58+C36*297.941+D36*89.177+E36*200.302+F36*40+G36*0+H36*0+I36*100+J36*300)/(122.58+297.941+89.177+200.302+0+40+0+100+300)</f>
        <v>4.6668542583478265</v>
      </c>
      <c r="AC36" s="44">
        <f>(M36*240+N36*0+O36*355+P36*100)/(240+0+355+100)</f>
        <v>4.6063294964028776</v>
      </c>
    </row>
    <row r="37" spans="1:29" ht="15.75" x14ac:dyDescent="0.25">
      <c r="A37" s="13">
        <v>42005</v>
      </c>
      <c r="B37" s="14">
        <f>CHOOSE(CONTROL!$C$42, 4.7167, 4.7167) * CHOOSE(CONTROL!$C$21, $C$9, 100%, $E$9)</f>
        <v>4.7167000000000003</v>
      </c>
      <c r="C37" s="14">
        <f>CHOOSE(CONTROL!$C$42, 4.7217, 4.7217) * CHOOSE(CONTROL!$C$21, $C$9, 100%, $E$9)</f>
        <v>4.7217000000000002</v>
      </c>
      <c r="D37" s="14">
        <f>CHOOSE(CONTROL!$C$42, 4.8012, 4.8012) * CHOOSE(CONTROL!$C$21, $C$9, 100%, $E$9)</f>
        <v>4.8011999999999997</v>
      </c>
      <c r="E37" s="14">
        <f>CHOOSE(CONTROL!$C$42, 4.8353, 4.8353) * CHOOSE(CONTROL!$C$21, $C$9, 100%, $E$9)</f>
        <v>4.8353000000000002</v>
      </c>
      <c r="F37" s="14">
        <f>CHOOSE(CONTROL!$C$42, 4.7397, 4.7397)*CHOOSE(CONTROL!$C$21, $C$9, 100%, $E$9)</f>
        <v>4.7397</v>
      </c>
      <c r="G37" s="14">
        <f>CHOOSE(CONTROL!$C$42, 4.7572, 4.7572)*CHOOSE(CONTROL!$C$21, $C$9, 100%, $E$9)</f>
        <v>4.7572000000000001</v>
      </c>
      <c r="H37" s="14">
        <f>CHOOSE(CONTROL!$C$42, 4.8245, 4.8245) * CHOOSE(CONTROL!$C$21, $C$9, 100%, $E$9)</f>
        <v>4.8244999999999996</v>
      </c>
      <c r="I37" s="14">
        <f>CHOOSE(CONTROL!$C$42, 4.7667, 4.7667)* CHOOSE(CONTROL!$C$21, $C$9, 100%, $E$9)</f>
        <v>4.7667000000000002</v>
      </c>
      <c r="J37" s="14">
        <f>CHOOSE(CONTROL!$C$42, 4.7327, 4.7327)* CHOOSE(CONTROL!$C$21, $C$9, 100%, $E$9)</f>
        <v>4.7327000000000004</v>
      </c>
      <c r="K37" s="52"/>
      <c r="L37" s="14">
        <f>CHOOSE(CONTROL!$C$42, 5.4115, 5.4115) * CHOOSE(CONTROL!$C$21, $C$9, 100%, $E$9)</f>
        <v>5.4115000000000002</v>
      </c>
      <c r="M37" s="14">
        <f>CHOOSE(CONTROL!$C$42, 4.6434, 4.6434) * CHOOSE(CONTROL!$C$21, $C$9, 100%, $E$9)</f>
        <v>4.6433999999999997</v>
      </c>
      <c r="N37" s="14">
        <f>CHOOSE(CONTROL!$C$42, 4.6606, 4.6606) * CHOOSE(CONTROL!$C$21, $C$9, 100%, $E$9)</f>
        <v>4.6605999999999996</v>
      </c>
      <c r="O37" s="14">
        <f>CHOOSE(CONTROL!$C$42, 4.7333, 4.7333) * CHOOSE(CONTROL!$C$21, $C$9, 100%, $E$9)</f>
        <v>4.7332999999999998</v>
      </c>
      <c r="P37" s="14">
        <f>CHOOSE(CONTROL!$C$42, 4.6765, 4.6765) * CHOOSE(CONTROL!$C$21, $C$9, 100%, $E$9)</f>
        <v>4.6764999999999999</v>
      </c>
      <c r="Q37" s="14">
        <f>CHOOSE(CONTROL!$C$42, 5.328, 5.328) * CHOOSE(CONTROL!$C$21, $C$9, 100%, $E$9)</f>
        <v>5.3280000000000003</v>
      </c>
      <c r="R37" s="14">
        <f>CHOOSE(CONTROL!$C$42, 5.9283, 5.9283) * CHOOSE(CONTROL!$C$21, $C$9, 100%, $E$9)</f>
        <v>5.9283000000000001</v>
      </c>
      <c r="S37" s="14">
        <f>CHOOSE(CONTROL!$C$42, 4.5237, 4.5237) * CHOOSE(CONTROL!$C$21, $C$9, 100%, $E$9)</f>
        <v>4.5236999999999998</v>
      </c>
      <c r="T3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56">
        <f>(1000*CHOOSE(CONTROL!$C$42, 695, 695)*CHOOSE(CONTROL!$C$42, 0.5599, 0.5599)*CHOOSE(CONTROL!$C$42, 31, 31))/1000000</f>
        <v>12.063045499999998</v>
      </c>
      <c r="V37" s="56">
        <f>(1000*CHOOSE(CONTROL!$C$42, 580, 580)*CHOOSE(CONTROL!$C$42, 0.275, 0.275)*CHOOSE(CONTROL!$C$42, 31, 31))/1000000</f>
        <v>4.9444999999999997</v>
      </c>
      <c r="W37" s="56">
        <f>(1000*CHOOSE(CONTROL!$C$42, 0.1146, 0.1146)*CHOOSE(CONTROL!$C$42, 200, 200)*CHOOSE(CONTROL!$C$42, 31, 31))/1000000</f>
        <v>0.71052000000000004</v>
      </c>
      <c r="X37" s="56">
        <v>0</v>
      </c>
      <c r="Y37" s="56"/>
      <c r="Z37" s="14">
        <f>CHOOSE(CONTROL!$C$42, 4.6615, 4.6615) * CHOOSE(CONTROL!$C$21, $C$9, 100%, $E$9)</f>
        <v>4.6615000000000002</v>
      </c>
      <c r="AA37" s="55">
        <f>(131500*31*(6/31))/1000000</f>
        <v>0.78900000000000003</v>
      </c>
      <c r="AB37" s="49">
        <f>(B37*122.58+C37*297.941+D37*89.177+E37*200.302+F37*40+G37*0+H37*0+I37*100+J37*300)/(122.58+297.941+89.177+200.302+0+40+0+100+300)</f>
        <v>4.7545269379999997</v>
      </c>
      <c r="AC37" s="44">
        <f>(M37*240+N37*0+O37*355+P37*100)/(240+0+355+100)</f>
        <v>4.6940827338129498</v>
      </c>
    </row>
    <row r="38" spans="1:29" ht="15.75" x14ac:dyDescent="0.25">
      <c r="A38" s="13">
        <v>42036</v>
      </c>
      <c r="B38" s="14">
        <f>CHOOSE(CONTROL!$C$42, 4.7, 4.7) * CHOOSE(CONTROL!$C$21, $C$9, 100%, $E$9)</f>
        <v>4.7</v>
      </c>
      <c r="C38" s="14">
        <f>CHOOSE(CONTROL!$C$42, 4.7051, 4.7051) * CHOOSE(CONTROL!$C$21, $C$9, 100%, $E$9)</f>
        <v>4.7050999999999998</v>
      </c>
      <c r="D38" s="14">
        <f>CHOOSE(CONTROL!$C$42, 4.7845, 4.7845) * CHOOSE(CONTROL!$C$21, $C$9, 100%, $E$9)</f>
        <v>4.7845000000000004</v>
      </c>
      <c r="E38" s="14">
        <f>CHOOSE(CONTROL!$C$42, 4.8186, 4.8186) * CHOOSE(CONTROL!$C$21, $C$9, 100%, $E$9)</f>
        <v>4.8186</v>
      </c>
      <c r="F38" s="14">
        <f>CHOOSE(CONTROL!$C$42, 4.7228, 4.7228)*CHOOSE(CONTROL!$C$21, $C$9, 100%, $E$9)</f>
        <v>4.7228000000000003</v>
      </c>
      <c r="G38" s="14">
        <f>CHOOSE(CONTROL!$C$42, 4.7403, 4.7403)*CHOOSE(CONTROL!$C$21, $C$9, 100%, $E$9)</f>
        <v>4.7403000000000004</v>
      </c>
      <c r="H38" s="14">
        <f>CHOOSE(CONTROL!$C$42, 4.8078, 4.8078) * CHOOSE(CONTROL!$C$21, $C$9, 100%, $E$9)</f>
        <v>4.8078000000000003</v>
      </c>
      <c r="I38" s="14">
        <f>CHOOSE(CONTROL!$C$42, 4.75, 4.75)* CHOOSE(CONTROL!$C$21, $C$9, 100%, $E$9)</f>
        <v>4.75</v>
      </c>
      <c r="J38" s="14">
        <f>CHOOSE(CONTROL!$C$42, 4.7158, 4.7158)* CHOOSE(CONTROL!$C$21, $C$9, 100%, $E$9)</f>
        <v>4.7157999999999998</v>
      </c>
      <c r="K38" s="52"/>
      <c r="L38" s="14">
        <f>CHOOSE(CONTROL!$C$42, 5.3948, 5.3948) * CHOOSE(CONTROL!$C$21, $C$9, 100%, $E$9)</f>
        <v>5.3948</v>
      </c>
      <c r="M38" s="14">
        <f>CHOOSE(CONTROL!$C$42, 4.6269, 4.6269) * CHOOSE(CONTROL!$C$21, $C$9, 100%, $E$9)</f>
        <v>4.6269</v>
      </c>
      <c r="N38" s="14">
        <f>CHOOSE(CONTROL!$C$42, 4.644, 4.644) * CHOOSE(CONTROL!$C$21, $C$9, 100%, $E$9)</f>
        <v>4.6440000000000001</v>
      </c>
      <c r="O38" s="14">
        <f>CHOOSE(CONTROL!$C$42, 4.717, 4.717) * CHOOSE(CONTROL!$C$21, $C$9, 100%, $E$9)</f>
        <v>4.7169999999999996</v>
      </c>
      <c r="P38" s="14">
        <f>CHOOSE(CONTROL!$C$42, 4.6602, 4.6602) * CHOOSE(CONTROL!$C$21, $C$9, 100%, $E$9)</f>
        <v>4.6601999999999997</v>
      </c>
      <c r="Q38" s="14">
        <f>CHOOSE(CONTROL!$C$42, 5.3117, 5.3117) * CHOOSE(CONTROL!$C$21, $C$9, 100%, $E$9)</f>
        <v>5.3117000000000001</v>
      </c>
      <c r="R38" s="14">
        <f>CHOOSE(CONTROL!$C$42, 5.912, 5.912) * CHOOSE(CONTROL!$C$21, $C$9, 100%, $E$9)</f>
        <v>5.9119999999999999</v>
      </c>
      <c r="S38" s="14">
        <f>CHOOSE(CONTROL!$C$42, 4.5077, 4.5077) * CHOOSE(CONTROL!$C$21, $C$9, 100%, $E$9)</f>
        <v>4.5076999999999998</v>
      </c>
      <c r="T3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" s="56">
        <f>(1000*CHOOSE(CONTROL!$C$42, 695, 695)*CHOOSE(CONTROL!$C$42, 0.5599, 0.5599)*CHOOSE(CONTROL!$C$42, 28, 28))/1000000</f>
        <v>10.895653999999999</v>
      </c>
      <c r="V38" s="56">
        <f>(1000*CHOOSE(CONTROL!$C$42, 580, 580)*CHOOSE(CONTROL!$C$42, 0.275, 0.275)*CHOOSE(CONTROL!$C$42, 28, 28))/1000000</f>
        <v>4.4660000000000002</v>
      </c>
      <c r="W38" s="56">
        <f>(1000*CHOOSE(CONTROL!$C$42, 0.1146, 0.1146)*CHOOSE(CONTROL!$C$42, 200, 200)*CHOOSE(CONTROL!$C$42, 28, 28))/1000000</f>
        <v>0.64176</v>
      </c>
      <c r="X38" s="56">
        <v>0</v>
      </c>
      <c r="Y38" s="56"/>
      <c r="Z38" s="14">
        <f>CHOOSE(CONTROL!$C$42, 4.6451, 4.6451) * CHOOSE(CONTROL!$C$21, $C$9, 100%, $E$9)</f>
        <v>4.6451000000000002</v>
      </c>
      <c r="AA38" s="55">
        <f>(131500*28*(6/28))/1000000</f>
        <v>0.78900000000000003</v>
      </c>
      <c r="AB38" s="49">
        <f>(B38*122.58+C38*297.941+D38*89.177+E38*200.302+F38*40+G38*0+H38*0+I38*100+J38*300)/(122.58+297.941+89.177+200.302+0+40+0+100+300)</f>
        <v>4.7377937154782606</v>
      </c>
      <c r="AC38" s="44">
        <f>(M38*240+N38*0+O38*355+P38*100)/(240+0+355+100)</f>
        <v>4.6777136690647483</v>
      </c>
    </row>
    <row r="39" spans="1:29" ht="15.75" x14ac:dyDescent="0.25">
      <c r="A39" s="13">
        <v>42064</v>
      </c>
      <c r="B39" s="14">
        <f>CHOOSE(CONTROL!$C$42, 4.6303, 4.6303) * CHOOSE(CONTROL!$C$21, $C$9, 100%, $E$9)</f>
        <v>4.6303000000000001</v>
      </c>
      <c r="C39" s="14">
        <f>CHOOSE(CONTROL!$C$42, 4.6354, 4.6354) * CHOOSE(CONTROL!$C$21, $C$9, 100%, $E$9)</f>
        <v>4.6353999999999997</v>
      </c>
      <c r="D39" s="14">
        <f>CHOOSE(CONTROL!$C$42, 4.7148, 4.7148) * CHOOSE(CONTROL!$C$21, $C$9, 100%, $E$9)</f>
        <v>4.7148000000000003</v>
      </c>
      <c r="E39" s="14">
        <f>CHOOSE(CONTROL!$C$42, 4.7489, 4.7489) * CHOOSE(CONTROL!$C$21, $C$9, 100%, $E$9)</f>
        <v>4.7488999999999999</v>
      </c>
      <c r="F39" s="14">
        <f>CHOOSE(CONTROL!$C$42, 4.6523, 4.6523)*CHOOSE(CONTROL!$C$21, $C$9, 100%, $E$9)</f>
        <v>4.6523000000000003</v>
      </c>
      <c r="G39" s="14">
        <f>CHOOSE(CONTROL!$C$42, 4.6696, 4.6696)*CHOOSE(CONTROL!$C$21, $C$9, 100%, $E$9)</f>
        <v>4.6696</v>
      </c>
      <c r="H39" s="14">
        <f>CHOOSE(CONTROL!$C$42, 4.7381, 4.7381) * CHOOSE(CONTROL!$C$21, $C$9, 100%, $E$9)</f>
        <v>4.7381000000000002</v>
      </c>
      <c r="I39" s="14">
        <f>CHOOSE(CONTROL!$C$42, 4.6801, 4.6801)* CHOOSE(CONTROL!$C$21, $C$9, 100%, $E$9)</f>
        <v>4.6801000000000004</v>
      </c>
      <c r="J39" s="14">
        <f>CHOOSE(CONTROL!$C$42, 4.6453, 4.6453)* CHOOSE(CONTROL!$C$21, $C$9, 100%, $E$9)</f>
        <v>4.6452999999999998</v>
      </c>
      <c r="K39" s="52"/>
      <c r="L39" s="14">
        <f>CHOOSE(CONTROL!$C$42, 5.3251, 5.3251) * CHOOSE(CONTROL!$C$21, $C$9, 100%, $E$9)</f>
        <v>5.3250999999999999</v>
      </c>
      <c r="M39" s="14">
        <f>CHOOSE(CONTROL!$C$42, 4.5579, 4.5579) * CHOOSE(CONTROL!$C$21, $C$9, 100%, $E$9)</f>
        <v>4.5579000000000001</v>
      </c>
      <c r="N39" s="14">
        <f>CHOOSE(CONTROL!$C$42, 4.5748, 4.5748) * CHOOSE(CONTROL!$C$21, $C$9, 100%, $E$9)</f>
        <v>4.5747999999999998</v>
      </c>
      <c r="O39" s="14">
        <f>CHOOSE(CONTROL!$C$42, 4.6487, 4.6487) * CHOOSE(CONTROL!$C$21, $C$9, 100%, $E$9)</f>
        <v>4.6486999999999998</v>
      </c>
      <c r="P39" s="14">
        <f>CHOOSE(CONTROL!$C$42, 4.5917, 4.5917) * CHOOSE(CONTROL!$C$21, $C$9, 100%, $E$9)</f>
        <v>4.5917000000000003</v>
      </c>
      <c r="Q39" s="14">
        <f>CHOOSE(CONTROL!$C$42, 5.2434, 5.2434) * CHOOSE(CONTROL!$C$21, $C$9, 100%, $E$9)</f>
        <v>5.2434000000000003</v>
      </c>
      <c r="R39" s="14">
        <f>CHOOSE(CONTROL!$C$42, 5.8435, 5.8435) * CHOOSE(CONTROL!$C$21, $C$9, 100%, $E$9)</f>
        <v>5.8434999999999997</v>
      </c>
      <c r="S39" s="14">
        <f>CHOOSE(CONTROL!$C$42, 4.4407, 4.4407) * CHOOSE(CONTROL!$C$21, $C$9, 100%, $E$9)</f>
        <v>4.4406999999999996</v>
      </c>
      <c r="T3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56">
        <f>(1000*CHOOSE(CONTROL!$C$42, 695, 695)*CHOOSE(CONTROL!$C$42, 0.5599, 0.5599)*CHOOSE(CONTROL!$C$42, 31, 31))/1000000</f>
        <v>12.063045499999998</v>
      </c>
      <c r="V39" s="56">
        <f>(1000*CHOOSE(CONTROL!$C$42, 580, 580)*CHOOSE(CONTROL!$C$42, 0.275, 0.275)*CHOOSE(CONTROL!$C$42, 31, 31))/1000000</f>
        <v>4.9444999999999997</v>
      </c>
      <c r="W39" s="56">
        <f>(1000*CHOOSE(CONTROL!$C$42, 0.1146, 0.1146)*CHOOSE(CONTROL!$C$42, 200, 200)*CHOOSE(CONTROL!$C$42, 31, 31))/1000000</f>
        <v>0.71052000000000004</v>
      </c>
      <c r="X39" s="56">
        <v>0</v>
      </c>
      <c r="Y39" s="56"/>
      <c r="Z39" s="14">
        <f>CHOOSE(CONTROL!$C$42, 4.5766, 4.5766) * CHOOSE(CONTROL!$C$21, $C$9, 100%, $E$9)</f>
        <v>4.5766</v>
      </c>
      <c r="AA39" s="55">
        <f>(131500*31*(6/31))/1000000</f>
        <v>0.78900000000000003</v>
      </c>
      <c r="AB39" s="49">
        <f>(B39*122.58+C39*297.941+D39*89.177+E39*200.302+F39*40+G39*0+H39*0+I39*100+J39*300)/(122.58+297.941+89.177+200.302+0+40+0+100+300)</f>
        <v>4.6678398024347834</v>
      </c>
      <c r="AC39" s="44">
        <f>(M39*240+N39*0+O39*355+P39*100)/(240+0+355+100)</f>
        <v>4.6091431654676258</v>
      </c>
    </row>
    <row r="40" spans="1:29" ht="15.75" x14ac:dyDescent="0.25">
      <c r="A40" s="13">
        <v>42095</v>
      </c>
      <c r="B40" s="14">
        <f>CHOOSE(CONTROL!$C$42, 4.3628, 4.3628) * CHOOSE(CONTROL!$C$21, $C$9, 100%, $E$9)</f>
        <v>4.3628</v>
      </c>
      <c r="C40" s="14">
        <f>CHOOSE(CONTROL!$C$42, 4.3673, 4.3673) * CHOOSE(CONTROL!$C$21, $C$9, 100%, $E$9)</f>
        <v>4.3673000000000002</v>
      </c>
      <c r="D40" s="14">
        <f>CHOOSE(CONTROL!$C$42, 4.5962, 4.5962) * CHOOSE(CONTROL!$C$21, $C$9, 100%, $E$9)</f>
        <v>4.5961999999999996</v>
      </c>
      <c r="E40" s="14">
        <f>CHOOSE(CONTROL!$C$42, 4.6283, 4.6283) * CHOOSE(CONTROL!$C$21, $C$9, 100%, $E$9)</f>
        <v>4.6283000000000003</v>
      </c>
      <c r="F40" s="14">
        <f>CHOOSE(CONTROL!$C$42, 4.3898, 4.3898)*CHOOSE(CONTROL!$C$21, $C$9, 100%, $E$9)</f>
        <v>4.3898000000000001</v>
      </c>
      <c r="G40" s="14">
        <f>CHOOSE(CONTROL!$C$42, 4.4065, 4.4065)*CHOOSE(CONTROL!$C$21, $C$9, 100%, $E$9)</f>
        <v>4.4065000000000003</v>
      </c>
      <c r="H40" s="14">
        <f>CHOOSE(CONTROL!$C$42, 4.6181, 4.6181) * CHOOSE(CONTROL!$C$21, $C$9, 100%, $E$9)</f>
        <v>4.6181000000000001</v>
      </c>
      <c r="I40" s="14">
        <f>CHOOSE(CONTROL!$C$42, 4.4094, 4.4094)* CHOOSE(CONTROL!$C$21, $C$9, 100%, $E$9)</f>
        <v>4.4093999999999998</v>
      </c>
      <c r="J40" s="14">
        <f>CHOOSE(CONTROL!$C$42, 4.3828, 4.3828)* CHOOSE(CONTROL!$C$21, $C$9, 100%, $E$9)</f>
        <v>4.3827999999999996</v>
      </c>
      <c r="K40" s="52"/>
      <c r="L40" s="14">
        <f>CHOOSE(CONTROL!$C$42, 5.2051, 5.2051) * CHOOSE(CONTROL!$C$21, $C$9, 100%, $E$9)</f>
        <v>5.2050999999999998</v>
      </c>
      <c r="M40" s="14">
        <f>CHOOSE(CONTROL!$C$42, 4.3007, 4.3007) * CHOOSE(CONTROL!$C$21, $C$9, 100%, $E$9)</f>
        <v>4.3007</v>
      </c>
      <c r="N40" s="14">
        <f>CHOOSE(CONTROL!$C$42, 4.3171, 4.3171) * CHOOSE(CONTROL!$C$21, $C$9, 100%, $E$9)</f>
        <v>4.3170999999999999</v>
      </c>
      <c r="O40" s="14">
        <f>CHOOSE(CONTROL!$C$42, 4.5312, 4.5312) * CHOOSE(CONTROL!$C$21, $C$9, 100%, $E$9)</f>
        <v>4.5312000000000001</v>
      </c>
      <c r="P40" s="14">
        <f>CHOOSE(CONTROL!$C$42, 4.3266, 4.3266) * CHOOSE(CONTROL!$C$21, $C$9, 100%, $E$9)</f>
        <v>4.3266</v>
      </c>
      <c r="Q40" s="14">
        <f>CHOOSE(CONTROL!$C$42, 5.1259, 5.1259) * CHOOSE(CONTROL!$C$21, $C$9, 100%, $E$9)</f>
        <v>5.1258999999999997</v>
      </c>
      <c r="R40" s="14">
        <f>CHOOSE(CONTROL!$C$42, 5.7257, 5.7257) * CHOOSE(CONTROL!$C$21, $C$9, 100%, $E$9)</f>
        <v>5.7256999999999998</v>
      </c>
      <c r="S40" s="14">
        <f>CHOOSE(CONTROL!$C$42, 4.1829, 4.1829) * CHOOSE(CONTROL!$C$21, $C$9, 100%, $E$9)</f>
        <v>4.1829000000000001</v>
      </c>
      <c r="T4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56">
        <f>(1000*CHOOSE(CONTROL!$C$42, 695, 695)*CHOOSE(CONTROL!$C$42, 0.5599, 0.5599)*CHOOSE(CONTROL!$C$42, 30, 30))/1000000</f>
        <v>11.673914999999997</v>
      </c>
      <c r="V40" s="56">
        <f>(1000*CHOOSE(CONTROL!$C$42, 580, 580)*CHOOSE(CONTROL!$C$42, 0.275, 0.275)*CHOOSE(CONTROL!$C$42, 30, 30))/1000000</f>
        <v>4.7850000000000001</v>
      </c>
      <c r="W40" s="56">
        <f>(1000*CHOOSE(CONTROL!$C$42, 0.1146, 0.1146)*CHOOSE(CONTROL!$C$42, 200, 200)*CHOOSE(CONTROL!$C$42, 30, 30))/1000000</f>
        <v>0.68759999999999999</v>
      </c>
      <c r="X40" s="56">
        <f>(30*0.1790888*245000/1000000)+(30*0.2374*100000/1000000)</f>
        <v>2.0285026799999999</v>
      </c>
      <c r="Y40" s="56"/>
      <c r="Z40" s="14">
        <f>CHOOSE(CONTROL!$C$42, 4.3009, 4.3009) * CHOOSE(CONTROL!$C$21, $C$9, 100%, $E$9)</f>
        <v>4.3009000000000004</v>
      </c>
      <c r="AA40" s="55">
        <f>(131500*30*(6/30))/1000000</f>
        <v>0.78900000000000003</v>
      </c>
      <c r="AB40" s="49">
        <f>(B40*141.293+C40*267.993+D40*115.016+E40*89.698+F40*40+G40*185+H40*0+I40*100+J40*300)/(141.293+267.993+115.016+89.698+0+40+185+100+300)</f>
        <v>4.4206611960451969</v>
      </c>
      <c r="AC40" s="44">
        <f t="shared" ref="AC40:AC46" si="2">(M40*240+N40*160+O40*195+P40*100)/(240+160+195+100)</f>
        <v>4.3728748201438847</v>
      </c>
    </row>
    <row r="41" spans="1:29" ht="15.75" x14ac:dyDescent="0.25">
      <c r="A41" s="13">
        <v>42125</v>
      </c>
      <c r="B41" s="14">
        <f>CHOOSE(CONTROL!$C$42, 4.3777, 4.3777) * CHOOSE(CONTROL!$C$21, $C$9, 100%, $E$9)</f>
        <v>4.3776999999999999</v>
      </c>
      <c r="C41" s="14">
        <f>CHOOSE(CONTROL!$C$42, 4.3858, 4.3858) * CHOOSE(CONTROL!$C$21, $C$9, 100%, $E$9)</f>
        <v>4.3857999999999997</v>
      </c>
      <c r="D41" s="14">
        <f>CHOOSE(CONTROL!$C$42, 4.6115, 4.6115) * CHOOSE(CONTROL!$C$21, $C$9, 100%, $E$9)</f>
        <v>4.6115000000000004</v>
      </c>
      <c r="E41" s="14">
        <f>CHOOSE(CONTROL!$C$42, 4.643, 4.643) * CHOOSE(CONTROL!$C$21, $C$9, 100%, $E$9)</f>
        <v>4.6429999999999998</v>
      </c>
      <c r="F41" s="14">
        <f>CHOOSE(CONTROL!$C$42, 4.4034, 4.4034)*CHOOSE(CONTROL!$C$21, $C$9, 100%, $E$9)</f>
        <v>4.4034000000000004</v>
      </c>
      <c r="G41" s="14">
        <f>CHOOSE(CONTROL!$C$42, 4.4204, 4.4204)*CHOOSE(CONTROL!$C$21, $C$9, 100%, $E$9)</f>
        <v>4.4203999999999999</v>
      </c>
      <c r="H41" s="14">
        <f>CHOOSE(CONTROL!$C$42, 4.6316, 4.6316) * CHOOSE(CONTROL!$C$21, $C$9, 100%, $E$9)</f>
        <v>4.6315999999999997</v>
      </c>
      <c r="I41" s="14">
        <f>CHOOSE(CONTROL!$C$42, 4.423, 4.423)* CHOOSE(CONTROL!$C$21, $C$9, 100%, $E$9)</f>
        <v>4.423</v>
      </c>
      <c r="J41" s="14">
        <f>CHOOSE(CONTROL!$C$42, 4.3964, 4.3964)* CHOOSE(CONTROL!$C$21, $C$9, 100%, $E$9)</f>
        <v>4.3963999999999999</v>
      </c>
      <c r="K41" s="52"/>
      <c r="L41" s="14">
        <f>CHOOSE(CONTROL!$C$42, 5.2186, 5.2186) * CHOOSE(CONTROL!$C$21, $C$9, 100%, $E$9)</f>
        <v>5.2186000000000003</v>
      </c>
      <c r="M41" s="14">
        <f>CHOOSE(CONTROL!$C$42, 4.314, 4.314) * CHOOSE(CONTROL!$C$21, $C$9, 100%, $E$9)</f>
        <v>4.3140000000000001</v>
      </c>
      <c r="N41" s="14">
        <f>CHOOSE(CONTROL!$C$42, 4.3306, 4.3306) * CHOOSE(CONTROL!$C$21, $C$9, 100%, $E$9)</f>
        <v>4.3305999999999996</v>
      </c>
      <c r="O41" s="14">
        <f>CHOOSE(CONTROL!$C$42, 4.5444, 4.5444) * CHOOSE(CONTROL!$C$21, $C$9, 100%, $E$9)</f>
        <v>4.5444000000000004</v>
      </c>
      <c r="P41" s="14">
        <f>CHOOSE(CONTROL!$C$42, 4.3398, 4.3398) * CHOOSE(CONTROL!$C$21, $C$9, 100%, $E$9)</f>
        <v>4.3398000000000003</v>
      </c>
      <c r="Q41" s="14">
        <f>CHOOSE(CONTROL!$C$42, 5.1391, 5.1391) * CHOOSE(CONTROL!$C$21, $C$9, 100%, $E$9)</f>
        <v>5.1391</v>
      </c>
      <c r="R41" s="14">
        <f>CHOOSE(CONTROL!$C$42, 5.739, 5.739) * CHOOSE(CONTROL!$C$21, $C$9, 100%, $E$9)</f>
        <v>5.7389999999999999</v>
      </c>
      <c r="S41" s="14">
        <f>CHOOSE(CONTROL!$C$42, 4.1959, 4.1959) * CHOOSE(CONTROL!$C$21, $C$9, 100%, $E$9)</f>
        <v>4.1959</v>
      </c>
      <c r="T41" s="57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41" s="56">
        <f>(1000*CHOOSE(CONTROL!$C$42, 695, 695)*CHOOSE(CONTROL!$C$42, 0.5599, 0.5599)*CHOOSE(CONTROL!$C$42, 31, 31))/1000000</f>
        <v>12.063045499999998</v>
      </c>
      <c r="V41" s="56">
        <f>(1000*CHOOSE(CONTROL!$C$42, 580, 580)*CHOOSE(CONTROL!$C$42, 0.275, 0.275)*CHOOSE(CONTROL!$C$42, 31, 31))/1000000</f>
        <v>4.9444999999999997</v>
      </c>
      <c r="W41" s="56">
        <f>(1000*CHOOSE(CONTROL!$C$42, 0.1146, 0.1146)*CHOOSE(CONTROL!$C$42, 200, 200)*CHOOSE(CONTROL!$C$42, 31, 31))/1000000</f>
        <v>0.71052000000000004</v>
      </c>
      <c r="X41" s="56">
        <f>(31*0.1790888*245000/1000000)+(31*0.2374*100000/1000000)</f>
        <v>2.0961194359999999</v>
      </c>
      <c r="Y41" s="56"/>
      <c r="Z41" s="14">
        <f>CHOOSE(CONTROL!$C$42, 4.3142, 4.3142) * CHOOSE(CONTROL!$C$21, $C$9, 100%, $E$9)</f>
        <v>4.3141999999999996</v>
      </c>
      <c r="AA41" s="55">
        <f>(131500*31*(6/31))/1000000</f>
        <v>0.78900000000000003</v>
      </c>
      <c r="AB41" s="49">
        <f>(B41*194.205+C41*267.466+D41*133.845+E41*53.484+F41*40+G41*185+H41*50+I41*100+J41*300)/(194.205+267.466+133.845+53.484+50+40+185+100+300)</f>
        <v>4.437678278549849</v>
      </c>
      <c r="AC41" s="44">
        <f t="shared" si="2"/>
        <v>4.3861784172661871</v>
      </c>
    </row>
    <row r="42" spans="1:29" ht="15.75" x14ac:dyDescent="0.25">
      <c r="A42" s="13">
        <v>42156</v>
      </c>
      <c r="B42" s="14">
        <f>CHOOSE(CONTROL!$C$42, 4.4027, 4.4027) * CHOOSE(CONTROL!$C$21, $C$9, 100%, $E$9)</f>
        <v>4.4027000000000003</v>
      </c>
      <c r="C42" s="14">
        <f>CHOOSE(CONTROL!$C$42, 4.4107, 4.4107) * CHOOSE(CONTROL!$C$21, $C$9, 100%, $E$9)</f>
        <v>4.4107000000000003</v>
      </c>
      <c r="D42" s="14">
        <f>CHOOSE(CONTROL!$C$42, 4.6365, 4.6365) * CHOOSE(CONTROL!$C$21, $C$9, 100%, $E$9)</f>
        <v>4.6364999999999998</v>
      </c>
      <c r="E42" s="14">
        <f>CHOOSE(CONTROL!$C$42, 4.668, 4.668) * CHOOSE(CONTROL!$C$21, $C$9, 100%, $E$9)</f>
        <v>4.6680000000000001</v>
      </c>
      <c r="F42" s="14">
        <f>CHOOSE(CONTROL!$C$42, 4.4288, 4.4288)*CHOOSE(CONTROL!$C$21, $C$9, 100%, $E$9)</f>
        <v>4.4287999999999998</v>
      </c>
      <c r="G42" s="14">
        <f>CHOOSE(CONTROL!$C$42, 4.4459, 4.4459)*CHOOSE(CONTROL!$C$21, $C$9, 100%, $E$9)</f>
        <v>4.4459</v>
      </c>
      <c r="H42" s="14">
        <f>CHOOSE(CONTROL!$C$42, 4.6566, 4.6566) * CHOOSE(CONTROL!$C$21, $C$9, 100%, $E$9)</f>
        <v>4.6566000000000001</v>
      </c>
      <c r="I42" s="14">
        <f>CHOOSE(CONTROL!$C$42, 4.448, 4.448)* CHOOSE(CONTROL!$C$21, $C$9, 100%, $E$9)</f>
        <v>4.4480000000000004</v>
      </c>
      <c r="J42" s="14">
        <f>CHOOSE(CONTROL!$C$42, 4.4218, 4.4218)* CHOOSE(CONTROL!$C$21, $C$9, 100%, $E$9)</f>
        <v>4.4218000000000002</v>
      </c>
      <c r="K42" s="52"/>
      <c r="L42" s="14">
        <f>CHOOSE(CONTROL!$C$42, 5.2436, 5.2436) * CHOOSE(CONTROL!$C$21, $C$9, 100%, $E$9)</f>
        <v>5.2435999999999998</v>
      </c>
      <c r="M42" s="14">
        <f>CHOOSE(CONTROL!$C$42, 4.3389, 4.3389) * CHOOSE(CONTROL!$C$21, $C$9, 100%, $E$9)</f>
        <v>4.3388999999999998</v>
      </c>
      <c r="N42" s="14">
        <f>CHOOSE(CONTROL!$C$42, 4.3556, 4.3556) * CHOOSE(CONTROL!$C$21, $C$9, 100%, $E$9)</f>
        <v>4.3555999999999999</v>
      </c>
      <c r="O42" s="14">
        <f>CHOOSE(CONTROL!$C$42, 4.5689, 4.5689) * CHOOSE(CONTROL!$C$21, $C$9, 100%, $E$9)</f>
        <v>4.5689000000000002</v>
      </c>
      <c r="P42" s="14">
        <f>CHOOSE(CONTROL!$C$42, 4.3644, 4.3644) * CHOOSE(CONTROL!$C$21, $C$9, 100%, $E$9)</f>
        <v>4.3643999999999998</v>
      </c>
      <c r="Q42" s="14">
        <f>CHOOSE(CONTROL!$C$42, 5.1636, 5.1636) * CHOOSE(CONTROL!$C$21, $C$9, 100%, $E$9)</f>
        <v>5.1635999999999997</v>
      </c>
      <c r="R42" s="14">
        <f>CHOOSE(CONTROL!$C$42, 5.7635, 5.7635) * CHOOSE(CONTROL!$C$21, $C$9, 100%, $E$9)</f>
        <v>5.7634999999999996</v>
      </c>
      <c r="S42" s="14">
        <f>CHOOSE(CONTROL!$C$42, 4.2199, 4.2199) * CHOOSE(CONTROL!$C$21, $C$9, 100%, $E$9)</f>
        <v>4.2199</v>
      </c>
      <c r="T42" s="57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42" s="56">
        <f>(1000*CHOOSE(CONTROL!$C$42, 695, 695)*CHOOSE(CONTROL!$C$42, 0.5599, 0.5599)*CHOOSE(CONTROL!$C$42, 30, 30))/1000000</f>
        <v>11.673914999999997</v>
      </c>
      <c r="V42" s="56">
        <f>(1000*CHOOSE(CONTROL!$C$42, 580, 580)*CHOOSE(CONTROL!$C$42, 0.275, 0.275)*CHOOSE(CONTROL!$C$42, 30, 30))/1000000</f>
        <v>4.7850000000000001</v>
      </c>
      <c r="W42" s="56">
        <f>(1000*CHOOSE(CONTROL!$C$42, 0.1146, 0.1146)*CHOOSE(CONTROL!$C$42, 200, 200)*CHOOSE(CONTROL!$C$42, 30, 30))/1000000</f>
        <v>0.68759999999999999</v>
      </c>
      <c r="X42" s="56">
        <f>(30*0.1790888*245000/1000000)+(30*0.2374*100000/1000000)</f>
        <v>2.0285026799999999</v>
      </c>
      <c r="Y42" s="56"/>
      <c r="Z42" s="14">
        <f>CHOOSE(CONTROL!$C$42, 4.3388, 4.3388) * CHOOSE(CONTROL!$C$21, $C$9, 100%, $E$9)</f>
        <v>4.3388</v>
      </c>
      <c r="AA42" s="55">
        <f>(131500*30*(6/30))/1000000</f>
        <v>0.78900000000000003</v>
      </c>
      <c r="AB42" s="49">
        <f>(B42*194.205+C42*267.466+D42*133.845+E42*53.484+F42*40+G42*185+H42*50+I42*100+J42*300)/(194.205+267.466+133.845+53.484+50+40+185+100+300)</f>
        <v>4.4628306602719041</v>
      </c>
      <c r="AC42" s="44">
        <f t="shared" si="2"/>
        <v>4.4109460431654677</v>
      </c>
    </row>
    <row r="43" spans="1:29" ht="15.75" x14ac:dyDescent="0.25">
      <c r="A43" s="13">
        <v>42186</v>
      </c>
      <c r="B43" s="14">
        <f>CHOOSE(CONTROL!$C$42, 4.436, 4.436) * CHOOSE(CONTROL!$C$21, $C$9, 100%, $E$9)</f>
        <v>4.4359999999999999</v>
      </c>
      <c r="C43" s="14">
        <f>CHOOSE(CONTROL!$C$42, 4.444, 4.444) * CHOOSE(CONTROL!$C$21, $C$9, 100%, $E$9)</f>
        <v>4.444</v>
      </c>
      <c r="D43" s="14">
        <f>CHOOSE(CONTROL!$C$42, 4.6698, 4.6698) * CHOOSE(CONTROL!$C$21, $C$9, 100%, $E$9)</f>
        <v>4.6698000000000004</v>
      </c>
      <c r="E43" s="14">
        <f>CHOOSE(CONTROL!$C$42, 4.7013, 4.7013) * CHOOSE(CONTROL!$C$21, $C$9, 100%, $E$9)</f>
        <v>4.7012999999999998</v>
      </c>
      <c r="F43" s="14">
        <f>CHOOSE(CONTROL!$C$42, 4.4626, 4.4626)*CHOOSE(CONTROL!$C$21, $C$9, 100%, $E$9)</f>
        <v>4.4626000000000001</v>
      </c>
      <c r="G43" s="14">
        <f>CHOOSE(CONTROL!$C$42, 4.4798, 4.4798)*CHOOSE(CONTROL!$C$21, $C$9, 100%, $E$9)</f>
        <v>4.4798</v>
      </c>
      <c r="H43" s="14">
        <f>CHOOSE(CONTROL!$C$42, 4.6899, 4.6899) * CHOOSE(CONTROL!$C$21, $C$9, 100%, $E$9)</f>
        <v>4.6898999999999997</v>
      </c>
      <c r="I43" s="14">
        <f>CHOOSE(CONTROL!$C$42, 4.4814, 4.4814)* CHOOSE(CONTROL!$C$21, $C$9, 100%, $E$9)</f>
        <v>4.4813999999999998</v>
      </c>
      <c r="J43" s="14">
        <f>CHOOSE(CONTROL!$C$42, 4.4556, 4.4556)* CHOOSE(CONTROL!$C$21, $C$9, 100%, $E$9)</f>
        <v>4.4555999999999996</v>
      </c>
      <c r="K43" s="52"/>
      <c r="L43" s="14">
        <f>CHOOSE(CONTROL!$C$42, 5.2769, 5.2769) * CHOOSE(CONTROL!$C$21, $C$9, 100%, $E$9)</f>
        <v>5.2769000000000004</v>
      </c>
      <c r="M43" s="14">
        <f>CHOOSE(CONTROL!$C$42, 4.372, 4.372) * CHOOSE(CONTROL!$C$21, $C$9, 100%, $E$9)</f>
        <v>4.3719999999999999</v>
      </c>
      <c r="N43" s="14">
        <f>CHOOSE(CONTROL!$C$42, 4.3888, 4.3888) * CHOOSE(CONTROL!$C$21, $C$9, 100%, $E$9)</f>
        <v>4.3887999999999998</v>
      </c>
      <c r="O43" s="14">
        <f>CHOOSE(CONTROL!$C$42, 4.6015, 4.6015) * CHOOSE(CONTROL!$C$21, $C$9, 100%, $E$9)</f>
        <v>4.6014999999999997</v>
      </c>
      <c r="P43" s="14">
        <f>CHOOSE(CONTROL!$C$42, 4.3971, 4.3971) * CHOOSE(CONTROL!$C$21, $C$9, 100%, $E$9)</f>
        <v>4.3971</v>
      </c>
      <c r="Q43" s="14">
        <f>CHOOSE(CONTROL!$C$42, 5.1962, 5.1962) * CHOOSE(CONTROL!$C$21, $C$9, 100%, $E$9)</f>
        <v>5.1962000000000002</v>
      </c>
      <c r="R43" s="14">
        <f>CHOOSE(CONTROL!$C$42, 5.7962, 5.7962) * CHOOSE(CONTROL!$C$21, $C$9, 100%, $E$9)</f>
        <v>5.7961999999999998</v>
      </c>
      <c r="S43" s="14">
        <f>CHOOSE(CONTROL!$C$42, 4.2519, 4.2519) * CHOOSE(CONTROL!$C$21, $C$9, 100%, $E$9)</f>
        <v>4.2519</v>
      </c>
      <c r="T43" s="57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43" s="56">
        <f>(1000*CHOOSE(CONTROL!$C$42, 695, 695)*CHOOSE(CONTROL!$C$42, 0.5599, 0.5599)*CHOOSE(CONTROL!$C$42, 31, 31))/1000000</f>
        <v>12.063045499999998</v>
      </c>
      <c r="V43" s="56">
        <f>(1000*CHOOSE(CONTROL!$C$42, 580, 580)*CHOOSE(CONTROL!$C$42, 0.275, 0.275)*CHOOSE(CONTROL!$C$42, 31, 31))/1000000</f>
        <v>4.9444999999999997</v>
      </c>
      <c r="W43" s="56">
        <f>(1000*CHOOSE(CONTROL!$C$42, 0.1146, 0.1146)*CHOOSE(CONTROL!$C$42, 200, 200)*CHOOSE(CONTROL!$C$42, 31, 31))/1000000</f>
        <v>0.71052000000000004</v>
      </c>
      <c r="X43" s="56">
        <f>(31*0.1790888*245000/1000000)+(31*0.2374*100000/1000000)</f>
        <v>2.0961194359999999</v>
      </c>
      <c r="Y43" s="56"/>
      <c r="Z43" s="14">
        <f>CHOOSE(CONTROL!$C$42, 4.3716, 4.3716) * CHOOSE(CONTROL!$C$21, $C$9, 100%, $E$9)</f>
        <v>4.3715999999999999</v>
      </c>
      <c r="AA43" s="55">
        <f>(131500*31*(6/31))/1000000</f>
        <v>0.78900000000000003</v>
      </c>
      <c r="AB43" s="49">
        <f>(B43*194.205+C43*267.466+D43*133.845+E43*53.484+F43*40+G43*185+H43*50+I43*100+J43*300)/(194.205+267.466+133.845+53.484+50+40+185+100+300)</f>
        <v>4.4963504487915413</v>
      </c>
      <c r="AC43" s="44">
        <f t="shared" si="2"/>
        <v>4.4438712230215822</v>
      </c>
    </row>
    <row r="44" spans="1:29" ht="15.75" x14ac:dyDescent="0.25">
      <c r="A44" s="13">
        <v>42217</v>
      </c>
      <c r="B44" s="14">
        <f>CHOOSE(CONTROL!$C$42, 4.4568, 4.4568) * CHOOSE(CONTROL!$C$21, $C$9, 100%, $E$9)</f>
        <v>4.4568000000000003</v>
      </c>
      <c r="C44" s="14">
        <f>CHOOSE(CONTROL!$C$42, 4.4648, 4.4648) * CHOOSE(CONTROL!$C$21, $C$9, 100%, $E$9)</f>
        <v>4.4648000000000003</v>
      </c>
      <c r="D44" s="14">
        <f>CHOOSE(CONTROL!$C$42, 4.6906, 4.6906) * CHOOSE(CONTROL!$C$21, $C$9, 100%, $E$9)</f>
        <v>4.6905999999999999</v>
      </c>
      <c r="E44" s="14">
        <f>CHOOSE(CONTROL!$C$42, 4.7221, 4.7221) * CHOOSE(CONTROL!$C$21, $C$9, 100%, $E$9)</f>
        <v>4.7221000000000002</v>
      </c>
      <c r="F44" s="14">
        <f>CHOOSE(CONTROL!$C$42, 4.4836, 4.4836)*CHOOSE(CONTROL!$C$21, $C$9, 100%, $E$9)</f>
        <v>4.4836</v>
      </c>
      <c r="G44" s="14">
        <f>CHOOSE(CONTROL!$C$42, 4.5009, 4.5009)*CHOOSE(CONTROL!$C$21, $C$9, 100%, $E$9)</f>
        <v>4.5008999999999997</v>
      </c>
      <c r="H44" s="14">
        <f>CHOOSE(CONTROL!$C$42, 4.7107, 4.7107) * CHOOSE(CONTROL!$C$21, $C$9, 100%, $E$9)</f>
        <v>4.7107000000000001</v>
      </c>
      <c r="I44" s="14">
        <f>CHOOSE(CONTROL!$C$42, 4.5023, 4.5023)* CHOOSE(CONTROL!$C$21, $C$9, 100%, $E$9)</f>
        <v>4.5023</v>
      </c>
      <c r="J44" s="14">
        <f>CHOOSE(CONTROL!$C$42, 4.4766, 4.4766)* CHOOSE(CONTROL!$C$21, $C$9, 100%, $E$9)</f>
        <v>4.4766000000000004</v>
      </c>
      <c r="K44" s="52"/>
      <c r="L44" s="14">
        <f>CHOOSE(CONTROL!$C$42, 5.2977, 5.2977) * CHOOSE(CONTROL!$C$21, $C$9, 100%, $E$9)</f>
        <v>5.2976999999999999</v>
      </c>
      <c r="M44" s="14">
        <f>CHOOSE(CONTROL!$C$42, 4.3926, 4.3926) * CHOOSE(CONTROL!$C$21, $C$9, 100%, $E$9)</f>
        <v>4.3925999999999998</v>
      </c>
      <c r="N44" s="14">
        <f>CHOOSE(CONTROL!$C$42, 4.4095, 4.4095) * CHOOSE(CONTROL!$C$21, $C$9, 100%, $E$9)</f>
        <v>4.4095000000000004</v>
      </c>
      <c r="O44" s="14">
        <f>CHOOSE(CONTROL!$C$42, 4.6219, 4.6219) * CHOOSE(CONTROL!$C$21, $C$9, 100%, $E$9)</f>
        <v>4.6219000000000001</v>
      </c>
      <c r="P44" s="14">
        <f>CHOOSE(CONTROL!$C$42, 4.4176, 4.4176) * CHOOSE(CONTROL!$C$21, $C$9, 100%, $E$9)</f>
        <v>4.4176000000000002</v>
      </c>
      <c r="Q44" s="14">
        <f>CHOOSE(CONTROL!$C$42, 5.2166, 5.2166) * CHOOSE(CONTROL!$C$21, $C$9, 100%, $E$9)</f>
        <v>5.2165999999999997</v>
      </c>
      <c r="R44" s="14">
        <f>CHOOSE(CONTROL!$C$42, 5.8166, 5.8166) * CHOOSE(CONTROL!$C$21, $C$9, 100%, $E$9)</f>
        <v>5.8166000000000002</v>
      </c>
      <c r="S44" s="14">
        <f>CHOOSE(CONTROL!$C$42, 4.2719, 4.2719) * CHOOSE(CONTROL!$C$21, $C$9, 100%, $E$9)</f>
        <v>4.2718999999999996</v>
      </c>
      <c r="T44" s="57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44" s="56">
        <f>(1000*CHOOSE(CONTROL!$C$42, 695, 695)*CHOOSE(CONTROL!$C$42, 0.5599, 0.5599)*CHOOSE(CONTROL!$C$42, 31, 31))/1000000</f>
        <v>12.063045499999998</v>
      </c>
      <c r="V44" s="56">
        <f>(1000*CHOOSE(CONTROL!$C$42, 580, 580)*CHOOSE(CONTROL!$C$42, 0.275, 0.275)*CHOOSE(CONTROL!$C$42, 31, 31))/1000000</f>
        <v>4.9444999999999997</v>
      </c>
      <c r="W44" s="56">
        <f>(1000*CHOOSE(CONTROL!$C$42, 0.1146, 0.1146)*CHOOSE(CONTROL!$C$42, 200, 200)*CHOOSE(CONTROL!$C$42, 31, 31))/1000000</f>
        <v>0.71052000000000004</v>
      </c>
      <c r="X44" s="56">
        <f>(31*0.1790888*245000/1000000)+(31*0.2374*100000/1000000)</f>
        <v>2.0961194359999999</v>
      </c>
      <c r="Y44" s="56"/>
      <c r="Z44" s="14">
        <f>CHOOSE(CONTROL!$C$42, 4.392, 4.392) * CHOOSE(CONTROL!$C$21, $C$9, 100%, $E$9)</f>
        <v>4.3920000000000003</v>
      </c>
      <c r="AA44" s="55">
        <f>(131500*31*(6/31))/1000000</f>
        <v>0.78900000000000003</v>
      </c>
      <c r="AB44" s="49">
        <f>(B44*194.205+C44*267.466+D44*133.845+E44*53.484+F44*40+G44*185+H44*50+I44*100+J44*300)/(194.205+267.466+133.845+53.484+50+40+185+100+300)</f>
        <v>4.517251279607251</v>
      </c>
      <c r="AC44" s="44">
        <f t="shared" si="2"/>
        <v>4.4644237410071952</v>
      </c>
    </row>
    <row r="45" spans="1:29" ht="15.75" x14ac:dyDescent="0.25">
      <c r="A45" s="13">
        <v>42248</v>
      </c>
      <c r="B45" s="14">
        <f>CHOOSE(CONTROL!$C$42, 4.4608, 4.4608) * CHOOSE(CONTROL!$C$21, $C$9, 100%, $E$9)</f>
        <v>4.4607999999999999</v>
      </c>
      <c r="C45" s="14">
        <f>CHOOSE(CONTROL!$C$42, 4.4688, 4.4688) * CHOOSE(CONTROL!$C$21, $C$9, 100%, $E$9)</f>
        <v>4.4687999999999999</v>
      </c>
      <c r="D45" s="14">
        <f>CHOOSE(CONTROL!$C$42, 4.6946, 4.6946) * CHOOSE(CONTROL!$C$21, $C$9, 100%, $E$9)</f>
        <v>4.6946000000000003</v>
      </c>
      <c r="E45" s="14">
        <f>CHOOSE(CONTROL!$C$42, 4.726, 4.726) * CHOOSE(CONTROL!$C$21, $C$9, 100%, $E$9)</f>
        <v>4.726</v>
      </c>
      <c r="F45" s="14">
        <f>CHOOSE(CONTROL!$C$42, 4.4876, 4.4876)*CHOOSE(CONTROL!$C$21, $C$9, 100%, $E$9)</f>
        <v>4.4875999999999996</v>
      </c>
      <c r="G45" s="14">
        <f>CHOOSE(CONTROL!$C$42, 4.5048, 4.5048)*CHOOSE(CONTROL!$C$21, $C$9, 100%, $E$9)</f>
        <v>4.5048000000000004</v>
      </c>
      <c r="H45" s="14">
        <f>CHOOSE(CONTROL!$C$42, 4.7147, 4.7147) * CHOOSE(CONTROL!$C$21, $C$9, 100%, $E$9)</f>
        <v>4.7146999999999997</v>
      </c>
      <c r="I45" s="14">
        <f>CHOOSE(CONTROL!$C$42, 4.5063, 4.5063)* CHOOSE(CONTROL!$C$21, $C$9, 100%, $E$9)</f>
        <v>4.5063000000000004</v>
      </c>
      <c r="J45" s="14">
        <f>CHOOSE(CONTROL!$C$42, 4.4806, 4.4806)* CHOOSE(CONTROL!$C$21, $C$9, 100%, $E$9)</f>
        <v>4.4805999999999999</v>
      </c>
      <c r="K45" s="52"/>
      <c r="L45" s="14">
        <f>CHOOSE(CONTROL!$C$42, 5.3017, 5.3017) * CHOOSE(CONTROL!$C$21, $C$9, 100%, $E$9)</f>
        <v>5.3017000000000003</v>
      </c>
      <c r="M45" s="14">
        <f>CHOOSE(CONTROL!$C$42, 4.3965, 4.3965) * CHOOSE(CONTROL!$C$21, $C$9, 100%, $E$9)</f>
        <v>4.3964999999999996</v>
      </c>
      <c r="N45" s="14">
        <f>CHOOSE(CONTROL!$C$42, 4.4134, 4.4134) * CHOOSE(CONTROL!$C$21, $C$9, 100%, $E$9)</f>
        <v>4.4134000000000002</v>
      </c>
      <c r="O45" s="14">
        <f>CHOOSE(CONTROL!$C$42, 4.6258, 4.6258) * CHOOSE(CONTROL!$C$21, $C$9, 100%, $E$9)</f>
        <v>4.6257999999999999</v>
      </c>
      <c r="P45" s="14">
        <f>CHOOSE(CONTROL!$C$42, 4.4214, 4.4214) * CHOOSE(CONTROL!$C$21, $C$9, 100%, $E$9)</f>
        <v>4.4214000000000002</v>
      </c>
      <c r="Q45" s="14">
        <f>CHOOSE(CONTROL!$C$42, 5.2205, 5.2205) * CHOOSE(CONTROL!$C$21, $C$9, 100%, $E$9)</f>
        <v>5.2205000000000004</v>
      </c>
      <c r="R45" s="14">
        <f>CHOOSE(CONTROL!$C$42, 5.8205, 5.8205) * CHOOSE(CONTROL!$C$21, $C$9, 100%, $E$9)</f>
        <v>5.8205</v>
      </c>
      <c r="S45" s="14">
        <f>CHOOSE(CONTROL!$C$42, 4.2757, 4.2757) * CHOOSE(CONTROL!$C$21, $C$9, 100%, $E$9)</f>
        <v>4.2756999999999996</v>
      </c>
      <c r="T45" s="57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45" s="56">
        <f>(1000*CHOOSE(CONTROL!$C$42, 695, 695)*CHOOSE(CONTROL!$C$42, 0.5599, 0.5599)*CHOOSE(CONTROL!$C$42, 30, 30))/1000000</f>
        <v>11.673914999999997</v>
      </c>
      <c r="V45" s="56">
        <f>(1000*CHOOSE(CONTROL!$C$42, 580, 580)*CHOOSE(CONTROL!$C$42, 0.275, 0.275)*CHOOSE(CONTROL!$C$42, 30, 30))/1000000</f>
        <v>4.7850000000000001</v>
      </c>
      <c r="W45" s="56">
        <f>(1000*CHOOSE(CONTROL!$C$42, 0.1146, 0.1146)*CHOOSE(CONTROL!$C$42, 200, 200)*CHOOSE(CONTROL!$C$42, 30, 30))/1000000</f>
        <v>0.68759999999999999</v>
      </c>
      <c r="X45" s="56">
        <f>(30*0.1790888*245000/1000000)+(30*0.2374*100000/1000000)</f>
        <v>2.0285026799999999</v>
      </c>
      <c r="Y45" s="56"/>
      <c r="Z45" s="14">
        <f>CHOOSE(CONTROL!$C$42, 4.3959, 4.3959) * CHOOSE(CONTROL!$C$21, $C$9, 100%, $E$9)</f>
        <v>4.3959000000000001</v>
      </c>
      <c r="AA45" s="55">
        <f>(131500*30*(6/30))/1000000</f>
        <v>0.78900000000000003</v>
      </c>
      <c r="AB45" s="49">
        <f>(B45*194.205+C45*267.466+D45*133.845+E45*53.484+F45*40+G45*185+H45*50+I45*100+J45*300)/(194.205+267.466+133.845+53.484+50+40+185+100+300)</f>
        <v>4.521233267220544</v>
      </c>
      <c r="AC45" s="44">
        <f t="shared" si="2"/>
        <v>4.4683093525179851</v>
      </c>
    </row>
    <row r="46" spans="1:29" ht="15.75" x14ac:dyDescent="0.25">
      <c r="A46" s="13">
        <v>42278</v>
      </c>
      <c r="B46" s="14">
        <f>CHOOSE(CONTROL!$C$42, 4.484, 4.484) * CHOOSE(CONTROL!$C$21, $C$9, 100%, $E$9)</f>
        <v>4.484</v>
      </c>
      <c r="C46" s="14">
        <f>CHOOSE(CONTROL!$C$42, 4.4893, 4.4893) * CHOOSE(CONTROL!$C$21, $C$9, 100%, $E$9)</f>
        <v>4.4893000000000001</v>
      </c>
      <c r="D46" s="14">
        <f>CHOOSE(CONTROL!$C$42, 4.72, 4.72) * CHOOSE(CONTROL!$C$21, $C$9, 100%, $E$9)</f>
        <v>4.72</v>
      </c>
      <c r="E46" s="14">
        <f>CHOOSE(CONTROL!$C$42, 4.7492, 4.7492) * CHOOSE(CONTROL!$C$21, $C$9, 100%, $E$9)</f>
        <v>4.7492000000000001</v>
      </c>
      <c r="F46" s="14">
        <f>CHOOSE(CONTROL!$C$42, 4.5128, 4.5128)*CHOOSE(CONTROL!$C$21, $C$9, 100%, $E$9)</f>
        <v>4.5128000000000004</v>
      </c>
      <c r="G46" s="14">
        <f>CHOOSE(CONTROL!$C$42, 4.53, 4.53)*CHOOSE(CONTROL!$C$21, $C$9, 100%, $E$9)</f>
        <v>4.53</v>
      </c>
      <c r="H46" s="14">
        <f>CHOOSE(CONTROL!$C$42, 4.7396, 4.7396) * CHOOSE(CONTROL!$C$21, $C$9, 100%, $E$9)</f>
        <v>4.7396000000000003</v>
      </c>
      <c r="I46" s="14">
        <f>CHOOSE(CONTROL!$C$42, 4.5313, 4.5313)* CHOOSE(CONTROL!$C$21, $C$9, 100%, $E$9)</f>
        <v>4.5312999999999999</v>
      </c>
      <c r="J46" s="14">
        <f>CHOOSE(CONTROL!$C$42, 4.5058, 4.5058)* CHOOSE(CONTROL!$C$21, $C$9, 100%, $E$9)</f>
        <v>4.5057999999999998</v>
      </c>
      <c r="K46" s="52"/>
      <c r="L46" s="14">
        <f>CHOOSE(CONTROL!$C$42, 5.3266, 5.3266) * CHOOSE(CONTROL!$C$21, $C$9, 100%, $E$9)</f>
        <v>5.3266</v>
      </c>
      <c r="M46" s="14">
        <f>CHOOSE(CONTROL!$C$42, 4.4212, 4.4212) * CHOOSE(CONTROL!$C$21, $C$9, 100%, $E$9)</f>
        <v>4.4211999999999998</v>
      </c>
      <c r="N46" s="14">
        <f>CHOOSE(CONTROL!$C$42, 4.438, 4.438) * CHOOSE(CONTROL!$C$21, $C$9, 100%, $E$9)</f>
        <v>4.4379999999999997</v>
      </c>
      <c r="O46" s="14">
        <f>CHOOSE(CONTROL!$C$42, 4.6502, 4.6502) * CHOOSE(CONTROL!$C$21, $C$9, 100%, $E$9)</f>
        <v>4.6501999999999999</v>
      </c>
      <c r="P46" s="14">
        <f>CHOOSE(CONTROL!$C$42, 4.446, 4.446) * CHOOSE(CONTROL!$C$21, $C$9, 100%, $E$9)</f>
        <v>4.4459999999999997</v>
      </c>
      <c r="Q46" s="14">
        <f>CHOOSE(CONTROL!$C$42, 5.2449, 5.2449) * CHOOSE(CONTROL!$C$21, $C$9, 100%, $E$9)</f>
        <v>5.2449000000000003</v>
      </c>
      <c r="R46" s="14">
        <f>CHOOSE(CONTROL!$C$42, 5.845, 5.845) * CHOOSE(CONTROL!$C$21, $C$9, 100%, $E$9)</f>
        <v>5.8449999999999998</v>
      </c>
      <c r="S46" s="14">
        <f>CHOOSE(CONTROL!$C$42, 4.2997, 4.2997) * CHOOSE(CONTROL!$C$21, $C$9, 100%, $E$9)</f>
        <v>4.2996999999999996</v>
      </c>
      <c r="T4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56">
        <f>(1000*CHOOSE(CONTROL!$C$42, 695, 695)*CHOOSE(CONTROL!$C$42, 0.5599, 0.5599)*CHOOSE(CONTROL!$C$42, 31, 31))/1000000</f>
        <v>12.063045499999998</v>
      </c>
      <c r="V46" s="56">
        <f>(1000*CHOOSE(CONTROL!$C$42, 580, 580)*CHOOSE(CONTROL!$C$42, 0.275, 0.275)*CHOOSE(CONTROL!$C$42, 31, 31))/1000000</f>
        <v>4.9444999999999997</v>
      </c>
      <c r="W46" s="56">
        <f>(1000*CHOOSE(CONTROL!$C$42, 0.1146, 0.1146)*CHOOSE(CONTROL!$C$42, 200, 200)*CHOOSE(CONTROL!$C$42, 31, 31))/1000000</f>
        <v>0.71052000000000004</v>
      </c>
      <c r="X46" s="56">
        <f>(31*0.1790888*245000/1000000)+(31*0.2374*100000/1000000)</f>
        <v>2.0961194359999999</v>
      </c>
      <c r="Y46" s="56"/>
      <c r="Z46" s="14">
        <f>CHOOSE(CONTROL!$C$42, 4.4205, 4.4205) * CHOOSE(CONTROL!$C$21, $C$9, 100%, $E$9)</f>
        <v>4.4204999999999997</v>
      </c>
      <c r="AA46" s="55">
        <f>(131500*31*(6/31))/1000000</f>
        <v>0.78900000000000003</v>
      </c>
      <c r="AB46" s="49">
        <f>(B46*131.881+C46*277.167+D46*79.08+E46*125.872+F46*40+G46*185+H46*0+I46*100+J46*300)/(131.881+277.167+79.08+125.872+0+40+185+100+300)</f>
        <v>4.5440848422114604</v>
      </c>
      <c r="AC46" s="44">
        <f t="shared" si="2"/>
        <v>4.492887769784172</v>
      </c>
    </row>
    <row r="47" spans="1:29" ht="15.75" x14ac:dyDescent="0.25">
      <c r="A47" s="13">
        <v>42309</v>
      </c>
      <c r="B47" s="14">
        <f>CHOOSE(CONTROL!$C$42, 4.5772, 4.5772) * CHOOSE(CONTROL!$C$21, $C$9, 100%, $E$9)</f>
        <v>4.5772000000000004</v>
      </c>
      <c r="C47" s="14">
        <f>CHOOSE(CONTROL!$C$42, 4.5823, 4.5823) * CHOOSE(CONTROL!$C$21, $C$9, 100%, $E$9)</f>
        <v>4.5823</v>
      </c>
      <c r="D47" s="14">
        <f>CHOOSE(CONTROL!$C$42, 4.6513, 4.6513) * CHOOSE(CONTROL!$C$21, $C$9, 100%, $E$9)</f>
        <v>4.6513</v>
      </c>
      <c r="E47" s="14">
        <f>CHOOSE(CONTROL!$C$42, 4.6854, 4.6854) * CHOOSE(CONTROL!$C$21, $C$9, 100%, $E$9)</f>
        <v>4.6853999999999996</v>
      </c>
      <c r="F47" s="14">
        <f>CHOOSE(CONTROL!$C$42, 4.6128, 4.6128)*CHOOSE(CONTROL!$C$21, $C$9, 100%, $E$9)</f>
        <v>4.6128</v>
      </c>
      <c r="G47" s="14">
        <f>CHOOSE(CONTROL!$C$42, 4.6302, 4.6302)*CHOOSE(CONTROL!$C$21, $C$9, 100%, $E$9)</f>
        <v>4.6302000000000003</v>
      </c>
      <c r="H47" s="14">
        <f>CHOOSE(CONTROL!$C$42, 4.6746, 4.6746) * CHOOSE(CONTROL!$C$21, $C$9, 100%, $E$9)</f>
        <v>4.6745999999999999</v>
      </c>
      <c r="I47" s="14">
        <f>CHOOSE(CONTROL!$C$42, 4.6279, 4.6279)* CHOOSE(CONTROL!$C$21, $C$9, 100%, $E$9)</f>
        <v>4.6279000000000003</v>
      </c>
      <c r="J47" s="14">
        <f>CHOOSE(CONTROL!$C$42, 4.6058, 4.6058)* CHOOSE(CONTROL!$C$21, $C$9, 100%, $E$9)</f>
        <v>4.6058000000000003</v>
      </c>
      <c r="K47" s="52"/>
      <c r="L47" s="14">
        <f>CHOOSE(CONTROL!$C$42, 5.2616, 5.2616) * CHOOSE(CONTROL!$C$21, $C$9, 100%, $E$9)</f>
        <v>5.2615999999999996</v>
      </c>
      <c r="M47" s="14">
        <f>CHOOSE(CONTROL!$C$42, 4.5191, 4.5191) * CHOOSE(CONTROL!$C$21, $C$9, 100%, $E$9)</f>
        <v>4.5190999999999999</v>
      </c>
      <c r="N47" s="14">
        <f>CHOOSE(CONTROL!$C$42, 4.5362, 4.5362) * CHOOSE(CONTROL!$C$21, $C$9, 100%, $E$9)</f>
        <v>4.5362</v>
      </c>
      <c r="O47" s="14">
        <f>CHOOSE(CONTROL!$C$42, 4.5865, 4.5865) * CHOOSE(CONTROL!$C$21, $C$9, 100%, $E$9)</f>
        <v>4.5865</v>
      </c>
      <c r="P47" s="14">
        <f>CHOOSE(CONTROL!$C$42, 4.5405, 4.5405) * CHOOSE(CONTROL!$C$21, $C$9, 100%, $E$9)</f>
        <v>4.5404999999999998</v>
      </c>
      <c r="Q47" s="14">
        <f>CHOOSE(CONTROL!$C$42, 5.1812, 5.1812) * CHOOSE(CONTROL!$C$21, $C$9, 100%, $E$9)</f>
        <v>5.1811999999999996</v>
      </c>
      <c r="R47" s="14">
        <f>CHOOSE(CONTROL!$C$42, 5.7812, 5.7812) * CHOOSE(CONTROL!$C$21, $C$9, 100%, $E$9)</f>
        <v>5.7812000000000001</v>
      </c>
      <c r="S47" s="14">
        <f>CHOOSE(CONTROL!$C$42, 4.3897, 4.3897) * CHOOSE(CONTROL!$C$21, $C$9, 100%, $E$9)</f>
        <v>4.3897000000000004</v>
      </c>
      <c r="T4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56">
        <f>(1000*CHOOSE(CONTROL!$C$42, 695, 695)*CHOOSE(CONTROL!$C$42, 0.5599, 0.5599)*CHOOSE(CONTROL!$C$42, 30, 30))/1000000</f>
        <v>11.673914999999997</v>
      </c>
      <c r="V47" s="56">
        <f>(1000*CHOOSE(CONTROL!$C$42, 580, 580)*CHOOSE(CONTROL!$C$42, 0.275, 0.275)*CHOOSE(CONTROL!$C$42, 30, 30))/1000000</f>
        <v>4.7850000000000001</v>
      </c>
      <c r="W47" s="56">
        <f>(1000*CHOOSE(CONTROL!$C$42, 0.1146, 0.1146)*CHOOSE(CONTROL!$C$42, 200, 200)*CHOOSE(CONTROL!$C$42, 30, 30))/1000000</f>
        <v>0.68759999999999999</v>
      </c>
      <c r="X47" s="56">
        <f>(30*0.1790888*100000/1000000)+(30*0.2374*100000/1000000)</f>
        <v>1.2494664</v>
      </c>
      <c r="Y47" s="56"/>
      <c r="Z47" s="14">
        <f>CHOOSE(CONTROL!$C$42, 4.5244, 4.5244) * CHOOSE(CONTROL!$C$21, $C$9, 100%, $E$9)</f>
        <v>4.5244</v>
      </c>
      <c r="AA47" s="55">
        <f>(131500*30*(6/30))/1000000</f>
        <v>0.78900000000000003</v>
      </c>
      <c r="AB47" s="49">
        <f>(B47*122.58+C47*297.941+D47*89.177+E47*40.302+F47*40+G47*160+H47*0+I47*100+J47*300)/(122.58+297.941+89.177+40.302+0+40+160+100+300)</f>
        <v>4.6085410358260868</v>
      </c>
      <c r="AC47" s="44">
        <f>(M47*240+N47*40+O47*315+P47*100)/(240+40+315+100)</f>
        <v>4.5537115107913664</v>
      </c>
    </row>
    <row r="48" spans="1:29" ht="15.75" x14ac:dyDescent="0.25">
      <c r="A48" s="13">
        <v>42339</v>
      </c>
      <c r="B48" s="14">
        <f>CHOOSE(CONTROL!$C$42, 4.7781, 4.7781) * CHOOSE(CONTROL!$C$21, $C$9, 100%, $E$9)</f>
        <v>4.7781000000000002</v>
      </c>
      <c r="C48" s="14">
        <f>CHOOSE(CONTROL!$C$42, 4.7831, 4.7831) * CHOOSE(CONTROL!$C$21, $C$9, 100%, $E$9)</f>
        <v>4.7831000000000001</v>
      </c>
      <c r="D48" s="14">
        <f>CHOOSE(CONTROL!$C$42, 4.8522, 4.8522) * CHOOSE(CONTROL!$C$21, $C$9, 100%, $E$9)</f>
        <v>4.8521999999999998</v>
      </c>
      <c r="E48" s="14">
        <f>CHOOSE(CONTROL!$C$42, 4.8863, 4.8863) * CHOOSE(CONTROL!$C$21, $C$9, 100%, $E$9)</f>
        <v>4.8863000000000003</v>
      </c>
      <c r="F48" s="14">
        <f>CHOOSE(CONTROL!$C$42, 4.8159, 4.8159)*CHOOSE(CONTROL!$C$21, $C$9, 100%, $E$9)</f>
        <v>4.8159000000000001</v>
      </c>
      <c r="G48" s="14">
        <f>CHOOSE(CONTROL!$C$42, 4.8339, 4.8339)*CHOOSE(CONTROL!$C$21, $C$9, 100%, $E$9)</f>
        <v>4.8338999999999999</v>
      </c>
      <c r="H48" s="14">
        <f>CHOOSE(CONTROL!$C$42, 4.8755, 4.8755) * CHOOSE(CONTROL!$C$21, $C$9, 100%, $E$9)</f>
        <v>4.8754999999999997</v>
      </c>
      <c r="I48" s="14">
        <f>CHOOSE(CONTROL!$C$42, 4.8294, 4.8294)* CHOOSE(CONTROL!$C$21, $C$9, 100%, $E$9)</f>
        <v>4.8293999999999997</v>
      </c>
      <c r="J48" s="14">
        <f>CHOOSE(CONTROL!$C$42, 4.8089, 4.8089)* CHOOSE(CONTROL!$C$21, $C$9, 100%, $E$9)</f>
        <v>4.8089000000000004</v>
      </c>
      <c r="K48" s="52"/>
      <c r="L48" s="14">
        <f>CHOOSE(CONTROL!$C$42, 5.4625, 5.4625) * CHOOSE(CONTROL!$C$21, $C$9, 100%, $E$9)</f>
        <v>5.4625000000000004</v>
      </c>
      <c r="M48" s="14">
        <f>CHOOSE(CONTROL!$C$42, 4.7181, 4.7181) * CHOOSE(CONTROL!$C$21, $C$9, 100%, $E$9)</f>
        <v>4.7180999999999997</v>
      </c>
      <c r="N48" s="14">
        <f>CHOOSE(CONTROL!$C$42, 4.7357, 4.7357) * CHOOSE(CONTROL!$C$21, $C$9, 100%, $E$9)</f>
        <v>4.7356999999999996</v>
      </c>
      <c r="O48" s="14">
        <f>CHOOSE(CONTROL!$C$42, 4.7833, 4.7833) * CHOOSE(CONTROL!$C$21, $C$9, 100%, $E$9)</f>
        <v>4.7832999999999997</v>
      </c>
      <c r="P48" s="14">
        <f>CHOOSE(CONTROL!$C$42, 4.7379, 4.7379) * CHOOSE(CONTROL!$C$21, $C$9, 100%, $E$9)</f>
        <v>4.7378999999999998</v>
      </c>
      <c r="Q48" s="14">
        <f>CHOOSE(CONTROL!$C$42, 5.378, 5.378) * CHOOSE(CONTROL!$C$21, $C$9, 100%, $E$9)</f>
        <v>5.3780000000000001</v>
      </c>
      <c r="R48" s="14">
        <f>CHOOSE(CONTROL!$C$42, 5.9784, 5.9784) * CHOOSE(CONTROL!$C$21, $C$9, 100%, $E$9)</f>
        <v>5.9783999999999997</v>
      </c>
      <c r="S48" s="14">
        <f>CHOOSE(CONTROL!$C$42, 4.5827, 4.5827) * CHOOSE(CONTROL!$C$21, $C$9, 100%, $E$9)</f>
        <v>4.5827</v>
      </c>
      <c r="T4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56">
        <f>(1000*CHOOSE(CONTROL!$C$42, 695, 695)*CHOOSE(CONTROL!$C$42, 0.5599, 0.5599)*CHOOSE(CONTROL!$C$42, 31, 31))/1000000</f>
        <v>12.063045499999998</v>
      </c>
      <c r="V48" s="56">
        <f>(1000*CHOOSE(CONTROL!$C$42, 580, 580)*CHOOSE(CONTROL!$C$42, 0.275, 0.275)*CHOOSE(CONTROL!$C$42, 31, 31))/1000000</f>
        <v>4.9444999999999997</v>
      </c>
      <c r="W48" s="56">
        <f>(1000*CHOOSE(CONTROL!$C$42, 0.1146, 0.1146)*CHOOSE(CONTROL!$C$42, 200, 200)*CHOOSE(CONTROL!$C$42, 31, 31))/1000000</f>
        <v>0.71052000000000004</v>
      </c>
      <c r="X48" s="56">
        <f>(31*0.1790888*100000/1000000)+(31*0.2374*100000/1000000)</f>
        <v>1.2911152800000001</v>
      </c>
      <c r="Y48" s="56"/>
      <c r="Z48" s="14">
        <f>CHOOSE(CONTROL!$C$42, 4.7219, 4.7219) * CHOOSE(CONTROL!$C$21, $C$9, 100%, $E$9)</f>
        <v>4.7218999999999998</v>
      </c>
      <c r="AA48" s="55">
        <f>(131500*31*(6/31))/1000000</f>
        <v>0.78900000000000003</v>
      </c>
      <c r="AB48" s="49">
        <f>(B48*122.58+C48*297.941+D48*89.177+E48*40.302+F48*40+G48*160+H48*0+I48*100+J48*300)/(122.58+297.941+89.177+40.302+0+40+160+100+300)</f>
        <v>4.8105073018260871</v>
      </c>
      <c r="AC48" s="44">
        <f>(M48*240+N48*40+O48*315+P48*100)/(240+40+315+100)</f>
        <v>4.7515129496402873</v>
      </c>
    </row>
    <row r="49" spans="1:29" ht="15.75" x14ac:dyDescent="0.25">
      <c r="A49" s="13">
        <v>42370</v>
      </c>
      <c r="B49" s="14">
        <f>CHOOSE(CONTROL!$C$42, 4.8408, 4.8408) * CHOOSE(CONTROL!$C$21, $C$9, 100%, $E$9)</f>
        <v>4.8407999999999998</v>
      </c>
      <c r="C49" s="14">
        <f>CHOOSE(CONTROL!$C$42, 4.8459, 4.8459) * CHOOSE(CONTROL!$C$21, $C$9, 100%, $E$9)</f>
        <v>4.8459000000000003</v>
      </c>
      <c r="D49" s="14">
        <f>CHOOSE(CONTROL!$C$42, 4.9253, 4.9253) * CHOOSE(CONTROL!$C$21, $C$9, 100%, $E$9)</f>
        <v>4.9253</v>
      </c>
      <c r="E49" s="14">
        <f>CHOOSE(CONTROL!$C$42, 4.9594, 4.9594) * CHOOSE(CONTROL!$C$21, $C$9, 100%, $E$9)</f>
        <v>4.9593999999999996</v>
      </c>
      <c r="F49" s="14">
        <f>CHOOSE(CONTROL!$C$42, 4.8639, 4.8639)*CHOOSE(CONTROL!$C$21, $C$9, 100%, $E$9)</f>
        <v>4.8639000000000001</v>
      </c>
      <c r="G49" s="14">
        <f>CHOOSE(CONTROL!$C$42, 4.8814, 4.8814)*CHOOSE(CONTROL!$C$21, $C$9, 100%, $E$9)</f>
        <v>4.8814000000000002</v>
      </c>
      <c r="H49" s="14">
        <f>CHOOSE(CONTROL!$C$42, 4.9486, 4.9486) * CHOOSE(CONTROL!$C$21, $C$9, 100%, $E$9)</f>
        <v>4.9485999999999999</v>
      </c>
      <c r="I49" s="14">
        <f>CHOOSE(CONTROL!$C$42, 4.8913, 4.8913)* CHOOSE(CONTROL!$C$21, $C$9, 100%, $E$9)</f>
        <v>4.8913000000000002</v>
      </c>
      <c r="J49" s="14">
        <f>CHOOSE(CONTROL!$C$42, 4.8569, 4.8569)* CHOOSE(CONTROL!$C$21, $C$9, 100%, $E$9)</f>
        <v>4.8569000000000004</v>
      </c>
      <c r="K49" s="52"/>
      <c r="L49" s="14">
        <f>CHOOSE(CONTROL!$C$42, 5.5356, 5.5356) * CHOOSE(CONTROL!$C$21, $C$9, 100%, $E$9)</f>
        <v>5.5355999999999996</v>
      </c>
      <c r="M49" s="14">
        <f>CHOOSE(CONTROL!$C$42, 4.765, 4.765) * CHOOSE(CONTROL!$C$21, $C$9, 100%, $E$9)</f>
        <v>4.7649999999999997</v>
      </c>
      <c r="N49" s="14">
        <f>CHOOSE(CONTROL!$C$42, 4.7822, 4.7822) * CHOOSE(CONTROL!$C$21, $C$9, 100%, $E$9)</f>
        <v>4.7821999999999996</v>
      </c>
      <c r="O49" s="14">
        <f>CHOOSE(CONTROL!$C$42, 4.8549, 4.8549) * CHOOSE(CONTROL!$C$21, $C$9, 100%, $E$9)</f>
        <v>4.8548999999999998</v>
      </c>
      <c r="P49" s="14">
        <f>CHOOSE(CONTROL!$C$42, 4.7985, 4.7985) * CHOOSE(CONTROL!$C$21, $C$9, 100%, $E$9)</f>
        <v>4.7984999999999998</v>
      </c>
      <c r="Q49" s="14">
        <f>CHOOSE(CONTROL!$C$42, 5.4496, 5.4496) * CHOOSE(CONTROL!$C$21, $C$9, 100%, $E$9)</f>
        <v>5.4496000000000002</v>
      </c>
      <c r="R49" s="14">
        <f>CHOOSE(CONTROL!$C$42, 6.0503, 6.0503) * CHOOSE(CONTROL!$C$21, $C$9, 100%, $E$9)</f>
        <v>6.0503</v>
      </c>
      <c r="S49" s="14">
        <f>CHOOSE(CONTROL!$C$42, 4.643, 4.643) * CHOOSE(CONTROL!$C$21, $C$9, 100%, $E$9)</f>
        <v>4.6429999999999998</v>
      </c>
      <c r="T4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56">
        <f>(1000*CHOOSE(CONTROL!$C$42, 695, 695)*CHOOSE(CONTROL!$C$42, 0.5599, 0.5599)*CHOOSE(CONTROL!$C$42, 31, 31))/1000000</f>
        <v>12.063045499999998</v>
      </c>
      <c r="V49" s="56">
        <f>(1000*CHOOSE(CONTROL!$C$42, 580, 580)*CHOOSE(CONTROL!$C$42, 0.275, 0.275)*CHOOSE(CONTROL!$C$42, 31, 31))/1000000</f>
        <v>4.9444999999999997</v>
      </c>
      <c r="W49" s="56">
        <f>(1000*CHOOSE(CONTROL!$C$42, 0.1146, 0.1146)*CHOOSE(CONTROL!$C$42, 200, 200)*CHOOSE(CONTROL!$C$42, 31, 31))/1000000</f>
        <v>0.71052000000000004</v>
      </c>
      <c r="X49" s="56">
        <f>(31*0.1790888*100000/1000000)+(31*0.2374*100000/1000000)</f>
        <v>1.2911152800000001</v>
      </c>
      <c r="Y49" s="56"/>
      <c r="Z49" s="14"/>
      <c r="AA49" s="55"/>
      <c r="AB49" s="49">
        <f>(B49*122.58+C49*297.941+D49*89.177+E49*40.302+F49*40+G49*160+H49*0+I49*100+J49*300)/(122.58+297.941+89.177+40.302+0+40+160+100+300)</f>
        <v>4.867873715478261</v>
      </c>
      <c r="AC49" s="44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4.8115561151079129</v>
      </c>
    </row>
    <row r="50" spans="1:29" ht="15.75" x14ac:dyDescent="0.25">
      <c r="A50" s="13">
        <v>42401</v>
      </c>
      <c r="B50" s="14">
        <f>CHOOSE(CONTROL!$C$42, 4.937, 4.937) * CHOOSE(CONTROL!$C$21, $C$9, 100%, $E$9)</f>
        <v>4.9370000000000003</v>
      </c>
      <c r="C50" s="14">
        <f>CHOOSE(CONTROL!$C$42, 4.942, 4.942) * CHOOSE(CONTROL!$C$21, $C$9, 100%, $E$9)</f>
        <v>4.9420000000000002</v>
      </c>
      <c r="D50" s="14">
        <f>CHOOSE(CONTROL!$C$42, 5.0215, 5.0215) * CHOOSE(CONTROL!$C$21, $C$9, 100%, $E$9)</f>
        <v>5.0214999999999996</v>
      </c>
      <c r="E50" s="14">
        <f>CHOOSE(CONTROL!$C$42, 5.0556, 5.0556) * CHOOSE(CONTROL!$C$21, $C$9, 100%, $E$9)</f>
        <v>5.0556000000000001</v>
      </c>
      <c r="F50" s="14">
        <f>CHOOSE(CONTROL!$C$42, 4.9598, 4.9598)*CHOOSE(CONTROL!$C$21, $C$9, 100%, $E$9)</f>
        <v>4.9598000000000004</v>
      </c>
      <c r="G50" s="14">
        <f>CHOOSE(CONTROL!$C$42, 4.9772, 4.9772)*CHOOSE(CONTROL!$C$21, $C$9, 100%, $E$9)</f>
        <v>4.9771999999999998</v>
      </c>
      <c r="H50" s="14">
        <f>CHOOSE(CONTROL!$C$42, 5.0448, 5.0448) * CHOOSE(CONTROL!$C$21, $C$9, 100%, $E$9)</f>
        <v>5.0448000000000004</v>
      </c>
      <c r="I50" s="14">
        <f>CHOOSE(CONTROL!$C$42, 4.9877, 4.9877)* CHOOSE(CONTROL!$C$21, $C$9, 100%, $E$9)</f>
        <v>4.9877000000000002</v>
      </c>
      <c r="J50" s="14">
        <f>CHOOSE(CONTROL!$C$42, 4.9528, 4.9528)* CHOOSE(CONTROL!$C$21, $C$9, 100%, $E$9)</f>
        <v>4.9527999999999999</v>
      </c>
      <c r="K50" s="52"/>
      <c r="L50" s="14">
        <f>CHOOSE(CONTROL!$C$42, 5.6318, 5.6318) * CHOOSE(CONTROL!$C$21, $C$9, 100%, $E$9)</f>
        <v>5.6318000000000001</v>
      </c>
      <c r="M50" s="14">
        <f>CHOOSE(CONTROL!$C$42, 4.859, 4.859) * CHOOSE(CONTROL!$C$21, $C$9, 100%, $E$9)</f>
        <v>4.859</v>
      </c>
      <c r="N50" s="14">
        <f>CHOOSE(CONTROL!$C$42, 4.8761, 4.8761) * CHOOSE(CONTROL!$C$21, $C$9, 100%, $E$9)</f>
        <v>4.8761000000000001</v>
      </c>
      <c r="O50" s="14">
        <f>CHOOSE(CONTROL!$C$42, 4.9491, 4.9491) * CHOOSE(CONTROL!$C$21, $C$9, 100%, $E$9)</f>
        <v>4.9490999999999996</v>
      </c>
      <c r="P50" s="14">
        <f>CHOOSE(CONTROL!$C$42, 4.893, 4.893) * CHOOSE(CONTROL!$C$21, $C$9, 100%, $E$9)</f>
        <v>4.8929999999999998</v>
      </c>
      <c r="Q50" s="14">
        <f>CHOOSE(CONTROL!$C$42, 5.5438, 5.5438) * CHOOSE(CONTROL!$C$21, $C$9, 100%, $E$9)</f>
        <v>5.5438000000000001</v>
      </c>
      <c r="R50" s="14">
        <f>CHOOSE(CONTROL!$C$42, 6.1447, 6.1447) * CHOOSE(CONTROL!$C$21, $C$9, 100%, $E$9)</f>
        <v>6.1447000000000003</v>
      </c>
      <c r="S50" s="14">
        <f>CHOOSE(CONTROL!$C$42, 4.7354, 4.7354) * CHOOSE(CONTROL!$C$21, $C$9, 100%, $E$9)</f>
        <v>4.7354000000000003</v>
      </c>
      <c r="T50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0" s="56">
        <f>(1000*CHOOSE(CONTROL!$C$42, 695, 695)*CHOOSE(CONTROL!$C$42, 0.5599, 0.5599)*CHOOSE(CONTROL!$C$42, 29, 29))/1000000</f>
        <v>11.284784499999999</v>
      </c>
      <c r="V50" s="56">
        <f>(1000*CHOOSE(CONTROL!$C$42, 580, 580)*CHOOSE(CONTROL!$C$42, 0.275, 0.275)*CHOOSE(CONTROL!$C$42, 29, 29))/1000000</f>
        <v>4.6254999999999997</v>
      </c>
      <c r="W50" s="56">
        <f>(1000*CHOOSE(CONTROL!$C$42, 0.1146, 0.1146)*CHOOSE(CONTROL!$C$42, 200, 200)*CHOOSE(CONTROL!$C$42, 29, 29))/1000000</f>
        <v>0.66468000000000005</v>
      </c>
      <c r="X50" s="56">
        <f>(29*0.1790888*100000/1000000)+(29*0.2374*100000/1000000)</f>
        <v>1.2078175199999999</v>
      </c>
      <c r="Y50" s="56"/>
      <c r="Z50" s="14"/>
      <c r="AA50" s="55"/>
      <c r="AB50" s="49">
        <f>(B50*122.58+C50*297.941+D50*89.177+E50*40.302+F50*40+G50*160+H50*0+I50*100+J50*300)/(122.58+297.941+89.177+40.302+0+40+160+100+300)</f>
        <v>4.9639208510434782</v>
      </c>
      <c r="AC50" s="44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4.9057129496402885</v>
      </c>
    </row>
    <row r="51" spans="1:29" ht="15.75" x14ac:dyDescent="0.25">
      <c r="A51" s="13">
        <v>42430</v>
      </c>
      <c r="B51" s="14">
        <f>CHOOSE(CONTROL!$C$42, 4.8069, 4.8069) * CHOOSE(CONTROL!$C$21, $C$9, 100%, $E$9)</f>
        <v>4.8068999999999997</v>
      </c>
      <c r="C51" s="14">
        <f>CHOOSE(CONTROL!$C$42, 4.812, 4.812) * CHOOSE(CONTROL!$C$21, $C$9, 100%, $E$9)</f>
        <v>4.8120000000000003</v>
      </c>
      <c r="D51" s="14">
        <f>CHOOSE(CONTROL!$C$42, 4.8914, 4.8914) * CHOOSE(CONTROL!$C$21, $C$9, 100%, $E$9)</f>
        <v>4.8914</v>
      </c>
      <c r="E51" s="14">
        <f>CHOOSE(CONTROL!$C$42, 4.9255, 4.9255) * CHOOSE(CONTROL!$C$21, $C$9, 100%, $E$9)</f>
        <v>4.9255000000000004</v>
      </c>
      <c r="F51" s="14">
        <f>CHOOSE(CONTROL!$C$42, 4.829, 4.829)*CHOOSE(CONTROL!$C$21, $C$9, 100%, $E$9)</f>
        <v>4.8289999999999997</v>
      </c>
      <c r="G51" s="14">
        <f>CHOOSE(CONTROL!$C$42, 4.8463, 4.8463)*CHOOSE(CONTROL!$C$21, $C$9, 100%, $E$9)</f>
        <v>4.8463000000000003</v>
      </c>
      <c r="H51" s="14">
        <f>CHOOSE(CONTROL!$C$42, 4.9147, 4.9147) * CHOOSE(CONTROL!$C$21, $C$9, 100%, $E$9)</f>
        <v>4.9146999999999998</v>
      </c>
      <c r="I51" s="14">
        <f>CHOOSE(CONTROL!$C$42, 4.8573, 4.8573)* CHOOSE(CONTROL!$C$21, $C$9, 100%, $E$9)</f>
        <v>4.8573000000000004</v>
      </c>
      <c r="J51" s="14">
        <f>CHOOSE(CONTROL!$C$42, 4.822, 4.822)* CHOOSE(CONTROL!$C$21, $C$9, 100%, $E$9)</f>
        <v>4.8220000000000001</v>
      </c>
      <c r="K51" s="52"/>
      <c r="L51" s="14">
        <f>CHOOSE(CONTROL!$C$42, 5.5017, 5.5017) * CHOOSE(CONTROL!$C$21, $C$9, 100%, $E$9)</f>
        <v>5.5016999999999996</v>
      </c>
      <c r="M51" s="14">
        <f>CHOOSE(CONTROL!$C$42, 4.7309, 4.7309) * CHOOSE(CONTROL!$C$21, $C$9, 100%, $E$9)</f>
        <v>4.7309000000000001</v>
      </c>
      <c r="N51" s="14">
        <f>CHOOSE(CONTROL!$C$42, 4.7478, 4.7478) * CHOOSE(CONTROL!$C$21, $C$9, 100%, $E$9)</f>
        <v>4.7477999999999998</v>
      </c>
      <c r="O51" s="14">
        <f>CHOOSE(CONTROL!$C$42, 4.8217, 4.8217) * CHOOSE(CONTROL!$C$21, $C$9, 100%, $E$9)</f>
        <v>4.8216999999999999</v>
      </c>
      <c r="P51" s="14">
        <f>CHOOSE(CONTROL!$C$42, 4.7652, 4.7652) * CHOOSE(CONTROL!$C$21, $C$9, 100%, $E$9)</f>
        <v>4.7652000000000001</v>
      </c>
      <c r="Q51" s="14">
        <f>CHOOSE(CONTROL!$C$42, 5.4164, 5.4164) * CHOOSE(CONTROL!$C$21, $C$9, 100%, $E$9)</f>
        <v>5.4164000000000003</v>
      </c>
      <c r="R51" s="14">
        <f>CHOOSE(CONTROL!$C$42, 6.017, 6.017) * CHOOSE(CONTROL!$C$21, $C$9, 100%, $E$9)</f>
        <v>6.0170000000000003</v>
      </c>
      <c r="S51" s="14">
        <f>CHOOSE(CONTROL!$C$42, 4.6105, 4.6105) * CHOOSE(CONTROL!$C$21, $C$9, 100%, $E$9)</f>
        <v>4.6105</v>
      </c>
      <c r="T5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56">
        <f>(1000*CHOOSE(CONTROL!$C$42, 695, 695)*CHOOSE(CONTROL!$C$42, 0.5599, 0.5599)*CHOOSE(CONTROL!$C$42, 31, 31))/1000000</f>
        <v>12.063045499999998</v>
      </c>
      <c r="V51" s="56">
        <f>(1000*CHOOSE(CONTROL!$C$42, 580, 580)*CHOOSE(CONTROL!$C$42, 0.275, 0.275)*CHOOSE(CONTROL!$C$42, 31, 31))/1000000</f>
        <v>4.9444999999999997</v>
      </c>
      <c r="W51" s="56">
        <f>(1000*CHOOSE(CONTROL!$C$42, 0.1146, 0.1146)*CHOOSE(CONTROL!$C$42, 200, 200)*CHOOSE(CONTROL!$C$42, 31, 31))/1000000</f>
        <v>0.71052000000000004</v>
      </c>
      <c r="X51" s="56">
        <f>(31*0.1790888*100000/1000000)+(31*0.2374*100000/1000000)</f>
        <v>1.2911152800000001</v>
      </c>
      <c r="Y51" s="56"/>
      <c r="Z51" s="14"/>
      <c r="AA51" s="55"/>
      <c r="AB51" s="49">
        <f>(B51*122.58+C51*297.941+D51*89.177+E51*40.302+F51*40+G51*160+H51*0+I51*100+J51*300)/(122.58+297.941+89.177+40.302+0+40+160+100+300)</f>
        <v>4.8335024111304348</v>
      </c>
      <c r="AC51" s="44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4.7779618705035967</v>
      </c>
    </row>
    <row r="52" spans="1:29" ht="15.75" x14ac:dyDescent="0.25">
      <c r="A52" s="13">
        <v>42461</v>
      </c>
      <c r="B52" s="14">
        <f>CHOOSE(CONTROL!$C$42, 4.8034, 4.8034) * CHOOSE(CONTROL!$C$21, $C$9, 100%, $E$9)</f>
        <v>4.8033999999999999</v>
      </c>
      <c r="C52" s="14">
        <f>CHOOSE(CONTROL!$C$42, 4.8079, 4.8079) * CHOOSE(CONTROL!$C$21, $C$9, 100%, $E$9)</f>
        <v>4.8079000000000001</v>
      </c>
      <c r="D52" s="14">
        <f>CHOOSE(CONTROL!$C$42, 5.0369, 5.0369) * CHOOSE(CONTROL!$C$21, $C$9, 100%, $E$9)</f>
        <v>5.0369000000000002</v>
      </c>
      <c r="E52" s="14">
        <f>CHOOSE(CONTROL!$C$42, 5.069, 5.069) * CHOOSE(CONTROL!$C$21, $C$9, 100%, $E$9)</f>
        <v>5.069</v>
      </c>
      <c r="F52" s="14">
        <f>CHOOSE(CONTROL!$C$42, 4.8304, 4.8304)*CHOOSE(CONTROL!$C$21, $C$9, 100%, $E$9)</f>
        <v>4.8304</v>
      </c>
      <c r="G52" s="14">
        <f>CHOOSE(CONTROL!$C$42, 4.8472, 4.8472)*CHOOSE(CONTROL!$C$21, $C$9, 100%, $E$9)</f>
        <v>4.8472</v>
      </c>
      <c r="H52" s="14">
        <f>CHOOSE(CONTROL!$C$42, 5.0588, 5.0588) * CHOOSE(CONTROL!$C$21, $C$9, 100%, $E$9)</f>
        <v>5.0587999999999997</v>
      </c>
      <c r="I52" s="14">
        <f>CHOOSE(CONTROL!$C$42, 4.8514, 4.8514)* CHOOSE(CONTROL!$C$21, $C$9, 100%, $E$9)</f>
        <v>4.8513999999999999</v>
      </c>
      <c r="J52" s="14">
        <f>CHOOSE(CONTROL!$C$42, 4.8234, 4.8234)* CHOOSE(CONTROL!$C$21, $C$9, 100%, $E$9)</f>
        <v>4.8234000000000004</v>
      </c>
      <c r="K52" s="52"/>
      <c r="L52" s="14">
        <f>CHOOSE(CONTROL!$C$42, 5.6458, 5.6458) * CHOOSE(CONTROL!$C$21, $C$9, 100%, $E$9)</f>
        <v>5.6458000000000004</v>
      </c>
      <c r="M52" s="14">
        <f>CHOOSE(CONTROL!$C$42, 4.7323, 4.7323) * CHOOSE(CONTROL!$C$21, $C$9, 100%, $E$9)</f>
        <v>4.7323000000000004</v>
      </c>
      <c r="N52" s="14">
        <f>CHOOSE(CONTROL!$C$42, 4.7487, 4.7487) * CHOOSE(CONTROL!$C$21, $C$9, 100%, $E$9)</f>
        <v>4.7487000000000004</v>
      </c>
      <c r="O52" s="14">
        <f>CHOOSE(CONTROL!$C$42, 4.9628, 4.9628) * CHOOSE(CONTROL!$C$21, $C$9, 100%, $E$9)</f>
        <v>4.9627999999999997</v>
      </c>
      <c r="P52" s="14">
        <f>CHOOSE(CONTROL!$C$42, 4.7595, 4.7595) * CHOOSE(CONTROL!$C$21, $C$9, 100%, $E$9)</f>
        <v>4.7595000000000001</v>
      </c>
      <c r="Q52" s="14">
        <f>CHOOSE(CONTROL!$C$42, 5.5575, 5.5575) * CHOOSE(CONTROL!$C$21, $C$9, 100%, $E$9)</f>
        <v>5.5575000000000001</v>
      </c>
      <c r="R52" s="14">
        <f>CHOOSE(CONTROL!$C$42, 6.1584, 6.1584) * CHOOSE(CONTROL!$C$21, $C$9, 100%, $E$9)</f>
        <v>6.1584000000000003</v>
      </c>
      <c r="S52" s="14">
        <f>CHOOSE(CONTROL!$C$42, 4.6063, 4.6063) * CHOOSE(CONTROL!$C$21, $C$9, 100%, $E$9)</f>
        <v>4.6063000000000001</v>
      </c>
      <c r="T5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56">
        <f>(1000*CHOOSE(CONTROL!$C$42, 695, 695)*CHOOSE(CONTROL!$C$42, 0.5599, 0.5599)*CHOOSE(CONTROL!$C$42, 30, 30))/1000000</f>
        <v>11.673914999999997</v>
      </c>
      <c r="V52" s="56">
        <f>(1000*CHOOSE(CONTROL!$C$42, 580, 580)*CHOOSE(CONTROL!$C$42, 0.275, 0.275)*CHOOSE(CONTROL!$C$42, 30, 30))/1000000</f>
        <v>4.7850000000000001</v>
      </c>
      <c r="W52" s="56">
        <f>(1000*CHOOSE(CONTROL!$C$42, 0.1146, 0.1146)*CHOOSE(CONTROL!$C$42, 200, 200)*CHOOSE(CONTROL!$C$42, 30, 30))/1000000</f>
        <v>0.68759999999999999</v>
      </c>
      <c r="X52" s="56">
        <f>(30*0.1790888*245000/1000000)+(30*0.2374*100000/1000000)</f>
        <v>2.0285026799999999</v>
      </c>
      <c r="Y52" s="56"/>
      <c r="Z52" s="14"/>
      <c r="AA52" s="55"/>
      <c r="AB52" s="49">
        <f>(B52*141.293+C52*267.993+D52*115.016+E52*89.698+F52*40+G52*185+H52*0+I52*100+J52*300)/(141.293+267.993+115.016+89.698+0+40+185+100+300)</f>
        <v>4.8614056443099276</v>
      </c>
      <c r="AC52" s="44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4.8046618705035975</v>
      </c>
    </row>
    <row r="53" spans="1:29" ht="15.75" x14ac:dyDescent="0.25">
      <c r="A53" s="13">
        <v>42491</v>
      </c>
      <c r="B53" s="14">
        <f>CHOOSE(CONTROL!$C$42, 4.8571, 4.8571) * CHOOSE(CONTROL!$C$21, $C$9, 100%, $E$9)</f>
        <v>4.8571</v>
      </c>
      <c r="C53" s="14">
        <f>CHOOSE(CONTROL!$C$42, 4.8651, 4.8651) * CHOOSE(CONTROL!$C$21, $C$9, 100%, $E$9)</f>
        <v>4.8651</v>
      </c>
      <c r="D53" s="14">
        <f>CHOOSE(CONTROL!$C$42, 5.0909, 5.0909) * CHOOSE(CONTROL!$C$21, $C$9, 100%, $E$9)</f>
        <v>5.0909000000000004</v>
      </c>
      <c r="E53" s="14">
        <f>CHOOSE(CONTROL!$C$42, 5.1224, 5.1224) * CHOOSE(CONTROL!$C$21, $C$9, 100%, $E$9)</f>
        <v>5.1223999999999998</v>
      </c>
      <c r="F53" s="14">
        <f>CHOOSE(CONTROL!$C$42, 4.8828, 4.8828)*CHOOSE(CONTROL!$C$21, $C$9, 100%, $E$9)</f>
        <v>4.8827999999999996</v>
      </c>
      <c r="G53" s="14">
        <f>CHOOSE(CONTROL!$C$42, 4.8997, 4.8997)*CHOOSE(CONTROL!$C$21, $C$9, 100%, $E$9)</f>
        <v>4.8997000000000002</v>
      </c>
      <c r="H53" s="14">
        <f>CHOOSE(CONTROL!$C$42, 5.111, 5.111) * CHOOSE(CONTROL!$C$21, $C$9, 100%, $E$9)</f>
        <v>5.1109999999999998</v>
      </c>
      <c r="I53" s="14">
        <f>CHOOSE(CONTROL!$C$42, 4.9039, 4.9039)* CHOOSE(CONTROL!$C$21, $C$9, 100%, $E$9)</f>
        <v>4.9039000000000001</v>
      </c>
      <c r="J53" s="14">
        <f>CHOOSE(CONTROL!$C$42, 4.8758, 4.8758)* CHOOSE(CONTROL!$C$21, $C$9, 100%, $E$9)</f>
        <v>4.8757999999999999</v>
      </c>
      <c r="K53" s="52"/>
      <c r="L53" s="14">
        <f>CHOOSE(CONTROL!$C$42, 5.698, 5.698) * CHOOSE(CONTROL!$C$21, $C$9, 100%, $E$9)</f>
        <v>5.6980000000000004</v>
      </c>
      <c r="M53" s="14">
        <f>CHOOSE(CONTROL!$C$42, 4.7836, 4.7836) * CHOOSE(CONTROL!$C$21, $C$9, 100%, $E$9)</f>
        <v>4.7835999999999999</v>
      </c>
      <c r="N53" s="14">
        <f>CHOOSE(CONTROL!$C$42, 4.8002, 4.8002) * CHOOSE(CONTROL!$C$21, $C$9, 100%, $E$9)</f>
        <v>4.8002000000000002</v>
      </c>
      <c r="O53" s="14">
        <f>CHOOSE(CONTROL!$C$42, 5.014, 5.014) * CHOOSE(CONTROL!$C$21, $C$9, 100%, $E$9)</f>
        <v>5.0140000000000002</v>
      </c>
      <c r="P53" s="14">
        <f>CHOOSE(CONTROL!$C$42, 4.8108, 4.8108) * CHOOSE(CONTROL!$C$21, $C$9, 100%, $E$9)</f>
        <v>4.8108000000000004</v>
      </c>
      <c r="Q53" s="14">
        <f>CHOOSE(CONTROL!$C$42, 5.6087, 5.6087) * CHOOSE(CONTROL!$C$21, $C$9, 100%, $E$9)</f>
        <v>5.6086999999999998</v>
      </c>
      <c r="R53" s="14">
        <f>CHOOSE(CONTROL!$C$42, 6.2097, 6.2097) * CHOOSE(CONTROL!$C$21, $C$9, 100%, $E$9)</f>
        <v>6.2096999999999998</v>
      </c>
      <c r="S53" s="14">
        <f>CHOOSE(CONTROL!$C$42, 4.6566, 4.6566) * CHOOSE(CONTROL!$C$21, $C$9, 100%, $E$9)</f>
        <v>4.6566000000000001</v>
      </c>
      <c r="T5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56">
        <f>(1000*CHOOSE(CONTROL!$C$42, 695, 695)*CHOOSE(CONTROL!$C$42, 0.5599, 0.5599)*CHOOSE(CONTROL!$C$42, 31, 31))/1000000</f>
        <v>12.063045499999998</v>
      </c>
      <c r="V53" s="56">
        <f>(1000*CHOOSE(CONTROL!$C$42, 580, 580)*CHOOSE(CONTROL!$C$42, 0.275, 0.275)*CHOOSE(CONTROL!$C$42, 31, 31))/1000000</f>
        <v>4.9444999999999997</v>
      </c>
      <c r="W53" s="56">
        <f>(1000*CHOOSE(CONTROL!$C$42, 0.1146, 0.1146)*CHOOSE(CONTROL!$C$42, 121.5, 121.5)*CHOOSE(CONTROL!$C$42, 31, 31))/1000000</f>
        <v>0.43164089999999994</v>
      </c>
      <c r="X53" s="56">
        <f>(31*0.1790888*245000/1000000)+(31*0.2374*100000/1000000)</f>
        <v>2.0961194359999999</v>
      </c>
      <c r="Y53" s="56"/>
      <c r="Z53" s="14"/>
      <c r="AA53" s="55"/>
      <c r="AB53" s="49">
        <f>(B53*194.205+C53*267.466+D53*133.845+E53*53.484+F53*40+G53*185+H53*0+I53*100+J53*300)/(194.205+267.466+133.845+53.484+0+40+185+100+300)</f>
        <v>4.9095497599686038</v>
      </c>
      <c r="AC53" s="44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4.8559798561151082</v>
      </c>
    </row>
    <row r="54" spans="1:29" ht="15.75" x14ac:dyDescent="0.25">
      <c r="A54" s="13">
        <v>42522</v>
      </c>
      <c r="B54" s="14">
        <f>CHOOSE(CONTROL!$C$42, 5.0048, 5.0048) * CHOOSE(CONTROL!$C$21, $C$9, 100%, $E$9)</f>
        <v>5.0048000000000004</v>
      </c>
      <c r="C54" s="14">
        <f>CHOOSE(CONTROL!$C$42, 5.0128, 5.0128) * CHOOSE(CONTROL!$C$21, $C$9, 100%, $E$9)</f>
        <v>5.0128000000000004</v>
      </c>
      <c r="D54" s="14">
        <f>CHOOSE(CONTROL!$C$42, 5.2386, 5.2386) * CHOOSE(CONTROL!$C$21, $C$9, 100%, $E$9)</f>
        <v>5.2385999999999999</v>
      </c>
      <c r="E54" s="14">
        <f>CHOOSE(CONTROL!$C$42, 5.2701, 5.2701) * CHOOSE(CONTROL!$C$21, $C$9, 100%, $E$9)</f>
        <v>5.2701000000000002</v>
      </c>
      <c r="F54" s="14">
        <f>CHOOSE(CONTROL!$C$42, 5.0309, 5.0309)*CHOOSE(CONTROL!$C$21, $C$9, 100%, $E$9)</f>
        <v>5.0308999999999999</v>
      </c>
      <c r="G54" s="14">
        <f>CHOOSE(CONTROL!$C$42, 5.048, 5.048)*CHOOSE(CONTROL!$C$21, $C$9, 100%, $E$9)</f>
        <v>5.048</v>
      </c>
      <c r="H54" s="14">
        <f>CHOOSE(CONTROL!$C$42, 5.2587, 5.2587) * CHOOSE(CONTROL!$C$21, $C$9, 100%, $E$9)</f>
        <v>5.2587000000000002</v>
      </c>
      <c r="I54" s="14">
        <f>CHOOSE(CONTROL!$C$42, 5.052, 5.052)* CHOOSE(CONTROL!$C$21, $C$9, 100%, $E$9)</f>
        <v>5.0519999999999996</v>
      </c>
      <c r="J54" s="14">
        <f>CHOOSE(CONTROL!$C$42, 5.0239, 5.0239)* CHOOSE(CONTROL!$C$21, $C$9, 100%, $E$9)</f>
        <v>5.0239000000000003</v>
      </c>
      <c r="K54" s="52"/>
      <c r="L54" s="14">
        <f>CHOOSE(CONTROL!$C$42, 5.8457, 5.8457) * CHOOSE(CONTROL!$C$21, $C$9, 100%, $E$9)</f>
        <v>5.8456999999999999</v>
      </c>
      <c r="M54" s="14">
        <f>CHOOSE(CONTROL!$C$42, 4.9287, 4.9287) * CHOOSE(CONTROL!$C$21, $C$9, 100%, $E$9)</f>
        <v>4.9287000000000001</v>
      </c>
      <c r="N54" s="14">
        <f>CHOOSE(CONTROL!$C$42, 4.9454, 4.9454) * CHOOSE(CONTROL!$C$21, $C$9, 100%, $E$9)</f>
        <v>4.9454000000000002</v>
      </c>
      <c r="O54" s="14">
        <f>CHOOSE(CONTROL!$C$42, 5.1587, 5.1587) * CHOOSE(CONTROL!$C$21, $C$9, 100%, $E$9)</f>
        <v>5.1586999999999996</v>
      </c>
      <c r="P54" s="14">
        <f>CHOOSE(CONTROL!$C$42, 4.956, 4.956) * CHOOSE(CONTROL!$C$21, $C$9, 100%, $E$9)</f>
        <v>4.9560000000000004</v>
      </c>
      <c r="Q54" s="14">
        <f>CHOOSE(CONTROL!$C$42, 5.7534, 5.7534) * CHOOSE(CONTROL!$C$21, $C$9, 100%, $E$9)</f>
        <v>5.7534000000000001</v>
      </c>
      <c r="R54" s="14">
        <f>CHOOSE(CONTROL!$C$42, 6.3547, 6.3547) * CHOOSE(CONTROL!$C$21, $C$9, 100%, $E$9)</f>
        <v>6.3547000000000002</v>
      </c>
      <c r="S54" s="14">
        <f>CHOOSE(CONTROL!$C$42, 4.7985, 4.7985) * CHOOSE(CONTROL!$C$21, $C$9, 100%, $E$9)</f>
        <v>4.7984999999999998</v>
      </c>
      <c r="T5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56">
        <f>(1000*CHOOSE(CONTROL!$C$42, 695, 695)*CHOOSE(CONTROL!$C$42, 0.5599, 0.5599)*CHOOSE(CONTROL!$C$42, 30, 30))/1000000</f>
        <v>11.673914999999997</v>
      </c>
      <c r="V54" s="56">
        <f>(1000*CHOOSE(CONTROL!$C$42, 580, 580)*CHOOSE(CONTROL!$C$42, 0.275, 0.275)*CHOOSE(CONTROL!$C$42, 30, 30))/1000000</f>
        <v>4.7850000000000001</v>
      </c>
      <c r="W54" s="56">
        <f>(1000*CHOOSE(CONTROL!$C$42, 0.1146, 0.1146)*CHOOSE(CONTROL!$C$42, 121.5, 121.5)*CHOOSE(CONTROL!$C$42, 30, 30))/1000000</f>
        <v>0.417717</v>
      </c>
      <c r="X54" s="56">
        <f>(30*0.1790888*245000/1000000)+(30*0.2374*100000/1000000)</f>
        <v>2.0285026799999999</v>
      </c>
      <c r="Y54" s="56"/>
      <c r="Z54" s="14"/>
      <c r="AA54" s="55"/>
      <c r="AB54" s="49">
        <f>(B54*194.205+C54*267.466+D54*133.845+E54*53.484+F54*40+G54*185+H54*0+I54*100+J54*300)/(194.205+267.466+133.845+53.484+0+40+185+100+300)</f>
        <v>5.0574750346938773</v>
      </c>
      <c r="AC54" s="44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5.0010050359712226</v>
      </c>
    </row>
    <row r="55" spans="1:29" ht="15.75" x14ac:dyDescent="0.25">
      <c r="A55" s="13">
        <v>42552</v>
      </c>
      <c r="B55" s="14">
        <f>CHOOSE(CONTROL!$C$42, 4.9191, 4.9191) * CHOOSE(CONTROL!$C$21, $C$9, 100%, $E$9)</f>
        <v>4.9191000000000003</v>
      </c>
      <c r="C55" s="14">
        <f>CHOOSE(CONTROL!$C$42, 4.9271, 4.9271) * CHOOSE(CONTROL!$C$21, $C$9, 100%, $E$9)</f>
        <v>4.9271000000000003</v>
      </c>
      <c r="D55" s="14">
        <f>CHOOSE(CONTROL!$C$42, 5.1529, 5.1529) * CHOOSE(CONTROL!$C$21, $C$9, 100%, $E$9)</f>
        <v>5.1528999999999998</v>
      </c>
      <c r="E55" s="14">
        <f>CHOOSE(CONTROL!$C$42, 5.1844, 5.1844) * CHOOSE(CONTROL!$C$21, $C$9, 100%, $E$9)</f>
        <v>5.1844000000000001</v>
      </c>
      <c r="F55" s="14">
        <f>CHOOSE(CONTROL!$C$42, 4.9457, 4.9457)*CHOOSE(CONTROL!$C$21, $C$9, 100%, $E$9)</f>
        <v>4.9457000000000004</v>
      </c>
      <c r="G55" s="14">
        <f>CHOOSE(CONTROL!$C$42, 4.9629, 4.9629)*CHOOSE(CONTROL!$C$21, $C$9, 100%, $E$9)</f>
        <v>4.9629000000000003</v>
      </c>
      <c r="H55" s="14">
        <f>CHOOSE(CONTROL!$C$42, 5.173, 5.173) * CHOOSE(CONTROL!$C$21, $C$9, 100%, $E$9)</f>
        <v>5.173</v>
      </c>
      <c r="I55" s="14">
        <f>CHOOSE(CONTROL!$C$42, 4.966, 4.966)* CHOOSE(CONTROL!$C$21, $C$9, 100%, $E$9)</f>
        <v>4.9660000000000002</v>
      </c>
      <c r="J55" s="14">
        <f>CHOOSE(CONTROL!$C$42, 4.9387, 4.9387)* CHOOSE(CONTROL!$C$21, $C$9, 100%, $E$9)</f>
        <v>4.9386999999999999</v>
      </c>
      <c r="K55" s="52"/>
      <c r="L55" s="14">
        <f>CHOOSE(CONTROL!$C$42, 5.76, 5.76) * CHOOSE(CONTROL!$C$21, $C$9, 100%, $E$9)</f>
        <v>5.76</v>
      </c>
      <c r="M55" s="14">
        <f>CHOOSE(CONTROL!$C$42, 4.8452, 4.8452) * CHOOSE(CONTROL!$C$21, $C$9, 100%, $E$9)</f>
        <v>4.8452000000000002</v>
      </c>
      <c r="N55" s="14">
        <f>CHOOSE(CONTROL!$C$42, 4.862, 4.862) * CHOOSE(CONTROL!$C$21, $C$9, 100%, $E$9)</f>
        <v>4.8620000000000001</v>
      </c>
      <c r="O55" s="14">
        <f>CHOOSE(CONTROL!$C$42, 5.0747, 5.0747) * CHOOSE(CONTROL!$C$21, $C$9, 100%, $E$9)</f>
        <v>5.0747</v>
      </c>
      <c r="P55" s="14">
        <f>CHOOSE(CONTROL!$C$42, 4.8718, 4.8718) * CHOOSE(CONTROL!$C$21, $C$9, 100%, $E$9)</f>
        <v>4.8718000000000004</v>
      </c>
      <c r="Q55" s="14">
        <f>CHOOSE(CONTROL!$C$42, 5.6694, 5.6694) * CHOOSE(CONTROL!$C$21, $C$9, 100%, $E$9)</f>
        <v>5.6694000000000004</v>
      </c>
      <c r="R55" s="14">
        <f>CHOOSE(CONTROL!$C$42, 6.2706, 6.2706) * CHOOSE(CONTROL!$C$21, $C$9, 100%, $E$9)</f>
        <v>6.2706</v>
      </c>
      <c r="S55" s="14">
        <f>CHOOSE(CONTROL!$C$42, 4.7161, 4.7161) * CHOOSE(CONTROL!$C$21, $C$9, 100%, $E$9)</f>
        <v>4.7161</v>
      </c>
      <c r="T5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56">
        <f>(1000*CHOOSE(CONTROL!$C$42, 695, 695)*CHOOSE(CONTROL!$C$42, 0.5599, 0.5599)*CHOOSE(CONTROL!$C$42, 31, 31))/1000000</f>
        <v>12.063045499999998</v>
      </c>
      <c r="V55" s="56">
        <f>(1000*CHOOSE(CONTROL!$C$42, 580, 580)*CHOOSE(CONTROL!$C$42, 0.275, 0.275)*CHOOSE(CONTROL!$C$42, 31, 31))/1000000</f>
        <v>4.9444999999999997</v>
      </c>
      <c r="W55" s="56">
        <f>(1000*CHOOSE(CONTROL!$C$42, 0.1146, 0.1146)*CHOOSE(CONTROL!$C$42, 121.5, 121.5)*CHOOSE(CONTROL!$C$42, 31, 31))/1000000</f>
        <v>0.43164089999999994</v>
      </c>
      <c r="X55" s="56">
        <f>(31*0.1790888*245000/1000000)+(31*0.2374*100000/1000000)</f>
        <v>2.0961194359999999</v>
      </c>
      <c r="Y55" s="56"/>
      <c r="Z55" s="14"/>
      <c r="AA55" s="55"/>
      <c r="AB55" s="49">
        <f>(B55*194.205+C55*267.466+D55*133.845+E55*53.484+F55*40+G55*185+H55*0+I55*100+J55*300)/(194.205+267.466+133.845+53.484+0+40+185+100+300)</f>
        <v>4.9719720519623243</v>
      </c>
      <c r="AC55" s="44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4.9172870503597128</v>
      </c>
    </row>
    <row r="56" spans="1:29" ht="15.75" x14ac:dyDescent="0.25">
      <c r="A56" s="13">
        <v>42583</v>
      </c>
      <c r="B56" s="14">
        <f>CHOOSE(CONTROL!$C$42, 4.6863, 4.6863) * CHOOSE(CONTROL!$C$21, $C$9, 100%, $E$9)</f>
        <v>4.6863000000000001</v>
      </c>
      <c r="C56" s="14">
        <f>CHOOSE(CONTROL!$C$42, 4.6944, 4.6944) * CHOOSE(CONTROL!$C$21, $C$9, 100%, $E$9)</f>
        <v>4.6943999999999999</v>
      </c>
      <c r="D56" s="14">
        <f>CHOOSE(CONTROL!$C$42, 4.9201, 4.9201) * CHOOSE(CONTROL!$C$21, $C$9, 100%, $E$9)</f>
        <v>4.9200999999999997</v>
      </c>
      <c r="E56" s="14">
        <f>CHOOSE(CONTROL!$C$42, 4.9516, 4.9516) * CHOOSE(CONTROL!$C$21, $C$9, 100%, $E$9)</f>
        <v>4.9516</v>
      </c>
      <c r="F56" s="14">
        <f>CHOOSE(CONTROL!$C$42, 4.7131, 4.7131)*CHOOSE(CONTROL!$C$21, $C$9, 100%, $E$9)</f>
        <v>4.7130999999999998</v>
      </c>
      <c r="G56" s="14">
        <f>CHOOSE(CONTROL!$C$42, 4.7304, 4.7304)*CHOOSE(CONTROL!$C$21, $C$9, 100%, $E$9)</f>
        <v>4.7304000000000004</v>
      </c>
      <c r="H56" s="14">
        <f>CHOOSE(CONTROL!$C$42, 4.9402, 4.9402) * CHOOSE(CONTROL!$C$21, $C$9, 100%, $E$9)</f>
        <v>4.9401999999999999</v>
      </c>
      <c r="I56" s="14">
        <f>CHOOSE(CONTROL!$C$42, 4.7325, 4.7325)* CHOOSE(CONTROL!$C$21, $C$9, 100%, $E$9)</f>
        <v>4.7324999999999999</v>
      </c>
      <c r="J56" s="14">
        <f>CHOOSE(CONTROL!$C$42, 4.7061, 4.7061)* CHOOSE(CONTROL!$C$21, $C$9, 100%, $E$9)</f>
        <v>4.7061000000000002</v>
      </c>
      <c r="K56" s="52"/>
      <c r="L56" s="14">
        <f>CHOOSE(CONTROL!$C$42, 5.5272, 5.5272) * CHOOSE(CONTROL!$C$21, $C$9, 100%, $E$9)</f>
        <v>5.5271999999999997</v>
      </c>
      <c r="M56" s="14">
        <f>CHOOSE(CONTROL!$C$42, 4.6174, 4.6174) * CHOOSE(CONTROL!$C$21, $C$9, 100%, $E$9)</f>
        <v>4.6173999999999999</v>
      </c>
      <c r="N56" s="14">
        <f>CHOOSE(CONTROL!$C$42, 4.6343, 4.6343) * CHOOSE(CONTROL!$C$21, $C$9, 100%, $E$9)</f>
        <v>4.6342999999999996</v>
      </c>
      <c r="O56" s="14">
        <f>CHOOSE(CONTROL!$C$42, 4.8467, 4.8467) * CHOOSE(CONTROL!$C$21, $C$9, 100%, $E$9)</f>
        <v>4.8467000000000002</v>
      </c>
      <c r="P56" s="14">
        <f>CHOOSE(CONTROL!$C$42, 4.643, 4.643) * CHOOSE(CONTROL!$C$21, $C$9, 100%, $E$9)</f>
        <v>4.6429999999999998</v>
      </c>
      <c r="Q56" s="14">
        <f>CHOOSE(CONTROL!$C$42, 5.4414, 5.4414) * CHOOSE(CONTROL!$C$21, $C$9, 100%, $E$9)</f>
        <v>5.4413999999999998</v>
      </c>
      <c r="R56" s="14">
        <f>CHOOSE(CONTROL!$C$42, 6.042, 6.042) * CHOOSE(CONTROL!$C$21, $C$9, 100%, $E$9)</f>
        <v>6.0419999999999998</v>
      </c>
      <c r="S56" s="14">
        <f>CHOOSE(CONTROL!$C$42, 4.4925, 4.4925) * CHOOSE(CONTROL!$C$21, $C$9, 100%, $E$9)</f>
        <v>4.4924999999999997</v>
      </c>
      <c r="T5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56">
        <f>(1000*CHOOSE(CONTROL!$C$42, 695, 695)*CHOOSE(CONTROL!$C$42, 0.5599, 0.5599)*CHOOSE(CONTROL!$C$42, 31, 31))/1000000</f>
        <v>12.063045499999998</v>
      </c>
      <c r="V56" s="56">
        <f>(1000*CHOOSE(CONTROL!$C$42, 580, 580)*CHOOSE(CONTROL!$C$42, 0.275, 0.275)*CHOOSE(CONTROL!$C$42, 31, 31))/1000000</f>
        <v>4.9444999999999997</v>
      </c>
      <c r="W56" s="56">
        <f>(1000*CHOOSE(CONTROL!$C$42, 0.1146, 0.1146)*CHOOSE(CONTROL!$C$42, 121.5, 121.5)*CHOOSE(CONTROL!$C$42, 31, 31))/1000000</f>
        <v>0.43164089999999994</v>
      </c>
      <c r="X56" s="56">
        <f>(31*0.1790888*245000/1000000)+(31*0.2374*100000/1000000)</f>
        <v>2.0961194359999999</v>
      </c>
      <c r="Y56" s="56"/>
      <c r="Z56" s="14"/>
      <c r="AA56" s="55"/>
      <c r="AB56" s="49">
        <f>(B56*194.205+C56*267.466+D56*133.845+E56*53.484+F56*40+G56*185+H56*0+I56*100+J56*300)/(194.205+267.466+133.845+53.484+0+40+185+100+300)</f>
        <v>4.7392350398744112</v>
      </c>
      <c r="AC56" s="44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4.6893100719424456</v>
      </c>
    </row>
    <row r="57" spans="1:29" ht="15.75" x14ac:dyDescent="0.25">
      <c r="A57" s="13">
        <v>42614</v>
      </c>
      <c r="B57" s="14">
        <f>CHOOSE(CONTROL!$C$42, 4.3984, 4.3984) * CHOOSE(CONTROL!$C$21, $C$9, 100%, $E$9)</f>
        <v>4.3983999999999996</v>
      </c>
      <c r="C57" s="14">
        <f>CHOOSE(CONTROL!$C$42, 4.4064, 4.4064) * CHOOSE(CONTROL!$C$21, $C$9, 100%, $E$9)</f>
        <v>4.4063999999999997</v>
      </c>
      <c r="D57" s="14">
        <f>CHOOSE(CONTROL!$C$42, 4.6322, 4.6322) * CHOOSE(CONTROL!$C$21, $C$9, 100%, $E$9)</f>
        <v>4.6322000000000001</v>
      </c>
      <c r="E57" s="14">
        <f>CHOOSE(CONTROL!$C$42, 4.6636, 4.6636) * CHOOSE(CONTROL!$C$21, $C$9, 100%, $E$9)</f>
        <v>4.6635999999999997</v>
      </c>
      <c r="F57" s="14">
        <f>CHOOSE(CONTROL!$C$42, 4.4252, 4.4252)*CHOOSE(CONTROL!$C$21, $C$9, 100%, $E$9)</f>
        <v>4.4252000000000002</v>
      </c>
      <c r="G57" s="14">
        <f>CHOOSE(CONTROL!$C$42, 4.4424, 4.4424)*CHOOSE(CONTROL!$C$21, $C$9, 100%, $E$9)</f>
        <v>4.4424000000000001</v>
      </c>
      <c r="H57" s="14">
        <f>CHOOSE(CONTROL!$C$42, 4.6523, 4.6523) * CHOOSE(CONTROL!$C$21, $C$9, 100%, $E$9)</f>
        <v>4.6523000000000003</v>
      </c>
      <c r="I57" s="14">
        <f>CHOOSE(CONTROL!$C$42, 4.4437, 4.4437)* CHOOSE(CONTROL!$C$21, $C$9, 100%, $E$9)</f>
        <v>4.4436999999999998</v>
      </c>
      <c r="J57" s="14">
        <f>CHOOSE(CONTROL!$C$42, 4.4182, 4.4182)* CHOOSE(CONTROL!$C$21, $C$9, 100%, $E$9)</f>
        <v>4.4181999999999997</v>
      </c>
      <c r="K57" s="52"/>
      <c r="L57" s="14">
        <f>CHOOSE(CONTROL!$C$42, 5.2393, 5.2393) * CHOOSE(CONTROL!$C$21, $C$9, 100%, $E$9)</f>
        <v>5.2393000000000001</v>
      </c>
      <c r="M57" s="14">
        <f>CHOOSE(CONTROL!$C$42, 4.3353, 4.3353) * CHOOSE(CONTROL!$C$21, $C$9, 100%, $E$9)</f>
        <v>4.3353000000000002</v>
      </c>
      <c r="N57" s="14">
        <f>CHOOSE(CONTROL!$C$42, 4.3522, 4.3522) * CHOOSE(CONTROL!$C$21, $C$9, 100%, $E$9)</f>
        <v>4.3521999999999998</v>
      </c>
      <c r="O57" s="14">
        <f>CHOOSE(CONTROL!$C$42, 4.5646, 4.5646) * CHOOSE(CONTROL!$C$21, $C$9, 100%, $E$9)</f>
        <v>4.5646000000000004</v>
      </c>
      <c r="P57" s="14">
        <f>CHOOSE(CONTROL!$C$42, 4.3601, 4.3601) * CHOOSE(CONTROL!$C$21, $C$9, 100%, $E$9)</f>
        <v>4.3601000000000001</v>
      </c>
      <c r="Q57" s="14">
        <f>CHOOSE(CONTROL!$C$42, 5.1593, 5.1593) * CHOOSE(CONTROL!$C$21, $C$9, 100%, $E$9)</f>
        <v>5.1593</v>
      </c>
      <c r="R57" s="14">
        <f>CHOOSE(CONTROL!$C$42, 5.7592, 5.7592) * CHOOSE(CONTROL!$C$21, $C$9, 100%, $E$9)</f>
        <v>5.7591999999999999</v>
      </c>
      <c r="S57" s="14">
        <f>CHOOSE(CONTROL!$C$42, 4.2157, 4.2157) * CHOOSE(CONTROL!$C$21, $C$9, 100%, $E$9)</f>
        <v>4.2157</v>
      </c>
      <c r="T5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56">
        <f>(1000*CHOOSE(CONTROL!$C$42, 695, 695)*CHOOSE(CONTROL!$C$42, 0.5599, 0.5599)*CHOOSE(CONTROL!$C$42, 30, 30))/1000000</f>
        <v>11.673914999999997</v>
      </c>
      <c r="V57" s="56">
        <f>(1000*CHOOSE(CONTROL!$C$42, 580, 580)*CHOOSE(CONTROL!$C$42, 0.275, 0.275)*CHOOSE(CONTROL!$C$42, 30, 30))/1000000</f>
        <v>4.7850000000000001</v>
      </c>
      <c r="W57" s="56">
        <f>(1000*CHOOSE(CONTROL!$C$42, 0.1146, 0.1146)*CHOOSE(CONTROL!$C$42, 121.5, 121.5)*CHOOSE(CONTROL!$C$42, 30, 30))/1000000</f>
        <v>0.417717</v>
      </c>
      <c r="X57" s="56">
        <f>(30*0.1790888*245000/1000000)+(30*0.2374*100000/1000000)</f>
        <v>2.0285026799999999</v>
      </c>
      <c r="Y57" s="56"/>
      <c r="Z57" s="14"/>
      <c r="AA57" s="55"/>
      <c r="AB57" s="49">
        <f>(B57*194.205+C57*267.466+D57*133.845+E57*53.484+F57*40+G57*185+H57*0+I57*100+J57*300)/(194.205+267.466+133.845+53.484+0+40+185+100+300)</f>
        <v>4.4512246827315547</v>
      </c>
      <c r="AC57" s="44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4.4070949640287775</v>
      </c>
    </row>
    <row r="58" spans="1:29" ht="15.75" x14ac:dyDescent="0.25">
      <c r="A58" s="13">
        <v>42644</v>
      </c>
      <c r="B58" s="14">
        <f>CHOOSE(CONTROL!$C$42, 4.3164, 4.3164) * CHOOSE(CONTROL!$C$21, $C$9, 100%, $E$9)</f>
        <v>4.3163999999999998</v>
      </c>
      <c r="C58" s="14">
        <f>CHOOSE(CONTROL!$C$42, 4.3217, 4.3217) * CHOOSE(CONTROL!$C$21, $C$9, 100%, $E$9)</f>
        <v>4.3216999999999999</v>
      </c>
      <c r="D58" s="14">
        <f>CHOOSE(CONTROL!$C$42, 4.5525, 4.5525) * CHOOSE(CONTROL!$C$21, $C$9, 100%, $E$9)</f>
        <v>4.5525000000000002</v>
      </c>
      <c r="E58" s="14">
        <f>CHOOSE(CONTROL!$C$42, 4.5816, 4.5816) * CHOOSE(CONTROL!$C$21, $C$9, 100%, $E$9)</f>
        <v>4.5815999999999999</v>
      </c>
      <c r="F58" s="14">
        <f>CHOOSE(CONTROL!$C$42, 4.3452, 4.3452)*CHOOSE(CONTROL!$C$21, $C$9, 100%, $E$9)</f>
        <v>4.3452000000000002</v>
      </c>
      <c r="G58" s="14">
        <f>CHOOSE(CONTROL!$C$42, 4.3624, 4.3624)*CHOOSE(CONTROL!$C$21, $C$9, 100%, $E$9)</f>
        <v>4.3624000000000001</v>
      </c>
      <c r="H58" s="14">
        <f>CHOOSE(CONTROL!$C$42, 4.572, 4.572) * CHOOSE(CONTROL!$C$21, $C$9, 100%, $E$9)</f>
        <v>4.5720000000000001</v>
      </c>
      <c r="I58" s="14">
        <f>CHOOSE(CONTROL!$C$42, 4.3632, 4.3632)* CHOOSE(CONTROL!$C$21, $C$9, 100%, $E$9)</f>
        <v>4.3632</v>
      </c>
      <c r="J58" s="14">
        <f>CHOOSE(CONTROL!$C$42, 4.3382, 4.3382)* CHOOSE(CONTROL!$C$21, $C$9, 100%, $E$9)</f>
        <v>4.3381999999999996</v>
      </c>
      <c r="K58" s="52"/>
      <c r="L58" s="14">
        <f>CHOOSE(CONTROL!$C$42, 5.159, 5.159) * CHOOSE(CONTROL!$C$21, $C$9, 100%, $E$9)</f>
        <v>5.1589999999999998</v>
      </c>
      <c r="M58" s="14">
        <f>CHOOSE(CONTROL!$C$42, 4.257, 4.257) * CHOOSE(CONTROL!$C$21, $C$9, 100%, $E$9)</f>
        <v>4.2569999999999997</v>
      </c>
      <c r="N58" s="14">
        <f>CHOOSE(CONTROL!$C$42, 4.2738, 4.2738) * CHOOSE(CONTROL!$C$21, $C$9, 100%, $E$9)</f>
        <v>4.2737999999999996</v>
      </c>
      <c r="O58" s="14">
        <f>CHOOSE(CONTROL!$C$42, 4.4861, 4.4861) * CHOOSE(CONTROL!$C$21, $C$9, 100%, $E$9)</f>
        <v>4.4861000000000004</v>
      </c>
      <c r="P58" s="14">
        <f>CHOOSE(CONTROL!$C$42, 4.2813, 4.2813) * CHOOSE(CONTROL!$C$21, $C$9, 100%, $E$9)</f>
        <v>4.2812999999999999</v>
      </c>
      <c r="Q58" s="14">
        <f>CHOOSE(CONTROL!$C$42, 5.0808, 5.0808) * CHOOSE(CONTROL!$C$21, $C$9, 100%, $E$9)</f>
        <v>5.0808</v>
      </c>
      <c r="R58" s="14">
        <f>CHOOSE(CONTROL!$C$42, 5.6805, 5.6805) * CHOOSE(CONTROL!$C$21, $C$9, 100%, $E$9)</f>
        <v>5.6805000000000003</v>
      </c>
      <c r="S58" s="14">
        <f>CHOOSE(CONTROL!$C$42, 4.1387, 4.1387) * CHOOSE(CONTROL!$C$21, $C$9, 100%, $E$9)</f>
        <v>4.1387</v>
      </c>
      <c r="T5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56">
        <f>(1000*CHOOSE(CONTROL!$C$42, 695, 695)*CHOOSE(CONTROL!$C$42, 0.5599, 0.5599)*CHOOSE(CONTROL!$C$42, 31, 31))/1000000</f>
        <v>12.063045499999998</v>
      </c>
      <c r="V58" s="56">
        <f>(1000*CHOOSE(CONTROL!$C$42, 580, 580)*CHOOSE(CONTROL!$C$42, 0.275, 0.275)*CHOOSE(CONTROL!$C$42, 31, 31))/1000000</f>
        <v>4.9444999999999997</v>
      </c>
      <c r="W58" s="56">
        <f>(1000*CHOOSE(CONTROL!$C$42, 0.1146, 0.1146)*CHOOSE(CONTROL!$C$42, 121.5, 121.5)*CHOOSE(CONTROL!$C$42, 31, 31))/1000000</f>
        <v>0.43164089999999994</v>
      </c>
      <c r="X58" s="56">
        <f>(31*0.1790888*245000/1000000)+(31*0.2374*100000/1000000)</f>
        <v>2.0961194359999999</v>
      </c>
      <c r="Y58" s="56"/>
      <c r="Z58" s="14"/>
      <c r="AA58" s="55"/>
      <c r="AB58" s="49">
        <f>(B58*131.881+C58*277.167+D58*79.08+E58*125.872+F58*40+G58*185+H58*0+I58*100+J58*300)/(131.881+277.167+79.08+125.872+0+40+185+100+300)</f>
        <v>4.3764508696529454</v>
      </c>
      <c r="AC58" s="44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4.3286438848920863</v>
      </c>
    </row>
    <row r="59" spans="1:29" ht="15.75" x14ac:dyDescent="0.25">
      <c r="A59" s="13">
        <v>42675</v>
      </c>
      <c r="B59" s="14">
        <f>CHOOSE(CONTROL!$C$42, 4.4385, 4.4385) * CHOOSE(CONTROL!$C$21, $C$9, 100%, $E$9)</f>
        <v>4.4385000000000003</v>
      </c>
      <c r="C59" s="14">
        <f>CHOOSE(CONTROL!$C$42, 4.4436, 4.4436) * CHOOSE(CONTROL!$C$21, $C$9, 100%, $E$9)</f>
        <v>4.4436</v>
      </c>
      <c r="D59" s="14">
        <f>CHOOSE(CONTROL!$C$42, 4.5126, 4.5126) * CHOOSE(CONTROL!$C$21, $C$9, 100%, $E$9)</f>
        <v>4.5125999999999999</v>
      </c>
      <c r="E59" s="14">
        <f>CHOOSE(CONTROL!$C$42, 4.5467, 4.5467) * CHOOSE(CONTROL!$C$21, $C$9, 100%, $E$9)</f>
        <v>4.5467000000000004</v>
      </c>
      <c r="F59" s="14">
        <f>CHOOSE(CONTROL!$C$42, 4.4741, 4.4741)*CHOOSE(CONTROL!$C$21, $C$9, 100%, $E$9)</f>
        <v>4.4741</v>
      </c>
      <c r="G59" s="14">
        <f>CHOOSE(CONTROL!$C$42, 4.4915, 4.4915)*CHOOSE(CONTROL!$C$21, $C$9, 100%, $E$9)</f>
        <v>4.4915000000000003</v>
      </c>
      <c r="H59" s="14">
        <f>CHOOSE(CONTROL!$C$42, 4.5359, 4.5359) * CHOOSE(CONTROL!$C$21, $C$9, 100%, $E$9)</f>
        <v>4.5358999999999998</v>
      </c>
      <c r="I59" s="14">
        <f>CHOOSE(CONTROL!$C$42, 4.4887, 4.4887)* CHOOSE(CONTROL!$C$21, $C$9, 100%, $E$9)</f>
        <v>4.4886999999999997</v>
      </c>
      <c r="J59" s="14">
        <f>CHOOSE(CONTROL!$C$42, 4.4671, 4.4671)* CHOOSE(CONTROL!$C$21, $C$9, 100%, $E$9)</f>
        <v>4.4671000000000003</v>
      </c>
      <c r="K59" s="52"/>
      <c r="L59" s="14">
        <f>CHOOSE(CONTROL!$C$42, 5.1229, 5.1229) * CHOOSE(CONTROL!$C$21, $C$9, 100%, $E$9)</f>
        <v>5.1228999999999996</v>
      </c>
      <c r="M59" s="14">
        <f>CHOOSE(CONTROL!$C$42, 4.3833, 4.3833) * CHOOSE(CONTROL!$C$21, $C$9, 100%, $E$9)</f>
        <v>4.3833000000000002</v>
      </c>
      <c r="N59" s="14">
        <f>CHOOSE(CONTROL!$C$42, 4.4003, 4.4003) * CHOOSE(CONTROL!$C$21, $C$9, 100%, $E$9)</f>
        <v>4.4002999999999997</v>
      </c>
      <c r="O59" s="14">
        <f>CHOOSE(CONTROL!$C$42, 4.4507, 4.4507) * CHOOSE(CONTROL!$C$21, $C$9, 100%, $E$9)</f>
        <v>4.4507000000000003</v>
      </c>
      <c r="P59" s="14">
        <f>CHOOSE(CONTROL!$C$42, 4.4043, 4.4043) * CHOOSE(CONTROL!$C$21, $C$9, 100%, $E$9)</f>
        <v>4.4043000000000001</v>
      </c>
      <c r="Q59" s="14">
        <f>CHOOSE(CONTROL!$C$42, 5.0454, 5.0454) * CHOOSE(CONTROL!$C$21, $C$9, 100%, $E$9)</f>
        <v>5.0453999999999999</v>
      </c>
      <c r="R59" s="14">
        <f>CHOOSE(CONTROL!$C$42, 5.645, 5.645) * CHOOSE(CONTROL!$C$21, $C$9, 100%, $E$9)</f>
        <v>5.6449999999999996</v>
      </c>
      <c r="S59" s="14">
        <f>CHOOSE(CONTROL!$C$42, 4.2564, 4.2564) * CHOOSE(CONTROL!$C$21, $C$9, 100%, $E$9)</f>
        <v>4.2564000000000002</v>
      </c>
      <c r="T5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56">
        <f>(1000*CHOOSE(CONTROL!$C$42, 695, 695)*CHOOSE(CONTROL!$C$42, 0.5599, 0.5599)*CHOOSE(CONTROL!$C$42, 30, 30))/1000000</f>
        <v>11.673914999999997</v>
      </c>
      <c r="V59" s="56">
        <f>(1000*CHOOSE(CONTROL!$C$42, 580, 580)*CHOOSE(CONTROL!$C$42, 0.275, 0.275)*CHOOSE(CONTROL!$C$42, 30, 30))/1000000</f>
        <v>4.7850000000000001</v>
      </c>
      <c r="W59" s="56">
        <f>(1000*CHOOSE(CONTROL!$C$42, 0.1146, 0.1146)*CHOOSE(CONTROL!$C$42, 121.5, 121.5)*CHOOSE(CONTROL!$C$42, 30, 30))/1000000</f>
        <v>0.417717</v>
      </c>
      <c r="X59" s="56">
        <f>(30*0.1790888*100000/1000000)+(30*0.2374*100000/1000000)</f>
        <v>1.2494664</v>
      </c>
      <c r="Y59" s="56"/>
      <c r="Z59" s="14"/>
      <c r="AA59" s="55"/>
      <c r="AB59" s="49">
        <f>(B59*122.58+C59*297.941+D59*89.177+E59*40.302+F59*40+G59*160+H59*0+I59*100+J59*300)/(122.58+297.941+89.177+40.302+0+40+160+100+300)</f>
        <v>4.4697975575652178</v>
      </c>
      <c r="AC59" s="44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4.4178482014388489</v>
      </c>
    </row>
    <row r="60" spans="1:29" ht="15.75" x14ac:dyDescent="0.25">
      <c r="A60" s="13">
        <v>42705</v>
      </c>
      <c r="B60" s="14">
        <f>CHOOSE(CONTROL!$C$42, 4.7502, 4.7502) * CHOOSE(CONTROL!$C$21, $C$9, 100%, $E$9)</f>
        <v>4.7502000000000004</v>
      </c>
      <c r="C60" s="14">
        <f>CHOOSE(CONTROL!$C$42, 4.7553, 4.7553) * CHOOSE(CONTROL!$C$21, $C$9, 100%, $E$9)</f>
        <v>4.7553000000000001</v>
      </c>
      <c r="D60" s="14">
        <f>CHOOSE(CONTROL!$C$42, 4.8243, 4.8243) * CHOOSE(CONTROL!$C$21, $C$9, 100%, $E$9)</f>
        <v>4.8243</v>
      </c>
      <c r="E60" s="14">
        <f>CHOOSE(CONTROL!$C$42, 4.8584, 4.8584) * CHOOSE(CONTROL!$C$21, $C$9, 100%, $E$9)</f>
        <v>4.8583999999999996</v>
      </c>
      <c r="F60" s="14">
        <f>CHOOSE(CONTROL!$C$42, 4.7881, 4.7881)*CHOOSE(CONTROL!$C$21, $C$9, 100%, $E$9)</f>
        <v>4.7881</v>
      </c>
      <c r="G60" s="14">
        <f>CHOOSE(CONTROL!$C$42, 4.8061, 4.8061)*CHOOSE(CONTROL!$C$21, $C$9, 100%, $E$9)</f>
        <v>4.8060999999999998</v>
      </c>
      <c r="H60" s="14">
        <f>CHOOSE(CONTROL!$C$42, 4.8476, 4.8476) * CHOOSE(CONTROL!$C$21, $C$9, 100%, $E$9)</f>
        <v>4.8475999999999999</v>
      </c>
      <c r="I60" s="14">
        <f>CHOOSE(CONTROL!$C$42, 4.8014, 4.8014)* CHOOSE(CONTROL!$C$21, $C$9, 100%, $E$9)</f>
        <v>4.8014000000000001</v>
      </c>
      <c r="J60" s="14">
        <f>CHOOSE(CONTROL!$C$42, 4.7811, 4.7811)* CHOOSE(CONTROL!$C$21, $C$9, 100%, $E$9)</f>
        <v>4.7811000000000003</v>
      </c>
      <c r="K60" s="52"/>
      <c r="L60" s="14">
        <f>CHOOSE(CONTROL!$C$42, 5.4346, 5.4346) * CHOOSE(CONTROL!$C$21, $C$9, 100%, $E$9)</f>
        <v>5.4345999999999997</v>
      </c>
      <c r="M60" s="14">
        <f>CHOOSE(CONTROL!$C$42, 4.6908, 4.6908) * CHOOSE(CONTROL!$C$21, $C$9, 100%, $E$9)</f>
        <v>4.6908000000000003</v>
      </c>
      <c r="N60" s="14">
        <f>CHOOSE(CONTROL!$C$42, 4.7084, 4.7084) * CHOOSE(CONTROL!$C$21, $C$9, 100%, $E$9)</f>
        <v>4.7084000000000001</v>
      </c>
      <c r="O60" s="14">
        <f>CHOOSE(CONTROL!$C$42, 4.756, 4.756) * CHOOSE(CONTROL!$C$21, $C$9, 100%, $E$9)</f>
        <v>4.7560000000000002</v>
      </c>
      <c r="P60" s="14">
        <f>CHOOSE(CONTROL!$C$42, 4.7105, 4.7105) * CHOOSE(CONTROL!$C$21, $C$9, 100%, $E$9)</f>
        <v>4.7104999999999997</v>
      </c>
      <c r="Q60" s="14">
        <f>CHOOSE(CONTROL!$C$42, 5.3507, 5.3507) * CHOOSE(CONTROL!$C$21, $C$9, 100%, $E$9)</f>
        <v>5.3506999999999998</v>
      </c>
      <c r="R60" s="14">
        <f>CHOOSE(CONTROL!$C$42, 5.951, 5.951) * CHOOSE(CONTROL!$C$21, $C$9, 100%, $E$9)</f>
        <v>5.9509999999999996</v>
      </c>
      <c r="S60" s="14">
        <f>CHOOSE(CONTROL!$C$42, 4.5559, 4.5559) * CHOOSE(CONTROL!$C$21, $C$9, 100%, $E$9)</f>
        <v>4.5559000000000003</v>
      </c>
      <c r="T6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56">
        <f>(1000*CHOOSE(CONTROL!$C$42, 695, 695)*CHOOSE(CONTROL!$C$42, 0.5599, 0.5599)*CHOOSE(CONTROL!$C$42, 31, 31))/1000000</f>
        <v>12.063045499999998</v>
      </c>
      <c r="V60" s="56">
        <f>(1000*CHOOSE(CONTROL!$C$42, 580, 580)*CHOOSE(CONTROL!$C$42, 0.275, 0.275)*CHOOSE(CONTROL!$C$42, 31, 31))/1000000</f>
        <v>4.9444999999999997</v>
      </c>
      <c r="W60" s="56">
        <f>(1000*CHOOSE(CONTROL!$C$42, 0.1146, 0.1146)*CHOOSE(CONTROL!$C$42, 121.5, 121.5)*CHOOSE(CONTROL!$C$42, 31, 31))/1000000</f>
        <v>0.43164089999999994</v>
      </c>
      <c r="X60" s="56">
        <f>(31*0.1790888*100000/1000000)+(31*0.2374*100000/1000000)</f>
        <v>1.2911152800000001</v>
      </c>
      <c r="Y60" s="56"/>
      <c r="Z60" s="14"/>
      <c r="AA60" s="55"/>
      <c r="AB60" s="49">
        <f>(B60*122.58+C60*297.941+D60*89.177+E60*40.302+F60*40+G60*160+H60*0+I60*100+J60*300)/(122.58+297.941+89.177+40.302+0+40+160+100+300)</f>
        <v>4.7826679923478261</v>
      </c>
      <c r="AC60" s="44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4.7241985611510797</v>
      </c>
    </row>
    <row r="61" spans="1:29" ht="15.75" x14ac:dyDescent="0.25">
      <c r="A61" s="13">
        <v>42736</v>
      </c>
      <c r="B61" s="14">
        <f>CHOOSE(CONTROL!$C$42, 5.2176, 5.2176) * CHOOSE(CONTROL!$C$21, $C$9, 100%, $E$9)</f>
        <v>5.2176</v>
      </c>
      <c r="C61" s="14">
        <f>CHOOSE(CONTROL!$C$42, 5.2227, 5.2227) * CHOOSE(CONTROL!$C$21, $C$9, 100%, $E$9)</f>
        <v>5.2226999999999997</v>
      </c>
      <c r="D61" s="14">
        <f>CHOOSE(CONTROL!$C$42, 5.3021, 5.3021) * CHOOSE(CONTROL!$C$21, $C$9, 100%, $E$9)</f>
        <v>5.3021000000000003</v>
      </c>
      <c r="E61" s="14">
        <f>CHOOSE(CONTROL!$C$42, 5.3362, 5.3362) * CHOOSE(CONTROL!$C$21, $C$9, 100%, $E$9)</f>
        <v>5.3361999999999998</v>
      </c>
      <c r="F61" s="14">
        <f>CHOOSE(CONTROL!$C$42, 5.2406, 5.2406)*CHOOSE(CONTROL!$C$21, $C$9, 100%, $E$9)</f>
        <v>5.2405999999999997</v>
      </c>
      <c r="G61" s="14">
        <f>CHOOSE(CONTROL!$C$42, 5.2582, 5.2582)*CHOOSE(CONTROL!$C$21, $C$9, 100%, $E$9)</f>
        <v>5.2582000000000004</v>
      </c>
      <c r="H61" s="14">
        <f>CHOOSE(CONTROL!$C$42, 5.3254, 5.3254) * CHOOSE(CONTROL!$C$21, $C$9, 100%, $E$9)</f>
        <v>5.3254000000000001</v>
      </c>
      <c r="I61" s="14">
        <f>CHOOSE(CONTROL!$C$42, 5.2692, 5.2692)* CHOOSE(CONTROL!$C$21, $C$9, 100%, $E$9)</f>
        <v>5.2691999999999997</v>
      </c>
      <c r="J61" s="14">
        <f>CHOOSE(CONTROL!$C$42, 5.2336, 5.2336)* CHOOSE(CONTROL!$C$21, $C$9, 100%, $E$9)</f>
        <v>5.2336</v>
      </c>
      <c r="K61" s="52">
        <f>CHOOSE(CONTROL!$C$42, 5.2653, 5.2653) * CHOOSE(CONTROL!$C$21, $C$9, 100%, $E$9)</f>
        <v>5.2652999999999999</v>
      </c>
      <c r="L61" s="14">
        <f>CHOOSE(CONTROL!$C$42, 5.9124, 5.9124) * CHOOSE(CONTROL!$C$21, $C$9, 100%, $E$9)</f>
        <v>5.9123999999999999</v>
      </c>
      <c r="M61" s="14">
        <f>CHOOSE(CONTROL!$C$42, 5.1341, 5.1341) * CHOOSE(CONTROL!$C$21, $C$9, 100%, $E$9)</f>
        <v>5.1341000000000001</v>
      </c>
      <c r="N61" s="14">
        <f>CHOOSE(CONTROL!$C$42, 5.1513, 5.1513) * CHOOSE(CONTROL!$C$21, $C$9, 100%, $E$9)</f>
        <v>5.1513</v>
      </c>
      <c r="O61" s="14">
        <f>CHOOSE(CONTROL!$C$42, 5.224, 5.224) * CHOOSE(CONTROL!$C$21, $C$9, 100%, $E$9)</f>
        <v>5.2240000000000002</v>
      </c>
      <c r="P61" s="14">
        <f>CHOOSE(CONTROL!$C$42, 5.1687, 5.1687) * CHOOSE(CONTROL!$C$21, $C$9, 100%, $E$9)</f>
        <v>5.1687000000000003</v>
      </c>
      <c r="Q61" s="14">
        <f>CHOOSE(CONTROL!$C$42, 5.8187, 5.8187) * CHOOSE(CONTROL!$C$21, $C$9, 100%, $E$9)</f>
        <v>5.8186999999999998</v>
      </c>
      <c r="R61" s="14">
        <f>CHOOSE(CONTROL!$C$42, 6.4202, 6.4202) * CHOOSE(CONTROL!$C$21, $C$9, 100%, $E$9)</f>
        <v>6.4202000000000004</v>
      </c>
      <c r="S61" s="14">
        <f>CHOOSE(CONTROL!$C$42, 5.0051, 5.0051) * CHOOSE(CONTROL!$C$21, $C$9, 100%, $E$9)</f>
        <v>5.0050999999999997</v>
      </c>
      <c r="T6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56">
        <f>(1000*CHOOSE(CONTROL!$C$42, 695, 695)*CHOOSE(CONTROL!$C$42, 0.5599, 0.5599)*CHOOSE(CONTROL!$C$42, 31, 31))/1000000</f>
        <v>12.063045499999998</v>
      </c>
      <c r="V61" s="56">
        <f>(1000*CHOOSE(CONTROL!$C$42, 580, 580)*CHOOSE(CONTROL!$C$42, 0.275, 0.275)*CHOOSE(CONTROL!$C$42, 31, 31))/1000000</f>
        <v>4.9444999999999997</v>
      </c>
      <c r="W61" s="56">
        <f>(1000*CHOOSE(CONTROL!$C$42, 0.1146, 0.1146)*CHOOSE(CONTROL!$C$42, 121.5, 121.5)*CHOOSE(CONTROL!$C$42, 31, 31))/1000000</f>
        <v>0.43164089999999994</v>
      </c>
      <c r="X61" s="56">
        <f>(31*0.1790888*100000/1000000)+(31*0.2374*100000/1000000)</f>
        <v>1.2911152800000001</v>
      </c>
      <c r="Y61" s="56"/>
      <c r="Z61" s="14"/>
      <c r="AA61" s="55"/>
      <c r="AB61" s="49">
        <f>(B61*122.58+C61*297.941+D61*89.177+E61*40.302+F61*40+G61*160+H61*0+I61*100+J61*300)/(122.58+297.941+89.177+40.302+0+40+160+100+300)</f>
        <v>5.2447398024347827</v>
      </c>
      <c r="AC61" s="44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5.1808143884892086</v>
      </c>
    </row>
    <row r="62" spans="1:29" ht="15.75" x14ac:dyDescent="0.25">
      <c r="A62" s="13">
        <v>42767</v>
      </c>
      <c r="B62" s="14">
        <f>CHOOSE(CONTROL!$C$42, 5.3212, 5.3212) * CHOOSE(CONTROL!$C$21, $C$9, 100%, $E$9)</f>
        <v>5.3212000000000002</v>
      </c>
      <c r="C62" s="14">
        <f>CHOOSE(CONTROL!$C$42, 5.3263, 5.3263) * CHOOSE(CONTROL!$C$21, $C$9, 100%, $E$9)</f>
        <v>5.3262999999999998</v>
      </c>
      <c r="D62" s="14">
        <f>CHOOSE(CONTROL!$C$42, 5.4057, 5.4057) * CHOOSE(CONTROL!$C$21, $C$9, 100%, $E$9)</f>
        <v>5.4057000000000004</v>
      </c>
      <c r="E62" s="14">
        <f>CHOOSE(CONTROL!$C$42, 5.4398, 5.4398) * CHOOSE(CONTROL!$C$21, $C$9, 100%, $E$9)</f>
        <v>5.4398</v>
      </c>
      <c r="F62" s="14">
        <f>CHOOSE(CONTROL!$C$42, 5.344, 5.344)*CHOOSE(CONTROL!$C$21, $C$9, 100%, $E$9)</f>
        <v>5.3440000000000003</v>
      </c>
      <c r="G62" s="14">
        <f>CHOOSE(CONTROL!$C$42, 5.3615, 5.3615)*CHOOSE(CONTROL!$C$21, $C$9, 100%, $E$9)</f>
        <v>5.3615000000000004</v>
      </c>
      <c r="H62" s="14">
        <f>CHOOSE(CONTROL!$C$42, 5.429, 5.429) * CHOOSE(CONTROL!$C$21, $C$9, 100%, $E$9)</f>
        <v>5.4290000000000003</v>
      </c>
      <c r="I62" s="14">
        <f>CHOOSE(CONTROL!$C$42, 5.3732, 5.3732)* CHOOSE(CONTROL!$C$21, $C$9, 100%, $E$9)</f>
        <v>5.3731999999999998</v>
      </c>
      <c r="J62" s="14">
        <f>CHOOSE(CONTROL!$C$42, 5.337, 5.337)* CHOOSE(CONTROL!$C$21, $C$9, 100%, $E$9)</f>
        <v>5.3369999999999997</v>
      </c>
      <c r="K62" s="52">
        <f>CHOOSE(CONTROL!$C$42, 5.3693, 5.3693) * CHOOSE(CONTROL!$C$21, $C$9, 100%, $E$9)</f>
        <v>5.3693</v>
      </c>
      <c r="L62" s="14">
        <f>CHOOSE(CONTROL!$C$42, 6.016, 6.016) * CHOOSE(CONTROL!$C$21, $C$9, 100%, $E$9)</f>
        <v>6.016</v>
      </c>
      <c r="M62" s="14">
        <f>CHOOSE(CONTROL!$C$42, 5.2354, 5.2354) * CHOOSE(CONTROL!$C$21, $C$9, 100%, $E$9)</f>
        <v>5.2354000000000003</v>
      </c>
      <c r="N62" s="14">
        <f>CHOOSE(CONTROL!$C$42, 5.2525, 5.2525) * CHOOSE(CONTROL!$C$21, $C$9, 100%, $E$9)</f>
        <v>5.2525000000000004</v>
      </c>
      <c r="O62" s="14">
        <f>CHOOSE(CONTROL!$C$42, 5.3255, 5.3255) * CHOOSE(CONTROL!$C$21, $C$9, 100%, $E$9)</f>
        <v>5.3254999999999999</v>
      </c>
      <c r="P62" s="14">
        <f>CHOOSE(CONTROL!$C$42, 5.2705, 5.2705) * CHOOSE(CONTROL!$C$21, $C$9, 100%, $E$9)</f>
        <v>5.2705000000000002</v>
      </c>
      <c r="Q62" s="14">
        <f>CHOOSE(CONTROL!$C$42, 5.9202, 5.9202) * CHOOSE(CONTROL!$C$21, $C$9, 100%, $E$9)</f>
        <v>5.9202000000000004</v>
      </c>
      <c r="R62" s="14">
        <f>CHOOSE(CONTROL!$C$42, 6.522, 6.522) * CHOOSE(CONTROL!$C$21, $C$9, 100%, $E$9)</f>
        <v>6.5220000000000002</v>
      </c>
      <c r="S62" s="14">
        <f>CHOOSE(CONTROL!$C$42, 5.1046, 5.1046) * CHOOSE(CONTROL!$C$21, $C$9, 100%, $E$9)</f>
        <v>5.1045999999999996</v>
      </c>
      <c r="T6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56">
        <f>(1000*CHOOSE(CONTROL!$C$42, 695, 695)*CHOOSE(CONTROL!$C$42, 0.5599, 0.5599)*CHOOSE(CONTROL!$C$42, 28, 28))/1000000</f>
        <v>10.895653999999999</v>
      </c>
      <c r="V62" s="56">
        <f>(1000*CHOOSE(CONTROL!$C$42, 580, 580)*CHOOSE(CONTROL!$C$42, 0.275, 0.275)*CHOOSE(CONTROL!$C$42, 28, 28))/1000000</f>
        <v>4.4660000000000002</v>
      </c>
      <c r="W62" s="56">
        <f>(1000*CHOOSE(CONTROL!$C$42, 0.1146, 0.1146)*CHOOSE(CONTROL!$C$42, 121.5, 121.5)*CHOOSE(CONTROL!$C$42, 28, 28))/1000000</f>
        <v>0.38986920000000003</v>
      </c>
      <c r="X62" s="56">
        <f>(28*0.1790888*100000/1000000)+(28*0.2374*100000/1000000)</f>
        <v>1.16616864</v>
      </c>
      <c r="Y62" s="56"/>
      <c r="Z62" s="14"/>
      <c r="AA62" s="55"/>
      <c r="AB62" s="49">
        <f>(B62*122.58+C62*297.941+D62*89.177+E62*40.302+F62*40+G62*160+H62*0+I62*100+J62*300)/(122.58+297.941+89.177+40.302+0+40+160+100+300)</f>
        <v>5.3482737154782605</v>
      </c>
      <c r="AC62" s="44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5.2822712230215831</v>
      </c>
    </row>
    <row r="63" spans="1:29" ht="15.75" x14ac:dyDescent="0.25">
      <c r="A63" s="13">
        <v>42795</v>
      </c>
      <c r="B63" s="14">
        <f>CHOOSE(CONTROL!$C$42, 5.1811, 5.1811) * CHOOSE(CONTROL!$C$21, $C$9, 100%, $E$9)</f>
        <v>5.1810999999999998</v>
      </c>
      <c r="C63" s="14">
        <f>CHOOSE(CONTROL!$C$42, 5.1861, 5.1861) * CHOOSE(CONTROL!$C$21, $C$9, 100%, $E$9)</f>
        <v>5.1860999999999997</v>
      </c>
      <c r="D63" s="14">
        <f>CHOOSE(CONTROL!$C$42, 5.2656, 5.2656) * CHOOSE(CONTROL!$C$21, $C$9, 100%, $E$9)</f>
        <v>5.2656000000000001</v>
      </c>
      <c r="E63" s="14">
        <f>CHOOSE(CONTROL!$C$42, 5.2997, 5.2997) * CHOOSE(CONTROL!$C$21, $C$9, 100%, $E$9)</f>
        <v>5.2996999999999996</v>
      </c>
      <c r="F63" s="14">
        <f>CHOOSE(CONTROL!$C$42, 5.2031, 5.2031)*CHOOSE(CONTROL!$C$21, $C$9, 100%, $E$9)</f>
        <v>5.2031000000000001</v>
      </c>
      <c r="G63" s="14">
        <f>CHOOSE(CONTROL!$C$42, 5.2204, 5.2204)*CHOOSE(CONTROL!$C$21, $C$9, 100%, $E$9)</f>
        <v>5.2203999999999997</v>
      </c>
      <c r="H63" s="14">
        <f>CHOOSE(CONTROL!$C$42, 5.2889, 5.2889) * CHOOSE(CONTROL!$C$21, $C$9, 100%, $E$9)</f>
        <v>5.2888999999999999</v>
      </c>
      <c r="I63" s="14">
        <f>CHOOSE(CONTROL!$C$42, 5.2326, 5.2326)* CHOOSE(CONTROL!$C$21, $C$9, 100%, $E$9)</f>
        <v>5.2325999999999997</v>
      </c>
      <c r="J63" s="14">
        <f>CHOOSE(CONTROL!$C$42, 5.1961, 5.1961)* CHOOSE(CONTROL!$C$21, $C$9, 100%, $E$9)</f>
        <v>5.1961000000000004</v>
      </c>
      <c r="K63" s="52">
        <f>CHOOSE(CONTROL!$C$42, 5.2287, 5.2287) * CHOOSE(CONTROL!$C$21, $C$9, 100%, $E$9)</f>
        <v>5.2286999999999999</v>
      </c>
      <c r="L63" s="14">
        <f>CHOOSE(CONTROL!$C$42, 5.8759, 5.8759) * CHOOSE(CONTROL!$C$21, $C$9, 100%, $E$9)</f>
        <v>5.8758999999999997</v>
      </c>
      <c r="M63" s="14">
        <f>CHOOSE(CONTROL!$C$42, 5.0973, 5.0973) * CHOOSE(CONTROL!$C$21, $C$9, 100%, $E$9)</f>
        <v>5.0972999999999997</v>
      </c>
      <c r="N63" s="14">
        <f>CHOOSE(CONTROL!$C$42, 5.1143, 5.1143) * CHOOSE(CONTROL!$C$21, $C$9, 100%, $E$9)</f>
        <v>5.1143000000000001</v>
      </c>
      <c r="O63" s="14">
        <f>CHOOSE(CONTROL!$C$42, 5.1882, 5.1882) * CHOOSE(CONTROL!$C$21, $C$9, 100%, $E$9)</f>
        <v>5.1882000000000001</v>
      </c>
      <c r="P63" s="14">
        <f>CHOOSE(CONTROL!$C$42, 5.1328, 5.1328) * CHOOSE(CONTROL!$C$21, $C$9, 100%, $E$9)</f>
        <v>5.1327999999999996</v>
      </c>
      <c r="Q63" s="14">
        <f>CHOOSE(CONTROL!$C$42, 5.7829, 5.7829) * CHOOSE(CONTROL!$C$21, $C$9, 100%, $E$9)</f>
        <v>5.7828999999999997</v>
      </c>
      <c r="R63" s="14">
        <f>CHOOSE(CONTROL!$C$42, 6.3843, 6.3843) * CHOOSE(CONTROL!$C$21, $C$9, 100%, $E$9)</f>
        <v>6.3842999999999996</v>
      </c>
      <c r="S63" s="14">
        <f>CHOOSE(CONTROL!$C$42, 4.9699, 4.9699) * CHOOSE(CONTROL!$C$21, $C$9, 100%, $E$9)</f>
        <v>4.9699</v>
      </c>
      <c r="T6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56">
        <f>(1000*CHOOSE(CONTROL!$C$42, 695, 695)*CHOOSE(CONTROL!$C$42, 0.5599, 0.5599)*CHOOSE(CONTROL!$C$42, 31, 31))/1000000</f>
        <v>12.063045499999998</v>
      </c>
      <c r="V63" s="56">
        <f>(1000*CHOOSE(CONTROL!$C$42, 580, 580)*CHOOSE(CONTROL!$C$42, 0.275, 0.275)*CHOOSE(CONTROL!$C$42, 31, 31))/1000000</f>
        <v>4.9444999999999997</v>
      </c>
      <c r="W63" s="56">
        <f>(1000*CHOOSE(CONTROL!$C$42, 0.1146, 0.1146)*CHOOSE(CONTROL!$C$42, 121.5, 121.5)*CHOOSE(CONTROL!$C$42, 31, 31))/1000000</f>
        <v>0.43164089999999994</v>
      </c>
      <c r="X63" s="56">
        <f>(31*0.1790888*100000/1000000)+(31*0.2374*100000/1000000)</f>
        <v>1.2911152800000001</v>
      </c>
      <c r="Y63" s="56"/>
      <c r="Z63" s="14"/>
      <c r="AA63" s="55"/>
      <c r="AB63" s="49">
        <f>(B63*122.58+C63*297.941+D63*89.177+E63*40.302+F63*40+G63*160+H63*0+I63*100+J63*300)/(122.58+297.941+89.177+40.302+0+40+160+100+300)</f>
        <v>5.2077286771304347</v>
      </c>
      <c r="AC63" s="44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5.1445856115107915</v>
      </c>
    </row>
    <row r="64" spans="1:29" ht="15.75" x14ac:dyDescent="0.25">
      <c r="A64" s="13">
        <v>42826</v>
      </c>
      <c r="B64" s="14">
        <f>CHOOSE(CONTROL!$C$42, 5.1772, 5.1772) * CHOOSE(CONTROL!$C$21, $C$9, 100%, $E$9)</f>
        <v>5.1772</v>
      </c>
      <c r="C64" s="14">
        <f>CHOOSE(CONTROL!$C$42, 5.1817, 5.1817) * CHOOSE(CONTROL!$C$21, $C$9, 100%, $E$9)</f>
        <v>5.1817000000000002</v>
      </c>
      <c r="D64" s="14">
        <f>CHOOSE(CONTROL!$C$42, 5.4106, 5.4106) * CHOOSE(CONTROL!$C$21, $C$9, 100%, $E$9)</f>
        <v>5.4105999999999996</v>
      </c>
      <c r="E64" s="14">
        <f>CHOOSE(CONTROL!$C$42, 5.4427, 5.4427) * CHOOSE(CONTROL!$C$21, $C$9, 100%, $E$9)</f>
        <v>5.4427000000000003</v>
      </c>
      <c r="F64" s="14">
        <f>CHOOSE(CONTROL!$C$42, 5.2042, 5.2042)*CHOOSE(CONTROL!$C$21, $C$9, 100%, $E$9)</f>
        <v>5.2042000000000002</v>
      </c>
      <c r="G64" s="14">
        <f>CHOOSE(CONTROL!$C$42, 5.2209, 5.2209)*CHOOSE(CONTROL!$C$21, $C$9, 100%, $E$9)</f>
        <v>5.2209000000000003</v>
      </c>
      <c r="H64" s="14">
        <f>CHOOSE(CONTROL!$C$42, 5.4325, 5.4325) * CHOOSE(CONTROL!$C$21, $C$9, 100%, $E$9)</f>
        <v>5.4325000000000001</v>
      </c>
      <c r="I64" s="14">
        <f>CHOOSE(CONTROL!$C$42, 5.2264, 5.2264)* CHOOSE(CONTROL!$C$21, $C$9, 100%, $E$9)</f>
        <v>5.2263999999999999</v>
      </c>
      <c r="J64" s="14">
        <f>CHOOSE(CONTROL!$C$42, 5.1972, 5.1972)* CHOOSE(CONTROL!$C$21, $C$9, 100%, $E$9)</f>
        <v>5.1971999999999996</v>
      </c>
      <c r="K64" s="52">
        <f>CHOOSE(CONTROL!$C$42, 5.2225, 5.2225) * CHOOSE(CONTROL!$C$21, $C$9, 100%, $E$9)</f>
        <v>5.2225000000000001</v>
      </c>
      <c r="L64" s="14">
        <f>CHOOSE(CONTROL!$C$42, 6.0195, 6.0195) * CHOOSE(CONTROL!$C$21, $C$9, 100%, $E$9)</f>
        <v>6.0194999999999999</v>
      </c>
      <c r="M64" s="14">
        <f>CHOOSE(CONTROL!$C$42, 5.0984, 5.0984) * CHOOSE(CONTROL!$C$21, $C$9, 100%, $E$9)</f>
        <v>5.0983999999999998</v>
      </c>
      <c r="N64" s="14">
        <f>CHOOSE(CONTROL!$C$42, 5.1148, 5.1148) * CHOOSE(CONTROL!$C$21, $C$9, 100%, $E$9)</f>
        <v>5.1147999999999998</v>
      </c>
      <c r="O64" s="14">
        <f>CHOOSE(CONTROL!$C$42, 5.3289, 5.3289) * CHOOSE(CONTROL!$C$21, $C$9, 100%, $E$9)</f>
        <v>5.3289</v>
      </c>
      <c r="P64" s="14">
        <f>CHOOSE(CONTROL!$C$42, 5.1267, 5.1267) * CHOOSE(CONTROL!$C$21, $C$9, 100%, $E$9)</f>
        <v>5.1266999999999996</v>
      </c>
      <c r="Q64" s="14">
        <f>CHOOSE(CONTROL!$C$42, 5.9236, 5.9236) * CHOOSE(CONTROL!$C$21, $C$9, 100%, $E$9)</f>
        <v>5.9236000000000004</v>
      </c>
      <c r="R64" s="14">
        <f>CHOOSE(CONTROL!$C$42, 6.5254, 6.5254) * CHOOSE(CONTROL!$C$21, $C$9, 100%, $E$9)</f>
        <v>6.5254000000000003</v>
      </c>
      <c r="S64" s="14">
        <f>CHOOSE(CONTROL!$C$42, 4.9655, 4.9655) * CHOOSE(CONTROL!$C$21, $C$9, 100%, $E$9)</f>
        <v>4.9654999999999996</v>
      </c>
      <c r="T6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56">
        <f>(1000*CHOOSE(CONTROL!$C$42, 695, 695)*CHOOSE(CONTROL!$C$42, 0.5599, 0.5599)*CHOOSE(CONTROL!$C$42, 30, 30))/1000000</f>
        <v>11.673914999999997</v>
      </c>
      <c r="V64" s="56">
        <f>(1000*CHOOSE(CONTROL!$C$42, 580, 580)*CHOOSE(CONTROL!$C$42, 0.275, 0.275)*CHOOSE(CONTROL!$C$42, 30, 30))/1000000</f>
        <v>4.7850000000000001</v>
      </c>
      <c r="W64" s="56">
        <f>(1000*CHOOSE(CONTROL!$C$42, 0.1146, 0.1146)*CHOOSE(CONTROL!$C$42, 121.5, 121.5)*CHOOSE(CONTROL!$C$42, 30, 30))/1000000</f>
        <v>0.417717</v>
      </c>
      <c r="X64" s="56">
        <f>(30*0.1790888*245000/1000000)+(30*0.2374*100000/1000000)</f>
        <v>2.0285026799999999</v>
      </c>
      <c r="Y64" s="56"/>
      <c r="Z64" s="14"/>
      <c r="AA64" s="55"/>
      <c r="AB64" s="49">
        <f>(B64*141.293+C64*267.993+D64*115.016+E64*89.698+F64*40+G64*185+H64*0+I64*100+J64*300)/(141.293+267.993+115.016+89.698+0+40+185+100+300)</f>
        <v>5.2352710426957225</v>
      </c>
      <c r="AC64" s="44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5.1709201438848922</v>
      </c>
    </row>
    <row r="65" spans="1:29" ht="15.75" x14ac:dyDescent="0.25">
      <c r="A65" s="13">
        <v>42856</v>
      </c>
      <c r="B65" s="14">
        <f>CHOOSE(CONTROL!$C$42, 5.2349, 5.2349) * CHOOSE(CONTROL!$C$21, $C$9, 100%, $E$9)</f>
        <v>5.2348999999999997</v>
      </c>
      <c r="C65" s="14">
        <f>CHOOSE(CONTROL!$C$42, 5.243, 5.243) * CHOOSE(CONTROL!$C$21, $C$9, 100%, $E$9)</f>
        <v>5.2430000000000003</v>
      </c>
      <c r="D65" s="14">
        <f>CHOOSE(CONTROL!$C$42, 5.4688, 5.4688) * CHOOSE(CONTROL!$C$21, $C$9, 100%, $E$9)</f>
        <v>5.4687999999999999</v>
      </c>
      <c r="E65" s="14">
        <f>CHOOSE(CONTROL!$C$42, 5.5002, 5.5002) * CHOOSE(CONTROL!$C$21, $C$9, 100%, $E$9)</f>
        <v>5.5002000000000004</v>
      </c>
      <c r="F65" s="14">
        <f>CHOOSE(CONTROL!$C$42, 5.2606, 5.2606)*CHOOSE(CONTROL!$C$21, $C$9, 100%, $E$9)</f>
        <v>5.2606000000000002</v>
      </c>
      <c r="G65" s="14">
        <f>CHOOSE(CONTROL!$C$42, 5.2776, 5.2776)*CHOOSE(CONTROL!$C$21, $C$9, 100%, $E$9)</f>
        <v>5.2775999999999996</v>
      </c>
      <c r="H65" s="14">
        <f>CHOOSE(CONTROL!$C$42, 5.4889, 5.4889) * CHOOSE(CONTROL!$C$21, $C$9, 100%, $E$9)</f>
        <v>5.4889000000000001</v>
      </c>
      <c r="I65" s="14">
        <f>CHOOSE(CONTROL!$C$42, 5.2829, 5.2829)* CHOOSE(CONTROL!$C$21, $C$9, 100%, $E$9)</f>
        <v>5.2828999999999997</v>
      </c>
      <c r="J65" s="14">
        <f>CHOOSE(CONTROL!$C$42, 5.2536, 5.2536)* CHOOSE(CONTROL!$C$21, $C$9, 100%, $E$9)</f>
        <v>5.2535999999999996</v>
      </c>
      <c r="K65" s="52">
        <f>CHOOSE(CONTROL!$C$42, 5.279, 5.279) * CHOOSE(CONTROL!$C$21, $C$9, 100%, $E$9)</f>
        <v>5.2789999999999999</v>
      </c>
      <c r="L65" s="14">
        <f>CHOOSE(CONTROL!$C$42, 6.0759, 6.0759) * CHOOSE(CONTROL!$C$21, $C$9, 100%, $E$9)</f>
        <v>6.0758999999999999</v>
      </c>
      <c r="M65" s="14">
        <f>CHOOSE(CONTROL!$C$42, 5.1537, 5.1537) * CHOOSE(CONTROL!$C$21, $C$9, 100%, $E$9)</f>
        <v>5.1536999999999997</v>
      </c>
      <c r="N65" s="14">
        <f>CHOOSE(CONTROL!$C$42, 5.1703, 5.1703) * CHOOSE(CONTROL!$C$21, $C$9, 100%, $E$9)</f>
        <v>5.1703000000000001</v>
      </c>
      <c r="O65" s="14">
        <f>CHOOSE(CONTROL!$C$42, 5.3841, 5.3841) * CHOOSE(CONTROL!$C$21, $C$9, 100%, $E$9)</f>
        <v>5.3841000000000001</v>
      </c>
      <c r="P65" s="14">
        <f>CHOOSE(CONTROL!$C$42, 5.1821, 5.1821) * CHOOSE(CONTROL!$C$21, $C$9, 100%, $E$9)</f>
        <v>5.1821000000000002</v>
      </c>
      <c r="Q65" s="14">
        <f>CHOOSE(CONTROL!$C$42, 5.9788, 5.9788) * CHOOSE(CONTROL!$C$21, $C$9, 100%, $E$9)</f>
        <v>5.9787999999999997</v>
      </c>
      <c r="R65" s="14">
        <f>CHOOSE(CONTROL!$C$42, 6.5807, 6.5807) * CHOOSE(CONTROL!$C$21, $C$9, 100%, $E$9)</f>
        <v>6.5807000000000002</v>
      </c>
      <c r="S65" s="14">
        <f>CHOOSE(CONTROL!$C$42, 5.0196, 5.0196) * CHOOSE(CONTROL!$C$21, $C$9, 100%, $E$9)</f>
        <v>5.0195999999999996</v>
      </c>
      <c r="T6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56">
        <f>(1000*CHOOSE(CONTROL!$C$42, 695, 695)*CHOOSE(CONTROL!$C$42, 0.5599, 0.5599)*CHOOSE(CONTROL!$C$42, 31, 31))/1000000</f>
        <v>12.063045499999998</v>
      </c>
      <c r="V65" s="56">
        <f>(1000*CHOOSE(CONTROL!$C$42, 580, 580)*CHOOSE(CONTROL!$C$42, 0.275, 0.275)*CHOOSE(CONTROL!$C$42, 31, 31))/1000000</f>
        <v>4.9444999999999997</v>
      </c>
      <c r="W65" s="56">
        <f>(1000*CHOOSE(CONTROL!$C$42, 0.1146, 0.1146)*CHOOSE(CONTROL!$C$42, 121.5, 121.5)*CHOOSE(CONTROL!$C$42, 31, 31))/1000000</f>
        <v>0.43164089999999994</v>
      </c>
      <c r="X65" s="56">
        <f>(31*0.1790888*245000/1000000)+(31*0.2374*100000/1000000)</f>
        <v>2.0961194359999999</v>
      </c>
      <c r="Y65" s="56"/>
      <c r="Z65" s="14"/>
      <c r="AA65" s="55"/>
      <c r="AB65" s="49">
        <f>(B65*194.205+C65*267.466+D65*133.845+E65*53.484+F65*40+G65*185+H65*0+I65*100+J65*300)/(194.205+267.466+133.845+53.484+0+40+185+100+300)</f>
        <v>5.287489972762951</v>
      </c>
      <c r="AC65" s="44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5.2262525179856114</v>
      </c>
    </row>
    <row r="66" spans="1:29" ht="15.75" x14ac:dyDescent="0.25">
      <c r="A66" s="13">
        <v>42887</v>
      </c>
      <c r="B66" s="14">
        <f>CHOOSE(CONTROL!$C$42, 5.3942, 5.3942) * CHOOSE(CONTROL!$C$21, $C$9, 100%, $E$9)</f>
        <v>5.3941999999999997</v>
      </c>
      <c r="C66" s="14">
        <f>CHOOSE(CONTROL!$C$42, 5.4022, 5.4022) * CHOOSE(CONTROL!$C$21, $C$9, 100%, $E$9)</f>
        <v>5.4021999999999997</v>
      </c>
      <c r="D66" s="14">
        <f>CHOOSE(CONTROL!$C$42, 5.628, 5.628) * CHOOSE(CONTROL!$C$21, $C$9, 100%, $E$9)</f>
        <v>5.6280000000000001</v>
      </c>
      <c r="E66" s="14">
        <f>CHOOSE(CONTROL!$C$42, 5.6594, 5.6594) * CHOOSE(CONTROL!$C$21, $C$9, 100%, $E$9)</f>
        <v>5.6593999999999998</v>
      </c>
      <c r="F66" s="14">
        <f>CHOOSE(CONTROL!$C$42, 5.4203, 5.4203)*CHOOSE(CONTROL!$C$21, $C$9, 100%, $E$9)</f>
        <v>5.4203000000000001</v>
      </c>
      <c r="G66" s="14">
        <f>CHOOSE(CONTROL!$C$42, 5.4373, 5.4373)*CHOOSE(CONTROL!$C$21, $C$9, 100%, $E$9)</f>
        <v>5.4372999999999996</v>
      </c>
      <c r="H66" s="14">
        <f>CHOOSE(CONTROL!$C$42, 5.6481, 5.6481) * CHOOSE(CONTROL!$C$21, $C$9, 100%, $E$9)</f>
        <v>5.6481000000000003</v>
      </c>
      <c r="I66" s="14">
        <f>CHOOSE(CONTROL!$C$42, 5.4426, 5.4426)* CHOOSE(CONTROL!$C$21, $C$9, 100%, $E$9)</f>
        <v>5.4425999999999997</v>
      </c>
      <c r="J66" s="14">
        <f>CHOOSE(CONTROL!$C$42, 5.4133, 5.4133)* CHOOSE(CONTROL!$C$21, $C$9, 100%, $E$9)</f>
        <v>5.4132999999999996</v>
      </c>
      <c r="K66" s="52">
        <f>CHOOSE(CONTROL!$C$42, 5.4387, 5.4387) * CHOOSE(CONTROL!$C$21, $C$9, 100%, $E$9)</f>
        <v>5.4386999999999999</v>
      </c>
      <c r="L66" s="14">
        <f>CHOOSE(CONTROL!$C$42, 6.2351, 6.2351) * CHOOSE(CONTROL!$C$21, $C$9, 100%, $E$9)</f>
        <v>6.2351000000000001</v>
      </c>
      <c r="M66" s="14">
        <f>CHOOSE(CONTROL!$C$42, 5.31, 5.31) * CHOOSE(CONTROL!$C$21, $C$9, 100%, $E$9)</f>
        <v>5.31</v>
      </c>
      <c r="N66" s="14">
        <f>CHOOSE(CONTROL!$C$42, 5.3268, 5.3268) * CHOOSE(CONTROL!$C$21, $C$9, 100%, $E$9)</f>
        <v>5.3268000000000004</v>
      </c>
      <c r="O66" s="14">
        <f>CHOOSE(CONTROL!$C$42, 5.54, 5.54) * CHOOSE(CONTROL!$C$21, $C$9, 100%, $E$9)</f>
        <v>5.54</v>
      </c>
      <c r="P66" s="14">
        <f>CHOOSE(CONTROL!$C$42, 5.3385, 5.3385) * CHOOSE(CONTROL!$C$21, $C$9, 100%, $E$9)</f>
        <v>5.3384999999999998</v>
      </c>
      <c r="Q66" s="14">
        <f>CHOOSE(CONTROL!$C$42, 6.1347, 6.1347) * CHOOSE(CONTROL!$C$21, $C$9, 100%, $E$9)</f>
        <v>6.1346999999999996</v>
      </c>
      <c r="R66" s="14">
        <f>CHOOSE(CONTROL!$C$42, 6.7371, 6.7371) * CHOOSE(CONTROL!$C$21, $C$9, 100%, $E$9)</f>
        <v>6.7370999999999999</v>
      </c>
      <c r="S66" s="14">
        <f>CHOOSE(CONTROL!$C$42, 5.1726, 5.1726) * CHOOSE(CONTROL!$C$21, $C$9, 100%, $E$9)</f>
        <v>5.1726000000000001</v>
      </c>
      <c r="T6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56">
        <f>(1000*CHOOSE(CONTROL!$C$42, 695, 695)*CHOOSE(CONTROL!$C$42, 0.5599, 0.5599)*CHOOSE(CONTROL!$C$42, 30, 30))/1000000</f>
        <v>11.673914999999997</v>
      </c>
      <c r="V66" s="56">
        <f>(1000*CHOOSE(CONTROL!$C$42, 580, 580)*CHOOSE(CONTROL!$C$42, 0.275, 0.275)*CHOOSE(CONTROL!$C$42, 30, 30))/1000000</f>
        <v>4.7850000000000001</v>
      </c>
      <c r="W66" s="56">
        <f>(1000*CHOOSE(CONTROL!$C$42, 0.1146, 0.1146)*CHOOSE(CONTROL!$C$42, 121.5, 121.5)*CHOOSE(CONTROL!$C$42, 30, 30))/1000000</f>
        <v>0.417717</v>
      </c>
      <c r="X66" s="56">
        <f>(30*0.1790888*245000/1000000)+(30*0.2374*100000/1000000)</f>
        <v>2.0285026799999999</v>
      </c>
      <c r="Y66" s="56"/>
      <c r="Z66" s="14"/>
      <c r="AA66" s="55"/>
      <c r="AB66" s="49">
        <f>(B66*194.205+C66*267.466+D66*133.845+E66*53.484+F66*40+G66*185+H66*0+I66*100+J66*300)/(194.205+267.466+133.845+53.484+0+40+185+100+300)</f>
        <v>5.4469505069073785</v>
      </c>
      <c r="AC66" s="44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5.3825007194244607</v>
      </c>
    </row>
    <row r="67" spans="1:29" ht="15.75" x14ac:dyDescent="0.25">
      <c r="A67" s="13">
        <v>42917</v>
      </c>
      <c r="B67" s="14">
        <f>CHOOSE(CONTROL!$C$42, 5.3018, 5.3018) * CHOOSE(CONTROL!$C$21, $C$9, 100%, $E$9)</f>
        <v>5.3018000000000001</v>
      </c>
      <c r="C67" s="14">
        <f>CHOOSE(CONTROL!$C$42, 5.3098, 5.3098) * CHOOSE(CONTROL!$C$21, $C$9, 100%, $E$9)</f>
        <v>5.3098000000000001</v>
      </c>
      <c r="D67" s="14">
        <f>CHOOSE(CONTROL!$C$42, 5.5356, 5.5356) * CHOOSE(CONTROL!$C$21, $C$9, 100%, $E$9)</f>
        <v>5.5355999999999996</v>
      </c>
      <c r="E67" s="14">
        <f>CHOOSE(CONTROL!$C$42, 5.5671, 5.5671) * CHOOSE(CONTROL!$C$21, $C$9, 100%, $E$9)</f>
        <v>5.5670999999999999</v>
      </c>
      <c r="F67" s="14">
        <f>CHOOSE(CONTROL!$C$42, 5.3284, 5.3284)*CHOOSE(CONTROL!$C$21, $C$9, 100%, $E$9)</f>
        <v>5.3284000000000002</v>
      </c>
      <c r="G67" s="14">
        <f>CHOOSE(CONTROL!$C$42, 5.3456, 5.3456)*CHOOSE(CONTROL!$C$21, $C$9, 100%, $E$9)</f>
        <v>5.3456000000000001</v>
      </c>
      <c r="H67" s="14">
        <f>CHOOSE(CONTROL!$C$42, 5.5557, 5.5557) * CHOOSE(CONTROL!$C$21, $C$9, 100%, $E$9)</f>
        <v>5.5556999999999999</v>
      </c>
      <c r="I67" s="14">
        <f>CHOOSE(CONTROL!$C$42, 5.3499, 5.3499)* CHOOSE(CONTROL!$C$21, $C$9, 100%, $E$9)</f>
        <v>5.3498999999999999</v>
      </c>
      <c r="J67" s="14">
        <f>CHOOSE(CONTROL!$C$42, 5.3214, 5.3214)* CHOOSE(CONTROL!$C$21, $C$9, 100%, $E$9)</f>
        <v>5.3213999999999997</v>
      </c>
      <c r="K67" s="52">
        <f>CHOOSE(CONTROL!$C$42, 5.346, 5.346) * CHOOSE(CONTROL!$C$21, $C$9, 100%, $E$9)</f>
        <v>5.3460000000000001</v>
      </c>
      <c r="L67" s="14">
        <f>CHOOSE(CONTROL!$C$42, 6.1427, 6.1427) * CHOOSE(CONTROL!$C$21, $C$9, 100%, $E$9)</f>
        <v>6.1426999999999996</v>
      </c>
      <c r="M67" s="14">
        <f>CHOOSE(CONTROL!$C$42, 5.22, 5.22) * CHOOSE(CONTROL!$C$21, $C$9, 100%, $E$9)</f>
        <v>5.22</v>
      </c>
      <c r="N67" s="14">
        <f>CHOOSE(CONTROL!$C$42, 5.2369, 5.2369) * CHOOSE(CONTROL!$C$21, $C$9, 100%, $E$9)</f>
        <v>5.2369000000000003</v>
      </c>
      <c r="O67" s="14">
        <f>CHOOSE(CONTROL!$C$42, 5.4496, 5.4496) * CHOOSE(CONTROL!$C$21, $C$9, 100%, $E$9)</f>
        <v>5.4496000000000002</v>
      </c>
      <c r="P67" s="14">
        <f>CHOOSE(CONTROL!$C$42, 5.2477, 5.2477) * CHOOSE(CONTROL!$C$21, $C$9, 100%, $E$9)</f>
        <v>5.2477</v>
      </c>
      <c r="Q67" s="14">
        <f>CHOOSE(CONTROL!$C$42, 6.0443, 6.0443) * CHOOSE(CONTROL!$C$21, $C$9, 100%, $E$9)</f>
        <v>6.0442999999999998</v>
      </c>
      <c r="R67" s="14">
        <f>CHOOSE(CONTROL!$C$42, 6.6464, 6.6464) * CHOOSE(CONTROL!$C$21, $C$9, 100%, $E$9)</f>
        <v>6.6463999999999999</v>
      </c>
      <c r="S67" s="14">
        <f>CHOOSE(CONTROL!$C$42, 5.0839, 5.0839) * CHOOSE(CONTROL!$C$21, $C$9, 100%, $E$9)</f>
        <v>5.0838999999999999</v>
      </c>
      <c r="T6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56">
        <f>(1000*CHOOSE(CONTROL!$C$42, 695, 695)*CHOOSE(CONTROL!$C$42, 0.5599, 0.5599)*CHOOSE(CONTROL!$C$42, 31, 31))/1000000</f>
        <v>12.063045499999998</v>
      </c>
      <c r="V67" s="56">
        <f>(1000*CHOOSE(CONTROL!$C$42, 580, 580)*CHOOSE(CONTROL!$C$42, 0.275, 0.275)*CHOOSE(CONTROL!$C$42, 31, 31))/1000000</f>
        <v>4.9444999999999997</v>
      </c>
      <c r="W67" s="56">
        <f>(1000*CHOOSE(CONTROL!$C$42, 0.1146, 0.1146)*CHOOSE(CONTROL!$C$42, 121.5, 121.5)*CHOOSE(CONTROL!$C$42, 31, 31))/1000000</f>
        <v>0.43164089999999994</v>
      </c>
      <c r="X67" s="56">
        <f>(31*0.1790888*245000/1000000)+(31*0.2374*100000/1000000)</f>
        <v>2.0961194359999999</v>
      </c>
      <c r="Y67" s="56"/>
      <c r="Z67" s="14"/>
      <c r="AA67" s="55"/>
      <c r="AB67" s="49">
        <f>(B67*194.205+C67*267.466+D67*133.845+E67*53.484+F67*40+G67*185+H67*0+I67*100+J67*300)/(194.205+267.466+133.845+53.484+0+40+185+100+300)</f>
        <v>5.354766243485086</v>
      </c>
      <c r="AC67" s="44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5.2922964028776978</v>
      </c>
    </row>
    <row r="68" spans="1:29" ht="15.75" x14ac:dyDescent="0.25">
      <c r="A68" s="13">
        <v>42948</v>
      </c>
      <c r="B68" s="14">
        <f>CHOOSE(CONTROL!$C$42, 5.0509, 5.0509) * CHOOSE(CONTROL!$C$21, $C$9, 100%, $E$9)</f>
        <v>5.0509000000000004</v>
      </c>
      <c r="C68" s="14">
        <f>CHOOSE(CONTROL!$C$42, 5.0589, 5.0589) * CHOOSE(CONTROL!$C$21, $C$9, 100%, $E$9)</f>
        <v>5.0589000000000004</v>
      </c>
      <c r="D68" s="14">
        <f>CHOOSE(CONTROL!$C$42, 5.2847, 5.2847) * CHOOSE(CONTROL!$C$21, $C$9, 100%, $E$9)</f>
        <v>5.2847</v>
      </c>
      <c r="E68" s="14">
        <f>CHOOSE(CONTROL!$C$42, 5.3161, 5.3161) * CHOOSE(CONTROL!$C$21, $C$9, 100%, $E$9)</f>
        <v>5.3160999999999996</v>
      </c>
      <c r="F68" s="14">
        <f>CHOOSE(CONTROL!$C$42, 5.0777, 5.0777)*CHOOSE(CONTROL!$C$21, $C$9, 100%, $E$9)</f>
        <v>5.0777000000000001</v>
      </c>
      <c r="G68" s="14">
        <f>CHOOSE(CONTROL!$C$42, 5.0949, 5.0949)*CHOOSE(CONTROL!$C$21, $C$9, 100%, $E$9)</f>
        <v>5.0949</v>
      </c>
      <c r="H68" s="14">
        <f>CHOOSE(CONTROL!$C$42, 5.3048, 5.3048) * CHOOSE(CONTROL!$C$21, $C$9, 100%, $E$9)</f>
        <v>5.3048000000000002</v>
      </c>
      <c r="I68" s="14">
        <f>CHOOSE(CONTROL!$C$42, 5.0982, 5.0982)* CHOOSE(CONTROL!$C$21, $C$9, 100%, $E$9)</f>
        <v>5.0982000000000003</v>
      </c>
      <c r="J68" s="14">
        <f>CHOOSE(CONTROL!$C$42, 5.0707, 5.0707)* CHOOSE(CONTROL!$C$21, $C$9, 100%, $E$9)</f>
        <v>5.0707000000000004</v>
      </c>
      <c r="K68" s="52">
        <f>CHOOSE(CONTROL!$C$42, 5.0943, 5.0943) * CHOOSE(CONTROL!$C$21, $C$9, 100%, $E$9)</f>
        <v>5.0942999999999996</v>
      </c>
      <c r="L68" s="14">
        <f>CHOOSE(CONTROL!$C$42, 5.8918, 5.8918) * CHOOSE(CONTROL!$C$21, $C$9, 100%, $E$9)</f>
        <v>5.8917999999999999</v>
      </c>
      <c r="M68" s="14">
        <f>CHOOSE(CONTROL!$C$42, 4.9745, 4.9745) * CHOOSE(CONTROL!$C$21, $C$9, 100%, $E$9)</f>
        <v>4.9744999999999999</v>
      </c>
      <c r="N68" s="14">
        <f>CHOOSE(CONTROL!$C$42, 4.9914, 4.9914) * CHOOSE(CONTROL!$C$21, $C$9, 100%, $E$9)</f>
        <v>4.9913999999999996</v>
      </c>
      <c r="O68" s="14">
        <f>CHOOSE(CONTROL!$C$42, 5.2038, 5.2038) * CHOOSE(CONTROL!$C$21, $C$9, 100%, $E$9)</f>
        <v>5.2038000000000002</v>
      </c>
      <c r="P68" s="14">
        <f>CHOOSE(CONTROL!$C$42, 5.0012, 5.0012) * CHOOSE(CONTROL!$C$21, $C$9, 100%, $E$9)</f>
        <v>5.0011999999999999</v>
      </c>
      <c r="Q68" s="14">
        <f>CHOOSE(CONTROL!$C$42, 5.7985, 5.7985) * CHOOSE(CONTROL!$C$21, $C$9, 100%, $E$9)</f>
        <v>5.7984999999999998</v>
      </c>
      <c r="R68" s="14">
        <f>CHOOSE(CONTROL!$C$42, 6.4, 6.4) * CHOOSE(CONTROL!$C$21, $C$9, 100%, $E$9)</f>
        <v>6.4</v>
      </c>
      <c r="S68" s="14">
        <f>CHOOSE(CONTROL!$C$42, 4.8427, 4.8427) * CHOOSE(CONTROL!$C$21, $C$9, 100%, $E$9)</f>
        <v>4.8426999999999998</v>
      </c>
      <c r="T6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56">
        <f>(1000*CHOOSE(CONTROL!$C$42, 695, 695)*CHOOSE(CONTROL!$C$42, 0.5599, 0.5599)*CHOOSE(CONTROL!$C$42, 31, 31))/1000000</f>
        <v>12.063045499999998</v>
      </c>
      <c r="V68" s="56">
        <f>(1000*CHOOSE(CONTROL!$C$42, 580, 580)*CHOOSE(CONTROL!$C$42, 0.275, 0.275)*CHOOSE(CONTROL!$C$42, 31, 31))/1000000</f>
        <v>4.9444999999999997</v>
      </c>
      <c r="W68" s="56">
        <f>(1000*CHOOSE(CONTROL!$C$42, 0.1146, 0.1146)*CHOOSE(CONTROL!$C$42, 121.5, 121.5)*CHOOSE(CONTROL!$C$42, 31, 31))/1000000</f>
        <v>0.43164089999999994</v>
      </c>
      <c r="X68" s="56">
        <f>(31*0.1790888*245000/1000000)+(31*0.2374*100000/1000000)</f>
        <v>2.0961194359999999</v>
      </c>
      <c r="Y68" s="56"/>
      <c r="Z68" s="14"/>
      <c r="AA68" s="55"/>
      <c r="AB68" s="49">
        <f>(B68*194.205+C68*267.466+D68*133.845+E68*53.484+F68*40+G68*185+H68*0+I68*100+J68*300)/(194.205+267.466+133.845+53.484+0+40+185+100+300)</f>
        <v>5.1038816686028259</v>
      </c>
      <c r="AC68" s="44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5.0465683453237409</v>
      </c>
    </row>
    <row r="69" spans="1:29" ht="15.75" x14ac:dyDescent="0.25">
      <c r="A69" s="13">
        <v>42979</v>
      </c>
      <c r="B69" s="14">
        <f>CHOOSE(CONTROL!$C$42, 4.7404, 4.7404) * CHOOSE(CONTROL!$C$21, $C$9, 100%, $E$9)</f>
        <v>4.7404000000000002</v>
      </c>
      <c r="C69" s="14">
        <f>CHOOSE(CONTROL!$C$42, 4.7485, 4.7485) * CHOOSE(CONTROL!$C$21, $C$9, 100%, $E$9)</f>
        <v>4.7484999999999999</v>
      </c>
      <c r="D69" s="14">
        <f>CHOOSE(CONTROL!$C$42, 4.9743, 4.9743) * CHOOSE(CONTROL!$C$21, $C$9, 100%, $E$9)</f>
        <v>4.9743000000000004</v>
      </c>
      <c r="E69" s="14">
        <f>CHOOSE(CONTROL!$C$42, 5.0057, 5.0057) * CHOOSE(CONTROL!$C$21, $C$9, 100%, $E$9)</f>
        <v>5.0057</v>
      </c>
      <c r="F69" s="14">
        <f>CHOOSE(CONTROL!$C$42, 4.7673, 4.7673)*CHOOSE(CONTROL!$C$21, $C$9, 100%, $E$9)</f>
        <v>4.7672999999999996</v>
      </c>
      <c r="G69" s="14">
        <f>CHOOSE(CONTROL!$C$42, 4.7845, 4.7845)*CHOOSE(CONTROL!$C$21, $C$9, 100%, $E$9)</f>
        <v>4.7845000000000004</v>
      </c>
      <c r="H69" s="14">
        <f>CHOOSE(CONTROL!$C$42, 4.9943, 4.9943) * CHOOSE(CONTROL!$C$21, $C$9, 100%, $E$9)</f>
        <v>4.9943</v>
      </c>
      <c r="I69" s="14">
        <f>CHOOSE(CONTROL!$C$42, 4.7868, 4.7868)* CHOOSE(CONTROL!$C$21, $C$9, 100%, $E$9)</f>
        <v>4.7868000000000004</v>
      </c>
      <c r="J69" s="14">
        <f>CHOOSE(CONTROL!$C$42, 4.7603, 4.7603)* CHOOSE(CONTROL!$C$21, $C$9, 100%, $E$9)</f>
        <v>4.7603</v>
      </c>
      <c r="K69" s="52">
        <f>CHOOSE(CONTROL!$C$42, 4.7829, 4.7829) * CHOOSE(CONTROL!$C$21, $C$9, 100%, $E$9)</f>
        <v>4.7828999999999997</v>
      </c>
      <c r="L69" s="14">
        <f>CHOOSE(CONTROL!$C$42, 5.5813, 5.5813) * CHOOSE(CONTROL!$C$21, $C$9, 100%, $E$9)</f>
        <v>5.5812999999999997</v>
      </c>
      <c r="M69" s="14">
        <f>CHOOSE(CONTROL!$C$42, 4.6704, 4.6704) * CHOOSE(CONTROL!$C$21, $C$9, 100%, $E$9)</f>
        <v>4.6703999999999999</v>
      </c>
      <c r="N69" s="14">
        <f>CHOOSE(CONTROL!$C$42, 4.6873, 4.6873) * CHOOSE(CONTROL!$C$21, $C$9, 100%, $E$9)</f>
        <v>4.6872999999999996</v>
      </c>
      <c r="O69" s="14">
        <f>CHOOSE(CONTROL!$C$42, 4.8997, 4.8997) * CHOOSE(CONTROL!$C$21, $C$9, 100%, $E$9)</f>
        <v>4.8997000000000002</v>
      </c>
      <c r="P69" s="14">
        <f>CHOOSE(CONTROL!$C$42, 4.6962, 4.6962) * CHOOSE(CONTROL!$C$21, $C$9, 100%, $E$9)</f>
        <v>4.6962000000000002</v>
      </c>
      <c r="Q69" s="14">
        <f>CHOOSE(CONTROL!$C$42, 5.4944, 5.4944) * CHOOSE(CONTROL!$C$21, $C$9, 100%, $E$9)</f>
        <v>5.4943999999999997</v>
      </c>
      <c r="R69" s="14">
        <f>CHOOSE(CONTROL!$C$42, 6.0951, 6.0951) * CHOOSE(CONTROL!$C$21, $C$9, 100%, $E$9)</f>
        <v>6.0951000000000004</v>
      </c>
      <c r="S69" s="14">
        <f>CHOOSE(CONTROL!$C$42, 4.5445, 4.5445) * CHOOSE(CONTROL!$C$21, $C$9, 100%, $E$9)</f>
        <v>4.5445000000000002</v>
      </c>
      <c r="T6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56">
        <f>(1000*CHOOSE(CONTROL!$C$42, 695, 695)*CHOOSE(CONTROL!$C$42, 0.5599, 0.5599)*CHOOSE(CONTROL!$C$42, 30, 30))/1000000</f>
        <v>11.673914999999997</v>
      </c>
      <c r="V69" s="56">
        <f>(1000*CHOOSE(CONTROL!$C$42, 580, 580)*CHOOSE(CONTROL!$C$42, 0.275, 0.275)*CHOOSE(CONTROL!$C$42, 30, 30))/1000000</f>
        <v>4.7850000000000001</v>
      </c>
      <c r="W69" s="56">
        <f>(1000*CHOOSE(CONTROL!$C$42, 0.1146, 0.1146)*CHOOSE(CONTROL!$C$42, 121.5, 121.5)*CHOOSE(CONTROL!$C$42, 30, 30))/1000000</f>
        <v>0.417717</v>
      </c>
      <c r="X69" s="56">
        <f>(30*0.1790888*245000/1000000)+(30*0.2374*100000/1000000)</f>
        <v>2.0285026799999999</v>
      </c>
      <c r="Y69" s="56"/>
      <c r="Z69" s="14"/>
      <c r="AA69" s="55"/>
      <c r="AB69" s="49">
        <f>(B69*194.205+C69*267.466+D69*133.845+E69*53.484+F69*40+G69*185+H69*0+I69*100+J69*300)/(194.205+267.466+133.845+53.484+0+40+185+100+300)</f>
        <v>4.7933879319466248</v>
      </c>
      <c r="AC69" s="44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4.7423388489208627</v>
      </c>
    </row>
    <row r="70" spans="1:29" ht="15.75" x14ac:dyDescent="0.25">
      <c r="A70" s="13">
        <v>43009</v>
      </c>
      <c r="B70" s="14">
        <f>CHOOSE(CONTROL!$C$42, 4.6522, 4.6522) * CHOOSE(CONTROL!$C$21, $C$9, 100%, $E$9)</f>
        <v>4.6521999999999997</v>
      </c>
      <c r="C70" s="14">
        <f>CHOOSE(CONTROL!$C$42, 4.6575, 4.6575) * CHOOSE(CONTROL!$C$21, $C$9, 100%, $E$9)</f>
        <v>4.6574999999999998</v>
      </c>
      <c r="D70" s="14">
        <f>CHOOSE(CONTROL!$C$42, 4.8883, 4.8883) * CHOOSE(CONTROL!$C$21, $C$9, 100%, $E$9)</f>
        <v>4.8883000000000001</v>
      </c>
      <c r="E70" s="14">
        <f>CHOOSE(CONTROL!$C$42, 4.9174, 4.9174) * CHOOSE(CONTROL!$C$21, $C$9, 100%, $E$9)</f>
        <v>4.9173999999999998</v>
      </c>
      <c r="F70" s="14">
        <f>CHOOSE(CONTROL!$C$42, 4.6811, 4.6811)*CHOOSE(CONTROL!$C$21, $C$9, 100%, $E$9)</f>
        <v>4.6810999999999998</v>
      </c>
      <c r="G70" s="14">
        <f>CHOOSE(CONTROL!$C$42, 4.6982, 4.6982)*CHOOSE(CONTROL!$C$21, $C$9, 100%, $E$9)</f>
        <v>4.6981999999999999</v>
      </c>
      <c r="H70" s="14">
        <f>CHOOSE(CONTROL!$C$42, 4.9079, 4.9079) * CHOOSE(CONTROL!$C$21, $C$9, 100%, $E$9)</f>
        <v>4.9078999999999997</v>
      </c>
      <c r="I70" s="14">
        <f>CHOOSE(CONTROL!$C$42, 4.7001, 4.7001)* CHOOSE(CONTROL!$C$21, $C$9, 100%, $E$9)</f>
        <v>4.7000999999999999</v>
      </c>
      <c r="J70" s="14">
        <f>CHOOSE(CONTROL!$C$42, 4.6741, 4.6741)* CHOOSE(CONTROL!$C$21, $C$9, 100%, $E$9)</f>
        <v>4.6741000000000001</v>
      </c>
      <c r="K70" s="52">
        <f>CHOOSE(CONTROL!$C$42, 4.6962, 4.6962) * CHOOSE(CONTROL!$C$21, $C$9, 100%, $E$9)</f>
        <v>4.6962000000000002</v>
      </c>
      <c r="L70" s="14">
        <f>CHOOSE(CONTROL!$C$42, 5.4949, 5.4949) * CHOOSE(CONTROL!$C$21, $C$9, 100%, $E$9)</f>
        <v>5.4949000000000003</v>
      </c>
      <c r="M70" s="14">
        <f>CHOOSE(CONTROL!$C$42, 4.586, 4.586) * CHOOSE(CONTROL!$C$21, $C$9, 100%, $E$9)</f>
        <v>4.5860000000000003</v>
      </c>
      <c r="N70" s="14">
        <f>CHOOSE(CONTROL!$C$42, 4.6028, 4.6028) * CHOOSE(CONTROL!$C$21, $C$9, 100%, $E$9)</f>
        <v>4.6028000000000002</v>
      </c>
      <c r="O70" s="14">
        <f>CHOOSE(CONTROL!$C$42, 4.815, 4.815) * CHOOSE(CONTROL!$C$21, $C$9, 100%, $E$9)</f>
        <v>4.8150000000000004</v>
      </c>
      <c r="P70" s="14">
        <f>CHOOSE(CONTROL!$C$42, 4.6113, 4.6113) * CHOOSE(CONTROL!$C$21, $C$9, 100%, $E$9)</f>
        <v>4.6113</v>
      </c>
      <c r="Q70" s="14">
        <f>CHOOSE(CONTROL!$C$42, 5.4097, 5.4097) * CHOOSE(CONTROL!$C$21, $C$9, 100%, $E$9)</f>
        <v>5.4097</v>
      </c>
      <c r="R70" s="14">
        <f>CHOOSE(CONTROL!$C$42, 6.0102, 6.0102) * CHOOSE(CONTROL!$C$21, $C$9, 100%, $E$9)</f>
        <v>6.0102000000000002</v>
      </c>
      <c r="S70" s="14">
        <f>CHOOSE(CONTROL!$C$42, 4.4614, 4.4614) * CHOOSE(CONTROL!$C$21, $C$9, 100%, $E$9)</f>
        <v>4.4614000000000003</v>
      </c>
      <c r="T7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56">
        <f>(1000*CHOOSE(CONTROL!$C$42, 695, 695)*CHOOSE(CONTROL!$C$42, 0.5599, 0.5599)*CHOOSE(CONTROL!$C$42, 31, 31))/1000000</f>
        <v>12.063045499999998</v>
      </c>
      <c r="V70" s="56">
        <f>(1000*CHOOSE(CONTROL!$C$42, 580, 580)*CHOOSE(CONTROL!$C$42, 0.275, 0.275)*CHOOSE(CONTROL!$C$42, 31, 31))/1000000</f>
        <v>4.9444999999999997</v>
      </c>
      <c r="W70" s="56">
        <f>(1000*CHOOSE(CONTROL!$C$42, 0.1146, 0.1146)*CHOOSE(CONTROL!$C$42, 121.5, 121.5)*CHOOSE(CONTROL!$C$42, 31, 31))/1000000</f>
        <v>0.43164089999999994</v>
      </c>
      <c r="X70" s="56">
        <f>(31*0.1790888*245000/1000000)+(31*0.2374*100000/1000000)</f>
        <v>2.0961194359999999</v>
      </c>
      <c r="Y70" s="56"/>
      <c r="Z70" s="14"/>
      <c r="AA70" s="55"/>
      <c r="AB70" s="49">
        <f>(B70*131.881+C70*277.167+D70*79.08+E70*125.872+F70*40+G70*185+H70*0+I70*100+J70*300)/(131.881+277.167+79.08+125.872+0+40+185+100+300)</f>
        <v>4.7123670924132357</v>
      </c>
      <c r="AC70" s="44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4.6577597122302166</v>
      </c>
    </row>
    <row r="71" spans="1:29" ht="15.75" x14ac:dyDescent="0.25">
      <c r="A71" s="13">
        <v>43040</v>
      </c>
      <c r="B71" s="14">
        <f>CHOOSE(CONTROL!$C$42, 4.7839, 4.7839) * CHOOSE(CONTROL!$C$21, $C$9, 100%, $E$9)</f>
        <v>4.7839</v>
      </c>
      <c r="C71" s="14">
        <f>CHOOSE(CONTROL!$C$42, 4.789, 4.789) * CHOOSE(CONTROL!$C$21, $C$9, 100%, $E$9)</f>
        <v>4.7889999999999997</v>
      </c>
      <c r="D71" s="14">
        <f>CHOOSE(CONTROL!$C$42, 4.858, 4.858) * CHOOSE(CONTROL!$C$21, $C$9, 100%, $E$9)</f>
        <v>4.8579999999999997</v>
      </c>
      <c r="E71" s="14">
        <f>CHOOSE(CONTROL!$C$42, 4.8921, 4.8921) * CHOOSE(CONTROL!$C$21, $C$9, 100%, $E$9)</f>
        <v>4.8921000000000001</v>
      </c>
      <c r="F71" s="14">
        <f>CHOOSE(CONTROL!$C$42, 4.8195, 4.8195)*CHOOSE(CONTROL!$C$21, $C$9, 100%, $E$9)</f>
        <v>4.8194999999999997</v>
      </c>
      <c r="G71" s="14">
        <f>CHOOSE(CONTROL!$C$42, 4.8369, 4.8369)*CHOOSE(CONTROL!$C$21, $C$9, 100%, $E$9)</f>
        <v>4.8369</v>
      </c>
      <c r="H71" s="14">
        <f>CHOOSE(CONTROL!$C$42, 4.8813, 4.8813) * CHOOSE(CONTROL!$C$21, $C$9, 100%, $E$9)</f>
        <v>4.8813000000000004</v>
      </c>
      <c r="I71" s="14">
        <f>CHOOSE(CONTROL!$C$42, 4.8352, 4.8352)* CHOOSE(CONTROL!$C$21, $C$9, 100%, $E$9)</f>
        <v>4.8352000000000004</v>
      </c>
      <c r="J71" s="14">
        <f>CHOOSE(CONTROL!$C$42, 4.8125, 4.8125)* CHOOSE(CONTROL!$C$21, $C$9, 100%, $E$9)</f>
        <v>4.8125</v>
      </c>
      <c r="K71" s="52">
        <f>CHOOSE(CONTROL!$C$42, 4.8313, 4.8313) * CHOOSE(CONTROL!$C$21, $C$9, 100%, $E$9)</f>
        <v>4.8312999999999997</v>
      </c>
      <c r="L71" s="14">
        <f>CHOOSE(CONTROL!$C$42, 5.4683, 5.4683) * CHOOSE(CONTROL!$C$21, $C$9, 100%, $E$9)</f>
        <v>5.4683000000000002</v>
      </c>
      <c r="M71" s="14">
        <f>CHOOSE(CONTROL!$C$42, 4.7216, 4.7216) * CHOOSE(CONTROL!$C$21, $C$9, 100%, $E$9)</f>
        <v>4.7215999999999996</v>
      </c>
      <c r="N71" s="14">
        <f>CHOOSE(CONTROL!$C$42, 4.7386, 4.7386) * CHOOSE(CONTROL!$C$21, $C$9, 100%, $E$9)</f>
        <v>4.7385999999999999</v>
      </c>
      <c r="O71" s="14">
        <f>CHOOSE(CONTROL!$C$42, 4.789, 4.789) * CHOOSE(CONTROL!$C$21, $C$9, 100%, $E$9)</f>
        <v>4.7889999999999997</v>
      </c>
      <c r="P71" s="14">
        <f>CHOOSE(CONTROL!$C$42, 4.7436, 4.7436) * CHOOSE(CONTROL!$C$21, $C$9, 100%, $E$9)</f>
        <v>4.7435999999999998</v>
      </c>
      <c r="Q71" s="14">
        <f>CHOOSE(CONTROL!$C$42, 5.3837, 5.3837) * CHOOSE(CONTROL!$C$21, $C$9, 100%, $E$9)</f>
        <v>5.3837000000000002</v>
      </c>
      <c r="R71" s="14">
        <f>CHOOSE(CONTROL!$C$42, 5.9841, 5.9841) * CHOOSE(CONTROL!$C$21, $C$9, 100%, $E$9)</f>
        <v>5.9840999999999998</v>
      </c>
      <c r="S71" s="14">
        <f>CHOOSE(CONTROL!$C$42, 4.5883, 4.5883) * CHOOSE(CONTROL!$C$21, $C$9, 100%, $E$9)</f>
        <v>4.5883000000000003</v>
      </c>
      <c r="T7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56">
        <f>(1000*CHOOSE(CONTROL!$C$42, 695, 695)*CHOOSE(CONTROL!$C$42, 0.5599, 0.5599)*CHOOSE(CONTROL!$C$42, 30, 30))/1000000</f>
        <v>11.673914999999997</v>
      </c>
      <c r="V71" s="56">
        <f>(1000*CHOOSE(CONTROL!$C$42, 580, 580)*CHOOSE(CONTROL!$C$42, 0.275, 0.275)*CHOOSE(CONTROL!$C$42, 30, 30))/1000000</f>
        <v>4.7850000000000001</v>
      </c>
      <c r="W71" s="56">
        <f>(1000*CHOOSE(CONTROL!$C$42, 0.1146, 0.1146)*CHOOSE(CONTROL!$C$42, 121.5, 121.5)*CHOOSE(CONTROL!$C$42, 30, 30))/1000000</f>
        <v>0.417717</v>
      </c>
      <c r="X71" s="56">
        <f>(30*0.1790888*100000/1000000)+(30*0.2374*100000/1000000)</f>
        <v>1.2494664</v>
      </c>
      <c r="Y71" s="56"/>
      <c r="Z71" s="14"/>
      <c r="AA71" s="55"/>
      <c r="AB71" s="49">
        <f>(B71*122.58+C71*297.941+D71*89.177+E71*40.302+F71*40+G71*160+H71*0+I71*100+J71*300)/(122.58+297.941+89.177+40.302+0+40+160+100+300)</f>
        <v>4.8152932097391297</v>
      </c>
      <c r="AC71" s="44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4.7562920863309355</v>
      </c>
    </row>
    <row r="72" spans="1:29" ht="15.75" x14ac:dyDescent="0.25">
      <c r="A72" s="13">
        <v>43070</v>
      </c>
      <c r="B72" s="14">
        <f>CHOOSE(CONTROL!$C$42, 5.1199, 5.1199) * CHOOSE(CONTROL!$C$21, $C$9, 100%, $E$9)</f>
        <v>5.1199000000000003</v>
      </c>
      <c r="C72" s="14">
        <f>CHOOSE(CONTROL!$C$42, 5.125, 5.125) * CHOOSE(CONTROL!$C$21, $C$9, 100%, $E$9)</f>
        <v>5.125</v>
      </c>
      <c r="D72" s="14">
        <f>CHOOSE(CONTROL!$C$42, 5.194, 5.194) * CHOOSE(CONTROL!$C$21, $C$9, 100%, $E$9)</f>
        <v>5.194</v>
      </c>
      <c r="E72" s="14">
        <f>CHOOSE(CONTROL!$C$42, 5.2281, 5.2281) * CHOOSE(CONTROL!$C$21, $C$9, 100%, $E$9)</f>
        <v>5.2281000000000004</v>
      </c>
      <c r="F72" s="14">
        <f>CHOOSE(CONTROL!$C$42, 5.1578, 5.1578)*CHOOSE(CONTROL!$C$21, $C$9, 100%, $E$9)</f>
        <v>5.1577999999999999</v>
      </c>
      <c r="G72" s="14">
        <f>CHOOSE(CONTROL!$C$42, 5.1757, 5.1757)*CHOOSE(CONTROL!$C$21, $C$9, 100%, $E$9)</f>
        <v>5.1757</v>
      </c>
      <c r="H72" s="14">
        <f>CHOOSE(CONTROL!$C$42, 5.2173, 5.2173) * CHOOSE(CONTROL!$C$21, $C$9, 100%, $E$9)</f>
        <v>5.2172999999999998</v>
      </c>
      <c r="I72" s="14">
        <f>CHOOSE(CONTROL!$C$42, 5.1723, 5.1723)* CHOOSE(CONTROL!$C$21, $C$9, 100%, $E$9)</f>
        <v>5.1722999999999999</v>
      </c>
      <c r="J72" s="14">
        <f>CHOOSE(CONTROL!$C$42, 5.1508, 5.1508)* CHOOSE(CONTROL!$C$21, $C$9, 100%, $E$9)</f>
        <v>5.1508000000000003</v>
      </c>
      <c r="K72" s="52">
        <f>CHOOSE(CONTROL!$C$42, 5.1684, 5.1684) * CHOOSE(CONTROL!$C$21, $C$9, 100%, $E$9)</f>
        <v>5.1684000000000001</v>
      </c>
      <c r="L72" s="14">
        <f>CHOOSE(CONTROL!$C$42, 5.8043, 5.8043) * CHOOSE(CONTROL!$C$21, $C$9, 100%, $E$9)</f>
        <v>5.8042999999999996</v>
      </c>
      <c r="M72" s="14">
        <f>CHOOSE(CONTROL!$C$42, 5.0529, 5.0529) * CHOOSE(CONTROL!$C$21, $C$9, 100%, $E$9)</f>
        <v>5.0529000000000002</v>
      </c>
      <c r="N72" s="14">
        <f>CHOOSE(CONTROL!$C$42, 5.0705, 5.0705) * CHOOSE(CONTROL!$C$21, $C$9, 100%, $E$9)</f>
        <v>5.0705</v>
      </c>
      <c r="O72" s="14">
        <f>CHOOSE(CONTROL!$C$42, 5.1181, 5.1181) * CHOOSE(CONTROL!$C$21, $C$9, 100%, $E$9)</f>
        <v>5.1181000000000001</v>
      </c>
      <c r="P72" s="14">
        <f>CHOOSE(CONTROL!$C$42, 5.0738, 5.0738) * CHOOSE(CONTROL!$C$21, $C$9, 100%, $E$9)</f>
        <v>5.0738000000000003</v>
      </c>
      <c r="Q72" s="14">
        <f>CHOOSE(CONTROL!$C$42, 5.7128, 5.7128) * CHOOSE(CONTROL!$C$21, $C$9, 100%, $E$9)</f>
        <v>5.7127999999999997</v>
      </c>
      <c r="R72" s="14">
        <f>CHOOSE(CONTROL!$C$42, 6.3141, 6.3141) * CHOOSE(CONTROL!$C$21, $C$9, 100%, $E$9)</f>
        <v>6.3140999999999998</v>
      </c>
      <c r="S72" s="14">
        <f>CHOOSE(CONTROL!$C$42, 4.9112, 4.9112) * CHOOSE(CONTROL!$C$21, $C$9, 100%, $E$9)</f>
        <v>4.9112</v>
      </c>
      <c r="T7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56">
        <f>(1000*CHOOSE(CONTROL!$C$42, 695, 695)*CHOOSE(CONTROL!$C$42, 0.5599, 0.5599)*CHOOSE(CONTROL!$C$42, 31, 31))/1000000</f>
        <v>12.063045499999998</v>
      </c>
      <c r="V72" s="56">
        <f>(1000*CHOOSE(CONTROL!$C$42, 580, 580)*CHOOSE(CONTROL!$C$42, 0.275, 0.275)*CHOOSE(CONTROL!$C$42, 31, 31))/1000000</f>
        <v>4.9444999999999997</v>
      </c>
      <c r="W72" s="56">
        <f>(1000*CHOOSE(CONTROL!$C$42, 0.1146, 0.1146)*CHOOSE(CONTROL!$C$42, 121.5, 121.5)*CHOOSE(CONTROL!$C$42, 31, 31))/1000000</f>
        <v>0.43164089999999994</v>
      </c>
      <c r="X72" s="56">
        <f>(31*0.1790888*100000/1000000)+(31*0.2374*100000/1000000)</f>
        <v>1.2911152800000001</v>
      </c>
      <c r="Y72" s="56"/>
      <c r="Z72" s="14"/>
      <c r="AA72" s="55"/>
      <c r="AB72" s="49">
        <f>(B72*122.58+C72*297.941+D72*89.177+E72*40.302+F72*40+G72*160+H72*0+I72*100+J72*300)/(122.58+297.941+89.177+40.302+0+40+160+100+300)</f>
        <v>5.1524584271304352</v>
      </c>
      <c r="AC72" s="44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5.0864712230215829</v>
      </c>
    </row>
    <row r="73" spans="1:29" ht="15.75" x14ac:dyDescent="0.25">
      <c r="A73" s="13">
        <v>43101</v>
      </c>
      <c r="B73" s="14">
        <f>CHOOSE(CONTROL!$C$42, 6.0007, 6.0007) * CHOOSE(CONTROL!$C$21, $C$9, 100%, $E$9)</f>
        <v>6.0007000000000001</v>
      </c>
      <c r="C73" s="14">
        <f>CHOOSE(CONTROL!$C$42, 6.0058, 6.0058) * CHOOSE(CONTROL!$C$21, $C$9, 100%, $E$9)</f>
        <v>6.0057999999999998</v>
      </c>
      <c r="D73" s="14">
        <f>CHOOSE(CONTROL!$C$42, 6.0852, 6.0852) * CHOOSE(CONTROL!$C$21, $C$9, 100%, $E$9)</f>
        <v>6.0852000000000004</v>
      </c>
      <c r="E73" s="14">
        <f>CHOOSE(CONTROL!$C$42, 6.1193, 6.1193) * CHOOSE(CONTROL!$C$21, $C$9, 100%, $E$9)</f>
        <v>6.1193</v>
      </c>
      <c r="F73" s="14">
        <f>CHOOSE(CONTROL!$C$42, 6.0238, 6.0238)*CHOOSE(CONTROL!$C$21, $C$9, 100%, $E$9)</f>
        <v>6.0237999999999996</v>
      </c>
      <c r="G73" s="14">
        <f>CHOOSE(CONTROL!$C$42, 6.0413, 6.0413)*CHOOSE(CONTROL!$C$21, $C$9, 100%, $E$9)</f>
        <v>6.0412999999999997</v>
      </c>
      <c r="H73" s="14">
        <f>CHOOSE(CONTROL!$C$42, 6.1085, 6.1085) * CHOOSE(CONTROL!$C$21, $C$9, 100%, $E$9)</f>
        <v>6.1085000000000003</v>
      </c>
      <c r="I73" s="14">
        <f>CHOOSE(CONTROL!$C$42, 6.0548, 6.0548)* CHOOSE(CONTROL!$C$21, $C$9, 100%, $E$9)</f>
        <v>6.0548000000000002</v>
      </c>
      <c r="J73" s="14">
        <f>CHOOSE(CONTROL!$C$42, 6.0168, 6.0168)* CHOOSE(CONTROL!$C$21, $C$9, 100%, $E$9)</f>
        <v>6.0167999999999999</v>
      </c>
      <c r="K73" s="52">
        <f>CHOOSE(CONTROL!$C$42, 6.0509, 6.0509) * CHOOSE(CONTROL!$C$21, $C$9, 100%, $E$9)</f>
        <v>6.0509000000000004</v>
      </c>
      <c r="L73" s="14">
        <f>CHOOSE(CONTROL!$C$42, 6.6955, 6.6955) * CHOOSE(CONTROL!$C$21, $C$9, 100%, $E$9)</f>
        <v>6.6955</v>
      </c>
      <c r="M73" s="14">
        <f>CHOOSE(CONTROL!$C$42, 5.9012, 5.9012) * CHOOSE(CONTROL!$C$21, $C$9, 100%, $E$9)</f>
        <v>5.9012000000000002</v>
      </c>
      <c r="N73" s="14">
        <f>CHOOSE(CONTROL!$C$42, 5.9183, 5.9183) * CHOOSE(CONTROL!$C$21, $C$9, 100%, $E$9)</f>
        <v>5.9183000000000003</v>
      </c>
      <c r="O73" s="14">
        <f>CHOOSE(CONTROL!$C$42, 5.9911, 5.9911) * CHOOSE(CONTROL!$C$21, $C$9, 100%, $E$9)</f>
        <v>5.9911000000000003</v>
      </c>
      <c r="P73" s="14">
        <f>CHOOSE(CONTROL!$C$42, 5.9382, 5.9382) * CHOOSE(CONTROL!$C$21, $C$9, 100%, $E$9)</f>
        <v>5.9382000000000001</v>
      </c>
      <c r="Q73" s="14">
        <f>CHOOSE(CONTROL!$C$42, 6.5858, 6.5858) * CHOOSE(CONTROL!$C$21, $C$9, 100%, $E$9)</f>
        <v>6.5857999999999999</v>
      </c>
      <c r="R73" s="14">
        <f>CHOOSE(CONTROL!$C$42, 7.1892, 7.1892) * CHOOSE(CONTROL!$C$21, $C$9, 100%, $E$9)</f>
        <v>7.1891999999999996</v>
      </c>
      <c r="S73" s="14">
        <f>CHOOSE(CONTROL!$C$42, 5.7576, 5.7576) * CHOOSE(CONTROL!$C$21, $C$9, 100%, $E$9)</f>
        <v>5.7576000000000001</v>
      </c>
      <c r="T7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56">
        <f>(1000*CHOOSE(CONTROL!$C$42, 695, 695)*CHOOSE(CONTROL!$C$42, 0.5599, 0.5599)*CHOOSE(CONTROL!$C$42, 31, 31))/1000000</f>
        <v>12.063045499999998</v>
      </c>
      <c r="V73" s="56">
        <f>(1000*CHOOSE(CONTROL!$C$42, 500, 500)*CHOOSE(CONTROL!$C$42, 0.275, 0.275)*CHOOSE(CONTROL!$C$42, 31, 31))/1000000</f>
        <v>4.2625000000000002</v>
      </c>
      <c r="W73" s="56">
        <f>(1000*CHOOSE(CONTROL!$C$42, 0.1146, 0.1146)*CHOOSE(CONTROL!$C$42, 121.5, 121.5)*CHOOSE(CONTROL!$C$42, 31, 31))/1000000</f>
        <v>0.43164089999999994</v>
      </c>
      <c r="X73" s="56">
        <f>(31*0.1790888*100000/1000000)+(31*0.2374*100000/1000000)</f>
        <v>1.2911152800000001</v>
      </c>
      <c r="Y73" s="56"/>
      <c r="Z73" s="14"/>
      <c r="AA73" s="55"/>
      <c r="AB73" s="49">
        <f>(B73*122.58+C73*297.941+D73*89.177+E73*40.302+F73*40+G73*160+H73*0+I73*100+J73*300)/(122.58+297.941+89.177+40.302+0+40+160+100+300)</f>
        <v>6.0280867589565217</v>
      </c>
      <c r="AC73" s="44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5.9482539568345327</v>
      </c>
    </row>
    <row r="74" spans="1:29" ht="15.75" x14ac:dyDescent="0.25">
      <c r="A74" s="13">
        <v>43132</v>
      </c>
      <c r="B74" s="14">
        <f>CHOOSE(CONTROL!$C$42, 6.1199, 6.1199) * CHOOSE(CONTROL!$C$21, $C$9, 100%, $E$9)</f>
        <v>6.1199000000000003</v>
      </c>
      <c r="C74" s="14">
        <f>CHOOSE(CONTROL!$C$42, 6.125, 6.125) * CHOOSE(CONTROL!$C$21, $C$9, 100%, $E$9)</f>
        <v>6.125</v>
      </c>
      <c r="D74" s="14">
        <f>CHOOSE(CONTROL!$C$42, 6.2044, 6.2044) * CHOOSE(CONTROL!$C$21, $C$9, 100%, $E$9)</f>
        <v>6.2043999999999997</v>
      </c>
      <c r="E74" s="14">
        <f>CHOOSE(CONTROL!$C$42, 6.2385, 6.2385) * CHOOSE(CONTROL!$C$21, $C$9, 100%, $E$9)</f>
        <v>6.2385000000000002</v>
      </c>
      <c r="F74" s="14">
        <f>CHOOSE(CONTROL!$C$42, 6.1427, 6.1427)*CHOOSE(CONTROL!$C$21, $C$9, 100%, $E$9)</f>
        <v>6.1426999999999996</v>
      </c>
      <c r="G74" s="14">
        <f>CHOOSE(CONTROL!$C$42, 6.1602, 6.1602)*CHOOSE(CONTROL!$C$21, $C$9, 100%, $E$9)</f>
        <v>6.1601999999999997</v>
      </c>
      <c r="H74" s="14">
        <f>CHOOSE(CONTROL!$C$42, 6.2277, 6.2277) * CHOOSE(CONTROL!$C$21, $C$9, 100%, $E$9)</f>
        <v>6.2276999999999996</v>
      </c>
      <c r="I74" s="14">
        <f>CHOOSE(CONTROL!$C$42, 6.1744, 6.1744)* CHOOSE(CONTROL!$C$21, $C$9, 100%, $E$9)</f>
        <v>6.1744000000000003</v>
      </c>
      <c r="J74" s="14">
        <f>CHOOSE(CONTROL!$C$42, 6.1357, 6.1357)* CHOOSE(CONTROL!$C$21, $C$9, 100%, $E$9)</f>
        <v>6.1356999999999999</v>
      </c>
      <c r="K74" s="52">
        <f>CHOOSE(CONTROL!$C$42, 6.1705, 6.1705) * CHOOSE(CONTROL!$C$21, $C$9, 100%, $E$9)</f>
        <v>6.1704999999999997</v>
      </c>
      <c r="L74" s="14">
        <f>CHOOSE(CONTROL!$C$42, 6.8147, 6.8147) * CHOOSE(CONTROL!$C$21, $C$9, 100%, $E$9)</f>
        <v>6.8147000000000002</v>
      </c>
      <c r="M74" s="14">
        <f>CHOOSE(CONTROL!$C$42, 6.0177, 6.0177) * CHOOSE(CONTROL!$C$21, $C$9, 100%, $E$9)</f>
        <v>6.0176999999999996</v>
      </c>
      <c r="N74" s="14">
        <f>CHOOSE(CONTROL!$C$42, 6.0348, 6.0348) * CHOOSE(CONTROL!$C$21, $C$9, 100%, $E$9)</f>
        <v>6.0347999999999997</v>
      </c>
      <c r="O74" s="14">
        <f>CHOOSE(CONTROL!$C$42, 6.1078, 6.1078) * CHOOSE(CONTROL!$C$21, $C$9, 100%, $E$9)</f>
        <v>6.1078000000000001</v>
      </c>
      <c r="P74" s="14">
        <f>CHOOSE(CONTROL!$C$42, 6.0553, 6.0553) * CHOOSE(CONTROL!$C$21, $C$9, 100%, $E$9)</f>
        <v>6.0552999999999999</v>
      </c>
      <c r="Q74" s="14">
        <f>CHOOSE(CONTROL!$C$42, 6.7025, 6.7025) * CHOOSE(CONTROL!$C$21, $C$9, 100%, $E$9)</f>
        <v>6.7024999999999997</v>
      </c>
      <c r="R74" s="14">
        <f>CHOOSE(CONTROL!$C$42, 7.3063, 7.3063) * CHOOSE(CONTROL!$C$21, $C$9, 100%, $E$9)</f>
        <v>7.3063000000000002</v>
      </c>
      <c r="S74" s="14">
        <f>CHOOSE(CONTROL!$C$42, 5.8721, 5.8721) * CHOOSE(CONTROL!$C$21, $C$9, 100%, $E$9)</f>
        <v>5.8720999999999997</v>
      </c>
      <c r="T7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56">
        <f>(1000*CHOOSE(CONTROL!$C$42, 695, 695)*CHOOSE(CONTROL!$C$42, 0.5599, 0.5599)*CHOOSE(CONTROL!$C$42, 28, 28))/1000000</f>
        <v>10.895653999999999</v>
      </c>
      <c r="V74" s="56">
        <f>(1000*CHOOSE(CONTROL!$C$42, 500, 500)*CHOOSE(CONTROL!$C$42, 0.275, 0.275)*CHOOSE(CONTROL!$C$42, 28, 28))/1000000</f>
        <v>3.85</v>
      </c>
      <c r="W74" s="56">
        <f>(1000*CHOOSE(CONTROL!$C$42, 0.1146, 0.1146)*CHOOSE(CONTROL!$C$42, 121.5, 121.5)*CHOOSE(CONTROL!$C$42, 28, 28))/1000000</f>
        <v>0.38986920000000003</v>
      </c>
      <c r="X74" s="56">
        <f>(28*0.1790888*100000/1000000)+(28*0.2374*100000/1000000)</f>
        <v>1.16616864</v>
      </c>
      <c r="Y74" s="56"/>
      <c r="Z74" s="14"/>
      <c r="AA74" s="55"/>
      <c r="AB74" s="49">
        <f>(B74*122.58+C74*297.941+D74*89.177+E74*40.302+F74*40+G74*160+H74*0+I74*100+J74*300)/(122.58+297.941+89.177+40.302+0+40+160+100+300)</f>
        <v>6.1471911067826079</v>
      </c>
      <c r="AC74" s="44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6.0649309352517982</v>
      </c>
    </row>
    <row r="75" spans="1:29" ht="15.75" x14ac:dyDescent="0.25">
      <c r="A75" s="13">
        <v>43160</v>
      </c>
      <c r="B75" s="14">
        <f>CHOOSE(CONTROL!$C$42, 5.9587, 5.9587) * CHOOSE(CONTROL!$C$21, $C$9, 100%, $E$9)</f>
        <v>5.9587000000000003</v>
      </c>
      <c r="C75" s="14">
        <f>CHOOSE(CONTROL!$C$42, 5.9638, 5.9638) * CHOOSE(CONTROL!$C$21, $C$9, 100%, $E$9)</f>
        <v>5.9638</v>
      </c>
      <c r="D75" s="14">
        <f>CHOOSE(CONTROL!$C$42, 6.0432, 6.0432) * CHOOSE(CONTROL!$C$21, $C$9, 100%, $E$9)</f>
        <v>6.0431999999999997</v>
      </c>
      <c r="E75" s="14">
        <f>CHOOSE(CONTROL!$C$42, 6.0773, 6.0773) * CHOOSE(CONTROL!$C$21, $C$9, 100%, $E$9)</f>
        <v>6.0773000000000001</v>
      </c>
      <c r="F75" s="14">
        <f>CHOOSE(CONTROL!$C$42, 5.9807, 5.9807)*CHOOSE(CONTROL!$C$21, $C$9, 100%, $E$9)</f>
        <v>5.9806999999999997</v>
      </c>
      <c r="G75" s="14">
        <f>CHOOSE(CONTROL!$C$42, 5.998, 5.998)*CHOOSE(CONTROL!$C$21, $C$9, 100%, $E$9)</f>
        <v>5.9980000000000002</v>
      </c>
      <c r="H75" s="14">
        <f>CHOOSE(CONTROL!$C$42, 6.0665, 6.0665) * CHOOSE(CONTROL!$C$21, $C$9, 100%, $E$9)</f>
        <v>6.0664999999999996</v>
      </c>
      <c r="I75" s="14">
        <f>CHOOSE(CONTROL!$C$42, 6.0126, 6.0126)* CHOOSE(CONTROL!$C$21, $C$9, 100%, $E$9)</f>
        <v>6.0125999999999999</v>
      </c>
      <c r="J75" s="14">
        <f>CHOOSE(CONTROL!$C$42, 5.9737, 5.9737)* CHOOSE(CONTROL!$C$21, $C$9, 100%, $E$9)</f>
        <v>5.9737</v>
      </c>
      <c r="K75" s="52">
        <f>CHOOSE(CONTROL!$C$42, 6.0088, 6.0088) * CHOOSE(CONTROL!$C$21, $C$9, 100%, $E$9)</f>
        <v>6.0087999999999999</v>
      </c>
      <c r="L75" s="14">
        <f>CHOOSE(CONTROL!$C$42, 6.6535, 6.6535) * CHOOSE(CONTROL!$C$21, $C$9, 100%, $E$9)</f>
        <v>6.6535000000000002</v>
      </c>
      <c r="M75" s="14">
        <f>CHOOSE(CONTROL!$C$42, 5.859, 5.859) * CHOOSE(CONTROL!$C$21, $C$9, 100%, $E$9)</f>
        <v>5.859</v>
      </c>
      <c r="N75" s="14">
        <f>CHOOSE(CONTROL!$C$42, 5.876, 5.876) * CHOOSE(CONTROL!$C$21, $C$9, 100%, $E$9)</f>
        <v>5.8760000000000003</v>
      </c>
      <c r="O75" s="14">
        <f>CHOOSE(CONTROL!$C$42, 5.9499, 5.9499) * CHOOSE(CONTROL!$C$21, $C$9, 100%, $E$9)</f>
        <v>5.9499000000000004</v>
      </c>
      <c r="P75" s="14">
        <f>CHOOSE(CONTROL!$C$42, 5.8968, 5.8968) * CHOOSE(CONTROL!$C$21, $C$9, 100%, $E$9)</f>
        <v>5.8967999999999998</v>
      </c>
      <c r="Q75" s="14">
        <f>CHOOSE(CONTROL!$C$42, 6.5446, 6.5446) * CHOOSE(CONTROL!$C$21, $C$9, 100%, $E$9)</f>
        <v>6.5446</v>
      </c>
      <c r="R75" s="14">
        <f>CHOOSE(CONTROL!$C$42, 7.1479, 7.1479) * CHOOSE(CONTROL!$C$21, $C$9, 100%, $E$9)</f>
        <v>7.1478999999999999</v>
      </c>
      <c r="S75" s="14">
        <f>CHOOSE(CONTROL!$C$42, 5.7172, 5.7172) * CHOOSE(CONTROL!$C$21, $C$9, 100%, $E$9)</f>
        <v>5.7172000000000001</v>
      </c>
      <c r="T7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56">
        <f>(1000*CHOOSE(CONTROL!$C$42, 695, 695)*CHOOSE(CONTROL!$C$42, 0.5599, 0.5599)*CHOOSE(CONTROL!$C$42, 31, 31))/1000000</f>
        <v>12.063045499999998</v>
      </c>
      <c r="V75" s="56">
        <f>(1000*CHOOSE(CONTROL!$C$42, 500, 500)*CHOOSE(CONTROL!$C$42, 0.275, 0.275)*CHOOSE(CONTROL!$C$42, 31, 31))/1000000</f>
        <v>4.2625000000000002</v>
      </c>
      <c r="W75" s="56">
        <f>(1000*CHOOSE(CONTROL!$C$42, 0.1146, 0.1146)*CHOOSE(CONTROL!$C$42, 121.5, 121.5)*CHOOSE(CONTROL!$C$42, 31, 31))/1000000</f>
        <v>0.43164089999999994</v>
      </c>
      <c r="X75" s="56">
        <f>(31*0.1790888*100000/1000000)+(31*0.2374*100000/1000000)</f>
        <v>1.2911152800000001</v>
      </c>
      <c r="Y75" s="56"/>
      <c r="Z75" s="14"/>
      <c r="AA75" s="55"/>
      <c r="AB75" s="49">
        <f>(B75*122.58+C75*297.941+D75*89.177+E75*40.302+F75*40+G75*160+H75*0+I75*100+J75*300)/(122.58+297.941+89.177+40.302+0+40+160+100+300)</f>
        <v>5.9855632806956525</v>
      </c>
      <c r="AC75" s="44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5.9066165467625904</v>
      </c>
    </row>
    <row r="76" spans="1:29" ht="15.75" x14ac:dyDescent="0.25">
      <c r="A76" s="13">
        <v>43191</v>
      </c>
      <c r="B76" s="14">
        <f>CHOOSE(CONTROL!$C$42, 5.9541, 5.9541) * CHOOSE(CONTROL!$C$21, $C$9, 100%, $E$9)</f>
        <v>5.9541000000000004</v>
      </c>
      <c r="C76" s="14">
        <f>CHOOSE(CONTROL!$C$42, 5.9586, 5.9586) * CHOOSE(CONTROL!$C$21, $C$9, 100%, $E$9)</f>
        <v>5.9585999999999997</v>
      </c>
      <c r="D76" s="14">
        <f>CHOOSE(CONTROL!$C$42, 6.1875, 6.1875) * CHOOSE(CONTROL!$C$21, $C$9, 100%, $E$9)</f>
        <v>6.1875</v>
      </c>
      <c r="E76" s="14">
        <f>CHOOSE(CONTROL!$C$42, 6.2196, 6.2196) * CHOOSE(CONTROL!$C$21, $C$9, 100%, $E$9)</f>
        <v>6.2195999999999998</v>
      </c>
      <c r="F76" s="14">
        <f>CHOOSE(CONTROL!$C$42, 5.9811, 5.9811)*CHOOSE(CONTROL!$C$21, $C$9, 100%, $E$9)</f>
        <v>5.9810999999999996</v>
      </c>
      <c r="G76" s="14">
        <f>CHOOSE(CONTROL!$C$42, 5.9978, 5.9978)*CHOOSE(CONTROL!$C$21, $C$9, 100%, $E$9)</f>
        <v>5.9977999999999998</v>
      </c>
      <c r="H76" s="14">
        <f>CHOOSE(CONTROL!$C$42, 6.2094, 6.2094) * CHOOSE(CONTROL!$C$21, $C$9, 100%, $E$9)</f>
        <v>6.2093999999999996</v>
      </c>
      <c r="I76" s="14">
        <f>CHOOSE(CONTROL!$C$42, 6.0057, 6.0057)* CHOOSE(CONTROL!$C$21, $C$9, 100%, $E$9)</f>
        <v>6.0057</v>
      </c>
      <c r="J76" s="14">
        <f>CHOOSE(CONTROL!$C$42, 5.9741, 5.9741)* CHOOSE(CONTROL!$C$21, $C$9, 100%, $E$9)</f>
        <v>5.9741</v>
      </c>
      <c r="K76" s="52">
        <f>CHOOSE(CONTROL!$C$42, 6.0018, 6.0018) * CHOOSE(CONTROL!$C$21, $C$9, 100%, $E$9)</f>
        <v>6.0018000000000002</v>
      </c>
      <c r="L76" s="14">
        <f>CHOOSE(CONTROL!$C$42, 6.7964, 6.7964) * CHOOSE(CONTROL!$C$21, $C$9, 100%, $E$9)</f>
        <v>6.7964000000000002</v>
      </c>
      <c r="M76" s="14">
        <f>CHOOSE(CONTROL!$C$42, 5.8594, 5.8594) * CHOOSE(CONTROL!$C$21, $C$9, 100%, $E$9)</f>
        <v>5.8593999999999999</v>
      </c>
      <c r="N76" s="14">
        <f>CHOOSE(CONTROL!$C$42, 5.8758, 5.8758) * CHOOSE(CONTROL!$C$21, $C$9, 100%, $E$9)</f>
        <v>5.8757999999999999</v>
      </c>
      <c r="O76" s="14">
        <f>CHOOSE(CONTROL!$C$42, 6.0899, 6.0899) * CHOOSE(CONTROL!$C$21, $C$9, 100%, $E$9)</f>
        <v>6.0899000000000001</v>
      </c>
      <c r="P76" s="14">
        <f>CHOOSE(CONTROL!$C$42, 5.89, 5.89) * CHOOSE(CONTROL!$C$21, $C$9, 100%, $E$9)</f>
        <v>5.89</v>
      </c>
      <c r="Q76" s="14">
        <f>CHOOSE(CONTROL!$C$42, 6.6846, 6.6846) * CHOOSE(CONTROL!$C$21, $C$9, 100%, $E$9)</f>
        <v>6.6845999999999997</v>
      </c>
      <c r="R76" s="14">
        <f>CHOOSE(CONTROL!$C$42, 7.2883, 7.2883) * CHOOSE(CONTROL!$C$21, $C$9, 100%, $E$9)</f>
        <v>7.2882999999999996</v>
      </c>
      <c r="S76" s="14">
        <f>CHOOSE(CONTROL!$C$42, 5.712, 5.712) * CHOOSE(CONTROL!$C$21, $C$9, 100%, $E$9)</f>
        <v>5.7119999999999997</v>
      </c>
      <c r="T7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56">
        <f>(1000*CHOOSE(CONTROL!$C$42, 695, 695)*CHOOSE(CONTROL!$C$42, 0.5599, 0.5599)*CHOOSE(CONTROL!$C$42, 30, 30))/1000000</f>
        <v>11.673914999999997</v>
      </c>
      <c r="V76" s="56">
        <f>(1000*CHOOSE(CONTROL!$C$42, 500, 500)*CHOOSE(CONTROL!$C$42, 0.275, 0.275)*CHOOSE(CONTROL!$C$42, 30, 30))/1000000</f>
        <v>4.125</v>
      </c>
      <c r="W76" s="56">
        <f>(1000*CHOOSE(CONTROL!$C$42, 0.1146, 0.1146)*CHOOSE(CONTROL!$C$42, 121.5, 121.5)*CHOOSE(CONTROL!$C$42, 30, 30))/1000000</f>
        <v>0.417717</v>
      </c>
      <c r="X76" s="56">
        <f>(30*0.1790888*245000/1000000)+(30*0.2374*100000/1000000)</f>
        <v>2.0285026799999999</v>
      </c>
      <c r="Y76" s="56"/>
      <c r="Z76" s="14"/>
      <c r="AA76" s="55"/>
      <c r="AB76" s="49">
        <f>(B76*141.293+C76*267.993+D76*115.016+E76*89.698+F76*40+G76*185+H76*0+I76*100+J76*300)/(141.293+267.993+115.016+89.698+0+40+185+100+300)</f>
        <v>6.0123647472962061</v>
      </c>
      <c r="AC76" s="44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5.93225107913669</v>
      </c>
    </row>
    <row r="77" spans="1:29" ht="15.75" x14ac:dyDescent="0.25">
      <c r="A77" s="13">
        <v>43221</v>
      </c>
      <c r="B77" s="14">
        <f>CHOOSE(CONTROL!$C$42, 6.0203, 6.0203) * CHOOSE(CONTROL!$C$21, $C$9, 100%, $E$9)</f>
        <v>6.0202999999999998</v>
      </c>
      <c r="C77" s="14">
        <f>CHOOSE(CONTROL!$C$42, 6.0283, 6.0283) * CHOOSE(CONTROL!$C$21, $C$9, 100%, $E$9)</f>
        <v>6.0282999999999998</v>
      </c>
      <c r="D77" s="14">
        <f>CHOOSE(CONTROL!$C$42, 6.2541, 6.2541) * CHOOSE(CONTROL!$C$21, $C$9, 100%, $E$9)</f>
        <v>6.2541000000000002</v>
      </c>
      <c r="E77" s="14">
        <f>CHOOSE(CONTROL!$C$42, 6.2856, 6.2856) * CHOOSE(CONTROL!$C$21, $C$9, 100%, $E$9)</f>
        <v>6.2855999999999996</v>
      </c>
      <c r="F77" s="14">
        <f>CHOOSE(CONTROL!$C$42, 6.046, 6.046)*CHOOSE(CONTROL!$C$21, $C$9, 100%, $E$9)</f>
        <v>6.0460000000000003</v>
      </c>
      <c r="G77" s="14">
        <f>CHOOSE(CONTROL!$C$42, 6.0629, 6.0629)*CHOOSE(CONTROL!$C$21, $C$9, 100%, $E$9)</f>
        <v>6.0629</v>
      </c>
      <c r="H77" s="14">
        <f>CHOOSE(CONTROL!$C$42, 6.2742, 6.2742) * CHOOSE(CONTROL!$C$21, $C$9, 100%, $E$9)</f>
        <v>6.2742000000000004</v>
      </c>
      <c r="I77" s="14">
        <f>CHOOSE(CONTROL!$C$42, 6.0707, 6.0707)* CHOOSE(CONTROL!$C$21, $C$9, 100%, $E$9)</f>
        <v>6.0707000000000004</v>
      </c>
      <c r="J77" s="14">
        <f>CHOOSE(CONTROL!$C$42, 6.039, 6.039)* CHOOSE(CONTROL!$C$21, $C$9, 100%, $E$9)</f>
        <v>6.0389999999999997</v>
      </c>
      <c r="K77" s="52">
        <f>CHOOSE(CONTROL!$C$42, 6.0668, 6.0668) * CHOOSE(CONTROL!$C$21, $C$9, 100%, $E$9)</f>
        <v>6.0667999999999997</v>
      </c>
      <c r="L77" s="14">
        <f>CHOOSE(CONTROL!$C$42, 6.8612, 6.8612) * CHOOSE(CONTROL!$C$21, $C$9, 100%, $E$9)</f>
        <v>6.8612000000000002</v>
      </c>
      <c r="M77" s="14">
        <f>CHOOSE(CONTROL!$C$42, 5.9229, 5.9229) * CHOOSE(CONTROL!$C$21, $C$9, 100%, $E$9)</f>
        <v>5.9229000000000003</v>
      </c>
      <c r="N77" s="14">
        <f>CHOOSE(CONTROL!$C$42, 5.9396, 5.9396) * CHOOSE(CONTROL!$C$21, $C$9, 100%, $E$9)</f>
        <v>5.9396000000000004</v>
      </c>
      <c r="O77" s="14">
        <f>CHOOSE(CONTROL!$C$42, 6.1534, 6.1534) * CHOOSE(CONTROL!$C$21, $C$9, 100%, $E$9)</f>
        <v>6.1534000000000004</v>
      </c>
      <c r="P77" s="14">
        <f>CHOOSE(CONTROL!$C$42, 5.9537, 5.9537) * CHOOSE(CONTROL!$C$21, $C$9, 100%, $E$9)</f>
        <v>5.9537000000000004</v>
      </c>
      <c r="Q77" s="14">
        <f>CHOOSE(CONTROL!$C$42, 6.7481, 6.7481) * CHOOSE(CONTROL!$C$21, $C$9, 100%, $E$9)</f>
        <v>6.7481</v>
      </c>
      <c r="R77" s="14">
        <f>CHOOSE(CONTROL!$C$42, 7.3519, 7.3519) * CHOOSE(CONTROL!$C$21, $C$9, 100%, $E$9)</f>
        <v>7.3518999999999997</v>
      </c>
      <c r="S77" s="14">
        <f>CHOOSE(CONTROL!$C$42, 5.7743, 5.7743) * CHOOSE(CONTROL!$C$21, $C$9, 100%, $E$9)</f>
        <v>5.7743000000000002</v>
      </c>
      <c r="T7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56">
        <f>(1000*CHOOSE(CONTROL!$C$42, 695, 695)*CHOOSE(CONTROL!$C$42, 0.5599, 0.5599)*CHOOSE(CONTROL!$C$42, 31, 31))/1000000</f>
        <v>12.063045499999998</v>
      </c>
      <c r="V77" s="56">
        <f>(1000*CHOOSE(CONTROL!$C$42, 500, 500)*CHOOSE(CONTROL!$C$42, 0.275, 0.275)*CHOOSE(CONTROL!$C$42, 31, 31))/1000000</f>
        <v>4.2625000000000002</v>
      </c>
      <c r="W77" s="56">
        <f>(1000*CHOOSE(CONTROL!$C$42, 0.1146, 0.1146)*CHOOSE(CONTROL!$C$42, 121.5, 121.5)*CHOOSE(CONTROL!$C$42, 31, 31))/1000000</f>
        <v>0.43164089999999994</v>
      </c>
      <c r="X77" s="56">
        <f>(31*0.1790888*245000/1000000)+(31*0.2374*100000/1000000)</f>
        <v>2.0961194359999999</v>
      </c>
      <c r="Y77" s="56"/>
      <c r="Z77" s="14"/>
      <c r="AA77" s="55"/>
      <c r="AB77" s="49">
        <f>(B77*194.205+C77*267.466+D77*133.845+E77*53.484+F77*40+G77*185+H77*0+I77*100+J77*300)/(194.205+267.466+133.845+53.484+0+40+185+100+300)</f>
        <v>6.073032334536892</v>
      </c>
      <c r="AC77" s="44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5.9958489208633106</v>
      </c>
    </row>
    <row r="78" spans="1:29" ht="15.75" x14ac:dyDescent="0.25">
      <c r="A78" s="13">
        <v>43252</v>
      </c>
      <c r="B78" s="14">
        <f>CHOOSE(CONTROL!$C$42, 6.2035, 6.2035) * CHOOSE(CONTROL!$C$21, $C$9, 100%, $E$9)</f>
        <v>6.2035</v>
      </c>
      <c r="C78" s="14">
        <f>CHOOSE(CONTROL!$C$42, 6.2115, 6.2115) * CHOOSE(CONTROL!$C$21, $C$9, 100%, $E$9)</f>
        <v>6.2115</v>
      </c>
      <c r="D78" s="14">
        <f>CHOOSE(CONTROL!$C$42, 6.4373, 6.4373) * CHOOSE(CONTROL!$C$21, $C$9, 100%, $E$9)</f>
        <v>6.4372999999999996</v>
      </c>
      <c r="E78" s="14">
        <f>CHOOSE(CONTROL!$C$42, 6.4688, 6.4688) * CHOOSE(CONTROL!$C$21, $C$9, 100%, $E$9)</f>
        <v>6.4687999999999999</v>
      </c>
      <c r="F78" s="14">
        <f>CHOOSE(CONTROL!$C$42, 6.2296, 6.2296)*CHOOSE(CONTROL!$C$21, $C$9, 100%, $E$9)</f>
        <v>6.2295999999999996</v>
      </c>
      <c r="G78" s="14">
        <f>CHOOSE(CONTROL!$C$42, 6.2467, 6.2467)*CHOOSE(CONTROL!$C$21, $C$9, 100%, $E$9)</f>
        <v>6.2466999999999997</v>
      </c>
      <c r="H78" s="14">
        <f>CHOOSE(CONTROL!$C$42, 6.4574, 6.4574) * CHOOSE(CONTROL!$C$21, $C$9, 100%, $E$9)</f>
        <v>6.4573999999999998</v>
      </c>
      <c r="I78" s="14">
        <f>CHOOSE(CONTROL!$C$42, 6.2544, 6.2544)* CHOOSE(CONTROL!$C$21, $C$9, 100%, $E$9)</f>
        <v>6.2544000000000004</v>
      </c>
      <c r="J78" s="14">
        <f>CHOOSE(CONTROL!$C$42, 6.2226, 6.2226)* CHOOSE(CONTROL!$C$21, $C$9, 100%, $E$9)</f>
        <v>6.2225999999999999</v>
      </c>
      <c r="K78" s="52">
        <f>CHOOSE(CONTROL!$C$42, 6.2506, 6.2506) * CHOOSE(CONTROL!$C$21, $C$9, 100%, $E$9)</f>
        <v>6.2506000000000004</v>
      </c>
      <c r="L78" s="14">
        <f>CHOOSE(CONTROL!$C$42, 7.0444, 7.0444) * CHOOSE(CONTROL!$C$21, $C$9, 100%, $E$9)</f>
        <v>7.0444000000000004</v>
      </c>
      <c r="M78" s="14">
        <f>CHOOSE(CONTROL!$C$42, 6.1028, 6.1028) * CHOOSE(CONTROL!$C$21, $C$9, 100%, $E$9)</f>
        <v>6.1028000000000002</v>
      </c>
      <c r="N78" s="14">
        <f>CHOOSE(CONTROL!$C$42, 6.1195, 6.1195) * CHOOSE(CONTROL!$C$21, $C$9, 100%, $E$9)</f>
        <v>6.1195000000000004</v>
      </c>
      <c r="O78" s="14">
        <f>CHOOSE(CONTROL!$C$42, 6.3328, 6.3328) * CHOOSE(CONTROL!$C$21, $C$9, 100%, $E$9)</f>
        <v>6.3327999999999998</v>
      </c>
      <c r="P78" s="14">
        <f>CHOOSE(CONTROL!$C$42, 6.1337, 6.1337) * CHOOSE(CONTROL!$C$21, $C$9, 100%, $E$9)</f>
        <v>6.1337000000000002</v>
      </c>
      <c r="Q78" s="14">
        <f>CHOOSE(CONTROL!$C$42, 6.9275, 6.9275) * CHOOSE(CONTROL!$C$21, $C$9, 100%, $E$9)</f>
        <v>6.9275000000000002</v>
      </c>
      <c r="R78" s="14">
        <f>CHOOSE(CONTROL!$C$42, 7.5318, 7.5318) * CHOOSE(CONTROL!$C$21, $C$9, 100%, $E$9)</f>
        <v>7.5317999999999996</v>
      </c>
      <c r="S78" s="14">
        <f>CHOOSE(CONTROL!$C$42, 5.9503, 5.9503) * CHOOSE(CONTROL!$C$21, $C$9, 100%, $E$9)</f>
        <v>5.9503000000000004</v>
      </c>
      <c r="T7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56">
        <f>(1000*CHOOSE(CONTROL!$C$42, 695, 695)*CHOOSE(CONTROL!$C$42, 0.5599, 0.5599)*CHOOSE(CONTROL!$C$42, 30, 30))/1000000</f>
        <v>11.673914999999997</v>
      </c>
      <c r="V78" s="56">
        <f>(1000*CHOOSE(CONTROL!$C$42, 500, 500)*CHOOSE(CONTROL!$C$42, 0.275, 0.275)*CHOOSE(CONTROL!$C$42, 30, 30))/1000000</f>
        <v>4.125</v>
      </c>
      <c r="W78" s="56">
        <f>(1000*CHOOSE(CONTROL!$C$42, 0.1146, 0.1146)*CHOOSE(CONTROL!$C$42, 121.5, 121.5)*CHOOSE(CONTROL!$C$42, 30, 30))/1000000</f>
        <v>0.417717</v>
      </c>
      <c r="X78" s="56">
        <f>(30*0.1790888*245000/1000000)+(30*0.2374*100000/1000000)</f>
        <v>2.0285026799999999</v>
      </c>
      <c r="Y78" s="56"/>
      <c r="Z78" s="14"/>
      <c r="AA78" s="55"/>
      <c r="AB78" s="49">
        <f>(B78*194.205+C78*267.466+D78*133.845+E78*53.484+F78*40+G78*185+H78*0+I78*100+J78*300)/(194.205+267.466+133.845+53.484+0+40+185+100+300)</f>
        <v>6.2564654585557298</v>
      </c>
      <c r="AC78" s="44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6.1756230215827337</v>
      </c>
    </row>
    <row r="79" spans="1:29" ht="15.75" x14ac:dyDescent="0.25">
      <c r="A79" s="13">
        <v>43282</v>
      </c>
      <c r="B79" s="14">
        <f>CHOOSE(CONTROL!$C$42, 6.0972, 6.0972) * CHOOSE(CONTROL!$C$21, $C$9, 100%, $E$9)</f>
        <v>6.0972</v>
      </c>
      <c r="C79" s="14">
        <f>CHOOSE(CONTROL!$C$42, 6.1052, 6.1052) * CHOOSE(CONTROL!$C$21, $C$9, 100%, $E$9)</f>
        <v>6.1052</v>
      </c>
      <c r="D79" s="14">
        <f>CHOOSE(CONTROL!$C$42, 6.331, 6.331) * CHOOSE(CONTROL!$C$21, $C$9, 100%, $E$9)</f>
        <v>6.3310000000000004</v>
      </c>
      <c r="E79" s="14">
        <f>CHOOSE(CONTROL!$C$42, 6.3625, 6.3625) * CHOOSE(CONTROL!$C$21, $C$9, 100%, $E$9)</f>
        <v>6.3624999999999998</v>
      </c>
      <c r="F79" s="14">
        <f>CHOOSE(CONTROL!$C$42, 6.1238, 6.1238)*CHOOSE(CONTROL!$C$21, $C$9, 100%, $E$9)</f>
        <v>6.1238000000000001</v>
      </c>
      <c r="G79" s="14">
        <f>CHOOSE(CONTROL!$C$42, 6.141, 6.141)*CHOOSE(CONTROL!$C$21, $C$9, 100%, $E$9)</f>
        <v>6.141</v>
      </c>
      <c r="H79" s="14">
        <f>CHOOSE(CONTROL!$C$42, 6.3511, 6.3511) * CHOOSE(CONTROL!$C$21, $C$9, 100%, $E$9)</f>
        <v>6.3510999999999997</v>
      </c>
      <c r="I79" s="14">
        <f>CHOOSE(CONTROL!$C$42, 6.1478, 6.1478)* CHOOSE(CONTROL!$C$21, $C$9, 100%, $E$9)</f>
        <v>6.1478000000000002</v>
      </c>
      <c r="J79" s="14">
        <f>CHOOSE(CONTROL!$C$42, 6.1168, 6.1168)* CHOOSE(CONTROL!$C$21, $C$9, 100%, $E$9)</f>
        <v>6.1167999999999996</v>
      </c>
      <c r="K79" s="52">
        <f>CHOOSE(CONTROL!$C$42, 6.144, 6.144) * CHOOSE(CONTROL!$C$21, $C$9, 100%, $E$9)</f>
        <v>6.1440000000000001</v>
      </c>
      <c r="L79" s="14">
        <f>CHOOSE(CONTROL!$C$42, 6.9381, 6.9381) * CHOOSE(CONTROL!$C$21, $C$9, 100%, $E$9)</f>
        <v>6.9381000000000004</v>
      </c>
      <c r="M79" s="14">
        <f>CHOOSE(CONTROL!$C$42, 5.9991, 5.9991) * CHOOSE(CONTROL!$C$21, $C$9, 100%, $E$9)</f>
        <v>5.9991000000000003</v>
      </c>
      <c r="N79" s="14">
        <f>CHOOSE(CONTROL!$C$42, 6.016, 6.016) * CHOOSE(CONTROL!$C$21, $C$9, 100%, $E$9)</f>
        <v>6.016</v>
      </c>
      <c r="O79" s="14">
        <f>CHOOSE(CONTROL!$C$42, 6.2287, 6.2287) * CHOOSE(CONTROL!$C$21, $C$9, 100%, $E$9)</f>
        <v>6.2286999999999999</v>
      </c>
      <c r="P79" s="14">
        <f>CHOOSE(CONTROL!$C$42, 6.0293, 6.0293) * CHOOSE(CONTROL!$C$21, $C$9, 100%, $E$9)</f>
        <v>6.0293000000000001</v>
      </c>
      <c r="Q79" s="14">
        <f>CHOOSE(CONTROL!$C$42, 6.8234, 6.8234) * CHOOSE(CONTROL!$C$21, $C$9, 100%, $E$9)</f>
        <v>6.8234000000000004</v>
      </c>
      <c r="R79" s="14">
        <f>CHOOSE(CONTROL!$C$42, 7.4274, 7.4274) * CHOOSE(CONTROL!$C$21, $C$9, 100%, $E$9)</f>
        <v>7.4273999999999996</v>
      </c>
      <c r="S79" s="14">
        <f>CHOOSE(CONTROL!$C$42, 5.8482, 5.8482) * CHOOSE(CONTROL!$C$21, $C$9, 100%, $E$9)</f>
        <v>5.8482000000000003</v>
      </c>
      <c r="T7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56">
        <f>(1000*CHOOSE(CONTROL!$C$42, 695, 695)*CHOOSE(CONTROL!$C$42, 0.5599, 0.5599)*CHOOSE(CONTROL!$C$42, 31, 31))/1000000</f>
        <v>12.063045499999998</v>
      </c>
      <c r="V79" s="56">
        <f>(1000*CHOOSE(CONTROL!$C$42, 500, 500)*CHOOSE(CONTROL!$C$42, 0.275, 0.275)*CHOOSE(CONTROL!$C$42, 31, 31))/1000000</f>
        <v>4.2625000000000002</v>
      </c>
      <c r="W79" s="56">
        <f>(1000*CHOOSE(CONTROL!$C$42, 0.1146, 0.1146)*CHOOSE(CONTROL!$C$42, 121.5, 121.5)*CHOOSE(CONTROL!$C$42, 31, 31))/1000000</f>
        <v>0.43164089999999994</v>
      </c>
      <c r="X79" s="56">
        <f>(31*0.1790888*245000/1000000)+(31*0.2374*100000/1000000)</f>
        <v>2.0961194359999999</v>
      </c>
      <c r="Y79" s="56"/>
      <c r="Z79" s="14"/>
      <c r="AA79" s="55"/>
      <c r="AB79" s="49">
        <f>(B79*194.205+C79*267.466+D79*133.845+E79*53.484+F79*40+G79*185+H79*0+I79*100+J79*300)/(194.205+267.466+133.845+53.484+0+40+185+100+300)</f>
        <v>6.1503624758241759</v>
      </c>
      <c r="AC79" s="44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6.071756115107914</v>
      </c>
    </row>
    <row r="80" spans="1:29" ht="15.75" x14ac:dyDescent="0.25">
      <c r="A80" s="13">
        <v>43313</v>
      </c>
      <c r="B80" s="14">
        <f>CHOOSE(CONTROL!$C$42, 5.8085, 5.8085) * CHOOSE(CONTROL!$C$21, $C$9, 100%, $E$9)</f>
        <v>5.8085000000000004</v>
      </c>
      <c r="C80" s="14">
        <f>CHOOSE(CONTROL!$C$42, 5.8166, 5.8166) * CHOOSE(CONTROL!$C$21, $C$9, 100%, $E$9)</f>
        <v>5.8166000000000002</v>
      </c>
      <c r="D80" s="14">
        <f>CHOOSE(CONTROL!$C$42, 6.0424, 6.0424) * CHOOSE(CONTROL!$C$21, $C$9, 100%, $E$9)</f>
        <v>6.0423999999999998</v>
      </c>
      <c r="E80" s="14">
        <f>CHOOSE(CONTROL!$C$42, 6.0738, 6.0738) * CHOOSE(CONTROL!$C$21, $C$9, 100%, $E$9)</f>
        <v>6.0738000000000003</v>
      </c>
      <c r="F80" s="14">
        <f>CHOOSE(CONTROL!$C$42, 5.8354, 5.8354)*CHOOSE(CONTROL!$C$21, $C$9, 100%, $E$9)</f>
        <v>5.8353999999999999</v>
      </c>
      <c r="G80" s="14">
        <f>CHOOSE(CONTROL!$C$42, 5.8526, 5.8526)*CHOOSE(CONTROL!$C$21, $C$9, 100%, $E$9)</f>
        <v>5.8525999999999998</v>
      </c>
      <c r="H80" s="14">
        <f>CHOOSE(CONTROL!$C$42, 6.0625, 6.0625) * CHOOSE(CONTROL!$C$21, $C$9, 100%, $E$9)</f>
        <v>6.0625</v>
      </c>
      <c r="I80" s="14">
        <f>CHOOSE(CONTROL!$C$42, 5.8583, 5.8583)* CHOOSE(CONTROL!$C$21, $C$9, 100%, $E$9)</f>
        <v>5.8582999999999998</v>
      </c>
      <c r="J80" s="14">
        <f>CHOOSE(CONTROL!$C$42, 5.8284, 5.8284)* CHOOSE(CONTROL!$C$21, $C$9, 100%, $E$9)</f>
        <v>5.8284000000000002</v>
      </c>
      <c r="K80" s="52">
        <f>CHOOSE(CONTROL!$C$42, 5.8544, 5.8544) * CHOOSE(CONTROL!$C$21, $C$9, 100%, $E$9)</f>
        <v>5.8544</v>
      </c>
      <c r="L80" s="14">
        <f>CHOOSE(CONTROL!$C$42, 6.6495, 6.6495) * CHOOSE(CONTROL!$C$21, $C$9, 100%, $E$9)</f>
        <v>6.6494999999999997</v>
      </c>
      <c r="M80" s="14">
        <f>CHOOSE(CONTROL!$C$42, 5.7166, 5.7166) * CHOOSE(CONTROL!$C$21, $C$9, 100%, $E$9)</f>
        <v>5.7165999999999997</v>
      </c>
      <c r="N80" s="14">
        <f>CHOOSE(CONTROL!$C$42, 5.7335, 5.7335) * CHOOSE(CONTROL!$C$21, $C$9, 100%, $E$9)</f>
        <v>5.7335000000000003</v>
      </c>
      <c r="O80" s="14">
        <f>CHOOSE(CONTROL!$C$42, 5.9459, 5.9459) * CHOOSE(CONTROL!$C$21, $C$9, 100%, $E$9)</f>
        <v>5.9459</v>
      </c>
      <c r="P80" s="14">
        <f>CHOOSE(CONTROL!$C$42, 5.7456, 5.7456) * CHOOSE(CONTROL!$C$21, $C$9, 100%, $E$9)</f>
        <v>5.7455999999999996</v>
      </c>
      <c r="Q80" s="14">
        <f>CHOOSE(CONTROL!$C$42, 6.5406, 6.5406) * CHOOSE(CONTROL!$C$21, $C$9, 100%, $E$9)</f>
        <v>6.5406000000000004</v>
      </c>
      <c r="R80" s="14">
        <f>CHOOSE(CONTROL!$C$42, 7.144, 7.144) * CHOOSE(CONTROL!$C$21, $C$9, 100%, $E$9)</f>
        <v>7.1440000000000001</v>
      </c>
      <c r="S80" s="14">
        <f>CHOOSE(CONTROL!$C$42, 5.5708, 5.5708) * CHOOSE(CONTROL!$C$21, $C$9, 100%, $E$9)</f>
        <v>5.5708000000000002</v>
      </c>
      <c r="T8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56">
        <f>(1000*CHOOSE(CONTROL!$C$42, 695, 695)*CHOOSE(CONTROL!$C$42, 0.5599, 0.5599)*CHOOSE(CONTROL!$C$42, 31, 31))/1000000</f>
        <v>12.063045499999998</v>
      </c>
      <c r="V80" s="56">
        <f>(1000*CHOOSE(CONTROL!$C$42, 500, 500)*CHOOSE(CONTROL!$C$42, 0.275, 0.275)*CHOOSE(CONTROL!$C$42, 31, 31))/1000000</f>
        <v>4.2625000000000002</v>
      </c>
      <c r="W80" s="56">
        <f>(1000*CHOOSE(CONTROL!$C$42, 0.1146, 0.1146)*CHOOSE(CONTROL!$C$42, 121.5, 121.5)*CHOOSE(CONTROL!$C$42, 31, 31))/1000000</f>
        <v>0.43164089999999994</v>
      </c>
      <c r="X80" s="56">
        <f>(31*0.1790888*245000/1000000)+(31*0.2374*100000/1000000)</f>
        <v>2.0961194359999999</v>
      </c>
      <c r="Y80" s="56"/>
      <c r="Z80" s="14"/>
      <c r="AA80" s="55"/>
      <c r="AB80" s="49">
        <f>(B80*194.205+C80*267.466+D80*133.845+E80*53.484+F80*40+G80*185+H80*0+I80*100+J80*300)/(194.205+267.466+133.845+53.484+0+40+185+100+300)</f>
        <v>5.8617548079277855</v>
      </c>
      <c r="AC80" s="44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5.7889992805755393</v>
      </c>
    </row>
    <row r="81" spans="1:29" ht="15.75" x14ac:dyDescent="0.25">
      <c r="A81" s="13">
        <v>43344</v>
      </c>
      <c r="B81" s="14">
        <f>CHOOSE(CONTROL!$C$42, 5.4515, 5.4515) * CHOOSE(CONTROL!$C$21, $C$9, 100%, $E$9)</f>
        <v>5.4515000000000002</v>
      </c>
      <c r="C81" s="14">
        <f>CHOOSE(CONTROL!$C$42, 5.4595, 5.4595) * CHOOSE(CONTROL!$C$21, $C$9, 100%, $E$9)</f>
        <v>5.4595000000000002</v>
      </c>
      <c r="D81" s="14">
        <f>CHOOSE(CONTROL!$C$42, 5.6853, 5.6853) * CHOOSE(CONTROL!$C$21, $C$9, 100%, $E$9)</f>
        <v>5.6852999999999998</v>
      </c>
      <c r="E81" s="14">
        <f>CHOOSE(CONTROL!$C$42, 5.7168, 5.7168) * CHOOSE(CONTROL!$C$21, $C$9, 100%, $E$9)</f>
        <v>5.7168000000000001</v>
      </c>
      <c r="F81" s="14">
        <f>CHOOSE(CONTROL!$C$42, 5.4783, 5.4783)*CHOOSE(CONTROL!$C$21, $C$9, 100%, $E$9)</f>
        <v>5.4782999999999999</v>
      </c>
      <c r="G81" s="14">
        <f>CHOOSE(CONTROL!$C$42, 5.4956, 5.4956)*CHOOSE(CONTROL!$C$21, $C$9, 100%, $E$9)</f>
        <v>5.4955999999999996</v>
      </c>
      <c r="H81" s="14">
        <f>CHOOSE(CONTROL!$C$42, 5.7054, 5.7054) * CHOOSE(CONTROL!$C$21, $C$9, 100%, $E$9)</f>
        <v>5.7054</v>
      </c>
      <c r="I81" s="14">
        <f>CHOOSE(CONTROL!$C$42, 5.5001, 5.5001)* CHOOSE(CONTROL!$C$21, $C$9, 100%, $E$9)</f>
        <v>5.5000999999999998</v>
      </c>
      <c r="J81" s="14">
        <f>CHOOSE(CONTROL!$C$42, 5.4713, 5.4713)* CHOOSE(CONTROL!$C$21, $C$9, 100%, $E$9)</f>
        <v>5.4713000000000003</v>
      </c>
      <c r="K81" s="52">
        <f>CHOOSE(CONTROL!$C$42, 5.4962, 5.4962) * CHOOSE(CONTROL!$C$21, $C$9, 100%, $E$9)</f>
        <v>5.4962</v>
      </c>
      <c r="L81" s="14">
        <f>CHOOSE(CONTROL!$C$42, 6.2924, 6.2924) * CHOOSE(CONTROL!$C$21, $C$9, 100%, $E$9)</f>
        <v>6.2923999999999998</v>
      </c>
      <c r="M81" s="14">
        <f>CHOOSE(CONTROL!$C$42, 5.3669, 5.3669) * CHOOSE(CONTROL!$C$21, $C$9, 100%, $E$9)</f>
        <v>5.3669000000000002</v>
      </c>
      <c r="N81" s="14">
        <f>CHOOSE(CONTROL!$C$42, 5.3838, 5.3838) * CHOOSE(CONTROL!$C$21, $C$9, 100%, $E$9)</f>
        <v>5.3837999999999999</v>
      </c>
      <c r="O81" s="14">
        <f>CHOOSE(CONTROL!$C$42, 5.5962, 5.5962) * CHOOSE(CONTROL!$C$21, $C$9, 100%, $E$9)</f>
        <v>5.5961999999999996</v>
      </c>
      <c r="P81" s="14">
        <f>CHOOSE(CONTROL!$C$42, 5.3948, 5.3948) * CHOOSE(CONTROL!$C$21, $C$9, 100%, $E$9)</f>
        <v>5.3948</v>
      </c>
      <c r="Q81" s="14">
        <f>CHOOSE(CONTROL!$C$42, 6.1909, 6.1909) * CHOOSE(CONTROL!$C$21, $C$9, 100%, $E$9)</f>
        <v>6.1909000000000001</v>
      </c>
      <c r="R81" s="14">
        <f>CHOOSE(CONTROL!$C$42, 6.7934, 6.7934) * CHOOSE(CONTROL!$C$21, $C$9, 100%, $E$9)</f>
        <v>6.7934000000000001</v>
      </c>
      <c r="S81" s="14">
        <f>CHOOSE(CONTROL!$C$42, 5.2277, 5.2277) * CHOOSE(CONTROL!$C$21, $C$9, 100%, $E$9)</f>
        <v>5.2276999999999996</v>
      </c>
      <c r="T8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56">
        <f>(1000*CHOOSE(CONTROL!$C$42, 695, 695)*CHOOSE(CONTROL!$C$42, 0.5599, 0.5599)*CHOOSE(CONTROL!$C$42, 30, 30))/1000000</f>
        <v>11.673914999999997</v>
      </c>
      <c r="V81" s="56">
        <f>(1000*CHOOSE(CONTROL!$C$42, 500, 500)*CHOOSE(CONTROL!$C$42, 0.275, 0.275)*CHOOSE(CONTROL!$C$42, 30, 30))/1000000</f>
        <v>4.125</v>
      </c>
      <c r="W81" s="56">
        <f>(1000*CHOOSE(CONTROL!$C$42, 0.1146, 0.1146)*CHOOSE(CONTROL!$C$42, 121.5, 121.5)*CHOOSE(CONTROL!$C$42, 30, 30))/1000000</f>
        <v>0.417717</v>
      </c>
      <c r="X81" s="56">
        <f>(30*0.1790888*245000/1000000)+(30*0.2374*100000/1000000)</f>
        <v>2.0285026799999999</v>
      </c>
      <c r="Y81" s="56"/>
      <c r="Z81" s="14"/>
      <c r="AA81" s="55"/>
      <c r="AB81" s="49">
        <f>(B81*194.205+C81*267.466+D81*133.845+E81*53.484+F81*40+G81*185+H81*0+I81*100+J81*300)/(194.205+267.466+133.845+53.484+0+40+185+100+300)</f>
        <v>5.5046024287284148</v>
      </c>
      <c r="AC81" s="44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5.4391410071942445</v>
      </c>
    </row>
    <row r="82" spans="1:29" ht="15.75" x14ac:dyDescent="0.25">
      <c r="A82" s="13">
        <v>43374</v>
      </c>
      <c r="B82" s="14">
        <f>CHOOSE(CONTROL!$C$42, 5.3503, 5.3503) * CHOOSE(CONTROL!$C$21, $C$9, 100%, $E$9)</f>
        <v>5.3502999999999998</v>
      </c>
      <c r="C82" s="14">
        <f>CHOOSE(CONTROL!$C$42, 5.3556, 5.3556) * CHOOSE(CONTROL!$C$21, $C$9, 100%, $E$9)</f>
        <v>5.3555999999999999</v>
      </c>
      <c r="D82" s="14">
        <f>CHOOSE(CONTROL!$C$42, 5.5863, 5.5863) * CHOOSE(CONTROL!$C$21, $C$9, 100%, $E$9)</f>
        <v>5.5862999999999996</v>
      </c>
      <c r="E82" s="14">
        <f>CHOOSE(CONTROL!$C$42, 5.6155, 5.6155) * CHOOSE(CONTROL!$C$21, $C$9, 100%, $E$9)</f>
        <v>5.6154999999999999</v>
      </c>
      <c r="F82" s="14">
        <f>CHOOSE(CONTROL!$C$42, 5.3791, 5.3791)*CHOOSE(CONTROL!$C$21, $C$9, 100%, $E$9)</f>
        <v>5.3791000000000002</v>
      </c>
      <c r="G82" s="14">
        <f>CHOOSE(CONTROL!$C$42, 5.3962, 5.3962)*CHOOSE(CONTROL!$C$21, $C$9, 100%, $E$9)</f>
        <v>5.3962000000000003</v>
      </c>
      <c r="H82" s="14">
        <f>CHOOSE(CONTROL!$C$42, 5.6059, 5.6059) * CHOOSE(CONTROL!$C$21, $C$9, 100%, $E$9)</f>
        <v>5.6059000000000001</v>
      </c>
      <c r="I82" s="14">
        <f>CHOOSE(CONTROL!$C$42, 5.4003, 5.4003)* CHOOSE(CONTROL!$C$21, $C$9, 100%, $E$9)</f>
        <v>5.4002999999999997</v>
      </c>
      <c r="J82" s="14">
        <f>CHOOSE(CONTROL!$C$42, 5.3721, 5.3721)* CHOOSE(CONTROL!$C$21, $C$9, 100%, $E$9)</f>
        <v>5.3720999999999997</v>
      </c>
      <c r="K82" s="52">
        <f>CHOOSE(CONTROL!$C$42, 5.3964, 5.3964) * CHOOSE(CONTROL!$C$21, $C$9, 100%, $E$9)</f>
        <v>5.3963999999999999</v>
      </c>
      <c r="L82" s="14">
        <f>CHOOSE(CONTROL!$C$42, 6.1929, 6.1929) * CHOOSE(CONTROL!$C$21, $C$9, 100%, $E$9)</f>
        <v>6.1928999999999998</v>
      </c>
      <c r="M82" s="14">
        <f>CHOOSE(CONTROL!$C$42, 5.2697, 5.2697) * CHOOSE(CONTROL!$C$21, $C$9, 100%, $E$9)</f>
        <v>5.2697000000000003</v>
      </c>
      <c r="N82" s="14">
        <f>CHOOSE(CONTROL!$C$42, 5.2865, 5.2865) * CHOOSE(CONTROL!$C$21, $C$9, 100%, $E$9)</f>
        <v>5.2865000000000002</v>
      </c>
      <c r="O82" s="14">
        <f>CHOOSE(CONTROL!$C$42, 5.4988, 5.4988) * CHOOSE(CONTROL!$C$21, $C$9, 100%, $E$9)</f>
        <v>5.4988000000000001</v>
      </c>
      <c r="P82" s="14">
        <f>CHOOSE(CONTROL!$C$42, 5.2971, 5.2971) * CHOOSE(CONTROL!$C$21, $C$9, 100%, $E$9)</f>
        <v>5.2971000000000004</v>
      </c>
      <c r="Q82" s="14">
        <f>CHOOSE(CONTROL!$C$42, 6.0935, 6.0935) * CHOOSE(CONTROL!$C$21, $C$9, 100%, $E$9)</f>
        <v>6.0934999999999997</v>
      </c>
      <c r="R82" s="14">
        <f>CHOOSE(CONTROL!$C$42, 6.6957, 6.6957) * CHOOSE(CONTROL!$C$21, $C$9, 100%, $E$9)</f>
        <v>6.6957000000000004</v>
      </c>
      <c r="S82" s="14">
        <f>CHOOSE(CONTROL!$C$42, 5.1321, 5.1321) * CHOOSE(CONTROL!$C$21, $C$9, 100%, $E$9)</f>
        <v>5.1321000000000003</v>
      </c>
      <c r="T8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56">
        <f>(1000*CHOOSE(CONTROL!$C$42, 695, 695)*CHOOSE(CONTROL!$C$42, 0.5599, 0.5599)*CHOOSE(CONTROL!$C$42, 31, 31))/1000000</f>
        <v>12.063045499999998</v>
      </c>
      <c r="V82" s="56">
        <f>(1000*CHOOSE(CONTROL!$C$42, 500, 500)*CHOOSE(CONTROL!$C$42, 0.275, 0.275)*CHOOSE(CONTROL!$C$42, 31, 31))/1000000</f>
        <v>4.2625000000000002</v>
      </c>
      <c r="W82" s="56">
        <f>(1000*CHOOSE(CONTROL!$C$42, 0.1146, 0.1146)*CHOOSE(CONTROL!$C$42, 121.5, 121.5)*CHOOSE(CONTROL!$C$42, 31, 31))/1000000</f>
        <v>0.43164089999999994</v>
      </c>
      <c r="X82" s="56">
        <f>(31*0.1790888*245000/1000000)+(31*0.2374*100000/1000000)</f>
        <v>2.0961194359999999</v>
      </c>
      <c r="Y82" s="56"/>
      <c r="Z82" s="14"/>
      <c r="AA82" s="55"/>
      <c r="AB82" s="49">
        <f>(B82*131.881+C82*277.167+D82*79.08+E82*125.872+F82*40+G82*185+H82*0+I82*100+J82*300)/(131.881+277.167+79.08+125.872+0+40+185+100+300)</f>
        <v>5.4105878284907183</v>
      </c>
      <c r="AC82" s="44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5.3417899280575547</v>
      </c>
    </row>
    <row r="83" spans="1:29" ht="15.75" x14ac:dyDescent="0.25">
      <c r="A83" s="13">
        <v>43405</v>
      </c>
      <c r="B83" s="14">
        <f>CHOOSE(CONTROL!$C$42, 5.5018, 5.5018) * CHOOSE(CONTROL!$C$21, $C$9, 100%, $E$9)</f>
        <v>5.5018000000000002</v>
      </c>
      <c r="C83" s="14">
        <f>CHOOSE(CONTROL!$C$42, 5.5069, 5.5069) * CHOOSE(CONTROL!$C$21, $C$9, 100%, $E$9)</f>
        <v>5.5068999999999999</v>
      </c>
      <c r="D83" s="14">
        <f>CHOOSE(CONTROL!$C$42, 5.5759, 5.5759) * CHOOSE(CONTROL!$C$21, $C$9, 100%, $E$9)</f>
        <v>5.5758999999999999</v>
      </c>
      <c r="E83" s="14">
        <f>CHOOSE(CONTROL!$C$42, 5.61, 5.61) * CHOOSE(CONTROL!$C$21, $C$9, 100%, $E$9)</f>
        <v>5.61</v>
      </c>
      <c r="F83" s="14">
        <f>CHOOSE(CONTROL!$C$42, 5.5374, 5.5374)*CHOOSE(CONTROL!$C$21, $C$9, 100%, $E$9)</f>
        <v>5.5373999999999999</v>
      </c>
      <c r="G83" s="14">
        <f>CHOOSE(CONTROL!$C$42, 5.5548, 5.5548)*CHOOSE(CONTROL!$C$21, $C$9, 100%, $E$9)</f>
        <v>5.5548000000000002</v>
      </c>
      <c r="H83" s="14">
        <f>CHOOSE(CONTROL!$C$42, 5.5992, 5.5992) * CHOOSE(CONTROL!$C$21, $C$9, 100%, $E$9)</f>
        <v>5.5991999999999997</v>
      </c>
      <c r="I83" s="14">
        <f>CHOOSE(CONTROL!$C$42, 5.5554, 5.5554)* CHOOSE(CONTROL!$C$21, $C$9, 100%, $E$9)</f>
        <v>5.5553999999999997</v>
      </c>
      <c r="J83" s="14">
        <f>CHOOSE(CONTROL!$C$42, 5.5304, 5.5304)* CHOOSE(CONTROL!$C$21, $C$9, 100%, $E$9)</f>
        <v>5.5304000000000002</v>
      </c>
      <c r="K83" s="52">
        <f>CHOOSE(CONTROL!$C$42, 5.5515, 5.5515) * CHOOSE(CONTROL!$C$21, $C$9, 100%, $E$9)</f>
        <v>5.5514999999999999</v>
      </c>
      <c r="L83" s="14">
        <f>CHOOSE(CONTROL!$C$42, 6.1862, 6.1862) * CHOOSE(CONTROL!$C$21, $C$9, 100%, $E$9)</f>
        <v>6.1862000000000004</v>
      </c>
      <c r="M83" s="14">
        <f>CHOOSE(CONTROL!$C$42, 5.4248, 5.4248) * CHOOSE(CONTROL!$C$21, $C$9, 100%, $E$9)</f>
        <v>5.4248000000000003</v>
      </c>
      <c r="N83" s="14">
        <f>CHOOSE(CONTROL!$C$42, 5.4418, 5.4418) * CHOOSE(CONTROL!$C$21, $C$9, 100%, $E$9)</f>
        <v>5.4417999999999997</v>
      </c>
      <c r="O83" s="14">
        <f>CHOOSE(CONTROL!$C$42, 5.4922, 5.4922) * CHOOSE(CONTROL!$C$21, $C$9, 100%, $E$9)</f>
        <v>5.4922000000000004</v>
      </c>
      <c r="P83" s="14">
        <f>CHOOSE(CONTROL!$C$42, 5.449, 5.449) * CHOOSE(CONTROL!$C$21, $C$9, 100%, $E$9)</f>
        <v>5.4489999999999998</v>
      </c>
      <c r="Q83" s="14">
        <f>CHOOSE(CONTROL!$C$42, 6.0869, 6.0869) * CHOOSE(CONTROL!$C$21, $C$9, 100%, $E$9)</f>
        <v>6.0869</v>
      </c>
      <c r="R83" s="14">
        <f>CHOOSE(CONTROL!$C$42, 6.6891, 6.6891) * CHOOSE(CONTROL!$C$21, $C$9, 100%, $E$9)</f>
        <v>6.6890999999999998</v>
      </c>
      <c r="S83" s="14">
        <f>CHOOSE(CONTROL!$C$42, 5.2782, 5.2782) * CHOOSE(CONTROL!$C$21, $C$9, 100%, $E$9)</f>
        <v>5.2782</v>
      </c>
      <c r="T8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56">
        <f>(1000*CHOOSE(CONTROL!$C$42, 695, 695)*CHOOSE(CONTROL!$C$42, 0.5599, 0.5599)*CHOOSE(CONTROL!$C$42, 30, 30))/1000000</f>
        <v>11.673914999999997</v>
      </c>
      <c r="V83" s="56">
        <f>(1000*CHOOSE(CONTROL!$C$42, 500, 500)*CHOOSE(CONTROL!$C$42, 0.275, 0.275)*CHOOSE(CONTROL!$C$42, 30, 30))/1000000</f>
        <v>4.125</v>
      </c>
      <c r="W83" s="56">
        <f>(1000*CHOOSE(CONTROL!$C$42, 0.1146, 0.1146)*CHOOSE(CONTROL!$C$42, 121.5, 121.5)*CHOOSE(CONTROL!$C$42, 30, 30))/1000000</f>
        <v>0.417717</v>
      </c>
      <c r="X83" s="56">
        <f>(30*0.1790888*100000/1000000)+(30*0.2374*100000/1000000)</f>
        <v>1.2494664</v>
      </c>
      <c r="Y83" s="56"/>
      <c r="Z83" s="14"/>
      <c r="AA83" s="55"/>
      <c r="AB83" s="49">
        <f>(B83*122.58+C83*297.941+D83*89.177+E83*40.302+F83*40+G83*160+H83*0+I83*100+J83*300)/(122.58+297.941+89.177+40.302+0+40+160+100+300)</f>
        <v>5.5333932097391294</v>
      </c>
      <c r="AC83" s="44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5.4598086330935258</v>
      </c>
    </row>
    <row r="84" spans="1:29" ht="15.75" x14ac:dyDescent="0.25">
      <c r="A84" s="13">
        <v>43435</v>
      </c>
      <c r="B84" s="14">
        <f>CHOOSE(CONTROL!$C$42, 5.8884, 5.8884) * CHOOSE(CONTROL!$C$21, $C$9, 100%, $E$9)</f>
        <v>5.8883999999999999</v>
      </c>
      <c r="C84" s="14">
        <f>CHOOSE(CONTROL!$C$42, 5.8934, 5.8934) * CHOOSE(CONTROL!$C$21, $C$9, 100%, $E$9)</f>
        <v>5.8933999999999997</v>
      </c>
      <c r="D84" s="14">
        <f>CHOOSE(CONTROL!$C$42, 5.9624, 5.9624) * CHOOSE(CONTROL!$C$21, $C$9, 100%, $E$9)</f>
        <v>5.9623999999999997</v>
      </c>
      <c r="E84" s="14">
        <f>CHOOSE(CONTROL!$C$42, 5.9965, 5.9965) * CHOOSE(CONTROL!$C$21, $C$9, 100%, $E$9)</f>
        <v>5.9965000000000002</v>
      </c>
      <c r="F84" s="14">
        <f>CHOOSE(CONTROL!$C$42, 5.9262, 5.9262)*CHOOSE(CONTROL!$C$21, $C$9, 100%, $E$9)</f>
        <v>5.9261999999999997</v>
      </c>
      <c r="G84" s="14">
        <f>CHOOSE(CONTROL!$C$42, 5.9442, 5.9442)*CHOOSE(CONTROL!$C$21, $C$9, 100%, $E$9)</f>
        <v>5.9442000000000004</v>
      </c>
      <c r="H84" s="14">
        <f>CHOOSE(CONTROL!$C$42, 5.9857, 5.9857) * CHOOSE(CONTROL!$C$21, $C$9, 100%, $E$9)</f>
        <v>5.9856999999999996</v>
      </c>
      <c r="I84" s="14">
        <f>CHOOSE(CONTROL!$C$42, 5.9431, 5.9431)* CHOOSE(CONTROL!$C$21, $C$9, 100%, $E$9)</f>
        <v>5.9431000000000003</v>
      </c>
      <c r="J84" s="14">
        <f>CHOOSE(CONTROL!$C$42, 5.9192, 5.9192)* CHOOSE(CONTROL!$C$21, $C$9, 100%, $E$9)</f>
        <v>5.9192</v>
      </c>
      <c r="K84" s="52">
        <f>CHOOSE(CONTROL!$C$42, 5.9392, 5.9392) * CHOOSE(CONTROL!$C$21, $C$9, 100%, $E$9)</f>
        <v>5.9391999999999996</v>
      </c>
      <c r="L84" s="14">
        <f>CHOOSE(CONTROL!$C$42, 6.5727, 6.5727) * CHOOSE(CONTROL!$C$21, $C$9, 100%, $E$9)</f>
        <v>6.5727000000000002</v>
      </c>
      <c r="M84" s="14">
        <f>CHOOSE(CONTROL!$C$42, 5.8056, 5.8056) * CHOOSE(CONTROL!$C$21, $C$9, 100%, $E$9)</f>
        <v>5.8056000000000001</v>
      </c>
      <c r="N84" s="14">
        <f>CHOOSE(CONTROL!$C$42, 5.8232, 5.8232) * CHOOSE(CONTROL!$C$21, $C$9, 100%, $E$9)</f>
        <v>5.8231999999999999</v>
      </c>
      <c r="O84" s="14">
        <f>CHOOSE(CONTROL!$C$42, 5.8708, 5.8708) * CHOOSE(CONTROL!$C$21, $C$9, 100%, $E$9)</f>
        <v>5.8708</v>
      </c>
      <c r="P84" s="14">
        <f>CHOOSE(CONTROL!$C$42, 5.8288, 5.8288) * CHOOSE(CONTROL!$C$21, $C$9, 100%, $E$9)</f>
        <v>5.8288000000000002</v>
      </c>
      <c r="Q84" s="14">
        <f>CHOOSE(CONTROL!$C$42, 6.4655, 6.4655) * CHOOSE(CONTROL!$C$21, $C$9, 100%, $E$9)</f>
        <v>6.4654999999999996</v>
      </c>
      <c r="R84" s="14">
        <f>CHOOSE(CONTROL!$C$42, 7.0687, 7.0687) * CHOOSE(CONTROL!$C$21, $C$9, 100%, $E$9)</f>
        <v>7.0686999999999998</v>
      </c>
      <c r="S84" s="14">
        <f>CHOOSE(CONTROL!$C$42, 5.6496, 5.6496) * CHOOSE(CONTROL!$C$21, $C$9, 100%, $E$9)</f>
        <v>5.6496000000000004</v>
      </c>
      <c r="T8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56">
        <f>(1000*CHOOSE(CONTROL!$C$42, 695, 695)*CHOOSE(CONTROL!$C$42, 0.5599, 0.5599)*CHOOSE(CONTROL!$C$42, 31, 31))/1000000</f>
        <v>12.063045499999998</v>
      </c>
      <c r="V84" s="56">
        <f>(1000*CHOOSE(CONTROL!$C$42, 500, 500)*CHOOSE(CONTROL!$C$42, 0.275, 0.275)*CHOOSE(CONTROL!$C$42, 31, 31))/1000000</f>
        <v>4.2625000000000002</v>
      </c>
      <c r="W84" s="56">
        <f>(1000*CHOOSE(CONTROL!$C$42, 0.1146, 0.1146)*CHOOSE(CONTROL!$C$42, 121.5, 121.5)*CHOOSE(CONTROL!$C$42, 31, 31))/1000000</f>
        <v>0.43164089999999994</v>
      </c>
      <c r="X84" s="56">
        <f>(31*0.1790888*100000/1000000)+(31*0.2374*100000/1000000)</f>
        <v>1.2911152800000001</v>
      </c>
      <c r="Y84" s="56"/>
      <c r="Z84" s="14"/>
      <c r="AA84" s="55"/>
      <c r="AB84" s="49">
        <f>(B84*122.58+C84*297.941+D84*89.177+E84*40.302+F84*40+G84*160+H84*0+I84*100+J84*300)/(122.58+297.941+89.177+40.302+0+40+160+100+300)</f>
        <v>5.9210916949565222</v>
      </c>
      <c r="AC84" s="44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5.8395021582733806</v>
      </c>
    </row>
    <row r="85" spans="1:29" ht="15.75" x14ac:dyDescent="0.25">
      <c r="A85" s="13">
        <v>43466</v>
      </c>
      <c r="B85" s="14">
        <f>CHOOSE(CONTROL!$C$42, 6.5617, 6.5617) * CHOOSE(CONTROL!$C$21, $C$9, 100%, $E$9)</f>
        <v>6.5617000000000001</v>
      </c>
      <c r="C85" s="14">
        <f>CHOOSE(CONTROL!$C$42, 6.5667, 6.5667) * CHOOSE(CONTROL!$C$21, $C$9, 100%, $E$9)</f>
        <v>6.5667</v>
      </c>
      <c r="D85" s="14">
        <f>CHOOSE(CONTROL!$C$42, 6.6462, 6.6462) * CHOOSE(CONTROL!$C$21, $C$9, 100%, $E$9)</f>
        <v>6.6462000000000003</v>
      </c>
      <c r="E85" s="14">
        <f>CHOOSE(CONTROL!$C$42, 6.6803, 6.6803) * CHOOSE(CONTROL!$C$21, $C$9, 100%, $E$9)</f>
        <v>6.6802999999999999</v>
      </c>
      <c r="F85" s="14">
        <f>CHOOSE(CONTROL!$C$42, 6.5847, 6.5847)*CHOOSE(CONTROL!$C$21, $C$9, 100%, $E$9)</f>
        <v>6.5846999999999998</v>
      </c>
      <c r="G85" s="14">
        <f>CHOOSE(CONTROL!$C$42, 6.6022, 6.6022)*CHOOSE(CONTROL!$C$21, $C$9, 100%, $E$9)</f>
        <v>6.6021999999999998</v>
      </c>
      <c r="H85" s="14">
        <f>CHOOSE(CONTROL!$C$42, 6.6695, 6.6695) * CHOOSE(CONTROL!$C$21, $C$9, 100%, $E$9)</f>
        <v>6.6695000000000002</v>
      </c>
      <c r="I85" s="14">
        <f>CHOOSE(CONTROL!$C$42, 6.6175, 6.6175)* CHOOSE(CONTROL!$C$21, $C$9, 100%, $E$9)</f>
        <v>6.6174999999999997</v>
      </c>
      <c r="J85" s="14">
        <f>CHOOSE(CONTROL!$C$42, 6.5777, 6.5777)* CHOOSE(CONTROL!$C$21, $C$9, 100%, $E$9)</f>
        <v>6.5777000000000001</v>
      </c>
      <c r="K85" s="52">
        <f>CHOOSE(CONTROL!$C$42, 6.6136, 6.6136) * CHOOSE(CONTROL!$C$21, $C$9, 100%, $E$9)</f>
        <v>6.6135999999999999</v>
      </c>
      <c r="L85" s="14">
        <f>CHOOSE(CONTROL!$C$42, 7.2565, 7.2565) * CHOOSE(CONTROL!$C$21, $C$9, 100%, $E$9)</f>
        <v>7.2565</v>
      </c>
      <c r="M85" s="14">
        <f>CHOOSE(CONTROL!$C$42, 6.4506, 6.4506) * CHOOSE(CONTROL!$C$21, $C$9, 100%, $E$9)</f>
        <v>6.4505999999999997</v>
      </c>
      <c r="N85" s="14">
        <f>CHOOSE(CONTROL!$C$42, 6.4678, 6.4678) * CHOOSE(CONTROL!$C$21, $C$9, 100%, $E$9)</f>
        <v>6.4678000000000004</v>
      </c>
      <c r="O85" s="14">
        <f>CHOOSE(CONTROL!$C$42, 6.5405, 6.5405) * CHOOSE(CONTROL!$C$21, $C$9, 100%, $E$9)</f>
        <v>6.5404999999999998</v>
      </c>
      <c r="P85" s="14">
        <f>CHOOSE(CONTROL!$C$42, 6.4893, 6.4893) * CHOOSE(CONTROL!$C$21, $C$9, 100%, $E$9)</f>
        <v>6.4893000000000001</v>
      </c>
      <c r="Q85" s="14">
        <f>CHOOSE(CONTROL!$C$42, 7.1352, 7.1352) * CHOOSE(CONTROL!$C$21, $C$9, 100%, $E$9)</f>
        <v>7.1352000000000002</v>
      </c>
      <c r="R85" s="14">
        <f>CHOOSE(CONTROL!$C$42, 7.74, 7.74) * CHOOSE(CONTROL!$C$21, $C$9, 100%, $E$9)</f>
        <v>7.74</v>
      </c>
      <c r="S85" s="14">
        <f>CHOOSE(CONTROL!$C$42, 6.2966, 6.2966) * CHOOSE(CONTROL!$C$21, $C$9, 100%, $E$9)</f>
        <v>6.2965999999999998</v>
      </c>
      <c r="T8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56">
        <f>(1000*CHOOSE(CONTROL!$C$42, 695, 695)*CHOOSE(CONTROL!$C$42, 0.5599, 0.5599)*CHOOSE(CONTROL!$C$42, 31, 31))/1000000</f>
        <v>12.063045499999998</v>
      </c>
      <c r="V85" s="56">
        <f>(1000*CHOOSE(CONTROL!$C$42, 500, 500)*CHOOSE(CONTROL!$C$42, 0.275, 0.275)*CHOOSE(CONTROL!$C$42, 31, 31))/1000000</f>
        <v>4.2625000000000002</v>
      </c>
      <c r="W85" s="56">
        <f>(1000*CHOOSE(CONTROL!$C$42, 0.1146, 0.1146)*CHOOSE(CONTROL!$C$42, 121.5, 121.5)*CHOOSE(CONTROL!$C$42, 31, 31))/1000000</f>
        <v>0.43164089999999994</v>
      </c>
      <c r="X85" s="56">
        <f>(31*0.1790888*100000/1000000)+(31*0.2374*100000/1000000)</f>
        <v>1.2911152800000001</v>
      </c>
      <c r="Y85" s="56"/>
      <c r="Z85" s="14"/>
      <c r="AA85" s="55"/>
      <c r="AB85" s="49">
        <f>(B85*122.58+C85*297.941+D85*89.177+E85*40.302+F85*40+G85*160+H85*0+I85*100+J85*300)/(122.58+297.941+89.177+40.302+0+40+160+100+300)</f>
        <v>6.5891651988695639</v>
      </c>
      <c r="AC85" s="44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6.4979043165467623</v>
      </c>
    </row>
    <row r="86" spans="1:29" ht="15.75" x14ac:dyDescent="0.25">
      <c r="A86" s="13">
        <v>43497</v>
      </c>
      <c r="B86" s="14">
        <f>CHOOSE(CONTROL!$C$42, 6.692, 6.692) * CHOOSE(CONTROL!$C$21, $C$9, 100%, $E$9)</f>
        <v>6.6920000000000002</v>
      </c>
      <c r="C86" s="14">
        <f>CHOOSE(CONTROL!$C$42, 6.6971, 6.6971) * CHOOSE(CONTROL!$C$21, $C$9, 100%, $E$9)</f>
        <v>6.6970999999999998</v>
      </c>
      <c r="D86" s="14">
        <f>CHOOSE(CONTROL!$C$42, 6.7765, 6.7765) * CHOOSE(CONTROL!$C$21, $C$9, 100%, $E$9)</f>
        <v>6.7765000000000004</v>
      </c>
      <c r="E86" s="14">
        <f>CHOOSE(CONTROL!$C$42, 6.8106, 6.8106) * CHOOSE(CONTROL!$C$21, $C$9, 100%, $E$9)</f>
        <v>6.8106</v>
      </c>
      <c r="F86" s="14">
        <f>CHOOSE(CONTROL!$C$42, 6.7148, 6.7148)*CHOOSE(CONTROL!$C$21, $C$9, 100%, $E$9)</f>
        <v>6.7148000000000003</v>
      </c>
      <c r="G86" s="14">
        <f>CHOOSE(CONTROL!$C$42, 6.7323, 6.7323)*CHOOSE(CONTROL!$C$21, $C$9, 100%, $E$9)</f>
        <v>6.7323000000000004</v>
      </c>
      <c r="H86" s="14">
        <f>CHOOSE(CONTROL!$C$42, 6.7998, 6.7998) * CHOOSE(CONTROL!$C$21, $C$9, 100%, $E$9)</f>
        <v>6.7998000000000003</v>
      </c>
      <c r="I86" s="14">
        <f>CHOOSE(CONTROL!$C$42, 6.7483, 6.7483)* CHOOSE(CONTROL!$C$21, $C$9, 100%, $E$9)</f>
        <v>6.7483000000000004</v>
      </c>
      <c r="J86" s="14">
        <f>CHOOSE(CONTROL!$C$42, 6.7078, 6.7078)* CHOOSE(CONTROL!$C$21, $C$9, 100%, $E$9)</f>
        <v>6.7077999999999998</v>
      </c>
      <c r="K86" s="52">
        <f>CHOOSE(CONTROL!$C$42, 6.7444, 6.7444) * CHOOSE(CONTROL!$C$21, $C$9, 100%, $E$9)</f>
        <v>6.7443999999999997</v>
      </c>
      <c r="L86" s="14">
        <f>CHOOSE(CONTROL!$C$42, 7.3868, 7.3868) * CHOOSE(CONTROL!$C$21, $C$9, 100%, $E$9)</f>
        <v>7.3868</v>
      </c>
      <c r="M86" s="14">
        <f>CHOOSE(CONTROL!$C$42, 6.5781, 6.5781) * CHOOSE(CONTROL!$C$21, $C$9, 100%, $E$9)</f>
        <v>6.5781000000000001</v>
      </c>
      <c r="N86" s="14">
        <f>CHOOSE(CONTROL!$C$42, 6.5952, 6.5952) * CHOOSE(CONTROL!$C$21, $C$9, 100%, $E$9)</f>
        <v>6.5952000000000002</v>
      </c>
      <c r="O86" s="14">
        <f>CHOOSE(CONTROL!$C$42, 6.6682, 6.6682) * CHOOSE(CONTROL!$C$21, $C$9, 100%, $E$9)</f>
        <v>6.6681999999999997</v>
      </c>
      <c r="P86" s="14">
        <f>CHOOSE(CONTROL!$C$42, 6.6174, 6.6174) * CHOOSE(CONTROL!$C$21, $C$9, 100%, $E$9)</f>
        <v>6.6173999999999999</v>
      </c>
      <c r="Q86" s="14">
        <f>CHOOSE(CONTROL!$C$42, 7.2629, 7.2629) * CHOOSE(CONTROL!$C$21, $C$9, 100%, $E$9)</f>
        <v>7.2629000000000001</v>
      </c>
      <c r="R86" s="14">
        <f>CHOOSE(CONTROL!$C$42, 7.8681, 7.8681) * CHOOSE(CONTROL!$C$21, $C$9, 100%, $E$9)</f>
        <v>7.8681000000000001</v>
      </c>
      <c r="S86" s="14">
        <f>CHOOSE(CONTROL!$C$42, 6.4218, 6.4218) * CHOOSE(CONTROL!$C$21, $C$9, 100%, $E$9)</f>
        <v>6.4218000000000002</v>
      </c>
      <c r="T8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" s="56">
        <f>(1000*CHOOSE(CONTROL!$C$42, 695, 695)*CHOOSE(CONTROL!$C$42, 0.5599, 0.5599)*CHOOSE(CONTROL!$C$42, 28, 28))/1000000</f>
        <v>10.895653999999999</v>
      </c>
      <c r="V86" s="56">
        <f>(1000*CHOOSE(CONTROL!$C$42, 500, 500)*CHOOSE(CONTROL!$C$42, 0.275, 0.275)*CHOOSE(CONTROL!$C$42, 28, 28))/1000000</f>
        <v>3.85</v>
      </c>
      <c r="W86" s="56">
        <f>(1000*CHOOSE(CONTROL!$C$42, 0.1146, 0.1146)*CHOOSE(CONTROL!$C$42, 121.5, 121.5)*CHOOSE(CONTROL!$C$42, 28, 28))/1000000</f>
        <v>0.38986920000000003</v>
      </c>
      <c r="X86" s="56">
        <f>(28*0.1790888*100000/1000000)+(28*0.2374*100000/1000000)</f>
        <v>1.16616864</v>
      </c>
      <c r="Y86" s="56"/>
      <c r="Z86" s="14"/>
      <c r="AA86" s="55"/>
      <c r="AB86" s="49">
        <f>(B86*122.58+C86*297.941+D86*89.177+E86*40.302+F86*40+G86*160+H86*0+I86*100+J86*300)/(122.58+297.941+89.177+40.302+0+40+160+100+300)</f>
        <v>6.7194476285217384</v>
      </c>
      <c r="AC86" s="44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6.6255755395683451</v>
      </c>
    </row>
    <row r="87" spans="1:29" ht="15.75" x14ac:dyDescent="0.25">
      <c r="A87" s="13">
        <v>43525</v>
      </c>
      <c r="B87" s="14">
        <f>CHOOSE(CONTROL!$C$42, 6.5157, 6.5157) * CHOOSE(CONTROL!$C$21, $C$9, 100%, $E$9)</f>
        <v>6.5156999999999998</v>
      </c>
      <c r="C87" s="14">
        <f>CHOOSE(CONTROL!$C$42, 6.5208, 6.5208) * CHOOSE(CONTROL!$C$21, $C$9, 100%, $E$9)</f>
        <v>6.5208000000000004</v>
      </c>
      <c r="D87" s="14">
        <f>CHOOSE(CONTROL!$C$42, 6.6002, 6.6002) * CHOOSE(CONTROL!$C$21, $C$9, 100%, $E$9)</f>
        <v>6.6002000000000001</v>
      </c>
      <c r="E87" s="14">
        <f>CHOOSE(CONTROL!$C$42, 6.6343, 6.6343) * CHOOSE(CONTROL!$C$21, $C$9, 100%, $E$9)</f>
        <v>6.6342999999999996</v>
      </c>
      <c r="F87" s="14">
        <f>CHOOSE(CONTROL!$C$42, 6.5378, 6.5378)*CHOOSE(CONTROL!$C$21, $C$9, 100%, $E$9)</f>
        <v>6.5377999999999998</v>
      </c>
      <c r="G87" s="14">
        <f>CHOOSE(CONTROL!$C$42, 6.555, 6.555)*CHOOSE(CONTROL!$C$21, $C$9, 100%, $E$9)</f>
        <v>6.5549999999999997</v>
      </c>
      <c r="H87" s="14">
        <f>CHOOSE(CONTROL!$C$42, 6.6235, 6.6235) * CHOOSE(CONTROL!$C$21, $C$9, 100%, $E$9)</f>
        <v>6.6234999999999999</v>
      </c>
      <c r="I87" s="14">
        <f>CHOOSE(CONTROL!$C$42, 6.5714, 6.5714)* CHOOSE(CONTROL!$C$21, $C$9, 100%, $E$9)</f>
        <v>6.5713999999999997</v>
      </c>
      <c r="J87" s="14">
        <f>CHOOSE(CONTROL!$C$42, 6.5308, 6.5308)* CHOOSE(CONTROL!$C$21, $C$9, 100%, $E$9)</f>
        <v>6.5308000000000002</v>
      </c>
      <c r="K87" s="52">
        <f>CHOOSE(CONTROL!$C$42, 6.5675, 6.5675) * CHOOSE(CONTROL!$C$21, $C$9, 100%, $E$9)</f>
        <v>6.5674999999999999</v>
      </c>
      <c r="L87" s="14">
        <f>CHOOSE(CONTROL!$C$42, 7.2105, 7.2105) * CHOOSE(CONTROL!$C$21, $C$9, 100%, $E$9)</f>
        <v>7.2104999999999997</v>
      </c>
      <c r="M87" s="14">
        <f>CHOOSE(CONTROL!$C$42, 6.4046, 6.4046) * CHOOSE(CONTROL!$C$21, $C$9, 100%, $E$9)</f>
        <v>6.4046000000000003</v>
      </c>
      <c r="N87" s="14">
        <f>CHOOSE(CONTROL!$C$42, 6.4215, 6.4215) * CHOOSE(CONTROL!$C$21, $C$9, 100%, $E$9)</f>
        <v>6.4215</v>
      </c>
      <c r="O87" s="14">
        <f>CHOOSE(CONTROL!$C$42, 6.4955, 6.4955) * CHOOSE(CONTROL!$C$21, $C$9, 100%, $E$9)</f>
        <v>6.4954999999999998</v>
      </c>
      <c r="P87" s="14">
        <f>CHOOSE(CONTROL!$C$42, 6.4441, 6.4441) * CHOOSE(CONTROL!$C$21, $C$9, 100%, $E$9)</f>
        <v>6.4440999999999997</v>
      </c>
      <c r="Q87" s="14">
        <f>CHOOSE(CONTROL!$C$42, 7.0902, 7.0902) * CHOOSE(CONTROL!$C$21, $C$9, 100%, $E$9)</f>
        <v>7.0902000000000003</v>
      </c>
      <c r="R87" s="14">
        <f>CHOOSE(CONTROL!$C$42, 7.6949, 7.6949) * CHOOSE(CONTROL!$C$21, $C$9, 100%, $E$9)</f>
        <v>7.6948999999999996</v>
      </c>
      <c r="S87" s="14">
        <f>CHOOSE(CONTROL!$C$42, 6.2524, 6.2524) * CHOOSE(CONTROL!$C$21, $C$9, 100%, $E$9)</f>
        <v>6.2523999999999997</v>
      </c>
      <c r="T8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56">
        <f>(1000*CHOOSE(CONTROL!$C$42, 695, 695)*CHOOSE(CONTROL!$C$42, 0.5599, 0.5599)*CHOOSE(CONTROL!$C$42, 31, 31))/1000000</f>
        <v>12.063045499999998</v>
      </c>
      <c r="V87" s="56">
        <f>(1000*CHOOSE(CONTROL!$C$42, 500, 500)*CHOOSE(CONTROL!$C$42, 0.275, 0.275)*CHOOSE(CONTROL!$C$42, 31, 31))/1000000</f>
        <v>4.2625000000000002</v>
      </c>
      <c r="W87" s="56">
        <f>(1000*CHOOSE(CONTROL!$C$42, 0.1146, 0.1146)*CHOOSE(CONTROL!$C$42, 121.5, 121.5)*CHOOSE(CONTROL!$C$42, 31, 31))/1000000</f>
        <v>0.43164089999999994</v>
      </c>
      <c r="X87" s="56">
        <f>(31*0.1790888*100000/1000000)+(31*0.2374*100000/1000000)</f>
        <v>1.2911152800000001</v>
      </c>
      <c r="Y87" s="56"/>
      <c r="Z87" s="14"/>
      <c r="AA87" s="55"/>
      <c r="AB87" s="49">
        <f>(B87*122.58+C87*297.941+D87*89.177+E87*40.302+F87*40+G87*160+H87*0+I87*100+J87*300)/(122.58+297.941+89.177+40.302+0+40+160+100+300)</f>
        <v>6.5427493676521742</v>
      </c>
      <c r="AC87" s="44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6.4524553956834536</v>
      </c>
    </row>
    <row r="88" spans="1:29" ht="15.75" x14ac:dyDescent="0.25">
      <c r="A88" s="13">
        <v>43556</v>
      </c>
      <c r="B88" s="14">
        <f>CHOOSE(CONTROL!$C$42, 6.5106, 6.5106) * CHOOSE(CONTROL!$C$21, $C$9, 100%, $E$9)</f>
        <v>6.5106000000000002</v>
      </c>
      <c r="C88" s="14">
        <f>CHOOSE(CONTROL!$C$42, 6.5151, 6.5151) * CHOOSE(CONTROL!$C$21, $C$9, 100%, $E$9)</f>
        <v>6.5151000000000003</v>
      </c>
      <c r="D88" s="14">
        <f>CHOOSE(CONTROL!$C$42, 6.744, 6.744) * CHOOSE(CONTROL!$C$21, $C$9, 100%, $E$9)</f>
        <v>6.7439999999999998</v>
      </c>
      <c r="E88" s="14">
        <f>CHOOSE(CONTROL!$C$42, 6.7761, 6.7761) * CHOOSE(CONTROL!$C$21, $C$9, 100%, $E$9)</f>
        <v>6.7760999999999996</v>
      </c>
      <c r="F88" s="14">
        <f>CHOOSE(CONTROL!$C$42, 6.5376, 6.5376)*CHOOSE(CONTROL!$C$21, $C$9, 100%, $E$9)</f>
        <v>6.5376000000000003</v>
      </c>
      <c r="G88" s="14">
        <f>CHOOSE(CONTROL!$C$42, 6.5543, 6.5543)*CHOOSE(CONTROL!$C$21, $C$9, 100%, $E$9)</f>
        <v>6.5542999999999996</v>
      </c>
      <c r="H88" s="14">
        <f>CHOOSE(CONTROL!$C$42, 6.7659, 6.7659) * CHOOSE(CONTROL!$C$21, $C$9, 100%, $E$9)</f>
        <v>6.7659000000000002</v>
      </c>
      <c r="I88" s="14">
        <f>CHOOSE(CONTROL!$C$42, 6.5639, 6.5639)* CHOOSE(CONTROL!$C$21, $C$9, 100%, $E$9)</f>
        <v>6.5639000000000003</v>
      </c>
      <c r="J88" s="14">
        <f>CHOOSE(CONTROL!$C$42, 6.5306, 6.5306)* CHOOSE(CONTROL!$C$21, $C$9, 100%, $E$9)</f>
        <v>6.5305999999999997</v>
      </c>
      <c r="K88" s="52">
        <f>CHOOSE(CONTROL!$C$42, 6.56, 6.56) * CHOOSE(CONTROL!$C$21, $C$9, 100%, $E$9)</f>
        <v>6.56</v>
      </c>
      <c r="L88" s="14">
        <f>CHOOSE(CONTROL!$C$42, 7.3529, 7.3529) * CHOOSE(CONTROL!$C$21, $C$9, 100%, $E$9)</f>
        <v>7.3529</v>
      </c>
      <c r="M88" s="14">
        <f>CHOOSE(CONTROL!$C$42, 6.4045, 6.4045) * CHOOSE(CONTROL!$C$21, $C$9, 100%, $E$9)</f>
        <v>6.4044999999999996</v>
      </c>
      <c r="N88" s="14">
        <f>CHOOSE(CONTROL!$C$42, 6.4209, 6.4209) * CHOOSE(CONTROL!$C$21, $C$9, 100%, $E$9)</f>
        <v>6.4208999999999996</v>
      </c>
      <c r="O88" s="14">
        <f>CHOOSE(CONTROL!$C$42, 6.635, 6.635) * CHOOSE(CONTROL!$C$21, $C$9, 100%, $E$9)</f>
        <v>6.6349999999999998</v>
      </c>
      <c r="P88" s="14">
        <f>CHOOSE(CONTROL!$C$42, 6.4368, 6.4368) * CHOOSE(CONTROL!$C$21, $C$9, 100%, $E$9)</f>
        <v>6.4367999999999999</v>
      </c>
      <c r="Q88" s="14">
        <f>CHOOSE(CONTROL!$C$42, 7.2297, 7.2297) * CHOOSE(CONTROL!$C$21, $C$9, 100%, $E$9)</f>
        <v>7.2297000000000002</v>
      </c>
      <c r="R88" s="14">
        <f>CHOOSE(CONTROL!$C$42, 7.8347, 7.8347) * CHOOSE(CONTROL!$C$21, $C$9, 100%, $E$9)</f>
        <v>7.8346999999999998</v>
      </c>
      <c r="S88" s="14">
        <f>CHOOSE(CONTROL!$C$42, 6.2467, 6.2467) * CHOOSE(CONTROL!$C$21, $C$9, 100%, $E$9)</f>
        <v>6.2466999999999997</v>
      </c>
      <c r="T8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56">
        <f>(1000*CHOOSE(CONTROL!$C$42, 695, 695)*CHOOSE(CONTROL!$C$42, 0.5599, 0.5599)*CHOOSE(CONTROL!$C$42, 30, 30))/1000000</f>
        <v>11.673914999999997</v>
      </c>
      <c r="V88" s="56">
        <f>(1000*CHOOSE(CONTROL!$C$42, 500, 500)*CHOOSE(CONTROL!$C$42, 0.275, 0.275)*CHOOSE(CONTROL!$C$42, 30, 30))/1000000</f>
        <v>4.125</v>
      </c>
      <c r="W88" s="56">
        <f>(1000*CHOOSE(CONTROL!$C$42, 0.1146, 0.1146)*CHOOSE(CONTROL!$C$42, 121.5, 121.5)*CHOOSE(CONTROL!$C$42, 30, 30))/1000000</f>
        <v>0.417717</v>
      </c>
      <c r="X88" s="56">
        <f>(30*0.1790888*245000/1000000)+(30*0.2374*100000/1000000)</f>
        <v>2.0285026799999999</v>
      </c>
      <c r="Y88" s="56"/>
      <c r="Z88" s="14"/>
      <c r="AA88" s="55"/>
      <c r="AB88" s="49">
        <f>(B88*141.293+C88*267.993+D88*115.016+E88*89.698+F88*40+G88*185+H88*0+I88*100+J88*300)/(141.293+267.993+115.016+89.698+0+40+185+100+300)</f>
        <v>6.5690019547215499</v>
      </c>
      <c r="AC88" s="44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6.4775956834532371</v>
      </c>
    </row>
    <row r="89" spans="1:29" ht="15.75" x14ac:dyDescent="0.25">
      <c r="A89" s="13">
        <v>43586</v>
      </c>
      <c r="B89" s="14">
        <f>CHOOSE(CONTROL!$C$42, 6.5829, 6.5829) * CHOOSE(CONTROL!$C$21, $C$9, 100%, $E$9)</f>
        <v>6.5829000000000004</v>
      </c>
      <c r="C89" s="14">
        <f>CHOOSE(CONTROL!$C$42, 6.5909, 6.5909) * CHOOSE(CONTROL!$C$21, $C$9, 100%, $E$9)</f>
        <v>6.5909000000000004</v>
      </c>
      <c r="D89" s="14">
        <f>CHOOSE(CONTROL!$C$42, 6.8167, 6.8167) * CHOOSE(CONTROL!$C$21, $C$9, 100%, $E$9)</f>
        <v>6.8167</v>
      </c>
      <c r="E89" s="14">
        <f>CHOOSE(CONTROL!$C$42, 6.8481, 6.8481) * CHOOSE(CONTROL!$C$21, $C$9, 100%, $E$9)</f>
        <v>6.8480999999999996</v>
      </c>
      <c r="F89" s="14">
        <f>CHOOSE(CONTROL!$C$42, 6.6085, 6.6085)*CHOOSE(CONTROL!$C$21, $C$9, 100%, $E$9)</f>
        <v>6.6085000000000003</v>
      </c>
      <c r="G89" s="14">
        <f>CHOOSE(CONTROL!$C$42, 6.6255, 6.6255)*CHOOSE(CONTROL!$C$21, $C$9, 100%, $E$9)</f>
        <v>6.6254999999999997</v>
      </c>
      <c r="H89" s="14">
        <f>CHOOSE(CONTROL!$C$42, 6.8368, 6.8368) * CHOOSE(CONTROL!$C$21, $C$9, 100%, $E$9)</f>
        <v>6.8368000000000002</v>
      </c>
      <c r="I89" s="14">
        <f>CHOOSE(CONTROL!$C$42, 6.635, 6.635)* CHOOSE(CONTROL!$C$21, $C$9, 100%, $E$9)</f>
        <v>6.6349999999999998</v>
      </c>
      <c r="J89" s="14">
        <f>CHOOSE(CONTROL!$C$42, 6.6015, 6.6015)* CHOOSE(CONTROL!$C$21, $C$9, 100%, $E$9)</f>
        <v>6.6014999999999997</v>
      </c>
      <c r="K89" s="52">
        <f>CHOOSE(CONTROL!$C$42, 6.6311, 6.6311) * CHOOSE(CONTROL!$C$21, $C$9, 100%, $E$9)</f>
        <v>6.6311</v>
      </c>
      <c r="L89" s="14">
        <f>CHOOSE(CONTROL!$C$42, 7.4238, 7.4238) * CHOOSE(CONTROL!$C$21, $C$9, 100%, $E$9)</f>
        <v>7.4238</v>
      </c>
      <c r="M89" s="14">
        <f>CHOOSE(CONTROL!$C$42, 6.474, 6.474) * CHOOSE(CONTROL!$C$21, $C$9, 100%, $E$9)</f>
        <v>6.4740000000000002</v>
      </c>
      <c r="N89" s="14">
        <f>CHOOSE(CONTROL!$C$42, 6.4906, 6.4906) * CHOOSE(CONTROL!$C$21, $C$9, 100%, $E$9)</f>
        <v>6.4905999999999997</v>
      </c>
      <c r="O89" s="14">
        <f>CHOOSE(CONTROL!$C$42, 6.7044, 6.7044) * CHOOSE(CONTROL!$C$21, $C$9, 100%, $E$9)</f>
        <v>6.7043999999999997</v>
      </c>
      <c r="P89" s="14">
        <f>CHOOSE(CONTROL!$C$42, 6.5064, 6.5064) * CHOOSE(CONTROL!$C$21, $C$9, 100%, $E$9)</f>
        <v>6.5064000000000002</v>
      </c>
      <c r="Q89" s="14">
        <f>CHOOSE(CONTROL!$C$42, 7.2991, 7.2991) * CHOOSE(CONTROL!$C$21, $C$9, 100%, $E$9)</f>
        <v>7.2991000000000001</v>
      </c>
      <c r="R89" s="14">
        <f>CHOOSE(CONTROL!$C$42, 7.9043, 7.9043) * CHOOSE(CONTROL!$C$21, $C$9, 100%, $E$9)</f>
        <v>7.9043000000000001</v>
      </c>
      <c r="S89" s="14">
        <f>CHOOSE(CONTROL!$C$42, 6.3148, 6.3148) * CHOOSE(CONTROL!$C$21, $C$9, 100%, $E$9)</f>
        <v>6.3148</v>
      </c>
      <c r="T8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56">
        <f>(1000*CHOOSE(CONTROL!$C$42, 695, 695)*CHOOSE(CONTROL!$C$42, 0.5599, 0.5599)*CHOOSE(CONTROL!$C$42, 31, 31))/1000000</f>
        <v>12.063045499999998</v>
      </c>
      <c r="V89" s="56">
        <f>(1000*CHOOSE(CONTROL!$C$42, 500, 500)*CHOOSE(CONTROL!$C$42, 0.275, 0.275)*CHOOSE(CONTROL!$C$42, 31, 31))/1000000</f>
        <v>4.2625000000000002</v>
      </c>
      <c r="W89" s="56">
        <f>(1000*CHOOSE(CONTROL!$C$42, 0.1146, 0.1146)*CHOOSE(CONTROL!$C$42, 121.5, 121.5)*CHOOSE(CONTROL!$C$42, 31, 31))/1000000</f>
        <v>0.43164089999999994</v>
      </c>
      <c r="X89" s="56">
        <f>(31*0.1790888*245000/1000000)+(31*0.2374*100000/1000000)</f>
        <v>2.0961194359999999</v>
      </c>
      <c r="Y89" s="56"/>
      <c r="Z89" s="14"/>
      <c r="AA89" s="55"/>
      <c r="AB89" s="49">
        <f>(B89*194.205+C89*267.466+D89*133.845+E89*53.484+F89*40+G89*185+H89*0+I89*100+J89*300)/(194.205+267.466+133.845+53.484+0+40+185+100+300)</f>
        <v>6.6357348868131876</v>
      </c>
      <c r="AC89" s="44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6.547128057553957</v>
      </c>
    </row>
    <row r="90" spans="1:29" ht="15.75" x14ac:dyDescent="0.25">
      <c r="A90" s="13">
        <v>43617</v>
      </c>
      <c r="B90" s="14">
        <f>CHOOSE(CONTROL!$C$42, 6.7832, 6.7832) * CHOOSE(CONTROL!$C$21, $C$9, 100%, $E$9)</f>
        <v>6.7831999999999999</v>
      </c>
      <c r="C90" s="14">
        <f>CHOOSE(CONTROL!$C$42, 6.7912, 6.7912) * CHOOSE(CONTROL!$C$21, $C$9, 100%, $E$9)</f>
        <v>6.7911999999999999</v>
      </c>
      <c r="D90" s="14">
        <f>CHOOSE(CONTROL!$C$42, 7.017, 7.017) * CHOOSE(CONTROL!$C$21, $C$9, 100%, $E$9)</f>
        <v>7.0170000000000003</v>
      </c>
      <c r="E90" s="14">
        <f>CHOOSE(CONTROL!$C$42, 7.0485, 7.0485) * CHOOSE(CONTROL!$C$21, $C$9, 100%, $E$9)</f>
        <v>7.0484999999999998</v>
      </c>
      <c r="F90" s="14">
        <f>CHOOSE(CONTROL!$C$42, 6.8093, 6.8093)*CHOOSE(CONTROL!$C$21, $C$9, 100%, $E$9)</f>
        <v>6.8093000000000004</v>
      </c>
      <c r="G90" s="14">
        <f>CHOOSE(CONTROL!$C$42, 6.8264, 6.8264)*CHOOSE(CONTROL!$C$21, $C$9, 100%, $E$9)</f>
        <v>6.8263999999999996</v>
      </c>
      <c r="H90" s="14">
        <f>CHOOSE(CONTROL!$C$42, 7.0371, 7.0371) * CHOOSE(CONTROL!$C$21, $C$9, 100%, $E$9)</f>
        <v>7.0370999999999997</v>
      </c>
      <c r="I90" s="14">
        <f>CHOOSE(CONTROL!$C$42, 6.836, 6.836)* CHOOSE(CONTROL!$C$21, $C$9, 100%, $E$9)</f>
        <v>6.8360000000000003</v>
      </c>
      <c r="J90" s="14">
        <f>CHOOSE(CONTROL!$C$42, 6.8023, 6.8023)* CHOOSE(CONTROL!$C$21, $C$9, 100%, $E$9)</f>
        <v>6.8022999999999998</v>
      </c>
      <c r="K90" s="52">
        <f>CHOOSE(CONTROL!$C$42, 6.8321, 6.8321) * CHOOSE(CONTROL!$C$21, $C$9, 100%, $E$9)</f>
        <v>6.8320999999999996</v>
      </c>
      <c r="L90" s="14">
        <f>CHOOSE(CONTROL!$C$42, 7.6241, 7.6241) * CHOOSE(CONTROL!$C$21, $C$9, 100%, $E$9)</f>
        <v>7.6241000000000003</v>
      </c>
      <c r="M90" s="14">
        <f>CHOOSE(CONTROL!$C$42, 6.6706, 6.6706) * CHOOSE(CONTROL!$C$21, $C$9, 100%, $E$9)</f>
        <v>6.6706000000000003</v>
      </c>
      <c r="N90" s="14">
        <f>CHOOSE(CONTROL!$C$42, 6.6873, 6.6873) * CHOOSE(CONTROL!$C$21, $C$9, 100%, $E$9)</f>
        <v>6.6872999999999996</v>
      </c>
      <c r="O90" s="14">
        <f>CHOOSE(CONTROL!$C$42, 6.9006, 6.9006) * CHOOSE(CONTROL!$C$21, $C$9, 100%, $E$9)</f>
        <v>6.9005999999999998</v>
      </c>
      <c r="P90" s="14">
        <f>CHOOSE(CONTROL!$C$42, 6.7032, 6.7032) * CHOOSE(CONTROL!$C$21, $C$9, 100%, $E$9)</f>
        <v>6.7031999999999998</v>
      </c>
      <c r="Q90" s="14">
        <f>CHOOSE(CONTROL!$C$42, 7.4953, 7.4953) * CHOOSE(CONTROL!$C$21, $C$9, 100%, $E$9)</f>
        <v>7.4953000000000003</v>
      </c>
      <c r="R90" s="14">
        <f>CHOOSE(CONTROL!$C$42, 8.101, 8.101) * CHOOSE(CONTROL!$C$21, $C$9, 100%, $E$9)</f>
        <v>8.1010000000000009</v>
      </c>
      <c r="S90" s="14">
        <f>CHOOSE(CONTROL!$C$42, 6.5073, 6.5073) * CHOOSE(CONTROL!$C$21, $C$9, 100%, $E$9)</f>
        <v>6.5072999999999999</v>
      </c>
      <c r="T9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56">
        <f>(1000*CHOOSE(CONTROL!$C$42, 695, 695)*CHOOSE(CONTROL!$C$42, 0.5599, 0.5599)*CHOOSE(CONTROL!$C$42, 30, 30))/1000000</f>
        <v>11.673914999999997</v>
      </c>
      <c r="V90" s="56">
        <f>(1000*CHOOSE(CONTROL!$C$42, 500, 500)*CHOOSE(CONTROL!$C$42, 0.275, 0.275)*CHOOSE(CONTROL!$C$42, 30, 30))/1000000</f>
        <v>4.125</v>
      </c>
      <c r="W90" s="56">
        <f>(1000*CHOOSE(CONTROL!$C$42, 0.1146, 0.1146)*CHOOSE(CONTROL!$C$42, 121.5, 121.5)*CHOOSE(CONTROL!$C$42, 30, 30))/1000000</f>
        <v>0.417717</v>
      </c>
      <c r="X90" s="56">
        <f>(30*0.1790888*245000/1000000)+(30*0.2374*100000/1000000)</f>
        <v>2.0285026799999999</v>
      </c>
      <c r="Y90" s="56"/>
      <c r="Z90" s="14"/>
      <c r="AA90" s="55"/>
      <c r="AB90" s="49">
        <f>(B90*194.205+C90*267.466+D90*133.845+E90*53.484+F90*40+G90*185+H90*0+I90*100+J90*300)/(194.205+267.466+133.845+53.484+0+40+185+100+300)</f>
        <v>6.8363145951334392</v>
      </c>
      <c r="AC90" s="44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6.7436676258992794</v>
      </c>
    </row>
    <row r="91" spans="1:29" ht="15.75" x14ac:dyDescent="0.25">
      <c r="A91" s="13">
        <v>43647</v>
      </c>
      <c r="B91" s="14">
        <f>CHOOSE(CONTROL!$C$42, 6.667, 6.667) * CHOOSE(CONTROL!$C$21, $C$9, 100%, $E$9)</f>
        <v>6.6669999999999998</v>
      </c>
      <c r="C91" s="14">
        <f>CHOOSE(CONTROL!$C$42, 6.675, 6.675) * CHOOSE(CONTROL!$C$21, $C$9, 100%, $E$9)</f>
        <v>6.6749999999999998</v>
      </c>
      <c r="D91" s="14">
        <f>CHOOSE(CONTROL!$C$42, 6.9008, 6.9008) * CHOOSE(CONTROL!$C$21, $C$9, 100%, $E$9)</f>
        <v>6.9008000000000003</v>
      </c>
      <c r="E91" s="14">
        <f>CHOOSE(CONTROL!$C$42, 6.9322, 6.9322) * CHOOSE(CONTROL!$C$21, $C$9, 100%, $E$9)</f>
        <v>6.9321999999999999</v>
      </c>
      <c r="F91" s="14">
        <f>CHOOSE(CONTROL!$C$42, 6.6935, 6.6935)*CHOOSE(CONTROL!$C$21, $C$9, 100%, $E$9)</f>
        <v>6.6935000000000002</v>
      </c>
      <c r="G91" s="14">
        <f>CHOOSE(CONTROL!$C$42, 6.7107, 6.7107)*CHOOSE(CONTROL!$C$21, $C$9, 100%, $E$9)</f>
        <v>6.7107000000000001</v>
      </c>
      <c r="H91" s="14">
        <f>CHOOSE(CONTROL!$C$42, 6.9209, 6.9209) * CHOOSE(CONTROL!$C$21, $C$9, 100%, $E$9)</f>
        <v>6.9208999999999996</v>
      </c>
      <c r="I91" s="14">
        <f>CHOOSE(CONTROL!$C$42, 6.7194, 6.7194)* CHOOSE(CONTROL!$C$21, $C$9, 100%, $E$9)</f>
        <v>6.7194000000000003</v>
      </c>
      <c r="J91" s="14">
        <f>CHOOSE(CONTROL!$C$42, 6.6865, 6.6865)* CHOOSE(CONTROL!$C$21, $C$9, 100%, $E$9)</f>
        <v>6.6864999999999997</v>
      </c>
      <c r="K91" s="52">
        <f>CHOOSE(CONTROL!$C$42, 6.7155, 6.7155) * CHOOSE(CONTROL!$C$21, $C$9, 100%, $E$9)</f>
        <v>6.7154999999999996</v>
      </c>
      <c r="L91" s="14">
        <f>CHOOSE(CONTROL!$C$42, 7.5079, 7.5079) * CHOOSE(CONTROL!$C$21, $C$9, 100%, $E$9)</f>
        <v>7.5079000000000002</v>
      </c>
      <c r="M91" s="14">
        <f>CHOOSE(CONTROL!$C$42, 6.5572, 6.5572) * CHOOSE(CONTROL!$C$21, $C$9, 100%, $E$9)</f>
        <v>6.5571999999999999</v>
      </c>
      <c r="N91" s="14">
        <f>CHOOSE(CONTROL!$C$42, 6.5741, 6.5741) * CHOOSE(CONTROL!$C$21, $C$9, 100%, $E$9)</f>
        <v>6.5740999999999996</v>
      </c>
      <c r="O91" s="14">
        <f>CHOOSE(CONTROL!$C$42, 6.7868, 6.7868) * CHOOSE(CONTROL!$C$21, $C$9, 100%, $E$9)</f>
        <v>6.7868000000000004</v>
      </c>
      <c r="P91" s="14">
        <f>CHOOSE(CONTROL!$C$42, 6.589, 6.589) * CHOOSE(CONTROL!$C$21, $C$9, 100%, $E$9)</f>
        <v>6.5890000000000004</v>
      </c>
      <c r="Q91" s="14">
        <f>CHOOSE(CONTROL!$C$42, 7.3815, 7.3815) * CHOOSE(CONTROL!$C$21, $C$9, 100%, $E$9)</f>
        <v>7.3815</v>
      </c>
      <c r="R91" s="14">
        <f>CHOOSE(CONTROL!$C$42, 7.9869, 7.9869) * CHOOSE(CONTROL!$C$21, $C$9, 100%, $E$9)</f>
        <v>7.9869000000000003</v>
      </c>
      <c r="S91" s="14">
        <f>CHOOSE(CONTROL!$C$42, 6.3956, 6.3956) * CHOOSE(CONTROL!$C$21, $C$9, 100%, $E$9)</f>
        <v>6.3956</v>
      </c>
      <c r="T9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56">
        <f>(1000*CHOOSE(CONTROL!$C$42, 695, 695)*CHOOSE(CONTROL!$C$42, 0.5599, 0.5599)*CHOOSE(CONTROL!$C$42, 31, 31))/1000000</f>
        <v>12.063045499999998</v>
      </c>
      <c r="V91" s="56">
        <f>(1000*CHOOSE(CONTROL!$C$42, 500, 500)*CHOOSE(CONTROL!$C$42, 0.275, 0.275)*CHOOSE(CONTROL!$C$42, 31, 31))/1000000</f>
        <v>4.2625000000000002</v>
      </c>
      <c r="W91" s="56">
        <f>(1000*CHOOSE(CONTROL!$C$42, 0.1146, 0.1146)*CHOOSE(CONTROL!$C$42, 121.5, 121.5)*CHOOSE(CONTROL!$C$42, 31, 31))/1000000</f>
        <v>0.43164089999999994</v>
      </c>
      <c r="X91" s="56">
        <f>(31*0.1790888*245000/1000000)+(31*0.2374*100000/1000000)</f>
        <v>2.0961194359999999</v>
      </c>
      <c r="Y91" s="56"/>
      <c r="Z91" s="14"/>
      <c r="AA91" s="55"/>
      <c r="AB91" s="49">
        <f>(B91*194.205+C91*267.466+D91*133.845+E91*53.484+F91*40+G91*185+H91*0+I91*100+J91*300)/(194.205+267.466+133.845+53.484+0+40+185+100+300)</f>
        <v>6.7202583562009428</v>
      </c>
      <c r="AC91" s="44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6.630086330935252</v>
      </c>
    </row>
    <row r="92" spans="1:29" ht="15.75" x14ac:dyDescent="0.25">
      <c r="A92" s="13">
        <v>43678</v>
      </c>
      <c r="B92" s="14">
        <f>CHOOSE(CONTROL!$C$42, 6.3513, 6.3513) * CHOOSE(CONTROL!$C$21, $C$9, 100%, $E$9)</f>
        <v>6.3513000000000002</v>
      </c>
      <c r="C92" s="14">
        <f>CHOOSE(CONTROL!$C$42, 6.3593, 6.3593) * CHOOSE(CONTROL!$C$21, $C$9, 100%, $E$9)</f>
        <v>6.3593000000000002</v>
      </c>
      <c r="D92" s="14">
        <f>CHOOSE(CONTROL!$C$42, 6.5851, 6.5851) * CHOOSE(CONTROL!$C$21, $C$9, 100%, $E$9)</f>
        <v>6.5850999999999997</v>
      </c>
      <c r="E92" s="14">
        <f>CHOOSE(CONTROL!$C$42, 6.6165, 6.6165) * CHOOSE(CONTROL!$C$21, $C$9, 100%, $E$9)</f>
        <v>6.6165000000000003</v>
      </c>
      <c r="F92" s="14">
        <f>CHOOSE(CONTROL!$C$42, 6.3781, 6.3781)*CHOOSE(CONTROL!$C$21, $C$9, 100%, $E$9)</f>
        <v>6.3780999999999999</v>
      </c>
      <c r="G92" s="14">
        <f>CHOOSE(CONTROL!$C$42, 6.3953, 6.3953)*CHOOSE(CONTROL!$C$21, $C$9, 100%, $E$9)</f>
        <v>6.3952999999999998</v>
      </c>
      <c r="H92" s="14">
        <f>CHOOSE(CONTROL!$C$42, 6.6052, 6.6052) * CHOOSE(CONTROL!$C$21, $C$9, 100%, $E$9)</f>
        <v>6.6052</v>
      </c>
      <c r="I92" s="14">
        <f>CHOOSE(CONTROL!$C$42, 6.4027, 6.4027)* CHOOSE(CONTROL!$C$21, $C$9, 100%, $E$9)</f>
        <v>6.4027000000000003</v>
      </c>
      <c r="J92" s="14">
        <f>CHOOSE(CONTROL!$C$42, 6.3711, 6.3711)* CHOOSE(CONTROL!$C$21, $C$9, 100%, $E$9)</f>
        <v>6.3711000000000002</v>
      </c>
      <c r="K92" s="52">
        <f>CHOOSE(CONTROL!$C$42, 6.3988, 6.3988) * CHOOSE(CONTROL!$C$21, $C$9, 100%, $E$9)</f>
        <v>6.3987999999999996</v>
      </c>
      <c r="L92" s="14">
        <f>CHOOSE(CONTROL!$C$42, 7.1922, 7.1922) * CHOOSE(CONTROL!$C$21, $C$9, 100%, $E$9)</f>
        <v>7.1921999999999997</v>
      </c>
      <c r="M92" s="14">
        <f>CHOOSE(CONTROL!$C$42, 6.2482, 6.2482) * CHOOSE(CONTROL!$C$21, $C$9, 100%, $E$9)</f>
        <v>6.2481999999999998</v>
      </c>
      <c r="N92" s="14">
        <f>CHOOSE(CONTROL!$C$42, 6.2651, 6.2651) * CHOOSE(CONTROL!$C$21, $C$9, 100%, $E$9)</f>
        <v>6.2651000000000003</v>
      </c>
      <c r="O92" s="14">
        <f>CHOOSE(CONTROL!$C$42, 6.4775, 6.4775) * CHOOSE(CONTROL!$C$21, $C$9, 100%, $E$9)</f>
        <v>6.4775</v>
      </c>
      <c r="P92" s="14">
        <f>CHOOSE(CONTROL!$C$42, 6.2789, 6.2789) * CHOOSE(CONTROL!$C$21, $C$9, 100%, $E$9)</f>
        <v>6.2789000000000001</v>
      </c>
      <c r="Q92" s="14">
        <f>CHOOSE(CONTROL!$C$42, 7.0722, 7.0722) * CHOOSE(CONTROL!$C$21, $C$9, 100%, $E$9)</f>
        <v>7.0721999999999996</v>
      </c>
      <c r="R92" s="14">
        <f>CHOOSE(CONTROL!$C$42, 7.6769, 7.6769) * CHOOSE(CONTROL!$C$21, $C$9, 100%, $E$9)</f>
        <v>7.6768999999999998</v>
      </c>
      <c r="S92" s="14">
        <f>CHOOSE(CONTROL!$C$42, 6.0923, 6.0923) * CHOOSE(CONTROL!$C$21, $C$9, 100%, $E$9)</f>
        <v>6.0922999999999998</v>
      </c>
      <c r="T9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56">
        <f>(1000*CHOOSE(CONTROL!$C$42, 695, 695)*CHOOSE(CONTROL!$C$42, 0.5599, 0.5599)*CHOOSE(CONTROL!$C$42, 31, 31))/1000000</f>
        <v>12.063045499999998</v>
      </c>
      <c r="V92" s="56">
        <f>(1000*CHOOSE(CONTROL!$C$42, 500, 500)*CHOOSE(CONTROL!$C$42, 0.275, 0.275)*CHOOSE(CONTROL!$C$42, 31, 31))/1000000</f>
        <v>4.2625000000000002</v>
      </c>
      <c r="W92" s="56">
        <f>(1000*CHOOSE(CONTROL!$C$42, 0.1146, 0.1146)*CHOOSE(CONTROL!$C$42, 121.5, 121.5)*CHOOSE(CONTROL!$C$42, 31, 31))/1000000</f>
        <v>0.43164089999999994</v>
      </c>
      <c r="X92" s="56">
        <f>(31*0.1790888*245000/1000000)+(31*0.2374*100000/1000000)</f>
        <v>2.0961194359999999</v>
      </c>
      <c r="Y92" s="56"/>
      <c r="Z92" s="14"/>
      <c r="AA92" s="55"/>
      <c r="AB92" s="49">
        <f>(B92*194.205+C92*267.466+D92*133.845+E92*53.484+F92*40+G92*185+H92*0+I92*100+J92*300)/(194.205+267.466+133.845+53.484+0+40+185+100+300)</f>
        <v>6.4046034896389319</v>
      </c>
      <c r="AC92" s="44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6.3208438848920867</v>
      </c>
    </row>
    <row r="93" spans="1:29" ht="15.75" x14ac:dyDescent="0.25">
      <c r="A93" s="13">
        <v>43709</v>
      </c>
      <c r="B93" s="14">
        <f>CHOOSE(CONTROL!$C$42, 5.9608, 5.9608) * CHOOSE(CONTROL!$C$21, $C$9, 100%, $E$9)</f>
        <v>5.9607999999999999</v>
      </c>
      <c r="C93" s="14">
        <f>CHOOSE(CONTROL!$C$42, 5.9688, 5.9688) * CHOOSE(CONTROL!$C$21, $C$9, 100%, $E$9)</f>
        <v>5.9687999999999999</v>
      </c>
      <c r="D93" s="14">
        <f>CHOOSE(CONTROL!$C$42, 6.1946, 6.1946) * CHOOSE(CONTROL!$C$21, $C$9, 100%, $E$9)</f>
        <v>6.1946000000000003</v>
      </c>
      <c r="E93" s="14">
        <f>CHOOSE(CONTROL!$C$42, 6.2261, 6.2261) * CHOOSE(CONTROL!$C$21, $C$9, 100%, $E$9)</f>
        <v>6.2260999999999997</v>
      </c>
      <c r="F93" s="14">
        <f>CHOOSE(CONTROL!$C$42, 5.9876, 5.9876)*CHOOSE(CONTROL!$C$21, $C$9, 100%, $E$9)</f>
        <v>5.9875999999999996</v>
      </c>
      <c r="G93" s="14">
        <f>CHOOSE(CONTROL!$C$42, 6.0049, 6.0049)*CHOOSE(CONTROL!$C$21, $C$9, 100%, $E$9)</f>
        <v>6.0049000000000001</v>
      </c>
      <c r="H93" s="14">
        <f>CHOOSE(CONTROL!$C$42, 6.2147, 6.2147) * CHOOSE(CONTROL!$C$21, $C$9, 100%, $E$9)</f>
        <v>6.2146999999999997</v>
      </c>
      <c r="I93" s="14">
        <f>CHOOSE(CONTROL!$C$42, 6.011, 6.011)* CHOOSE(CONTROL!$C$21, $C$9, 100%, $E$9)</f>
        <v>6.0110000000000001</v>
      </c>
      <c r="J93" s="14">
        <f>CHOOSE(CONTROL!$C$42, 5.9806, 5.9806)* CHOOSE(CONTROL!$C$21, $C$9, 100%, $E$9)</f>
        <v>5.9805999999999999</v>
      </c>
      <c r="K93" s="52">
        <f>CHOOSE(CONTROL!$C$42, 6.0071, 6.0071) * CHOOSE(CONTROL!$C$21, $C$9, 100%, $E$9)</f>
        <v>6.0071000000000003</v>
      </c>
      <c r="L93" s="14">
        <f>CHOOSE(CONTROL!$C$42, 6.8017, 6.8017) * CHOOSE(CONTROL!$C$21, $C$9, 100%, $E$9)</f>
        <v>6.8017000000000003</v>
      </c>
      <c r="M93" s="14">
        <f>CHOOSE(CONTROL!$C$42, 5.8658, 5.8658) * CHOOSE(CONTROL!$C$21, $C$9, 100%, $E$9)</f>
        <v>5.8658000000000001</v>
      </c>
      <c r="N93" s="14">
        <f>CHOOSE(CONTROL!$C$42, 5.8827, 5.8827) * CHOOSE(CONTROL!$C$21, $C$9, 100%, $E$9)</f>
        <v>5.8826999999999998</v>
      </c>
      <c r="O93" s="14">
        <f>CHOOSE(CONTROL!$C$42, 6.0951, 6.0951) * CHOOSE(CONTROL!$C$21, $C$9, 100%, $E$9)</f>
        <v>6.0951000000000004</v>
      </c>
      <c r="P93" s="14">
        <f>CHOOSE(CONTROL!$C$42, 5.8952, 5.8952) * CHOOSE(CONTROL!$C$21, $C$9, 100%, $E$9)</f>
        <v>5.8952</v>
      </c>
      <c r="Q93" s="14">
        <f>CHOOSE(CONTROL!$C$42, 6.6898, 6.6898) * CHOOSE(CONTROL!$C$21, $C$9, 100%, $E$9)</f>
        <v>6.6898</v>
      </c>
      <c r="R93" s="14">
        <f>CHOOSE(CONTROL!$C$42, 7.2935, 7.2935) * CHOOSE(CONTROL!$C$21, $C$9, 100%, $E$9)</f>
        <v>7.2934999999999999</v>
      </c>
      <c r="S93" s="14">
        <f>CHOOSE(CONTROL!$C$42, 5.7171, 5.7171) * CHOOSE(CONTROL!$C$21, $C$9, 100%, $E$9)</f>
        <v>5.7171000000000003</v>
      </c>
      <c r="T9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56">
        <f>(1000*CHOOSE(CONTROL!$C$42, 695, 695)*CHOOSE(CONTROL!$C$42, 0.5599, 0.5599)*CHOOSE(CONTROL!$C$42, 30, 30))/1000000</f>
        <v>11.673914999999997</v>
      </c>
      <c r="V93" s="56">
        <f>(1000*CHOOSE(CONTROL!$C$42, 500, 500)*CHOOSE(CONTROL!$C$42, 0.275, 0.275)*CHOOSE(CONTROL!$C$42, 30, 30))/1000000</f>
        <v>4.125</v>
      </c>
      <c r="W93" s="56">
        <f>(1000*CHOOSE(CONTROL!$C$42, 0.1146, 0.1146)*CHOOSE(CONTROL!$C$42, 121.5, 121.5)*CHOOSE(CONTROL!$C$42, 30, 30))/1000000</f>
        <v>0.417717</v>
      </c>
      <c r="X93" s="56">
        <f>(30*0.1790888*245000/1000000)+(30*0.2374*100000/1000000)</f>
        <v>2.0285026799999999</v>
      </c>
      <c r="Y93" s="56"/>
      <c r="Z93" s="14"/>
      <c r="AA93" s="55"/>
      <c r="AB93" s="49">
        <f>(B93*194.205+C93*267.466+D93*133.845+E93*53.484+F93*40+G93*185+H93*0+I93*100+J93*300)/(194.205+267.466+133.845+53.484+0+40+185+100+300)</f>
        <v>6.0140280174254324</v>
      </c>
      <c r="AC93" s="44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5.9382568345323739</v>
      </c>
    </row>
    <row r="94" spans="1:29" ht="15.75" x14ac:dyDescent="0.25">
      <c r="A94" s="13">
        <v>43739</v>
      </c>
      <c r="B94" s="14">
        <f>CHOOSE(CONTROL!$C$42, 5.8503, 5.8503) * CHOOSE(CONTROL!$C$21, $C$9, 100%, $E$9)</f>
        <v>5.8502999999999998</v>
      </c>
      <c r="C94" s="14">
        <f>CHOOSE(CONTROL!$C$42, 5.8556, 5.8556) * CHOOSE(CONTROL!$C$21, $C$9, 100%, $E$9)</f>
        <v>5.8555999999999999</v>
      </c>
      <c r="D94" s="14">
        <f>CHOOSE(CONTROL!$C$42, 6.0863, 6.0863) * CHOOSE(CONTROL!$C$21, $C$9, 100%, $E$9)</f>
        <v>6.0862999999999996</v>
      </c>
      <c r="E94" s="14">
        <f>CHOOSE(CONTROL!$C$42, 6.1155, 6.1155) * CHOOSE(CONTROL!$C$21, $C$9, 100%, $E$9)</f>
        <v>6.1154999999999999</v>
      </c>
      <c r="F94" s="14">
        <f>CHOOSE(CONTROL!$C$42, 5.8791, 5.8791)*CHOOSE(CONTROL!$C$21, $C$9, 100%, $E$9)</f>
        <v>5.8791000000000002</v>
      </c>
      <c r="G94" s="14">
        <f>CHOOSE(CONTROL!$C$42, 5.8962, 5.8962)*CHOOSE(CONTROL!$C$21, $C$9, 100%, $E$9)</f>
        <v>5.8962000000000003</v>
      </c>
      <c r="H94" s="14">
        <f>CHOOSE(CONTROL!$C$42, 6.1059, 6.1059) * CHOOSE(CONTROL!$C$21, $C$9, 100%, $E$9)</f>
        <v>6.1059000000000001</v>
      </c>
      <c r="I94" s="14">
        <f>CHOOSE(CONTROL!$C$42, 5.9019, 5.9019)* CHOOSE(CONTROL!$C$21, $C$9, 100%, $E$9)</f>
        <v>5.9019000000000004</v>
      </c>
      <c r="J94" s="14">
        <f>CHOOSE(CONTROL!$C$42, 5.8721, 5.8721)* CHOOSE(CONTROL!$C$21, $C$9, 100%, $E$9)</f>
        <v>5.8720999999999997</v>
      </c>
      <c r="K94" s="52">
        <f>CHOOSE(CONTROL!$C$42, 5.898, 5.898) * CHOOSE(CONTROL!$C$21, $C$9, 100%, $E$9)</f>
        <v>5.8979999999999997</v>
      </c>
      <c r="L94" s="14">
        <f>CHOOSE(CONTROL!$C$42, 6.6929, 6.6929) * CHOOSE(CONTROL!$C$21, $C$9, 100%, $E$9)</f>
        <v>6.6928999999999998</v>
      </c>
      <c r="M94" s="14">
        <f>CHOOSE(CONTROL!$C$42, 5.7595, 5.7595) * CHOOSE(CONTROL!$C$21, $C$9, 100%, $E$9)</f>
        <v>5.7595000000000001</v>
      </c>
      <c r="N94" s="14">
        <f>CHOOSE(CONTROL!$C$42, 5.7763, 5.7763) * CHOOSE(CONTROL!$C$21, $C$9, 100%, $E$9)</f>
        <v>5.7763</v>
      </c>
      <c r="O94" s="14">
        <f>CHOOSE(CONTROL!$C$42, 5.9885, 5.9885) * CHOOSE(CONTROL!$C$21, $C$9, 100%, $E$9)</f>
        <v>5.9885000000000002</v>
      </c>
      <c r="P94" s="14">
        <f>CHOOSE(CONTROL!$C$42, 5.7884, 5.7884) * CHOOSE(CONTROL!$C$21, $C$9, 100%, $E$9)</f>
        <v>5.7884000000000002</v>
      </c>
      <c r="Q94" s="14">
        <f>CHOOSE(CONTROL!$C$42, 6.5832, 6.5832) * CHOOSE(CONTROL!$C$21, $C$9, 100%, $E$9)</f>
        <v>6.5831999999999997</v>
      </c>
      <c r="R94" s="14">
        <f>CHOOSE(CONTROL!$C$42, 7.1867, 7.1867) * CHOOSE(CONTROL!$C$21, $C$9, 100%, $E$9)</f>
        <v>7.1867000000000001</v>
      </c>
      <c r="S94" s="14">
        <f>CHOOSE(CONTROL!$C$42, 5.6126, 5.6126) * CHOOSE(CONTROL!$C$21, $C$9, 100%, $E$9)</f>
        <v>5.6125999999999996</v>
      </c>
      <c r="T9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56">
        <f>(1000*CHOOSE(CONTROL!$C$42, 695, 695)*CHOOSE(CONTROL!$C$42, 0.5599, 0.5599)*CHOOSE(CONTROL!$C$42, 31, 31))/1000000</f>
        <v>12.063045499999998</v>
      </c>
      <c r="V94" s="56">
        <f>(1000*CHOOSE(CONTROL!$C$42, 500, 500)*CHOOSE(CONTROL!$C$42, 0.275, 0.275)*CHOOSE(CONTROL!$C$42, 31, 31))/1000000</f>
        <v>4.2625000000000002</v>
      </c>
      <c r="W94" s="56">
        <f>(1000*CHOOSE(CONTROL!$C$42, 0.1146, 0.1146)*CHOOSE(CONTROL!$C$42, 121.5, 121.5)*CHOOSE(CONTROL!$C$42, 31, 31))/1000000</f>
        <v>0.43164089999999994</v>
      </c>
      <c r="X94" s="56">
        <f>(31*0.1790888*245000/1000000)+(31*0.2374*100000/1000000)</f>
        <v>2.0961194359999999</v>
      </c>
      <c r="Y94" s="56"/>
      <c r="Z94" s="14"/>
      <c r="AA94" s="55"/>
      <c r="AB94" s="49">
        <f>(B94*131.881+C94*277.167+D94*79.08+E94*125.872+F94*40+G94*185+H94*0+I94*100+J94*300)/(131.881+277.167+79.08+125.872+0+40+185+100+300)</f>
        <v>5.9107169648910416</v>
      </c>
      <c r="AC94" s="44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5.8317776978417264</v>
      </c>
    </row>
    <row r="95" spans="1:29" ht="15.75" x14ac:dyDescent="0.25">
      <c r="A95" s="13">
        <v>43770</v>
      </c>
      <c r="B95" s="14">
        <f>CHOOSE(CONTROL!$C$42, 6.016, 6.016) * CHOOSE(CONTROL!$C$21, $C$9, 100%, $E$9)</f>
        <v>6.016</v>
      </c>
      <c r="C95" s="14">
        <f>CHOOSE(CONTROL!$C$42, 6.0211, 6.0211) * CHOOSE(CONTROL!$C$21, $C$9, 100%, $E$9)</f>
        <v>6.0210999999999997</v>
      </c>
      <c r="D95" s="14">
        <f>CHOOSE(CONTROL!$C$42, 6.0901, 6.0901) * CHOOSE(CONTROL!$C$21, $C$9, 100%, $E$9)</f>
        <v>6.0900999999999996</v>
      </c>
      <c r="E95" s="14">
        <f>CHOOSE(CONTROL!$C$42, 6.1242, 6.1242) * CHOOSE(CONTROL!$C$21, $C$9, 100%, $E$9)</f>
        <v>6.1242000000000001</v>
      </c>
      <c r="F95" s="14">
        <f>CHOOSE(CONTROL!$C$42, 6.0516, 6.0516)*CHOOSE(CONTROL!$C$21, $C$9, 100%, $E$9)</f>
        <v>6.0515999999999996</v>
      </c>
      <c r="G95" s="14">
        <f>CHOOSE(CONTROL!$C$42, 6.069, 6.069)*CHOOSE(CONTROL!$C$21, $C$9, 100%, $E$9)</f>
        <v>6.069</v>
      </c>
      <c r="H95" s="14">
        <f>CHOOSE(CONTROL!$C$42, 6.1134, 6.1134) * CHOOSE(CONTROL!$C$21, $C$9, 100%, $E$9)</f>
        <v>6.1134000000000004</v>
      </c>
      <c r="I95" s="14">
        <f>CHOOSE(CONTROL!$C$42, 6.0712, 6.0712)* CHOOSE(CONTROL!$C$21, $C$9, 100%, $E$9)</f>
        <v>6.0712000000000002</v>
      </c>
      <c r="J95" s="14">
        <f>CHOOSE(CONTROL!$C$42, 6.0446, 6.0446)* CHOOSE(CONTROL!$C$21, $C$9, 100%, $E$9)</f>
        <v>6.0446</v>
      </c>
      <c r="K95" s="52">
        <f>CHOOSE(CONTROL!$C$42, 6.0673, 6.0673) * CHOOSE(CONTROL!$C$21, $C$9, 100%, $E$9)</f>
        <v>6.0673000000000004</v>
      </c>
      <c r="L95" s="14">
        <f>CHOOSE(CONTROL!$C$42, 6.7004, 6.7004) * CHOOSE(CONTROL!$C$21, $C$9, 100%, $E$9)</f>
        <v>6.7004000000000001</v>
      </c>
      <c r="M95" s="14">
        <f>CHOOSE(CONTROL!$C$42, 5.9285, 5.9285) * CHOOSE(CONTROL!$C$21, $C$9, 100%, $E$9)</f>
        <v>5.9284999999999997</v>
      </c>
      <c r="N95" s="14">
        <f>CHOOSE(CONTROL!$C$42, 5.9455, 5.9455) * CHOOSE(CONTROL!$C$21, $C$9, 100%, $E$9)</f>
        <v>5.9455</v>
      </c>
      <c r="O95" s="14">
        <f>CHOOSE(CONTROL!$C$42, 5.9959, 5.9959) * CHOOSE(CONTROL!$C$21, $C$9, 100%, $E$9)</f>
        <v>5.9958999999999998</v>
      </c>
      <c r="P95" s="14">
        <f>CHOOSE(CONTROL!$C$42, 5.9542, 5.9542) * CHOOSE(CONTROL!$C$21, $C$9, 100%, $E$9)</f>
        <v>5.9542000000000002</v>
      </c>
      <c r="Q95" s="14">
        <f>CHOOSE(CONTROL!$C$42, 6.5906, 6.5906) * CHOOSE(CONTROL!$C$21, $C$9, 100%, $E$9)</f>
        <v>6.5906000000000002</v>
      </c>
      <c r="R95" s="14">
        <f>CHOOSE(CONTROL!$C$42, 7.194, 7.194) * CHOOSE(CONTROL!$C$21, $C$9, 100%, $E$9)</f>
        <v>7.194</v>
      </c>
      <c r="S95" s="14">
        <f>CHOOSE(CONTROL!$C$42, 5.7723, 5.7723) * CHOOSE(CONTROL!$C$21, $C$9, 100%, $E$9)</f>
        <v>5.7723000000000004</v>
      </c>
      <c r="T9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56">
        <f>(1000*CHOOSE(CONTROL!$C$42, 695, 695)*CHOOSE(CONTROL!$C$42, 0.5599, 0.5599)*CHOOSE(CONTROL!$C$42, 30, 30))/1000000</f>
        <v>11.673914999999997</v>
      </c>
      <c r="V95" s="56">
        <f>(1000*CHOOSE(CONTROL!$C$42, 500, 500)*CHOOSE(CONTROL!$C$42, 0.275, 0.275)*CHOOSE(CONTROL!$C$42, 30, 30))/1000000</f>
        <v>4.125</v>
      </c>
      <c r="W95" s="56">
        <f>(1000*CHOOSE(CONTROL!$C$42, 0.1146, 0.1146)*CHOOSE(CONTROL!$C$42, 121.5, 121.5)*CHOOSE(CONTROL!$C$42, 30, 30))/1000000</f>
        <v>0.417717</v>
      </c>
      <c r="X95" s="56">
        <f>(30*0.1790888*100000/1000000)+(30*0.2374*100000/1000000)</f>
        <v>1.2494664</v>
      </c>
      <c r="Y95" s="56"/>
      <c r="Z95" s="14"/>
      <c r="AA95" s="55"/>
      <c r="AB95" s="49">
        <f>(B95*122.58+C95*297.941+D95*89.177+E95*40.302+F95*40+G95*160+H95*0+I95*100+J95*300)/(122.58+297.941+89.177+40.302+0+40+160+100+300)</f>
        <v>6.0477323401739129</v>
      </c>
      <c r="AC95" s="44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5.9637244604316546</v>
      </c>
    </row>
    <row r="96" spans="1:29" ht="15.75" x14ac:dyDescent="0.25">
      <c r="A96" s="13">
        <v>43800</v>
      </c>
      <c r="B96" s="14">
        <f>CHOOSE(CONTROL!$C$42, 6.4388, 6.4388) * CHOOSE(CONTROL!$C$21, $C$9, 100%, $E$9)</f>
        <v>6.4387999999999996</v>
      </c>
      <c r="C96" s="14">
        <f>CHOOSE(CONTROL!$C$42, 6.4438, 6.4438) * CHOOSE(CONTROL!$C$21, $C$9, 100%, $E$9)</f>
        <v>6.4438000000000004</v>
      </c>
      <c r="D96" s="14">
        <f>CHOOSE(CONTROL!$C$42, 6.5129, 6.5129) * CHOOSE(CONTROL!$C$21, $C$9, 100%, $E$9)</f>
        <v>6.5129000000000001</v>
      </c>
      <c r="E96" s="14">
        <f>CHOOSE(CONTROL!$C$42, 6.547, 6.547) * CHOOSE(CONTROL!$C$21, $C$9, 100%, $E$9)</f>
        <v>6.5469999999999997</v>
      </c>
      <c r="F96" s="14">
        <f>CHOOSE(CONTROL!$C$42, 6.4766, 6.4766)*CHOOSE(CONTROL!$C$21, $C$9, 100%, $E$9)</f>
        <v>6.4766000000000004</v>
      </c>
      <c r="G96" s="14">
        <f>CHOOSE(CONTROL!$C$42, 6.4946, 6.4946)*CHOOSE(CONTROL!$C$21, $C$9, 100%, $E$9)</f>
        <v>6.4946000000000002</v>
      </c>
      <c r="H96" s="14">
        <f>CHOOSE(CONTROL!$C$42, 6.5362, 6.5362) * CHOOSE(CONTROL!$C$21, $C$9, 100%, $E$9)</f>
        <v>6.5362</v>
      </c>
      <c r="I96" s="14">
        <f>CHOOSE(CONTROL!$C$42, 6.4953, 6.4953)* CHOOSE(CONTROL!$C$21, $C$9, 100%, $E$9)</f>
        <v>6.4953000000000003</v>
      </c>
      <c r="J96" s="14">
        <f>CHOOSE(CONTROL!$C$42, 6.4696, 6.4696)* CHOOSE(CONTROL!$C$21, $C$9, 100%, $E$9)</f>
        <v>6.4695999999999998</v>
      </c>
      <c r="K96" s="52">
        <f>CHOOSE(CONTROL!$C$42, 6.4914, 6.4914) * CHOOSE(CONTROL!$C$21, $C$9, 100%, $E$9)</f>
        <v>6.4913999999999996</v>
      </c>
      <c r="L96" s="14">
        <f>CHOOSE(CONTROL!$C$42, 7.1232, 7.1232) * CHOOSE(CONTROL!$C$21, $C$9, 100%, $E$9)</f>
        <v>7.1231999999999998</v>
      </c>
      <c r="M96" s="14">
        <f>CHOOSE(CONTROL!$C$42, 6.3447, 6.3447) * CHOOSE(CONTROL!$C$21, $C$9, 100%, $E$9)</f>
        <v>6.3446999999999996</v>
      </c>
      <c r="N96" s="14">
        <f>CHOOSE(CONTROL!$C$42, 6.3624, 6.3624) * CHOOSE(CONTROL!$C$21, $C$9, 100%, $E$9)</f>
        <v>6.3624000000000001</v>
      </c>
      <c r="O96" s="14">
        <f>CHOOSE(CONTROL!$C$42, 6.4099, 6.4099) * CHOOSE(CONTROL!$C$21, $C$9, 100%, $E$9)</f>
        <v>6.4099000000000004</v>
      </c>
      <c r="P96" s="14">
        <f>CHOOSE(CONTROL!$C$42, 6.3696, 6.3696) * CHOOSE(CONTROL!$C$21, $C$9, 100%, $E$9)</f>
        <v>6.3696000000000002</v>
      </c>
      <c r="Q96" s="14">
        <f>CHOOSE(CONTROL!$C$42, 7.0046, 7.0046) * CHOOSE(CONTROL!$C$21, $C$9, 100%, $E$9)</f>
        <v>7.0045999999999999</v>
      </c>
      <c r="R96" s="14">
        <f>CHOOSE(CONTROL!$C$42, 7.6091, 7.6091) * CHOOSE(CONTROL!$C$21, $C$9, 100%, $E$9)</f>
        <v>7.6090999999999998</v>
      </c>
      <c r="S96" s="14">
        <f>CHOOSE(CONTROL!$C$42, 6.1785, 6.1785) * CHOOSE(CONTROL!$C$21, $C$9, 100%, $E$9)</f>
        <v>6.1784999999999997</v>
      </c>
      <c r="T9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56">
        <f>(1000*CHOOSE(CONTROL!$C$42, 695, 695)*CHOOSE(CONTROL!$C$42, 0.5599, 0.5599)*CHOOSE(CONTROL!$C$42, 31, 31))/1000000</f>
        <v>12.063045499999998</v>
      </c>
      <c r="V96" s="56">
        <f>(1000*CHOOSE(CONTROL!$C$42, 500, 500)*CHOOSE(CONTROL!$C$42, 0.275, 0.275)*CHOOSE(CONTROL!$C$42, 31, 31))/1000000</f>
        <v>4.2625000000000002</v>
      </c>
      <c r="W96" s="56">
        <f>(1000*CHOOSE(CONTROL!$C$42, 0.1146, 0.1146)*CHOOSE(CONTROL!$C$42, 121.5, 121.5)*CHOOSE(CONTROL!$C$42, 31, 31))/1000000</f>
        <v>0.43164089999999994</v>
      </c>
      <c r="X96" s="56">
        <f>(31*0.1790888*100000/1000000)+(31*0.2374*100000/1000000)</f>
        <v>1.2911152800000001</v>
      </c>
      <c r="Y96" s="56"/>
      <c r="Z96" s="14"/>
      <c r="AA96" s="55"/>
      <c r="AB96" s="49">
        <f>(B96*122.58+C96*297.941+D96*89.177+E96*40.302+F96*40+G96*160+H96*0+I96*100+J96*300)/(122.58+297.941+89.177+40.302+0+40+160+100+300)</f>
        <v>6.4716594757391306</v>
      </c>
      <c r="AC96" s="44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6.378852517985611</v>
      </c>
    </row>
    <row r="97" spans="1:29" ht="15.75" x14ac:dyDescent="0.25">
      <c r="A97" s="13">
        <v>43831</v>
      </c>
      <c r="B97" s="14">
        <f>CHOOSE(CONTROL!$C$42, 7.1197, 7.1197) * CHOOSE(CONTROL!$C$21, $C$9, 100%, $E$9)</f>
        <v>7.1196999999999999</v>
      </c>
      <c r="C97" s="14">
        <f>CHOOSE(CONTROL!$C$42, 7.1248, 7.1248) * CHOOSE(CONTROL!$C$21, $C$9, 100%, $E$9)</f>
        <v>7.1247999999999996</v>
      </c>
      <c r="D97" s="14">
        <f>CHOOSE(CONTROL!$C$42, 7.2042, 7.2042) * CHOOSE(CONTROL!$C$21, $C$9, 100%, $E$9)</f>
        <v>7.2042000000000002</v>
      </c>
      <c r="E97" s="14">
        <f>CHOOSE(CONTROL!$C$42, 7.2383, 7.2383) * CHOOSE(CONTROL!$C$21, $C$9, 100%, $E$9)</f>
        <v>7.2382999999999997</v>
      </c>
      <c r="F97" s="14">
        <f>CHOOSE(CONTROL!$C$42, 7.1428, 7.1428)*CHOOSE(CONTROL!$C$21, $C$9, 100%, $E$9)</f>
        <v>7.1428000000000003</v>
      </c>
      <c r="G97" s="14">
        <f>CHOOSE(CONTROL!$C$42, 7.1603, 7.1603)*CHOOSE(CONTROL!$C$21, $C$9, 100%, $E$9)</f>
        <v>7.1603000000000003</v>
      </c>
      <c r="H97" s="14">
        <f>CHOOSE(CONTROL!$C$42, 7.2275, 7.2275) * CHOOSE(CONTROL!$C$21, $C$9, 100%, $E$9)</f>
        <v>7.2275</v>
      </c>
      <c r="I97" s="14">
        <f>CHOOSE(CONTROL!$C$42, 7.1773, 7.1773)* CHOOSE(CONTROL!$C$21, $C$9, 100%, $E$9)</f>
        <v>7.1772999999999998</v>
      </c>
      <c r="J97" s="14">
        <f>CHOOSE(CONTROL!$C$42, 7.1358, 7.1358)* CHOOSE(CONTROL!$C$21, $C$9, 100%, $E$9)</f>
        <v>7.1357999999999997</v>
      </c>
      <c r="K97" s="52">
        <f>CHOOSE(CONTROL!$C$42, 7.1734, 7.1734) * CHOOSE(CONTROL!$C$21, $C$9, 100%, $E$9)</f>
        <v>7.1734</v>
      </c>
      <c r="L97" s="14">
        <f>CHOOSE(CONTROL!$C$42, 7.8145, 7.8145) * CHOOSE(CONTROL!$C$21, $C$9, 100%, $E$9)</f>
        <v>7.8144999999999998</v>
      </c>
      <c r="M97" s="14">
        <f>CHOOSE(CONTROL!$C$42, 6.9972, 6.9972) * CHOOSE(CONTROL!$C$21, $C$9, 100%, $E$9)</f>
        <v>6.9972000000000003</v>
      </c>
      <c r="N97" s="14">
        <f>CHOOSE(CONTROL!$C$42, 7.0144, 7.0144) * CHOOSE(CONTROL!$C$21, $C$9, 100%, $E$9)</f>
        <v>7.0144000000000002</v>
      </c>
      <c r="O97" s="14">
        <f>CHOOSE(CONTROL!$C$42, 7.0871, 7.0871) * CHOOSE(CONTROL!$C$21, $C$9, 100%, $E$9)</f>
        <v>7.0871000000000004</v>
      </c>
      <c r="P97" s="14">
        <f>CHOOSE(CONTROL!$C$42, 7.0376, 7.0376) * CHOOSE(CONTROL!$C$21, $C$9, 100%, $E$9)</f>
        <v>7.0376000000000003</v>
      </c>
      <c r="Q97" s="14">
        <f>CHOOSE(CONTROL!$C$42, 7.6818, 7.6818) * CHOOSE(CONTROL!$C$21, $C$9, 100%, $E$9)</f>
        <v>7.6818</v>
      </c>
      <c r="R97" s="14">
        <f>CHOOSE(CONTROL!$C$42, 8.288, 8.288) * CHOOSE(CONTROL!$C$21, $C$9, 100%, $E$9)</f>
        <v>8.2880000000000003</v>
      </c>
      <c r="S97" s="14">
        <f>CHOOSE(CONTROL!$C$42, 6.8328, 6.8328) * CHOOSE(CONTROL!$C$21, $C$9, 100%, $E$9)</f>
        <v>6.8327999999999998</v>
      </c>
      <c r="T9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56">
        <f>(1000*CHOOSE(CONTROL!$C$42, 695, 695)*CHOOSE(CONTROL!$C$42, 0.5599, 0.5599)*CHOOSE(CONTROL!$C$42, 31, 31))/1000000</f>
        <v>12.063045499999998</v>
      </c>
      <c r="V97" s="56">
        <f>(1000*CHOOSE(CONTROL!$C$42, 500, 500)*CHOOSE(CONTROL!$C$42, 0.275, 0.275)*CHOOSE(CONTROL!$C$42, 31, 31))/1000000</f>
        <v>4.2625000000000002</v>
      </c>
      <c r="W97" s="56">
        <f>(1000*CHOOSE(CONTROL!$C$42, 0.1146, 0.1146)*CHOOSE(CONTROL!$C$42, 121.5, 121.5)*CHOOSE(CONTROL!$C$42, 31, 31))/1000000</f>
        <v>0.43164089999999994</v>
      </c>
      <c r="X97" s="56">
        <f>(31*0.1790888*100000/1000000)+(31*0.2374*100000/1000000)</f>
        <v>1.2911152800000001</v>
      </c>
      <c r="Y97" s="56"/>
      <c r="Z97" s="14"/>
      <c r="AA97" s="55"/>
      <c r="AB97" s="49">
        <f>(B97*122.58+C97*297.941+D97*89.177+E97*40.302+F97*40+G97*160+H97*0+I97*100+J97*300)/(122.58+297.941+89.177+40.302+0+40+160+100+300)</f>
        <v>7.1473911067826084</v>
      </c>
      <c r="AC97" s="44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7.0447489208633103</v>
      </c>
    </row>
    <row r="98" spans="1:29" ht="15.75" x14ac:dyDescent="0.25">
      <c r="A98" s="13">
        <v>43862</v>
      </c>
      <c r="B98" s="14">
        <f>CHOOSE(CONTROL!$C$42, 7.2612, 7.2612) * CHOOSE(CONTROL!$C$21, $C$9, 100%, $E$9)</f>
        <v>7.2611999999999997</v>
      </c>
      <c r="C98" s="14">
        <f>CHOOSE(CONTROL!$C$42, 7.2663, 7.2663) * CHOOSE(CONTROL!$C$21, $C$9, 100%, $E$9)</f>
        <v>7.2663000000000002</v>
      </c>
      <c r="D98" s="14">
        <f>CHOOSE(CONTROL!$C$42, 7.3457, 7.3457) * CHOOSE(CONTROL!$C$21, $C$9, 100%, $E$9)</f>
        <v>7.3456999999999999</v>
      </c>
      <c r="E98" s="14">
        <f>CHOOSE(CONTROL!$C$42, 7.3798, 7.3798) * CHOOSE(CONTROL!$C$21, $C$9, 100%, $E$9)</f>
        <v>7.3798000000000004</v>
      </c>
      <c r="F98" s="14">
        <f>CHOOSE(CONTROL!$C$42, 7.284, 7.284)*CHOOSE(CONTROL!$C$21, $C$9, 100%, $E$9)</f>
        <v>7.2839999999999998</v>
      </c>
      <c r="G98" s="14">
        <f>CHOOSE(CONTROL!$C$42, 7.3014, 7.3014)*CHOOSE(CONTROL!$C$21, $C$9, 100%, $E$9)</f>
        <v>7.3014000000000001</v>
      </c>
      <c r="H98" s="14">
        <f>CHOOSE(CONTROL!$C$42, 7.369, 7.369) * CHOOSE(CONTROL!$C$21, $C$9, 100%, $E$9)</f>
        <v>7.3689999999999998</v>
      </c>
      <c r="I98" s="14">
        <f>CHOOSE(CONTROL!$C$42, 7.3192, 7.3192)* CHOOSE(CONTROL!$C$21, $C$9, 100%, $E$9)</f>
        <v>7.3192000000000004</v>
      </c>
      <c r="J98" s="14">
        <f>CHOOSE(CONTROL!$C$42, 7.277, 7.277)* CHOOSE(CONTROL!$C$21, $C$9, 100%, $E$9)</f>
        <v>7.2770000000000001</v>
      </c>
      <c r="K98" s="52">
        <f>CHOOSE(CONTROL!$C$42, 7.3153, 7.3153) * CHOOSE(CONTROL!$C$21, $C$9, 100%, $E$9)</f>
        <v>7.3152999999999997</v>
      </c>
      <c r="L98" s="14">
        <f>CHOOSE(CONTROL!$C$42, 7.956, 7.956) * CHOOSE(CONTROL!$C$21, $C$9, 100%, $E$9)</f>
        <v>7.9560000000000004</v>
      </c>
      <c r="M98" s="14">
        <f>CHOOSE(CONTROL!$C$42, 7.1356, 7.1356) * CHOOSE(CONTROL!$C$21, $C$9, 100%, $E$9)</f>
        <v>7.1356000000000002</v>
      </c>
      <c r="N98" s="14">
        <f>CHOOSE(CONTROL!$C$42, 7.1527, 7.1527) * CHOOSE(CONTROL!$C$21, $C$9, 100%, $E$9)</f>
        <v>7.1527000000000003</v>
      </c>
      <c r="O98" s="14">
        <f>CHOOSE(CONTROL!$C$42, 7.2257, 7.2257) * CHOOSE(CONTROL!$C$21, $C$9, 100%, $E$9)</f>
        <v>7.2256999999999998</v>
      </c>
      <c r="P98" s="14">
        <f>CHOOSE(CONTROL!$C$42, 7.1766, 7.1766) * CHOOSE(CONTROL!$C$21, $C$9, 100%, $E$9)</f>
        <v>7.1765999999999996</v>
      </c>
      <c r="Q98" s="14">
        <f>CHOOSE(CONTROL!$C$42, 7.8204, 7.8204) * CHOOSE(CONTROL!$C$21, $C$9, 100%, $E$9)</f>
        <v>7.8204000000000002</v>
      </c>
      <c r="R98" s="14">
        <f>CHOOSE(CONTROL!$C$42, 8.427, 8.427) * CHOOSE(CONTROL!$C$21, $C$9, 100%, $E$9)</f>
        <v>8.4269999999999996</v>
      </c>
      <c r="S98" s="14">
        <f>CHOOSE(CONTROL!$C$42, 6.9688, 6.9688) * CHOOSE(CONTROL!$C$21, $C$9, 100%, $E$9)</f>
        <v>6.9687999999999999</v>
      </c>
      <c r="T98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8" s="56">
        <f>(1000*CHOOSE(CONTROL!$C$42, 695, 695)*CHOOSE(CONTROL!$C$42, 0.5599, 0.5599)*CHOOSE(CONTROL!$C$42, 29, 29))/1000000</f>
        <v>11.284784499999999</v>
      </c>
      <c r="V98" s="56">
        <f>(1000*CHOOSE(CONTROL!$C$42, 500, 500)*CHOOSE(CONTROL!$C$42, 0.275, 0.275)*CHOOSE(CONTROL!$C$42, 29, 29))/1000000</f>
        <v>3.9874999999999998</v>
      </c>
      <c r="W98" s="56">
        <f>(1000*CHOOSE(CONTROL!$C$42, 0.1146, 0.1146)*CHOOSE(CONTROL!$C$42, 121.5, 121.5)*CHOOSE(CONTROL!$C$42, 29, 29))/1000000</f>
        <v>0.40379309999999996</v>
      </c>
      <c r="X98" s="56">
        <f>(29*0.1790888*100000/1000000)+(29*0.2374*100000/1000000)</f>
        <v>1.2078175199999999</v>
      </c>
      <c r="Y98" s="56"/>
      <c r="Z98" s="14"/>
      <c r="AA98" s="55"/>
      <c r="AB98" s="49">
        <f>(B98*122.58+C98*297.941+D98*89.177+E98*40.302+F98*40+G98*160+H98*0+I98*100+J98*300)/(122.58+297.941+89.177+40.302+0+40+160+100+300)</f>
        <v>7.2887815415652177</v>
      </c>
      <c r="AC98" s="44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7.1833201438848908</v>
      </c>
    </row>
    <row r="99" spans="1:29" ht="15.75" x14ac:dyDescent="0.25">
      <c r="A99" s="13">
        <v>43891</v>
      </c>
      <c r="B99" s="14">
        <f>CHOOSE(CONTROL!$C$42, 7.0698, 7.0698) * CHOOSE(CONTROL!$C$21, $C$9, 100%, $E$9)</f>
        <v>7.0697999999999999</v>
      </c>
      <c r="C99" s="14">
        <f>CHOOSE(CONTROL!$C$42, 7.0749, 7.0749) * CHOOSE(CONTROL!$C$21, $C$9, 100%, $E$9)</f>
        <v>7.0749000000000004</v>
      </c>
      <c r="D99" s="14">
        <f>CHOOSE(CONTROL!$C$42, 7.1543, 7.1543) * CHOOSE(CONTROL!$C$21, $C$9, 100%, $E$9)</f>
        <v>7.1543000000000001</v>
      </c>
      <c r="E99" s="14">
        <f>CHOOSE(CONTROL!$C$42, 7.1884, 7.1884) * CHOOSE(CONTROL!$C$21, $C$9, 100%, $E$9)</f>
        <v>7.1883999999999997</v>
      </c>
      <c r="F99" s="14">
        <f>CHOOSE(CONTROL!$C$42, 7.0919, 7.0919)*CHOOSE(CONTROL!$C$21, $C$9, 100%, $E$9)</f>
        <v>7.0918999999999999</v>
      </c>
      <c r="G99" s="14">
        <f>CHOOSE(CONTROL!$C$42, 7.1092, 7.1092)*CHOOSE(CONTROL!$C$21, $C$9, 100%, $E$9)</f>
        <v>7.1092000000000004</v>
      </c>
      <c r="H99" s="14">
        <f>CHOOSE(CONTROL!$C$42, 7.1776, 7.1776) * CHOOSE(CONTROL!$C$21, $C$9, 100%, $E$9)</f>
        <v>7.1776</v>
      </c>
      <c r="I99" s="14">
        <f>CHOOSE(CONTROL!$C$42, 7.1273, 7.1273)* CHOOSE(CONTROL!$C$21, $C$9, 100%, $E$9)</f>
        <v>7.1273</v>
      </c>
      <c r="J99" s="14">
        <f>CHOOSE(CONTROL!$C$42, 7.0849, 7.0849)* CHOOSE(CONTROL!$C$21, $C$9, 100%, $E$9)</f>
        <v>7.0849000000000002</v>
      </c>
      <c r="K99" s="52">
        <f>CHOOSE(CONTROL!$C$42, 7.1234, 7.1234) * CHOOSE(CONTROL!$C$21, $C$9, 100%, $E$9)</f>
        <v>7.1234000000000002</v>
      </c>
      <c r="L99" s="14">
        <f>CHOOSE(CONTROL!$C$42, 7.7646, 7.7646) * CHOOSE(CONTROL!$C$21, $C$9, 100%, $E$9)</f>
        <v>7.7645999999999997</v>
      </c>
      <c r="M99" s="14">
        <f>CHOOSE(CONTROL!$C$42, 6.9474, 6.9474) * CHOOSE(CONTROL!$C$21, $C$9, 100%, $E$9)</f>
        <v>6.9474</v>
      </c>
      <c r="N99" s="14">
        <f>CHOOSE(CONTROL!$C$42, 6.9643, 6.9643) * CHOOSE(CONTROL!$C$21, $C$9, 100%, $E$9)</f>
        <v>6.9642999999999997</v>
      </c>
      <c r="O99" s="14">
        <f>CHOOSE(CONTROL!$C$42, 7.0383, 7.0383) * CHOOSE(CONTROL!$C$21, $C$9, 100%, $E$9)</f>
        <v>7.0382999999999996</v>
      </c>
      <c r="P99" s="14">
        <f>CHOOSE(CONTROL!$C$42, 6.9886, 6.9886) * CHOOSE(CONTROL!$C$21, $C$9, 100%, $E$9)</f>
        <v>6.9885999999999999</v>
      </c>
      <c r="Q99" s="14">
        <f>CHOOSE(CONTROL!$C$42, 7.633, 7.633) * CHOOSE(CONTROL!$C$21, $C$9, 100%, $E$9)</f>
        <v>7.633</v>
      </c>
      <c r="R99" s="14">
        <f>CHOOSE(CONTROL!$C$42, 8.239, 8.239) * CHOOSE(CONTROL!$C$21, $C$9, 100%, $E$9)</f>
        <v>8.2390000000000008</v>
      </c>
      <c r="S99" s="14">
        <f>CHOOSE(CONTROL!$C$42, 6.7849, 6.7849) * CHOOSE(CONTROL!$C$21, $C$9, 100%, $E$9)</f>
        <v>6.7849000000000004</v>
      </c>
      <c r="T9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56">
        <f>(1000*CHOOSE(CONTROL!$C$42, 695, 695)*CHOOSE(CONTROL!$C$42, 0.5599, 0.5599)*CHOOSE(CONTROL!$C$42, 31, 31))/1000000</f>
        <v>12.063045499999998</v>
      </c>
      <c r="V99" s="56">
        <f>(1000*CHOOSE(CONTROL!$C$42, 500, 500)*CHOOSE(CONTROL!$C$42, 0.275, 0.275)*CHOOSE(CONTROL!$C$42, 31, 31))/1000000</f>
        <v>4.2625000000000002</v>
      </c>
      <c r="W99" s="56">
        <f>(1000*CHOOSE(CONTROL!$C$42, 0.1146, 0.1146)*CHOOSE(CONTROL!$C$42, 121.5, 121.5)*CHOOSE(CONTROL!$C$42, 31, 31))/1000000</f>
        <v>0.43164089999999994</v>
      </c>
      <c r="X99" s="56">
        <f>(31*0.1790888*100000/1000000)+(31*0.2374*100000/1000000)</f>
        <v>1.2911152800000001</v>
      </c>
      <c r="Y99" s="56"/>
      <c r="Z99" s="14"/>
      <c r="AA99" s="55"/>
      <c r="AB99" s="49">
        <f>(B99*122.58+C99*297.941+D99*89.177+E99*40.302+F99*40+G99*160+H99*0+I99*100+J99*300)/(122.58+297.941+89.177+40.302+0+40+160+100+300)</f>
        <v>7.0970198024347839</v>
      </c>
      <c r="AC99" s="44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6.9954999999999989</v>
      </c>
    </row>
    <row r="100" spans="1:29" ht="15.75" x14ac:dyDescent="0.25">
      <c r="A100" s="13">
        <v>43922</v>
      </c>
      <c r="B100" s="14">
        <f>CHOOSE(CONTROL!$C$42, 7.0642, 7.0642) * CHOOSE(CONTROL!$C$21, $C$9, 100%, $E$9)</f>
        <v>7.0641999999999996</v>
      </c>
      <c r="C100" s="14">
        <f>CHOOSE(CONTROL!$C$42, 7.0687, 7.0687) * CHOOSE(CONTROL!$C$21, $C$9, 100%, $E$9)</f>
        <v>7.0686999999999998</v>
      </c>
      <c r="D100" s="14">
        <f>CHOOSE(CONTROL!$C$42, 7.2976, 7.2976) * CHOOSE(CONTROL!$C$21, $C$9, 100%, $E$9)</f>
        <v>7.2976000000000001</v>
      </c>
      <c r="E100" s="14">
        <f>CHOOSE(CONTROL!$C$42, 7.3297, 7.3297) * CHOOSE(CONTROL!$C$21, $C$9, 100%, $E$9)</f>
        <v>7.3296999999999999</v>
      </c>
      <c r="F100" s="14">
        <f>CHOOSE(CONTROL!$C$42, 7.0912, 7.0912)*CHOOSE(CONTROL!$C$21, $C$9, 100%, $E$9)</f>
        <v>7.0911999999999997</v>
      </c>
      <c r="G100" s="14">
        <f>CHOOSE(CONTROL!$C$42, 7.1079, 7.1079)*CHOOSE(CONTROL!$C$21, $C$9, 100%, $E$9)</f>
        <v>7.1078999999999999</v>
      </c>
      <c r="H100" s="14">
        <f>CHOOSE(CONTROL!$C$42, 7.3195, 7.3195) * CHOOSE(CONTROL!$C$21, $C$9, 100%, $E$9)</f>
        <v>7.3194999999999997</v>
      </c>
      <c r="I100" s="14">
        <f>CHOOSE(CONTROL!$C$42, 7.1193, 7.1193)* CHOOSE(CONTROL!$C$21, $C$9, 100%, $E$9)</f>
        <v>7.1193</v>
      </c>
      <c r="J100" s="14">
        <f>CHOOSE(CONTROL!$C$42, 7.0842, 7.0842)* CHOOSE(CONTROL!$C$21, $C$9, 100%, $E$9)</f>
        <v>7.0842000000000001</v>
      </c>
      <c r="K100" s="52">
        <f>CHOOSE(CONTROL!$C$42, 7.1154, 7.1154) * CHOOSE(CONTROL!$C$21, $C$9, 100%, $E$9)</f>
        <v>7.1154000000000002</v>
      </c>
      <c r="L100" s="14">
        <f>CHOOSE(CONTROL!$C$42, 7.9065, 7.9065) * CHOOSE(CONTROL!$C$21, $C$9, 100%, $E$9)</f>
        <v>7.9065000000000003</v>
      </c>
      <c r="M100" s="14">
        <f>CHOOSE(CONTROL!$C$42, 6.9468, 6.9468) * CHOOSE(CONTROL!$C$21, $C$9, 100%, $E$9)</f>
        <v>6.9467999999999996</v>
      </c>
      <c r="N100" s="14">
        <f>CHOOSE(CONTROL!$C$42, 6.9631, 6.9631) * CHOOSE(CONTROL!$C$21, $C$9, 100%, $E$9)</f>
        <v>6.9630999999999998</v>
      </c>
      <c r="O100" s="14">
        <f>CHOOSE(CONTROL!$C$42, 7.1772, 7.1772) * CHOOSE(CONTROL!$C$21, $C$9, 100%, $E$9)</f>
        <v>7.1772</v>
      </c>
      <c r="P100" s="14">
        <f>CHOOSE(CONTROL!$C$42, 6.9807, 6.9807) * CHOOSE(CONTROL!$C$21, $C$9, 100%, $E$9)</f>
        <v>6.9806999999999997</v>
      </c>
      <c r="Q100" s="14">
        <f>CHOOSE(CONTROL!$C$42, 7.7719, 7.7719) * CHOOSE(CONTROL!$C$21, $C$9, 100%, $E$9)</f>
        <v>7.7718999999999996</v>
      </c>
      <c r="R100" s="14">
        <f>CHOOSE(CONTROL!$C$42, 8.3784, 8.3784) * CHOOSE(CONTROL!$C$21, $C$9, 100%, $E$9)</f>
        <v>8.3783999999999992</v>
      </c>
      <c r="S100" s="14">
        <f>CHOOSE(CONTROL!$C$42, 6.7787, 6.7787) * CHOOSE(CONTROL!$C$21, $C$9, 100%, $E$9)</f>
        <v>6.7786999999999997</v>
      </c>
      <c r="T10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56">
        <f>(1000*CHOOSE(CONTROL!$C$42, 695, 695)*CHOOSE(CONTROL!$C$42, 0.5599, 0.5599)*CHOOSE(CONTROL!$C$42, 30, 30))/1000000</f>
        <v>11.673914999999997</v>
      </c>
      <c r="V100" s="56">
        <f>(1000*CHOOSE(CONTROL!$C$42, 500, 500)*CHOOSE(CONTROL!$C$42, 0.275, 0.275)*CHOOSE(CONTROL!$C$42, 30, 30))/1000000</f>
        <v>4.125</v>
      </c>
      <c r="W100" s="56">
        <f>(1000*CHOOSE(CONTROL!$C$42, 0.1146, 0.1146)*CHOOSE(CONTROL!$C$42, 121.5, 121.5)*CHOOSE(CONTROL!$C$42, 30, 30))/1000000</f>
        <v>0.417717</v>
      </c>
      <c r="X100" s="56">
        <f>(30*0.1790888*245000/1000000)+(30*0.2374*100000/1000000)</f>
        <v>2.0285026799999999</v>
      </c>
      <c r="Y100" s="56"/>
      <c r="Z100" s="14"/>
      <c r="AA100" s="55"/>
      <c r="AB100" s="49">
        <f>(B100*141.293+C100*267.993+D100*115.016+E100*89.698+F100*40+G100*185+H100*0+I100*100+J100*300)/(141.293+267.993+115.016+89.698+0+40+185+100+300)</f>
        <v>7.1227472331719124</v>
      </c>
      <c r="AC100" s="44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7.0200748201438836</v>
      </c>
    </row>
    <row r="101" spans="1:29" ht="15.75" x14ac:dyDescent="0.25">
      <c r="A101" s="13">
        <v>43952</v>
      </c>
      <c r="B101" s="14">
        <f>CHOOSE(CONTROL!$C$42, 7.1425, 7.1425) * CHOOSE(CONTROL!$C$21, $C$9, 100%, $E$9)</f>
        <v>7.1425000000000001</v>
      </c>
      <c r="C101" s="14">
        <f>CHOOSE(CONTROL!$C$42, 7.1505, 7.1505) * CHOOSE(CONTROL!$C$21, $C$9, 100%, $E$9)</f>
        <v>7.1505000000000001</v>
      </c>
      <c r="D101" s="14">
        <f>CHOOSE(CONTROL!$C$42, 7.3763, 7.3763) * CHOOSE(CONTROL!$C$21, $C$9, 100%, $E$9)</f>
        <v>7.3762999999999996</v>
      </c>
      <c r="E101" s="14">
        <f>CHOOSE(CONTROL!$C$42, 7.4078, 7.4078) * CHOOSE(CONTROL!$C$21, $C$9, 100%, $E$9)</f>
        <v>7.4077999999999999</v>
      </c>
      <c r="F101" s="14">
        <f>CHOOSE(CONTROL!$C$42, 7.1682, 7.1682)*CHOOSE(CONTROL!$C$21, $C$9, 100%, $E$9)</f>
        <v>7.1681999999999997</v>
      </c>
      <c r="G101" s="14">
        <f>CHOOSE(CONTROL!$C$42, 7.1851, 7.1851)*CHOOSE(CONTROL!$C$21, $C$9, 100%, $E$9)</f>
        <v>7.1851000000000003</v>
      </c>
      <c r="H101" s="14">
        <f>CHOOSE(CONTROL!$C$42, 7.3964, 7.3964) * CHOOSE(CONTROL!$C$21, $C$9, 100%, $E$9)</f>
        <v>7.3963999999999999</v>
      </c>
      <c r="I101" s="14">
        <f>CHOOSE(CONTROL!$C$42, 7.1964, 7.1964)* CHOOSE(CONTROL!$C$21, $C$9, 100%, $E$9)</f>
        <v>7.1963999999999997</v>
      </c>
      <c r="J101" s="14">
        <f>CHOOSE(CONTROL!$C$42, 7.1612, 7.1612)* CHOOSE(CONTROL!$C$21, $C$9, 100%, $E$9)</f>
        <v>7.1612</v>
      </c>
      <c r="K101" s="52">
        <f>CHOOSE(CONTROL!$C$42, 7.1925, 7.1925) * CHOOSE(CONTROL!$C$21, $C$9, 100%, $E$9)</f>
        <v>7.1924999999999999</v>
      </c>
      <c r="L101" s="14">
        <f>CHOOSE(CONTROL!$C$42, 7.9834, 7.9834) * CHOOSE(CONTROL!$C$21, $C$9, 100%, $E$9)</f>
        <v>7.9833999999999996</v>
      </c>
      <c r="M101" s="14">
        <f>CHOOSE(CONTROL!$C$42, 7.0221, 7.0221) * CHOOSE(CONTROL!$C$21, $C$9, 100%, $E$9)</f>
        <v>7.0221</v>
      </c>
      <c r="N101" s="14">
        <f>CHOOSE(CONTROL!$C$42, 7.0388, 7.0388) * CHOOSE(CONTROL!$C$21, $C$9, 100%, $E$9)</f>
        <v>7.0388000000000002</v>
      </c>
      <c r="O101" s="14">
        <f>CHOOSE(CONTROL!$C$42, 7.2526, 7.2526) * CHOOSE(CONTROL!$C$21, $C$9, 100%, $E$9)</f>
        <v>7.2526000000000002</v>
      </c>
      <c r="P101" s="14">
        <f>CHOOSE(CONTROL!$C$42, 7.0563, 7.0563) * CHOOSE(CONTROL!$C$21, $C$9, 100%, $E$9)</f>
        <v>7.0563000000000002</v>
      </c>
      <c r="Q101" s="14">
        <f>CHOOSE(CONTROL!$C$42, 7.8473, 7.8473) * CHOOSE(CONTROL!$C$21, $C$9, 100%, $E$9)</f>
        <v>7.8472999999999997</v>
      </c>
      <c r="R101" s="14">
        <f>CHOOSE(CONTROL!$C$42, 8.4539, 8.4539) * CHOOSE(CONTROL!$C$21, $C$9, 100%, $E$9)</f>
        <v>8.4539000000000009</v>
      </c>
      <c r="S101" s="14">
        <f>CHOOSE(CONTROL!$C$42, 6.8526, 6.8526) * CHOOSE(CONTROL!$C$21, $C$9, 100%, $E$9)</f>
        <v>6.8525999999999998</v>
      </c>
      <c r="T10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56">
        <f>(1000*CHOOSE(CONTROL!$C$42, 695, 695)*CHOOSE(CONTROL!$C$42, 0.5599, 0.5599)*CHOOSE(CONTROL!$C$42, 31, 31))/1000000</f>
        <v>12.063045499999998</v>
      </c>
      <c r="V101" s="56">
        <f>(1000*CHOOSE(CONTROL!$C$42, 500, 500)*CHOOSE(CONTROL!$C$42, 0.275, 0.275)*CHOOSE(CONTROL!$C$42, 31, 31))/1000000</f>
        <v>4.2625000000000002</v>
      </c>
      <c r="W101" s="56">
        <f>(1000*CHOOSE(CONTROL!$C$42, 0.1146, 0.1146)*CHOOSE(CONTROL!$C$42, 121.5, 121.5)*CHOOSE(CONTROL!$C$42, 31, 31))/1000000</f>
        <v>0.43164089999999994</v>
      </c>
      <c r="X101" s="56">
        <f>(31*0.1790888*245000/1000000)+(31*0.2374*100000/1000000)</f>
        <v>2.0961194359999999</v>
      </c>
      <c r="Y101" s="56"/>
      <c r="Z101" s="14"/>
      <c r="AA101" s="55"/>
      <c r="AB101" s="49">
        <f>(B101*194.205+C101*267.466+D101*133.845+E101*53.484+F101*40+G101*185+H101*0+I101*100+J101*300)/(194.205+267.466+133.845+53.484+0+40+185+100+300)</f>
        <v>7.1955070598116171</v>
      </c>
      <c r="AC101" s="44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7.0955381294964033</v>
      </c>
    </row>
    <row r="102" spans="1:29" ht="15.75" x14ac:dyDescent="0.25">
      <c r="A102" s="13">
        <v>43983</v>
      </c>
      <c r="B102" s="14">
        <f>CHOOSE(CONTROL!$C$42, 7.3599, 7.3599) * CHOOSE(CONTROL!$C$21, $C$9, 100%, $E$9)</f>
        <v>7.3598999999999997</v>
      </c>
      <c r="C102" s="14">
        <f>CHOOSE(CONTROL!$C$42, 7.3679, 7.3679) * CHOOSE(CONTROL!$C$21, $C$9, 100%, $E$9)</f>
        <v>7.3678999999999997</v>
      </c>
      <c r="D102" s="14">
        <f>CHOOSE(CONTROL!$C$42, 7.5937, 7.5937) * CHOOSE(CONTROL!$C$21, $C$9, 100%, $E$9)</f>
        <v>7.5937000000000001</v>
      </c>
      <c r="E102" s="14">
        <f>CHOOSE(CONTROL!$C$42, 7.6252, 7.6252) * CHOOSE(CONTROL!$C$21, $C$9, 100%, $E$9)</f>
        <v>7.6252000000000004</v>
      </c>
      <c r="F102" s="14">
        <f>CHOOSE(CONTROL!$C$42, 7.386, 7.386)*CHOOSE(CONTROL!$C$21, $C$9, 100%, $E$9)</f>
        <v>7.3860000000000001</v>
      </c>
      <c r="G102" s="14">
        <f>CHOOSE(CONTROL!$C$42, 7.4031, 7.4031)*CHOOSE(CONTROL!$C$21, $C$9, 100%, $E$9)</f>
        <v>7.4031000000000002</v>
      </c>
      <c r="H102" s="14">
        <f>CHOOSE(CONTROL!$C$42, 7.6138, 7.6138) * CHOOSE(CONTROL!$C$21, $C$9, 100%, $E$9)</f>
        <v>7.6138000000000003</v>
      </c>
      <c r="I102" s="14">
        <f>CHOOSE(CONTROL!$C$42, 7.4145, 7.4145)* CHOOSE(CONTROL!$C$21, $C$9, 100%, $E$9)</f>
        <v>7.4145000000000003</v>
      </c>
      <c r="J102" s="14">
        <f>CHOOSE(CONTROL!$C$42, 7.379, 7.379)* CHOOSE(CONTROL!$C$21, $C$9, 100%, $E$9)</f>
        <v>7.3789999999999996</v>
      </c>
      <c r="K102" s="52">
        <f>CHOOSE(CONTROL!$C$42, 7.4106, 7.4106) * CHOOSE(CONTROL!$C$21, $C$9, 100%, $E$9)</f>
        <v>7.4105999999999996</v>
      </c>
      <c r="L102" s="14">
        <f>CHOOSE(CONTROL!$C$42, 8.2008, 8.2008) * CHOOSE(CONTROL!$C$21, $C$9, 100%, $E$9)</f>
        <v>8.2007999999999992</v>
      </c>
      <c r="M102" s="14">
        <f>CHOOSE(CONTROL!$C$42, 7.2355, 7.2355) * CHOOSE(CONTROL!$C$21, $C$9, 100%, $E$9)</f>
        <v>7.2355</v>
      </c>
      <c r="N102" s="14">
        <f>CHOOSE(CONTROL!$C$42, 7.2522, 7.2522) * CHOOSE(CONTROL!$C$21, $C$9, 100%, $E$9)</f>
        <v>7.2522000000000002</v>
      </c>
      <c r="O102" s="14">
        <f>CHOOSE(CONTROL!$C$42, 7.4655, 7.4655) * CHOOSE(CONTROL!$C$21, $C$9, 100%, $E$9)</f>
        <v>7.4654999999999996</v>
      </c>
      <c r="P102" s="14">
        <f>CHOOSE(CONTROL!$C$42, 7.2699, 7.2699) * CHOOSE(CONTROL!$C$21, $C$9, 100%, $E$9)</f>
        <v>7.2698999999999998</v>
      </c>
      <c r="Q102" s="14">
        <f>CHOOSE(CONTROL!$C$42, 8.0602, 8.0602) * CHOOSE(CONTROL!$C$21, $C$9, 100%, $E$9)</f>
        <v>8.0602</v>
      </c>
      <c r="R102" s="14">
        <f>CHOOSE(CONTROL!$C$42, 8.6673, 8.6673) * CHOOSE(CONTROL!$C$21, $C$9, 100%, $E$9)</f>
        <v>8.6672999999999991</v>
      </c>
      <c r="S102" s="14">
        <f>CHOOSE(CONTROL!$C$42, 7.0615, 7.0615) * CHOOSE(CONTROL!$C$21, $C$9, 100%, $E$9)</f>
        <v>7.0614999999999997</v>
      </c>
      <c r="T10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56">
        <f>(1000*CHOOSE(CONTROL!$C$42, 695, 695)*CHOOSE(CONTROL!$C$42, 0.5599, 0.5599)*CHOOSE(CONTROL!$C$42, 30, 30))/1000000</f>
        <v>11.673914999999997</v>
      </c>
      <c r="V102" s="56">
        <f>(1000*CHOOSE(CONTROL!$C$42, 500, 500)*CHOOSE(CONTROL!$C$42, 0.275, 0.275)*CHOOSE(CONTROL!$C$42, 30, 30))/1000000</f>
        <v>4.125</v>
      </c>
      <c r="W102" s="56">
        <f>(1000*CHOOSE(CONTROL!$C$42, 0.1146, 0.1146)*CHOOSE(CONTROL!$C$42, 121.5, 121.5)*CHOOSE(CONTROL!$C$42, 30, 30))/1000000</f>
        <v>0.417717</v>
      </c>
      <c r="X102" s="56">
        <f>(30*0.1790888*245000/1000000)+(30*0.2374*100000/1000000)</f>
        <v>2.0285026799999999</v>
      </c>
      <c r="Y102" s="56"/>
      <c r="Z102" s="14"/>
      <c r="AA102" s="55"/>
      <c r="AB102" s="49">
        <f>(B102*194.205+C102*267.466+D102*133.845+E102*53.484+F102*40+G102*185+H102*0+I102*100+J102*300)/(194.205+267.466+133.845+53.484+0+40+185+100+300)</f>
        <v>7.4131558824175823</v>
      </c>
      <c r="AC102" s="44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7.3088266187050364</v>
      </c>
    </row>
    <row r="103" spans="1:29" ht="15.75" x14ac:dyDescent="0.25">
      <c r="A103" s="13">
        <v>44013</v>
      </c>
      <c r="B103" s="14">
        <f>CHOOSE(CONTROL!$C$42, 7.2338, 7.2338) * CHOOSE(CONTROL!$C$21, $C$9, 100%, $E$9)</f>
        <v>7.2337999999999996</v>
      </c>
      <c r="C103" s="14">
        <f>CHOOSE(CONTROL!$C$42, 7.2418, 7.2418) * CHOOSE(CONTROL!$C$21, $C$9, 100%, $E$9)</f>
        <v>7.2417999999999996</v>
      </c>
      <c r="D103" s="14">
        <f>CHOOSE(CONTROL!$C$42, 7.4676, 7.4676) * CHOOSE(CONTROL!$C$21, $C$9, 100%, $E$9)</f>
        <v>7.4676</v>
      </c>
      <c r="E103" s="14">
        <f>CHOOSE(CONTROL!$C$42, 7.499, 7.499) * CHOOSE(CONTROL!$C$21, $C$9, 100%, $E$9)</f>
        <v>7.4989999999999997</v>
      </c>
      <c r="F103" s="14">
        <f>CHOOSE(CONTROL!$C$42, 7.2603, 7.2603)*CHOOSE(CONTROL!$C$21, $C$9, 100%, $E$9)</f>
        <v>7.2603</v>
      </c>
      <c r="G103" s="14">
        <f>CHOOSE(CONTROL!$C$42, 7.2775, 7.2775)*CHOOSE(CONTROL!$C$21, $C$9, 100%, $E$9)</f>
        <v>7.2774999999999999</v>
      </c>
      <c r="H103" s="14">
        <f>CHOOSE(CONTROL!$C$42, 7.4877, 7.4877) * CHOOSE(CONTROL!$C$21, $C$9, 100%, $E$9)</f>
        <v>7.4877000000000002</v>
      </c>
      <c r="I103" s="14">
        <f>CHOOSE(CONTROL!$C$42, 7.288, 7.288)* CHOOSE(CONTROL!$C$21, $C$9, 100%, $E$9)</f>
        <v>7.2880000000000003</v>
      </c>
      <c r="J103" s="14">
        <f>CHOOSE(CONTROL!$C$42, 7.2533, 7.2533)* CHOOSE(CONTROL!$C$21, $C$9, 100%, $E$9)</f>
        <v>7.2533000000000003</v>
      </c>
      <c r="K103" s="52">
        <f>CHOOSE(CONTROL!$C$42, 7.2841, 7.2841) * CHOOSE(CONTROL!$C$21, $C$9, 100%, $E$9)</f>
        <v>7.2840999999999996</v>
      </c>
      <c r="L103" s="14">
        <f>CHOOSE(CONTROL!$C$42, 8.0747, 8.0747) * CHOOSE(CONTROL!$C$21, $C$9, 100%, $E$9)</f>
        <v>8.0747</v>
      </c>
      <c r="M103" s="14">
        <f>CHOOSE(CONTROL!$C$42, 7.1124, 7.1124) * CHOOSE(CONTROL!$C$21, $C$9, 100%, $E$9)</f>
        <v>7.1124000000000001</v>
      </c>
      <c r="N103" s="14">
        <f>CHOOSE(CONTROL!$C$42, 7.1293, 7.1293) * CHOOSE(CONTROL!$C$21, $C$9, 100%, $E$9)</f>
        <v>7.1292999999999997</v>
      </c>
      <c r="O103" s="14">
        <f>CHOOSE(CONTROL!$C$42, 7.342, 7.342) * CHOOSE(CONTROL!$C$21, $C$9, 100%, $E$9)</f>
        <v>7.3419999999999996</v>
      </c>
      <c r="P103" s="14">
        <f>CHOOSE(CONTROL!$C$42, 7.1459, 7.1459) * CHOOSE(CONTROL!$C$21, $C$9, 100%, $E$9)</f>
        <v>7.1459000000000001</v>
      </c>
      <c r="Q103" s="14">
        <f>CHOOSE(CONTROL!$C$42, 7.9367, 7.9367) * CHOOSE(CONTROL!$C$21, $C$9, 100%, $E$9)</f>
        <v>7.9367000000000001</v>
      </c>
      <c r="R103" s="14">
        <f>CHOOSE(CONTROL!$C$42, 8.5435, 8.5435) * CHOOSE(CONTROL!$C$21, $C$9, 100%, $E$9)</f>
        <v>8.5434999999999999</v>
      </c>
      <c r="S103" s="14">
        <f>CHOOSE(CONTROL!$C$42, 6.9403, 6.9403) * CHOOSE(CONTROL!$C$21, $C$9, 100%, $E$9)</f>
        <v>6.9402999999999997</v>
      </c>
      <c r="T10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56">
        <f>(1000*CHOOSE(CONTROL!$C$42, 695, 695)*CHOOSE(CONTROL!$C$42, 0.5599, 0.5599)*CHOOSE(CONTROL!$C$42, 31, 31))/1000000</f>
        <v>12.063045499999998</v>
      </c>
      <c r="V103" s="56">
        <f>(1000*CHOOSE(CONTROL!$C$42, 500, 500)*CHOOSE(CONTROL!$C$42, 0.275, 0.275)*CHOOSE(CONTROL!$C$42, 31, 31))/1000000</f>
        <v>4.2625000000000002</v>
      </c>
      <c r="W103" s="56">
        <f>(1000*CHOOSE(CONTROL!$C$42, 0.1146, 0.1146)*CHOOSE(CONTROL!$C$42, 121.5, 121.5)*CHOOSE(CONTROL!$C$42, 31, 31))/1000000</f>
        <v>0.43164089999999994</v>
      </c>
      <c r="X103" s="56">
        <f>(31*0.1790888*245000/1000000)+(31*0.2374*100000/1000000)</f>
        <v>2.0961194359999999</v>
      </c>
      <c r="Y103" s="56"/>
      <c r="Z103" s="14"/>
      <c r="AA103" s="55"/>
      <c r="AB103" s="49">
        <f>(B103*194.205+C103*267.466+D103*133.845+E103*53.484+F103*40+G103*185+H103*0+I103*100+J103*300)/(194.205+267.466+133.845+53.484+0+40+185+100+300)</f>
        <v>7.2871996434850868</v>
      </c>
      <c r="AC103" s="44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7.1855309352517978</v>
      </c>
    </row>
    <row r="104" spans="1:29" ht="15.75" x14ac:dyDescent="0.25">
      <c r="A104" s="13">
        <v>44044</v>
      </c>
      <c r="B104" s="14">
        <f>CHOOSE(CONTROL!$C$42, 6.8912, 6.8912) * CHOOSE(CONTROL!$C$21, $C$9, 100%, $E$9)</f>
        <v>6.8912000000000004</v>
      </c>
      <c r="C104" s="14">
        <f>CHOOSE(CONTROL!$C$42, 6.8992, 6.8992) * CHOOSE(CONTROL!$C$21, $C$9, 100%, $E$9)</f>
        <v>6.8992000000000004</v>
      </c>
      <c r="D104" s="14">
        <f>CHOOSE(CONTROL!$C$42, 7.125, 7.125) * CHOOSE(CONTROL!$C$21, $C$9, 100%, $E$9)</f>
        <v>7.125</v>
      </c>
      <c r="E104" s="14">
        <f>CHOOSE(CONTROL!$C$42, 7.1565, 7.1565) * CHOOSE(CONTROL!$C$21, $C$9, 100%, $E$9)</f>
        <v>7.1565000000000003</v>
      </c>
      <c r="F104" s="14">
        <f>CHOOSE(CONTROL!$C$42, 6.918, 6.918)*CHOOSE(CONTROL!$C$21, $C$9, 100%, $E$9)</f>
        <v>6.9180000000000001</v>
      </c>
      <c r="G104" s="14">
        <f>CHOOSE(CONTROL!$C$42, 6.9353, 6.9353)*CHOOSE(CONTROL!$C$21, $C$9, 100%, $E$9)</f>
        <v>6.9352999999999998</v>
      </c>
      <c r="H104" s="14">
        <f>CHOOSE(CONTROL!$C$42, 7.1451, 7.1451) * CHOOSE(CONTROL!$C$21, $C$9, 100%, $E$9)</f>
        <v>7.1451000000000002</v>
      </c>
      <c r="I104" s="14">
        <f>CHOOSE(CONTROL!$C$42, 6.9443, 6.9443)* CHOOSE(CONTROL!$C$21, $C$9, 100%, $E$9)</f>
        <v>6.9443000000000001</v>
      </c>
      <c r="J104" s="14">
        <f>CHOOSE(CONTROL!$C$42, 6.911, 6.911)* CHOOSE(CONTROL!$C$21, $C$9, 100%, $E$9)</f>
        <v>6.9109999999999996</v>
      </c>
      <c r="K104" s="52">
        <f>CHOOSE(CONTROL!$C$42, 6.9404, 6.9404) * CHOOSE(CONTROL!$C$21, $C$9, 100%, $E$9)</f>
        <v>6.9404000000000003</v>
      </c>
      <c r="L104" s="14">
        <f>CHOOSE(CONTROL!$C$42, 7.7321, 7.7321) * CHOOSE(CONTROL!$C$21, $C$9, 100%, $E$9)</f>
        <v>7.7321</v>
      </c>
      <c r="M104" s="14">
        <f>CHOOSE(CONTROL!$C$42, 6.7771, 6.7771) * CHOOSE(CONTROL!$C$21, $C$9, 100%, $E$9)</f>
        <v>6.7770999999999999</v>
      </c>
      <c r="N104" s="14">
        <f>CHOOSE(CONTROL!$C$42, 6.794, 6.794) * CHOOSE(CONTROL!$C$21, $C$9, 100%, $E$9)</f>
        <v>6.7939999999999996</v>
      </c>
      <c r="O104" s="14">
        <f>CHOOSE(CONTROL!$C$42, 7.0064, 7.0064) * CHOOSE(CONTROL!$C$21, $C$9, 100%, $E$9)</f>
        <v>7.0064000000000002</v>
      </c>
      <c r="P104" s="14">
        <f>CHOOSE(CONTROL!$C$42, 6.8094, 6.8094) * CHOOSE(CONTROL!$C$21, $C$9, 100%, $E$9)</f>
        <v>6.8094000000000001</v>
      </c>
      <c r="Q104" s="14">
        <f>CHOOSE(CONTROL!$C$42, 7.6011, 7.6011) * CHOOSE(CONTROL!$C$21, $C$9, 100%, $E$9)</f>
        <v>7.6010999999999997</v>
      </c>
      <c r="R104" s="14">
        <f>CHOOSE(CONTROL!$C$42, 8.2071, 8.2071) * CHOOSE(CONTROL!$C$21, $C$9, 100%, $E$9)</f>
        <v>8.2071000000000005</v>
      </c>
      <c r="S104" s="14">
        <f>CHOOSE(CONTROL!$C$42, 6.6111, 6.6111) * CHOOSE(CONTROL!$C$21, $C$9, 100%, $E$9)</f>
        <v>6.6111000000000004</v>
      </c>
      <c r="T10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56">
        <f>(1000*CHOOSE(CONTROL!$C$42, 695, 695)*CHOOSE(CONTROL!$C$42, 0.5599, 0.5599)*CHOOSE(CONTROL!$C$42, 31, 31))/1000000</f>
        <v>12.063045499999998</v>
      </c>
      <c r="V104" s="56">
        <f>(1000*CHOOSE(CONTROL!$C$42, 500, 500)*CHOOSE(CONTROL!$C$42, 0.275, 0.275)*CHOOSE(CONTROL!$C$42, 31, 31))/1000000</f>
        <v>4.2625000000000002</v>
      </c>
      <c r="W104" s="56">
        <f>(1000*CHOOSE(CONTROL!$C$42, 0.1146, 0.1146)*CHOOSE(CONTROL!$C$42, 121.5, 121.5)*CHOOSE(CONTROL!$C$42, 31, 31))/1000000</f>
        <v>0.43164089999999994</v>
      </c>
      <c r="X104" s="56">
        <f>(31*0.1790888*245000/1000000)+(31*0.2374*100000/1000000)</f>
        <v>2.0961194359999999</v>
      </c>
      <c r="Y104" s="56"/>
      <c r="Z104" s="14"/>
      <c r="AA104" s="55"/>
      <c r="AB104" s="49">
        <f>(B104*194.205+C104*267.466+D104*133.845+E104*53.484+F104*40+G104*185+H104*0+I104*100+J104*300)/(194.205+267.466+133.845+53.484+0+40+185+100+300)</f>
        <v>6.9446556469387763</v>
      </c>
      <c r="AC104" s="44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6.8499741007194244</v>
      </c>
    </row>
    <row r="105" spans="1:29" ht="15.75" x14ac:dyDescent="0.25">
      <c r="A105" s="13">
        <v>44075</v>
      </c>
      <c r="B105" s="14">
        <f>CHOOSE(CONTROL!$C$42, 6.4675, 6.4675) * CHOOSE(CONTROL!$C$21, $C$9, 100%, $E$9)</f>
        <v>6.4675000000000002</v>
      </c>
      <c r="C105" s="14">
        <f>CHOOSE(CONTROL!$C$42, 6.4755, 6.4755) * CHOOSE(CONTROL!$C$21, $C$9, 100%, $E$9)</f>
        <v>6.4755000000000003</v>
      </c>
      <c r="D105" s="14">
        <f>CHOOSE(CONTROL!$C$42, 6.7013, 6.7013) * CHOOSE(CONTROL!$C$21, $C$9, 100%, $E$9)</f>
        <v>6.7012999999999998</v>
      </c>
      <c r="E105" s="14">
        <f>CHOOSE(CONTROL!$C$42, 6.7328, 6.7328) * CHOOSE(CONTROL!$C$21, $C$9, 100%, $E$9)</f>
        <v>6.7328000000000001</v>
      </c>
      <c r="F105" s="14">
        <f>CHOOSE(CONTROL!$C$42, 6.4943, 6.4943)*CHOOSE(CONTROL!$C$21, $C$9, 100%, $E$9)</f>
        <v>6.4943</v>
      </c>
      <c r="G105" s="14">
        <f>CHOOSE(CONTROL!$C$42, 6.5116, 6.5116)*CHOOSE(CONTROL!$C$21, $C$9, 100%, $E$9)</f>
        <v>6.5115999999999996</v>
      </c>
      <c r="H105" s="14">
        <f>CHOOSE(CONTROL!$C$42, 6.7214, 6.7214) * CHOOSE(CONTROL!$C$21, $C$9, 100%, $E$9)</f>
        <v>6.7214</v>
      </c>
      <c r="I105" s="14">
        <f>CHOOSE(CONTROL!$C$42, 6.5193, 6.5193)* CHOOSE(CONTROL!$C$21, $C$9, 100%, $E$9)</f>
        <v>6.5193000000000003</v>
      </c>
      <c r="J105" s="14">
        <f>CHOOSE(CONTROL!$C$42, 6.4873, 6.4873)* CHOOSE(CONTROL!$C$21, $C$9, 100%, $E$9)</f>
        <v>6.4873000000000003</v>
      </c>
      <c r="K105" s="52">
        <f>CHOOSE(CONTROL!$C$42, 6.5154, 6.5154) * CHOOSE(CONTROL!$C$21, $C$9, 100%, $E$9)</f>
        <v>6.5153999999999996</v>
      </c>
      <c r="L105" s="14">
        <f>CHOOSE(CONTROL!$C$42, 7.3084, 7.3084) * CHOOSE(CONTROL!$C$21, $C$9, 100%, $E$9)</f>
        <v>7.3083999999999998</v>
      </c>
      <c r="M105" s="14">
        <f>CHOOSE(CONTROL!$C$42, 6.3621, 6.3621) * CHOOSE(CONTROL!$C$21, $C$9, 100%, $E$9)</f>
        <v>6.3620999999999999</v>
      </c>
      <c r="N105" s="14">
        <f>CHOOSE(CONTROL!$C$42, 6.379, 6.379) * CHOOSE(CONTROL!$C$21, $C$9, 100%, $E$9)</f>
        <v>6.3789999999999996</v>
      </c>
      <c r="O105" s="14">
        <f>CHOOSE(CONTROL!$C$42, 6.5914, 6.5914) * CHOOSE(CONTROL!$C$21, $C$9, 100%, $E$9)</f>
        <v>6.5914000000000001</v>
      </c>
      <c r="P105" s="14">
        <f>CHOOSE(CONTROL!$C$42, 6.3931, 6.3931) * CHOOSE(CONTROL!$C$21, $C$9, 100%, $E$9)</f>
        <v>6.3930999999999996</v>
      </c>
      <c r="Q105" s="14">
        <f>CHOOSE(CONTROL!$C$42, 7.1861, 7.1861) * CHOOSE(CONTROL!$C$21, $C$9, 100%, $E$9)</f>
        <v>7.1860999999999997</v>
      </c>
      <c r="R105" s="14">
        <f>CHOOSE(CONTROL!$C$42, 7.791, 7.791) * CHOOSE(CONTROL!$C$21, $C$9, 100%, $E$9)</f>
        <v>7.7910000000000004</v>
      </c>
      <c r="S105" s="14">
        <f>CHOOSE(CONTROL!$C$42, 6.204, 6.204) * CHOOSE(CONTROL!$C$21, $C$9, 100%, $E$9)</f>
        <v>6.2039999999999997</v>
      </c>
      <c r="T10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56">
        <f>(1000*CHOOSE(CONTROL!$C$42, 695, 695)*CHOOSE(CONTROL!$C$42, 0.5599, 0.5599)*CHOOSE(CONTROL!$C$42, 30, 30))/1000000</f>
        <v>11.673914999999997</v>
      </c>
      <c r="V105" s="56">
        <f>(1000*CHOOSE(CONTROL!$C$42, 500, 500)*CHOOSE(CONTROL!$C$42, 0.275, 0.275)*CHOOSE(CONTROL!$C$42, 30, 30))/1000000</f>
        <v>4.125</v>
      </c>
      <c r="W105" s="56">
        <f>(1000*CHOOSE(CONTROL!$C$42, 0.1146, 0.1146)*CHOOSE(CONTROL!$C$42, 121.5, 121.5)*CHOOSE(CONTROL!$C$42, 30, 30))/1000000</f>
        <v>0.417717</v>
      </c>
      <c r="X105" s="56">
        <f>(30*0.1790888*245000/1000000)+(30*0.2374*100000/1000000)</f>
        <v>2.0285026799999999</v>
      </c>
      <c r="Y105" s="56"/>
      <c r="Z105" s="14"/>
      <c r="AA105" s="55"/>
      <c r="AB105" s="49">
        <f>(B105*194.205+C105*267.466+D105*133.845+E105*53.484+F105*40+G105*185+H105*0+I105*100+J105*300)/(194.205+267.466+133.845+53.484+0+40+185+100+300)</f>
        <v>6.5208536061224498</v>
      </c>
      <c r="AC105" s="44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6.434787050359712</v>
      </c>
    </row>
    <row r="106" spans="1:29" ht="15.75" x14ac:dyDescent="0.25">
      <c r="A106" s="13">
        <v>44105</v>
      </c>
      <c r="B106" s="14">
        <f>CHOOSE(CONTROL!$C$42, 6.3477, 6.3477) * CHOOSE(CONTROL!$C$21, $C$9, 100%, $E$9)</f>
        <v>6.3476999999999997</v>
      </c>
      <c r="C106" s="14">
        <f>CHOOSE(CONTROL!$C$42, 6.353, 6.353) * CHOOSE(CONTROL!$C$21, $C$9, 100%, $E$9)</f>
        <v>6.3529999999999998</v>
      </c>
      <c r="D106" s="14">
        <f>CHOOSE(CONTROL!$C$42, 6.5838, 6.5838) * CHOOSE(CONTROL!$C$21, $C$9, 100%, $E$9)</f>
        <v>6.5838000000000001</v>
      </c>
      <c r="E106" s="14">
        <f>CHOOSE(CONTROL!$C$42, 6.6129, 6.6129) * CHOOSE(CONTROL!$C$21, $C$9, 100%, $E$9)</f>
        <v>6.6128999999999998</v>
      </c>
      <c r="F106" s="14">
        <f>CHOOSE(CONTROL!$C$42, 6.3765, 6.3765)*CHOOSE(CONTROL!$C$21, $C$9, 100%, $E$9)</f>
        <v>6.3765000000000001</v>
      </c>
      <c r="G106" s="14">
        <f>CHOOSE(CONTROL!$C$42, 6.3937, 6.3937)*CHOOSE(CONTROL!$C$21, $C$9, 100%, $E$9)</f>
        <v>6.3936999999999999</v>
      </c>
      <c r="H106" s="14">
        <f>CHOOSE(CONTROL!$C$42, 6.6033, 6.6033) * CHOOSE(CONTROL!$C$21, $C$9, 100%, $E$9)</f>
        <v>6.6032999999999999</v>
      </c>
      <c r="I106" s="14">
        <f>CHOOSE(CONTROL!$C$42, 6.4009, 6.4009)* CHOOSE(CONTROL!$C$21, $C$9, 100%, $E$9)</f>
        <v>6.4009</v>
      </c>
      <c r="J106" s="14">
        <f>CHOOSE(CONTROL!$C$42, 6.3695, 6.3695)* CHOOSE(CONTROL!$C$21, $C$9, 100%, $E$9)</f>
        <v>6.3695000000000004</v>
      </c>
      <c r="K106" s="52">
        <f>CHOOSE(CONTROL!$C$42, 6.397, 6.397) * CHOOSE(CONTROL!$C$21, $C$9, 100%, $E$9)</f>
        <v>6.3970000000000002</v>
      </c>
      <c r="L106" s="14">
        <f>CHOOSE(CONTROL!$C$42, 7.1903, 7.1903) * CHOOSE(CONTROL!$C$21, $C$9, 100%, $E$9)</f>
        <v>7.1902999999999997</v>
      </c>
      <c r="M106" s="14">
        <f>CHOOSE(CONTROL!$C$42, 6.2467, 6.2467) * CHOOSE(CONTROL!$C$21, $C$9, 100%, $E$9)</f>
        <v>6.2466999999999997</v>
      </c>
      <c r="N106" s="14">
        <f>CHOOSE(CONTROL!$C$42, 6.2635, 6.2635) * CHOOSE(CONTROL!$C$21, $C$9, 100%, $E$9)</f>
        <v>6.2634999999999996</v>
      </c>
      <c r="O106" s="14">
        <f>CHOOSE(CONTROL!$C$42, 6.4757, 6.4757) * CHOOSE(CONTROL!$C$21, $C$9, 100%, $E$9)</f>
        <v>6.4756999999999998</v>
      </c>
      <c r="P106" s="14">
        <f>CHOOSE(CONTROL!$C$42, 6.2771, 6.2771) * CHOOSE(CONTROL!$C$21, $C$9, 100%, $E$9)</f>
        <v>6.2770999999999999</v>
      </c>
      <c r="Q106" s="14">
        <f>CHOOSE(CONTROL!$C$42, 7.0704, 7.0704) * CHOOSE(CONTROL!$C$21, $C$9, 100%, $E$9)</f>
        <v>7.0704000000000002</v>
      </c>
      <c r="R106" s="14">
        <f>CHOOSE(CONTROL!$C$42, 7.6751, 7.6751) * CHOOSE(CONTROL!$C$21, $C$9, 100%, $E$9)</f>
        <v>7.6750999999999996</v>
      </c>
      <c r="S106" s="14">
        <f>CHOOSE(CONTROL!$C$42, 6.0905, 6.0905) * CHOOSE(CONTROL!$C$21, $C$9, 100%, $E$9)</f>
        <v>6.0904999999999996</v>
      </c>
      <c r="T10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56">
        <f>(1000*CHOOSE(CONTROL!$C$42, 695, 695)*CHOOSE(CONTROL!$C$42, 0.5599, 0.5599)*CHOOSE(CONTROL!$C$42, 31, 31))/1000000</f>
        <v>12.063045499999998</v>
      </c>
      <c r="V106" s="56">
        <f>(1000*CHOOSE(CONTROL!$C$42, 500, 500)*CHOOSE(CONTROL!$C$42, 0.275, 0.275)*CHOOSE(CONTROL!$C$42, 31, 31))/1000000</f>
        <v>4.2625000000000002</v>
      </c>
      <c r="W106" s="56">
        <f>(1000*CHOOSE(CONTROL!$C$42, 0.1146, 0.1146)*CHOOSE(CONTROL!$C$42, 121.5, 121.5)*CHOOSE(CONTROL!$C$42, 31, 31))/1000000</f>
        <v>0.43164089999999994</v>
      </c>
      <c r="X106" s="56">
        <f>(31*0.1790888*245000/1000000)+(31*0.2374*100000/1000000)</f>
        <v>2.0961194359999999</v>
      </c>
      <c r="Y106" s="56"/>
      <c r="Z106" s="14"/>
      <c r="AA106" s="55"/>
      <c r="AB106" s="49">
        <f>(B106*131.881+C106*277.167+D106*79.08+E106*125.872+F106*40+G106*185+H106*0+I106*100+J106*300)/(131.881+277.167+79.08+125.872+0+40+185+100+300)</f>
        <v>6.4082674152542376</v>
      </c>
      <c r="AC106" s="44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6.3191935251798563</v>
      </c>
    </row>
    <row r="107" spans="1:29" ht="15.75" x14ac:dyDescent="0.25">
      <c r="A107" s="13">
        <v>44136</v>
      </c>
      <c r="B107" s="14">
        <f>CHOOSE(CONTROL!$C$42, 6.5276, 6.5276) * CHOOSE(CONTROL!$C$21, $C$9, 100%, $E$9)</f>
        <v>6.5275999999999996</v>
      </c>
      <c r="C107" s="14">
        <f>CHOOSE(CONTROL!$C$42, 6.5327, 6.5327) * CHOOSE(CONTROL!$C$21, $C$9, 100%, $E$9)</f>
        <v>6.5327000000000002</v>
      </c>
      <c r="D107" s="14">
        <f>CHOOSE(CONTROL!$C$42, 6.6017, 6.6017) * CHOOSE(CONTROL!$C$21, $C$9, 100%, $E$9)</f>
        <v>6.6017000000000001</v>
      </c>
      <c r="E107" s="14">
        <f>CHOOSE(CONTROL!$C$42, 6.6358, 6.6358) * CHOOSE(CONTROL!$C$21, $C$9, 100%, $E$9)</f>
        <v>6.6357999999999997</v>
      </c>
      <c r="F107" s="14">
        <f>CHOOSE(CONTROL!$C$42, 6.5632, 6.5632)*CHOOSE(CONTROL!$C$21, $C$9, 100%, $E$9)</f>
        <v>6.5632000000000001</v>
      </c>
      <c r="G107" s="14">
        <f>CHOOSE(CONTROL!$C$42, 6.5806, 6.5806)*CHOOSE(CONTROL!$C$21, $C$9, 100%, $E$9)</f>
        <v>6.5805999999999996</v>
      </c>
      <c r="H107" s="14">
        <f>CHOOSE(CONTROL!$C$42, 6.625, 6.625) * CHOOSE(CONTROL!$C$21, $C$9, 100%, $E$9)</f>
        <v>6.625</v>
      </c>
      <c r="I107" s="14">
        <f>CHOOSE(CONTROL!$C$42, 6.5844, 6.5844)* CHOOSE(CONTROL!$C$21, $C$9, 100%, $E$9)</f>
        <v>6.5843999999999996</v>
      </c>
      <c r="J107" s="14">
        <f>CHOOSE(CONTROL!$C$42, 6.5562, 6.5562)* CHOOSE(CONTROL!$C$21, $C$9, 100%, $E$9)</f>
        <v>6.5561999999999996</v>
      </c>
      <c r="K107" s="52">
        <f>CHOOSE(CONTROL!$C$42, 6.5805, 6.5805) * CHOOSE(CONTROL!$C$21, $C$9, 100%, $E$9)</f>
        <v>6.5804999999999998</v>
      </c>
      <c r="L107" s="14">
        <f>CHOOSE(CONTROL!$C$42, 7.212, 7.212) * CHOOSE(CONTROL!$C$21, $C$9, 100%, $E$9)</f>
        <v>7.2119999999999997</v>
      </c>
      <c r="M107" s="14">
        <f>CHOOSE(CONTROL!$C$42, 6.4296, 6.4296) * CHOOSE(CONTROL!$C$21, $C$9, 100%, $E$9)</f>
        <v>6.4295999999999998</v>
      </c>
      <c r="N107" s="14">
        <f>CHOOSE(CONTROL!$C$42, 6.4466, 6.4466) * CHOOSE(CONTROL!$C$21, $C$9, 100%, $E$9)</f>
        <v>6.4466000000000001</v>
      </c>
      <c r="O107" s="14">
        <f>CHOOSE(CONTROL!$C$42, 6.497, 6.497) * CHOOSE(CONTROL!$C$21, $C$9, 100%, $E$9)</f>
        <v>6.4969999999999999</v>
      </c>
      <c r="P107" s="14">
        <f>CHOOSE(CONTROL!$C$42, 6.4568, 6.4568) * CHOOSE(CONTROL!$C$21, $C$9, 100%, $E$9)</f>
        <v>6.4568000000000003</v>
      </c>
      <c r="Q107" s="14">
        <f>CHOOSE(CONTROL!$C$42, 7.0917, 7.0917) * CHOOSE(CONTROL!$C$21, $C$9, 100%, $E$9)</f>
        <v>7.0917000000000003</v>
      </c>
      <c r="R107" s="14">
        <f>CHOOSE(CONTROL!$C$42, 7.6964, 7.6964) * CHOOSE(CONTROL!$C$21, $C$9, 100%, $E$9)</f>
        <v>7.6963999999999997</v>
      </c>
      <c r="S107" s="14">
        <f>CHOOSE(CONTROL!$C$42, 6.2639, 6.2639) * CHOOSE(CONTROL!$C$21, $C$9, 100%, $E$9)</f>
        <v>6.2638999999999996</v>
      </c>
      <c r="T10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56">
        <f>(1000*CHOOSE(CONTROL!$C$42, 695, 695)*CHOOSE(CONTROL!$C$42, 0.5599, 0.5599)*CHOOSE(CONTROL!$C$42, 30, 30))/1000000</f>
        <v>11.673914999999997</v>
      </c>
      <c r="V107" s="56">
        <f>(1000*CHOOSE(CONTROL!$C$42, 500, 500)*CHOOSE(CONTROL!$C$42, 0.275, 0.275)*CHOOSE(CONTROL!$C$42, 30, 30))/1000000</f>
        <v>4.125</v>
      </c>
      <c r="W107" s="56">
        <f>(1000*CHOOSE(CONTROL!$C$42, 0.1146, 0.1146)*CHOOSE(CONTROL!$C$42, 121.5, 121.5)*CHOOSE(CONTROL!$C$42, 30, 30))/1000000</f>
        <v>0.417717</v>
      </c>
      <c r="X107" s="56">
        <f>(30*0.1790888*100000/1000000)+(30*0.2374*100000/1000000)</f>
        <v>1.2494664</v>
      </c>
      <c r="Y107" s="56"/>
      <c r="Z107" s="14"/>
      <c r="AA107" s="55"/>
      <c r="AB107" s="49">
        <f>(B107*122.58+C107*297.941+D107*89.177+E107*40.302+F107*40+G107*160+H107*0+I107*100+J107*300)/(122.58+297.941+89.177+40.302+0+40+160+100+300)</f>
        <v>6.5594714706086945</v>
      </c>
      <c r="AC107" s="44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6.465040287769785</v>
      </c>
    </row>
    <row r="108" spans="1:29" ht="15.75" x14ac:dyDescent="0.25">
      <c r="A108" s="13">
        <v>44166</v>
      </c>
      <c r="B108" s="14">
        <f>CHOOSE(CONTROL!$C$42, 6.9864, 6.9864) * CHOOSE(CONTROL!$C$21, $C$9, 100%, $E$9)</f>
        <v>6.9863999999999997</v>
      </c>
      <c r="C108" s="14">
        <f>CHOOSE(CONTROL!$C$42, 6.9914, 6.9914) * CHOOSE(CONTROL!$C$21, $C$9, 100%, $E$9)</f>
        <v>6.9913999999999996</v>
      </c>
      <c r="D108" s="14">
        <f>CHOOSE(CONTROL!$C$42, 7.0604, 7.0604) * CHOOSE(CONTROL!$C$21, $C$9, 100%, $E$9)</f>
        <v>7.0603999999999996</v>
      </c>
      <c r="E108" s="14">
        <f>CHOOSE(CONTROL!$C$42, 7.0945, 7.0945) * CHOOSE(CONTROL!$C$21, $C$9, 100%, $E$9)</f>
        <v>7.0945</v>
      </c>
      <c r="F108" s="14">
        <f>CHOOSE(CONTROL!$C$42, 7.0242, 7.0242)*CHOOSE(CONTROL!$C$21, $C$9, 100%, $E$9)</f>
        <v>7.0242000000000004</v>
      </c>
      <c r="G108" s="14">
        <f>CHOOSE(CONTROL!$C$42, 7.0422, 7.0422)*CHOOSE(CONTROL!$C$21, $C$9, 100%, $E$9)</f>
        <v>7.0422000000000002</v>
      </c>
      <c r="H108" s="14">
        <f>CHOOSE(CONTROL!$C$42, 7.0837, 7.0837) * CHOOSE(CONTROL!$C$21, $C$9, 100%, $E$9)</f>
        <v>7.0837000000000003</v>
      </c>
      <c r="I108" s="14">
        <f>CHOOSE(CONTROL!$C$42, 7.0446, 7.0446)* CHOOSE(CONTROL!$C$21, $C$9, 100%, $E$9)</f>
        <v>7.0446</v>
      </c>
      <c r="J108" s="14">
        <f>CHOOSE(CONTROL!$C$42, 7.0172, 7.0172)* CHOOSE(CONTROL!$C$21, $C$9, 100%, $E$9)</f>
        <v>7.0171999999999999</v>
      </c>
      <c r="K108" s="52">
        <f>CHOOSE(CONTROL!$C$42, 7.0407, 7.0407) * CHOOSE(CONTROL!$C$21, $C$9, 100%, $E$9)</f>
        <v>7.0407000000000002</v>
      </c>
      <c r="L108" s="14">
        <f>CHOOSE(CONTROL!$C$42, 7.6707, 7.6707) * CHOOSE(CONTROL!$C$21, $C$9, 100%, $E$9)</f>
        <v>7.6707000000000001</v>
      </c>
      <c r="M108" s="14">
        <f>CHOOSE(CONTROL!$C$42, 6.8811, 6.8811) * CHOOSE(CONTROL!$C$21, $C$9, 100%, $E$9)</f>
        <v>6.8811</v>
      </c>
      <c r="N108" s="14">
        <f>CHOOSE(CONTROL!$C$42, 6.8987, 6.8987) * CHOOSE(CONTROL!$C$21, $C$9, 100%, $E$9)</f>
        <v>6.8986999999999998</v>
      </c>
      <c r="O108" s="14">
        <f>CHOOSE(CONTROL!$C$42, 6.9463, 6.9463) * CHOOSE(CONTROL!$C$21, $C$9, 100%, $E$9)</f>
        <v>6.9462999999999999</v>
      </c>
      <c r="P108" s="14">
        <f>CHOOSE(CONTROL!$C$42, 6.9076, 6.9076) * CHOOSE(CONTROL!$C$21, $C$9, 100%, $E$9)</f>
        <v>6.9076000000000004</v>
      </c>
      <c r="Q108" s="14">
        <f>CHOOSE(CONTROL!$C$42, 7.541, 7.541) * CHOOSE(CONTROL!$C$21, $C$9, 100%, $E$9)</f>
        <v>7.5410000000000004</v>
      </c>
      <c r="R108" s="14">
        <f>CHOOSE(CONTROL!$C$42, 8.1468, 8.1468) * CHOOSE(CONTROL!$C$21, $C$9, 100%, $E$9)</f>
        <v>8.1468000000000007</v>
      </c>
      <c r="S108" s="14">
        <f>CHOOSE(CONTROL!$C$42, 6.7046, 6.7046) * CHOOSE(CONTROL!$C$21, $C$9, 100%, $E$9)</f>
        <v>6.7046000000000001</v>
      </c>
      <c r="T10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56">
        <f>(1000*CHOOSE(CONTROL!$C$42, 695, 695)*CHOOSE(CONTROL!$C$42, 0.5599, 0.5599)*CHOOSE(CONTROL!$C$42, 31, 31))/1000000</f>
        <v>12.063045499999998</v>
      </c>
      <c r="V108" s="56">
        <f>(1000*CHOOSE(CONTROL!$C$42, 500, 500)*CHOOSE(CONTROL!$C$42, 0.275, 0.275)*CHOOSE(CONTROL!$C$42, 31, 31))/1000000</f>
        <v>4.2625000000000002</v>
      </c>
      <c r="W108" s="56">
        <f>(1000*CHOOSE(CONTROL!$C$42, 0.1146, 0.1146)*CHOOSE(CONTROL!$C$42, 121.5, 121.5)*CHOOSE(CONTROL!$C$42, 31, 31))/1000000</f>
        <v>0.43164089999999994</v>
      </c>
      <c r="X108" s="56">
        <f>(31*0.1790888*100000/1000000)+(31*0.2374*100000/1000000)</f>
        <v>1.2911152800000001</v>
      </c>
      <c r="Y108" s="56"/>
      <c r="Z108" s="14"/>
      <c r="AA108" s="55"/>
      <c r="AB108" s="49">
        <f>(B108*122.58+C108*297.941+D108*89.177+E108*40.302+F108*40+G108*160+H108*0+I108*100+J108*300)/(122.58+297.941+89.177+40.302+0+40+160+100+300)</f>
        <v>7.019396042782609</v>
      </c>
      <c r="AC108" s="44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6.9154769784172654</v>
      </c>
    </row>
    <row r="109" spans="1:29" ht="15.75" x14ac:dyDescent="0.25">
      <c r="A109" s="13">
        <v>44197</v>
      </c>
      <c r="B109" s="14">
        <f>CHOOSE(CONTROL!$C$42, 7.5344, 7.5344) * CHOOSE(CONTROL!$C$21, $C$9, 100%, $E$9)</f>
        <v>7.5343999999999998</v>
      </c>
      <c r="C109" s="14">
        <f>CHOOSE(CONTROL!$C$42, 7.5394, 7.5394) * CHOOSE(CONTROL!$C$21, $C$9, 100%, $E$9)</f>
        <v>7.5393999999999997</v>
      </c>
      <c r="D109" s="14">
        <f>CHOOSE(CONTROL!$C$42, 7.6189, 7.6189) * CHOOSE(CONTROL!$C$21, $C$9, 100%, $E$9)</f>
        <v>7.6189</v>
      </c>
      <c r="E109" s="14">
        <f>CHOOSE(CONTROL!$C$42, 7.653, 7.653) * CHOOSE(CONTROL!$C$21, $C$9, 100%, $E$9)</f>
        <v>7.6529999999999996</v>
      </c>
      <c r="F109" s="14">
        <f>CHOOSE(CONTROL!$C$42, 7.5574, 7.5574)*CHOOSE(CONTROL!$C$21, $C$9, 100%, $E$9)</f>
        <v>7.5574000000000003</v>
      </c>
      <c r="G109" s="14">
        <f>CHOOSE(CONTROL!$C$42, 7.5749, 7.5749)*CHOOSE(CONTROL!$C$21, $C$9, 100%, $E$9)</f>
        <v>7.5749000000000004</v>
      </c>
      <c r="H109" s="14">
        <f>CHOOSE(CONTROL!$C$42, 7.6422, 7.6422) * CHOOSE(CONTROL!$C$21, $C$9, 100%, $E$9)</f>
        <v>7.6421999999999999</v>
      </c>
      <c r="I109" s="14">
        <f>CHOOSE(CONTROL!$C$42, 7.5933, 7.5933)* CHOOSE(CONTROL!$C$21, $C$9, 100%, $E$9)</f>
        <v>7.5933000000000002</v>
      </c>
      <c r="J109" s="14">
        <f>CHOOSE(CONTROL!$C$42, 7.5504, 7.5504)* CHOOSE(CONTROL!$C$21, $C$9, 100%, $E$9)</f>
        <v>7.5503999999999998</v>
      </c>
      <c r="K109" s="52">
        <f>CHOOSE(CONTROL!$C$42, 7.5894, 7.5894) * CHOOSE(CONTROL!$C$21, $C$9, 100%, $E$9)</f>
        <v>7.5894000000000004</v>
      </c>
      <c r="L109" s="14">
        <f>CHOOSE(CONTROL!$C$42, 8.2292, 8.2292) * CHOOSE(CONTROL!$C$21, $C$9, 100%, $E$9)</f>
        <v>8.2292000000000005</v>
      </c>
      <c r="M109" s="14">
        <f>CHOOSE(CONTROL!$C$42, 7.4034, 7.4034) * CHOOSE(CONTROL!$C$21, $C$9, 100%, $E$9)</f>
        <v>7.4034000000000004</v>
      </c>
      <c r="N109" s="14">
        <f>CHOOSE(CONTROL!$C$42, 7.4205, 7.4205) * CHOOSE(CONTROL!$C$21, $C$9, 100%, $E$9)</f>
        <v>7.4204999999999997</v>
      </c>
      <c r="O109" s="14">
        <f>CHOOSE(CONTROL!$C$42, 7.4933, 7.4933) * CHOOSE(CONTROL!$C$21, $C$9, 100%, $E$9)</f>
        <v>7.4932999999999996</v>
      </c>
      <c r="P109" s="14">
        <f>CHOOSE(CONTROL!$C$42, 7.445, 7.445) * CHOOSE(CONTROL!$C$21, $C$9, 100%, $E$9)</f>
        <v>7.4450000000000003</v>
      </c>
      <c r="Q109" s="14">
        <f>CHOOSE(CONTROL!$C$42, 8.088, 8.088) * CHOOSE(CONTROL!$C$21, $C$9, 100%, $E$9)</f>
        <v>8.0879999999999992</v>
      </c>
      <c r="R109" s="14">
        <f>CHOOSE(CONTROL!$C$42, 8.6952, 8.6952) * CHOOSE(CONTROL!$C$21, $C$9, 100%, $E$9)</f>
        <v>8.6951999999999998</v>
      </c>
      <c r="S109" s="14">
        <f>CHOOSE(CONTROL!$C$42, 7.2312, 7.2312) * CHOOSE(CONTROL!$C$21, $C$9, 100%, $E$9)</f>
        <v>7.2312000000000003</v>
      </c>
      <c r="T10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56">
        <f>(1000*CHOOSE(CONTROL!$C$42, 695, 695)*CHOOSE(CONTROL!$C$42, 0.5599, 0.5599)*CHOOSE(CONTROL!$C$42, 31, 31))/1000000</f>
        <v>12.063045499999998</v>
      </c>
      <c r="V109" s="56">
        <f>(1000*CHOOSE(CONTROL!$C$42, 500, 500)*CHOOSE(CONTROL!$C$42, 0.275, 0.275)*CHOOSE(CONTROL!$C$42, 31, 31))/1000000</f>
        <v>4.2625000000000002</v>
      </c>
      <c r="W109" s="56">
        <f>(1000*CHOOSE(CONTROL!$C$42, 0.1146, 0.1146)*CHOOSE(CONTROL!$C$42, 121.5, 121.5)*CHOOSE(CONTROL!$C$42, 31, 31))/1000000</f>
        <v>0.43164089999999994</v>
      </c>
      <c r="X109" s="56">
        <f>(31*0.1790888*100000/1000000)+(31*0.2374*100000/1000000)</f>
        <v>1.2911152800000001</v>
      </c>
      <c r="Y109" s="56"/>
      <c r="Z109" s="14"/>
      <c r="AA109" s="55"/>
      <c r="AB109" s="49">
        <f>(B109*122.58+C109*297.941+D109*89.177+E109*40.302+F109*40+G109*160+H109*0+I109*100+J109*300)/(122.58+297.941+89.177+40.302+0+40+160+100+300)</f>
        <v>7.5621347640869558</v>
      </c>
      <c r="AC109" s="44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7.4511158273381293</v>
      </c>
    </row>
    <row r="110" spans="1:29" ht="15.75" x14ac:dyDescent="0.25">
      <c r="A110" s="13">
        <v>44228</v>
      </c>
      <c r="B110" s="14">
        <f>CHOOSE(CONTROL!$C$42, 7.6841, 7.6841) * CHOOSE(CONTROL!$C$21, $C$9, 100%, $E$9)</f>
        <v>7.6840999999999999</v>
      </c>
      <c r="C110" s="14">
        <f>CHOOSE(CONTROL!$C$42, 7.6892, 7.6892) * CHOOSE(CONTROL!$C$21, $C$9, 100%, $E$9)</f>
        <v>7.6891999999999996</v>
      </c>
      <c r="D110" s="14">
        <f>CHOOSE(CONTROL!$C$42, 7.7686, 7.7686) * CHOOSE(CONTROL!$C$21, $C$9, 100%, $E$9)</f>
        <v>7.7686000000000002</v>
      </c>
      <c r="E110" s="14">
        <f>CHOOSE(CONTROL!$C$42, 7.8027, 7.8027) * CHOOSE(CONTROL!$C$21, $C$9, 100%, $E$9)</f>
        <v>7.8026999999999997</v>
      </c>
      <c r="F110" s="14">
        <f>CHOOSE(CONTROL!$C$42, 7.7069, 7.7069)*CHOOSE(CONTROL!$C$21, $C$9, 100%, $E$9)</f>
        <v>7.7069000000000001</v>
      </c>
      <c r="G110" s="14">
        <f>CHOOSE(CONTROL!$C$42, 7.7243, 7.7243)*CHOOSE(CONTROL!$C$21, $C$9, 100%, $E$9)</f>
        <v>7.7243000000000004</v>
      </c>
      <c r="H110" s="14">
        <f>CHOOSE(CONTROL!$C$42, 7.7919, 7.7919) * CHOOSE(CONTROL!$C$21, $C$9, 100%, $E$9)</f>
        <v>7.7919</v>
      </c>
      <c r="I110" s="14">
        <f>CHOOSE(CONTROL!$C$42, 7.7435, 7.7435)* CHOOSE(CONTROL!$C$21, $C$9, 100%, $E$9)</f>
        <v>7.7435</v>
      </c>
      <c r="J110" s="14">
        <f>CHOOSE(CONTROL!$C$42, 7.6999, 7.6999)* CHOOSE(CONTROL!$C$21, $C$9, 100%, $E$9)</f>
        <v>7.6999000000000004</v>
      </c>
      <c r="K110" s="52">
        <f>CHOOSE(CONTROL!$C$42, 7.7396, 7.7396) * CHOOSE(CONTROL!$C$21, $C$9, 100%, $E$9)</f>
        <v>7.7396000000000003</v>
      </c>
      <c r="L110" s="14">
        <f>CHOOSE(CONTROL!$C$42, 8.3789, 8.3789) * CHOOSE(CONTROL!$C$21, $C$9, 100%, $E$9)</f>
        <v>8.3788999999999998</v>
      </c>
      <c r="M110" s="14">
        <f>CHOOSE(CONTROL!$C$42, 7.5498, 7.5498) * CHOOSE(CONTROL!$C$21, $C$9, 100%, $E$9)</f>
        <v>7.5498000000000003</v>
      </c>
      <c r="N110" s="14">
        <f>CHOOSE(CONTROL!$C$42, 7.5669, 7.5669) * CHOOSE(CONTROL!$C$21, $C$9, 100%, $E$9)</f>
        <v>7.5669000000000004</v>
      </c>
      <c r="O110" s="14">
        <f>CHOOSE(CONTROL!$C$42, 7.6399, 7.6399) * CHOOSE(CONTROL!$C$21, $C$9, 100%, $E$9)</f>
        <v>7.6398999999999999</v>
      </c>
      <c r="P110" s="14">
        <f>CHOOSE(CONTROL!$C$42, 7.5921, 7.5921) * CHOOSE(CONTROL!$C$21, $C$9, 100%, $E$9)</f>
        <v>7.5921000000000003</v>
      </c>
      <c r="Q110" s="14">
        <f>CHOOSE(CONTROL!$C$42, 8.2346, 8.2346) * CHOOSE(CONTROL!$C$21, $C$9, 100%, $E$9)</f>
        <v>8.2346000000000004</v>
      </c>
      <c r="R110" s="14">
        <f>CHOOSE(CONTROL!$C$42, 8.8422, 8.8422) * CHOOSE(CONTROL!$C$21, $C$9, 100%, $E$9)</f>
        <v>8.8422000000000001</v>
      </c>
      <c r="S110" s="14">
        <f>CHOOSE(CONTROL!$C$42, 7.3751, 7.3751) * CHOOSE(CONTROL!$C$21, $C$9, 100%, $E$9)</f>
        <v>7.3750999999999998</v>
      </c>
      <c r="T11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56">
        <f>(1000*CHOOSE(CONTROL!$C$42, 695, 695)*CHOOSE(CONTROL!$C$42, 0.5599, 0.5599)*CHOOSE(CONTROL!$C$42, 28, 28))/1000000</f>
        <v>10.895653999999999</v>
      </c>
      <c r="V110" s="56">
        <f>(1000*CHOOSE(CONTROL!$C$42, 500, 500)*CHOOSE(CONTROL!$C$42, 0.275, 0.275)*CHOOSE(CONTROL!$C$42, 28, 28))/1000000</f>
        <v>3.85</v>
      </c>
      <c r="W110" s="56">
        <f>(1000*CHOOSE(CONTROL!$C$42, 0.1146, 0.1146)*CHOOSE(CONTROL!$C$42, 121.5, 121.5)*CHOOSE(CONTROL!$C$42, 28, 28))/1000000</f>
        <v>0.38986920000000003</v>
      </c>
      <c r="X110" s="56">
        <f>(28*0.1790888*100000/1000000)+(28*0.2374*100000/1000000)</f>
        <v>1.16616864</v>
      </c>
      <c r="Y110" s="56"/>
      <c r="Z110" s="14"/>
      <c r="AA110" s="55"/>
      <c r="AB110" s="49">
        <f>(B110*122.58+C110*297.941+D110*89.177+E110*40.302+F110*40+G110*160+H110*0+I110*100+J110*300)/(122.58+297.941+89.177+40.302+0+40+160+100+300)</f>
        <v>7.7118032806956514</v>
      </c>
      <c r="AC110" s="44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7.5977071942446042</v>
      </c>
    </row>
    <row r="111" spans="1:29" ht="15.75" x14ac:dyDescent="0.25">
      <c r="A111" s="13">
        <v>44256</v>
      </c>
      <c r="B111" s="14">
        <f>CHOOSE(CONTROL!$C$42, 7.4816, 7.4816) * CHOOSE(CONTROL!$C$21, $C$9, 100%, $E$9)</f>
        <v>7.4816000000000003</v>
      </c>
      <c r="C111" s="14">
        <f>CHOOSE(CONTROL!$C$42, 7.4866, 7.4866) * CHOOSE(CONTROL!$C$21, $C$9, 100%, $E$9)</f>
        <v>7.4866000000000001</v>
      </c>
      <c r="D111" s="14">
        <f>CHOOSE(CONTROL!$C$42, 7.5661, 7.5661) * CHOOSE(CONTROL!$C$21, $C$9, 100%, $E$9)</f>
        <v>7.5660999999999996</v>
      </c>
      <c r="E111" s="14">
        <f>CHOOSE(CONTROL!$C$42, 7.6002, 7.6002) * CHOOSE(CONTROL!$C$21, $C$9, 100%, $E$9)</f>
        <v>7.6002000000000001</v>
      </c>
      <c r="F111" s="14">
        <f>CHOOSE(CONTROL!$C$42, 7.5036, 7.5036)*CHOOSE(CONTROL!$C$21, $C$9, 100%, $E$9)</f>
        <v>7.5035999999999996</v>
      </c>
      <c r="G111" s="14">
        <f>CHOOSE(CONTROL!$C$42, 7.5209, 7.5209)*CHOOSE(CONTROL!$C$21, $C$9, 100%, $E$9)</f>
        <v>7.5209000000000001</v>
      </c>
      <c r="H111" s="14">
        <f>CHOOSE(CONTROL!$C$42, 7.5894, 7.5894) * CHOOSE(CONTROL!$C$21, $C$9, 100%, $E$9)</f>
        <v>7.5894000000000004</v>
      </c>
      <c r="I111" s="14">
        <f>CHOOSE(CONTROL!$C$42, 7.5403, 7.5403)* CHOOSE(CONTROL!$C$21, $C$9, 100%, $E$9)</f>
        <v>7.5403000000000002</v>
      </c>
      <c r="J111" s="14">
        <f>CHOOSE(CONTROL!$C$42, 7.4966, 7.4966)* CHOOSE(CONTROL!$C$21, $C$9, 100%, $E$9)</f>
        <v>7.4965999999999999</v>
      </c>
      <c r="K111" s="52">
        <f>CHOOSE(CONTROL!$C$42, 7.5364, 7.5364) * CHOOSE(CONTROL!$C$21, $C$9, 100%, $E$9)</f>
        <v>7.5364000000000004</v>
      </c>
      <c r="L111" s="14">
        <f>CHOOSE(CONTROL!$C$42, 8.1764, 8.1764) * CHOOSE(CONTROL!$C$21, $C$9, 100%, $E$9)</f>
        <v>8.1763999999999992</v>
      </c>
      <c r="M111" s="14">
        <f>CHOOSE(CONTROL!$C$42, 7.3507, 7.3507) * CHOOSE(CONTROL!$C$21, $C$9, 100%, $E$9)</f>
        <v>7.3506999999999998</v>
      </c>
      <c r="N111" s="14">
        <f>CHOOSE(CONTROL!$C$42, 7.3676, 7.3676) * CHOOSE(CONTROL!$C$21, $C$9, 100%, $E$9)</f>
        <v>7.3676000000000004</v>
      </c>
      <c r="O111" s="14">
        <f>CHOOSE(CONTROL!$C$42, 7.4416, 7.4416) * CHOOSE(CONTROL!$C$21, $C$9, 100%, $E$9)</f>
        <v>7.4416000000000002</v>
      </c>
      <c r="P111" s="14">
        <f>CHOOSE(CONTROL!$C$42, 7.3931, 7.3931) * CHOOSE(CONTROL!$C$21, $C$9, 100%, $E$9)</f>
        <v>7.3930999999999996</v>
      </c>
      <c r="Q111" s="14">
        <f>CHOOSE(CONTROL!$C$42, 8.0363, 8.0363) * CHOOSE(CONTROL!$C$21, $C$9, 100%, $E$9)</f>
        <v>8.0363000000000007</v>
      </c>
      <c r="R111" s="14">
        <f>CHOOSE(CONTROL!$C$42, 8.6433, 8.6433) * CHOOSE(CONTROL!$C$21, $C$9, 100%, $E$9)</f>
        <v>8.6433</v>
      </c>
      <c r="S111" s="14">
        <f>CHOOSE(CONTROL!$C$42, 7.1805, 7.1805) * CHOOSE(CONTROL!$C$21, $C$9, 100%, $E$9)</f>
        <v>7.1805000000000003</v>
      </c>
      <c r="T11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56">
        <f>(1000*CHOOSE(CONTROL!$C$42, 695, 695)*CHOOSE(CONTROL!$C$42, 0.5599, 0.5599)*CHOOSE(CONTROL!$C$42, 31, 31))/1000000</f>
        <v>12.063045499999998</v>
      </c>
      <c r="V111" s="56">
        <f>(1000*CHOOSE(CONTROL!$C$42, 500, 500)*CHOOSE(CONTROL!$C$42, 0.275, 0.275)*CHOOSE(CONTROL!$C$42, 31, 31))/1000000</f>
        <v>4.2625000000000002</v>
      </c>
      <c r="W111" s="56">
        <f>(1000*CHOOSE(CONTROL!$C$42, 0.1146, 0.1146)*CHOOSE(CONTROL!$C$42, 121.5, 121.5)*CHOOSE(CONTROL!$C$42, 31, 31))/1000000</f>
        <v>0.43164089999999994</v>
      </c>
      <c r="X111" s="56">
        <f>(31*0.1790888*100000/1000000)+(31*0.2374*100000/1000000)</f>
        <v>1.2911152800000001</v>
      </c>
      <c r="Y111" s="56"/>
      <c r="Z111" s="14"/>
      <c r="AA111" s="55"/>
      <c r="AB111" s="49">
        <f>(B111*122.58+C111*297.941+D111*89.177+E111*40.302+F111*40+G111*160+H111*0+I111*100+J111*300)/(122.58+297.941+89.177+40.302+0+40+160+100+300)</f>
        <v>7.5088547640869567</v>
      </c>
      <c r="AC111" s="44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7.3989726618705038</v>
      </c>
    </row>
    <row r="112" spans="1:29" ht="15.75" x14ac:dyDescent="0.25">
      <c r="A112" s="13">
        <v>44287</v>
      </c>
      <c r="B112" s="14">
        <f>CHOOSE(CONTROL!$C$42, 7.4756, 7.4756) * CHOOSE(CONTROL!$C$21, $C$9, 100%, $E$9)</f>
        <v>7.4756</v>
      </c>
      <c r="C112" s="14">
        <f>CHOOSE(CONTROL!$C$42, 7.48, 7.48) * CHOOSE(CONTROL!$C$21, $C$9, 100%, $E$9)</f>
        <v>7.48</v>
      </c>
      <c r="D112" s="14">
        <f>CHOOSE(CONTROL!$C$42, 7.709, 7.709) * CHOOSE(CONTROL!$C$21, $C$9, 100%, $E$9)</f>
        <v>7.7089999999999996</v>
      </c>
      <c r="E112" s="14">
        <f>CHOOSE(CONTROL!$C$42, 7.7411, 7.7411) * CHOOSE(CONTROL!$C$21, $C$9, 100%, $E$9)</f>
        <v>7.7411000000000003</v>
      </c>
      <c r="F112" s="14">
        <f>CHOOSE(CONTROL!$C$42, 7.5026, 7.5026)*CHOOSE(CONTROL!$C$21, $C$9, 100%, $E$9)</f>
        <v>7.5026000000000002</v>
      </c>
      <c r="G112" s="14">
        <f>CHOOSE(CONTROL!$C$42, 7.5193, 7.5193)*CHOOSE(CONTROL!$C$21, $C$9, 100%, $E$9)</f>
        <v>7.5193000000000003</v>
      </c>
      <c r="H112" s="14">
        <f>CHOOSE(CONTROL!$C$42, 7.7309, 7.7309) * CHOOSE(CONTROL!$C$21, $C$9, 100%, $E$9)</f>
        <v>7.7309000000000001</v>
      </c>
      <c r="I112" s="14">
        <f>CHOOSE(CONTROL!$C$42, 7.5319, 7.5319)* CHOOSE(CONTROL!$C$21, $C$9, 100%, $E$9)</f>
        <v>7.5319000000000003</v>
      </c>
      <c r="J112" s="14">
        <f>CHOOSE(CONTROL!$C$42, 7.4956, 7.4956)* CHOOSE(CONTROL!$C$21, $C$9, 100%, $E$9)</f>
        <v>7.4955999999999996</v>
      </c>
      <c r="K112" s="52">
        <f>CHOOSE(CONTROL!$C$42, 7.528, 7.528) * CHOOSE(CONTROL!$C$21, $C$9, 100%, $E$9)</f>
        <v>7.5279999999999996</v>
      </c>
      <c r="L112" s="14">
        <f>CHOOSE(CONTROL!$C$42, 8.3179, 8.3179) * CHOOSE(CONTROL!$C$21, $C$9, 100%, $E$9)</f>
        <v>8.3178999999999998</v>
      </c>
      <c r="M112" s="14">
        <f>CHOOSE(CONTROL!$C$42, 7.3497, 7.3497) * CHOOSE(CONTROL!$C$21, $C$9, 100%, $E$9)</f>
        <v>7.3497000000000003</v>
      </c>
      <c r="N112" s="14">
        <f>CHOOSE(CONTROL!$C$42, 7.366, 7.366) * CHOOSE(CONTROL!$C$21, $C$9, 100%, $E$9)</f>
        <v>7.3659999999999997</v>
      </c>
      <c r="O112" s="14">
        <f>CHOOSE(CONTROL!$C$42, 7.5802, 7.5802) * CHOOSE(CONTROL!$C$21, $C$9, 100%, $E$9)</f>
        <v>7.5801999999999996</v>
      </c>
      <c r="P112" s="14">
        <f>CHOOSE(CONTROL!$C$42, 7.3849, 7.3849) * CHOOSE(CONTROL!$C$21, $C$9, 100%, $E$9)</f>
        <v>7.3849</v>
      </c>
      <c r="Q112" s="14">
        <f>CHOOSE(CONTROL!$C$42, 8.1749, 8.1749) * CHOOSE(CONTROL!$C$21, $C$9, 100%, $E$9)</f>
        <v>8.1748999999999992</v>
      </c>
      <c r="R112" s="14">
        <f>CHOOSE(CONTROL!$C$42, 8.7823, 8.7823) * CHOOSE(CONTROL!$C$21, $C$9, 100%, $E$9)</f>
        <v>8.7822999999999993</v>
      </c>
      <c r="S112" s="14">
        <f>CHOOSE(CONTROL!$C$42, 7.174, 7.174) * CHOOSE(CONTROL!$C$21, $C$9, 100%, $E$9)</f>
        <v>7.1740000000000004</v>
      </c>
      <c r="T11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56">
        <f>(1000*CHOOSE(CONTROL!$C$42, 695, 695)*CHOOSE(CONTROL!$C$42, 0.5599, 0.5599)*CHOOSE(CONTROL!$C$42, 30, 30))/1000000</f>
        <v>11.673914999999997</v>
      </c>
      <c r="V112" s="56">
        <f>(1000*CHOOSE(CONTROL!$C$42, 500, 500)*CHOOSE(CONTROL!$C$42, 0.275, 0.275)*CHOOSE(CONTROL!$C$42, 30, 30))/1000000</f>
        <v>4.125</v>
      </c>
      <c r="W112" s="56">
        <f>(1000*CHOOSE(CONTROL!$C$42, 0.1146, 0.1146)*CHOOSE(CONTROL!$C$42, 121.5, 121.5)*CHOOSE(CONTROL!$C$42, 30, 30))/1000000</f>
        <v>0.417717</v>
      </c>
      <c r="X112" s="56">
        <f>(30*0.1790888*245000/1000000)+(30*0.2374*100000/1000000)</f>
        <v>2.0285026799999999</v>
      </c>
      <c r="Y112" s="56"/>
      <c r="Z112" s="14"/>
      <c r="AA112" s="55"/>
      <c r="AB112" s="49">
        <f>(B112*141.293+C112*267.993+D112*115.016+E112*89.698+F112*40+G112*185+H112*0+I112*100+J112*300)/(141.293+267.993+115.016+89.698+0+40+185+100+300)</f>
        <v>7.534222455690073</v>
      </c>
      <c r="AC112" s="44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7.4231899280575542</v>
      </c>
    </row>
    <row r="113" spans="1:29" ht="15.75" x14ac:dyDescent="0.25">
      <c r="A113" s="13">
        <v>44317</v>
      </c>
      <c r="B113" s="14">
        <f>CHOOSE(CONTROL!$C$42, 7.5584, 7.5584) * CHOOSE(CONTROL!$C$21, $C$9, 100%, $E$9)</f>
        <v>7.5583999999999998</v>
      </c>
      <c r="C113" s="14">
        <f>CHOOSE(CONTROL!$C$42, 7.5664, 7.5664) * CHOOSE(CONTROL!$C$21, $C$9, 100%, $E$9)</f>
        <v>7.5663999999999998</v>
      </c>
      <c r="D113" s="14">
        <f>CHOOSE(CONTROL!$C$42, 7.7922, 7.7922) * CHOOSE(CONTROL!$C$21, $C$9, 100%, $E$9)</f>
        <v>7.7922000000000002</v>
      </c>
      <c r="E113" s="14">
        <f>CHOOSE(CONTROL!$C$42, 7.8236, 7.8236) * CHOOSE(CONTROL!$C$21, $C$9, 100%, $E$9)</f>
        <v>7.8235999999999999</v>
      </c>
      <c r="F113" s="14">
        <f>CHOOSE(CONTROL!$C$42, 7.584, 7.584)*CHOOSE(CONTROL!$C$21, $C$9, 100%, $E$9)</f>
        <v>7.5839999999999996</v>
      </c>
      <c r="G113" s="14">
        <f>CHOOSE(CONTROL!$C$42, 7.601, 7.601)*CHOOSE(CONTROL!$C$21, $C$9, 100%, $E$9)</f>
        <v>7.601</v>
      </c>
      <c r="H113" s="14">
        <f>CHOOSE(CONTROL!$C$42, 7.8123, 7.8123) * CHOOSE(CONTROL!$C$21, $C$9, 100%, $E$9)</f>
        <v>7.8122999999999996</v>
      </c>
      <c r="I113" s="14">
        <f>CHOOSE(CONTROL!$C$42, 7.6136, 7.6136)* CHOOSE(CONTROL!$C$21, $C$9, 100%, $E$9)</f>
        <v>7.6135999999999999</v>
      </c>
      <c r="J113" s="14">
        <f>CHOOSE(CONTROL!$C$42, 7.577, 7.577)* CHOOSE(CONTROL!$C$21, $C$9, 100%, $E$9)</f>
        <v>7.577</v>
      </c>
      <c r="K113" s="52">
        <f>CHOOSE(CONTROL!$C$42, 7.6097, 7.6097) * CHOOSE(CONTROL!$C$21, $C$9, 100%, $E$9)</f>
        <v>7.6097000000000001</v>
      </c>
      <c r="L113" s="14">
        <f>CHOOSE(CONTROL!$C$42, 8.3993, 8.3993) * CHOOSE(CONTROL!$C$21, $C$9, 100%, $E$9)</f>
        <v>8.3993000000000002</v>
      </c>
      <c r="M113" s="14">
        <f>CHOOSE(CONTROL!$C$42, 7.4295, 7.4295) * CHOOSE(CONTROL!$C$21, $C$9, 100%, $E$9)</f>
        <v>7.4295</v>
      </c>
      <c r="N113" s="14">
        <f>CHOOSE(CONTROL!$C$42, 7.4461, 7.4461) * CHOOSE(CONTROL!$C$21, $C$9, 100%, $E$9)</f>
        <v>7.4461000000000004</v>
      </c>
      <c r="O113" s="14">
        <f>CHOOSE(CONTROL!$C$42, 7.6599, 7.6599) * CHOOSE(CONTROL!$C$21, $C$9, 100%, $E$9)</f>
        <v>7.6599000000000004</v>
      </c>
      <c r="P113" s="14">
        <f>CHOOSE(CONTROL!$C$42, 7.4649, 7.4649) * CHOOSE(CONTROL!$C$21, $C$9, 100%, $E$9)</f>
        <v>7.4649000000000001</v>
      </c>
      <c r="Q113" s="14">
        <f>CHOOSE(CONTROL!$C$42, 8.2546, 8.2546) * CHOOSE(CONTROL!$C$21, $C$9, 100%, $E$9)</f>
        <v>8.2545999999999999</v>
      </c>
      <c r="R113" s="14">
        <f>CHOOSE(CONTROL!$C$42, 8.8622, 8.8622) * CHOOSE(CONTROL!$C$21, $C$9, 100%, $E$9)</f>
        <v>8.8621999999999996</v>
      </c>
      <c r="S113" s="14">
        <f>CHOOSE(CONTROL!$C$42, 7.2522, 7.2522) * CHOOSE(CONTROL!$C$21, $C$9, 100%, $E$9)</f>
        <v>7.2522000000000002</v>
      </c>
      <c r="T11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56">
        <f>(1000*CHOOSE(CONTROL!$C$42, 695, 695)*CHOOSE(CONTROL!$C$42, 0.5599, 0.5599)*CHOOSE(CONTROL!$C$42, 31, 31))/1000000</f>
        <v>12.063045499999998</v>
      </c>
      <c r="V113" s="56">
        <f>(1000*CHOOSE(CONTROL!$C$42, 500, 500)*CHOOSE(CONTROL!$C$42, 0.275, 0.275)*CHOOSE(CONTROL!$C$42, 31, 31))/1000000</f>
        <v>4.2625000000000002</v>
      </c>
      <c r="W113" s="56">
        <f>(1000*CHOOSE(CONTROL!$C$42, 0.1146, 0.1146)*CHOOSE(CONTROL!$C$42, 121.5, 121.5)*CHOOSE(CONTROL!$C$42, 31, 31))/1000000</f>
        <v>0.43164089999999994</v>
      </c>
      <c r="X113" s="56">
        <f>(31*0.1790888*245000/1000000)+(31*0.2374*100000/1000000)</f>
        <v>2.0961194359999999</v>
      </c>
      <c r="Y113" s="56"/>
      <c r="Z113" s="14"/>
      <c r="AA113" s="55"/>
      <c r="AB113" s="49">
        <f>(B113*194.205+C113*267.466+D113*133.845+E113*53.484+F113*40+G113*185+H113*0+I113*100+J113*300)/(194.205+267.466+133.845+53.484+0+40+185+100+300)</f>
        <v>7.6114782149136575</v>
      </c>
      <c r="AC113" s="44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7.5030597122302165</v>
      </c>
    </row>
    <row r="114" spans="1:29" ht="15.75" x14ac:dyDescent="0.25">
      <c r="A114" s="13">
        <v>44348</v>
      </c>
      <c r="B114" s="14">
        <f>CHOOSE(CONTROL!$C$42, 7.7884, 7.7884) * CHOOSE(CONTROL!$C$21, $C$9, 100%, $E$9)</f>
        <v>7.7884000000000002</v>
      </c>
      <c r="C114" s="14">
        <f>CHOOSE(CONTROL!$C$42, 7.7964, 7.7964) * CHOOSE(CONTROL!$C$21, $C$9, 100%, $E$9)</f>
        <v>7.7964000000000002</v>
      </c>
      <c r="D114" s="14">
        <f>CHOOSE(CONTROL!$C$42, 8.0222, 8.0222) * CHOOSE(CONTROL!$C$21, $C$9, 100%, $E$9)</f>
        <v>8.0221999999999998</v>
      </c>
      <c r="E114" s="14">
        <f>CHOOSE(CONTROL!$C$42, 8.0537, 8.0537) * CHOOSE(CONTROL!$C$21, $C$9, 100%, $E$9)</f>
        <v>8.0536999999999992</v>
      </c>
      <c r="F114" s="14">
        <f>CHOOSE(CONTROL!$C$42, 7.8145, 7.8145)*CHOOSE(CONTROL!$C$21, $C$9, 100%, $E$9)</f>
        <v>7.8144999999999998</v>
      </c>
      <c r="G114" s="14">
        <f>CHOOSE(CONTROL!$C$42, 7.8316, 7.8316)*CHOOSE(CONTROL!$C$21, $C$9, 100%, $E$9)</f>
        <v>7.8315999999999999</v>
      </c>
      <c r="H114" s="14">
        <f>CHOOSE(CONTROL!$C$42, 8.0423, 8.0423) * CHOOSE(CONTROL!$C$21, $C$9, 100%, $E$9)</f>
        <v>8.0422999999999991</v>
      </c>
      <c r="I114" s="14">
        <f>CHOOSE(CONTROL!$C$42, 7.8443, 7.8443)* CHOOSE(CONTROL!$C$21, $C$9, 100%, $E$9)</f>
        <v>7.8442999999999996</v>
      </c>
      <c r="J114" s="14">
        <f>CHOOSE(CONTROL!$C$42, 7.8075, 7.8075)* CHOOSE(CONTROL!$C$21, $C$9, 100%, $E$9)</f>
        <v>7.8075000000000001</v>
      </c>
      <c r="K114" s="52">
        <f>CHOOSE(CONTROL!$C$42, 7.8404, 7.8404) * CHOOSE(CONTROL!$C$21, $C$9, 100%, $E$9)</f>
        <v>7.8403999999999998</v>
      </c>
      <c r="L114" s="14">
        <f>CHOOSE(CONTROL!$C$42, 8.6293, 8.6293) * CHOOSE(CONTROL!$C$21, $C$9, 100%, $E$9)</f>
        <v>8.6293000000000006</v>
      </c>
      <c r="M114" s="14">
        <f>CHOOSE(CONTROL!$C$42, 7.6552, 7.6552) * CHOOSE(CONTROL!$C$21, $C$9, 100%, $E$9)</f>
        <v>7.6551999999999998</v>
      </c>
      <c r="N114" s="14">
        <f>CHOOSE(CONTROL!$C$42, 7.672, 7.672) * CHOOSE(CONTROL!$C$21, $C$9, 100%, $E$9)</f>
        <v>7.6719999999999997</v>
      </c>
      <c r="O114" s="14">
        <f>CHOOSE(CONTROL!$C$42, 7.8852, 7.8852) * CHOOSE(CONTROL!$C$21, $C$9, 100%, $E$9)</f>
        <v>7.8852000000000002</v>
      </c>
      <c r="P114" s="14">
        <f>CHOOSE(CONTROL!$C$42, 7.6909, 7.6909) * CHOOSE(CONTROL!$C$21, $C$9, 100%, $E$9)</f>
        <v>7.6909000000000001</v>
      </c>
      <c r="Q114" s="14">
        <f>CHOOSE(CONTROL!$C$42, 8.4799, 8.4799) * CHOOSE(CONTROL!$C$21, $C$9, 100%, $E$9)</f>
        <v>8.4799000000000007</v>
      </c>
      <c r="R114" s="14">
        <f>CHOOSE(CONTROL!$C$42, 9.0881, 9.0881) * CHOOSE(CONTROL!$C$21, $C$9, 100%, $E$9)</f>
        <v>9.0881000000000007</v>
      </c>
      <c r="S114" s="14">
        <f>CHOOSE(CONTROL!$C$42, 7.4732, 7.4732) * CHOOSE(CONTROL!$C$21, $C$9, 100%, $E$9)</f>
        <v>7.4732000000000003</v>
      </c>
      <c r="T11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56">
        <f>(1000*CHOOSE(CONTROL!$C$42, 695, 695)*CHOOSE(CONTROL!$C$42, 0.5599, 0.5599)*CHOOSE(CONTROL!$C$42, 30, 30))/1000000</f>
        <v>11.673914999999997</v>
      </c>
      <c r="V114" s="56">
        <f>(1000*CHOOSE(CONTROL!$C$42, 500, 500)*CHOOSE(CONTROL!$C$42, 0.275, 0.275)*CHOOSE(CONTROL!$C$42, 30, 30))/1000000</f>
        <v>4.125</v>
      </c>
      <c r="W114" s="56">
        <f>(1000*CHOOSE(CONTROL!$C$42, 0.1146, 0.1146)*CHOOSE(CONTROL!$C$42, 121.5, 121.5)*CHOOSE(CONTROL!$C$42, 30, 30))/1000000</f>
        <v>0.417717</v>
      </c>
      <c r="X114" s="56">
        <f>(30*0.1790888*245000/1000000)+(30*0.2374*100000/1000000)</f>
        <v>2.0285026799999999</v>
      </c>
      <c r="Y114" s="56"/>
      <c r="Z114" s="14"/>
      <c r="AA114" s="55"/>
      <c r="AB114" s="49">
        <f>(B114*194.205+C114*267.466+D114*133.845+E114*53.484+F114*40+G114*185+H114*0+I114*100+J114*300)/(194.205+267.466+133.845+53.484+0+40+185+100+300)</f>
        <v>7.8417579232339092</v>
      </c>
      <c r="AC114" s="44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7.7287366906474819</v>
      </c>
    </row>
    <row r="115" spans="1:29" ht="15.75" x14ac:dyDescent="0.25">
      <c r="A115" s="13">
        <v>44378</v>
      </c>
      <c r="B115" s="14">
        <f>CHOOSE(CONTROL!$C$42, 7.6549, 7.6549) * CHOOSE(CONTROL!$C$21, $C$9, 100%, $E$9)</f>
        <v>7.6548999999999996</v>
      </c>
      <c r="C115" s="14">
        <f>CHOOSE(CONTROL!$C$42, 7.6629, 7.6629) * CHOOSE(CONTROL!$C$21, $C$9, 100%, $E$9)</f>
        <v>7.6628999999999996</v>
      </c>
      <c r="D115" s="14">
        <f>CHOOSE(CONTROL!$C$42, 7.8887, 7.8887) * CHOOSE(CONTROL!$C$21, $C$9, 100%, $E$9)</f>
        <v>7.8887</v>
      </c>
      <c r="E115" s="14">
        <f>CHOOSE(CONTROL!$C$42, 7.9202, 7.9202) * CHOOSE(CONTROL!$C$21, $C$9, 100%, $E$9)</f>
        <v>7.9202000000000004</v>
      </c>
      <c r="F115" s="14">
        <f>CHOOSE(CONTROL!$C$42, 7.6815, 7.6815)*CHOOSE(CONTROL!$C$21, $C$9, 100%, $E$9)</f>
        <v>7.6814999999999998</v>
      </c>
      <c r="G115" s="14">
        <f>CHOOSE(CONTROL!$C$42, 7.6987, 7.6987)*CHOOSE(CONTROL!$C$21, $C$9, 100%, $E$9)</f>
        <v>7.6986999999999997</v>
      </c>
      <c r="H115" s="14">
        <f>CHOOSE(CONTROL!$C$42, 7.9088, 7.9088) * CHOOSE(CONTROL!$C$21, $C$9, 100%, $E$9)</f>
        <v>7.9088000000000003</v>
      </c>
      <c r="I115" s="14">
        <f>CHOOSE(CONTROL!$C$42, 7.7104, 7.7104)* CHOOSE(CONTROL!$C$21, $C$9, 100%, $E$9)</f>
        <v>7.7103999999999999</v>
      </c>
      <c r="J115" s="14">
        <f>CHOOSE(CONTROL!$C$42, 7.6745, 7.6745)* CHOOSE(CONTROL!$C$21, $C$9, 100%, $E$9)</f>
        <v>7.6745000000000001</v>
      </c>
      <c r="K115" s="52">
        <f>CHOOSE(CONTROL!$C$42, 7.7065, 7.7065) * CHOOSE(CONTROL!$C$21, $C$9, 100%, $E$9)</f>
        <v>7.7065000000000001</v>
      </c>
      <c r="L115" s="14">
        <f>CHOOSE(CONTROL!$C$42, 8.4958, 8.4958) * CHOOSE(CONTROL!$C$21, $C$9, 100%, $E$9)</f>
        <v>8.4957999999999991</v>
      </c>
      <c r="M115" s="14">
        <f>CHOOSE(CONTROL!$C$42, 7.5249, 7.5249) * CHOOSE(CONTROL!$C$21, $C$9, 100%, $E$9)</f>
        <v>7.5248999999999997</v>
      </c>
      <c r="N115" s="14">
        <f>CHOOSE(CONTROL!$C$42, 7.5418, 7.5418) * CHOOSE(CONTROL!$C$21, $C$9, 100%, $E$9)</f>
        <v>7.5418000000000003</v>
      </c>
      <c r="O115" s="14">
        <f>CHOOSE(CONTROL!$C$42, 7.7545, 7.7545) * CHOOSE(CONTROL!$C$21, $C$9, 100%, $E$9)</f>
        <v>7.7545000000000002</v>
      </c>
      <c r="P115" s="14">
        <f>CHOOSE(CONTROL!$C$42, 7.5597, 7.5597) * CHOOSE(CONTROL!$C$21, $C$9, 100%, $E$9)</f>
        <v>7.5597000000000003</v>
      </c>
      <c r="Q115" s="14">
        <f>CHOOSE(CONTROL!$C$42, 8.3492, 8.3492) * CHOOSE(CONTROL!$C$21, $C$9, 100%, $E$9)</f>
        <v>8.3491999999999997</v>
      </c>
      <c r="R115" s="14">
        <f>CHOOSE(CONTROL!$C$42, 8.957, 8.957) * CHOOSE(CONTROL!$C$21, $C$9, 100%, $E$9)</f>
        <v>8.9570000000000007</v>
      </c>
      <c r="S115" s="14">
        <f>CHOOSE(CONTROL!$C$42, 7.345, 7.345) * CHOOSE(CONTROL!$C$21, $C$9, 100%, $E$9)</f>
        <v>7.3449999999999998</v>
      </c>
      <c r="T11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56">
        <f>(1000*CHOOSE(CONTROL!$C$42, 695, 695)*CHOOSE(CONTROL!$C$42, 0.5599, 0.5599)*CHOOSE(CONTROL!$C$42, 31, 31))/1000000</f>
        <v>12.063045499999998</v>
      </c>
      <c r="V115" s="56">
        <f>(1000*CHOOSE(CONTROL!$C$42, 500, 500)*CHOOSE(CONTROL!$C$42, 0.275, 0.275)*CHOOSE(CONTROL!$C$42, 31, 31))/1000000</f>
        <v>4.2625000000000002</v>
      </c>
      <c r="W115" s="56">
        <f>(1000*CHOOSE(CONTROL!$C$42, 0.1146, 0.1146)*CHOOSE(CONTROL!$C$42, 121.5, 121.5)*CHOOSE(CONTROL!$C$42, 31, 31))/1000000</f>
        <v>0.43164089999999994</v>
      </c>
      <c r="X115" s="56">
        <f>(31*0.1790888*245000/1000000)+(31*0.2374*100000/1000000)</f>
        <v>2.0961194359999999</v>
      </c>
      <c r="Y115" s="56"/>
      <c r="Z115" s="14"/>
      <c r="AA115" s="55"/>
      <c r="AB115" s="49">
        <f>(B115*194.205+C115*267.466+D115*133.845+E115*53.484+F115*40+G115*185+H115*0+I115*100+J115*300)/(194.205+267.466+133.845+53.484+0+40+185+100+300)</f>
        <v>7.7084470912087912</v>
      </c>
      <c r="AC115" s="44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7.5982179856115106</v>
      </c>
    </row>
    <row r="116" spans="1:29" ht="15.75" x14ac:dyDescent="0.25">
      <c r="A116" s="13">
        <v>44409</v>
      </c>
      <c r="B116" s="14">
        <f>CHOOSE(CONTROL!$C$42, 7.2924, 7.2924) * CHOOSE(CONTROL!$C$21, $C$9, 100%, $E$9)</f>
        <v>7.2923999999999998</v>
      </c>
      <c r="C116" s="14">
        <f>CHOOSE(CONTROL!$C$42, 7.3004, 7.3004) * CHOOSE(CONTROL!$C$21, $C$9, 100%, $E$9)</f>
        <v>7.3003999999999998</v>
      </c>
      <c r="D116" s="14">
        <f>CHOOSE(CONTROL!$C$42, 7.5262, 7.5262) * CHOOSE(CONTROL!$C$21, $C$9, 100%, $E$9)</f>
        <v>7.5262000000000002</v>
      </c>
      <c r="E116" s="14">
        <f>CHOOSE(CONTROL!$C$42, 7.5576, 7.5576) * CHOOSE(CONTROL!$C$21, $C$9, 100%, $E$9)</f>
        <v>7.5575999999999999</v>
      </c>
      <c r="F116" s="14">
        <f>CHOOSE(CONTROL!$C$42, 7.3192, 7.3192)*CHOOSE(CONTROL!$C$21, $C$9, 100%, $E$9)</f>
        <v>7.3192000000000004</v>
      </c>
      <c r="G116" s="14">
        <f>CHOOSE(CONTROL!$C$42, 7.3364, 7.3364)*CHOOSE(CONTROL!$C$21, $C$9, 100%, $E$9)</f>
        <v>7.3364000000000003</v>
      </c>
      <c r="H116" s="14">
        <f>CHOOSE(CONTROL!$C$42, 7.5463, 7.5463) * CHOOSE(CONTROL!$C$21, $C$9, 100%, $E$9)</f>
        <v>7.5462999999999996</v>
      </c>
      <c r="I116" s="14">
        <f>CHOOSE(CONTROL!$C$42, 7.3467, 7.3467)* CHOOSE(CONTROL!$C$21, $C$9, 100%, $E$9)</f>
        <v>7.3467000000000002</v>
      </c>
      <c r="J116" s="14">
        <f>CHOOSE(CONTROL!$C$42, 7.3122, 7.3122)* CHOOSE(CONTROL!$C$21, $C$9, 100%, $E$9)</f>
        <v>7.3121999999999998</v>
      </c>
      <c r="K116" s="52">
        <f>CHOOSE(CONTROL!$C$42, 7.3428, 7.3428) * CHOOSE(CONTROL!$C$21, $C$9, 100%, $E$9)</f>
        <v>7.3428000000000004</v>
      </c>
      <c r="L116" s="14">
        <f>CHOOSE(CONTROL!$C$42, 8.1333, 8.1333) * CHOOSE(CONTROL!$C$21, $C$9, 100%, $E$9)</f>
        <v>8.1333000000000002</v>
      </c>
      <c r="M116" s="14">
        <f>CHOOSE(CONTROL!$C$42, 7.17, 7.17) * CHOOSE(CONTROL!$C$21, $C$9, 100%, $E$9)</f>
        <v>7.17</v>
      </c>
      <c r="N116" s="14">
        <f>CHOOSE(CONTROL!$C$42, 7.187, 7.187) * CHOOSE(CONTROL!$C$21, $C$9, 100%, $E$9)</f>
        <v>7.1870000000000003</v>
      </c>
      <c r="O116" s="14">
        <f>CHOOSE(CONTROL!$C$42, 7.3993, 7.3993) * CHOOSE(CONTROL!$C$21, $C$9, 100%, $E$9)</f>
        <v>7.3993000000000002</v>
      </c>
      <c r="P116" s="14">
        <f>CHOOSE(CONTROL!$C$42, 7.2035, 7.2035) * CHOOSE(CONTROL!$C$21, $C$9, 100%, $E$9)</f>
        <v>7.2035</v>
      </c>
      <c r="Q116" s="14">
        <f>CHOOSE(CONTROL!$C$42, 7.994, 7.994) * CHOOSE(CONTROL!$C$21, $C$9, 100%, $E$9)</f>
        <v>7.9939999999999998</v>
      </c>
      <c r="R116" s="14">
        <f>CHOOSE(CONTROL!$C$42, 8.601, 8.601) * CHOOSE(CONTROL!$C$21, $C$9, 100%, $E$9)</f>
        <v>8.6010000000000009</v>
      </c>
      <c r="S116" s="14">
        <f>CHOOSE(CONTROL!$C$42, 6.9966, 6.9966) * CHOOSE(CONTROL!$C$21, $C$9, 100%, $E$9)</f>
        <v>6.9965999999999999</v>
      </c>
      <c r="T11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56">
        <f>(1000*CHOOSE(CONTROL!$C$42, 695, 695)*CHOOSE(CONTROL!$C$42, 0.5599, 0.5599)*CHOOSE(CONTROL!$C$42, 31, 31))/1000000</f>
        <v>12.063045499999998</v>
      </c>
      <c r="V116" s="56">
        <f>(1000*CHOOSE(CONTROL!$C$42, 500, 500)*CHOOSE(CONTROL!$C$42, 0.275, 0.275)*CHOOSE(CONTROL!$C$42, 31, 31))/1000000</f>
        <v>4.2625000000000002</v>
      </c>
      <c r="W116" s="56">
        <f>(1000*CHOOSE(CONTROL!$C$42, 0.1146, 0.1146)*CHOOSE(CONTROL!$C$42, 121.5, 121.5)*CHOOSE(CONTROL!$C$42, 31, 31))/1000000</f>
        <v>0.43164089999999994</v>
      </c>
      <c r="X116" s="56">
        <f>(31*0.1790888*245000/1000000)+(31*0.2374*100000/1000000)</f>
        <v>2.0961194359999999</v>
      </c>
      <c r="Y116" s="56"/>
      <c r="Z116" s="14"/>
      <c r="AA116" s="55"/>
      <c r="AB116" s="49">
        <f>(B116*194.205+C116*267.466+D116*133.845+E116*53.484+F116*40+G116*185+H116*0+I116*100+J116*300)/(194.205+267.466+133.845+53.484+0+40+185+100+300)</f>
        <v>7.3459311191522767</v>
      </c>
      <c r="AC116" s="44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7.243069784172663</v>
      </c>
    </row>
    <row r="117" spans="1:29" ht="15.75" x14ac:dyDescent="0.25">
      <c r="A117" s="13">
        <v>44440</v>
      </c>
      <c r="B117" s="14">
        <f>CHOOSE(CONTROL!$C$42, 6.844, 6.844) * CHOOSE(CONTROL!$C$21, $C$9, 100%, $E$9)</f>
        <v>6.8440000000000003</v>
      </c>
      <c r="C117" s="14">
        <f>CHOOSE(CONTROL!$C$42, 6.852, 6.852) * CHOOSE(CONTROL!$C$21, $C$9, 100%, $E$9)</f>
        <v>6.8520000000000003</v>
      </c>
      <c r="D117" s="14">
        <f>CHOOSE(CONTROL!$C$42, 7.0778, 7.0778) * CHOOSE(CONTROL!$C$21, $C$9, 100%, $E$9)</f>
        <v>7.0777999999999999</v>
      </c>
      <c r="E117" s="14">
        <f>CHOOSE(CONTROL!$C$42, 7.1092, 7.1092) * CHOOSE(CONTROL!$C$21, $C$9, 100%, $E$9)</f>
        <v>7.1092000000000004</v>
      </c>
      <c r="F117" s="14">
        <f>CHOOSE(CONTROL!$C$42, 6.8708, 6.8708)*CHOOSE(CONTROL!$C$21, $C$9, 100%, $E$9)</f>
        <v>6.8708</v>
      </c>
      <c r="G117" s="14">
        <f>CHOOSE(CONTROL!$C$42, 6.888, 6.888)*CHOOSE(CONTROL!$C$21, $C$9, 100%, $E$9)</f>
        <v>6.8879999999999999</v>
      </c>
      <c r="H117" s="14">
        <f>CHOOSE(CONTROL!$C$42, 7.0979, 7.0979) * CHOOSE(CONTROL!$C$21, $C$9, 100%, $E$9)</f>
        <v>7.0979000000000001</v>
      </c>
      <c r="I117" s="14">
        <f>CHOOSE(CONTROL!$C$42, 6.8969, 6.8969)* CHOOSE(CONTROL!$C$21, $C$9, 100%, $E$9)</f>
        <v>6.8968999999999996</v>
      </c>
      <c r="J117" s="14">
        <f>CHOOSE(CONTROL!$C$42, 6.8638, 6.8638)* CHOOSE(CONTROL!$C$21, $C$9, 100%, $E$9)</f>
        <v>6.8638000000000003</v>
      </c>
      <c r="K117" s="52">
        <f>CHOOSE(CONTROL!$C$42, 6.893, 6.893) * CHOOSE(CONTROL!$C$21, $C$9, 100%, $E$9)</f>
        <v>6.8929999999999998</v>
      </c>
      <c r="L117" s="14">
        <f>CHOOSE(CONTROL!$C$42, 7.6849, 7.6849) * CHOOSE(CONTROL!$C$21, $C$9, 100%, $E$9)</f>
        <v>7.6848999999999998</v>
      </c>
      <c r="M117" s="14">
        <f>CHOOSE(CONTROL!$C$42, 6.7308, 6.7308) * CHOOSE(CONTROL!$C$21, $C$9, 100%, $E$9)</f>
        <v>6.7308000000000003</v>
      </c>
      <c r="N117" s="14">
        <f>CHOOSE(CONTROL!$C$42, 6.7477, 6.7477) * CHOOSE(CONTROL!$C$21, $C$9, 100%, $E$9)</f>
        <v>6.7477</v>
      </c>
      <c r="O117" s="14">
        <f>CHOOSE(CONTROL!$C$42, 6.9601, 6.9601) * CHOOSE(CONTROL!$C$21, $C$9, 100%, $E$9)</f>
        <v>6.9600999999999997</v>
      </c>
      <c r="P117" s="14">
        <f>CHOOSE(CONTROL!$C$42, 6.763, 6.763) * CHOOSE(CONTROL!$C$21, $C$9, 100%, $E$9)</f>
        <v>6.7629999999999999</v>
      </c>
      <c r="Q117" s="14">
        <f>CHOOSE(CONTROL!$C$42, 7.5548, 7.5548) * CHOOSE(CONTROL!$C$21, $C$9, 100%, $E$9)</f>
        <v>7.5548000000000002</v>
      </c>
      <c r="R117" s="14">
        <f>CHOOSE(CONTROL!$C$42, 8.1607, 8.1607) * CHOOSE(CONTROL!$C$21, $C$9, 100%, $E$9)</f>
        <v>8.1607000000000003</v>
      </c>
      <c r="S117" s="14">
        <f>CHOOSE(CONTROL!$C$42, 6.5657, 6.5657) * CHOOSE(CONTROL!$C$21, $C$9, 100%, $E$9)</f>
        <v>6.5656999999999996</v>
      </c>
      <c r="T11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56">
        <f>(1000*CHOOSE(CONTROL!$C$42, 695, 695)*CHOOSE(CONTROL!$C$42, 0.5599, 0.5599)*CHOOSE(CONTROL!$C$42, 30, 30))/1000000</f>
        <v>11.673914999999997</v>
      </c>
      <c r="V117" s="56">
        <f>(1000*CHOOSE(CONTROL!$C$42, 500, 500)*CHOOSE(CONTROL!$C$42, 0.275, 0.275)*CHOOSE(CONTROL!$C$42, 30, 30))/1000000</f>
        <v>4.125</v>
      </c>
      <c r="W117" s="56">
        <f>(1000*CHOOSE(CONTROL!$C$42, 0.1146, 0.1146)*CHOOSE(CONTROL!$C$42, 121.5, 121.5)*CHOOSE(CONTROL!$C$42, 30, 30))/1000000</f>
        <v>0.417717</v>
      </c>
      <c r="X117" s="56">
        <f>(30*0.1790888*245000/1000000)+(30*0.2374*100000/1000000)</f>
        <v>2.0285026799999999</v>
      </c>
      <c r="Y117" s="56"/>
      <c r="Z117" s="14"/>
      <c r="AA117" s="55"/>
      <c r="AB117" s="49">
        <f>(B117*194.205+C117*267.466+D117*133.845+E117*53.484+F117*40+G117*185+H117*0+I117*100+J117*300)/(194.205+267.466+133.845+53.484+0+40+185+100+300)</f>
        <v>6.8974212290423873</v>
      </c>
      <c r="AC117" s="44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6.8036597122302167</v>
      </c>
    </row>
    <row r="118" spans="1:29" ht="15.75" x14ac:dyDescent="0.25">
      <c r="A118" s="13">
        <v>44470</v>
      </c>
      <c r="B118" s="14">
        <f>CHOOSE(CONTROL!$C$42, 6.7173, 6.7173) * CHOOSE(CONTROL!$C$21, $C$9, 100%, $E$9)</f>
        <v>6.7172999999999998</v>
      </c>
      <c r="C118" s="14">
        <f>CHOOSE(CONTROL!$C$42, 6.7226, 6.7226) * CHOOSE(CONTROL!$C$21, $C$9, 100%, $E$9)</f>
        <v>6.7225999999999999</v>
      </c>
      <c r="D118" s="14">
        <f>CHOOSE(CONTROL!$C$42, 6.9533, 6.9533) * CHOOSE(CONTROL!$C$21, $C$9, 100%, $E$9)</f>
        <v>6.9532999999999996</v>
      </c>
      <c r="E118" s="14">
        <f>CHOOSE(CONTROL!$C$42, 6.9825, 6.9825) * CHOOSE(CONTROL!$C$21, $C$9, 100%, $E$9)</f>
        <v>6.9824999999999999</v>
      </c>
      <c r="F118" s="14">
        <f>CHOOSE(CONTROL!$C$42, 6.7461, 6.7461)*CHOOSE(CONTROL!$C$21, $C$9, 100%, $E$9)</f>
        <v>6.7461000000000002</v>
      </c>
      <c r="G118" s="14">
        <f>CHOOSE(CONTROL!$C$42, 6.7633, 6.7633)*CHOOSE(CONTROL!$C$21, $C$9, 100%, $E$9)</f>
        <v>6.7633000000000001</v>
      </c>
      <c r="H118" s="14">
        <f>CHOOSE(CONTROL!$C$42, 6.9729, 6.9729) * CHOOSE(CONTROL!$C$21, $C$9, 100%, $E$9)</f>
        <v>6.9729000000000001</v>
      </c>
      <c r="I118" s="14">
        <f>CHOOSE(CONTROL!$C$42, 6.7716, 6.7716)* CHOOSE(CONTROL!$C$21, $C$9, 100%, $E$9)</f>
        <v>6.7716000000000003</v>
      </c>
      <c r="J118" s="14">
        <f>CHOOSE(CONTROL!$C$42, 6.7391, 6.7391)* CHOOSE(CONTROL!$C$21, $C$9, 100%, $E$9)</f>
        <v>6.7390999999999996</v>
      </c>
      <c r="K118" s="52">
        <f>CHOOSE(CONTROL!$C$42, 6.7677, 6.7677) * CHOOSE(CONTROL!$C$21, $C$9, 100%, $E$9)</f>
        <v>6.7676999999999996</v>
      </c>
      <c r="L118" s="14">
        <f>CHOOSE(CONTROL!$C$42, 7.5599, 7.5599) * CHOOSE(CONTROL!$C$21, $C$9, 100%, $E$9)</f>
        <v>7.5598999999999998</v>
      </c>
      <c r="M118" s="14">
        <f>CHOOSE(CONTROL!$C$42, 6.6087, 6.6087) * CHOOSE(CONTROL!$C$21, $C$9, 100%, $E$9)</f>
        <v>6.6086999999999998</v>
      </c>
      <c r="N118" s="14">
        <f>CHOOSE(CONTROL!$C$42, 6.6255, 6.6255) * CHOOSE(CONTROL!$C$21, $C$9, 100%, $E$9)</f>
        <v>6.6254999999999997</v>
      </c>
      <c r="O118" s="14">
        <f>CHOOSE(CONTROL!$C$42, 6.8378, 6.8378) * CHOOSE(CONTROL!$C$21, $C$9, 100%, $E$9)</f>
        <v>6.8377999999999997</v>
      </c>
      <c r="P118" s="14">
        <f>CHOOSE(CONTROL!$C$42, 6.6402, 6.6402) * CHOOSE(CONTROL!$C$21, $C$9, 100%, $E$9)</f>
        <v>6.6402000000000001</v>
      </c>
      <c r="Q118" s="14">
        <f>CHOOSE(CONTROL!$C$42, 7.4325, 7.4325) * CHOOSE(CONTROL!$C$21, $C$9, 100%, $E$9)</f>
        <v>7.4325000000000001</v>
      </c>
      <c r="R118" s="14">
        <f>CHOOSE(CONTROL!$C$42, 8.038, 8.038) * CHOOSE(CONTROL!$C$21, $C$9, 100%, $E$9)</f>
        <v>8.0380000000000003</v>
      </c>
      <c r="S118" s="14">
        <f>CHOOSE(CONTROL!$C$42, 6.4457, 6.4457) * CHOOSE(CONTROL!$C$21, $C$9, 100%, $E$9)</f>
        <v>6.4457000000000004</v>
      </c>
      <c r="T11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56">
        <f>(1000*CHOOSE(CONTROL!$C$42, 695, 695)*CHOOSE(CONTROL!$C$42, 0.5599, 0.5599)*CHOOSE(CONTROL!$C$42, 31, 31))/1000000</f>
        <v>12.063045499999998</v>
      </c>
      <c r="V118" s="56">
        <f>(1000*CHOOSE(CONTROL!$C$42, 500, 500)*CHOOSE(CONTROL!$C$42, 0.275, 0.275)*CHOOSE(CONTROL!$C$42, 31, 31))/1000000</f>
        <v>4.2625000000000002</v>
      </c>
      <c r="W118" s="56">
        <f>(1000*CHOOSE(CONTROL!$C$42, 0.1146, 0.1146)*CHOOSE(CONTROL!$C$42, 121.5, 121.5)*CHOOSE(CONTROL!$C$42, 31, 31))/1000000</f>
        <v>0.43164089999999994</v>
      </c>
      <c r="X118" s="56">
        <f>(31*0.1790888*245000/1000000)+(31*0.2374*100000/1000000)</f>
        <v>2.0961194359999999</v>
      </c>
      <c r="Y118" s="56"/>
      <c r="Z118" s="14"/>
      <c r="AA118" s="55"/>
      <c r="AB118" s="49">
        <f>(B118*131.881+C118*277.167+D118*79.08+E118*125.872+F118*40+G118*185+H118*0+I118*100+J118*300)/(131.881+277.167+79.08+125.872+0+40+185+100+300)</f>
        <v>6.7779498139628735</v>
      </c>
      <c r="AC118" s="44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6.6813798561151065</v>
      </c>
    </row>
    <row r="119" spans="1:29" ht="15.75" x14ac:dyDescent="0.25">
      <c r="A119" s="13">
        <v>44501</v>
      </c>
      <c r="B119" s="14">
        <f>CHOOSE(CONTROL!$C$42, 6.9077, 6.9077) * CHOOSE(CONTROL!$C$21, $C$9, 100%, $E$9)</f>
        <v>6.9077000000000002</v>
      </c>
      <c r="C119" s="14">
        <f>CHOOSE(CONTROL!$C$42, 6.9128, 6.9128) * CHOOSE(CONTROL!$C$21, $C$9, 100%, $E$9)</f>
        <v>6.9127999999999998</v>
      </c>
      <c r="D119" s="14">
        <f>CHOOSE(CONTROL!$C$42, 6.9818, 6.9818) * CHOOSE(CONTROL!$C$21, $C$9, 100%, $E$9)</f>
        <v>6.9817999999999998</v>
      </c>
      <c r="E119" s="14">
        <f>CHOOSE(CONTROL!$C$42, 7.0159, 7.0159) * CHOOSE(CONTROL!$C$21, $C$9, 100%, $E$9)</f>
        <v>7.0159000000000002</v>
      </c>
      <c r="F119" s="14">
        <f>CHOOSE(CONTROL!$C$42, 6.9433, 6.9433)*CHOOSE(CONTROL!$C$21, $C$9, 100%, $E$9)</f>
        <v>6.9432999999999998</v>
      </c>
      <c r="G119" s="14">
        <f>CHOOSE(CONTROL!$C$42, 6.9607, 6.9607)*CHOOSE(CONTROL!$C$21, $C$9, 100%, $E$9)</f>
        <v>6.9607000000000001</v>
      </c>
      <c r="H119" s="14">
        <f>CHOOSE(CONTROL!$C$42, 7.0051, 7.0051) * CHOOSE(CONTROL!$C$21, $C$9, 100%, $E$9)</f>
        <v>7.0050999999999997</v>
      </c>
      <c r="I119" s="14">
        <f>CHOOSE(CONTROL!$C$42, 6.9657, 6.9657)* CHOOSE(CONTROL!$C$21, $C$9, 100%, $E$9)</f>
        <v>6.9657</v>
      </c>
      <c r="J119" s="14">
        <f>CHOOSE(CONTROL!$C$42, 6.9363, 6.9363)* CHOOSE(CONTROL!$C$21, $C$9, 100%, $E$9)</f>
        <v>6.9363000000000001</v>
      </c>
      <c r="K119" s="52">
        <f>CHOOSE(CONTROL!$C$42, 6.9618, 6.9618) * CHOOSE(CONTROL!$C$21, $C$9, 100%, $E$9)</f>
        <v>6.9618000000000002</v>
      </c>
      <c r="L119" s="14">
        <f>CHOOSE(CONTROL!$C$42, 7.5921, 7.5921) * CHOOSE(CONTROL!$C$21, $C$9, 100%, $E$9)</f>
        <v>7.5921000000000003</v>
      </c>
      <c r="M119" s="14">
        <f>CHOOSE(CONTROL!$C$42, 6.8019, 6.8019) * CHOOSE(CONTROL!$C$21, $C$9, 100%, $E$9)</f>
        <v>6.8018999999999998</v>
      </c>
      <c r="N119" s="14">
        <f>CHOOSE(CONTROL!$C$42, 6.8189, 6.8189) * CHOOSE(CONTROL!$C$21, $C$9, 100%, $E$9)</f>
        <v>6.8189000000000002</v>
      </c>
      <c r="O119" s="14">
        <f>CHOOSE(CONTROL!$C$42, 6.8693, 6.8693) * CHOOSE(CONTROL!$C$21, $C$9, 100%, $E$9)</f>
        <v>6.8693</v>
      </c>
      <c r="P119" s="14">
        <f>CHOOSE(CONTROL!$C$42, 6.8303, 6.8303) * CHOOSE(CONTROL!$C$21, $C$9, 100%, $E$9)</f>
        <v>6.8303000000000003</v>
      </c>
      <c r="Q119" s="14">
        <f>CHOOSE(CONTROL!$C$42, 7.464, 7.464) * CHOOSE(CONTROL!$C$21, $C$9, 100%, $E$9)</f>
        <v>7.4640000000000004</v>
      </c>
      <c r="R119" s="14">
        <f>CHOOSE(CONTROL!$C$42, 8.0696, 8.0696) * CHOOSE(CONTROL!$C$21, $C$9, 100%, $E$9)</f>
        <v>8.0695999999999994</v>
      </c>
      <c r="S119" s="14">
        <f>CHOOSE(CONTROL!$C$42, 6.6291, 6.6291) * CHOOSE(CONTROL!$C$21, $C$9, 100%, $E$9)</f>
        <v>6.6291000000000002</v>
      </c>
      <c r="T11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56">
        <f>(1000*CHOOSE(CONTROL!$C$42, 695, 695)*CHOOSE(CONTROL!$C$42, 0.5599, 0.5599)*CHOOSE(CONTROL!$C$42, 30, 30))/1000000</f>
        <v>11.673914999999997</v>
      </c>
      <c r="V119" s="56">
        <f>(1000*CHOOSE(CONTROL!$C$42, 500, 500)*CHOOSE(CONTROL!$C$42, 0.275, 0.275)*CHOOSE(CONTROL!$C$42, 30, 30))/1000000</f>
        <v>4.125</v>
      </c>
      <c r="W119" s="56">
        <f>(1000*CHOOSE(CONTROL!$C$42, 0.1146, 0.1146)*CHOOSE(CONTROL!$C$42, 121.5, 121.5)*CHOOSE(CONTROL!$C$42, 30, 30))/1000000</f>
        <v>0.417717</v>
      </c>
      <c r="X119" s="56">
        <f>(30*0.1790888*100000/1000000)+(30*0.2374*100000/1000000)</f>
        <v>1.2494664</v>
      </c>
      <c r="Y119" s="56"/>
      <c r="Z119" s="14"/>
      <c r="AA119" s="55"/>
      <c r="AB119" s="49">
        <f>(B119*122.58+C119*297.941+D119*89.177+E119*40.302+F119*40+G119*160+H119*0+I119*100+J119*300)/(122.58+297.941+89.177+40.302+0+40+160+100+300)</f>
        <v>6.9396758184347824</v>
      </c>
      <c r="AC119" s="44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6.8375129496402876</v>
      </c>
    </row>
    <row r="120" spans="1:29" ht="15.75" x14ac:dyDescent="0.25">
      <c r="A120" s="13">
        <v>44531</v>
      </c>
      <c r="B120" s="14">
        <f>CHOOSE(CONTROL!$C$42, 7.3932, 7.3932) * CHOOSE(CONTROL!$C$21, $C$9, 100%, $E$9)</f>
        <v>7.3932000000000002</v>
      </c>
      <c r="C120" s="14">
        <f>CHOOSE(CONTROL!$C$42, 7.3983, 7.3983) * CHOOSE(CONTROL!$C$21, $C$9, 100%, $E$9)</f>
        <v>7.3982999999999999</v>
      </c>
      <c r="D120" s="14">
        <f>CHOOSE(CONTROL!$C$42, 7.4673, 7.4673) * CHOOSE(CONTROL!$C$21, $C$9, 100%, $E$9)</f>
        <v>7.4672999999999998</v>
      </c>
      <c r="E120" s="14">
        <f>CHOOSE(CONTROL!$C$42, 7.5014, 7.5014) * CHOOSE(CONTROL!$C$21, $C$9, 100%, $E$9)</f>
        <v>7.5014000000000003</v>
      </c>
      <c r="F120" s="14">
        <f>CHOOSE(CONTROL!$C$42, 7.4311, 7.4311)*CHOOSE(CONTROL!$C$21, $C$9, 100%, $E$9)</f>
        <v>7.4310999999999998</v>
      </c>
      <c r="G120" s="14">
        <f>CHOOSE(CONTROL!$C$42, 7.4491, 7.4491)*CHOOSE(CONTROL!$C$21, $C$9, 100%, $E$9)</f>
        <v>7.4490999999999996</v>
      </c>
      <c r="H120" s="14">
        <f>CHOOSE(CONTROL!$C$42, 7.4906, 7.4906) * CHOOSE(CONTROL!$C$21, $C$9, 100%, $E$9)</f>
        <v>7.4905999999999997</v>
      </c>
      <c r="I120" s="14">
        <f>CHOOSE(CONTROL!$C$42, 7.4527, 7.4527)* CHOOSE(CONTROL!$C$21, $C$9, 100%, $E$9)</f>
        <v>7.4527000000000001</v>
      </c>
      <c r="J120" s="14">
        <f>CHOOSE(CONTROL!$C$42, 7.4241, 7.4241)* CHOOSE(CONTROL!$C$21, $C$9, 100%, $E$9)</f>
        <v>7.4241000000000001</v>
      </c>
      <c r="K120" s="52">
        <f>CHOOSE(CONTROL!$C$42, 7.4488, 7.4488) * CHOOSE(CONTROL!$C$21, $C$9, 100%, $E$9)</f>
        <v>7.4488000000000003</v>
      </c>
      <c r="L120" s="14">
        <f>CHOOSE(CONTROL!$C$42, 8.0776, 8.0776) * CHOOSE(CONTROL!$C$21, $C$9, 100%, $E$9)</f>
        <v>8.0776000000000003</v>
      </c>
      <c r="M120" s="14">
        <f>CHOOSE(CONTROL!$C$42, 7.2796, 7.2796) * CHOOSE(CONTROL!$C$21, $C$9, 100%, $E$9)</f>
        <v>7.2796000000000003</v>
      </c>
      <c r="N120" s="14">
        <f>CHOOSE(CONTROL!$C$42, 7.2973, 7.2973) * CHOOSE(CONTROL!$C$21, $C$9, 100%, $E$9)</f>
        <v>7.2972999999999999</v>
      </c>
      <c r="O120" s="14">
        <f>CHOOSE(CONTROL!$C$42, 7.3448, 7.3448) * CHOOSE(CONTROL!$C$21, $C$9, 100%, $E$9)</f>
        <v>7.3448000000000002</v>
      </c>
      <c r="P120" s="14">
        <f>CHOOSE(CONTROL!$C$42, 7.3073, 7.3073) * CHOOSE(CONTROL!$C$21, $C$9, 100%, $E$9)</f>
        <v>7.3072999999999997</v>
      </c>
      <c r="Q120" s="14">
        <f>CHOOSE(CONTROL!$C$42, 7.9395, 7.9395) * CHOOSE(CONTROL!$C$21, $C$9, 100%, $E$9)</f>
        <v>7.9394999999999998</v>
      </c>
      <c r="R120" s="14">
        <f>CHOOSE(CONTROL!$C$42, 8.5464, 8.5464) * CHOOSE(CONTROL!$C$21, $C$9, 100%, $E$9)</f>
        <v>8.5464000000000002</v>
      </c>
      <c r="S120" s="14">
        <f>CHOOSE(CONTROL!$C$42, 7.0956, 7.0956) * CHOOSE(CONTROL!$C$21, $C$9, 100%, $E$9)</f>
        <v>7.0956000000000001</v>
      </c>
      <c r="T12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56">
        <f>(1000*CHOOSE(CONTROL!$C$42, 695, 695)*CHOOSE(CONTROL!$C$42, 0.5599, 0.5599)*CHOOSE(CONTROL!$C$42, 31, 31))/1000000</f>
        <v>12.063045499999998</v>
      </c>
      <c r="V120" s="56">
        <f>(1000*CHOOSE(CONTROL!$C$42, 500, 500)*CHOOSE(CONTROL!$C$42, 0.275, 0.275)*CHOOSE(CONTROL!$C$42, 31, 31))/1000000</f>
        <v>4.2625000000000002</v>
      </c>
      <c r="W120" s="56">
        <f>(1000*CHOOSE(CONTROL!$C$42, 0.1146, 0.1146)*CHOOSE(CONTROL!$C$42, 121.5, 121.5)*CHOOSE(CONTROL!$C$42, 31, 31))/1000000</f>
        <v>0.43164089999999994</v>
      </c>
      <c r="X120" s="56">
        <f>(31*0.1790888*100000/1000000)+(31*0.2374*100000/1000000)</f>
        <v>1.2911152800000001</v>
      </c>
      <c r="Y120" s="56"/>
      <c r="Z120" s="14"/>
      <c r="AA120" s="55"/>
      <c r="AB120" s="49">
        <f>(B120*122.58+C120*297.941+D120*89.177+E120*40.302+F120*40+G120*160+H120*0+I120*100+J120*300)/(122.58+297.941+89.177+40.302+0+40+160+100+300)</f>
        <v>7.4263897314782596</v>
      </c>
      <c r="AC120" s="44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7.3141553956834526</v>
      </c>
    </row>
    <row r="121" spans="1:29" ht="15.75" x14ac:dyDescent="0.25">
      <c r="A121" s="13">
        <v>44562</v>
      </c>
      <c r="B121" s="14">
        <f>CHOOSE(CONTROL!$C$42, 7.851, 7.851) * CHOOSE(CONTROL!$C$21, $C$9, 100%, $E$9)</f>
        <v>7.851</v>
      </c>
      <c r="C121" s="14">
        <f>CHOOSE(CONTROL!$C$42, 7.8561, 7.8561) * CHOOSE(CONTROL!$C$21, $C$9, 100%, $E$9)</f>
        <v>7.8560999999999996</v>
      </c>
      <c r="D121" s="14">
        <f>CHOOSE(CONTROL!$C$42, 7.9355, 7.9355) * CHOOSE(CONTROL!$C$21, $C$9, 100%, $E$9)</f>
        <v>7.9355000000000002</v>
      </c>
      <c r="E121" s="14">
        <f>CHOOSE(CONTROL!$C$42, 7.9696, 7.9696) * CHOOSE(CONTROL!$C$21, $C$9, 100%, $E$9)</f>
        <v>7.9695999999999998</v>
      </c>
      <c r="F121" s="14">
        <f>CHOOSE(CONTROL!$C$42, 7.8741, 7.8741)*CHOOSE(CONTROL!$C$21, $C$9, 100%, $E$9)</f>
        <v>7.8741000000000003</v>
      </c>
      <c r="G121" s="14">
        <f>CHOOSE(CONTROL!$C$42, 7.8916, 7.8916)*CHOOSE(CONTROL!$C$21, $C$9, 100%, $E$9)</f>
        <v>7.8916000000000004</v>
      </c>
      <c r="H121" s="14">
        <f>CHOOSE(CONTROL!$C$42, 7.9588, 7.9588) * CHOOSE(CONTROL!$C$21, $C$9, 100%, $E$9)</f>
        <v>7.9588000000000001</v>
      </c>
      <c r="I121" s="14">
        <f>CHOOSE(CONTROL!$C$42, 7.9109, 7.9109)* CHOOSE(CONTROL!$C$21, $C$9, 100%, $E$9)</f>
        <v>7.9108999999999998</v>
      </c>
      <c r="J121" s="14">
        <f>CHOOSE(CONTROL!$C$42, 7.8671, 7.8671)* CHOOSE(CONTROL!$C$21, $C$9, 100%, $E$9)</f>
        <v>7.8670999999999998</v>
      </c>
      <c r="K121" s="52">
        <f>CHOOSE(CONTROL!$C$42, 7.907, 7.907) * CHOOSE(CONTROL!$C$21, $C$9, 100%, $E$9)</f>
        <v>7.907</v>
      </c>
      <c r="L121" s="14">
        <f>CHOOSE(CONTROL!$C$42, 8.5458, 8.5458) * CHOOSE(CONTROL!$C$21, $C$9, 100%, $E$9)</f>
        <v>8.5457999999999998</v>
      </c>
      <c r="M121" s="14">
        <f>CHOOSE(CONTROL!$C$42, 7.7136, 7.7136) * CHOOSE(CONTROL!$C$21, $C$9, 100%, $E$9)</f>
        <v>7.7135999999999996</v>
      </c>
      <c r="N121" s="14">
        <f>CHOOSE(CONTROL!$C$42, 7.7307, 7.7307) * CHOOSE(CONTROL!$C$21, $C$9, 100%, $E$9)</f>
        <v>7.7306999999999997</v>
      </c>
      <c r="O121" s="14">
        <f>CHOOSE(CONTROL!$C$42, 7.8034, 7.8034) * CHOOSE(CONTROL!$C$21, $C$9, 100%, $E$9)</f>
        <v>7.8033999999999999</v>
      </c>
      <c r="P121" s="14">
        <f>CHOOSE(CONTROL!$C$42, 7.7561, 7.7561) * CHOOSE(CONTROL!$C$21, $C$9, 100%, $E$9)</f>
        <v>7.7561</v>
      </c>
      <c r="Q121" s="14">
        <f>CHOOSE(CONTROL!$C$42, 8.3981, 8.3981) * CHOOSE(CONTROL!$C$21, $C$9, 100%, $E$9)</f>
        <v>8.3980999999999995</v>
      </c>
      <c r="R121" s="14">
        <f>CHOOSE(CONTROL!$C$42, 9.0061, 9.0061) * CHOOSE(CONTROL!$C$21, $C$9, 100%, $E$9)</f>
        <v>9.0061</v>
      </c>
      <c r="S121" s="14">
        <f>CHOOSE(CONTROL!$C$42, 7.5355, 7.5355) * CHOOSE(CONTROL!$C$21, $C$9, 100%, $E$9)</f>
        <v>7.5354999999999999</v>
      </c>
      <c r="T12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56">
        <f>(1000*CHOOSE(CONTROL!$C$42, 695, 695)*CHOOSE(CONTROL!$C$42, 0.5599, 0.5599)*CHOOSE(CONTROL!$C$42, 31, 31))/1000000</f>
        <v>12.063045499999998</v>
      </c>
      <c r="V121" s="56">
        <f>(1000*CHOOSE(CONTROL!$C$42, 500, 500)*CHOOSE(CONTROL!$C$42, 0.275, 0.275)*CHOOSE(CONTROL!$C$42, 31, 31))/1000000</f>
        <v>4.2625000000000002</v>
      </c>
      <c r="W121" s="56">
        <f>(1000*CHOOSE(CONTROL!$C$42, 0.1146, 0.1146)*CHOOSE(CONTROL!$C$42, 121.5, 121.5)*CHOOSE(CONTROL!$C$42, 31, 31))/1000000</f>
        <v>0.43164089999999994</v>
      </c>
      <c r="X121" s="56">
        <f>(31*0.1790888*100000/1000000)+(31*0.2374*100000/1000000)</f>
        <v>1.2911152800000001</v>
      </c>
      <c r="Y121" s="56"/>
      <c r="Z121" s="14"/>
      <c r="AA121" s="55"/>
      <c r="AB121" s="49">
        <f>(B121*122.58+C121*297.941+D121*89.177+E121*40.302+F121*40+G121*160+H121*0+I121*100+J121*300)/(122.58+297.941+89.177+40.302+0+40+160+100+300)</f>
        <v>7.8788911067826088</v>
      </c>
      <c r="AC121" s="44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7.7614000000000001</v>
      </c>
    </row>
    <row r="122" spans="1:29" ht="15.75" x14ac:dyDescent="0.25">
      <c r="A122" s="13">
        <v>44593</v>
      </c>
      <c r="B122" s="14">
        <f>CHOOSE(CONTROL!$C$42, 8.0071, 8.0071) * CHOOSE(CONTROL!$C$21, $C$9, 100%, $E$9)</f>
        <v>8.0070999999999994</v>
      </c>
      <c r="C122" s="14">
        <f>CHOOSE(CONTROL!$C$42, 8.0121, 8.0121) * CHOOSE(CONTROL!$C$21, $C$9, 100%, $E$9)</f>
        <v>8.0121000000000002</v>
      </c>
      <c r="D122" s="14">
        <f>CHOOSE(CONTROL!$C$42, 8.0916, 8.0916) * CHOOSE(CONTROL!$C$21, $C$9, 100%, $E$9)</f>
        <v>8.0915999999999997</v>
      </c>
      <c r="E122" s="14">
        <f>CHOOSE(CONTROL!$C$42, 8.1257, 8.1257) * CHOOSE(CONTROL!$C$21, $C$9, 100%, $E$9)</f>
        <v>8.1257000000000001</v>
      </c>
      <c r="F122" s="14">
        <f>CHOOSE(CONTROL!$C$42, 8.0298, 8.0298)*CHOOSE(CONTROL!$C$21, $C$9, 100%, $E$9)</f>
        <v>8.0297999999999998</v>
      </c>
      <c r="G122" s="14">
        <f>CHOOSE(CONTROL!$C$42, 8.0473, 8.0473)*CHOOSE(CONTROL!$C$21, $C$9, 100%, $E$9)</f>
        <v>8.0472999999999999</v>
      </c>
      <c r="H122" s="14">
        <f>CHOOSE(CONTROL!$C$42, 8.1149, 8.1149) * CHOOSE(CONTROL!$C$21, $C$9, 100%, $E$9)</f>
        <v>8.1149000000000004</v>
      </c>
      <c r="I122" s="14">
        <f>CHOOSE(CONTROL!$C$42, 8.0674, 8.0674)* CHOOSE(CONTROL!$C$21, $C$9, 100%, $E$9)</f>
        <v>8.0673999999999992</v>
      </c>
      <c r="J122" s="14">
        <f>CHOOSE(CONTROL!$C$42, 8.0228, 8.0228)* CHOOSE(CONTROL!$C$21, $C$9, 100%, $E$9)</f>
        <v>8.0228000000000002</v>
      </c>
      <c r="K122" s="52">
        <f>CHOOSE(CONTROL!$C$42, 8.0635, 8.0635) * CHOOSE(CONTROL!$C$21, $C$9, 100%, $E$9)</f>
        <v>8.0634999999999994</v>
      </c>
      <c r="L122" s="14">
        <f>CHOOSE(CONTROL!$C$42, 8.7019, 8.7019) * CHOOSE(CONTROL!$C$21, $C$9, 100%, $E$9)</f>
        <v>8.7019000000000002</v>
      </c>
      <c r="M122" s="14">
        <f>CHOOSE(CONTROL!$C$42, 7.8662, 7.8662) * CHOOSE(CONTROL!$C$21, $C$9, 100%, $E$9)</f>
        <v>7.8662000000000001</v>
      </c>
      <c r="N122" s="14">
        <f>CHOOSE(CONTROL!$C$42, 7.8833, 7.8833) * CHOOSE(CONTROL!$C$21, $C$9, 100%, $E$9)</f>
        <v>7.8833000000000002</v>
      </c>
      <c r="O122" s="14">
        <f>CHOOSE(CONTROL!$C$42, 7.9563, 7.9563) * CHOOSE(CONTROL!$C$21, $C$9, 100%, $E$9)</f>
        <v>7.9562999999999997</v>
      </c>
      <c r="P122" s="14">
        <f>CHOOSE(CONTROL!$C$42, 7.9094, 7.9094) * CHOOSE(CONTROL!$C$21, $C$9, 100%, $E$9)</f>
        <v>7.9093999999999998</v>
      </c>
      <c r="Q122" s="14">
        <f>CHOOSE(CONTROL!$C$42, 8.551, 8.551) * CHOOSE(CONTROL!$C$21, $C$9, 100%, $E$9)</f>
        <v>8.5510000000000002</v>
      </c>
      <c r="R122" s="14">
        <f>CHOOSE(CONTROL!$C$42, 9.1594, 9.1594) * CHOOSE(CONTROL!$C$21, $C$9, 100%, $E$9)</f>
        <v>9.1593999999999998</v>
      </c>
      <c r="S122" s="14">
        <f>CHOOSE(CONTROL!$C$42, 7.6854, 7.6854) * CHOOSE(CONTROL!$C$21, $C$9, 100%, $E$9)</f>
        <v>7.6853999999999996</v>
      </c>
      <c r="T12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56">
        <f>(1000*CHOOSE(CONTROL!$C$42, 695, 695)*CHOOSE(CONTROL!$C$42, 0.5599, 0.5599)*CHOOSE(CONTROL!$C$42, 28, 28))/1000000</f>
        <v>10.895653999999999</v>
      </c>
      <c r="V122" s="56">
        <f>(1000*CHOOSE(CONTROL!$C$42, 500, 500)*CHOOSE(CONTROL!$C$42, 0.275, 0.275)*CHOOSE(CONTROL!$C$42, 28, 28))/1000000</f>
        <v>3.85</v>
      </c>
      <c r="W122" s="56">
        <f>(1000*CHOOSE(CONTROL!$C$42, 0.1146, 0.1146)*CHOOSE(CONTROL!$C$42, 121.5, 121.5)*CHOOSE(CONTROL!$C$42, 28, 28))/1000000</f>
        <v>0.38986920000000003</v>
      </c>
      <c r="X122" s="56">
        <f>(28*0.1790888*100000/1000000)+(28*0.2374*100000/1000000)</f>
        <v>1.16616864</v>
      </c>
      <c r="Y122" s="56"/>
      <c r="Z122" s="14"/>
      <c r="AA122" s="55"/>
      <c r="AB122" s="49">
        <f>(B122*122.58+C122*297.941+D122*89.177+E122*40.302+F122*40+G122*160+H122*0+I122*100+J122*300)/(122.58+297.941+89.177+40.302+0+40+160+100+300)</f>
        <v>8.0348260684347839</v>
      </c>
      <c r="AC122" s="44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7.9142366906474813</v>
      </c>
    </row>
    <row r="123" spans="1:29" ht="15.75" x14ac:dyDescent="0.25">
      <c r="A123" s="13">
        <v>44621</v>
      </c>
      <c r="B123" s="14">
        <f>CHOOSE(CONTROL!$C$42, 7.796, 7.796) * CHOOSE(CONTROL!$C$21, $C$9, 100%, $E$9)</f>
        <v>7.7960000000000003</v>
      </c>
      <c r="C123" s="14">
        <f>CHOOSE(CONTROL!$C$42, 7.8011, 7.8011) * CHOOSE(CONTROL!$C$21, $C$9, 100%, $E$9)</f>
        <v>7.8010999999999999</v>
      </c>
      <c r="D123" s="14">
        <f>CHOOSE(CONTROL!$C$42, 7.8805, 7.8805) * CHOOSE(CONTROL!$C$21, $C$9, 100%, $E$9)</f>
        <v>7.8804999999999996</v>
      </c>
      <c r="E123" s="14">
        <f>CHOOSE(CONTROL!$C$42, 7.9146, 7.9146) * CHOOSE(CONTROL!$C$21, $C$9, 100%, $E$9)</f>
        <v>7.9146000000000001</v>
      </c>
      <c r="F123" s="14">
        <f>CHOOSE(CONTROL!$C$42, 7.8181, 7.8181)*CHOOSE(CONTROL!$C$21, $C$9, 100%, $E$9)</f>
        <v>7.8181000000000003</v>
      </c>
      <c r="G123" s="14">
        <f>CHOOSE(CONTROL!$C$42, 7.8353, 7.8353)*CHOOSE(CONTROL!$C$21, $C$9, 100%, $E$9)</f>
        <v>7.8353000000000002</v>
      </c>
      <c r="H123" s="14">
        <f>CHOOSE(CONTROL!$C$42, 7.9038, 7.9038) * CHOOSE(CONTROL!$C$21, $C$9, 100%, $E$9)</f>
        <v>7.9038000000000004</v>
      </c>
      <c r="I123" s="14">
        <f>CHOOSE(CONTROL!$C$42, 7.8557, 7.8557)* CHOOSE(CONTROL!$C$21, $C$9, 100%, $E$9)</f>
        <v>7.8556999999999997</v>
      </c>
      <c r="J123" s="14">
        <f>CHOOSE(CONTROL!$C$42, 7.8111, 7.8111)* CHOOSE(CONTROL!$C$21, $C$9, 100%, $E$9)</f>
        <v>7.8110999999999997</v>
      </c>
      <c r="K123" s="52">
        <f>CHOOSE(CONTROL!$C$42, 7.8518, 7.8518) * CHOOSE(CONTROL!$C$21, $C$9, 100%, $E$9)</f>
        <v>7.8517999999999999</v>
      </c>
      <c r="L123" s="14">
        <f>CHOOSE(CONTROL!$C$42, 8.4908, 8.4908) * CHOOSE(CONTROL!$C$21, $C$9, 100%, $E$9)</f>
        <v>8.4908000000000001</v>
      </c>
      <c r="M123" s="14">
        <f>CHOOSE(CONTROL!$C$42, 7.6587, 7.6587) * CHOOSE(CONTROL!$C$21, $C$9, 100%, $E$9)</f>
        <v>7.6586999999999996</v>
      </c>
      <c r="N123" s="14">
        <f>CHOOSE(CONTROL!$C$42, 7.6756, 7.6756) * CHOOSE(CONTROL!$C$21, $C$9, 100%, $E$9)</f>
        <v>7.6756000000000002</v>
      </c>
      <c r="O123" s="14">
        <f>CHOOSE(CONTROL!$C$42, 7.7496, 7.7496) * CHOOSE(CONTROL!$C$21, $C$9, 100%, $E$9)</f>
        <v>7.7496</v>
      </c>
      <c r="P123" s="14">
        <f>CHOOSE(CONTROL!$C$42, 7.702, 7.702) * CHOOSE(CONTROL!$C$21, $C$9, 100%, $E$9)</f>
        <v>7.702</v>
      </c>
      <c r="Q123" s="14">
        <f>CHOOSE(CONTROL!$C$42, 8.3443, 8.3443) * CHOOSE(CONTROL!$C$21, $C$9, 100%, $E$9)</f>
        <v>8.3443000000000005</v>
      </c>
      <c r="R123" s="14">
        <f>CHOOSE(CONTROL!$C$42, 8.9521, 8.9521) * CHOOSE(CONTROL!$C$21, $C$9, 100%, $E$9)</f>
        <v>8.9520999999999997</v>
      </c>
      <c r="S123" s="14">
        <f>CHOOSE(CONTROL!$C$42, 7.4827, 7.4827) * CHOOSE(CONTROL!$C$21, $C$9, 100%, $E$9)</f>
        <v>7.4827000000000004</v>
      </c>
      <c r="T12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56">
        <f>(1000*CHOOSE(CONTROL!$C$42, 695, 695)*CHOOSE(CONTROL!$C$42, 0.5599, 0.5599)*CHOOSE(CONTROL!$C$42, 31, 31))/1000000</f>
        <v>12.063045499999998</v>
      </c>
      <c r="V123" s="56">
        <f>(1000*CHOOSE(CONTROL!$C$42, 500, 500)*CHOOSE(CONTROL!$C$42, 0.275, 0.275)*CHOOSE(CONTROL!$C$42, 31, 31))/1000000</f>
        <v>4.2625000000000002</v>
      </c>
      <c r="W123" s="56">
        <f>(1000*CHOOSE(CONTROL!$C$42, 0.1146, 0.1146)*CHOOSE(CONTROL!$C$42, 121.5, 121.5)*CHOOSE(CONTROL!$C$42, 31, 31))/1000000</f>
        <v>0.43164089999999994</v>
      </c>
      <c r="X123" s="56">
        <f>(31*0.1790888*100000/1000000)+(31*0.2374*100000/1000000)</f>
        <v>1.2911152800000001</v>
      </c>
      <c r="Y123" s="56"/>
      <c r="Z123" s="14"/>
      <c r="AA123" s="55"/>
      <c r="AB123" s="49">
        <f>(B123*122.58+C123*297.941+D123*89.177+E123*40.302+F123*40+G123*160+H123*0+I123*100+J123*300)/(122.58+297.941+89.177+40.302+0+40+160+100+300)</f>
        <v>7.8233971937391296</v>
      </c>
      <c r="AC123" s="44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7.707102158273381</v>
      </c>
    </row>
    <row r="124" spans="1:29" ht="15.75" x14ac:dyDescent="0.25">
      <c r="A124" s="13">
        <v>44652</v>
      </c>
      <c r="B124" s="14">
        <f>CHOOSE(CONTROL!$C$42, 7.7897, 7.7897) * CHOOSE(CONTROL!$C$21, $C$9, 100%, $E$9)</f>
        <v>7.7896999999999998</v>
      </c>
      <c r="C124" s="14">
        <f>CHOOSE(CONTROL!$C$42, 7.7942, 7.7942) * CHOOSE(CONTROL!$C$21, $C$9, 100%, $E$9)</f>
        <v>7.7942</v>
      </c>
      <c r="D124" s="14">
        <f>CHOOSE(CONTROL!$C$42, 8.0231, 8.0231) * CHOOSE(CONTROL!$C$21, $C$9, 100%, $E$9)</f>
        <v>8.0230999999999995</v>
      </c>
      <c r="E124" s="14">
        <f>CHOOSE(CONTROL!$C$42, 8.0552, 8.0552) * CHOOSE(CONTROL!$C$21, $C$9, 100%, $E$9)</f>
        <v>8.0551999999999992</v>
      </c>
      <c r="F124" s="14">
        <f>CHOOSE(CONTROL!$C$42, 7.8167, 7.8167)*CHOOSE(CONTROL!$C$21, $C$9, 100%, $E$9)</f>
        <v>7.8167</v>
      </c>
      <c r="G124" s="14">
        <f>CHOOSE(CONTROL!$C$42, 7.8334, 7.8334)*CHOOSE(CONTROL!$C$21, $C$9, 100%, $E$9)</f>
        <v>7.8334000000000001</v>
      </c>
      <c r="H124" s="14">
        <f>CHOOSE(CONTROL!$C$42, 8.045, 8.045) * CHOOSE(CONTROL!$C$21, $C$9, 100%, $E$9)</f>
        <v>8.0449999999999999</v>
      </c>
      <c r="I124" s="14">
        <f>CHOOSE(CONTROL!$C$42, 7.847, 7.847)* CHOOSE(CONTROL!$C$21, $C$9, 100%, $E$9)</f>
        <v>7.8470000000000004</v>
      </c>
      <c r="J124" s="14">
        <f>CHOOSE(CONTROL!$C$42, 7.8097, 7.8097)* CHOOSE(CONTROL!$C$21, $C$9, 100%, $E$9)</f>
        <v>7.8097000000000003</v>
      </c>
      <c r="K124" s="52">
        <f>CHOOSE(CONTROL!$C$42, 7.8431, 7.8431) * CHOOSE(CONTROL!$C$21, $C$9, 100%, $E$9)</f>
        <v>7.8430999999999997</v>
      </c>
      <c r="L124" s="14">
        <f>CHOOSE(CONTROL!$C$42, 8.632, 8.632) * CHOOSE(CONTROL!$C$21, $C$9, 100%, $E$9)</f>
        <v>8.6319999999999997</v>
      </c>
      <c r="M124" s="14">
        <f>CHOOSE(CONTROL!$C$42, 7.6574, 7.6574) * CHOOSE(CONTROL!$C$21, $C$9, 100%, $E$9)</f>
        <v>7.6574</v>
      </c>
      <c r="N124" s="14">
        <f>CHOOSE(CONTROL!$C$42, 7.6738, 7.6738) * CHOOSE(CONTROL!$C$21, $C$9, 100%, $E$9)</f>
        <v>7.6738</v>
      </c>
      <c r="O124" s="14">
        <f>CHOOSE(CONTROL!$C$42, 7.8879, 7.8879) * CHOOSE(CONTROL!$C$21, $C$9, 100%, $E$9)</f>
        <v>7.8879000000000001</v>
      </c>
      <c r="P124" s="14">
        <f>CHOOSE(CONTROL!$C$42, 7.6935, 7.6935) * CHOOSE(CONTROL!$C$21, $C$9, 100%, $E$9)</f>
        <v>7.6935000000000002</v>
      </c>
      <c r="Q124" s="14">
        <f>CHOOSE(CONTROL!$C$42, 8.4826, 8.4826) * CHOOSE(CONTROL!$C$21, $C$9, 100%, $E$9)</f>
        <v>8.4825999999999997</v>
      </c>
      <c r="R124" s="14">
        <f>CHOOSE(CONTROL!$C$42, 9.0908, 9.0908) * CHOOSE(CONTROL!$C$21, $C$9, 100%, $E$9)</f>
        <v>9.0907999999999998</v>
      </c>
      <c r="S124" s="14">
        <f>CHOOSE(CONTROL!$C$42, 7.4758, 7.4758) * CHOOSE(CONTROL!$C$21, $C$9, 100%, $E$9)</f>
        <v>7.4757999999999996</v>
      </c>
      <c r="T12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56">
        <f>(1000*CHOOSE(CONTROL!$C$42, 695, 695)*CHOOSE(CONTROL!$C$42, 0.5599, 0.5599)*CHOOSE(CONTROL!$C$42, 30, 30))/1000000</f>
        <v>11.673914999999997</v>
      </c>
      <c r="V124" s="56">
        <f>(1000*CHOOSE(CONTROL!$C$42, 500, 500)*CHOOSE(CONTROL!$C$42, 0.275, 0.275)*CHOOSE(CONTROL!$C$42, 30, 30))/1000000</f>
        <v>4.125</v>
      </c>
      <c r="W124" s="56">
        <f>(1000*CHOOSE(CONTROL!$C$42, 0.1146, 0.1146)*CHOOSE(CONTROL!$C$42, 121.5, 121.5)*CHOOSE(CONTROL!$C$42, 30, 30))/1000000</f>
        <v>0.417717</v>
      </c>
      <c r="X124" s="56">
        <f>(30*0.1790888*245000/1000000)+(30*0.2374*100000/1000000)</f>
        <v>2.0285026799999999</v>
      </c>
      <c r="Y124" s="56"/>
      <c r="Z124" s="14"/>
      <c r="AA124" s="55"/>
      <c r="AB124" s="49">
        <f>(B124*141.293+C124*267.993+D124*115.016+E124*89.698+F124*40+G124*185+H124*0+I124*100+J124*300)/(141.293+267.993+115.016+89.698+0+40+185+100+300)</f>
        <v>7.8484247957223561</v>
      </c>
      <c r="AC124" s="44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7.7310424460431664</v>
      </c>
    </row>
    <row r="125" spans="1:29" ht="15.75" x14ac:dyDescent="0.25">
      <c r="A125" s="13">
        <v>44682</v>
      </c>
      <c r="B125" s="14">
        <f>CHOOSE(CONTROL!$C$42, 7.8759, 7.8759) * CHOOSE(CONTROL!$C$21, $C$9, 100%, $E$9)</f>
        <v>7.8758999999999997</v>
      </c>
      <c r="C125" s="14">
        <f>CHOOSE(CONTROL!$C$42, 7.884, 7.884) * CHOOSE(CONTROL!$C$21, $C$9, 100%, $E$9)</f>
        <v>7.8840000000000003</v>
      </c>
      <c r="D125" s="14">
        <f>CHOOSE(CONTROL!$C$42, 8.1097, 8.1097) * CHOOSE(CONTROL!$C$21, $C$9, 100%, $E$9)</f>
        <v>8.1097000000000001</v>
      </c>
      <c r="E125" s="14">
        <f>CHOOSE(CONTROL!$C$42, 8.1412, 8.1412) * CHOOSE(CONTROL!$C$21, $C$9, 100%, $E$9)</f>
        <v>8.1411999999999995</v>
      </c>
      <c r="F125" s="14">
        <f>CHOOSE(CONTROL!$C$42, 7.9016, 7.9016)*CHOOSE(CONTROL!$C$21, $C$9, 100%, $E$9)</f>
        <v>7.9016000000000002</v>
      </c>
      <c r="G125" s="14">
        <f>CHOOSE(CONTROL!$C$42, 7.9185, 7.9185)*CHOOSE(CONTROL!$C$21, $C$9, 100%, $E$9)</f>
        <v>7.9184999999999999</v>
      </c>
      <c r="H125" s="14">
        <f>CHOOSE(CONTROL!$C$42, 8.1298, 8.1298) * CHOOSE(CONTROL!$C$21, $C$9, 100%, $E$9)</f>
        <v>8.1297999999999995</v>
      </c>
      <c r="I125" s="14">
        <f>CHOOSE(CONTROL!$C$42, 7.9321, 7.9321)* CHOOSE(CONTROL!$C$21, $C$9, 100%, $E$9)</f>
        <v>7.9321000000000002</v>
      </c>
      <c r="J125" s="14">
        <f>CHOOSE(CONTROL!$C$42, 7.8946, 7.8946)* CHOOSE(CONTROL!$C$21, $C$9, 100%, $E$9)</f>
        <v>7.8945999999999996</v>
      </c>
      <c r="K125" s="52">
        <f>CHOOSE(CONTROL!$C$42, 7.9282, 7.9282) * CHOOSE(CONTROL!$C$21, $C$9, 100%, $E$9)</f>
        <v>7.9282000000000004</v>
      </c>
      <c r="L125" s="14">
        <f>CHOOSE(CONTROL!$C$42, 8.7168, 8.7168) * CHOOSE(CONTROL!$C$21, $C$9, 100%, $E$9)</f>
        <v>8.7167999999999992</v>
      </c>
      <c r="M125" s="14">
        <f>CHOOSE(CONTROL!$C$42, 7.7405, 7.7405) * CHOOSE(CONTROL!$C$21, $C$9, 100%, $E$9)</f>
        <v>7.7404999999999999</v>
      </c>
      <c r="N125" s="14">
        <f>CHOOSE(CONTROL!$C$42, 7.7571, 7.7571) * CHOOSE(CONTROL!$C$21, $C$9, 100%, $E$9)</f>
        <v>7.7571000000000003</v>
      </c>
      <c r="O125" s="14">
        <f>CHOOSE(CONTROL!$C$42, 7.971, 7.971) * CHOOSE(CONTROL!$C$21, $C$9, 100%, $E$9)</f>
        <v>7.9710000000000001</v>
      </c>
      <c r="P125" s="14">
        <f>CHOOSE(CONTROL!$C$42, 7.7769, 7.7769) * CHOOSE(CONTROL!$C$21, $C$9, 100%, $E$9)</f>
        <v>7.7769000000000004</v>
      </c>
      <c r="Q125" s="14">
        <f>CHOOSE(CONTROL!$C$42, 8.5657, 8.5657) * CHOOSE(CONTROL!$C$21, $C$9, 100%, $E$9)</f>
        <v>8.5656999999999996</v>
      </c>
      <c r="R125" s="14">
        <f>CHOOSE(CONTROL!$C$42, 9.1741, 9.1741) * CHOOSE(CONTROL!$C$21, $C$9, 100%, $E$9)</f>
        <v>9.1740999999999993</v>
      </c>
      <c r="S125" s="14">
        <f>CHOOSE(CONTROL!$C$42, 7.5573, 7.5573) * CHOOSE(CONTROL!$C$21, $C$9, 100%, $E$9)</f>
        <v>7.5572999999999997</v>
      </c>
      <c r="T12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56">
        <f>(1000*CHOOSE(CONTROL!$C$42, 695, 695)*CHOOSE(CONTROL!$C$42, 0.5599, 0.5599)*CHOOSE(CONTROL!$C$42, 31, 31))/1000000</f>
        <v>12.063045499999998</v>
      </c>
      <c r="V125" s="56">
        <f>(1000*CHOOSE(CONTROL!$C$42, 500, 500)*CHOOSE(CONTROL!$C$42, 0.275, 0.275)*CHOOSE(CONTROL!$C$42, 31, 31))/1000000</f>
        <v>4.2625000000000002</v>
      </c>
      <c r="W125" s="56">
        <f>(1000*CHOOSE(CONTROL!$C$42, 0.1146, 0.1146)*CHOOSE(CONTROL!$C$42, 121.5, 121.5)*CHOOSE(CONTROL!$C$42, 31, 31))/1000000</f>
        <v>0.43164089999999994</v>
      </c>
      <c r="X125" s="56">
        <f>(31*0.1790888*245000/1000000)+(31*0.2374*100000/1000000)</f>
        <v>2.0961194359999999</v>
      </c>
      <c r="Y125" s="56"/>
      <c r="Z125" s="14"/>
      <c r="AA125" s="55"/>
      <c r="AB125" s="49">
        <f>(B125*194.205+C125*267.466+D125*133.845+E125*53.484+F125*40+G125*185+H125*0+I125*100+J125*300)/(194.205+267.466+133.845+53.484+0+40+185+100+300)</f>
        <v>7.9291085877551026</v>
      </c>
      <c r="AC125" s="44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7.8142316546762585</v>
      </c>
    </row>
    <row r="126" spans="1:29" ht="15.75" x14ac:dyDescent="0.25">
      <c r="A126" s="13">
        <v>44713</v>
      </c>
      <c r="B126" s="14">
        <f>CHOOSE(CONTROL!$C$42, 8.1157, 8.1157) * CHOOSE(CONTROL!$C$21, $C$9, 100%, $E$9)</f>
        <v>8.1157000000000004</v>
      </c>
      <c r="C126" s="14">
        <f>CHOOSE(CONTROL!$C$42, 8.1237, 8.1237) * CHOOSE(CONTROL!$C$21, $C$9, 100%, $E$9)</f>
        <v>8.1236999999999995</v>
      </c>
      <c r="D126" s="14">
        <f>CHOOSE(CONTROL!$C$42, 8.3495, 8.3495) * CHOOSE(CONTROL!$C$21, $C$9, 100%, $E$9)</f>
        <v>8.3495000000000008</v>
      </c>
      <c r="E126" s="14">
        <f>CHOOSE(CONTROL!$C$42, 8.3809, 8.3809) * CHOOSE(CONTROL!$C$21, $C$9, 100%, $E$9)</f>
        <v>8.3809000000000005</v>
      </c>
      <c r="F126" s="14">
        <f>CHOOSE(CONTROL!$C$42, 8.1418, 8.1418)*CHOOSE(CONTROL!$C$21, $C$9, 100%, $E$9)</f>
        <v>8.1417999999999999</v>
      </c>
      <c r="G126" s="14">
        <f>CHOOSE(CONTROL!$C$42, 8.1588, 8.1588)*CHOOSE(CONTROL!$C$21, $C$9, 100%, $E$9)</f>
        <v>8.1587999999999994</v>
      </c>
      <c r="H126" s="14">
        <f>CHOOSE(CONTROL!$C$42, 8.3696, 8.3696) * CHOOSE(CONTROL!$C$21, $C$9, 100%, $E$9)</f>
        <v>8.3696000000000002</v>
      </c>
      <c r="I126" s="14">
        <f>CHOOSE(CONTROL!$C$42, 8.1726, 8.1726)* CHOOSE(CONTROL!$C$21, $C$9, 100%, $E$9)</f>
        <v>8.1725999999999992</v>
      </c>
      <c r="J126" s="14">
        <f>CHOOSE(CONTROL!$C$42, 8.1348, 8.1348)* CHOOSE(CONTROL!$C$21, $C$9, 100%, $E$9)</f>
        <v>8.1348000000000003</v>
      </c>
      <c r="K126" s="52">
        <f>CHOOSE(CONTROL!$C$42, 8.1687, 8.1687) * CHOOSE(CONTROL!$C$21, $C$9, 100%, $E$9)</f>
        <v>8.1686999999999994</v>
      </c>
      <c r="L126" s="14">
        <f>CHOOSE(CONTROL!$C$42, 8.9566, 8.9566) * CHOOSE(CONTROL!$C$21, $C$9, 100%, $E$9)</f>
        <v>8.9565999999999999</v>
      </c>
      <c r="M126" s="14">
        <f>CHOOSE(CONTROL!$C$42, 7.9758, 7.9758) * CHOOSE(CONTROL!$C$21, $C$9, 100%, $E$9)</f>
        <v>7.9757999999999996</v>
      </c>
      <c r="N126" s="14">
        <f>CHOOSE(CONTROL!$C$42, 7.9925, 7.9925) * CHOOSE(CONTROL!$C$21, $C$9, 100%, $E$9)</f>
        <v>7.9924999999999997</v>
      </c>
      <c r="O126" s="14">
        <f>CHOOSE(CONTROL!$C$42, 8.2058, 8.2058) * CHOOSE(CONTROL!$C$21, $C$9, 100%, $E$9)</f>
        <v>8.2058</v>
      </c>
      <c r="P126" s="14">
        <f>CHOOSE(CONTROL!$C$42, 8.0124, 8.0124) * CHOOSE(CONTROL!$C$21, $C$9, 100%, $E$9)</f>
        <v>8.0123999999999995</v>
      </c>
      <c r="Q126" s="14">
        <f>CHOOSE(CONTROL!$C$42, 8.8005, 8.8005) * CHOOSE(CONTROL!$C$21, $C$9, 100%, $E$9)</f>
        <v>8.8004999999999995</v>
      </c>
      <c r="R126" s="14">
        <f>CHOOSE(CONTROL!$C$42, 9.4095, 9.4095) * CHOOSE(CONTROL!$C$21, $C$9, 100%, $E$9)</f>
        <v>9.4094999999999995</v>
      </c>
      <c r="S126" s="14">
        <f>CHOOSE(CONTROL!$C$42, 7.7877, 7.7877) * CHOOSE(CONTROL!$C$21, $C$9, 100%, $E$9)</f>
        <v>7.7877000000000001</v>
      </c>
      <c r="T12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56">
        <f>(1000*CHOOSE(CONTROL!$C$42, 695, 695)*CHOOSE(CONTROL!$C$42, 0.5599, 0.5599)*CHOOSE(CONTROL!$C$42, 30, 30))/1000000</f>
        <v>11.673914999999997</v>
      </c>
      <c r="V126" s="56">
        <f>(1000*CHOOSE(CONTROL!$C$42, 500, 500)*CHOOSE(CONTROL!$C$42, 0.275, 0.275)*CHOOSE(CONTROL!$C$42, 30, 30))/1000000</f>
        <v>4.125</v>
      </c>
      <c r="W126" s="56">
        <f>(1000*CHOOSE(CONTROL!$C$42, 0.1146, 0.1146)*CHOOSE(CONTROL!$C$42, 121.5, 121.5)*CHOOSE(CONTROL!$C$42, 30, 30))/1000000</f>
        <v>0.417717</v>
      </c>
      <c r="X126" s="56">
        <f>(30*0.1790888*245000/1000000)+(30*0.2374*100000/1000000)</f>
        <v>2.0285026799999999</v>
      </c>
      <c r="Y126" s="56"/>
      <c r="Z126" s="14"/>
      <c r="AA126" s="55"/>
      <c r="AB126" s="49">
        <f>(B126*194.205+C126*267.466+D126*133.845+E126*53.484+F126*40+G126*185+H126*0+I126*100+J126*300)/(194.205+267.466+133.845+53.484+0+40+185+100+300)</f>
        <v>8.1691176968602832</v>
      </c>
      <c r="AC126" s="44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8.0494431654676255</v>
      </c>
    </row>
    <row r="127" spans="1:29" ht="15.75" x14ac:dyDescent="0.25">
      <c r="A127" s="13">
        <v>44743</v>
      </c>
      <c r="B127" s="14">
        <f>CHOOSE(CONTROL!$C$42, 7.9766, 7.9766) * CHOOSE(CONTROL!$C$21, $C$9, 100%, $E$9)</f>
        <v>7.9766000000000004</v>
      </c>
      <c r="C127" s="14">
        <f>CHOOSE(CONTROL!$C$42, 7.9846, 7.9846) * CHOOSE(CONTROL!$C$21, $C$9, 100%, $E$9)</f>
        <v>7.9846000000000004</v>
      </c>
      <c r="D127" s="14">
        <f>CHOOSE(CONTROL!$C$42, 8.2104, 8.2104) * CHOOSE(CONTROL!$C$21, $C$9, 100%, $E$9)</f>
        <v>8.2103999999999999</v>
      </c>
      <c r="E127" s="14">
        <f>CHOOSE(CONTROL!$C$42, 8.2418, 8.2418) * CHOOSE(CONTROL!$C$21, $C$9, 100%, $E$9)</f>
        <v>8.2417999999999996</v>
      </c>
      <c r="F127" s="14">
        <f>CHOOSE(CONTROL!$C$42, 8.0031, 8.0031)*CHOOSE(CONTROL!$C$21, $C$9, 100%, $E$9)</f>
        <v>8.0030999999999999</v>
      </c>
      <c r="G127" s="14">
        <f>CHOOSE(CONTROL!$C$42, 8.0203, 8.0203)*CHOOSE(CONTROL!$C$21, $C$9, 100%, $E$9)</f>
        <v>8.0203000000000007</v>
      </c>
      <c r="H127" s="14">
        <f>CHOOSE(CONTROL!$C$42, 8.2305, 8.2305) * CHOOSE(CONTROL!$C$21, $C$9, 100%, $E$9)</f>
        <v>8.2304999999999993</v>
      </c>
      <c r="I127" s="14">
        <f>CHOOSE(CONTROL!$C$42, 8.0331, 8.0331)* CHOOSE(CONTROL!$C$21, $C$9, 100%, $E$9)</f>
        <v>8.0330999999999992</v>
      </c>
      <c r="J127" s="14">
        <f>CHOOSE(CONTROL!$C$42, 7.9961, 7.9961)* CHOOSE(CONTROL!$C$21, $C$9, 100%, $E$9)</f>
        <v>7.9961000000000002</v>
      </c>
      <c r="K127" s="52">
        <f>CHOOSE(CONTROL!$C$42, 8.0292, 8.0292) * CHOOSE(CONTROL!$C$21, $C$9, 100%, $E$9)</f>
        <v>8.0291999999999994</v>
      </c>
      <c r="L127" s="14">
        <f>CHOOSE(CONTROL!$C$42, 8.8175, 8.8175) * CHOOSE(CONTROL!$C$21, $C$9, 100%, $E$9)</f>
        <v>8.8175000000000008</v>
      </c>
      <c r="M127" s="14">
        <f>CHOOSE(CONTROL!$C$42, 7.84, 7.84) * CHOOSE(CONTROL!$C$21, $C$9, 100%, $E$9)</f>
        <v>7.84</v>
      </c>
      <c r="N127" s="14">
        <f>CHOOSE(CONTROL!$C$42, 7.8568, 7.8568) * CHOOSE(CONTROL!$C$21, $C$9, 100%, $E$9)</f>
        <v>7.8567999999999998</v>
      </c>
      <c r="O127" s="14">
        <f>CHOOSE(CONTROL!$C$42, 8.0695, 8.0695) * CHOOSE(CONTROL!$C$21, $C$9, 100%, $E$9)</f>
        <v>8.0694999999999997</v>
      </c>
      <c r="P127" s="14">
        <f>CHOOSE(CONTROL!$C$42, 7.8758, 7.8758) * CHOOSE(CONTROL!$C$21, $C$9, 100%, $E$9)</f>
        <v>7.8757999999999999</v>
      </c>
      <c r="Q127" s="14">
        <f>CHOOSE(CONTROL!$C$42, 8.6642, 8.6642) * CHOOSE(CONTROL!$C$21, $C$9, 100%, $E$9)</f>
        <v>8.6641999999999992</v>
      </c>
      <c r="R127" s="14">
        <f>CHOOSE(CONTROL!$C$42, 9.2729, 9.2729) * CHOOSE(CONTROL!$C$21, $C$9, 100%, $E$9)</f>
        <v>9.2728999999999999</v>
      </c>
      <c r="S127" s="14">
        <f>CHOOSE(CONTROL!$C$42, 7.654, 7.654) * CHOOSE(CONTROL!$C$21, $C$9, 100%, $E$9)</f>
        <v>7.6539999999999999</v>
      </c>
      <c r="T12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56">
        <f>(1000*CHOOSE(CONTROL!$C$42, 695, 695)*CHOOSE(CONTROL!$C$42, 0.5599, 0.5599)*CHOOSE(CONTROL!$C$42, 31, 31))/1000000</f>
        <v>12.063045499999998</v>
      </c>
      <c r="V127" s="56">
        <f>(1000*CHOOSE(CONTROL!$C$42, 500, 500)*CHOOSE(CONTROL!$C$42, 0.275, 0.275)*CHOOSE(CONTROL!$C$42, 31, 31))/1000000</f>
        <v>4.2625000000000002</v>
      </c>
      <c r="W127" s="56">
        <f>(1000*CHOOSE(CONTROL!$C$42, 0.1146, 0.1146)*CHOOSE(CONTROL!$C$42, 121.5, 121.5)*CHOOSE(CONTROL!$C$42, 31, 31))/1000000</f>
        <v>0.43164089999999994</v>
      </c>
      <c r="X127" s="56">
        <f>(31*0.1790888*245000/1000000)+(31*0.2374*100000/1000000)</f>
        <v>2.0961194359999999</v>
      </c>
      <c r="Y127" s="56"/>
      <c r="Z127" s="14"/>
      <c r="AA127" s="55"/>
      <c r="AB127" s="49">
        <f>(B127*194.205+C127*267.466+D127*133.845+E127*53.484+F127*40+G127*185+H127*0+I127*100+J127*300)/(194.205+267.466+133.845+53.484+0+40+185+100+300)</f>
        <v>8.0301801772370496</v>
      </c>
      <c r="AC127" s="44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7.9134107913669061</v>
      </c>
    </row>
    <row r="128" spans="1:29" ht="15.75" x14ac:dyDescent="0.25">
      <c r="A128" s="13">
        <v>44774</v>
      </c>
      <c r="B128" s="14">
        <f>CHOOSE(CONTROL!$C$42, 7.5987, 7.5987) * CHOOSE(CONTROL!$C$21, $C$9, 100%, $E$9)</f>
        <v>7.5987</v>
      </c>
      <c r="C128" s="14">
        <f>CHOOSE(CONTROL!$C$42, 7.6068, 7.6068) * CHOOSE(CONTROL!$C$21, $C$9, 100%, $E$9)</f>
        <v>7.6067999999999998</v>
      </c>
      <c r="D128" s="14">
        <f>CHOOSE(CONTROL!$C$42, 7.8326, 7.8326) * CHOOSE(CONTROL!$C$21, $C$9, 100%, $E$9)</f>
        <v>7.8326000000000002</v>
      </c>
      <c r="E128" s="14">
        <f>CHOOSE(CONTROL!$C$42, 7.864, 7.864) * CHOOSE(CONTROL!$C$21, $C$9, 100%, $E$9)</f>
        <v>7.8639999999999999</v>
      </c>
      <c r="F128" s="14">
        <f>CHOOSE(CONTROL!$C$42, 7.6256, 7.6256)*CHOOSE(CONTROL!$C$21, $C$9, 100%, $E$9)</f>
        <v>7.6256000000000004</v>
      </c>
      <c r="G128" s="14">
        <f>CHOOSE(CONTROL!$C$42, 7.6428, 7.6428)*CHOOSE(CONTROL!$C$21, $C$9, 100%, $E$9)</f>
        <v>7.6428000000000003</v>
      </c>
      <c r="H128" s="14">
        <f>CHOOSE(CONTROL!$C$42, 7.8527, 7.8527) * CHOOSE(CONTROL!$C$21, $C$9, 100%, $E$9)</f>
        <v>7.8526999999999996</v>
      </c>
      <c r="I128" s="14">
        <f>CHOOSE(CONTROL!$C$42, 7.6541, 7.6541)* CHOOSE(CONTROL!$C$21, $C$9, 100%, $E$9)</f>
        <v>7.6540999999999997</v>
      </c>
      <c r="J128" s="14">
        <f>CHOOSE(CONTROL!$C$42, 7.6186, 7.6186)* CHOOSE(CONTROL!$C$21, $C$9, 100%, $E$9)</f>
        <v>7.6185999999999998</v>
      </c>
      <c r="K128" s="52">
        <f>CHOOSE(CONTROL!$C$42, 7.6502, 7.6502) * CHOOSE(CONTROL!$C$21, $C$9, 100%, $E$9)</f>
        <v>7.6501999999999999</v>
      </c>
      <c r="L128" s="14">
        <f>CHOOSE(CONTROL!$C$42, 8.4397, 8.4397) * CHOOSE(CONTROL!$C$21, $C$9, 100%, $E$9)</f>
        <v>8.4397000000000002</v>
      </c>
      <c r="M128" s="14">
        <f>CHOOSE(CONTROL!$C$42, 7.4701, 7.4701) * CHOOSE(CONTROL!$C$21, $C$9, 100%, $E$9)</f>
        <v>7.4701000000000004</v>
      </c>
      <c r="N128" s="14">
        <f>CHOOSE(CONTROL!$C$42, 7.4871, 7.4871) * CHOOSE(CONTROL!$C$21, $C$9, 100%, $E$9)</f>
        <v>7.4870999999999999</v>
      </c>
      <c r="O128" s="14">
        <f>CHOOSE(CONTROL!$C$42, 7.6995, 7.6995) * CHOOSE(CONTROL!$C$21, $C$9, 100%, $E$9)</f>
        <v>7.6994999999999996</v>
      </c>
      <c r="P128" s="14">
        <f>CHOOSE(CONTROL!$C$42, 7.5045, 7.5045) * CHOOSE(CONTROL!$C$21, $C$9, 100%, $E$9)</f>
        <v>7.5045000000000002</v>
      </c>
      <c r="Q128" s="14">
        <f>CHOOSE(CONTROL!$C$42, 8.2942, 8.2942) * CHOOSE(CONTROL!$C$21, $C$9, 100%, $E$9)</f>
        <v>8.2942</v>
      </c>
      <c r="R128" s="14">
        <f>CHOOSE(CONTROL!$C$42, 8.9019, 8.9019) * CHOOSE(CONTROL!$C$21, $C$9, 100%, $E$9)</f>
        <v>8.9018999999999995</v>
      </c>
      <c r="S128" s="14">
        <f>CHOOSE(CONTROL!$C$42, 7.291, 7.291) * CHOOSE(CONTROL!$C$21, $C$9, 100%, $E$9)</f>
        <v>7.2910000000000004</v>
      </c>
      <c r="T12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56">
        <f>(1000*CHOOSE(CONTROL!$C$42, 695, 695)*CHOOSE(CONTROL!$C$42, 0.5599, 0.5599)*CHOOSE(CONTROL!$C$42, 31, 31))/1000000</f>
        <v>12.063045499999998</v>
      </c>
      <c r="V128" s="56">
        <f>(1000*CHOOSE(CONTROL!$C$42, 500, 500)*CHOOSE(CONTROL!$C$42, 0.275, 0.275)*CHOOSE(CONTROL!$C$42, 31, 31))/1000000</f>
        <v>4.2625000000000002</v>
      </c>
      <c r="W128" s="56">
        <f>(1000*CHOOSE(CONTROL!$C$42, 0.1146, 0.1146)*CHOOSE(CONTROL!$C$42, 121.5, 121.5)*CHOOSE(CONTROL!$C$42, 31, 31))/1000000</f>
        <v>0.43164089999999994</v>
      </c>
      <c r="X128" s="56">
        <f>(31*0.1790888*245000/1000000)+(31*0.2374*100000/1000000)</f>
        <v>2.0961194359999999</v>
      </c>
      <c r="Y128" s="56"/>
      <c r="Z128" s="14"/>
      <c r="AA128" s="55"/>
      <c r="AB128" s="49">
        <f>(B128*194.205+C128*267.466+D128*133.845+E128*53.484+F128*40+G128*185+H128*0+I128*100+J128*300)/(194.205+267.466+133.845+53.484+0+40+185+100+300)</f>
        <v>7.6523943683673474</v>
      </c>
      <c r="AC128" s="44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7.5433273381294965</v>
      </c>
    </row>
    <row r="129" spans="1:29" ht="15.75" x14ac:dyDescent="0.25">
      <c r="A129" s="13">
        <v>44805</v>
      </c>
      <c r="B129" s="14">
        <f>CHOOSE(CONTROL!$C$42, 7.1315, 7.1315) * CHOOSE(CONTROL!$C$21, $C$9, 100%, $E$9)</f>
        <v>7.1315</v>
      </c>
      <c r="C129" s="14">
        <f>CHOOSE(CONTROL!$C$42, 7.1395, 7.1395) * CHOOSE(CONTROL!$C$21, $C$9, 100%, $E$9)</f>
        <v>7.1395</v>
      </c>
      <c r="D129" s="14">
        <f>CHOOSE(CONTROL!$C$42, 7.3653, 7.3653) * CHOOSE(CONTROL!$C$21, $C$9, 100%, $E$9)</f>
        <v>7.3653000000000004</v>
      </c>
      <c r="E129" s="14">
        <f>CHOOSE(CONTROL!$C$42, 7.3968, 7.3968) * CHOOSE(CONTROL!$C$21, $C$9, 100%, $E$9)</f>
        <v>7.3967999999999998</v>
      </c>
      <c r="F129" s="14">
        <f>CHOOSE(CONTROL!$C$42, 7.1583, 7.1583)*CHOOSE(CONTROL!$C$21, $C$9, 100%, $E$9)</f>
        <v>7.1582999999999997</v>
      </c>
      <c r="G129" s="14">
        <f>CHOOSE(CONTROL!$C$42, 7.1756, 7.1756)*CHOOSE(CONTROL!$C$21, $C$9, 100%, $E$9)</f>
        <v>7.1756000000000002</v>
      </c>
      <c r="H129" s="14">
        <f>CHOOSE(CONTROL!$C$42, 7.3854, 7.3854) * CHOOSE(CONTROL!$C$21, $C$9, 100%, $E$9)</f>
        <v>7.3853999999999997</v>
      </c>
      <c r="I129" s="14">
        <f>CHOOSE(CONTROL!$C$42, 7.1854, 7.1854)* CHOOSE(CONTROL!$C$21, $C$9, 100%, $E$9)</f>
        <v>7.1853999999999996</v>
      </c>
      <c r="J129" s="14">
        <f>CHOOSE(CONTROL!$C$42, 7.1513, 7.1513)* CHOOSE(CONTROL!$C$21, $C$9, 100%, $E$9)</f>
        <v>7.1513</v>
      </c>
      <c r="K129" s="52">
        <f>CHOOSE(CONTROL!$C$42, 7.1815, 7.1815) * CHOOSE(CONTROL!$C$21, $C$9, 100%, $E$9)</f>
        <v>7.1814999999999998</v>
      </c>
      <c r="L129" s="14">
        <f>CHOOSE(CONTROL!$C$42, 7.9724, 7.9724) * CHOOSE(CONTROL!$C$21, $C$9, 100%, $E$9)</f>
        <v>7.9724000000000004</v>
      </c>
      <c r="M129" s="14">
        <f>CHOOSE(CONTROL!$C$42, 7.0125, 7.0125) * CHOOSE(CONTROL!$C$21, $C$9, 100%, $E$9)</f>
        <v>7.0125000000000002</v>
      </c>
      <c r="N129" s="14">
        <f>CHOOSE(CONTROL!$C$42, 7.0294, 7.0294) * CHOOSE(CONTROL!$C$21, $C$9, 100%, $E$9)</f>
        <v>7.0293999999999999</v>
      </c>
      <c r="O129" s="14">
        <f>CHOOSE(CONTROL!$C$42, 7.2418, 7.2418) * CHOOSE(CONTROL!$C$21, $C$9, 100%, $E$9)</f>
        <v>7.2417999999999996</v>
      </c>
      <c r="P129" s="14">
        <f>CHOOSE(CONTROL!$C$42, 7.0455, 7.0455) * CHOOSE(CONTROL!$C$21, $C$9, 100%, $E$9)</f>
        <v>7.0454999999999997</v>
      </c>
      <c r="Q129" s="14">
        <f>CHOOSE(CONTROL!$C$42, 7.8365, 7.8365) * CHOOSE(CONTROL!$C$21, $C$9, 100%, $E$9)</f>
        <v>7.8365</v>
      </c>
      <c r="R129" s="14">
        <f>CHOOSE(CONTROL!$C$42, 8.4431, 8.4431) * CHOOSE(CONTROL!$C$21, $C$9, 100%, $E$9)</f>
        <v>8.4430999999999994</v>
      </c>
      <c r="S129" s="14">
        <f>CHOOSE(CONTROL!$C$42, 6.842, 6.842) * CHOOSE(CONTROL!$C$21, $C$9, 100%, $E$9)</f>
        <v>6.8419999999999996</v>
      </c>
      <c r="T12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56">
        <f>(1000*CHOOSE(CONTROL!$C$42, 695, 695)*CHOOSE(CONTROL!$C$42, 0.5599, 0.5599)*CHOOSE(CONTROL!$C$42, 30, 30))/1000000</f>
        <v>11.673914999999997</v>
      </c>
      <c r="V129" s="56">
        <f>(1000*CHOOSE(CONTROL!$C$42, 500, 500)*CHOOSE(CONTROL!$C$42, 0.275, 0.275)*CHOOSE(CONTROL!$C$42, 30, 30))/1000000</f>
        <v>4.125</v>
      </c>
      <c r="W129" s="56">
        <f>(1000*CHOOSE(CONTROL!$C$42, 0.1146, 0.1146)*CHOOSE(CONTROL!$C$42, 121.5, 121.5)*CHOOSE(CONTROL!$C$42, 30, 30))/1000000</f>
        <v>0.417717</v>
      </c>
      <c r="X129" s="56">
        <f>(30*0.1790888*245000/1000000)+(30*0.2374*100000/1000000)</f>
        <v>2.0285026799999999</v>
      </c>
      <c r="Y129" s="56"/>
      <c r="Z129" s="14"/>
      <c r="AA129" s="55"/>
      <c r="AB129" s="49">
        <f>(B129*194.205+C129*267.466+D129*133.845+E129*53.484+F129*40+G129*185+H129*0+I129*100+J129*300)/(194.205+267.466+133.845+53.484+0+40+185+100+300)</f>
        <v>7.1850184412872853</v>
      </c>
      <c r="AC129" s="44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7.0854748201438849</v>
      </c>
    </row>
    <row r="130" spans="1:29" ht="15.75" x14ac:dyDescent="0.25">
      <c r="A130" s="13">
        <v>44835</v>
      </c>
      <c r="B130" s="14">
        <f>CHOOSE(CONTROL!$C$42, 6.9995, 6.9995) * CHOOSE(CONTROL!$C$21, $C$9, 100%, $E$9)</f>
        <v>6.9995000000000003</v>
      </c>
      <c r="C130" s="14">
        <f>CHOOSE(CONTROL!$C$42, 7.0049, 7.0049) * CHOOSE(CONTROL!$C$21, $C$9, 100%, $E$9)</f>
        <v>7.0049000000000001</v>
      </c>
      <c r="D130" s="14">
        <f>CHOOSE(CONTROL!$C$42, 7.2356, 7.2356) * CHOOSE(CONTROL!$C$21, $C$9, 100%, $E$9)</f>
        <v>7.2355999999999998</v>
      </c>
      <c r="E130" s="14">
        <f>CHOOSE(CONTROL!$C$42, 7.2647, 7.2647) * CHOOSE(CONTROL!$C$21, $C$9, 100%, $E$9)</f>
        <v>7.2647000000000004</v>
      </c>
      <c r="F130" s="14">
        <f>CHOOSE(CONTROL!$C$42, 7.0284, 7.0284)*CHOOSE(CONTROL!$C$21, $C$9, 100%, $E$9)</f>
        <v>7.0284000000000004</v>
      </c>
      <c r="G130" s="14">
        <f>CHOOSE(CONTROL!$C$42, 7.0455, 7.0455)*CHOOSE(CONTROL!$C$21, $C$9, 100%, $E$9)</f>
        <v>7.0454999999999997</v>
      </c>
      <c r="H130" s="14">
        <f>CHOOSE(CONTROL!$C$42, 7.2552, 7.2552) * CHOOSE(CONTROL!$C$21, $C$9, 100%, $E$9)</f>
        <v>7.2552000000000003</v>
      </c>
      <c r="I130" s="14">
        <f>CHOOSE(CONTROL!$C$42, 7.0548, 7.0548)* CHOOSE(CONTROL!$C$21, $C$9, 100%, $E$9)</f>
        <v>7.0548000000000002</v>
      </c>
      <c r="J130" s="14">
        <f>CHOOSE(CONTROL!$C$42, 7.0214, 7.0214)* CHOOSE(CONTROL!$C$21, $C$9, 100%, $E$9)</f>
        <v>7.0213999999999999</v>
      </c>
      <c r="K130" s="52">
        <f>CHOOSE(CONTROL!$C$42, 7.0509, 7.0509) * CHOOSE(CONTROL!$C$21, $C$9, 100%, $E$9)</f>
        <v>7.0509000000000004</v>
      </c>
      <c r="L130" s="14">
        <f>CHOOSE(CONTROL!$C$42, 7.8422, 7.8422) * CHOOSE(CONTROL!$C$21, $C$9, 100%, $E$9)</f>
        <v>7.8422000000000001</v>
      </c>
      <c r="M130" s="14">
        <f>CHOOSE(CONTROL!$C$42, 6.8852, 6.8852) * CHOOSE(CONTROL!$C$21, $C$9, 100%, $E$9)</f>
        <v>6.8852000000000002</v>
      </c>
      <c r="N130" s="14">
        <f>CHOOSE(CONTROL!$C$42, 6.902, 6.902) * CHOOSE(CONTROL!$C$21, $C$9, 100%, $E$9)</f>
        <v>6.9020000000000001</v>
      </c>
      <c r="O130" s="14">
        <f>CHOOSE(CONTROL!$C$42, 7.1142, 7.1142) * CHOOSE(CONTROL!$C$21, $C$9, 100%, $E$9)</f>
        <v>7.1142000000000003</v>
      </c>
      <c r="P130" s="14">
        <f>CHOOSE(CONTROL!$C$42, 6.9175, 6.9175) * CHOOSE(CONTROL!$C$21, $C$9, 100%, $E$9)</f>
        <v>6.9175000000000004</v>
      </c>
      <c r="Q130" s="14">
        <f>CHOOSE(CONTROL!$C$42, 7.7089, 7.7089) * CHOOSE(CONTROL!$C$21, $C$9, 100%, $E$9)</f>
        <v>7.7088999999999999</v>
      </c>
      <c r="R130" s="14">
        <f>CHOOSE(CONTROL!$C$42, 8.3152, 8.3152) * CHOOSE(CONTROL!$C$21, $C$9, 100%, $E$9)</f>
        <v>8.3152000000000008</v>
      </c>
      <c r="S130" s="14">
        <f>CHOOSE(CONTROL!$C$42, 6.7169, 6.7169) * CHOOSE(CONTROL!$C$21, $C$9, 100%, $E$9)</f>
        <v>6.7168999999999999</v>
      </c>
      <c r="T13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56">
        <f>(1000*CHOOSE(CONTROL!$C$42, 695, 695)*CHOOSE(CONTROL!$C$42, 0.5599, 0.5599)*CHOOSE(CONTROL!$C$42, 31, 31))/1000000</f>
        <v>12.063045499999998</v>
      </c>
      <c r="V130" s="56">
        <f>(1000*CHOOSE(CONTROL!$C$42, 500, 500)*CHOOSE(CONTROL!$C$42, 0.275, 0.275)*CHOOSE(CONTROL!$C$42, 31, 31))/1000000</f>
        <v>4.2625000000000002</v>
      </c>
      <c r="W130" s="56">
        <f>(1000*CHOOSE(CONTROL!$C$42, 0.1146, 0.1146)*CHOOSE(CONTROL!$C$42, 121.5, 121.5)*CHOOSE(CONTROL!$C$42, 31, 31))/1000000</f>
        <v>0.43164089999999994</v>
      </c>
      <c r="X130" s="56">
        <f>(31*0.1790888*245000/1000000)+(31*0.2374*100000/1000000)</f>
        <v>2.0961194359999999</v>
      </c>
      <c r="Y130" s="56"/>
      <c r="Z130" s="14"/>
      <c r="AA130" s="55"/>
      <c r="AB130" s="49">
        <f>(B130*131.881+C130*277.167+D130*79.08+E130*125.872+F130*40+G130*185+H130*0+I130*100+J130*300)/(131.881+277.167+79.08+125.872+0+40+185+100+300)</f>
        <v>7.0602867184826472</v>
      </c>
      <c r="AC130" s="44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6.9579669064748204</v>
      </c>
    </row>
    <row r="131" spans="1:29" ht="15.75" x14ac:dyDescent="0.25">
      <c r="A131" s="13">
        <v>44866</v>
      </c>
      <c r="B131" s="14">
        <f>CHOOSE(CONTROL!$C$42, 7.198, 7.198) * CHOOSE(CONTROL!$C$21, $C$9, 100%, $E$9)</f>
        <v>7.1980000000000004</v>
      </c>
      <c r="C131" s="14">
        <f>CHOOSE(CONTROL!$C$42, 7.2031, 7.2031) * CHOOSE(CONTROL!$C$21, $C$9, 100%, $E$9)</f>
        <v>7.2031000000000001</v>
      </c>
      <c r="D131" s="14">
        <f>CHOOSE(CONTROL!$C$42, 7.2721, 7.2721) * CHOOSE(CONTROL!$C$21, $C$9, 100%, $E$9)</f>
        <v>7.2721</v>
      </c>
      <c r="E131" s="14">
        <f>CHOOSE(CONTROL!$C$42, 7.3062, 7.3062) * CHOOSE(CONTROL!$C$21, $C$9, 100%, $E$9)</f>
        <v>7.3061999999999996</v>
      </c>
      <c r="F131" s="14">
        <f>CHOOSE(CONTROL!$C$42, 7.2336, 7.2336)*CHOOSE(CONTROL!$C$21, $C$9, 100%, $E$9)</f>
        <v>7.2336</v>
      </c>
      <c r="G131" s="14">
        <f>CHOOSE(CONTROL!$C$42, 7.251, 7.251)*CHOOSE(CONTROL!$C$21, $C$9, 100%, $E$9)</f>
        <v>7.2510000000000003</v>
      </c>
      <c r="H131" s="14">
        <f>CHOOSE(CONTROL!$C$42, 7.2954, 7.2954) * CHOOSE(CONTROL!$C$21, $C$9, 100%, $E$9)</f>
        <v>7.2953999999999999</v>
      </c>
      <c r="I131" s="14">
        <f>CHOOSE(CONTROL!$C$42, 7.2569, 7.2569)* CHOOSE(CONTROL!$C$21, $C$9, 100%, $E$9)</f>
        <v>7.2568999999999999</v>
      </c>
      <c r="J131" s="14">
        <f>CHOOSE(CONTROL!$C$42, 7.2266, 7.2266)* CHOOSE(CONTROL!$C$21, $C$9, 100%, $E$9)</f>
        <v>7.2266000000000004</v>
      </c>
      <c r="K131" s="52">
        <f>CHOOSE(CONTROL!$C$42, 7.253, 7.253) * CHOOSE(CONTROL!$C$21, $C$9, 100%, $E$9)</f>
        <v>7.2530000000000001</v>
      </c>
      <c r="L131" s="14">
        <f>CHOOSE(CONTROL!$C$42, 7.8824, 7.8824) * CHOOSE(CONTROL!$C$21, $C$9, 100%, $E$9)</f>
        <v>7.8823999999999996</v>
      </c>
      <c r="M131" s="14">
        <f>CHOOSE(CONTROL!$C$42, 7.0862, 7.0862) * CHOOSE(CONTROL!$C$21, $C$9, 100%, $E$9)</f>
        <v>7.0861999999999998</v>
      </c>
      <c r="N131" s="14">
        <f>CHOOSE(CONTROL!$C$42, 7.1033, 7.1033) * CHOOSE(CONTROL!$C$21, $C$9, 100%, $E$9)</f>
        <v>7.1032999999999999</v>
      </c>
      <c r="O131" s="14">
        <f>CHOOSE(CONTROL!$C$42, 7.1536, 7.1536) * CHOOSE(CONTROL!$C$21, $C$9, 100%, $E$9)</f>
        <v>7.1536</v>
      </c>
      <c r="P131" s="14">
        <f>CHOOSE(CONTROL!$C$42, 7.1155, 7.1155) * CHOOSE(CONTROL!$C$21, $C$9, 100%, $E$9)</f>
        <v>7.1154999999999999</v>
      </c>
      <c r="Q131" s="14">
        <f>CHOOSE(CONTROL!$C$42, 7.7483, 7.7483) * CHOOSE(CONTROL!$C$21, $C$9, 100%, $E$9)</f>
        <v>7.7483000000000004</v>
      </c>
      <c r="R131" s="14">
        <f>CHOOSE(CONTROL!$C$42, 8.3547, 8.3547) * CHOOSE(CONTROL!$C$21, $C$9, 100%, $E$9)</f>
        <v>8.3546999999999993</v>
      </c>
      <c r="S131" s="14">
        <f>CHOOSE(CONTROL!$C$42, 6.908, 6.908) * CHOOSE(CONTROL!$C$21, $C$9, 100%, $E$9)</f>
        <v>6.9080000000000004</v>
      </c>
      <c r="T13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56">
        <f>(1000*CHOOSE(CONTROL!$C$42, 695, 695)*CHOOSE(CONTROL!$C$42, 0.5599, 0.5599)*CHOOSE(CONTROL!$C$42, 30, 30))/1000000</f>
        <v>11.673914999999997</v>
      </c>
      <c r="V131" s="56">
        <f>(1000*CHOOSE(CONTROL!$C$42, 500, 500)*CHOOSE(CONTROL!$C$42, 0.275, 0.275)*CHOOSE(CONTROL!$C$42, 30, 30))/1000000</f>
        <v>4.125</v>
      </c>
      <c r="W131" s="56">
        <f>(1000*CHOOSE(CONTROL!$C$42, 0.1146, 0.1146)*CHOOSE(CONTROL!$C$42, 121.5, 121.5)*CHOOSE(CONTROL!$C$42, 30, 30))/1000000</f>
        <v>0.417717</v>
      </c>
      <c r="X131" s="56">
        <f>(30*0.1790888*100000/1000000)+(30*0.2374*100000/1000000)</f>
        <v>1.2494664</v>
      </c>
      <c r="Y131" s="56"/>
      <c r="Z131" s="14"/>
      <c r="AA131" s="55"/>
      <c r="AB131" s="49">
        <f>(B131*122.58+C131*297.941+D131*89.177+E131*40.302+F131*40+G131*160+H131*0+I131*100+J131*300)/(122.58+297.941+89.177+40.302+0+40+160+100+300)</f>
        <v>7.2300540793043471</v>
      </c>
      <c r="AC131" s="44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7.1219482014388484</v>
      </c>
    </row>
    <row r="132" spans="1:29" ht="15.75" x14ac:dyDescent="0.25">
      <c r="A132" s="13">
        <v>44896</v>
      </c>
      <c r="B132" s="14">
        <f>CHOOSE(CONTROL!$C$42, 7.7039, 7.7039) * CHOOSE(CONTROL!$C$21, $C$9, 100%, $E$9)</f>
        <v>7.7039</v>
      </c>
      <c r="C132" s="14">
        <f>CHOOSE(CONTROL!$C$42, 7.709, 7.709) * CHOOSE(CONTROL!$C$21, $C$9, 100%, $E$9)</f>
        <v>7.7089999999999996</v>
      </c>
      <c r="D132" s="14">
        <f>CHOOSE(CONTROL!$C$42, 7.778, 7.778) * CHOOSE(CONTROL!$C$21, $C$9, 100%, $E$9)</f>
        <v>7.7779999999999996</v>
      </c>
      <c r="E132" s="14">
        <f>CHOOSE(CONTROL!$C$42, 7.8121, 7.8121) * CHOOSE(CONTROL!$C$21, $C$9, 100%, $E$9)</f>
        <v>7.8121</v>
      </c>
      <c r="F132" s="14">
        <f>CHOOSE(CONTROL!$C$42, 7.7418, 7.7418)*CHOOSE(CONTROL!$C$21, $C$9, 100%, $E$9)</f>
        <v>7.7417999999999996</v>
      </c>
      <c r="G132" s="14">
        <f>CHOOSE(CONTROL!$C$42, 7.7598, 7.7598)*CHOOSE(CONTROL!$C$21, $C$9, 100%, $E$9)</f>
        <v>7.7598000000000003</v>
      </c>
      <c r="H132" s="14">
        <f>CHOOSE(CONTROL!$C$42, 7.8013, 7.8013) * CHOOSE(CONTROL!$C$21, $C$9, 100%, $E$9)</f>
        <v>7.8013000000000003</v>
      </c>
      <c r="I132" s="14">
        <f>CHOOSE(CONTROL!$C$42, 7.7644, 7.7644)* CHOOSE(CONTROL!$C$21, $C$9, 100%, $E$9)</f>
        <v>7.7644000000000002</v>
      </c>
      <c r="J132" s="14">
        <f>CHOOSE(CONTROL!$C$42, 7.7348, 7.7348)* CHOOSE(CONTROL!$C$21, $C$9, 100%, $E$9)</f>
        <v>7.7347999999999999</v>
      </c>
      <c r="K132" s="52">
        <f>CHOOSE(CONTROL!$C$42, 7.7605, 7.7605) * CHOOSE(CONTROL!$C$21, $C$9, 100%, $E$9)</f>
        <v>7.7605000000000004</v>
      </c>
      <c r="L132" s="14">
        <f>CHOOSE(CONTROL!$C$42, 8.3883, 8.3883) * CHOOSE(CONTROL!$C$21, $C$9, 100%, $E$9)</f>
        <v>8.3882999999999992</v>
      </c>
      <c r="M132" s="14">
        <f>CHOOSE(CONTROL!$C$42, 7.584, 7.584) * CHOOSE(CONTROL!$C$21, $C$9, 100%, $E$9)</f>
        <v>7.5839999999999996</v>
      </c>
      <c r="N132" s="14">
        <f>CHOOSE(CONTROL!$C$42, 7.6016, 7.6016) * CHOOSE(CONTROL!$C$21, $C$9, 100%, $E$9)</f>
        <v>7.6016000000000004</v>
      </c>
      <c r="O132" s="14">
        <f>CHOOSE(CONTROL!$C$42, 7.6492, 7.6492) * CHOOSE(CONTROL!$C$21, $C$9, 100%, $E$9)</f>
        <v>7.6492000000000004</v>
      </c>
      <c r="P132" s="14">
        <f>CHOOSE(CONTROL!$C$42, 7.6126, 7.6126) * CHOOSE(CONTROL!$C$21, $C$9, 100%, $E$9)</f>
        <v>7.6125999999999996</v>
      </c>
      <c r="Q132" s="14">
        <f>CHOOSE(CONTROL!$C$42, 8.2439, 8.2439) * CHOOSE(CONTROL!$C$21, $C$9, 100%, $E$9)</f>
        <v>8.2439</v>
      </c>
      <c r="R132" s="14">
        <f>CHOOSE(CONTROL!$C$42, 8.8515, 8.8515) * CHOOSE(CONTROL!$C$21, $C$9, 100%, $E$9)</f>
        <v>8.8514999999999997</v>
      </c>
      <c r="S132" s="14">
        <f>CHOOSE(CONTROL!$C$42, 7.3942, 7.3942) * CHOOSE(CONTROL!$C$21, $C$9, 100%, $E$9)</f>
        <v>7.3941999999999997</v>
      </c>
      <c r="T13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56">
        <f>(1000*CHOOSE(CONTROL!$C$42, 695, 695)*CHOOSE(CONTROL!$C$42, 0.5599, 0.5599)*CHOOSE(CONTROL!$C$42, 31, 31))/1000000</f>
        <v>12.063045499999998</v>
      </c>
      <c r="V132" s="56">
        <f>(1000*CHOOSE(CONTROL!$C$42, 500, 500)*CHOOSE(CONTROL!$C$42, 0.275, 0.275)*CHOOSE(CONTROL!$C$42, 31, 31))/1000000</f>
        <v>4.2625000000000002</v>
      </c>
      <c r="W132" s="56">
        <f>(1000*CHOOSE(CONTROL!$C$42, 0.1146, 0.1146)*CHOOSE(CONTROL!$C$42, 121.5, 121.5)*CHOOSE(CONTROL!$C$42, 31, 31))/1000000</f>
        <v>0.43164089999999994</v>
      </c>
      <c r="X132" s="56">
        <f>(31*0.1790888*100000/1000000)+(31*0.2374*100000/1000000)</f>
        <v>1.2911152800000001</v>
      </c>
      <c r="Y132" s="56"/>
      <c r="Z132" s="14"/>
      <c r="AA132" s="55"/>
      <c r="AB132" s="49">
        <f>(B132*122.58+C132*297.941+D132*89.177+E132*40.302+F132*40+G132*160+H132*0+I132*100+J132*300)/(122.58+297.941+89.177+40.302+0+40+160+100+300)</f>
        <v>7.7371766879999999</v>
      </c>
      <c r="AC132" s="44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7.6186791366906474</v>
      </c>
    </row>
    <row r="133" spans="1:29" ht="15.75" x14ac:dyDescent="0.25">
      <c r="A133" s="13">
        <v>44927</v>
      </c>
      <c r="B133" s="14">
        <f>CHOOSE(CONTROL!$C$42, 8.5009, 8.5009) * CHOOSE(CONTROL!$C$21, $C$9, 100%, $E$9)</f>
        <v>8.5008999999999997</v>
      </c>
      <c r="C133" s="14">
        <f>CHOOSE(CONTROL!$C$42, 8.506, 8.506) * CHOOSE(CONTROL!$C$21, $C$9, 100%, $E$9)</f>
        <v>8.5060000000000002</v>
      </c>
      <c r="D133" s="14">
        <f>CHOOSE(CONTROL!$C$42, 8.5854, 8.5854) * CHOOSE(CONTROL!$C$21, $C$9, 100%, $E$9)</f>
        <v>8.5853999999999999</v>
      </c>
      <c r="E133" s="14">
        <f>CHOOSE(CONTROL!$C$42, 8.6195, 8.6195) * CHOOSE(CONTROL!$C$21, $C$9, 100%, $E$9)</f>
        <v>8.6195000000000004</v>
      </c>
      <c r="F133" s="14">
        <f>CHOOSE(CONTROL!$C$42, 8.5239, 8.5239)*CHOOSE(CONTROL!$C$21, $C$9, 100%, $E$9)</f>
        <v>8.5238999999999994</v>
      </c>
      <c r="G133" s="14">
        <f>CHOOSE(CONTROL!$C$42, 8.5415, 8.5415)*CHOOSE(CONTROL!$C$21, $C$9, 100%, $E$9)</f>
        <v>8.5414999999999992</v>
      </c>
      <c r="H133" s="14">
        <f>CHOOSE(CONTROL!$C$42, 8.6087, 8.6087) * CHOOSE(CONTROL!$C$21, $C$9, 100%, $E$9)</f>
        <v>8.6087000000000007</v>
      </c>
      <c r="I133" s="14">
        <f>CHOOSE(CONTROL!$C$42, 8.5628, 8.5628)* CHOOSE(CONTROL!$C$21, $C$9, 100%, $E$9)</f>
        <v>8.5627999999999993</v>
      </c>
      <c r="J133" s="14">
        <f>CHOOSE(CONTROL!$C$42, 8.5169, 8.5169)* CHOOSE(CONTROL!$C$21, $C$9, 100%, $E$9)</f>
        <v>8.5168999999999997</v>
      </c>
      <c r="K133" s="52">
        <f>CHOOSE(CONTROL!$C$42, 8.5589, 8.5589) * CHOOSE(CONTROL!$C$21, $C$9, 100%, $E$9)</f>
        <v>8.5588999999999995</v>
      </c>
      <c r="L133" s="14">
        <f>CHOOSE(CONTROL!$C$42, 9.1957, 9.1957) * CHOOSE(CONTROL!$C$21, $C$9, 100%, $E$9)</f>
        <v>9.1957000000000004</v>
      </c>
      <c r="M133" s="14">
        <f>CHOOSE(CONTROL!$C$42, 8.3501, 8.3501) * CHOOSE(CONTROL!$C$21, $C$9, 100%, $E$9)</f>
        <v>8.3500999999999994</v>
      </c>
      <c r="N133" s="14">
        <f>CHOOSE(CONTROL!$C$42, 8.3673, 8.3673) * CHOOSE(CONTROL!$C$21, $C$9, 100%, $E$9)</f>
        <v>8.3673000000000002</v>
      </c>
      <c r="O133" s="14">
        <f>CHOOSE(CONTROL!$C$42, 8.44, 8.44) * CHOOSE(CONTROL!$C$21, $C$9, 100%, $E$9)</f>
        <v>8.44</v>
      </c>
      <c r="P133" s="14">
        <f>CHOOSE(CONTROL!$C$42, 8.3946, 8.3946) * CHOOSE(CONTROL!$C$21, $C$9, 100%, $E$9)</f>
        <v>8.3946000000000005</v>
      </c>
      <c r="Q133" s="14">
        <f>CHOOSE(CONTROL!$C$42, 9.0347, 9.0347) * CHOOSE(CONTROL!$C$21, $C$9, 100%, $E$9)</f>
        <v>9.0347000000000008</v>
      </c>
      <c r="R133" s="14">
        <f>CHOOSE(CONTROL!$C$42, 9.6443, 9.6443) * CHOOSE(CONTROL!$C$21, $C$9, 100%, $E$9)</f>
        <v>9.6442999999999994</v>
      </c>
      <c r="S133" s="14">
        <f>CHOOSE(CONTROL!$C$42, 8.16, 8.16) * CHOOSE(CONTROL!$C$21, $C$9, 100%, $E$9)</f>
        <v>8.16</v>
      </c>
      <c r="T13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56">
        <f>(1000*CHOOSE(CONTROL!$C$42, 695, 695)*CHOOSE(CONTROL!$C$42, 0.5599, 0.5599)*CHOOSE(CONTROL!$C$42, 31, 31))/1000000</f>
        <v>12.063045499999998</v>
      </c>
      <c r="V133" s="56">
        <f>(1000*CHOOSE(CONTROL!$C$42, 500, 500)*CHOOSE(CONTROL!$C$42, 0.275, 0.275)*CHOOSE(CONTROL!$C$42, 31, 31))/1000000</f>
        <v>4.2625000000000002</v>
      </c>
      <c r="W133" s="56">
        <f>(1000*CHOOSE(CONTROL!$C$42, 0.1146, 0.1146)*CHOOSE(CONTROL!$C$42, 121.5, 121.5)*CHOOSE(CONTROL!$C$42, 31, 31))/1000000</f>
        <v>0.43164089999999994</v>
      </c>
      <c r="X133" s="56">
        <f>(31*0.1790888*100000/1000000)+(31*0.2374*100000/1000000)</f>
        <v>1.2911152800000001</v>
      </c>
      <c r="Y133" s="56"/>
      <c r="Z133" s="14"/>
      <c r="AA133" s="55"/>
      <c r="AB133" s="49">
        <f>(B133*122.58+C133*297.941+D133*89.177+E133*40.302+F133*40+G133*160+H133*0+I133*100+J133*300)/(122.58+297.941+89.177+40.302+0+40+160+100+300)</f>
        <v>8.5289354546086962</v>
      </c>
      <c r="AC133" s="44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8.3982388489208635</v>
      </c>
    </row>
    <row r="134" spans="1:29" ht="15.75" x14ac:dyDescent="0.25">
      <c r="A134" s="13">
        <v>44958</v>
      </c>
      <c r="B134" s="14">
        <f>CHOOSE(CONTROL!$C$42, 8.6699, 8.6699) * CHOOSE(CONTROL!$C$21, $C$9, 100%, $E$9)</f>
        <v>8.6699000000000002</v>
      </c>
      <c r="C134" s="14">
        <f>CHOOSE(CONTROL!$C$42, 8.6749, 8.6749) * CHOOSE(CONTROL!$C$21, $C$9, 100%, $E$9)</f>
        <v>8.6748999999999992</v>
      </c>
      <c r="D134" s="14">
        <f>CHOOSE(CONTROL!$C$42, 8.7544, 8.7544) * CHOOSE(CONTROL!$C$21, $C$9, 100%, $E$9)</f>
        <v>8.7544000000000004</v>
      </c>
      <c r="E134" s="14">
        <f>CHOOSE(CONTROL!$C$42, 8.7885, 8.7885) * CHOOSE(CONTROL!$C$21, $C$9, 100%, $E$9)</f>
        <v>8.7885000000000009</v>
      </c>
      <c r="F134" s="14">
        <f>CHOOSE(CONTROL!$C$42, 8.6927, 8.6927)*CHOOSE(CONTROL!$C$21, $C$9, 100%, $E$9)</f>
        <v>8.6927000000000003</v>
      </c>
      <c r="G134" s="14">
        <f>CHOOSE(CONTROL!$C$42, 8.7101, 8.7101)*CHOOSE(CONTROL!$C$21, $C$9, 100%, $E$9)</f>
        <v>8.7101000000000006</v>
      </c>
      <c r="H134" s="14">
        <f>CHOOSE(CONTROL!$C$42, 8.7777, 8.7777) * CHOOSE(CONTROL!$C$21, $C$9, 100%, $E$9)</f>
        <v>8.7776999999999994</v>
      </c>
      <c r="I134" s="14">
        <f>CHOOSE(CONTROL!$C$42, 8.7323, 8.7323)* CHOOSE(CONTROL!$C$21, $C$9, 100%, $E$9)</f>
        <v>8.7323000000000004</v>
      </c>
      <c r="J134" s="14">
        <f>CHOOSE(CONTROL!$C$42, 8.6857, 8.6857)* CHOOSE(CONTROL!$C$21, $C$9, 100%, $E$9)</f>
        <v>8.6857000000000006</v>
      </c>
      <c r="K134" s="52">
        <f>CHOOSE(CONTROL!$C$42, 8.7284, 8.7284) * CHOOSE(CONTROL!$C$21, $C$9, 100%, $E$9)</f>
        <v>8.7284000000000006</v>
      </c>
      <c r="L134" s="14">
        <f>CHOOSE(CONTROL!$C$42, 9.3647, 9.3647) * CHOOSE(CONTROL!$C$21, $C$9, 100%, $E$9)</f>
        <v>9.3646999999999991</v>
      </c>
      <c r="M134" s="14">
        <f>CHOOSE(CONTROL!$C$42, 8.5154, 8.5154) * CHOOSE(CONTROL!$C$21, $C$9, 100%, $E$9)</f>
        <v>8.5153999999999996</v>
      </c>
      <c r="N134" s="14">
        <f>CHOOSE(CONTROL!$C$42, 8.5325, 8.5325) * CHOOSE(CONTROL!$C$21, $C$9, 100%, $E$9)</f>
        <v>8.5325000000000006</v>
      </c>
      <c r="O134" s="14">
        <f>CHOOSE(CONTROL!$C$42, 8.6055, 8.6055) * CHOOSE(CONTROL!$C$21, $C$9, 100%, $E$9)</f>
        <v>8.6054999999999993</v>
      </c>
      <c r="P134" s="14">
        <f>CHOOSE(CONTROL!$C$42, 8.5606, 8.5606) * CHOOSE(CONTROL!$C$21, $C$9, 100%, $E$9)</f>
        <v>8.5606000000000009</v>
      </c>
      <c r="Q134" s="14">
        <f>CHOOSE(CONTROL!$C$42, 9.2002, 9.2002) * CHOOSE(CONTROL!$C$21, $C$9, 100%, $E$9)</f>
        <v>9.2002000000000006</v>
      </c>
      <c r="R134" s="14">
        <f>CHOOSE(CONTROL!$C$42, 9.8102, 9.8102) * CHOOSE(CONTROL!$C$21, $C$9, 100%, $E$9)</f>
        <v>9.8102</v>
      </c>
      <c r="S134" s="14">
        <f>CHOOSE(CONTROL!$C$42, 8.3223, 8.3223) * CHOOSE(CONTROL!$C$21, $C$9, 100%, $E$9)</f>
        <v>8.3223000000000003</v>
      </c>
      <c r="T13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34" s="56">
        <f>(1000*CHOOSE(CONTROL!$C$42, 695, 695)*CHOOSE(CONTROL!$C$42, 0.5599, 0.5599)*CHOOSE(CONTROL!$C$42, 28, 28))/1000000</f>
        <v>10.895653999999999</v>
      </c>
      <c r="V134" s="56">
        <f>(1000*CHOOSE(CONTROL!$C$42, 500, 500)*CHOOSE(CONTROL!$C$42, 0.275, 0.275)*CHOOSE(CONTROL!$C$42, 28, 28))/1000000</f>
        <v>3.85</v>
      </c>
      <c r="W134" s="56">
        <f>(1000*CHOOSE(CONTROL!$C$42, 0.1146, 0.1146)*CHOOSE(CONTROL!$C$42, 121.5, 121.5)*CHOOSE(CONTROL!$C$42, 28, 28))/1000000</f>
        <v>0.38986920000000003</v>
      </c>
      <c r="X134" s="56">
        <f>(28*0.1790888*100000/1000000)+(28*0.2374*100000/1000000)</f>
        <v>1.16616864</v>
      </c>
      <c r="Y134" s="56"/>
      <c r="Z134" s="14"/>
      <c r="AA134" s="55"/>
      <c r="AB134" s="49">
        <f>(B134*122.58+C134*297.941+D134*89.177+E134*40.302+F134*40+G134*160+H134*0+I134*100+J134*300)/(122.58+297.941+89.177+40.302+0+40+160+100+300)</f>
        <v>8.6978382423478262</v>
      </c>
      <c r="AC134" s="44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8.5637244604316543</v>
      </c>
    </row>
    <row r="135" spans="1:29" ht="15.75" x14ac:dyDescent="0.25">
      <c r="A135" s="13">
        <v>44986</v>
      </c>
      <c r="B135" s="14">
        <f>CHOOSE(CONTROL!$C$42, 8.4413, 8.4413) * CHOOSE(CONTROL!$C$21, $C$9, 100%, $E$9)</f>
        <v>8.4413</v>
      </c>
      <c r="C135" s="14">
        <f>CHOOSE(CONTROL!$C$42, 8.4464, 8.4464) * CHOOSE(CONTROL!$C$21, $C$9, 100%, $E$9)</f>
        <v>8.4464000000000006</v>
      </c>
      <c r="D135" s="14">
        <f>CHOOSE(CONTROL!$C$42, 8.5258, 8.5258) * CHOOSE(CONTROL!$C$21, $C$9, 100%, $E$9)</f>
        <v>8.5258000000000003</v>
      </c>
      <c r="E135" s="14">
        <f>CHOOSE(CONTROL!$C$42, 8.5599, 8.5599) * CHOOSE(CONTROL!$C$21, $C$9, 100%, $E$9)</f>
        <v>8.5599000000000007</v>
      </c>
      <c r="F135" s="14">
        <f>CHOOSE(CONTROL!$C$42, 8.4634, 8.4634)*CHOOSE(CONTROL!$C$21, $C$9, 100%, $E$9)</f>
        <v>8.4634</v>
      </c>
      <c r="G135" s="14">
        <f>CHOOSE(CONTROL!$C$42, 8.4806, 8.4806)*CHOOSE(CONTROL!$C$21, $C$9, 100%, $E$9)</f>
        <v>8.4806000000000008</v>
      </c>
      <c r="H135" s="14">
        <f>CHOOSE(CONTROL!$C$42, 8.5491, 8.5491) * CHOOSE(CONTROL!$C$21, $C$9, 100%, $E$9)</f>
        <v>8.5490999999999993</v>
      </c>
      <c r="I135" s="14">
        <f>CHOOSE(CONTROL!$C$42, 8.5031, 8.5031)* CHOOSE(CONTROL!$C$21, $C$9, 100%, $E$9)</f>
        <v>8.5030999999999999</v>
      </c>
      <c r="J135" s="14">
        <f>CHOOSE(CONTROL!$C$42, 8.4564, 8.4564)* CHOOSE(CONTROL!$C$21, $C$9, 100%, $E$9)</f>
        <v>8.4564000000000004</v>
      </c>
      <c r="K135" s="52">
        <f>CHOOSE(CONTROL!$C$42, 8.4992, 8.4992) * CHOOSE(CONTROL!$C$21, $C$9, 100%, $E$9)</f>
        <v>8.4992000000000001</v>
      </c>
      <c r="L135" s="14">
        <f>CHOOSE(CONTROL!$C$42, 9.1361, 9.1361) * CHOOSE(CONTROL!$C$21, $C$9, 100%, $E$9)</f>
        <v>9.1361000000000008</v>
      </c>
      <c r="M135" s="14">
        <f>CHOOSE(CONTROL!$C$42, 8.2908, 8.2908) * CHOOSE(CONTROL!$C$21, $C$9, 100%, $E$9)</f>
        <v>8.2908000000000008</v>
      </c>
      <c r="N135" s="14">
        <f>CHOOSE(CONTROL!$C$42, 8.3077, 8.3077) * CHOOSE(CONTROL!$C$21, $C$9, 100%, $E$9)</f>
        <v>8.3077000000000005</v>
      </c>
      <c r="O135" s="14">
        <f>CHOOSE(CONTROL!$C$42, 8.3817, 8.3817) * CHOOSE(CONTROL!$C$21, $C$9, 100%, $E$9)</f>
        <v>8.3817000000000004</v>
      </c>
      <c r="P135" s="14">
        <f>CHOOSE(CONTROL!$C$42, 8.3361, 8.3361) * CHOOSE(CONTROL!$C$21, $C$9, 100%, $E$9)</f>
        <v>8.3361000000000001</v>
      </c>
      <c r="Q135" s="14">
        <f>CHOOSE(CONTROL!$C$42, 8.9764, 8.9764) * CHOOSE(CONTROL!$C$21, $C$9, 100%, $E$9)</f>
        <v>8.9763999999999999</v>
      </c>
      <c r="R135" s="14">
        <f>CHOOSE(CONTROL!$C$42, 9.5858, 9.5858) * CHOOSE(CONTROL!$C$21, $C$9, 100%, $E$9)</f>
        <v>9.5858000000000008</v>
      </c>
      <c r="S135" s="14">
        <f>CHOOSE(CONTROL!$C$42, 8.1027, 8.1027) * CHOOSE(CONTROL!$C$21, $C$9, 100%, $E$9)</f>
        <v>8.1027000000000005</v>
      </c>
      <c r="T13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56">
        <f>(1000*CHOOSE(CONTROL!$C$42, 695, 695)*CHOOSE(CONTROL!$C$42, 0.5599, 0.5599)*CHOOSE(CONTROL!$C$42, 31, 31))/1000000</f>
        <v>12.063045499999998</v>
      </c>
      <c r="V135" s="56">
        <f>(1000*CHOOSE(CONTROL!$C$42, 500, 500)*CHOOSE(CONTROL!$C$42, 0.275, 0.275)*CHOOSE(CONTROL!$C$42, 31, 31))/1000000</f>
        <v>4.2625000000000002</v>
      </c>
      <c r="W135" s="56">
        <f>(1000*CHOOSE(CONTROL!$C$42, 0.1146, 0.1146)*CHOOSE(CONTROL!$C$42, 121.5, 121.5)*CHOOSE(CONTROL!$C$42, 31, 31))/1000000</f>
        <v>0.43164089999999994</v>
      </c>
      <c r="X135" s="56">
        <f>(31*0.1790888*100000/1000000)+(31*0.2374*100000/1000000)</f>
        <v>1.2911152800000001</v>
      </c>
      <c r="Y135" s="56"/>
      <c r="Z135" s="14"/>
      <c r="AA135" s="55"/>
      <c r="AB135" s="49">
        <f>(B135*122.58+C135*297.941+D135*89.177+E135*40.302+F135*40+G135*160+H135*0+I135*100+J135*300)/(122.58+297.941+89.177+40.302+0+40+160+100+300)</f>
        <v>8.4688798024347829</v>
      </c>
      <c r="AC135" s="44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8.3394899280575547</v>
      </c>
    </row>
    <row r="136" spans="1:29" ht="15.75" x14ac:dyDescent="0.25">
      <c r="A136" s="13">
        <v>45017</v>
      </c>
      <c r="B136" s="14">
        <f>CHOOSE(CONTROL!$C$42, 8.4344, 8.4344) * CHOOSE(CONTROL!$C$21, $C$9, 100%, $E$9)</f>
        <v>8.4344000000000001</v>
      </c>
      <c r="C136" s="14">
        <f>CHOOSE(CONTROL!$C$42, 8.4389, 8.4389) * CHOOSE(CONTROL!$C$21, $C$9, 100%, $E$9)</f>
        <v>8.4389000000000003</v>
      </c>
      <c r="D136" s="14">
        <f>CHOOSE(CONTROL!$C$42, 8.6678, 8.6678) * CHOOSE(CONTROL!$C$21, $C$9, 100%, $E$9)</f>
        <v>8.6677999999999997</v>
      </c>
      <c r="E136" s="14">
        <f>CHOOSE(CONTROL!$C$42, 8.6999, 8.6999) * CHOOSE(CONTROL!$C$21, $C$9, 100%, $E$9)</f>
        <v>8.6998999999999995</v>
      </c>
      <c r="F136" s="14">
        <f>CHOOSE(CONTROL!$C$42, 8.4614, 8.4614)*CHOOSE(CONTROL!$C$21, $C$9, 100%, $E$9)</f>
        <v>8.4613999999999994</v>
      </c>
      <c r="G136" s="14">
        <f>CHOOSE(CONTROL!$C$42, 8.4781, 8.4781)*CHOOSE(CONTROL!$C$21, $C$9, 100%, $E$9)</f>
        <v>8.4780999999999995</v>
      </c>
      <c r="H136" s="14">
        <f>CHOOSE(CONTROL!$C$42, 8.6897, 8.6897) * CHOOSE(CONTROL!$C$21, $C$9, 100%, $E$9)</f>
        <v>8.6897000000000002</v>
      </c>
      <c r="I136" s="14">
        <f>CHOOSE(CONTROL!$C$42, 8.4938, 8.4938)* CHOOSE(CONTROL!$C$21, $C$9, 100%, $E$9)</f>
        <v>8.4938000000000002</v>
      </c>
      <c r="J136" s="14">
        <f>CHOOSE(CONTROL!$C$42, 8.4544, 8.4544)* CHOOSE(CONTROL!$C$21, $C$9, 100%, $E$9)</f>
        <v>8.4543999999999997</v>
      </c>
      <c r="K136" s="52">
        <f>CHOOSE(CONTROL!$C$42, 8.4899, 8.4899) * CHOOSE(CONTROL!$C$21, $C$9, 100%, $E$9)</f>
        <v>8.4899000000000004</v>
      </c>
      <c r="L136" s="14">
        <f>CHOOSE(CONTROL!$C$42, 9.2767, 9.2767) * CHOOSE(CONTROL!$C$21, $C$9, 100%, $E$9)</f>
        <v>9.2766999999999999</v>
      </c>
      <c r="M136" s="14">
        <f>CHOOSE(CONTROL!$C$42, 8.2889, 8.2889) * CHOOSE(CONTROL!$C$21, $C$9, 100%, $E$9)</f>
        <v>8.2888999999999999</v>
      </c>
      <c r="N136" s="14">
        <f>CHOOSE(CONTROL!$C$42, 8.3053, 8.3053) * CHOOSE(CONTROL!$C$21, $C$9, 100%, $E$9)</f>
        <v>8.3053000000000008</v>
      </c>
      <c r="O136" s="14">
        <f>CHOOSE(CONTROL!$C$42, 8.5194, 8.5194) * CHOOSE(CONTROL!$C$21, $C$9, 100%, $E$9)</f>
        <v>8.5193999999999992</v>
      </c>
      <c r="P136" s="14">
        <f>CHOOSE(CONTROL!$C$42, 8.327, 8.327) * CHOOSE(CONTROL!$C$21, $C$9, 100%, $E$9)</f>
        <v>8.327</v>
      </c>
      <c r="Q136" s="14">
        <f>CHOOSE(CONTROL!$C$42, 9.1141, 9.1141) * CHOOSE(CONTROL!$C$21, $C$9, 100%, $E$9)</f>
        <v>9.1141000000000005</v>
      </c>
      <c r="R136" s="14">
        <f>CHOOSE(CONTROL!$C$42, 9.7239, 9.7239) * CHOOSE(CONTROL!$C$21, $C$9, 100%, $E$9)</f>
        <v>9.7239000000000004</v>
      </c>
      <c r="S136" s="14">
        <f>CHOOSE(CONTROL!$C$42, 8.0953, 8.0953) * CHOOSE(CONTROL!$C$21, $C$9, 100%, $E$9)</f>
        <v>8.0952999999999999</v>
      </c>
      <c r="T13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56">
        <f>(1000*CHOOSE(CONTROL!$C$42, 695, 695)*CHOOSE(CONTROL!$C$42, 0.5599, 0.5599)*CHOOSE(CONTROL!$C$42, 30, 30))/1000000</f>
        <v>11.673914999999997</v>
      </c>
      <c r="V136" s="56">
        <f>(1000*CHOOSE(CONTROL!$C$42, 500, 500)*CHOOSE(CONTROL!$C$42, 0.275, 0.275)*CHOOSE(CONTROL!$C$42, 30, 30))/1000000</f>
        <v>4.125</v>
      </c>
      <c r="W136" s="56">
        <f>(1000*CHOOSE(CONTROL!$C$42, 0.1146, 0.1146)*CHOOSE(CONTROL!$C$42, 121.5, 121.5)*CHOOSE(CONTROL!$C$42, 30, 30))/1000000</f>
        <v>0.417717</v>
      </c>
      <c r="X136" s="56">
        <f>(30*0.1790888*245000/1000000)+(30*0.2374*100000/1000000)</f>
        <v>2.0285026799999999</v>
      </c>
      <c r="Y136" s="56"/>
      <c r="Z136" s="14"/>
      <c r="AA136" s="55"/>
      <c r="AB136" s="49">
        <f>(B136*141.293+C136*267.993+D136*115.016+E136*89.698+F136*40+G136*185+H136*0+I136*100+J136*300)/(141.293+267.993+115.016+89.698+0+40+185+100+300)</f>
        <v>8.4932942872477781</v>
      </c>
      <c r="AC136" s="44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8.3628302158273389</v>
      </c>
    </row>
    <row r="137" spans="1:29" ht="15.75" x14ac:dyDescent="0.25">
      <c r="A137" s="13">
        <v>45047</v>
      </c>
      <c r="B137" s="14">
        <f>CHOOSE(CONTROL!$C$42, 8.5277, 8.5277) * CHOOSE(CONTROL!$C$21, $C$9, 100%, $E$9)</f>
        <v>8.5276999999999994</v>
      </c>
      <c r="C137" s="14">
        <f>CHOOSE(CONTROL!$C$42, 8.5357, 8.5357) * CHOOSE(CONTROL!$C$21, $C$9, 100%, $E$9)</f>
        <v>8.5357000000000003</v>
      </c>
      <c r="D137" s="14">
        <f>CHOOSE(CONTROL!$C$42, 8.7615, 8.7615) * CHOOSE(CONTROL!$C$21, $C$9, 100%, $E$9)</f>
        <v>8.7614999999999998</v>
      </c>
      <c r="E137" s="14">
        <f>CHOOSE(CONTROL!$C$42, 8.7929, 8.7929) * CHOOSE(CONTROL!$C$21, $C$9, 100%, $E$9)</f>
        <v>8.7928999999999995</v>
      </c>
      <c r="F137" s="14">
        <f>CHOOSE(CONTROL!$C$42, 8.5533, 8.5533)*CHOOSE(CONTROL!$C$21, $C$9, 100%, $E$9)</f>
        <v>8.5533000000000001</v>
      </c>
      <c r="G137" s="14">
        <f>CHOOSE(CONTROL!$C$42, 8.5703, 8.5703)*CHOOSE(CONTROL!$C$21, $C$9, 100%, $E$9)</f>
        <v>8.5702999999999996</v>
      </c>
      <c r="H137" s="14">
        <f>CHOOSE(CONTROL!$C$42, 8.7816, 8.7816) * CHOOSE(CONTROL!$C$21, $C$9, 100%, $E$9)</f>
        <v>8.7815999999999992</v>
      </c>
      <c r="I137" s="14">
        <f>CHOOSE(CONTROL!$C$42, 8.5859, 8.5859)* CHOOSE(CONTROL!$C$21, $C$9, 100%, $E$9)</f>
        <v>8.5859000000000005</v>
      </c>
      <c r="J137" s="14">
        <f>CHOOSE(CONTROL!$C$42, 8.5463, 8.5463)* CHOOSE(CONTROL!$C$21, $C$9, 100%, $E$9)</f>
        <v>8.5463000000000005</v>
      </c>
      <c r="K137" s="52">
        <f>CHOOSE(CONTROL!$C$42, 8.582, 8.582) * CHOOSE(CONTROL!$C$21, $C$9, 100%, $E$9)</f>
        <v>8.5820000000000007</v>
      </c>
      <c r="L137" s="14">
        <f>CHOOSE(CONTROL!$C$42, 9.3686, 9.3686) * CHOOSE(CONTROL!$C$21, $C$9, 100%, $E$9)</f>
        <v>9.3686000000000007</v>
      </c>
      <c r="M137" s="14">
        <f>CHOOSE(CONTROL!$C$42, 8.3789, 8.3789) * CHOOSE(CONTROL!$C$21, $C$9, 100%, $E$9)</f>
        <v>8.3788999999999998</v>
      </c>
      <c r="N137" s="14">
        <f>CHOOSE(CONTROL!$C$42, 8.3955, 8.3955) * CHOOSE(CONTROL!$C$21, $C$9, 100%, $E$9)</f>
        <v>8.3955000000000002</v>
      </c>
      <c r="O137" s="14">
        <f>CHOOSE(CONTROL!$C$42, 8.6093, 8.6093) * CHOOSE(CONTROL!$C$21, $C$9, 100%, $E$9)</f>
        <v>8.6092999999999993</v>
      </c>
      <c r="P137" s="14">
        <f>CHOOSE(CONTROL!$C$42, 8.4172, 8.4172) * CHOOSE(CONTROL!$C$21, $C$9, 100%, $E$9)</f>
        <v>8.4171999999999993</v>
      </c>
      <c r="Q137" s="14">
        <f>CHOOSE(CONTROL!$C$42, 9.204, 9.204) * CHOOSE(CONTROL!$C$21, $C$9, 100%, $E$9)</f>
        <v>9.2040000000000006</v>
      </c>
      <c r="R137" s="14">
        <f>CHOOSE(CONTROL!$C$42, 9.8141, 9.8141) * CHOOSE(CONTROL!$C$21, $C$9, 100%, $E$9)</f>
        <v>9.8140999999999998</v>
      </c>
      <c r="S137" s="14">
        <f>CHOOSE(CONTROL!$C$42, 8.1836, 8.1836) * CHOOSE(CONTROL!$C$21, $C$9, 100%, $E$9)</f>
        <v>8.1836000000000002</v>
      </c>
      <c r="T13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56">
        <f>(1000*CHOOSE(CONTROL!$C$42, 695, 695)*CHOOSE(CONTROL!$C$42, 0.5599, 0.5599)*CHOOSE(CONTROL!$C$42, 31, 31))/1000000</f>
        <v>12.063045499999998</v>
      </c>
      <c r="V137" s="56">
        <f>(1000*CHOOSE(CONTROL!$C$42, 500, 500)*CHOOSE(CONTROL!$C$42, 0.275, 0.275)*CHOOSE(CONTROL!$C$42, 31, 31))/1000000</f>
        <v>4.2625000000000002</v>
      </c>
      <c r="W137" s="56">
        <f>(1000*CHOOSE(CONTROL!$C$42, 0.1146, 0.1146)*CHOOSE(CONTROL!$C$42, 121.5, 121.5)*CHOOSE(CONTROL!$C$42, 31, 31))/1000000</f>
        <v>0.43164089999999994</v>
      </c>
      <c r="X137" s="56">
        <f>(31*0.1790888*245000/1000000)+(31*0.2374*100000/1000000)</f>
        <v>2.0961194359999999</v>
      </c>
      <c r="Y137" s="56"/>
      <c r="Z137" s="14"/>
      <c r="AA137" s="55"/>
      <c r="AB137" s="49">
        <f>(B137*194.205+C137*267.466+D137*133.845+E137*53.484+F137*40+G137*185+H137*0+I137*100+J137*300)/(194.205+267.466+133.845+53.484+0+40+185+100+300)</f>
        <v>8.5810136937205641</v>
      </c>
      <c r="AC137" s="44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8.4528769784172653</v>
      </c>
    </row>
    <row r="138" spans="1:29" ht="15.75" x14ac:dyDescent="0.25">
      <c r="A138" s="13">
        <v>45078</v>
      </c>
      <c r="B138" s="14">
        <f>CHOOSE(CONTROL!$C$42, 8.7873, 8.7873) * CHOOSE(CONTROL!$C$21, $C$9, 100%, $E$9)</f>
        <v>8.7873000000000001</v>
      </c>
      <c r="C138" s="14">
        <f>CHOOSE(CONTROL!$C$42, 8.7953, 8.7953) * CHOOSE(CONTROL!$C$21, $C$9, 100%, $E$9)</f>
        <v>8.7952999999999992</v>
      </c>
      <c r="D138" s="14">
        <f>CHOOSE(CONTROL!$C$42, 9.0211, 9.0211) * CHOOSE(CONTROL!$C$21, $C$9, 100%, $E$9)</f>
        <v>9.0211000000000006</v>
      </c>
      <c r="E138" s="14">
        <f>CHOOSE(CONTROL!$C$42, 9.0525, 9.0525) * CHOOSE(CONTROL!$C$21, $C$9, 100%, $E$9)</f>
        <v>9.0525000000000002</v>
      </c>
      <c r="F138" s="14">
        <f>CHOOSE(CONTROL!$C$42, 8.8134, 8.8134)*CHOOSE(CONTROL!$C$21, $C$9, 100%, $E$9)</f>
        <v>8.8133999999999997</v>
      </c>
      <c r="G138" s="14">
        <f>CHOOSE(CONTROL!$C$42, 8.8304, 8.8304)*CHOOSE(CONTROL!$C$21, $C$9, 100%, $E$9)</f>
        <v>8.8303999999999991</v>
      </c>
      <c r="H138" s="14">
        <f>CHOOSE(CONTROL!$C$42, 9.0412, 9.0412) * CHOOSE(CONTROL!$C$21, $C$9, 100%, $E$9)</f>
        <v>9.0411999999999999</v>
      </c>
      <c r="I138" s="14">
        <f>CHOOSE(CONTROL!$C$42, 8.8463, 8.8463)* CHOOSE(CONTROL!$C$21, $C$9, 100%, $E$9)</f>
        <v>8.8462999999999994</v>
      </c>
      <c r="J138" s="14">
        <f>CHOOSE(CONTROL!$C$42, 8.8064, 8.8064)* CHOOSE(CONTROL!$C$21, $C$9, 100%, $E$9)</f>
        <v>8.8064</v>
      </c>
      <c r="K138" s="52">
        <f>CHOOSE(CONTROL!$C$42, 8.8424, 8.8424) * CHOOSE(CONTROL!$C$21, $C$9, 100%, $E$9)</f>
        <v>8.8423999999999996</v>
      </c>
      <c r="L138" s="14">
        <f>CHOOSE(CONTROL!$C$42, 9.6282, 9.6282) * CHOOSE(CONTROL!$C$21, $C$9, 100%, $E$9)</f>
        <v>9.6281999999999996</v>
      </c>
      <c r="M138" s="14">
        <f>CHOOSE(CONTROL!$C$42, 8.6336, 8.6336) * CHOOSE(CONTROL!$C$21, $C$9, 100%, $E$9)</f>
        <v>8.6335999999999995</v>
      </c>
      <c r="N138" s="14">
        <f>CHOOSE(CONTROL!$C$42, 8.6504, 8.6504) * CHOOSE(CONTROL!$C$21, $C$9, 100%, $E$9)</f>
        <v>8.6503999999999994</v>
      </c>
      <c r="O138" s="14">
        <f>CHOOSE(CONTROL!$C$42, 8.8636, 8.8636) * CHOOSE(CONTROL!$C$21, $C$9, 100%, $E$9)</f>
        <v>8.8635999999999999</v>
      </c>
      <c r="P138" s="14">
        <f>CHOOSE(CONTROL!$C$42, 8.6723, 8.6723) * CHOOSE(CONTROL!$C$21, $C$9, 100%, $E$9)</f>
        <v>8.6722999999999999</v>
      </c>
      <c r="Q138" s="14">
        <f>CHOOSE(CONTROL!$C$42, 9.4583, 9.4583) * CHOOSE(CONTROL!$C$21, $C$9, 100%, $E$9)</f>
        <v>9.4582999999999995</v>
      </c>
      <c r="R138" s="14">
        <f>CHOOSE(CONTROL!$C$42, 10.069, 10.069) * CHOOSE(CONTROL!$C$21, $C$9, 100%, $E$9)</f>
        <v>10.069000000000001</v>
      </c>
      <c r="S138" s="14">
        <f>CHOOSE(CONTROL!$C$42, 8.4331, 8.4331) * CHOOSE(CONTROL!$C$21, $C$9, 100%, $E$9)</f>
        <v>8.4330999999999996</v>
      </c>
      <c r="T13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56">
        <f>(1000*CHOOSE(CONTROL!$C$42, 695, 695)*CHOOSE(CONTROL!$C$42, 0.5599, 0.5599)*CHOOSE(CONTROL!$C$42, 30, 30))/1000000</f>
        <v>11.673914999999997</v>
      </c>
      <c r="V138" s="56">
        <f>(1000*CHOOSE(CONTROL!$C$42, 500, 500)*CHOOSE(CONTROL!$C$42, 0.275, 0.275)*CHOOSE(CONTROL!$C$42, 30, 30))/1000000</f>
        <v>4.125</v>
      </c>
      <c r="W138" s="56">
        <f>(1000*CHOOSE(CONTROL!$C$42, 0.1146, 0.1146)*CHOOSE(CONTROL!$C$42, 121.5, 121.5)*CHOOSE(CONTROL!$C$42, 30, 30))/1000000</f>
        <v>0.417717</v>
      </c>
      <c r="X138" s="56">
        <f>(30*0.1790888*245000/1000000)+(30*0.2374*100000/1000000)</f>
        <v>2.0285026799999999</v>
      </c>
      <c r="Y138" s="56"/>
      <c r="Z138" s="14"/>
      <c r="AA138" s="55"/>
      <c r="AB138" s="49">
        <f>(B138*194.205+C138*267.466+D138*133.845+E138*53.484+F138*40+G138*185+H138*0+I138*100+J138*300)/(194.205+267.466+133.845+53.484+0+40+185+100+300)</f>
        <v>8.8408825320251179</v>
      </c>
      <c r="AC138" s="44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8.7075683453237414</v>
      </c>
    </row>
    <row r="139" spans="1:29" ht="15.75" x14ac:dyDescent="0.25">
      <c r="A139" s="13">
        <v>45108</v>
      </c>
      <c r="B139" s="14">
        <f>CHOOSE(CONTROL!$C$42, 8.6366, 8.6366) * CHOOSE(CONTROL!$C$21, $C$9, 100%, $E$9)</f>
        <v>8.6365999999999996</v>
      </c>
      <c r="C139" s="14">
        <f>CHOOSE(CONTROL!$C$42, 8.6447, 8.6447) * CHOOSE(CONTROL!$C$21, $C$9, 100%, $E$9)</f>
        <v>8.6447000000000003</v>
      </c>
      <c r="D139" s="14">
        <f>CHOOSE(CONTROL!$C$42, 8.8705, 8.8705) * CHOOSE(CONTROL!$C$21, $C$9, 100%, $E$9)</f>
        <v>8.8704999999999998</v>
      </c>
      <c r="E139" s="14">
        <f>CHOOSE(CONTROL!$C$42, 8.9019, 8.9019) * CHOOSE(CONTROL!$C$21, $C$9, 100%, $E$9)</f>
        <v>8.9018999999999995</v>
      </c>
      <c r="F139" s="14">
        <f>CHOOSE(CONTROL!$C$42, 8.6632, 8.6632)*CHOOSE(CONTROL!$C$21, $C$9, 100%, $E$9)</f>
        <v>8.6631999999999998</v>
      </c>
      <c r="G139" s="14">
        <f>CHOOSE(CONTROL!$C$42, 8.6804, 8.6804)*CHOOSE(CONTROL!$C$21, $C$9, 100%, $E$9)</f>
        <v>8.6804000000000006</v>
      </c>
      <c r="H139" s="14">
        <f>CHOOSE(CONTROL!$C$42, 8.8906, 8.8906) * CHOOSE(CONTROL!$C$21, $C$9, 100%, $E$9)</f>
        <v>8.8905999999999992</v>
      </c>
      <c r="I139" s="14">
        <f>CHOOSE(CONTROL!$C$42, 8.6952, 8.6952)* CHOOSE(CONTROL!$C$21, $C$9, 100%, $E$9)</f>
        <v>8.6951999999999998</v>
      </c>
      <c r="J139" s="14">
        <f>CHOOSE(CONTROL!$C$42, 8.6562, 8.6562)* CHOOSE(CONTROL!$C$21, $C$9, 100%, $E$9)</f>
        <v>8.6562000000000001</v>
      </c>
      <c r="K139" s="52">
        <f>CHOOSE(CONTROL!$C$42, 8.6913, 8.6913) * CHOOSE(CONTROL!$C$21, $C$9, 100%, $E$9)</f>
        <v>8.6913</v>
      </c>
      <c r="L139" s="14">
        <f>CHOOSE(CONTROL!$C$42, 9.4776, 9.4776) * CHOOSE(CONTROL!$C$21, $C$9, 100%, $E$9)</f>
        <v>9.4776000000000007</v>
      </c>
      <c r="M139" s="14">
        <f>CHOOSE(CONTROL!$C$42, 8.4865, 8.4865) * CHOOSE(CONTROL!$C$21, $C$9, 100%, $E$9)</f>
        <v>8.4864999999999995</v>
      </c>
      <c r="N139" s="14">
        <f>CHOOSE(CONTROL!$C$42, 8.5034, 8.5034) * CHOOSE(CONTROL!$C$21, $C$9, 100%, $E$9)</f>
        <v>8.5033999999999992</v>
      </c>
      <c r="O139" s="14">
        <f>CHOOSE(CONTROL!$C$42, 8.7161, 8.7161) * CHOOSE(CONTROL!$C$21, $C$9, 100%, $E$9)</f>
        <v>8.7161000000000008</v>
      </c>
      <c r="P139" s="14">
        <f>CHOOSE(CONTROL!$C$42, 8.5243, 8.5243) * CHOOSE(CONTROL!$C$21, $C$9, 100%, $E$9)</f>
        <v>8.5243000000000002</v>
      </c>
      <c r="Q139" s="14">
        <f>CHOOSE(CONTROL!$C$42, 9.3108, 9.3108) * CHOOSE(CONTROL!$C$21, $C$9, 100%, $E$9)</f>
        <v>9.3108000000000004</v>
      </c>
      <c r="R139" s="14">
        <f>CHOOSE(CONTROL!$C$42, 9.9211, 9.9211) * CHOOSE(CONTROL!$C$21, $C$9, 100%, $E$9)</f>
        <v>9.9210999999999991</v>
      </c>
      <c r="S139" s="14">
        <f>CHOOSE(CONTROL!$C$42, 8.2883, 8.2883) * CHOOSE(CONTROL!$C$21, $C$9, 100%, $E$9)</f>
        <v>8.2882999999999996</v>
      </c>
      <c r="T13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56">
        <f>(1000*CHOOSE(CONTROL!$C$42, 695, 695)*CHOOSE(CONTROL!$C$42, 0.5599, 0.5599)*CHOOSE(CONTROL!$C$42, 31, 31))/1000000</f>
        <v>12.063045499999998</v>
      </c>
      <c r="V139" s="56">
        <f>(1000*CHOOSE(CONTROL!$C$42, 500, 500)*CHOOSE(CONTROL!$C$42, 0.275, 0.275)*CHOOSE(CONTROL!$C$42, 31, 31))/1000000</f>
        <v>4.2625000000000002</v>
      </c>
      <c r="W139" s="56">
        <f>(1000*CHOOSE(CONTROL!$C$42, 0.1146, 0.1146)*CHOOSE(CONTROL!$C$42, 121.5, 121.5)*CHOOSE(CONTROL!$C$42, 31, 31))/1000000</f>
        <v>0.43164089999999994</v>
      </c>
      <c r="X139" s="56">
        <f>(31*0.1790888*245000/1000000)+(31*0.2374*100000/1000000)</f>
        <v>2.0961194359999999</v>
      </c>
      <c r="Y139" s="56"/>
      <c r="Z139" s="14"/>
      <c r="AA139" s="55"/>
      <c r="AB139" s="49">
        <f>(B139*194.205+C139*267.466+D139*133.845+E139*53.484+F139*40+G139*185+H139*0+I139*100+J139*300)/(194.205+267.466+133.845+53.484+0+40+185+100+300)</f>
        <v>8.6904219193877541</v>
      </c>
      <c r="AC139" s="44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8.5602496402877701</v>
      </c>
    </row>
    <row r="140" spans="1:29" ht="15.75" x14ac:dyDescent="0.25">
      <c r="A140" s="13">
        <v>45139</v>
      </c>
      <c r="B140" s="14">
        <f>CHOOSE(CONTROL!$C$42, 8.2275, 8.2275) * CHOOSE(CONTROL!$C$21, $C$9, 100%, $E$9)</f>
        <v>8.2274999999999991</v>
      </c>
      <c r="C140" s="14">
        <f>CHOOSE(CONTROL!$C$42, 8.2355, 8.2355) * CHOOSE(CONTROL!$C$21, $C$9, 100%, $E$9)</f>
        <v>8.2355</v>
      </c>
      <c r="D140" s="14">
        <f>CHOOSE(CONTROL!$C$42, 8.4613, 8.4613) * CHOOSE(CONTROL!$C$21, $C$9, 100%, $E$9)</f>
        <v>8.4612999999999996</v>
      </c>
      <c r="E140" s="14">
        <f>CHOOSE(CONTROL!$C$42, 8.4928, 8.4928) * CHOOSE(CONTROL!$C$21, $C$9, 100%, $E$9)</f>
        <v>8.4928000000000008</v>
      </c>
      <c r="F140" s="14">
        <f>CHOOSE(CONTROL!$C$42, 8.2543, 8.2543)*CHOOSE(CONTROL!$C$21, $C$9, 100%, $E$9)</f>
        <v>8.2543000000000006</v>
      </c>
      <c r="G140" s="14">
        <f>CHOOSE(CONTROL!$C$42, 8.2716, 8.2716)*CHOOSE(CONTROL!$C$21, $C$9, 100%, $E$9)</f>
        <v>8.2715999999999994</v>
      </c>
      <c r="H140" s="14">
        <f>CHOOSE(CONTROL!$C$42, 8.4814, 8.4814) * CHOOSE(CONTROL!$C$21, $C$9, 100%, $E$9)</f>
        <v>8.4814000000000007</v>
      </c>
      <c r="I140" s="14">
        <f>CHOOSE(CONTROL!$C$42, 8.2848, 8.2848)* CHOOSE(CONTROL!$C$21, $C$9, 100%, $E$9)</f>
        <v>8.2848000000000006</v>
      </c>
      <c r="J140" s="14">
        <f>CHOOSE(CONTROL!$C$42, 8.2473, 8.2473)* CHOOSE(CONTROL!$C$21, $C$9, 100%, $E$9)</f>
        <v>8.2472999999999992</v>
      </c>
      <c r="K140" s="52">
        <f>CHOOSE(CONTROL!$C$42, 8.2809, 8.2809) * CHOOSE(CONTROL!$C$21, $C$9, 100%, $E$9)</f>
        <v>8.2809000000000008</v>
      </c>
      <c r="L140" s="14">
        <f>CHOOSE(CONTROL!$C$42, 9.0684, 9.0684) * CHOOSE(CONTROL!$C$21, $C$9, 100%, $E$9)</f>
        <v>9.0684000000000005</v>
      </c>
      <c r="M140" s="14">
        <f>CHOOSE(CONTROL!$C$42, 8.086, 8.086) * CHOOSE(CONTROL!$C$21, $C$9, 100%, $E$9)</f>
        <v>8.0860000000000003</v>
      </c>
      <c r="N140" s="14">
        <f>CHOOSE(CONTROL!$C$42, 8.1029, 8.1029) * CHOOSE(CONTROL!$C$21, $C$9, 100%, $E$9)</f>
        <v>8.1029</v>
      </c>
      <c r="O140" s="14">
        <f>CHOOSE(CONTROL!$C$42, 8.3153, 8.3153) * CHOOSE(CONTROL!$C$21, $C$9, 100%, $E$9)</f>
        <v>8.3153000000000006</v>
      </c>
      <c r="P140" s="14">
        <f>CHOOSE(CONTROL!$C$42, 8.1223, 8.1223) * CHOOSE(CONTROL!$C$21, $C$9, 100%, $E$9)</f>
        <v>8.1222999999999992</v>
      </c>
      <c r="Q140" s="14">
        <f>CHOOSE(CONTROL!$C$42, 8.91, 8.91) * CHOOSE(CONTROL!$C$21, $C$9, 100%, $E$9)</f>
        <v>8.91</v>
      </c>
      <c r="R140" s="14">
        <f>CHOOSE(CONTROL!$C$42, 9.5193, 9.5193) * CHOOSE(CONTROL!$C$21, $C$9, 100%, $E$9)</f>
        <v>9.5192999999999994</v>
      </c>
      <c r="S140" s="14">
        <f>CHOOSE(CONTROL!$C$42, 7.8952, 7.8952) * CHOOSE(CONTROL!$C$21, $C$9, 100%, $E$9)</f>
        <v>7.8952</v>
      </c>
      <c r="T14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56">
        <f>(1000*CHOOSE(CONTROL!$C$42, 695, 695)*CHOOSE(CONTROL!$C$42, 0.5599, 0.5599)*CHOOSE(CONTROL!$C$42, 31, 31))/1000000</f>
        <v>12.063045499999998</v>
      </c>
      <c r="V140" s="56">
        <f>(1000*CHOOSE(CONTROL!$C$42, 500, 500)*CHOOSE(CONTROL!$C$42, 0.275, 0.275)*CHOOSE(CONTROL!$C$42, 31, 31))/1000000</f>
        <v>4.2625000000000002</v>
      </c>
      <c r="W140" s="56">
        <f>(1000*CHOOSE(CONTROL!$C$42, 0.1146, 0.1146)*CHOOSE(CONTROL!$C$42, 121.5, 121.5)*CHOOSE(CONTROL!$C$42, 31, 31))/1000000</f>
        <v>0.43164089999999994</v>
      </c>
      <c r="X140" s="56">
        <f>(31*0.1790888*245000/1000000)+(31*0.2374*100000/1000000)</f>
        <v>2.0961194359999999</v>
      </c>
      <c r="Y140" s="56"/>
      <c r="Z140" s="14"/>
      <c r="AA140" s="55"/>
      <c r="AB140" s="49">
        <f>(B140*194.205+C140*267.466+D140*133.845+E140*53.484+F140*40+G140*185+H140*0+I140*100+J140*300)/(194.205+267.466+133.845+53.484+0+40+185+100+300)</f>
        <v>8.2812853172684466</v>
      </c>
      <c r="AC140" s="44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8.1594496402877699</v>
      </c>
    </row>
    <row r="141" spans="1:29" ht="15.75" x14ac:dyDescent="0.25">
      <c r="A141" s="13">
        <v>45170</v>
      </c>
      <c r="B141" s="14">
        <f>CHOOSE(CONTROL!$C$42, 7.7215, 7.7215) * CHOOSE(CONTROL!$C$21, $C$9, 100%, $E$9)</f>
        <v>7.7214999999999998</v>
      </c>
      <c r="C141" s="14">
        <f>CHOOSE(CONTROL!$C$42, 7.7296, 7.7296) * CHOOSE(CONTROL!$C$21, $C$9, 100%, $E$9)</f>
        <v>7.7295999999999996</v>
      </c>
      <c r="D141" s="14">
        <f>CHOOSE(CONTROL!$C$42, 7.9554, 7.9554) * CHOOSE(CONTROL!$C$21, $C$9, 100%, $E$9)</f>
        <v>7.9554</v>
      </c>
      <c r="E141" s="14">
        <f>CHOOSE(CONTROL!$C$42, 7.9868, 7.9868) * CHOOSE(CONTROL!$C$21, $C$9, 100%, $E$9)</f>
        <v>7.9867999999999997</v>
      </c>
      <c r="F141" s="14">
        <f>CHOOSE(CONTROL!$C$42, 7.7484, 7.7484)*CHOOSE(CONTROL!$C$21, $C$9, 100%, $E$9)</f>
        <v>7.7484000000000002</v>
      </c>
      <c r="G141" s="14">
        <f>CHOOSE(CONTROL!$C$42, 7.7656, 7.7656)*CHOOSE(CONTROL!$C$21, $C$9, 100%, $E$9)</f>
        <v>7.7656000000000001</v>
      </c>
      <c r="H141" s="14">
        <f>CHOOSE(CONTROL!$C$42, 7.9755, 7.9755) * CHOOSE(CONTROL!$C$21, $C$9, 100%, $E$9)</f>
        <v>7.9755000000000003</v>
      </c>
      <c r="I141" s="14">
        <f>CHOOSE(CONTROL!$C$42, 7.7773, 7.7773)* CHOOSE(CONTROL!$C$21, $C$9, 100%, $E$9)</f>
        <v>7.7773000000000003</v>
      </c>
      <c r="J141" s="14">
        <f>CHOOSE(CONTROL!$C$42, 7.7414, 7.7414)* CHOOSE(CONTROL!$C$21, $C$9, 100%, $E$9)</f>
        <v>7.7413999999999996</v>
      </c>
      <c r="K141" s="52">
        <f>CHOOSE(CONTROL!$C$42, 7.7734, 7.7734) * CHOOSE(CONTROL!$C$21, $C$9, 100%, $E$9)</f>
        <v>7.7733999999999996</v>
      </c>
      <c r="L141" s="14">
        <f>CHOOSE(CONTROL!$C$42, 8.5625, 8.5625) * CHOOSE(CONTROL!$C$21, $C$9, 100%, $E$9)</f>
        <v>8.5625</v>
      </c>
      <c r="M141" s="14">
        <f>CHOOSE(CONTROL!$C$42, 7.5904, 7.5904) * CHOOSE(CONTROL!$C$21, $C$9, 100%, $E$9)</f>
        <v>7.5903999999999998</v>
      </c>
      <c r="N141" s="14">
        <f>CHOOSE(CONTROL!$C$42, 7.6073, 7.6073) * CHOOSE(CONTROL!$C$21, $C$9, 100%, $E$9)</f>
        <v>7.6073000000000004</v>
      </c>
      <c r="O141" s="14">
        <f>CHOOSE(CONTROL!$C$42, 7.8197, 7.8197) * CHOOSE(CONTROL!$C$21, $C$9, 100%, $E$9)</f>
        <v>7.8197000000000001</v>
      </c>
      <c r="P141" s="14">
        <f>CHOOSE(CONTROL!$C$42, 7.6252, 7.6252) * CHOOSE(CONTROL!$C$21, $C$9, 100%, $E$9)</f>
        <v>7.6252000000000004</v>
      </c>
      <c r="Q141" s="14">
        <f>CHOOSE(CONTROL!$C$42, 8.4144, 8.4144) * CHOOSE(CONTROL!$C$21, $C$9, 100%, $E$9)</f>
        <v>8.4144000000000005</v>
      </c>
      <c r="R141" s="14">
        <f>CHOOSE(CONTROL!$C$42, 9.0225, 9.0225) * CHOOSE(CONTROL!$C$21, $C$9, 100%, $E$9)</f>
        <v>9.0225000000000009</v>
      </c>
      <c r="S141" s="14">
        <f>CHOOSE(CONTROL!$C$42, 7.409, 7.409) * CHOOSE(CONTROL!$C$21, $C$9, 100%, $E$9)</f>
        <v>7.4089999999999998</v>
      </c>
      <c r="T14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56">
        <f>(1000*CHOOSE(CONTROL!$C$42, 695, 695)*CHOOSE(CONTROL!$C$42, 0.5599, 0.5599)*CHOOSE(CONTROL!$C$42, 30, 30))/1000000</f>
        <v>11.673914999999997</v>
      </c>
      <c r="V141" s="56">
        <f>(1000*CHOOSE(CONTROL!$C$42, 500, 500)*CHOOSE(CONTROL!$C$42, 0.275, 0.275)*CHOOSE(CONTROL!$C$42, 30, 30))/1000000</f>
        <v>4.125</v>
      </c>
      <c r="W141" s="56">
        <f>(1000*CHOOSE(CONTROL!$C$42, 0.1146, 0.1146)*CHOOSE(CONTROL!$C$42, 121.5, 121.5)*CHOOSE(CONTROL!$C$42, 30, 30))/1000000</f>
        <v>0.417717</v>
      </c>
      <c r="X141" s="56">
        <f>(30*0.1790888*245000/1000000)+(30*0.2374*100000/1000000)</f>
        <v>2.0285026799999999</v>
      </c>
      <c r="Y141" s="56"/>
      <c r="Z141" s="14"/>
      <c r="AA141" s="55"/>
      <c r="AB141" s="49">
        <f>(B141*194.205+C141*267.466+D141*133.845+E141*53.484+F141*40+G141*185+H141*0+I141*100+J141*300)/(194.205+267.466+133.845+53.484+0+40+185+100+300)</f>
        <v>7.7752257655416015</v>
      </c>
      <c r="AC141" s="44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7.6636338129496409</v>
      </c>
    </row>
    <row r="142" spans="1:29" ht="15.75" x14ac:dyDescent="0.25">
      <c r="A142" s="13">
        <v>45200</v>
      </c>
      <c r="B142" s="14">
        <f>CHOOSE(CONTROL!$C$42, 7.5788, 7.5788) * CHOOSE(CONTROL!$C$21, $C$9, 100%, $E$9)</f>
        <v>7.5788000000000002</v>
      </c>
      <c r="C142" s="14">
        <f>CHOOSE(CONTROL!$C$42, 7.5841, 7.5841) * CHOOSE(CONTROL!$C$21, $C$9, 100%, $E$9)</f>
        <v>7.5841000000000003</v>
      </c>
      <c r="D142" s="14">
        <f>CHOOSE(CONTROL!$C$42, 7.8149, 7.8149) * CHOOSE(CONTROL!$C$21, $C$9, 100%, $E$9)</f>
        <v>7.8148999999999997</v>
      </c>
      <c r="E142" s="14">
        <f>CHOOSE(CONTROL!$C$42, 7.844, 7.844) * CHOOSE(CONTROL!$C$21, $C$9, 100%, $E$9)</f>
        <v>7.8440000000000003</v>
      </c>
      <c r="F142" s="14">
        <f>CHOOSE(CONTROL!$C$42, 7.6077, 7.6077)*CHOOSE(CONTROL!$C$21, $C$9, 100%, $E$9)</f>
        <v>7.6077000000000004</v>
      </c>
      <c r="G142" s="14">
        <f>CHOOSE(CONTROL!$C$42, 7.6248, 7.6248)*CHOOSE(CONTROL!$C$21, $C$9, 100%, $E$9)</f>
        <v>7.6247999999999996</v>
      </c>
      <c r="H142" s="14">
        <f>CHOOSE(CONTROL!$C$42, 7.8345, 7.8345) * CHOOSE(CONTROL!$C$21, $C$9, 100%, $E$9)</f>
        <v>7.8345000000000002</v>
      </c>
      <c r="I142" s="14">
        <f>CHOOSE(CONTROL!$C$42, 7.6358, 7.6358)* CHOOSE(CONTROL!$C$21, $C$9, 100%, $E$9)</f>
        <v>7.6357999999999997</v>
      </c>
      <c r="J142" s="14">
        <f>CHOOSE(CONTROL!$C$42, 7.6007, 7.6007)* CHOOSE(CONTROL!$C$21, $C$9, 100%, $E$9)</f>
        <v>7.6006999999999998</v>
      </c>
      <c r="K142" s="52">
        <f>CHOOSE(CONTROL!$C$42, 7.632, 7.632) * CHOOSE(CONTROL!$C$21, $C$9, 100%, $E$9)</f>
        <v>7.6319999999999997</v>
      </c>
      <c r="L142" s="14">
        <f>CHOOSE(CONTROL!$C$42, 8.4215, 8.4215) * CHOOSE(CONTROL!$C$21, $C$9, 100%, $E$9)</f>
        <v>8.4215</v>
      </c>
      <c r="M142" s="14">
        <f>CHOOSE(CONTROL!$C$42, 7.4526, 7.4526) * CHOOSE(CONTROL!$C$21, $C$9, 100%, $E$9)</f>
        <v>7.4526000000000003</v>
      </c>
      <c r="N142" s="14">
        <f>CHOOSE(CONTROL!$C$42, 7.4694, 7.4694) * CHOOSE(CONTROL!$C$21, $C$9, 100%, $E$9)</f>
        <v>7.4694000000000003</v>
      </c>
      <c r="O142" s="14">
        <f>CHOOSE(CONTROL!$C$42, 7.6816, 7.6816) * CHOOSE(CONTROL!$C$21, $C$9, 100%, $E$9)</f>
        <v>7.6816000000000004</v>
      </c>
      <c r="P142" s="14">
        <f>CHOOSE(CONTROL!$C$42, 7.4867, 7.4867) * CHOOSE(CONTROL!$C$21, $C$9, 100%, $E$9)</f>
        <v>7.4866999999999999</v>
      </c>
      <c r="Q142" s="14">
        <f>CHOOSE(CONTROL!$C$42, 8.2763, 8.2763) * CHOOSE(CONTROL!$C$21, $C$9, 100%, $E$9)</f>
        <v>8.2763000000000009</v>
      </c>
      <c r="R142" s="14">
        <f>CHOOSE(CONTROL!$C$42, 8.884, 8.884) * CHOOSE(CONTROL!$C$21, $C$9, 100%, $E$9)</f>
        <v>8.8840000000000003</v>
      </c>
      <c r="S142" s="14">
        <f>CHOOSE(CONTROL!$C$42, 7.2735, 7.2735) * CHOOSE(CONTROL!$C$21, $C$9, 100%, $E$9)</f>
        <v>7.2735000000000003</v>
      </c>
      <c r="T14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56">
        <f>(1000*CHOOSE(CONTROL!$C$42, 695, 695)*CHOOSE(CONTROL!$C$42, 0.5599, 0.5599)*CHOOSE(CONTROL!$C$42, 31, 31))/1000000</f>
        <v>12.063045499999998</v>
      </c>
      <c r="V142" s="56">
        <f>(1000*CHOOSE(CONTROL!$C$42, 500, 500)*CHOOSE(CONTROL!$C$42, 0.275, 0.275)*CHOOSE(CONTROL!$C$42, 31, 31))/1000000</f>
        <v>4.2625000000000002</v>
      </c>
      <c r="W142" s="56">
        <f>(1000*CHOOSE(CONTROL!$C$42, 0.1146, 0.1146)*CHOOSE(CONTROL!$C$42, 121.5, 121.5)*CHOOSE(CONTROL!$C$42, 31, 31))/1000000</f>
        <v>0.43164089999999994</v>
      </c>
      <c r="X142" s="56">
        <f>(31*0.1790888*245000/1000000)+(31*0.2374*100000/1000000)</f>
        <v>2.0961194359999999</v>
      </c>
      <c r="Y142" s="56"/>
      <c r="Z142" s="14"/>
      <c r="AA142" s="55"/>
      <c r="AB142" s="49">
        <f>(B142*131.881+C142*277.167+D142*79.08+E142*125.872+F142*40+G142*185+H142*0+I142*100+J142*300)/(131.881+277.167+79.08+125.872+0+40+185+100+300)</f>
        <v>7.6397015556900731</v>
      </c>
      <c r="AC142" s="44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7.525625899280576</v>
      </c>
    </row>
    <row r="143" spans="1:29" ht="15.75" x14ac:dyDescent="0.25">
      <c r="A143" s="13">
        <v>45231</v>
      </c>
      <c r="B143" s="14">
        <f>CHOOSE(CONTROL!$C$42, 7.7938, 7.7938) * CHOOSE(CONTROL!$C$21, $C$9, 100%, $E$9)</f>
        <v>7.7938000000000001</v>
      </c>
      <c r="C143" s="14">
        <f>CHOOSE(CONTROL!$C$42, 7.7989, 7.7989) * CHOOSE(CONTROL!$C$21, $C$9, 100%, $E$9)</f>
        <v>7.7988999999999997</v>
      </c>
      <c r="D143" s="14">
        <f>CHOOSE(CONTROL!$C$42, 7.8679, 7.8679) * CHOOSE(CONTROL!$C$21, $C$9, 100%, $E$9)</f>
        <v>7.8678999999999997</v>
      </c>
      <c r="E143" s="14">
        <f>CHOOSE(CONTROL!$C$42, 7.902, 7.902) * CHOOSE(CONTROL!$C$21, $C$9, 100%, $E$9)</f>
        <v>7.9020000000000001</v>
      </c>
      <c r="F143" s="14">
        <f>CHOOSE(CONTROL!$C$42, 7.8294, 7.8294)*CHOOSE(CONTROL!$C$21, $C$9, 100%, $E$9)</f>
        <v>7.8293999999999997</v>
      </c>
      <c r="G143" s="14">
        <f>CHOOSE(CONTROL!$C$42, 7.8468, 7.8468)*CHOOSE(CONTROL!$C$21, $C$9, 100%, $E$9)</f>
        <v>7.8468</v>
      </c>
      <c r="H143" s="14">
        <f>CHOOSE(CONTROL!$C$42, 7.8912, 7.8912) * CHOOSE(CONTROL!$C$21, $C$9, 100%, $E$9)</f>
        <v>7.8912000000000004</v>
      </c>
      <c r="I143" s="14">
        <f>CHOOSE(CONTROL!$C$42, 7.8545, 7.8545)* CHOOSE(CONTROL!$C$21, $C$9, 100%, $E$9)</f>
        <v>7.8544999999999998</v>
      </c>
      <c r="J143" s="14">
        <f>CHOOSE(CONTROL!$C$42, 7.8224, 7.8224)* CHOOSE(CONTROL!$C$21, $C$9, 100%, $E$9)</f>
        <v>7.8224</v>
      </c>
      <c r="K143" s="52">
        <f>CHOOSE(CONTROL!$C$42, 7.8506, 7.8506) * CHOOSE(CONTROL!$C$21, $C$9, 100%, $E$9)</f>
        <v>7.8506</v>
      </c>
      <c r="L143" s="14">
        <f>CHOOSE(CONTROL!$C$42, 8.4782, 8.4782) * CHOOSE(CONTROL!$C$21, $C$9, 100%, $E$9)</f>
        <v>8.4781999999999993</v>
      </c>
      <c r="M143" s="14">
        <f>CHOOSE(CONTROL!$C$42, 7.6698, 7.6698) * CHOOSE(CONTROL!$C$21, $C$9, 100%, $E$9)</f>
        <v>7.6698000000000004</v>
      </c>
      <c r="N143" s="14">
        <f>CHOOSE(CONTROL!$C$42, 7.6868, 7.6868) * CHOOSE(CONTROL!$C$21, $C$9, 100%, $E$9)</f>
        <v>7.6867999999999999</v>
      </c>
      <c r="O143" s="14">
        <f>CHOOSE(CONTROL!$C$42, 7.7372, 7.7372) * CHOOSE(CONTROL!$C$21, $C$9, 100%, $E$9)</f>
        <v>7.7371999999999996</v>
      </c>
      <c r="P143" s="14">
        <f>CHOOSE(CONTROL!$C$42, 7.7009, 7.7009) * CHOOSE(CONTROL!$C$21, $C$9, 100%, $E$9)</f>
        <v>7.7008999999999999</v>
      </c>
      <c r="Q143" s="14">
        <f>CHOOSE(CONTROL!$C$42, 8.3319, 8.3319) * CHOOSE(CONTROL!$C$21, $C$9, 100%, $E$9)</f>
        <v>8.3318999999999992</v>
      </c>
      <c r="R143" s="14">
        <f>CHOOSE(CONTROL!$C$42, 8.9397, 8.9397) * CHOOSE(CONTROL!$C$21, $C$9, 100%, $E$9)</f>
        <v>8.9397000000000002</v>
      </c>
      <c r="S143" s="14">
        <f>CHOOSE(CONTROL!$C$42, 7.4805, 7.4805) * CHOOSE(CONTROL!$C$21, $C$9, 100%, $E$9)</f>
        <v>7.4805000000000001</v>
      </c>
      <c r="T14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56">
        <f>(1000*CHOOSE(CONTROL!$C$42, 695, 695)*CHOOSE(CONTROL!$C$42, 0.5599, 0.5599)*CHOOSE(CONTROL!$C$42, 30, 30))/1000000</f>
        <v>11.673914999999997</v>
      </c>
      <c r="V143" s="56">
        <f>(1000*CHOOSE(CONTROL!$C$42, 500, 500)*CHOOSE(CONTROL!$C$42, 0.275, 0.275)*CHOOSE(CONTROL!$C$42, 30, 30))/1000000</f>
        <v>4.125</v>
      </c>
      <c r="W143" s="56">
        <f>(1000*CHOOSE(CONTROL!$C$42, 0.1146, 0.1146)*CHOOSE(CONTROL!$C$42, 121.5, 121.5)*CHOOSE(CONTROL!$C$42, 30, 30))/1000000</f>
        <v>0.417717</v>
      </c>
      <c r="X143" s="56">
        <f>(30*0.1790888*100000/1000000)+(30*0.2374*100000/1000000)</f>
        <v>1.2494664</v>
      </c>
      <c r="Y143" s="56"/>
      <c r="Z143" s="14"/>
      <c r="AA143" s="55"/>
      <c r="AB143" s="49">
        <f>(B143*122.58+C143*297.941+D143*89.177+E143*40.302+F143*40+G143*160+H143*0+I143*100+J143*300)/(122.58+297.941+89.177+40.302+0+40+160+100+300)</f>
        <v>7.8260106010434773</v>
      </c>
      <c r="AC143" s="44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7.7058014388489209</v>
      </c>
    </row>
    <row r="144" spans="1:29" ht="15.75" x14ac:dyDescent="0.25">
      <c r="A144" s="13">
        <v>45261</v>
      </c>
      <c r="B144" s="14">
        <f>CHOOSE(CONTROL!$C$42, 8.3416, 8.3416) * CHOOSE(CONTROL!$C$21, $C$9, 100%, $E$9)</f>
        <v>8.3415999999999997</v>
      </c>
      <c r="C144" s="14">
        <f>CHOOSE(CONTROL!$C$42, 8.3467, 8.3467) * CHOOSE(CONTROL!$C$21, $C$9, 100%, $E$9)</f>
        <v>8.3467000000000002</v>
      </c>
      <c r="D144" s="14">
        <f>CHOOSE(CONTROL!$C$42, 8.4157, 8.4157) * CHOOSE(CONTROL!$C$21, $C$9, 100%, $E$9)</f>
        <v>8.4156999999999993</v>
      </c>
      <c r="E144" s="14">
        <f>CHOOSE(CONTROL!$C$42, 8.4498, 8.4498) * CHOOSE(CONTROL!$C$21, $C$9, 100%, $E$9)</f>
        <v>8.4497999999999998</v>
      </c>
      <c r="F144" s="14">
        <f>CHOOSE(CONTROL!$C$42, 8.3795, 8.3795)*CHOOSE(CONTROL!$C$21, $C$9, 100%, $E$9)</f>
        <v>8.3795000000000002</v>
      </c>
      <c r="G144" s="14">
        <f>CHOOSE(CONTROL!$C$42, 8.3975, 8.3975)*CHOOSE(CONTROL!$C$21, $C$9, 100%, $E$9)</f>
        <v>8.3975000000000009</v>
      </c>
      <c r="H144" s="14">
        <f>CHOOSE(CONTROL!$C$42, 8.439, 8.439) * CHOOSE(CONTROL!$C$21, $C$9, 100%, $E$9)</f>
        <v>8.4390000000000001</v>
      </c>
      <c r="I144" s="14">
        <f>CHOOSE(CONTROL!$C$42, 8.4041, 8.4041)* CHOOSE(CONTROL!$C$21, $C$9, 100%, $E$9)</f>
        <v>8.4040999999999997</v>
      </c>
      <c r="J144" s="14">
        <f>CHOOSE(CONTROL!$C$42, 8.3725, 8.3725)* CHOOSE(CONTROL!$C$21, $C$9, 100%, $E$9)</f>
        <v>8.3725000000000005</v>
      </c>
      <c r="K144" s="52">
        <f>CHOOSE(CONTROL!$C$42, 8.4002, 8.4002) * CHOOSE(CONTROL!$C$21, $C$9, 100%, $E$9)</f>
        <v>8.4001999999999999</v>
      </c>
      <c r="L144" s="14">
        <f>CHOOSE(CONTROL!$C$42, 9.026, 9.026) * CHOOSE(CONTROL!$C$21, $C$9, 100%, $E$9)</f>
        <v>9.0259999999999998</v>
      </c>
      <c r="M144" s="14">
        <f>CHOOSE(CONTROL!$C$42, 8.2086, 8.2086) * CHOOSE(CONTROL!$C$21, $C$9, 100%, $E$9)</f>
        <v>8.2086000000000006</v>
      </c>
      <c r="N144" s="14">
        <f>CHOOSE(CONTROL!$C$42, 8.2262, 8.2262) * CHOOSE(CONTROL!$C$21, $C$9, 100%, $E$9)</f>
        <v>8.2262000000000004</v>
      </c>
      <c r="O144" s="14">
        <f>CHOOSE(CONTROL!$C$42, 8.2738, 8.2738) * CHOOSE(CONTROL!$C$21, $C$9, 100%, $E$9)</f>
        <v>8.2737999999999996</v>
      </c>
      <c r="P144" s="14">
        <f>CHOOSE(CONTROL!$C$42, 8.2391, 8.2391) * CHOOSE(CONTROL!$C$21, $C$9, 100%, $E$9)</f>
        <v>8.2391000000000005</v>
      </c>
      <c r="Q144" s="14">
        <f>CHOOSE(CONTROL!$C$42, 8.8685, 8.8685) * CHOOSE(CONTROL!$C$21, $C$9, 100%, $E$9)</f>
        <v>8.8684999999999992</v>
      </c>
      <c r="R144" s="14">
        <f>CHOOSE(CONTROL!$C$42, 9.4777, 9.4777) * CHOOSE(CONTROL!$C$21, $C$9, 100%, $E$9)</f>
        <v>9.4777000000000005</v>
      </c>
      <c r="S144" s="14">
        <f>CHOOSE(CONTROL!$C$42, 8.0069, 8.0069) * CHOOSE(CONTROL!$C$21, $C$9, 100%, $E$9)</f>
        <v>8.0068999999999999</v>
      </c>
      <c r="T14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56">
        <f>(1000*CHOOSE(CONTROL!$C$42, 695, 695)*CHOOSE(CONTROL!$C$42, 0.5599, 0.5599)*CHOOSE(CONTROL!$C$42, 31, 31))/1000000</f>
        <v>12.063045499999998</v>
      </c>
      <c r="V144" s="56">
        <f>(1000*CHOOSE(CONTROL!$C$42, 500, 500)*CHOOSE(CONTROL!$C$42, 0.275, 0.275)*CHOOSE(CONTROL!$C$42, 31, 31))/1000000</f>
        <v>4.2625000000000002</v>
      </c>
      <c r="W144" s="56">
        <f>(1000*CHOOSE(CONTROL!$C$42, 0.1146, 0.1146)*CHOOSE(CONTROL!$C$42, 121.5, 121.5)*CHOOSE(CONTROL!$C$42, 31, 31))/1000000</f>
        <v>0.43164089999999994</v>
      </c>
      <c r="X144" s="56">
        <f>(31*0.1790888*100000/1000000)+(31*0.2374*100000/1000000)</f>
        <v>1.2911152800000001</v>
      </c>
      <c r="Y144" s="56"/>
      <c r="Z144" s="14"/>
      <c r="AA144" s="55"/>
      <c r="AB144" s="49">
        <f>(B144*122.58+C144*297.941+D144*89.177+E144*40.302+F144*40+G144*160+H144*0+I144*100+J144*300)/(122.58+297.941+89.177+40.302+0+40+160+100+300)</f>
        <v>8.3750506010434798</v>
      </c>
      <c r="AC144" s="44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8.2435525179856111</v>
      </c>
    </row>
    <row r="145" spans="1:29" ht="15.75" x14ac:dyDescent="0.25">
      <c r="A145" s="13">
        <v>45292</v>
      </c>
      <c r="B145" s="14">
        <f>CHOOSE(CONTROL!$C$42, 8.8783, 8.8783) * CHOOSE(CONTROL!$C$21, $C$9, 100%, $E$9)</f>
        <v>8.8782999999999994</v>
      </c>
      <c r="C145" s="14">
        <f>CHOOSE(CONTROL!$C$42, 8.8833, 8.8833) * CHOOSE(CONTROL!$C$21, $C$9, 100%, $E$9)</f>
        <v>8.8833000000000002</v>
      </c>
      <c r="D145" s="14">
        <f>CHOOSE(CONTROL!$C$42, 8.9628, 8.9628) * CHOOSE(CONTROL!$C$21, $C$9, 100%, $E$9)</f>
        <v>8.9627999999999997</v>
      </c>
      <c r="E145" s="14">
        <f>CHOOSE(CONTROL!$C$42, 8.9969, 8.9969) * CHOOSE(CONTROL!$C$21, $C$9, 100%, $E$9)</f>
        <v>8.9969000000000001</v>
      </c>
      <c r="F145" s="14">
        <f>CHOOSE(CONTROL!$C$42, 8.9013, 8.9013)*CHOOSE(CONTROL!$C$21, $C$9, 100%, $E$9)</f>
        <v>8.9013000000000009</v>
      </c>
      <c r="G145" s="14">
        <f>CHOOSE(CONTROL!$C$42, 8.9188, 8.9188)*CHOOSE(CONTROL!$C$21, $C$9, 100%, $E$9)</f>
        <v>8.9187999999999992</v>
      </c>
      <c r="H145" s="14">
        <f>CHOOSE(CONTROL!$C$42, 8.9861, 8.9861) * CHOOSE(CONTROL!$C$21, $C$9, 100%, $E$9)</f>
        <v>8.9861000000000004</v>
      </c>
      <c r="I145" s="14">
        <f>CHOOSE(CONTROL!$C$42, 8.9414, 8.9414)* CHOOSE(CONTROL!$C$21, $C$9, 100%, $E$9)</f>
        <v>8.9413999999999998</v>
      </c>
      <c r="J145" s="14">
        <f>CHOOSE(CONTROL!$C$42, 8.8943, 8.8943)* CHOOSE(CONTROL!$C$21, $C$9, 100%, $E$9)</f>
        <v>8.8942999999999994</v>
      </c>
      <c r="K145" s="52">
        <f>CHOOSE(CONTROL!$C$42, 8.9375, 8.9375) * CHOOSE(CONTROL!$C$21, $C$9, 100%, $E$9)</f>
        <v>8.9375</v>
      </c>
      <c r="L145" s="14">
        <f>CHOOSE(CONTROL!$C$42, 9.5731, 9.5731) * CHOOSE(CONTROL!$C$21, $C$9, 100%, $E$9)</f>
        <v>9.5731000000000002</v>
      </c>
      <c r="M145" s="14">
        <f>CHOOSE(CONTROL!$C$42, 8.7197, 8.7197) * CHOOSE(CONTROL!$C$21, $C$9, 100%, $E$9)</f>
        <v>8.7196999999999996</v>
      </c>
      <c r="N145" s="14">
        <f>CHOOSE(CONTROL!$C$42, 8.7369, 8.7369) * CHOOSE(CONTROL!$C$21, $C$9, 100%, $E$9)</f>
        <v>8.7369000000000003</v>
      </c>
      <c r="O145" s="14">
        <f>CHOOSE(CONTROL!$C$42, 8.8096, 8.8096) * CHOOSE(CONTROL!$C$21, $C$9, 100%, $E$9)</f>
        <v>8.8095999999999997</v>
      </c>
      <c r="P145" s="14">
        <f>CHOOSE(CONTROL!$C$42, 8.7654, 8.7654) * CHOOSE(CONTROL!$C$21, $C$9, 100%, $E$9)</f>
        <v>8.7653999999999996</v>
      </c>
      <c r="Q145" s="14">
        <f>CHOOSE(CONTROL!$C$42, 9.4043, 9.4043) * CHOOSE(CONTROL!$C$21, $C$9, 100%, $E$9)</f>
        <v>9.4042999999999992</v>
      </c>
      <c r="R145" s="14">
        <f>CHOOSE(CONTROL!$C$42, 10.0148, 10.0148) * CHOOSE(CONTROL!$C$21, $C$9, 100%, $E$9)</f>
        <v>10.014799999999999</v>
      </c>
      <c r="S145" s="14">
        <f>CHOOSE(CONTROL!$C$42, 8.5226, 8.5226) * CHOOSE(CONTROL!$C$21, $C$9, 100%, $E$9)</f>
        <v>8.5226000000000006</v>
      </c>
      <c r="T14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56">
        <f>(1000*CHOOSE(CONTROL!$C$42, 695, 695)*CHOOSE(CONTROL!$C$42, 0.5599, 0.5599)*CHOOSE(CONTROL!$C$42, 31, 31))/1000000</f>
        <v>12.063045499999998</v>
      </c>
      <c r="V145" s="56">
        <f>(1000*CHOOSE(CONTROL!$C$42, 500, 500)*CHOOSE(CONTROL!$C$42, 0.275, 0.275)*CHOOSE(CONTROL!$C$42, 31, 31))/1000000</f>
        <v>4.2625000000000002</v>
      </c>
      <c r="W145" s="56">
        <f>(1000*CHOOSE(CONTROL!$C$42, 0.1146, 0.1146)*CHOOSE(CONTROL!$C$42, 121.5, 121.5)*CHOOSE(CONTROL!$C$42, 31, 31))/1000000</f>
        <v>0.43164089999999994</v>
      </c>
      <c r="X145" s="56">
        <f>(31*0.1790888*100000/1000000)+(31*0.2374*100000/1000000)</f>
        <v>1.2911152800000001</v>
      </c>
      <c r="Y145" s="56"/>
      <c r="Z145" s="14"/>
      <c r="AA145" s="55"/>
      <c r="AB145" s="49">
        <f>(B145*122.58+C145*297.941+D145*89.177+E145*40.302+F145*40+G145*160+H145*0+I145*100+J145*300)/(122.58+297.941+89.177+40.302+0+40+160+100+300)</f>
        <v>8.9063999814782591</v>
      </c>
      <c r="AC145" s="44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8.7680115107913661</v>
      </c>
    </row>
    <row r="146" spans="1:29" ht="15.75" x14ac:dyDescent="0.25">
      <c r="A146" s="13">
        <v>45323</v>
      </c>
      <c r="B146" s="14">
        <f>CHOOSE(CONTROL!$C$42, 9.0547, 9.0547) * CHOOSE(CONTROL!$C$21, $C$9, 100%, $E$9)</f>
        <v>9.0547000000000004</v>
      </c>
      <c r="C146" s="14">
        <f>CHOOSE(CONTROL!$C$42, 9.0598, 9.0598) * CHOOSE(CONTROL!$C$21, $C$9, 100%, $E$9)</f>
        <v>9.0597999999999992</v>
      </c>
      <c r="D146" s="14">
        <f>CHOOSE(CONTROL!$C$42, 9.1392, 9.1392) * CHOOSE(CONTROL!$C$21, $C$9, 100%, $E$9)</f>
        <v>9.1392000000000007</v>
      </c>
      <c r="E146" s="14">
        <f>CHOOSE(CONTROL!$C$42, 9.1733, 9.1733) * CHOOSE(CONTROL!$C$21, $C$9, 100%, $E$9)</f>
        <v>9.1732999999999993</v>
      </c>
      <c r="F146" s="14">
        <f>CHOOSE(CONTROL!$C$42, 9.0775, 9.0775)*CHOOSE(CONTROL!$C$21, $C$9, 100%, $E$9)</f>
        <v>9.0775000000000006</v>
      </c>
      <c r="G146" s="14">
        <f>CHOOSE(CONTROL!$C$42, 9.095, 9.095)*CHOOSE(CONTROL!$C$21, $C$9, 100%, $E$9)</f>
        <v>9.0950000000000006</v>
      </c>
      <c r="H146" s="14">
        <f>CHOOSE(CONTROL!$C$42, 9.1625, 9.1625) * CHOOSE(CONTROL!$C$21, $C$9, 100%, $E$9)</f>
        <v>9.1624999999999996</v>
      </c>
      <c r="I146" s="14">
        <f>CHOOSE(CONTROL!$C$42, 9.1184, 9.1184)* CHOOSE(CONTROL!$C$21, $C$9, 100%, $E$9)</f>
        <v>9.1183999999999994</v>
      </c>
      <c r="J146" s="14">
        <f>CHOOSE(CONTROL!$C$42, 9.0705, 9.0705)* CHOOSE(CONTROL!$C$21, $C$9, 100%, $E$9)</f>
        <v>9.0704999999999991</v>
      </c>
      <c r="K146" s="52">
        <f>CHOOSE(CONTROL!$C$42, 9.1145, 9.1145) * CHOOSE(CONTROL!$C$21, $C$9, 100%, $E$9)</f>
        <v>9.1144999999999996</v>
      </c>
      <c r="L146" s="14">
        <f>CHOOSE(CONTROL!$C$42, 9.7495, 9.7495) * CHOOSE(CONTROL!$C$21, $C$9, 100%, $E$9)</f>
        <v>9.7494999999999994</v>
      </c>
      <c r="M146" s="14">
        <f>CHOOSE(CONTROL!$C$42, 8.8924, 8.8924) * CHOOSE(CONTROL!$C$21, $C$9, 100%, $E$9)</f>
        <v>8.8924000000000003</v>
      </c>
      <c r="N146" s="14">
        <f>CHOOSE(CONTROL!$C$42, 8.9095, 8.9095) * CHOOSE(CONTROL!$C$21, $C$9, 100%, $E$9)</f>
        <v>8.9094999999999995</v>
      </c>
      <c r="O146" s="14">
        <f>CHOOSE(CONTROL!$C$42, 8.9825, 8.9825) * CHOOSE(CONTROL!$C$21, $C$9, 100%, $E$9)</f>
        <v>8.9824999999999999</v>
      </c>
      <c r="P146" s="14">
        <f>CHOOSE(CONTROL!$C$42, 8.9388, 8.9388) * CHOOSE(CONTROL!$C$21, $C$9, 100%, $E$9)</f>
        <v>8.9388000000000005</v>
      </c>
      <c r="Q146" s="14">
        <f>CHOOSE(CONTROL!$C$42, 9.5772, 9.5772) * CHOOSE(CONTROL!$C$21, $C$9, 100%, $E$9)</f>
        <v>9.5771999999999995</v>
      </c>
      <c r="R146" s="14">
        <f>CHOOSE(CONTROL!$C$42, 10.1881, 10.1881) * CHOOSE(CONTROL!$C$21, $C$9, 100%, $E$9)</f>
        <v>10.1881</v>
      </c>
      <c r="S146" s="14">
        <f>CHOOSE(CONTROL!$C$42, 8.6922, 8.6922) * CHOOSE(CONTROL!$C$21, $C$9, 100%, $E$9)</f>
        <v>8.6921999999999997</v>
      </c>
      <c r="T146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46" s="56">
        <f>(1000*CHOOSE(CONTROL!$C$42, 695, 695)*CHOOSE(CONTROL!$C$42, 0.5599, 0.5599)*CHOOSE(CONTROL!$C$42, 29, 29))/1000000</f>
        <v>11.284784499999999</v>
      </c>
      <c r="V146" s="56">
        <f>(1000*CHOOSE(CONTROL!$C$42, 500, 500)*CHOOSE(CONTROL!$C$42, 0.275, 0.275)*CHOOSE(CONTROL!$C$42, 29, 29))/1000000</f>
        <v>3.9874999999999998</v>
      </c>
      <c r="W146" s="56">
        <f>(1000*CHOOSE(CONTROL!$C$42, 0.1146, 0.1146)*CHOOSE(CONTROL!$C$42, 121.5, 121.5)*CHOOSE(CONTROL!$C$42, 29, 29))/1000000</f>
        <v>0.40379309999999996</v>
      </c>
      <c r="X146" s="56">
        <f>(29*0.1790888*100000/1000000)+(29*0.2374*100000/1000000)</f>
        <v>1.2078175199999999</v>
      </c>
      <c r="Y146" s="56"/>
      <c r="Z146" s="14"/>
      <c r="AA146" s="55"/>
      <c r="AB146" s="49">
        <f>(B146*122.58+C146*297.941+D146*89.177+E146*40.302+F146*40+G146*160+H146*0+I146*100+J146*300)/(122.58+297.941+89.177+40.302+0+40+160+100+300)</f>
        <v>9.0827911067826097</v>
      </c>
      <c r="AC146" s="44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8.9408971223021574</v>
      </c>
    </row>
    <row r="147" spans="1:29" ht="15.75" x14ac:dyDescent="0.25">
      <c r="A147" s="13">
        <v>45352</v>
      </c>
      <c r="B147" s="14">
        <f>CHOOSE(CONTROL!$C$42, 8.816, 8.816) * CHOOSE(CONTROL!$C$21, $C$9, 100%, $E$9)</f>
        <v>8.8160000000000007</v>
      </c>
      <c r="C147" s="14">
        <f>CHOOSE(CONTROL!$C$42, 8.8211, 8.8211) * CHOOSE(CONTROL!$C$21, $C$9, 100%, $E$9)</f>
        <v>8.8210999999999995</v>
      </c>
      <c r="D147" s="14">
        <f>CHOOSE(CONTROL!$C$42, 8.9005, 8.9005) * CHOOSE(CONTROL!$C$21, $C$9, 100%, $E$9)</f>
        <v>8.9004999999999992</v>
      </c>
      <c r="E147" s="14">
        <f>CHOOSE(CONTROL!$C$42, 8.9346, 8.9346) * CHOOSE(CONTROL!$C$21, $C$9, 100%, $E$9)</f>
        <v>8.9345999999999997</v>
      </c>
      <c r="F147" s="14">
        <f>CHOOSE(CONTROL!$C$42, 8.8381, 8.8381)*CHOOSE(CONTROL!$C$21, $C$9, 100%, $E$9)</f>
        <v>8.8381000000000007</v>
      </c>
      <c r="G147" s="14">
        <f>CHOOSE(CONTROL!$C$42, 8.8554, 8.8554)*CHOOSE(CONTROL!$C$21, $C$9, 100%, $E$9)</f>
        <v>8.8553999999999995</v>
      </c>
      <c r="H147" s="14">
        <f>CHOOSE(CONTROL!$C$42, 8.9238, 8.9238) * CHOOSE(CONTROL!$C$21, $C$9, 100%, $E$9)</f>
        <v>8.9238</v>
      </c>
      <c r="I147" s="14">
        <f>CHOOSE(CONTROL!$C$42, 8.8789, 8.8789)* CHOOSE(CONTROL!$C$21, $C$9, 100%, $E$9)</f>
        <v>8.8788999999999998</v>
      </c>
      <c r="J147" s="14">
        <f>CHOOSE(CONTROL!$C$42, 8.8311, 8.8311)* CHOOSE(CONTROL!$C$21, $C$9, 100%, $E$9)</f>
        <v>8.8310999999999993</v>
      </c>
      <c r="K147" s="52">
        <f>CHOOSE(CONTROL!$C$42, 8.875, 8.875) * CHOOSE(CONTROL!$C$21, $C$9, 100%, $E$9)</f>
        <v>8.875</v>
      </c>
      <c r="L147" s="14">
        <f>CHOOSE(CONTROL!$C$42, 9.5108, 9.5108) * CHOOSE(CONTROL!$C$21, $C$9, 100%, $E$9)</f>
        <v>9.5107999999999997</v>
      </c>
      <c r="M147" s="14">
        <f>CHOOSE(CONTROL!$C$42, 8.6578, 8.6578) * CHOOSE(CONTROL!$C$21, $C$9, 100%, $E$9)</f>
        <v>8.6577999999999999</v>
      </c>
      <c r="N147" s="14">
        <f>CHOOSE(CONTROL!$C$42, 8.6747, 8.6747) * CHOOSE(CONTROL!$C$21, $C$9, 100%, $E$9)</f>
        <v>8.6746999999999996</v>
      </c>
      <c r="O147" s="14">
        <f>CHOOSE(CONTROL!$C$42, 8.7487, 8.7487) * CHOOSE(CONTROL!$C$21, $C$9, 100%, $E$9)</f>
        <v>8.7486999999999995</v>
      </c>
      <c r="P147" s="14">
        <f>CHOOSE(CONTROL!$C$42, 8.7042, 8.7042) * CHOOSE(CONTROL!$C$21, $C$9, 100%, $E$9)</f>
        <v>8.7042000000000002</v>
      </c>
      <c r="Q147" s="14">
        <f>CHOOSE(CONTROL!$C$42, 9.3434, 9.3434) * CHOOSE(CONTROL!$C$21, $C$9, 100%, $E$9)</f>
        <v>9.3434000000000008</v>
      </c>
      <c r="R147" s="14">
        <f>CHOOSE(CONTROL!$C$42, 9.9537, 9.9537) * CHOOSE(CONTROL!$C$21, $C$9, 100%, $E$9)</f>
        <v>9.9536999999999995</v>
      </c>
      <c r="S147" s="14">
        <f>CHOOSE(CONTROL!$C$42, 8.4628, 8.4628) * CHOOSE(CONTROL!$C$21, $C$9, 100%, $E$9)</f>
        <v>8.4627999999999997</v>
      </c>
      <c r="T14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56">
        <f>(1000*CHOOSE(CONTROL!$C$42, 695, 695)*CHOOSE(CONTROL!$C$42, 0.5599, 0.5599)*CHOOSE(CONTROL!$C$42, 31, 31))/1000000</f>
        <v>12.063045499999998</v>
      </c>
      <c r="V147" s="56">
        <f>(1000*CHOOSE(CONTROL!$C$42, 500, 500)*CHOOSE(CONTROL!$C$42, 0.275, 0.275)*CHOOSE(CONTROL!$C$42, 31, 31))/1000000</f>
        <v>4.2625000000000002</v>
      </c>
      <c r="W147" s="56">
        <f>(1000*CHOOSE(CONTROL!$C$42, 0.1146, 0.1146)*CHOOSE(CONTROL!$C$42, 121.5, 121.5)*CHOOSE(CONTROL!$C$42, 31, 31))/1000000</f>
        <v>0.43164089999999994</v>
      </c>
      <c r="X147" s="56">
        <f>(31*0.1790888*100000/1000000)+(31*0.2374*100000/1000000)</f>
        <v>1.2911152800000001</v>
      </c>
      <c r="Y147" s="56"/>
      <c r="Z147" s="14"/>
      <c r="AA147" s="55"/>
      <c r="AB147" s="49">
        <f>(B147*122.58+C147*297.941+D147*89.177+E147*40.302+F147*40+G147*160+H147*0+I147*100+J147*300)/(122.58+297.941+89.177+40.302+0+40+160+100+300)</f>
        <v>8.8436893676521748</v>
      </c>
      <c r="AC147" s="44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8.7066482014388473</v>
      </c>
    </row>
    <row r="148" spans="1:29" ht="15.75" x14ac:dyDescent="0.25">
      <c r="A148" s="13">
        <v>45383</v>
      </c>
      <c r="B148" s="14">
        <f>CHOOSE(CONTROL!$C$42, 8.8088, 8.8088) * CHOOSE(CONTROL!$C$21, $C$9, 100%, $E$9)</f>
        <v>8.8087999999999997</v>
      </c>
      <c r="C148" s="14">
        <f>CHOOSE(CONTROL!$C$42, 8.8133, 8.8133) * CHOOSE(CONTROL!$C$21, $C$9, 100%, $E$9)</f>
        <v>8.8132999999999999</v>
      </c>
      <c r="D148" s="14">
        <f>CHOOSE(CONTROL!$C$42, 9.0422, 9.0422) * CHOOSE(CONTROL!$C$21, $C$9, 100%, $E$9)</f>
        <v>9.0421999999999993</v>
      </c>
      <c r="E148" s="14">
        <f>CHOOSE(CONTROL!$C$42, 9.0743, 9.0743) * CHOOSE(CONTROL!$C$21, $C$9, 100%, $E$9)</f>
        <v>9.0742999999999991</v>
      </c>
      <c r="F148" s="14">
        <f>CHOOSE(CONTROL!$C$42, 8.8358, 8.8358)*CHOOSE(CONTROL!$C$21, $C$9, 100%, $E$9)</f>
        <v>8.8358000000000008</v>
      </c>
      <c r="G148" s="14">
        <f>CHOOSE(CONTROL!$C$42, 8.8525, 8.8525)*CHOOSE(CONTROL!$C$21, $C$9, 100%, $E$9)</f>
        <v>8.8524999999999991</v>
      </c>
      <c r="H148" s="14">
        <f>CHOOSE(CONTROL!$C$42, 9.0641, 9.0641) * CHOOSE(CONTROL!$C$21, $C$9, 100%, $E$9)</f>
        <v>9.0640999999999998</v>
      </c>
      <c r="I148" s="14">
        <f>CHOOSE(CONTROL!$C$42, 8.8693, 8.8693)* CHOOSE(CONTROL!$C$21, $C$9, 100%, $E$9)</f>
        <v>8.8693000000000008</v>
      </c>
      <c r="J148" s="14">
        <f>CHOOSE(CONTROL!$C$42, 8.8288, 8.8288)* CHOOSE(CONTROL!$C$21, $C$9, 100%, $E$9)</f>
        <v>8.8287999999999993</v>
      </c>
      <c r="K148" s="52">
        <f>CHOOSE(CONTROL!$C$42, 8.8654, 8.8654) * CHOOSE(CONTROL!$C$21, $C$9, 100%, $E$9)</f>
        <v>8.8653999999999993</v>
      </c>
      <c r="L148" s="14">
        <f>CHOOSE(CONTROL!$C$42, 9.6511, 9.6511) * CHOOSE(CONTROL!$C$21, $C$9, 100%, $E$9)</f>
        <v>9.6510999999999996</v>
      </c>
      <c r="M148" s="14">
        <f>CHOOSE(CONTROL!$C$42, 8.6556, 8.6556) * CHOOSE(CONTROL!$C$21, $C$9, 100%, $E$9)</f>
        <v>8.6555999999999997</v>
      </c>
      <c r="N148" s="14">
        <f>CHOOSE(CONTROL!$C$42, 8.6719, 8.6719) * CHOOSE(CONTROL!$C$21, $C$9, 100%, $E$9)</f>
        <v>8.6719000000000008</v>
      </c>
      <c r="O148" s="14">
        <f>CHOOSE(CONTROL!$C$42, 8.8861, 8.8861) * CHOOSE(CONTROL!$C$21, $C$9, 100%, $E$9)</f>
        <v>8.8861000000000008</v>
      </c>
      <c r="P148" s="14">
        <f>CHOOSE(CONTROL!$C$42, 8.6948, 8.6948) * CHOOSE(CONTROL!$C$21, $C$9, 100%, $E$9)</f>
        <v>8.6948000000000008</v>
      </c>
      <c r="Q148" s="14">
        <f>CHOOSE(CONTROL!$C$42, 9.4808, 9.4808) * CHOOSE(CONTROL!$C$21, $C$9, 100%, $E$9)</f>
        <v>9.4808000000000003</v>
      </c>
      <c r="R148" s="14">
        <f>CHOOSE(CONTROL!$C$42, 10.0915, 10.0915) * CHOOSE(CONTROL!$C$21, $C$9, 100%, $E$9)</f>
        <v>10.0915</v>
      </c>
      <c r="S148" s="14">
        <f>CHOOSE(CONTROL!$C$42, 8.4551, 8.4551) * CHOOSE(CONTROL!$C$21, $C$9, 100%, $E$9)</f>
        <v>8.4550999999999998</v>
      </c>
      <c r="T14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56">
        <f>(1000*CHOOSE(CONTROL!$C$42, 695, 695)*CHOOSE(CONTROL!$C$42, 0.5599, 0.5599)*CHOOSE(CONTROL!$C$42, 30, 30))/1000000</f>
        <v>11.673914999999997</v>
      </c>
      <c r="V148" s="56">
        <f>(1000*CHOOSE(CONTROL!$C$42, 500, 500)*CHOOSE(CONTROL!$C$42, 0.275, 0.275)*CHOOSE(CONTROL!$C$42, 30, 30))/1000000</f>
        <v>4.125</v>
      </c>
      <c r="W148" s="56">
        <f>(1000*CHOOSE(CONTROL!$C$42, 0.1146, 0.1146)*CHOOSE(CONTROL!$C$42, 121.5, 121.5)*CHOOSE(CONTROL!$C$42, 30, 30))/1000000</f>
        <v>0.417717</v>
      </c>
      <c r="X148" s="56">
        <f>(30*0.1790888*245000/1000000)+(30*0.2374*100000/1000000)</f>
        <v>2.0285026799999999</v>
      </c>
      <c r="Y148" s="56"/>
      <c r="Z148" s="14"/>
      <c r="AA148" s="55"/>
      <c r="AB148" s="49">
        <f>(B148*141.293+C148*267.993+D148*115.016+E148*89.698+F148*40+G148*185+H148*0+I148*100+J148*300)/(141.293+267.993+115.016+89.698+0+40+185+100+300)</f>
        <v>8.8677830685230017</v>
      </c>
      <c r="AC148" s="44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8.7296654676258996</v>
      </c>
    </row>
    <row r="149" spans="1:29" ht="15.75" x14ac:dyDescent="0.25">
      <c r="A149" s="13">
        <v>45413</v>
      </c>
      <c r="B149" s="14">
        <f>CHOOSE(CONTROL!$C$42, 8.9061, 8.9061) * CHOOSE(CONTROL!$C$21, $C$9, 100%, $E$9)</f>
        <v>8.9061000000000003</v>
      </c>
      <c r="C149" s="14">
        <f>CHOOSE(CONTROL!$C$42, 8.9141, 8.9141) * CHOOSE(CONTROL!$C$21, $C$9, 100%, $E$9)</f>
        <v>8.9140999999999995</v>
      </c>
      <c r="D149" s="14">
        <f>CHOOSE(CONTROL!$C$42, 9.1399, 9.1399) * CHOOSE(CONTROL!$C$21, $C$9, 100%, $E$9)</f>
        <v>9.1399000000000008</v>
      </c>
      <c r="E149" s="14">
        <f>CHOOSE(CONTROL!$C$42, 9.1714, 9.1714) * CHOOSE(CONTROL!$C$21, $C$9, 100%, $E$9)</f>
        <v>9.1714000000000002</v>
      </c>
      <c r="F149" s="14">
        <f>CHOOSE(CONTROL!$C$42, 8.9318, 8.9318)*CHOOSE(CONTROL!$C$21, $C$9, 100%, $E$9)</f>
        <v>8.9318000000000008</v>
      </c>
      <c r="G149" s="14">
        <f>CHOOSE(CONTROL!$C$42, 8.9487, 8.9487)*CHOOSE(CONTROL!$C$21, $C$9, 100%, $E$9)</f>
        <v>8.9487000000000005</v>
      </c>
      <c r="H149" s="14">
        <f>CHOOSE(CONTROL!$C$42, 9.16, 9.16) * CHOOSE(CONTROL!$C$21, $C$9, 100%, $E$9)</f>
        <v>9.16</v>
      </c>
      <c r="I149" s="14">
        <f>CHOOSE(CONTROL!$C$42, 8.9655, 8.9655)* CHOOSE(CONTROL!$C$21, $C$9, 100%, $E$9)</f>
        <v>8.9655000000000005</v>
      </c>
      <c r="J149" s="14">
        <f>CHOOSE(CONTROL!$C$42, 8.9248, 8.9248)* CHOOSE(CONTROL!$C$21, $C$9, 100%, $E$9)</f>
        <v>8.9247999999999994</v>
      </c>
      <c r="K149" s="52">
        <f>CHOOSE(CONTROL!$C$42, 8.9616, 8.9616) * CHOOSE(CONTROL!$C$21, $C$9, 100%, $E$9)</f>
        <v>8.9616000000000007</v>
      </c>
      <c r="L149" s="14">
        <f>CHOOSE(CONTROL!$C$42, 9.747, 9.747) * CHOOSE(CONTROL!$C$21, $C$9, 100%, $E$9)</f>
        <v>9.7469999999999999</v>
      </c>
      <c r="M149" s="14">
        <f>CHOOSE(CONTROL!$C$42, 8.7496, 8.7496) * CHOOSE(CONTROL!$C$21, $C$9, 100%, $E$9)</f>
        <v>8.7495999999999992</v>
      </c>
      <c r="N149" s="14">
        <f>CHOOSE(CONTROL!$C$42, 8.7662, 8.7662) * CHOOSE(CONTROL!$C$21, $C$9, 100%, $E$9)</f>
        <v>8.7661999999999995</v>
      </c>
      <c r="O149" s="14">
        <f>CHOOSE(CONTROL!$C$42, 8.98, 8.98) * CHOOSE(CONTROL!$C$21, $C$9, 100%, $E$9)</f>
        <v>8.98</v>
      </c>
      <c r="P149" s="14">
        <f>CHOOSE(CONTROL!$C$42, 8.789, 8.789) * CHOOSE(CONTROL!$C$21, $C$9, 100%, $E$9)</f>
        <v>8.7889999999999997</v>
      </c>
      <c r="Q149" s="14">
        <f>CHOOSE(CONTROL!$C$42, 9.5747, 9.5747) * CHOOSE(CONTROL!$C$21, $C$9, 100%, $E$9)</f>
        <v>9.5747</v>
      </c>
      <c r="R149" s="14">
        <f>CHOOSE(CONTROL!$C$42, 10.1857, 10.1857) * CHOOSE(CONTROL!$C$21, $C$9, 100%, $E$9)</f>
        <v>10.185700000000001</v>
      </c>
      <c r="S149" s="14">
        <f>CHOOSE(CONTROL!$C$42, 8.5472, 8.5472) * CHOOSE(CONTROL!$C$21, $C$9, 100%, $E$9)</f>
        <v>8.5472000000000001</v>
      </c>
      <c r="T14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56">
        <f>(1000*CHOOSE(CONTROL!$C$42, 695, 695)*CHOOSE(CONTROL!$C$42, 0.5599, 0.5599)*CHOOSE(CONTROL!$C$42, 31, 31))/1000000</f>
        <v>12.063045499999998</v>
      </c>
      <c r="V149" s="56">
        <f>(1000*CHOOSE(CONTROL!$C$42, 500, 500)*CHOOSE(CONTROL!$C$42, 0.275, 0.275)*CHOOSE(CONTROL!$C$42, 31, 31))/1000000</f>
        <v>4.2625000000000002</v>
      </c>
      <c r="W149" s="56">
        <f>(1000*CHOOSE(CONTROL!$C$42, 0.1146, 0.1146)*CHOOSE(CONTROL!$C$42, 121.5, 121.5)*CHOOSE(CONTROL!$C$42, 31, 31))/1000000</f>
        <v>0.43164089999999994</v>
      </c>
      <c r="X149" s="56">
        <f>(31*0.1790888*245000/1000000)+(31*0.2374*100000/1000000)</f>
        <v>2.0961194359999999</v>
      </c>
      <c r="Y149" s="56"/>
      <c r="Z149" s="14"/>
      <c r="AA149" s="55"/>
      <c r="AB149" s="49">
        <f>(B149*194.205+C149*267.466+D149*133.845+E149*53.484+F149*40+G149*185+H149*0+I149*100+J149*300)/(194.205+267.466+133.845+53.484+0+40+185+100+300)</f>
        <v>8.9595387709576126</v>
      </c>
      <c r="AC149" s="44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8.8237352517985617</v>
      </c>
    </row>
    <row r="150" spans="1:29" ht="15.75" x14ac:dyDescent="0.25">
      <c r="A150" s="13">
        <v>45444</v>
      </c>
      <c r="B150" s="14">
        <f>CHOOSE(CONTROL!$C$42, 9.1772, 9.1772) * CHOOSE(CONTROL!$C$21, $C$9, 100%, $E$9)</f>
        <v>9.1771999999999991</v>
      </c>
      <c r="C150" s="14">
        <f>CHOOSE(CONTROL!$C$42, 9.1853, 9.1853) * CHOOSE(CONTROL!$C$21, $C$9, 100%, $E$9)</f>
        <v>9.1852999999999998</v>
      </c>
      <c r="D150" s="14">
        <f>CHOOSE(CONTROL!$C$42, 9.411, 9.411) * CHOOSE(CONTROL!$C$21, $C$9, 100%, $E$9)</f>
        <v>9.4109999999999996</v>
      </c>
      <c r="E150" s="14">
        <f>CHOOSE(CONTROL!$C$42, 9.4425, 9.4425) * CHOOSE(CONTROL!$C$21, $C$9, 100%, $E$9)</f>
        <v>9.4425000000000008</v>
      </c>
      <c r="F150" s="14">
        <f>CHOOSE(CONTROL!$C$42, 9.2033, 9.2033)*CHOOSE(CONTROL!$C$21, $C$9, 100%, $E$9)</f>
        <v>9.2033000000000005</v>
      </c>
      <c r="G150" s="14">
        <f>CHOOSE(CONTROL!$C$42, 9.2204, 9.2204)*CHOOSE(CONTROL!$C$21, $C$9, 100%, $E$9)</f>
        <v>9.2203999999999997</v>
      </c>
      <c r="H150" s="14">
        <f>CHOOSE(CONTROL!$C$42, 9.4311, 9.4311) * CHOOSE(CONTROL!$C$21, $C$9, 100%, $E$9)</f>
        <v>9.4311000000000007</v>
      </c>
      <c r="I150" s="14">
        <f>CHOOSE(CONTROL!$C$42, 9.2375, 9.2375)* CHOOSE(CONTROL!$C$21, $C$9, 100%, $E$9)</f>
        <v>9.2375000000000007</v>
      </c>
      <c r="J150" s="14">
        <f>CHOOSE(CONTROL!$C$42, 9.1963, 9.1963)* CHOOSE(CONTROL!$C$21, $C$9, 100%, $E$9)</f>
        <v>9.1963000000000008</v>
      </c>
      <c r="K150" s="52">
        <f>CHOOSE(CONTROL!$C$42, 9.2336, 9.2336) * CHOOSE(CONTROL!$C$21, $C$9, 100%, $E$9)</f>
        <v>9.2335999999999991</v>
      </c>
      <c r="L150" s="14">
        <f>CHOOSE(CONTROL!$C$42, 10.0181, 10.0181) * CHOOSE(CONTROL!$C$21, $C$9, 100%, $E$9)</f>
        <v>10.0181</v>
      </c>
      <c r="M150" s="14">
        <f>CHOOSE(CONTROL!$C$42, 9.0156, 9.0156) * CHOOSE(CONTROL!$C$21, $C$9, 100%, $E$9)</f>
        <v>9.0155999999999992</v>
      </c>
      <c r="N150" s="14">
        <f>CHOOSE(CONTROL!$C$42, 9.0323, 9.0323) * CHOOSE(CONTROL!$C$21, $C$9, 100%, $E$9)</f>
        <v>9.0322999999999993</v>
      </c>
      <c r="O150" s="14">
        <f>CHOOSE(CONTROL!$C$42, 9.2456, 9.2456) * CHOOSE(CONTROL!$C$21, $C$9, 100%, $E$9)</f>
        <v>9.2455999999999996</v>
      </c>
      <c r="P150" s="14">
        <f>CHOOSE(CONTROL!$C$42, 9.0554, 9.0554) * CHOOSE(CONTROL!$C$21, $C$9, 100%, $E$9)</f>
        <v>9.0554000000000006</v>
      </c>
      <c r="Q150" s="14">
        <f>CHOOSE(CONTROL!$C$42, 9.8403, 9.8403) * CHOOSE(CONTROL!$C$21, $C$9, 100%, $E$9)</f>
        <v>9.8402999999999992</v>
      </c>
      <c r="R150" s="14">
        <f>CHOOSE(CONTROL!$C$42, 10.4519, 10.4519) * CHOOSE(CONTROL!$C$21, $C$9, 100%, $E$9)</f>
        <v>10.4519</v>
      </c>
      <c r="S150" s="14">
        <f>CHOOSE(CONTROL!$C$42, 8.8078, 8.8078) * CHOOSE(CONTROL!$C$21, $C$9, 100%, $E$9)</f>
        <v>8.8078000000000003</v>
      </c>
      <c r="T15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56">
        <f>(1000*CHOOSE(CONTROL!$C$42, 695, 695)*CHOOSE(CONTROL!$C$42, 0.5599, 0.5599)*CHOOSE(CONTROL!$C$42, 30, 30))/1000000</f>
        <v>11.673914999999997</v>
      </c>
      <c r="V150" s="56">
        <f>(1000*CHOOSE(CONTROL!$C$42, 500, 500)*CHOOSE(CONTROL!$C$42, 0.275, 0.275)*CHOOSE(CONTROL!$C$42, 30, 30))/1000000</f>
        <v>4.125</v>
      </c>
      <c r="W150" s="56">
        <f>(1000*CHOOSE(CONTROL!$C$42, 0.1146, 0.1146)*CHOOSE(CONTROL!$C$42, 121.5, 121.5)*CHOOSE(CONTROL!$C$42, 30, 30))/1000000</f>
        <v>0.417717</v>
      </c>
      <c r="X150" s="56">
        <f>(30*0.1790888*245000/1000000)+(30*0.2374*100000/1000000)</f>
        <v>2.0285026799999999</v>
      </c>
      <c r="Y150" s="56"/>
      <c r="Z150" s="14"/>
      <c r="AA150" s="55"/>
      <c r="AB150" s="49">
        <f>(B150*194.205+C150*267.466+D150*133.845+E150*53.484+F150*40+G150*185+H150*0+I150*100+J150*300)/(194.205+267.466+133.845+53.484+0+40+185+100+300)</f>
        <v>9.2309242863422298</v>
      </c>
      <c r="AC150" s="44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9.0897035971223001</v>
      </c>
    </row>
    <row r="151" spans="1:29" ht="15.75" x14ac:dyDescent="0.25">
      <c r="A151" s="13">
        <v>45474</v>
      </c>
      <c r="B151" s="14">
        <f>CHOOSE(CONTROL!$C$42, 9.0199, 9.0199) * CHOOSE(CONTROL!$C$21, $C$9, 100%, $E$9)</f>
        <v>9.0198999999999998</v>
      </c>
      <c r="C151" s="14">
        <f>CHOOSE(CONTROL!$C$42, 9.0279, 9.0279) * CHOOSE(CONTROL!$C$21, $C$9, 100%, $E$9)</f>
        <v>9.0279000000000007</v>
      </c>
      <c r="D151" s="14">
        <f>CHOOSE(CONTROL!$C$42, 9.2537, 9.2537) * CHOOSE(CONTROL!$C$21, $C$9, 100%, $E$9)</f>
        <v>9.2537000000000003</v>
      </c>
      <c r="E151" s="14">
        <f>CHOOSE(CONTROL!$C$42, 9.2852, 9.2852) * CHOOSE(CONTROL!$C$21, $C$9, 100%, $E$9)</f>
        <v>9.2851999999999997</v>
      </c>
      <c r="F151" s="14">
        <f>CHOOSE(CONTROL!$C$42, 9.0465, 9.0465)*CHOOSE(CONTROL!$C$21, $C$9, 100%, $E$9)</f>
        <v>9.0465</v>
      </c>
      <c r="G151" s="14">
        <f>CHOOSE(CONTROL!$C$42, 9.0637, 9.0637)*CHOOSE(CONTROL!$C$21, $C$9, 100%, $E$9)</f>
        <v>9.0637000000000008</v>
      </c>
      <c r="H151" s="14">
        <f>CHOOSE(CONTROL!$C$42, 9.2738, 9.2738) * CHOOSE(CONTROL!$C$21, $C$9, 100%, $E$9)</f>
        <v>9.2737999999999996</v>
      </c>
      <c r="I151" s="14">
        <f>CHOOSE(CONTROL!$C$42, 9.0797, 9.0797)* CHOOSE(CONTROL!$C$21, $C$9, 100%, $E$9)</f>
        <v>9.0797000000000008</v>
      </c>
      <c r="J151" s="14">
        <f>CHOOSE(CONTROL!$C$42, 9.0395, 9.0395)* CHOOSE(CONTROL!$C$21, $C$9, 100%, $E$9)</f>
        <v>9.0395000000000003</v>
      </c>
      <c r="K151" s="52">
        <f>CHOOSE(CONTROL!$C$42, 9.0758, 9.0758) * CHOOSE(CONTROL!$C$21, $C$9, 100%, $E$9)</f>
        <v>9.0757999999999992</v>
      </c>
      <c r="L151" s="14">
        <f>CHOOSE(CONTROL!$C$42, 9.8608, 9.8608) * CHOOSE(CONTROL!$C$21, $C$9, 100%, $E$9)</f>
        <v>9.8607999999999993</v>
      </c>
      <c r="M151" s="14">
        <f>CHOOSE(CONTROL!$C$42, 8.862, 8.862) * CHOOSE(CONTROL!$C$21, $C$9, 100%, $E$9)</f>
        <v>8.8620000000000001</v>
      </c>
      <c r="N151" s="14">
        <f>CHOOSE(CONTROL!$C$42, 8.8788, 8.8788) * CHOOSE(CONTROL!$C$21, $C$9, 100%, $E$9)</f>
        <v>8.8788</v>
      </c>
      <c r="O151" s="14">
        <f>CHOOSE(CONTROL!$C$42, 9.0915, 9.0915) * CHOOSE(CONTROL!$C$21, $C$9, 100%, $E$9)</f>
        <v>9.0914999999999999</v>
      </c>
      <c r="P151" s="14">
        <f>CHOOSE(CONTROL!$C$42, 8.9009, 8.9009) * CHOOSE(CONTROL!$C$21, $C$9, 100%, $E$9)</f>
        <v>8.9009</v>
      </c>
      <c r="Q151" s="14">
        <f>CHOOSE(CONTROL!$C$42, 9.6862, 9.6862) * CHOOSE(CONTROL!$C$21, $C$9, 100%, $E$9)</f>
        <v>9.6861999999999995</v>
      </c>
      <c r="R151" s="14">
        <f>CHOOSE(CONTROL!$C$42, 10.2974, 10.2974) * CHOOSE(CONTROL!$C$21, $C$9, 100%, $E$9)</f>
        <v>10.2974</v>
      </c>
      <c r="S151" s="14">
        <f>CHOOSE(CONTROL!$C$42, 8.6566, 8.6566) * CHOOSE(CONTROL!$C$21, $C$9, 100%, $E$9)</f>
        <v>8.6565999999999992</v>
      </c>
      <c r="T15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56">
        <f>(1000*CHOOSE(CONTROL!$C$42, 695, 695)*CHOOSE(CONTROL!$C$42, 0.5599, 0.5599)*CHOOSE(CONTROL!$C$42, 31, 31))/1000000</f>
        <v>12.063045499999998</v>
      </c>
      <c r="V151" s="56">
        <f>(1000*CHOOSE(CONTROL!$C$42, 500, 500)*CHOOSE(CONTROL!$C$42, 0.275, 0.275)*CHOOSE(CONTROL!$C$42, 31, 31))/1000000</f>
        <v>4.2625000000000002</v>
      </c>
      <c r="W151" s="56">
        <f>(1000*CHOOSE(CONTROL!$C$42, 0.1146, 0.1146)*CHOOSE(CONTROL!$C$42, 121.5, 121.5)*CHOOSE(CONTROL!$C$42, 31, 31))/1000000</f>
        <v>0.43164089999999994</v>
      </c>
      <c r="X151" s="56">
        <f>(31*0.1790888*245000/1000000)+(31*0.2374*100000/1000000)</f>
        <v>2.0961194359999999</v>
      </c>
      <c r="Y151" s="56"/>
      <c r="Z151" s="14"/>
      <c r="AA151" s="55"/>
      <c r="AB151" s="49">
        <f>(B151*194.205+C151*267.466+D151*133.845+E151*53.484+F151*40+G151*185+H151*0+I151*100+J151*300)/(194.205+267.466+133.845+53.484+0+40+185+100+300)</f>
        <v>9.0737846108320248</v>
      </c>
      <c r="AC151" s="44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8.935856834532375</v>
      </c>
    </row>
    <row r="152" spans="1:29" ht="15.75" x14ac:dyDescent="0.25">
      <c r="A152" s="13">
        <v>45505</v>
      </c>
      <c r="B152" s="14">
        <f>CHOOSE(CONTROL!$C$42, 8.5926, 8.5926) * CHOOSE(CONTROL!$C$21, $C$9, 100%, $E$9)</f>
        <v>8.5925999999999991</v>
      </c>
      <c r="C152" s="14">
        <f>CHOOSE(CONTROL!$C$42, 8.6006, 8.6006) * CHOOSE(CONTROL!$C$21, $C$9, 100%, $E$9)</f>
        <v>8.6006</v>
      </c>
      <c r="D152" s="14">
        <f>CHOOSE(CONTROL!$C$42, 8.8264, 8.8264) * CHOOSE(CONTROL!$C$21, $C$9, 100%, $E$9)</f>
        <v>8.8263999999999996</v>
      </c>
      <c r="E152" s="14">
        <f>CHOOSE(CONTROL!$C$42, 8.8579, 8.8579) * CHOOSE(CONTROL!$C$21, $C$9, 100%, $E$9)</f>
        <v>8.8579000000000008</v>
      </c>
      <c r="F152" s="14">
        <f>CHOOSE(CONTROL!$C$42, 8.6194, 8.6194)*CHOOSE(CONTROL!$C$21, $C$9, 100%, $E$9)</f>
        <v>8.6194000000000006</v>
      </c>
      <c r="G152" s="14">
        <f>CHOOSE(CONTROL!$C$42, 8.6367, 8.6367)*CHOOSE(CONTROL!$C$21, $C$9, 100%, $E$9)</f>
        <v>8.6366999999999994</v>
      </c>
      <c r="H152" s="14">
        <f>CHOOSE(CONTROL!$C$42, 8.8465, 8.8465) * CHOOSE(CONTROL!$C$21, $C$9, 100%, $E$9)</f>
        <v>8.8465000000000007</v>
      </c>
      <c r="I152" s="14">
        <f>CHOOSE(CONTROL!$C$42, 8.6511, 8.6511)* CHOOSE(CONTROL!$C$21, $C$9, 100%, $E$9)</f>
        <v>8.6510999999999996</v>
      </c>
      <c r="J152" s="14">
        <f>CHOOSE(CONTROL!$C$42, 8.6124, 8.6124)* CHOOSE(CONTROL!$C$21, $C$9, 100%, $E$9)</f>
        <v>8.6123999999999992</v>
      </c>
      <c r="K152" s="52">
        <f>CHOOSE(CONTROL!$C$42, 8.6472, 8.6472) * CHOOSE(CONTROL!$C$21, $C$9, 100%, $E$9)</f>
        <v>8.6471999999999998</v>
      </c>
      <c r="L152" s="14">
        <f>CHOOSE(CONTROL!$C$42, 9.4335, 9.4335) * CHOOSE(CONTROL!$C$21, $C$9, 100%, $E$9)</f>
        <v>9.4335000000000004</v>
      </c>
      <c r="M152" s="14">
        <f>CHOOSE(CONTROL!$C$42, 8.4436, 8.4436) * CHOOSE(CONTROL!$C$21, $C$9, 100%, $E$9)</f>
        <v>8.4436</v>
      </c>
      <c r="N152" s="14">
        <f>CHOOSE(CONTROL!$C$42, 8.4606, 8.4606) * CHOOSE(CONTROL!$C$21, $C$9, 100%, $E$9)</f>
        <v>8.4605999999999995</v>
      </c>
      <c r="O152" s="14">
        <f>CHOOSE(CONTROL!$C$42, 8.673, 8.673) * CHOOSE(CONTROL!$C$21, $C$9, 100%, $E$9)</f>
        <v>8.673</v>
      </c>
      <c r="P152" s="14">
        <f>CHOOSE(CONTROL!$C$42, 8.481, 8.481) * CHOOSE(CONTROL!$C$21, $C$9, 100%, $E$9)</f>
        <v>8.4809999999999999</v>
      </c>
      <c r="Q152" s="14">
        <f>CHOOSE(CONTROL!$C$42, 9.2677, 9.2677) * CHOOSE(CONTROL!$C$21, $C$9, 100%, $E$9)</f>
        <v>9.2676999999999996</v>
      </c>
      <c r="R152" s="14">
        <f>CHOOSE(CONTROL!$C$42, 9.8778, 9.8778) * CHOOSE(CONTROL!$C$21, $C$9, 100%, $E$9)</f>
        <v>9.8778000000000006</v>
      </c>
      <c r="S152" s="14">
        <f>CHOOSE(CONTROL!$C$42, 8.246, 8.246) * CHOOSE(CONTROL!$C$21, $C$9, 100%, $E$9)</f>
        <v>8.2460000000000004</v>
      </c>
      <c r="T15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56">
        <f>(1000*CHOOSE(CONTROL!$C$42, 695, 695)*CHOOSE(CONTROL!$C$42, 0.5599, 0.5599)*CHOOSE(CONTROL!$C$42, 31, 31))/1000000</f>
        <v>12.063045499999998</v>
      </c>
      <c r="V152" s="56">
        <f>(1000*CHOOSE(CONTROL!$C$42, 500, 500)*CHOOSE(CONTROL!$C$42, 0.275, 0.275)*CHOOSE(CONTROL!$C$42, 31, 31))/1000000</f>
        <v>4.2625000000000002</v>
      </c>
      <c r="W152" s="56">
        <f>(1000*CHOOSE(CONTROL!$C$42, 0.1146, 0.1146)*CHOOSE(CONTROL!$C$42, 121.5, 121.5)*CHOOSE(CONTROL!$C$42, 31, 31))/1000000</f>
        <v>0.43164089999999994</v>
      </c>
      <c r="X152" s="56">
        <f>(31*0.1790888*245000/1000000)+(31*0.2374*100000/1000000)</f>
        <v>2.0961194359999999</v>
      </c>
      <c r="Y152" s="56"/>
      <c r="Z152" s="14"/>
      <c r="AA152" s="55"/>
      <c r="AB152" s="49">
        <f>(B152*194.205+C152*267.466+D152*133.845+E152*53.484+F152*40+G152*185+H152*0+I152*100+J152*300)/(194.205+267.466+133.845+53.484+0+40+185+100+300)</f>
        <v>8.6464795087912076</v>
      </c>
      <c r="AC152" s="44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8.5172589928057558</v>
      </c>
    </row>
    <row r="153" spans="1:29" ht="15.75" x14ac:dyDescent="0.25">
      <c r="A153" s="13">
        <v>45536</v>
      </c>
      <c r="B153" s="14">
        <f>CHOOSE(CONTROL!$C$42, 8.0642, 8.0642) * CHOOSE(CONTROL!$C$21, $C$9, 100%, $E$9)</f>
        <v>8.0641999999999996</v>
      </c>
      <c r="C153" s="14">
        <f>CHOOSE(CONTROL!$C$42, 8.0722, 8.0722) * CHOOSE(CONTROL!$C$21, $C$9, 100%, $E$9)</f>
        <v>8.0722000000000005</v>
      </c>
      <c r="D153" s="14">
        <f>CHOOSE(CONTROL!$C$42, 8.298, 8.298) * CHOOSE(CONTROL!$C$21, $C$9, 100%, $E$9)</f>
        <v>8.298</v>
      </c>
      <c r="E153" s="14">
        <f>CHOOSE(CONTROL!$C$42, 8.3294, 8.3294) * CHOOSE(CONTROL!$C$21, $C$9, 100%, $E$9)</f>
        <v>8.3293999999999997</v>
      </c>
      <c r="F153" s="14">
        <f>CHOOSE(CONTROL!$C$42, 8.091, 8.091)*CHOOSE(CONTROL!$C$21, $C$9, 100%, $E$9)</f>
        <v>8.0909999999999993</v>
      </c>
      <c r="G153" s="14">
        <f>CHOOSE(CONTROL!$C$42, 8.1082, 8.1082)*CHOOSE(CONTROL!$C$21, $C$9, 100%, $E$9)</f>
        <v>8.1082000000000001</v>
      </c>
      <c r="H153" s="14">
        <f>CHOOSE(CONTROL!$C$42, 8.3181, 8.3181) * CHOOSE(CONTROL!$C$21, $C$9, 100%, $E$9)</f>
        <v>8.3180999999999994</v>
      </c>
      <c r="I153" s="14">
        <f>CHOOSE(CONTROL!$C$42, 8.121, 8.121)* CHOOSE(CONTROL!$C$21, $C$9, 100%, $E$9)</f>
        <v>8.1210000000000004</v>
      </c>
      <c r="J153" s="14">
        <f>CHOOSE(CONTROL!$C$42, 8.084, 8.084)* CHOOSE(CONTROL!$C$21, $C$9, 100%, $E$9)</f>
        <v>8.0839999999999996</v>
      </c>
      <c r="K153" s="52">
        <f>CHOOSE(CONTROL!$C$42, 8.1171, 8.1171) * CHOOSE(CONTROL!$C$21, $C$9, 100%, $E$9)</f>
        <v>8.1171000000000006</v>
      </c>
      <c r="L153" s="14">
        <f>CHOOSE(CONTROL!$C$42, 8.9051, 8.9051) * CHOOSE(CONTROL!$C$21, $C$9, 100%, $E$9)</f>
        <v>8.9050999999999991</v>
      </c>
      <c r="M153" s="14">
        <f>CHOOSE(CONTROL!$C$42, 7.926, 7.926) * CHOOSE(CONTROL!$C$21, $C$9, 100%, $E$9)</f>
        <v>7.9260000000000002</v>
      </c>
      <c r="N153" s="14">
        <f>CHOOSE(CONTROL!$C$42, 7.9429, 7.9429) * CHOOSE(CONTROL!$C$21, $C$9, 100%, $E$9)</f>
        <v>7.9428999999999998</v>
      </c>
      <c r="O153" s="14">
        <f>CHOOSE(CONTROL!$C$42, 8.1553, 8.1553) * CHOOSE(CONTROL!$C$21, $C$9, 100%, $E$9)</f>
        <v>8.1553000000000004</v>
      </c>
      <c r="P153" s="14">
        <f>CHOOSE(CONTROL!$C$42, 7.9618, 7.9618) * CHOOSE(CONTROL!$C$21, $C$9, 100%, $E$9)</f>
        <v>7.9618000000000002</v>
      </c>
      <c r="Q153" s="14">
        <f>CHOOSE(CONTROL!$C$42, 8.75, 8.75) * CHOOSE(CONTROL!$C$21, $C$9, 100%, $E$9)</f>
        <v>8.75</v>
      </c>
      <c r="R153" s="14">
        <f>CHOOSE(CONTROL!$C$42, 9.3589, 9.3589) * CHOOSE(CONTROL!$C$21, $C$9, 100%, $E$9)</f>
        <v>9.3589000000000002</v>
      </c>
      <c r="S153" s="14">
        <f>CHOOSE(CONTROL!$C$42, 7.7382, 7.7382) * CHOOSE(CONTROL!$C$21, $C$9, 100%, $E$9)</f>
        <v>7.7382</v>
      </c>
      <c r="T15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56">
        <f>(1000*CHOOSE(CONTROL!$C$42, 695, 695)*CHOOSE(CONTROL!$C$42, 0.5599, 0.5599)*CHOOSE(CONTROL!$C$42, 30, 30))/1000000</f>
        <v>11.673914999999997</v>
      </c>
      <c r="V153" s="56">
        <f>(1000*CHOOSE(CONTROL!$C$42, 500, 500)*CHOOSE(CONTROL!$C$42, 0.275, 0.275)*CHOOSE(CONTROL!$C$42, 30, 30))/1000000</f>
        <v>4.125</v>
      </c>
      <c r="W153" s="56">
        <f>(1000*CHOOSE(CONTROL!$C$42, 0.1146, 0.1146)*CHOOSE(CONTROL!$C$42, 121.5, 121.5)*CHOOSE(CONTROL!$C$42, 30, 30))/1000000</f>
        <v>0.417717</v>
      </c>
      <c r="X153" s="56">
        <f>(30*0.1790888*245000/1000000)+(30*0.2374*100000/1000000)</f>
        <v>2.0285026799999999</v>
      </c>
      <c r="Y153" s="56"/>
      <c r="Z153" s="14"/>
      <c r="AA153" s="55"/>
      <c r="AB153" s="49">
        <f>(B153*194.205+C153*267.466+D153*133.845+E153*53.484+F153*40+G153*185+H153*0+I153*100+J153*300)/(194.205+267.466+133.845+53.484+0+40+185+100+300)</f>
        <v>8.1179273514913657</v>
      </c>
      <c r="AC153" s="44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7.9993776978417284</v>
      </c>
    </row>
    <row r="154" spans="1:29" ht="15.75" x14ac:dyDescent="0.25">
      <c r="A154" s="13">
        <v>45566</v>
      </c>
      <c r="B154" s="14">
        <f>CHOOSE(CONTROL!$C$42, 7.9152, 7.9152) * CHOOSE(CONTROL!$C$21, $C$9, 100%, $E$9)</f>
        <v>7.9151999999999996</v>
      </c>
      <c r="C154" s="14">
        <f>CHOOSE(CONTROL!$C$42, 7.9205, 7.9205) * CHOOSE(CONTROL!$C$21, $C$9, 100%, $E$9)</f>
        <v>7.9204999999999997</v>
      </c>
      <c r="D154" s="14">
        <f>CHOOSE(CONTROL!$C$42, 8.1512, 8.1512) * CHOOSE(CONTROL!$C$21, $C$9, 100%, $E$9)</f>
        <v>8.1511999999999993</v>
      </c>
      <c r="E154" s="14">
        <f>CHOOSE(CONTROL!$C$42, 8.1804, 8.1804) * CHOOSE(CONTROL!$C$21, $C$9, 100%, $E$9)</f>
        <v>8.1804000000000006</v>
      </c>
      <c r="F154" s="14">
        <f>CHOOSE(CONTROL!$C$42, 7.944, 7.944)*CHOOSE(CONTROL!$C$21, $C$9, 100%, $E$9)</f>
        <v>7.944</v>
      </c>
      <c r="G154" s="14">
        <f>CHOOSE(CONTROL!$C$42, 7.9611, 7.9611)*CHOOSE(CONTROL!$C$21, $C$9, 100%, $E$9)</f>
        <v>7.9611000000000001</v>
      </c>
      <c r="H154" s="14">
        <f>CHOOSE(CONTROL!$C$42, 8.1708, 8.1708) * CHOOSE(CONTROL!$C$21, $C$9, 100%, $E$9)</f>
        <v>8.1707999999999998</v>
      </c>
      <c r="I154" s="14">
        <f>CHOOSE(CONTROL!$C$42, 7.9733, 7.9733)* CHOOSE(CONTROL!$C$21, $C$9, 100%, $E$9)</f>
        <v>7.9733000000000001</v>
      </c>
      <c r="J154" s="14">
        <f>CHOOSE(CONTROL!$C$42, 7.937, 7.937)* CHOOSE(CONTROL!$C$21, $C$9, 100%, $E$9)</f>
        <v>7.9370000000000003</v>
      </c>
      <c r="K154" s="52">
        <f>CHOOSE(CONTROL!$C$42, 7.9694, 7.9694) * CHOOSE(CONTROL!$C$21, $C$9, 100%, $E$9)</f>
        <v>7.9694000000000003</v>
      </c>
      <c r="L154" s="14">
        <f>CHOOSE(CONTROL!$C$42, 8.7578, 8.7578) * CHOOSE(CONTROL!$C$21, $C$9, 100%, $E$9)</f>
        <v>8.7577999999999996</v>
      </c>
      <c r="M154" s="14">
        <f>CHOOSE(CONTROL!$C$42, 7.7821, 7.7821) * CHOOSE(CONTROL!$C$21, $C$9, 100%, $E$9)</f>
        <v>7.7820999999999998</v>
      </c>
      <c r="N154" s="14">
        <f>CHOOSE(CONTROL!$C$42, 7.7989, 7.7989) * CHOOSE(CONTROL!$C$21, $C$9, 100%, $E$9)</f>
        <v>7.7988999999999997</v>
      </c>
      <c r="O154" s="14">
        <f>CHOOSE(CONTROL!$C$42, 8.0111, 8.0111) * CHOOSE(CONTROL!$C$21, $C$9, 100%, $E$9)</f>
        <v>8.0111000000000008</v>
      </c>
      <c r="P154" s="14">
        <f>CHOOSE(CONTROL!$C$42, 7.8172, 7.8172) * CHOOSE(CONTROL!$C$21, $C$9, 100%, $E$9)</f>
        <v>7.8171999999999997</v>
      </c>
      <c r="Q154" s="14">
        <f>CHOOSE(CONTROL!$C$42, 8.6058, 8.6058) * CHOOSE(CONTROL!$C$21, $C$9, 100%, $E$9)</f>
        <v>8.6058000000000003</v>
      </c>
      <c r="R154" s="14">
        <f>CHOOSE(CONTROL!$C$42, 9.2143, 9.2143) * CHOOSE(CONTROL!$C$21, $C$9, 100%, $E$9)</f>
        <v>9.2142999999999997</v>
      </c>
      <c r="S154" s="14">
        <f>CHOOSE(CONTROL!$C$42, 7.5967, 7.5967) * CHOOSE(CONTROL!$C$21, $C$9, 100%, $E$9)</f>
        <v>7.5967000000000002</v>
      </c>
      <c r="T15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56">
        <f>(1000*CHOOSE(CONTROL!$C$42, 695, 695)*CHOOSE(CONTROL!$C$42, 0.5599, 0.5599)*CHOOSE(CONTROL!$C$42, 31, 31))/1000000</f>
        <v>12.063045499999998</v>
      </c>
      <c r="V154" s="56">
        <f>(1000*CHOOSE(CONTROL!$C$42, 500, 500)*CHOOSE(CONTROL!$C$42, 0.275, 0.275)*CHOOSE(CONTROL!$C$42, 31, 31))/1000000</f>
        <v>4.2625000000000002</v>
      </c>
      <c r="W154" s="56">
        <f>(1000*CHOOSE(CONTROL!$C$42, 0.1146, 0.1146)*CHOOSE(CONTROL!$C$42, 121.5, 121.5)*CHOOSE(CONTROL!$C$42, 31, 31))/1000000</f>
        <v>0.43164089999999994</v>
      </c>
      <c r="X154" s="56">
        <f>(31*0.1790888*245000/1000000)+(31*0.2374*100000/1000000)</f>
        <v>2.0961194359999999</v>
      </c>
      <c r="Y154" s="56"/>
      <c r="Z154" s="14"/>
      <c r="AA154" s="55"/>
      <c r="AB154" s="49">
        <f>(B154*131.881+C154*277.167+D154*79.08+E154*125.872+F154*40+G154*185+H154*0+I154*100+J154*300)/(131.881+277.167+79.08+125.872+0+40+185+100+300)</f>
        <v>7.9761415815173526</v>
      </c>
      <c r="AC154" s="44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7.8552697841726626</v>
      </c>
    </row>
    <row r="155" spans="1:29" ht="15.75" x14ac:dyDescent="0.25">
      <c r="A155" s="13">
        <v>45597</v>
      </c>
      <c r="B155" s="14">
        <f>CHOOSE(CONTROL!$C$42, 8.1397, 8.1397) * CHOOSE(CONTROL!$C$21, $C$9, 100%, $E$9)</f>
        <v>8.1396999999999995</v>
      </c>
      <c r="C155" s="14">
        <f>CHOOSE(CONTROL!$C$42, 8.1448, 8.1448) * CHOOSE(CONTROL!$C$21, $C$9, 100%, $E$9)</f>
        <v>8.1448</v>
      </c>
      <c r="D155" s="14">
        <f>CHOOSE(CONTROL!$C$42, 8.2138, 8.2138) * CHOOSE(CONTROL!$C$21, $C$9, 100%, $E$9)</f>
        <v>8.2138000000000009</v>
      </c>
      <c r="E155" s="14">
        <f>CHOOSE(CONTROL!$C$42, 8.2479, 8.2479) * CHOOSE(CONTROL!$C$21, $C$9, 100%, $E$9)</f>
        <v>8.2478999999999996</v>
      </c>
      <c r="F155" s="14">
        <f>CHOOSE(CONTROL!$C$42, 8.1753, 8.1753)*CHOOSE(CONTROL!$C$21, $C$9, 100%, $E$9)</f>
        <v>8.1753</v>
      </c>
      <c r="G155" s="14">
        <f>CHOOSE(CONTROL!$C$42, 8.1927, 8.1927)*CHOOSE(CONTROL!$C$21, $C$9, 100%, $E$9)</f>
        <v>8.1927000000000003</v>
      </c>
      <c r="H155" s="14">
        <f>CHOOSE(CONTROL!$C$42, 8.2371, 8.2371) * CHOOSE(CONTROL!$C$21, $C$9, 100%, $E$9)</f>
        <v>8.2370999999999999</v>
      </c>
      <c r="I155" s="14">
        <f>CHOOSE(CONTROL!$C$42, 8.2015, 8.2015)* CHOOSE(CONTROL!$C$21, $C$9, 100%, $E$9)</f>
        <v>8.2014999999999993</v>
      </c>
      <c r="J155" s="14">
        <f>CHOOSE(CONTROL!$C$42, 8.1683, 8.1683)* CHOOSE(CONTROL!$C$21, $C$9, 100%, $E$9)</f>
        <v>8.1683000000000003</v>
      </c>
      <c r="K155" s="52">
        <f>CHOOSE(CONTROL!$C$42, 8.1976, 8.1976) * CHOOSE(CONTROL!$C$21, $C$9, 100%, $E$9)</f>
        <v>8.1975999999999996</v>
      </c>
      <c r="L155" s="14">
        <f>CHOOSE(CONTROL!$C$42, 8.8241, 8.8241) * CHOOSE(CONTROL!$C$21, $C$9, 100%, $E$9)</f>
        <v>8.8240999999999996</v>
      </c>
      <c r="M155" s="14">
        <f>CHOOSE(CONTROL!$C$42, 8.0086, 8.0086) * CHOOSE(CONTROL!$C$21, $C$9, 100%, $E$9)</f>
        <v>8.0085999999999995</v>
      </c>
      <c r="N155" s="14">
        <f>CHOOSE(CONTROL!$C$42, 8.0257, 8.0257) * CHOOSE(CONTROL!$C$21, $C$9, 100%, $E$9)</f>
        <v>8.0257000000000005</v>
      </c>
      <c r="O155" s="14">
        <f>CHOOSE(CONTROL!$C$42, 8.076, 8.076) * CHOOSE(CONTROL!$C$21, $C$9, 100%, $E$9)</f>
        <v>8.0760000000000005</v>
      </c>
      <c r="P155" s="14">
        <f>CHOOSE(CONTROL!$C$42, 8.0408, 8.0408) * CHOOSE(CONTROL!$C$21, $C$9, 100%, $E$9)</f>
        <v>8.0408000000000008</v>
      </c>
      <c r="Q155" s="14">
        <f>CHOOSE(CONTROL!$C$42, 8.6707, 8.6707) * CHOOSE(CONTROL!$C$21, $C$9, 100%, $E$9)</f>
        <v>8.6707000000000001</v>
      </c>
      <c r="R155" s="14">
        <f>CHOOSE(CONTROL!$C$42, 9.2794, 9.2794) * CHOOSE(CONTROL!$C$21, $C$9, 100%, $E$9)</f>
        <v>9.2794000000000008</v>
      </c>
      <c r="S155" s="14">
        <f>CHOOSE(CONTROL!$C$42, 7.8129, 7.8129) * CHOOSE(CONTROL!$C$21, $C$9, 100%, $E$9)</f>
        <v>7.8129</v>
      </c>
      <c r="T15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56">
        <f>(1000*CHOOSE(CONTROL!$C$42, 695, 695)*CHOOSE(CONTROL!$C$42, 0.5599, 0.5599)*CHOOSE(CONTROL!$C$42, 30, 30))/1000000</f>
        <v>11.673914999999997</v>
      </c>
      <c r="V155" s="56">
        <f>(1000*CHOOSE(CONTROL!$C$42, 500, 500)*CHOOSE(CONTROL!$C$42, 0.275, 0.275)*CHOOSE(CONTROL!$C$42, 30, 30))/1000000</f>
        <v>4.125</v>
      </c>
      <c r="W155" s="56">
        <f>(1000*CHOOSE(CONTROL!$C$42, 0.1146, 0.1146)*CHOOSE(CONTROL!$C$42, 121.5, 121.5)*CHOOSE(CONTROL!$C$42, 30, 30))/1000000</f>
        <v>0.417717</v>
      </c>
      <c r="X155" s="56">
        <f>(30*0.1790888*100000/1000000)+(30*0.2374*100000/1000000)</f>
        <v>1.2494664</v>
      </c>
      <c r="Y155" s="56"/>
      <c r="Z155" s="14"/>
      <c r="AA155" s="55"/>
      <c r="AB155" s="49">
        <f>(B155*122.58+C155*297.941+D155*89.177+E155*40.302+F155*40+G155*160+H155*0+I155*100+J155*300)/(122.58+297.941+89.177+40.302+0+40+160+100+300)</f>
        <v>8.1720062532173916</v>
      </c>
      <c r="AC155" s="44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8.0447654676258988</v>
      </c>
    </row>
    <row r="156" spans="1:29" ht="15.75" x14ac:dyDescent="0.25">
      <c r="A156" s="13">
        <v>45627</v>
      </c>
      <c r="B156" s="14">
        <f>CHOOSE(CONTROL!$C$42, 8.7119, 8.7119) * CHOOSE(CONTROL!$C$21, $C$9, 100%, $E$9)</f>
        <v>8.7119</v>
      </c>
      <c r="C156" s="14">
        <f>CHOOSE(CONTROL!$C$42, 8.717, 8.717) * CHOOSE(CONTROL!$C$21, $C$9, 100%, $E$9)</f>
        <v>8.7170000000000005</v>
      </c>
      <c r="D156" s="14">
        <f>CHOOSE(CONTROL!$C$42, 8.786, 8.786) * CHOOSE(CONTROL!$C$21, $C$9, 100%, $E$9)</f>
        <v>8.7859999999999996</v>
      </c>
      <c r="E156" s="14">
        <f>CHOOSE(CONTROL!$C$42, 8.8201, 8.8201) * CHOOSE(CONTROL!$C$21, $C$9, 100%, $E$9)</f>
        <v>8.8201000000000001</v>
      </c>
      <c r="F156" s="14">
        <f>CHOOSE(CONTROL!$C$42, 8.7497, 8.7497)*CHOOSE(CONTROL!$C$21, $C$9, 100%, $E$9)</f>
        <v>8.7497000000000007</v>
      </c>
      <c r="G156" s="14">
        <f>CHOOSE(CONTROL!$C$42, 8.7677, 8.7677)*CHOOSE(CONTROL!$C$21, $C$9, 100%, $E$9)</f>
        <v>8.7676999999999996</v>
      </c>
      <c r="H156" s="14">
        <f>CHOOSE(CONTROL!$C$42, 8.8093, 8.8093) * CHOOSE(CONTROL!$C$21, $C$9, 100%, $E$9)</f>
        <v>8.8093000000000004</v>
      </c>
      <c r="I156" s="14">
        <f>CHOOSE(CONTROL!$C$42, 8.7755, 8.7755)* CHOOSE(CONTROL!$C$21, $C$9, 100%, $E$9)</f>
        <v>8.7754999999999992</v>
      </c>
      <c r="J156" s="14">
        <f>CHOOSE(CONTROL!$C$42, 8.7427, 8.7427)* CHOOSE(CONTROL!$C$21, $C$9, 100%, $E$9)</f>
        <v>8.7426999999999992</v>
      </c>
      <c r="K156" s="52">
        <f>CHOOSE(CONTROL!$C$42, 8.7716, 8.7716) * CHOOSE(CONTROL!$C$21, $C$9, 100%, $E$9)</f>
        <v>8.7715999999999994</v>
      </c>
      <c r="L156" s="14">
        <f>CHOOSE(CONTROL!$C$42, 9.3963, 9.3963) * CHOOSE(CONTROL!$C$21, $C$9, 100%, $E$9)</f>
        <v>9.3963000000000001</v>
      </c>
      <c r="M156" s="14">
        <f>CHOOSE(CONTROL!$C$42, 8.5713, 8.5713) * CHOOSE(CONTROL!$C$21, $C$9, 100%, $E$9)</f>
        <v>8.5713000000000008</v>
      </c>
      <c r="N156" s="14">
        <f>CHOOSE(CONTROL!$C$42, 8.5889, 8.5889) * CHOOSE(CONTROL!$C$21, $C$9, 100%, $E$9)</f>
        <v>8.5889000000000006</v>
      </c>
      <c r="O156" s="14">
        <f>CHOOSE(CONTROL!$C$42, 8.6365, 8.6365) * CHOOSE(CONTROL!$C$21, $C$9, 100%, $E$9)</f>
        <v>8.6364999999999998</v>
      </c>
      <c r="P156" s="14">
        <f>CHOOSE(CONTROL!$C$42, 8.6029, 8.6029) * CHOOSE(CONTROL!$C$21, $C$9, 100%, $E$9)</f>
        <v>8.6029</v>
      </c>
      <c r="Q156" s="14">
        <f>CHOOSE(CONTROL!$C$42, 9.2312, 9.2312) * CHOOSE(CONTROL!$C$21, $C$9, 100%, $E$9)</f>
        <v>9.2311999999999994</v>
      </c>
      <c r="R156" s="14">
        <f>CHOOSE(CONTROL!$C$42, 9.8413, 9.8413) * CHOOSE(CONTROL!$C$21, $C$9, 100%, $E$9)</f>
        <v>9.8413000000000004</v>
      </c>
      <c r="S156" s="14">
        <f>CHOOSE(CONTROL!$C$42, 8.3627, 8.3627) * CHOOSE(CONTROL!$C$21, $C$9, 100%, $E$9)</f>
        <v>8.3627000000000002</v>
      </c>
      <c r="T15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56">
        <f>(1000*CHOOSE(CONTROL!$C$42, 695, 695)*CHOOSE(CONTROL!$C$42, 0.5599, 0.5599)*CHOOSE(CONTROL!$C$42, 31, 31))/1000000</f>
        <v>12.063045499999998</v>
      </c>
      <c r="V156" s="56">
        <f>(1000*CHOOSE(CONTROL!$C$42, 500, 500)*CHOOSE(CONTROL!$C$42, 0.275, 0.275)*CHOOSE(CONTROL!$C$42, 31, 31))/1000000</f>
        <v>4.2625000000000002</v>
      </c>
      <c r="W156" s="56">
        <f>(1000*CHOOSE(CONTROL!$C$42, 0.1146, 0.1146)*CHOOSE(CONTROL!$C$42, 121.5, 121.5)*CHOOSE(CONTROL!$C$42, 31, 31))/1000000</f>
        <v>0.43164089999999994</v>
      </c>
      <c r="X156" s="56">
        <f>(31*0.1790888*100000/1000000)+(31*0.2374*100000/1000000)</f>
        <v>1.2911152800000001</v>
      </c>
      <c r="Y156" s="56"/>
      <c r="Z156" s="14"/>
      <c r="AA156" s="55"/>
      <c r="AB156" s="49">
        <f>(B156*122.58+C156*297.941+D156*89.177+E156*40.302+F156*40+G156*160+H156*0+I156*100+J156*300)/(122.58+297.941+89.177+40.302+0+40+160+100+300)</f>
        <v>8.7454027749565224</v>
      </c>
      <c r="AC156" s="44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8.6064107913669066</v>
      </c>
    </row>
    <row r="157" spans="1:29" ht="15.75" x14ac:dyDescent="0.25">
      <c r="A157" s="13">
        <v>45658</v>
      </c>
      <c r="B157" s="14">
        <f>CHOOSE(CONTROL!$C$42, 9.2538, 9.2538) * CHOOSE(CONTROL!$C$21, $C$9, 100%, $E$9)</f>
        <v>9.2538</v>
      </c>
      <c r="C157" s="14">
        <f>CHOOSE(CONTROL!$C$42, 9.2589, 9.2589) * CHOOSE(CONTROL!$C$21, $C$9, 100%, $E$9)</f>
        <v>9.2589000000000006</v>
      </c>
      <c r="D157" s="14">
        <f>CHOOSE(CONTROL!$C$42, 9.3383, 9.3383) * CHOOSE(CONTROL!$C$21, $C$9, 100%, $E$9)</f>
        <v>9.3383000000000003</v>
      </c>
      <c r="E157" s="14">
        <f>CHOOSE(CONTROL!$C$42, 9.3724, 9.3724) * CHOOSE(CONTROL!$C$21, $C$9, 100%, $E$9)</f>
        <v>9.3724000000000007</v>
      </c>
      <c r="F157" s="14">
        <f>CHOOSE(CONTROL!$C$42, 9.2768, 9.2768)*CHOOSE(CONTROL!$C$21, $C$9, 100%, $E$9)</f>
        <v>9.2767999999999997</v>
      </c>
      <c r="G157" s="14">
        <f>CHOOSE(CONTROL!$C$42, 9.2943, 9.2943)*CHOOSE(CONTROL!$C$21, $C$9, 100%, $E$9)</f>
        <v>9.2942999999999998</v>
      </c>
      <c r="H157" s="14">
        <f>CHOOSE(CONTROL!$C$42, 9.3616, 9.3616) * CHOOSE(CONTROL!$C$21, $C$9, 100%, $E$9)</f>
        <v>9.3615999999999993</v>
      </c>
      <c r="I157" s="14">
        <f>CHOOSE(CONTROL!$C$42, 9.3181, 9.3181)* CHOOSE(CONTROL!$C$21, $C$9, 100%, $E$9)</f>
        <v>9.3180999999999994</v>
      </c>
      <c r="J157" s="14">
        <f>CHOOSE(CONTROL!$C$42, 9.2698, 9.2698)* CHOOSE(CONTROL!$C$21, $C$9, 100%, $E$9)</f>
        <v>9.2698</v>
      </c>
      <c r="K157" s="52">
        <f>CHOOSE(CONTROL!$C$42, 9.3142, 9.3142) * CHOOSE(CONTROL!$C$21, $C$9, 100%, $E$9)</f>
        <v>9.3141999999999996</v>
      </c>
      <c r="L157" s="14">
        <f>CHOOSE(CONTROL!$C$42, 9.9486, 9.9486) * CHOOSE(CONTROL!$C$21, $C$9, 100%, $E$9)</f>
        <v>9.9486000000000008</v>
      </c>
      <c r="M157" s="14">
        <f>CHOOSE(CONTROL!$C$42, 9.0876, 9.0876) * CHOOSE(CONTROL!$C$21, $C$9, 100%, $E$9)</f>
        <v>9.0876000000000001</v>
      </c>
      <c r="N157" s="14">
        <f>CHOOSE(CONTROL!$C$42, 9.1047, 9.1047) * CHOOSE(CONTROL!$C$21, $C$9, 100%, $E$9)</f>
        <v>9.1046999999999993</v>
      </c>
      <c r="O157" s="14">
        <f>CHOOSE(CONTROL!$C$42, 9.1775, 9.1775) * CHOOSE(CONTROL!$C$21, $C$9, 100%, $E$9)</f>
        <v>9.1775000000000002</v>
      </c>
      <c r="P157" s="14">
        <f>CHOOSE(CONTROL!$C$42, 9.1343, 9.1343) * CHOOSE(CONTROL!$C$21, $C$9, 100%, $E$9)</f>
        <v>9.1342999999999996</v>
      </c>
      <c r="Q157" s="14">
        <f>CHOOSE(CONTROL!$C$42, 9.7722, 9.7722) * CHOOSE(CONTROL!$C$21, $C$9, 100%, $E$9)</f>
        <v>9.7721999999999998</v>
      </c>
      <c r="R157" s="14">
        <f>CHOOSE(CONTROL!$C$42, 10.3836, 10.3836) * CHOOSE(CONTROL!$C$21, $C$9, 100%, $E$9)</f>
        <v>10.383599999999999</v>
      </c>
      <c r="S157" s="14">
        <f>CHOOSE(CONTROL!$C$42, 8.8834, 8.8834) * CHOOSE(CONTROL!$C$21, $C$9, 100%, $E$9)</f>
        <v>8.8834</v>
      </c>
      <c r="T15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56">
        <f>(1000*CHOOSE(CONTROL!$C$42, 695, 695)*CHOOSE(CONTROL!$C$42, 0.5599, 0.5599)*CHOOSE(CONTROL!$C$42, 31, 31))/1000000</f>
        <v>12.063045499999998</v>
      </c>
      <c r="V157" s="56">
        <f>(1000*CHOOSE(CONTROL!$C$42, 500, 500)*CHOOSE(CONTROL!$C$42, 0.275, 0.275)*CHOOSE(CONTROL!$C$42, 31, 31))/1000000</f>
        <v>4.2625000000000002</v>
      </c>
      <c r="W157" s="56">
        <f>(1000*CHOOSE(CONTROL!$C$42, 0.1146, 0.1146)*CHOOSE(CONTROL!$C$42, 121.5, 121.5)*CHOOSE(CONTROL!$C$42, 31, 31))/1000000</f>
        <v>0.43164089999999994</v>
      </c>
      <c r="X157" s="56">
        <f>(31*0.1790888*100000/1000000)+(31*0.2374*100000/1000000)</f>
        <v>1.2911152800000001</v>
      </c>
      <c r="Y157" s="56"/>
      <c r="Z157" s="14"/>
      <c r="AA157" s="55"/>
      <c r="AB157" s="49">
        <f>(B157*122.58+C157*297.941+D157*89.177+E157*40.302+F157*40+G157*160+H157*0+I157*100+J157*300)/(122.58+297.941+89.177+40.302+0+40+160+100+300)</f>
        <v>9.2820302372173913</v>
      </c>
      <c r="AC157" s="44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9.1360496402877693</v>
      </c>
    </row>
    <row r="158" spans="1:29" ht="15.75" x14ac:dyDescent="0.25">
      <c r="A158" s="13">
        <v>45689</v>
      </c>
      <c r="B158" s="14">
        <f>CHOOSE(CONTROL!$C$42, 9.4377, 9.4377) * CHOOSE(CONTROL!$C$21, $C$9, 100%, $E$9)</f>
        <v>9.4376999999999995</v>
      </c>
      <c r="C158" s="14">
        <f>CHOOSE(CONTROL!$C$42, 9.4428, 9.4428) * CHOOSE(CONTROL!$C$21, $C$9, 100%, $E$9)</f>
        <v>9.4428000000000001</v>
      </c>
      <c r="D158" s="14">
        <f>CHOOSE(CONTROL!$C$42, 9.5222, 9.5222) * CHOOSE(CONTROL!$C$21, $C$9, 100%, $E$9)</f>
        <v>9.5221999999999998</v>
      </c>
      <c r="E158" s="14">
        <f>CHOOSE(CONTROL!$C$42, 9.5563, 9.5563) * CHOOSE(CONTROL!$C$21, $C$9, 100%, $E$9)</f>
        <v>9.5563000000000002</v>
      </c>
      <c r="F158" s="14">
        <f>CHOOSE(CONTROL!$C$42, 9.4605, 9.4605)*CHOOSE(CONTROL!$C$21, $C$9, 100%, $E$9)</f>
        <v>9.4604999999999997</v>
      </c>
      <c r="G158" s="14">
        <f>CHOOSE(CONTROL!$C$42, 9.478, 9.478)*CHOOSE(CONTROL!$C$21, $C$9, 100%, $E$9)</f>
        <v>9.4779999999999998</v>
      </c>
      <c r="H158" s="14">
        <f>CHOOSE(CONTROL!$C$42, 9.5455, 9.5455) * CHOOSE(CONTROL!$C$21, $C$9, 100%, $E$9)</f>
        <v>9.5455000000000005</v>
      </c>
      <c r="I158" s="14">
        <f>CHOOSE(CONTROL!$C$42, 9.5026, 9.5026)* CHOOSE(CONTROL!$C$21, $C$9, 100%, $E$9)</f>
        <v>9.5025999999999993</v>
      </c>
      <c r="J158" s="14">
        <f>CHOOSE(CONTROL!$C$42, 9.4535, 9.4535)* CHOOSE(CONTROL!$C$21, $C$9, 100%, $E$9)</f>
        <v>9.4535</v>
      </c>
      <c r="K158" s="52">
        <f>CHOOSE(CONTROL!$C$42, 9.4987, 9.4987) * CHOOSE(CONTROL!$C$21, $C$9, 100%, $E$9)</f>
        <v>9.4986999999999995</v>
      </c>
      <c r="L158" s="14">
        <f>CHOOSE(CONTROL!$C$42, 10.1325, 10.1325) * CHOOSE(CONTROL!$C$21, $C$9, 100%, $E$9)</f>
        <v>10.1325</v>
      </c>
      <c r="M158" s="14">
        <f>CHOOSE(CONTROL!$C$42, 9.2675, 9.2675) * CHOOSE(CONTROL!$C$21, $C$9, 100%, $E$9)</f>
        <v>9.2675000000000001</v>
      </c>
      <c r="N158" s="14">
        <f>CHOOSE(CONTROL!$C$42, 9.2846, 9.2846) * CHOOSE(CONTROL!$C$21, $C$9, 100%, $E$9)</f>
        <v>9.2845999999999993</v>
      </c>
      <c r="O158" s="14">
        <f>CHOOSE(CONTROL!$C$42, 9.3576, 9.3576) * CHOOSE(CONTROL!$C$21, $C$9, 100%, $E$9)</f>
        <v>9.3575999999999997</v>
      </c>
      <c r="P158" s="14">
        <f>CHOOSE(CONTROL!$C$42, 9.3151, 9.3151) * CHOOSE(CONTROL!$C$21, $C$9, 100%, $E$9)</f>
        <v>9.3150999999999993</v>
      </c>
      <c r="Q158" s="14">
        <f>CHOOSE(CONTROL!$C$42, 9.9523, 9.9523) * CHOOSE(CONTROL!$C$21, $C$9, 100%, $E$9)</f>
        <v>9.9522999999999993</v>
      </c>
      <c r="R158" s="14">
        <f>CHOOSE(CONTROL!$C$42, 10.5642, 10.5642) * CHOOSE(CONTROL!$C$21, $C$9, 100%, $E$9)</f>
        <v>10.5642</v>
      </c>
      <c r="S158" s="14">
        <f>CHOOSE(CONTROL!$C$42, 9.0602, 9.0602) * CHOOSE(CONTROL!$C$21, $C$9, 100%, $E$9)</f>
        <v>9.0602</v>
      </c>
      <c r="T15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56">
        <f>(1000*CHOOSE(CONTROL!$C$42, 695, 695)*CHOOSE(CONTROL!$C$42, 0.5599, 0.5599)*CHOOSE(CONTROL!$C$42, 28, 28))/1000000</f>
        <v>10.895653999999999</v>
      </c>
      <c r="V158" s="56">
        <f>(1000*CHOOSE(CONTROL!$C$42, 500, 500)*CHOOSE(CONTROL!$C$42, 0.275, 0.275)*CHOOSE(CONTROL!$C$42, 28, 28))/1000000</f>
        <v>3.85</v>
      </c>
      <c r="W158" s="56">
        <f>(1000*CHOOSE(CONTROL!$C$42, 0.1146, 0.1146)*CHOOSE(CONTROL!$C$42, 121.5, 121.5)*CHOOSE(CONTROL!$C$42, 28, 28))/1000000</f>
        <v>0.38986920000000003</v>
      </c>
      <c r="X158" s="56">
        <f>(28*0.1790888*100000/1000000)+(28*0.2374*100000/1000000)</f>
        <v>1.16616864</v>
      </c>
      <c r="Y158" s="56"/>
      <c r="Z158" s="14"/>
      <c r="AA158" s="55"/>
      <c r="AB158" s="49">
        <f>(B158*122.58+C158*297.941+D158*89.177+E158*40.302+F158*40+G158*160+H158*0+I158*100+J158*300)/(122.58+297.941+89.177+40.302+0+40+160+100+300)</f>
        <v>9.4658954546086953</v>
      </c>
      <c r="AC158" s="44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9.3161697841726614</v>
      </c>
    </row>
    <row r="159" spans="1:29" ht="15.75" x14ac:dyDescent="0.25">
      <c r="A159" s="13">
        <v>45717</v>
      </c>
      <c r="B159" s="14">
        <f>CHOOSE(CONTROL!$C$42, 9.1889, 9.1889) * CHOOSE(CONTROL!$C$21, $C$9, 100%, $E$9)</f>
        <v>9.1889000000000003</v>
      </c>
      <c r="C159" s="14">
        <f>CHOOSE(CONTROL!$C$42, 9.194, 9.194) * CHOOSE(CONTROL!$C$21, $C$9, 100%, $E$9)</f>
        <v>9.1940000000000008</v>
      </c>
      <c r="D159" s="14">
        <f>CHOOSE(CONTROL!$C$42, 9.2734, 9.2734) * CHOOSE(CONTROL!$C$21, $C$9, 100%, $E$9)</f>
        <v>9.2734000000000005</v>
      </c>
      <c r="E159" s="14">
        <f>CHOOSE(CONTROL!$C$42, 9.3075, 9.3075) * CHOOSE(CONTROL!$C$21, $C$9, 100%, $E$9)</f>
        <v>9.3074999999999992</v>
      </c>
      <c r="F159" s="14">
        <f>CHOOSE(CONTROL!$C$42, 9.211, 9.211)*CHOOSE(CONTROL!$C$21, $C$9, 100%, $E$9)</f>
        <v>9.2110000000000003</v>
      </c>
      <c r="G159" s="14">
        <f>CHOOSE(CONTROL!$C$42, 9.2282, 9.2282)*CHOOSE(CONTROL!$C$21, $C$9, 100%, $E$9)</f>
        <v>9.2281999999999993</v>
      </c>
      <c r="H159" s="14">
        <f>CHOOSE(CONTROL!$C$42, 9.2967, 9.2967) * CHOOSE(CONTROL!$C$21, $C$9, 100%, $E$9)</f>
        <v>9.2966999999999995</v>
      </c>
      <c r="I159" s="14">
        <f>CHOOSE(CONTROL!$C$42, 9.253, 9.253)* CHOOSE(CONTROL!$C$21, $C$9, 100%, $E$9)</f>
        <v>9.2530000000000001</v>
      </c>
      <c r="J159" s="14">
        <f>CHOOSE(CONTROL!$C$42, 9.204, 9.204)* CHOOSE(CONTROL!$C$21, $C$9, 100%, $E$9)</f>
        <v>9.2040000000000006</v>
      </c>
      <c r="K159" s="52">
        <f>CHOOSE(CONTROL!$C$42, 9.2491, 9.2491) * CHOOSE(CONTROL!$C$21, $C$9, 100%, $E$9)</f>
        <v>9.2491000000000003</v>
      </c>
      <c r="L159" s="14">
        <f>CHOOSE(CONTROL!$C$42, 9.8837, 9.8837) * CHOOSE(CONTROL!$C$21, $C$9, 100%, $E$9)</f>
        <v>9.8836999999999993</v>
      </c>
      <c r="M159" s="14">
        <f>CHOOSE(CONTROL!$C$42, 9.0231, 9.0231) * CHOOSE(CONTROL!$C$21, $C$9, 100%, $E$9)</f>
        <v>9.0230999999999995</v>
      </c>
      <c r="N159" s="14">
        <f>CHOOSE(CONTROL!$C$42, 9.04, 9.04) * CHOOSE(CONTROL!$C$21, $C$9, 100%, $E$9)</f>
        <v>9.0399999999999991</v>
      </c>
      <c r="O159" s="14">
        <f>CHOOSE(CONTROL!$C$42, 9.1139, 9.1139) * CHOOSE(CONTROL!$C$21, $C$9, 100%, $E$9)</f>
        <v>9.1138999999999992</v>
      </c>
      <c r="P159" s="14">
        <f>CHOOSE(CONTROL!$C$42, 9.0706, 9.0706) * CHOOSE(CONTROL!$C$21, $C$9, 100%, $E$9)</f>
        <v>9.0706000000000007</v>
      </c>
      <c r="Q159" s="14">
        <f>CHOOSE(CONTROL!$C$42, 9.7086, 9.7086) * CHOOSE(CONTROL!$C$21, $C$9, 100%, $E$9)</f>
        <v>9.7086000000000006</v>
      </c>
      <c r="R159" s="14">
        <f>CHOOSE(CONTROL!$C$42, 10.3199, 10.3199) * CHOOSE(CONTROL!$C$21, $C$9, 100%, $E$9)</f>
        <v>10.319900000000001</v>
      </c>
      <c r="S159" s="14">
        <f>CHOOSE(CONTROL!$C$42, 8.8211, 8.8211) * CHOOSE(CONTROL!$C$21, $C$9, 100%, $E$9)</f>
        <v>8.8210999999999995</v>
      </c>
      <c r="T15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56">
        <f>(1000*CHOOSE(CONTROL!$C$42, 695, 695)*CHOOSE(CONTROL!$C$42, 0.5599, 0.5599)*CHOOSE(CONTROL!$C$42, 31, 31))/1000000</f>
        <v>12.063045499999998</v>
      </c>
      <c r="V159" s="56">
        <f>(1000*CHOOSE(CONTROL!$C$42, 500, 500)*CHOOSE(CONTROL!$C$42, 0.275, 0.275)*CHOOSE(CONTROL!$C$42, 31, 31))/1000000</f>
        <v>4.2625000000000002</v>
      </c>
      <c r="W159" s="56">
        <f>(1000*CHOOSE(CONTROL!$C$42, 0.1146, 0.1146)*CHOOSE(CONTROL!$C$42, 121.5, 121.5)*CHOOSE(CONTROL!$C$42, 31, 31))/1000000</f>
        <v>0.43164089999999994</v>
      </c>
      <c r="X159" s="56">
        <f>(31*0.1790888*100000/1000000)+(31*0.2374*100000/1000000)</f>
        <v>1.2911152800000001</v>
      </c>
      <c r="Y159" s="56"/>
      <c r="Z159" s="14"/>
      <c r="AA159" s="55"/>
      <c r="AB159" s="49">
        <f>(B159*122.58+C159*297.941+D159*89.177+E159*40.302+F159*40+G159*160+H159*0+I159*100+J159*300)/(122.58+297.941+89.177+40.302+0+40+160+100+300)</f>
        <v>9.2166798024347827</v>
      </c>
      <c r="AC159" s="44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9.0720611510791365</v>
      </c>
    </row>
    <row r="160" spans="1:29" ht="15.75" x14ac:dyDescent="0.25">
      <c r="A160" s="13">
        <v>45748</v>
      </c>
      <c r="B160" s="14">
        <f>CHOOSE(CONTROL!$C$42, 9.1813, 9.1813) * CHOOSE(CONTROL!$C$21, $C$9, 100%, $E$9)</f>
        <v>9.1813000000000002</v>
      </c>
      <c r="C160" s="14">
        <f>CHOOSE(CONTROL!$C$42, 9.1858, 9.1858) * CHOOSE(CONTROL!$C$21, $C$9, 100%, $E$9)</f>
        <v>9.1858000000000004</v>
      </c>
      <c r="D160" s="14">
        <f>CHOOSE(CONTROL!$C$42, 9.4147, 9.4147) * CHOOSE(CONTROL!$C$21, $C$9, 100%, $E$9)</f>
        <v>9.4146999999999998</v>
      </c>
      <c r="E160" s="14">
        <f>CHOOSE(CONTROL!$C$42, 9.4468, 9.4468) * CHOOSE(CONTROL!$C$21, $C$9, 100%, $E$9)</f>
        <v>9.4467999999999996</v>
      </c>
      <c r="F160" s="14">
        <f>CHOOSE(CONTROL!$C$42, 9.2083, 9.2083)*CHOOSE(CONTROL!$C$21, $C$9, 100%, $E$9)</f>
        <v>9.2082999999999995</v>
      </c>
      <c r="G160" s="14">
        <f>CHOOSE(CONTROL!$C$42, 9.225, 9.225)*CHOOSE(CONTROL!$C$21, $C$9, 100%, $E$9)</f>
        <v>9.2249999999999996</v>
      </c>
      <c r="H160" s="14">
        <f>CHOOSE(CONTROL!$C$42, 9.4366, 9.4366) * CHOOSE(CONTROL!$C$21, $C$9, 100%, $E$9)</f>
        <v>9.4366000000000003</v>
      </c>
      <c r="I160" s="14">
        <f>CHOOSE(CONTROL!$C$42, 9.243, 9.243)* CHOOSE(CONTROL!$C$21, $C$9, 100%, $E$9)</f>
        <v>9.2430000000000003</v>
      </c>
      <c r="J160" s="14">
        <f>CHOOSE(CONTROL!$C$42, 9.2013, 9.2013)* CHOOSE(CONTROL!$C$21, $C$9, 100%, $E$9)</f>
        <v>9.2012999999999998</v>
      </c>
      <c r="K160" s="52">
        <f>CHOOSE(CONTROL!$C$42, 9.2391, 9.2391) * CHOOSE(CONTROL!$C$21, $C$9, 100%, $E$9)</f>
        <v>9.2391000000000005</v>
      </c>
      <c r="L160" s="14">
        <f>CHOOSE(CONTROL!$C$42, 10.0236, 10.0236) * CHOOSE(CONTROL!$C$21, $C$9, 100%, $E$9)</f>
        <v>10.0236</v>
      </c>
      <c r="M160" s="14">
        <f>CHOOSE(CONTROL!$C$42, 9.0205, 9.0205) * CHOOSE(CONTROL!$C$21, $C$9, 100%, $E$9)</f>
        <v>9.0205000000000002</v>
      </c>
      <c r="N160" s="14">
        <f>CHOOSE(CONTROL!$C$42, 9.0369, 9.0369) * CHOOSE(CONTROL!$C$21, $C$9, 100%, $E$9)</f>
        <v>9.0368999999999993</v>
      </c>
      <c r="O160" s="14">
        <f>CHOOSE(CONTROL!$C$42, 9.251, 9.251) * CHOOSE(CONTROL!$C$21, $C$9, 100%, $E$9)</f>
        <v>9.2509999999999994</v>
      </c>
      <c r="P160" s="14">
        <f>CHOOSE(CONTROL!$C$42, 9.0608, 9.0608) * CHOOSE(CONTROL!$C$21, $C$9, 100%, $E$9)</f>
        <v>9.0608000000000004</v>
      </c>
      <c r="Q160" s="14">
        <f>CHOOSE(CONTROL!$C$42, 9.8457, 9.8457) * CHOOSE(CONTROL!$C$21, $C$9, 100%, $E$9)</f>
        <v>9.8457000000000008</v>
      </c>
      <c r="R160" s="14">
        <f>CHOOSE(CONTROL!$C$42, 10.4573, 10.4573) * CHOOSE(CONTROL!$C$21, $C$9, 100%, $E$9)</f>
        <v>10.4573</v>
      </c>
      <c r="S160" s="14">
        <f>CHOOSE(CONTROL!$C$42, 8.813, 8.813) * CHOOSE(CONTROL!$C$21, $C$9, 100%, $E$9)</f>
        <v>8.8130000000000006</v>
      </c>
      <c r="T16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56">
        <f>(1000*CHOOSE(CONTROL!$C$42, 695, 695)*CHOOSE(CONTROL!$C$42, 0.5599, 0.5599)*CHOOSE(CONTROL!$C$42, 30, 30))/1000000</f>
        <v>11.673914999999997</v>
      </c>
      <c r="V160" s="56">
        <f>(1000*CHOOSE(CONTROL!$C$42, 500, 500)*CHOOSE(CONTROL!$C$42, 0.275, 0.275)*CHOOSE(CONTROL!$C$42, 30, 30))/1000000</f>
        <v>4.125</v>
      </c>
      <c r="W160" s="56">
        <f>(1000*CHOOSE(CONTROL!$C$42, 0.1146, 0.1146)*CHOOSE(CONTROL!$C$42, 121.5, 121.5)*CHOOSE(CONTROL!$C$42, 30, 30))/1000000</f>
        <v>0.417717</v>
      </c>
      <c r="X160" s="56">
        <f>(30*0.1790888*245000/1000000)+(30*0.2374*100000/1000000)</f>
        <v>2.0285026799999999</v>
      </c>
      <c r="Y160" s="56"/>
      <c r="Z160" s="14"/>
      <c r="AA160" s="55"/>
      <c r="AB160" s="49">
        <f>(B160*141.293+C160*267.993+D160*115.016+E160*89.698+F160*40+G160*185+H160*0+I160*100+J160*300)/(141.293+267.993+115.016+89.698+0+40+185+100+300)</f>
        <v>9.2403799208232442</v>
      </c>
      <c r="AC160" s="44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9.0947467625899279</v>
      </c>
    </row>
    <row r="161" spans="1:29" ht="15.75" x14ac:dyDescent="0.25">
      <c r="A161" s="13">
        <v>45778</v>
      </c>
      <c r="B161" s="14">
        <f>CHOOSE(CONTROL!$C$42, 9.2827, 9.2827) * CHOOSE(CONTROL!$C$21, $C$9, 100%, $E$9)</f>
        <v>9.2827000000000002</v>
      </c>
      <c r="C161" s="14">
        <f>CHOOSE(CONTROL!$C$42, 9.2907, 9.2907) * CHOOSE(CONTROL!$C$21, $C$9, 100%, $E$9)</f>
        <v>9.2906999999999993</v>
      </c>
      <c r="D161" s="14">
        <f>CHOOSE(CONTROL!$C$42, 9.5165, 9.5165) * CHOOSE(CONTROL!$C$21, $C$9, 100%, $E$9)</f>
        <v>9.5165000000000006</v>
      </c>
      <c r="E161" s="14">
        <f>CHOOSE(CONTROL!$C$42, 9.548, 9.548) * CHOOSE(CONTROL!$C$21, $C$9, 100%, $E$9)</f>
        <v>9.548</v>
      </c>
      <c r="F161" s="14">
        <f>CHOOSE(CONTROL!$C$42, 9.3084, 9.3084)*CHOOSE(CONTROL!$C$21, $C$9, 100%, $E$9)</f>
        <v>9.3084000000000007</v>
      </c>
      <c r="G161" s="14">
        <f>CHOOSE(CONTROL!$C$42, 9.3253, 9.3253)*CHOOSE(CONTROL!$C$21, $C$9, 100%, $E$9)</f>
        <v>9.3253000000000004</v>
      </c>
      <c r="H161" s="14">
        <f>CHOOSE(CONTROL!$C$42, 9.5366, 9.5366) * CHOOSE(CONTROL!$C$21, $C$9, 100%, $E$9)</f>
        <v>9.5366</v>
      </c>
      <c r="I161" s="14">
        <f>CHOOSE(CONTROL!$C$42, 9.3433, 9.3433)* CHOOSE(CONTROL!$C$21, $C$9, 100%, $E$9)</f>
        <v>9.3432999999999993</v>
      </c>
      <c r="J161" s="14">
        <f>CHOOSE(CONTROL!$C$42, 9.3014, 9.3014)* CHOOSE(CONTROL!$C$21, $C$9, 100%, $E$9)</f>
        <v>9.3013999999999992</v>
      </c>
      <c r="K161" s="52">
        <f>CHOOSE(CONTROL!$C$42, 9.3394, 9.3394) * CHOOSE(CONTROL!$C$21, $C$9, 100%, $E$9)</f>
        <v>9.3393999999999995</v>
      </c>
      <c r="L161" s="14">
        <f>CHOOSE(CONTROL!$C$42, 10.1236, 10.1236) * CHOOSE(CONTROL!$C$21, $C$9, 100%, $E$9)</f>
        <v>10.1236</v>
      </c>
      <c r="M161" s="14">
        <f>CHOOSE(CONTROL!$C$42, 9.1185, 9.1185) * CHOOSE(CONTROL!$C$21, $C$9, 100%, $E$9)</f>
        <v>9.1184999999999992</v>
      </c>
      <c r="N161" s="14">
        <f>CHOOSE(CONTROL!$C$42, 9.1351, 9.1351) * CHOOSE(CONTROL!$C$21, $C$9, 100%, $E$9)</f>
        <v>9.1350999999999996</v>
      </c>
      <c r="O161" s="14">
        <f>CHOOSE(CONTROL!$C$42, 9.3489, 9.3489) * CHOOSE(CONTROL!$C$21, $C$9, 100%, $E$9)</f>
        <v>9.3489000000000004</v>
      </c>
      <c r="P161" s="14">
        <f>CHOOSE(CONTROL!$C$42, 9.1591, 9.1591) * CHOOSE(CONTROL!$C$21, $C$9, 100%, $E$9)</f>
        <v>9.1591000000000005</v>
      </c>
      <c r="Q161" s="14">
        <f>CHOOSE(CONTROL!$C$42, 9.9436, 9.9436) * CHOOSE(CONTROL!$C$21, $C$9, 100%, $E$9)</f>
        <v>9.9436</v>
      </c>
      <c r="R161" s="14">
        <f>CHOOSE(CONTROL!$C$42, 10.5555, 10.5555) * CHOOSE(CONTROL!$C$21, $C$9, 100%, $E$9)</f>
        <v>10.5555</v>
      </c>
      <c r="S161" s="14">
        <f>CHOOSE(CONTROL!$C$42, 8.9091, 8.9091) * CHOOSE(CONTROL!$C$21, $C$9, 100%, $E$9)</f>
        <v>8.9091000000000005</v>
      </c>
      <c r="T16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56">
        <f>(1000*CHOOSE(CONTROL!$C$42, 695, 695)*CHOOSE(CONTROL!$C$42, 0.5599, 0.5599)*CHOOSE(CONTROL!$C$42, 31, 31))/1000000</f>
        <v>12.063045499999998</v>
      </c>
      <c r="V161" s="56">
        <f>(1000*CHOOSE(CONTROL!$C$42, 500, 500)*CHOOSE(CONTROL!$C$42, 0.275, 0.275)*CHOOSE(CONTROL!$C$42, 31, 31))/1000000</f>
        <v>4.2625000000000002</v>
      </c>
      <c r="W161" s="56">
        <f>(1000*CHOOSE(CONTROL!$C$42, 0.1146, 0.1146)*CHOOSE(CONTROL!$C$42, 121.5, 121.5)*CHOOSE(CONTROL!$C$42, 31, 31))/1000000</f>
        <v>0.43164089999999994</v>
      </c>
      <c r="X161" s="56">
        <f>(31*0.1790888*245000/1000000)+(31*0.2374*100000/1000000)</f>
        <v>2.0961194359999999</v>
      </c>
      <c r="Y161" s="56"/>
      <c r="Z161" s="14"/>
      <c r="AA161" s="55"/>
      <c r="AB161" s="49">
        <f>(B161*194.205+C161*267.466+D161*133.845+E161*53.484+F161*40+G161*185+H161*0+I161*100+J161*300)/(194.205+267.466+133.845+53.484+0+40+185+100+300)</f>
        <v>9.336232962480377</v>
      </c>
      <c r="AC161" s="44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9.1928079136690641</v>
      </c>
    </row>
    <row r="162" spans="1:29" ht="15.75" x14ac:dyDescent="0.25">
      <c r="A162" s="13">
        <v>45809</v>
      </c>
      <c r="B162" s="14">
        <f>CHOOSE(CONTROL!$C$42, 9.5653, 9.5653) * CHOOSE(CONTROL!$C$21, $C$9, 100%, $E$9)</f>
        <v>9.5653000000000006</v>
      </c>
      <c r="C162" s="14">
        <f>CHOOSE(CONTROL!$C$42, 9.5733, 9.5733) * CHOOSE(CONTROL!$C$21, $C$9, 100%, $E$9)</f>
        <v>9.5732999999999997</v>
      </c>
      <c r="D162" s="14">
        <f>CHOOSE(CONTROL!$C$42, 9.7991, 9.7991) * CHOOSE(CONTROL!$C$21, $C$9, 100%, $E$9)</f>
        <v>9.7990999999999993</v>
      </c>
      <c r="E162" s="14">
        <f>CHOOSE(CONTROL!$C$42, 9.8306, 9.8306) * CHOOSE(CONTROL!$C$21, $C$9, 100%, $E$9)</f>
        <v>9.8306000000000004</v>
      </c>
      <c r="F162" s="14">
        <f>CHOOSE(CONTROL!$C$42, 9.5914, 9.5914)*CHOOSE(CONTROL!$C$21, $C$9, 100%, $E$9)</f>
        <v>9.5914000000000001</v>
      </c>
      <c r="G162" s="14">
        <f>CHOOSE(CONTROL!$C$42, 9.6085, 9.6085)*CHOOSE(CONTROL!$C$21, $C$9, 100%, $E$9)</f>
        <v>9.6084999999999994</v>
      </c>
      <c r="H162" s="14">
        <f>CHOOSE(CONTROL!$C$42, 9.8192, 9.8192) * CHOOSE(CONTROL!$C$21, $C$9, 100%, $E$9)</f>
        <v>9.8192000000000004</v>
      </c>
      <c r="I162" s="14">
        <f>CHOOSE(CONTROL!$C$42, 9.6268, 9.6268)* CHOOSE(CONTROL!$C$21, $C$9, 100%, $E$9)</f>
        <v>9.6267999999999994</v>
      </c>
      <c r="J162" s="14">
        <f>CHOOSE(CONTROL!$C$42, 9.5844, 9.5844)* CHOOSE(CONTROL!$C$21, $C$9, 100%, $E$9)</f>
        <v>9.5844000000000005</v>
      </c>
      <c r="K162" s="52">
        <f>CHOOSE(CONTROL!$C$42, 9.6229, 9.6229) * CHOOSE(CONTROL!$C$21, $C$9, 100%, $E$9)</f>
        <v>9.6228999999999996</v>
      </c>
      <c r="L162" s="14">
        <f>CHOOSE(CONTROL!$C$42, 10.4062, 10.4062) * CHOOSE(CONTROL!$C$21, $C$9, 100%, $E$9)</f>
        <v>10.4062</v>
      </c>
      <c r="M162" s="14">
        <f>CHOOSE(CONTROL!$C$42, 9.3957, 9.3957) * CHOOSE(CONTROL!$C$21, $C$9, 100%, $E$9)</f>
        <v>9.3956999999999997</v>
      </c>
      <c r="N162" s="14">
        <f>CHOOSE(CONTROL!$C$42, 9.4125, 9.4125) * CHOOSE(CONTROL!$C$21, $C$9, 100%, $E$9)</f>
        <v>9.4124999999999996</v>
      </c>
      <c r="O162" s="14">
        <f>CHOOSE(CONTROL!$C$42, 9.6257, 9.6257) * CHOOSE(CONTROL!$C$21, $C$9, 100%, $E$9)</f>
        <v>9.6257000000000001</v>
      </c>
      <c r="P162" s="14">
        <f>CHOOSE(CONTROL!$C$42, 9.4367, 9.4367) * CHOOSE(CONTROL!$C$21, $C$9, 100%, $E$9)</f>
        <v>9.4367000000000001</v>
      </c>
      <c r="Q162" s="14">
        <f>CHOOSE(CONTROL!$C$42, 10.2204, 10.2204) * CHOOSE(CONTROL!$C$21, $C$9, 100%, $E$9)</f>
        <v>10.2204</v>
      </c>
      <c r="R162" s="14">
        <f>CHOOSE(CONTROL!$C$42, 10.833, 10.833) * CHOOSE(CONTROL!$C$21, $C$9, 100%, $E$9)</f>
        <v>10.833</v>
      </c>
      <c r="S162" s="14">
        <f>CHOOSE(CONTROL!$C$42, 9.1807, 9.1807) * CHOOSE(CONTROL!$C$21, $C$9, 100%, $E$9)</f>
        <v>9.1806999999999999</v>
      </c>
      <c r="T16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56">
        <f>(1000*CHOOSE(CONTROL!$C$42, 695, 695)*CHOOSE(CONTROL!$C$42, 0.5599, 0.5599)*CHOOSE(CONTROL!$C$42, 30, 30))/1000000</f>
        <v>11.673914999999997</v>
      </c>
      <c r="V162" s="56">
        <f>(1000*CHOOSE(CONTROL!$C$42, 500, 500)*CHOOSE(CONTROL!$C$42, 0.275, 0.275)*CHOOSE(CONTROL!$C$42, 30, 30))/1000000</f>
        <v>4.125</v>
      </c>
      <c r="W162" s="56">
        <f>(1000*CHOOSE(CONTROL!$C$42, 0.1146, 0.1146)*CHOOSE(CONTROL!$C$42, 121.5, 121.5)*CHOOSE(CONTROL!$C$42, 30, 30))/1000000</f>
        <v>0.417717</v>
      </c>
      <c r="X162" s="56">
        <f>(30*0.1790888*245000/1000000)+(30*0.2374*100000/1000000)</f>
        <v>2.0285026799999999</v>
      </c>
      <c r="Y162" s="56"/>
      <c r="Z162" s="14"/>
      <c r="AA162" s="55"/>
      <c r="AB162" s="49">
        <f>(B162*194.205+C162*267.466+D162*133.845+E162*53.484+F162*40+G162*185+H162*0+I162*100+J162*300)/(194.205+267.466+133.845+53.484+0+40+185+100+300)</f>
        <v>9.6190974836734711</v>
      </c>
      <c r="AC162" s="44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9.4699992805755393</v>
      </c>
    </row>
    <row r="163" spans="1:29" ht="15.75" x14ac:dyDescent="0.25">
      <c r="A163" s="13">
        <v>45839</v>
      </c>
      <c r="B163" s="14">
        <f>CHOOSE(CONTROL!$C$42, 9.4013, 9.4013) * CHOOSE(CONTROL!$C$21, $C$9, 100%, $E$9)</f>
        <v>9.4013000000000009</v>
      </c>
      <c r="C163" s="14">
        <f>CHOOSE(CONTROL!$C$42, 9.4094, 9.4094) * CHOOSE(CONTROL!$C$21, $C$9, 100%, $E$9)</f>
        <v>9.4093999999999998</v>
      </c>
      <c r="D163" s="14">
        <f>CHOOSE(CONTROL!$C$42, 9.6352, 9.6352) * CHOOSE(CONTROL!$C$21, $C$9, 100%, $E$9)</f>
        <v>9.6351999999999993</v>
      </c>
      <c r="E163" s="14">
        <f>CHOOSE(CONTROL!$C$42, 9.6666, 9.6666) * CHOOSE(CONTROL!$C$21, $C$9, 100%, $E$9)</f>
        <v>9.6666000000000007</v>
      </c>
      <c r="F163" s="14">
        <f>CHOOSE(CONTROL!$C$42, 9.4279, 9.4279)*CHOOSE(CONTROL!$C$21, $C$9, 100%, $E$9)</f>
        <v>9.4278999999999993</v>
      </c>
      <c r="G163" s="14">
        <f>CHOOSE(CONTROL!$C$42, 9.4451, 9.4451)*CHOOSE(CONTROL!$C$21, $C$9, 100%, $E$9)</f>
        <v>9.4451000000000001</v>
      </c>
      <c r="H163" s="14">
        <f>CHOOSE(CONTROL!$C$42, 9.6553, 9.6553) * CHOOSE(CONTROL!$C$21, $C$9, 100%, $E$9)</f>
        <v>9.6553000000000004</v>
      </c>
      <c r="I163" s="14">
        <f>CHOOSE(CONTROL!$C$42, 9.4623, 9.4623)* CHOOSE(CONTROL!$C$21, $C$9, 100%, $E$9)</f>
        <v>9.4623000000000008</v>
      </c>
      <c r="J163" s="14">
        <f>CHOOSE(CONTROL!$C$42, 9.4209, 9.4209)* CHOOSE(CONTROL!$C$21, $C$9, 100%, $E$9)</f>
        <v>9.4208999999999996</v>
      </c>
      <c r="K163" s="52">
        <f>CHOOSE(CONTROL!$C$42, 9.4584, 9.4584) * CHOOSE(CONTROL!$C$21, $C$9, 100%, $E$9)</f>
        <v>9.4583999999999993</v>
      </c>
      <c r="L163" s="14">
        <f>CHOOSE(CONTROL!$C$42, 10.2423, 10.2423) * CHOOSE(CONTROL!$C$21, $C$9, 100%, $E$9)</f>
        <v>10.2423</v>
      </c>
      <c r="M163" s="14">
        <f>CHOOSE(CONTROL!$C$42, 9.2356, 9.2356) * CHOOSE(CONTROL!$C$21, $C$9, 100%, $E$9)</f>
        <v>9.2355999999999998</v>
      </c>
      <c r="N163" s="14">
        <f>CHOOSE(CONTROL!$C$42, 9.2524, 9.2524) * CHOOSE(CONTROL!$C$21, $C$9, 100%, $E$9)</f>
        <v>9.2523999999999997</v>
      </c>
      <c r="O163" s="14">
        <f>CHOOSE(CONTROL!$C$42, 9.4651, 9.4651) * CHOOSE(CONTROL!$C$21, $C$9, 100%, $E$9)</f>
        <v>9.4650999999999996</v>
      </c>
      <c r="P163" s="14">
        <f>CHOOSE(CONTROL!$C$42, 9.2756, 9.2756) * CHOOSE(CONTROL!$C$21, $C$9, 100%, $E$9)</f>
        <v>9.2756000000000007</v>
      </c>
      <c r="Q163" s="14">
        <f>CHOOSE(CONTROL!$C$42, 10.0598, 10.0598) * CHOOSE(CONTROL!$C$21, $C$9, 100%, $E$9)</f>
        <v>10.059799999999999</v>
      </c>
      <c r="R163" s="14">
        <f>CHOOSE(CONTROL!$C$42, 10.672, 10.672) * CHOOSE(CONTROL!$C$21, $C$9, 100%, $E$9)</f>
        <v>10.672000000000001</v>
      </c>
      <c r="S163" s="14">
        <f>CHOOSE(CONTROL!$C$42, 9.0231, 9.0231) * CHOOSE(CONTROL!$C$21, $C$9, 100%, $E$9)</f>
        <v>9.0230999999999995</v>
      </c>
      <c r="T16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56">
        <f>(1000*CHOOSE(CONTROL!$C$42, 695, 695)*CHOOSE(CONTROL!$C$42, 0.5599, 0.5599)*CHOOSE(CONTROL!$C$42, 31, 31))/1000000</f>
        <v>12.063045499999998</v>
      </c>
      <c r="V163" s="56">
        <f>(1000*CHOOSE(CONTROL!$C$42, 500, 500)*CHOOSE(CONTROL!$C$42, 0.275, 0.275)*CHOOSE(CONTROL!$C$42, 31, 31))/1000000</f>
        <v>4.2625000000000002</v>
      </c>
      <c r="W163" s="56">
        <f>(1000*CHOOSE(CONTROL!$C$42, 0.1146, 0.1146)*CHOOSE(CONTROL!$C$42, 121.5, 121.5)*CHOOSE(CONTROL!$C$42, 31, 31))/1000000</f>
        <v>0.43164089999999994</v>
      </c>
      <c r="X163" s="56">
        <f>(31*0.1790888*245000/1000000)+(31*0.2374*100000/1000000)</f>
        <v>2.0961194359999999</v>
      </c>
      <c r="Y163" s="56"/>
      <c r="Z163" s="14"/>
      <c r="AA163" s="55"/>
      <c r="AB163" s="49">
        <f>(B163*194.205+C163*267.466+D163*133.845+E163*53.484+F163*40+G163*185+H163*0+I163*100+J163*300)/(194.205+267.466+133.845+53.484+0+40+185+100+300)</f>
        <v>9.455310302433281</v>
      </c>
      <c r="AC163" s="44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9.3096151079136682</v>
      </c>
    </row>
    <row r="164" spans="1:29" ht="15.75" x14ac:dyDescent="0.25">
      <c r="A164" s="13">
        <v>45870</v>
      </c>
      <c r="B164" s="14">
        <f>CHOOSE(CONTROL!$C$42, 8.9559, 8.9559) * CHOOSE(CONTROL!$C$21, $C$9, 100%, $E$9)</f>
        <v>8.9558999999999997</v>
      </c>
      <c r="C164" s="14">
        <f>CHOOSE(CONTROL!$C$42, 8.964, 8.964) * CHOOSE(CONTROL!$C$21, $C$9, 100%, $E$9)</f>
        <v>8.9640000000000004</v>
      </c>
      <c r="D164" s="14">
        <f>CHOOSE(CONTROL!$C$42, 9.1898, 9.1898) * CHOOSE(CONTROL!$C$21, $C$9, 100%, $E$9)</f>
        <v>9.1898</v>
      </c>
      <c r="E164" s="14">
        <f>CHOOSE(CONTROL!$C$42, 9.2212, 9.2212) * CHOOSE(CONTROL!$C$21, $C$9, 100%, $E$9)</f>
        <v>9.2211999999999996</v>
      </c>
      <c r="F164" s="14">
        <f>CHOOSE(CONTROL!$C$42, 8.9828, 8.9828)*CHOOSE(CONTROL!$C$21, $C$9, 100%, $E$9)</f>
        <v>8.9827999999999992</v>
      </c>
      <c r="G164" s="14">
        <f>CHOOSE(CONTROL!$C$42, 9, 9)*CHOOSE(CONTROL!$C$21, $C$9, 100%, $E$9)</f>
        <v>9</v>
      </c>
      <c r="H164" s="14">
        <f>CHOOSE(CONTROL!$C$42, 9.2099, 9.2099) * CHOOSE(CONTROL!$C$21, $C$9, 100%, $E$9)</f>
        <v>9.2098999999999993</v>
      </c>
      <c r="I164" s="14">
        <f>CHOOSE(CONTROL!$C$42, 9.0155, 9.0155)* CHOOSE(CONTROL!$C$21, $C$9, 100%, $E$9)</f>
        <v>9.0154999999999994</v>
      </c>
      <c r="J164" s="14">
        <f>CHOOSE(CONTROL!$C$42, 8.9758, 8.9758)* CHOOSE(CONTROL!$C$21, $C$9, 100%, $E$9)</f>
        <v>8.9757999999999996</v>
      </c>
      <c r="K164" s="52">
        <f>CHOOSE(CONTROL!$C$42, 9.0116, 9.0116) * CHOOSE(CONTROL!$C$21, $C$9, 100%, $E$9)</f>
        <v>9.0115999999999996</v>
      </c>
      <c r="L164" s="14">
        <f>CHOOSE(CONTROL!$C$42, 9.7969, 9.7969) * CHOOSE(CONTROL!$C$21, $C$9, 100%, $E$9)</f>
        <v>9.7969000000000008</v>
      </c>
      <c r="M164" s="14">
        <f>CHOOSE(CONTROL!$C$42, 8.7995, 8.7995) * CHOOSE(CONTROL!$C$21, $C$9, 100%, $E$9)</f>
        <v>8.7995000000000001</v>
      </c>
      <c r="N164" s="14">
        <f>CHOOSE(CONTROL!$C$42, 8.8164, 8.8164) * CHOOSE(CONTROL!$C$21, $C$9, 100%, $E$9)</f>
        <v>8.8163999999999998</v>
      </c>
      <c r="O164" s="14">
        <f>CHOOSE(CONTROL!$C$42, 9.0288, 9.0288) * CHOOSE(CONTROL!$C$21, $C$9, 100%, $E$9)</f>
        <v>9.0288000000000004</v>
      </c>
      <c r="P164" s="14">
        <f>CHOOSE(CONTROL!$C$42, 8.838, 8.838) * CHOOSE(CONTROL!$C$21, $C$9, 100%, $E$9)</f>
        <v>8.8379999999999992</v>
      </c>
      <c r="Q164" s="14">
        <f>CHOOSE(CONTROL!$C$42, 9.6235, 9.6235) * CHOOSE(CONTROL!$C$21, $C$9, 100%, $E$9)</f>
        <v>9.6234999999999999</v>
      </c>
      <c r="R164" s="14">
        <f>CHOOSE(CONTROL!$C$42, 10.2346, 10.2346) * CHOOSE(CONTROL!$C$21, $C$9, 100%, $E$9)</f>
        <v>10.2346</v>
      </c>
      <c r="S164" s="14">
        <f>CHOOSE(CONTROL!$C$42, 8.5951, 8.5951) * CHOOSE(CONTROL!$C$21, $C$9, 100%, $E$9)</f>
        <v>8.5951000000000004</v>
      </c>
      <c r="T16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56">
        <f>(1000*CHOOSE(CONTROL!$C$42, 695, 695)*CHOOSE(CONTROL!$C$42, 0.5599, 0.5599)*CHOOSE(CONTROL!$C$42, 31, 31))/1000000</f>
        <v>12.063045499999998</v>
      </c>
      <c r="V164" s="56">
        <f>(1000*CHOOSE(CONTROL!$C$42, 500, 500)*CHOOSE(CONTROL!$C$42, 0.275, 0.275)*CHOOSE(CONTROL!$C$42, 31, 31))/1000000</f>
        <v>4.2625000000000002</v>
      </c>
      <c r="W164" s="56">
        <f>(1000*CHOOSE(CONTROL!$C$42, 0.1146, 0.1146)*CHOOSE(CONTROL!$C$42, 121.5, 121.5)*CHOOSE(CONTROL!$C$42, 31, 31))/1000000</f>
        <v>0.43164089999999994</v>
      </c>
      <c r="X164" s="56">
        <f>(31*0.1790888*245000/1000000)+(31*0.2374*100000/1000000)</f>
        <v>2.0961194359999999</v>
      </c>
      <c r="Y164" s="56"/>
      <c r="Z164" s="14"/>
      <c r="AA164" s="55"/>
      <c r="AB164" s="49">
        <f>(B164*194.205+C164*267.466+D164*133.845+E164*53.484+F164*40+G164*185+H164*0+I164*100+J164*300)/(194.205+267.466+133.845+53.484+0+40+185+100+300)</f>
        <v>9.009924038697017</v>
      </c>
      <c r="AC164" s="44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8.8732661870503602</v>
      </c>
    </row>
    <row r="165" spans="1:29" ht="15.75" x14ac:dyDescent="0.25">
      <c r="A165" s="13">
        <v>45901</v>
      </c>
      <c r="B165" s="14">
        <f>CHOOSE(CONTROL!$C$42, 8.4051, 8.4051) * CHOOSE(CONTROL!$C$21, $C$9, 100%, $E$9)</f>
        <v>8.4050999999999991</v>
      </c>
      <c r="C165" s="14">
        <f>CHOOSE(CONTROL!$C$42, 8.4132, 8.4132) * CHOOSE(CONTROL!$C$21, $C$9, 100%, $E$9)</f>
        <v>8.4131999999999998</v>
      </c>
      <c r="D165" s="14">
        <f>CHOOSE(CONTROL!$C$42, 8.6389, 8.6389) * CHOOSE(CONTROL!$C$21, $C$9, 100%, $E$9)</f>
        <v>8.6388999999999996</v>
      </c>
      <c r="E165" s="14">
        <f>CHOOSE(CONTROL!$C$42, 8.6704, 8.6704) * CHOOSE(CONTROL!$C$21, $C$9, 100%, $E$9)</f>
        <v>8.6704000000000008</v>
      </c>
      <c r="F165" s="14">
        <f>CHOOSE(CONTROL!$C$42, 8.4319, 8.4319)*CHOOSE(CONTROL!$C$21, $C$9, 100%, $E$9)</f>
        <v>8.4319000000000006</v>
      </c>
      <c r="G165" s="14">
        <f>CHOOSE(CONTROL!$C$42, 8.4492, 8.4492)*CHOOSE(CONTROL!$C$21, $C$9, 100%, $E$9)</f>
        <v>8.4491999999999994</v>
      </c>
      <c r="H165" s="14">
        <f>CHOOSE(CONTROL!$C$42, 8.659, 8.659) * CHOOSE(CONTROL!$C$21, $C$9, 100%, $E$9)</f>
        <v>8.6590000000000007</v>
      </c>
      <c r="I165" s="14">
        <f>CHOOSE(CONTROL!$C$42, 8.463, 8.463)* CHOOSE(CONTROL!$C$21, $C$9, 100%, $E$9)</f>
        <v>8.4629999999999992</v>
      </c>
      <c r="J165" s="14">
        <f>CHOOSE(CONTROL!$C$42, 8.4249, 8.4249)* CHOOSE(CONTROL!$C$21, $C$9, 100%, $E$9)</f>
        <v>8.4248999999999992</v>
      </c>
      <c r="K165" s="52">
        <f>CHOOSE(CONTROL!$C$42, 8.4591, 8.4591) * CHOOSE(CONTROL!$C$21, $C$9, 100%, $E$9)</f>
        <v>8.4590999999999994</v>
      </c>
      <c r="L165" s="14">
        <f>CHOOSE(CONTROL!$C$42, 9.246, 9.246) * CHOOSE(CONTROL!$C$21, $C$9, 100%, $E$9)</f>
        <v>9.2460000000000004</v>
      </c>
      <c r="M165" s="14">
        <f>CHOOSE(CONTROL!$C$42, 8.26, 8.26) * CHOOSE(CONTROL!$C$21, $C$9, 100%, $E$9)</f>
        <v>8.26</v>
      </c>
      <c r="N165" s="14">
        <f>CHOOSE(CONTROL!$C$42, 8.2769, 8.2769) * CHOOSE(CONTROL!$C$21, $C$9, 100%, $E$9)</f>
        <v>8.2768999999999995</v>
      </c>
      <c r="O165" s="14">
        <f>CHOOSE(CONTROL!$C$42, 8.4893, 8.4893) * CHOOSE(CONTROL!$C$21, $C$9, 100%, $E$9)</f>
        <v>8.4893000000000001</v>
      </c>
      <c r="P165" s="14">
        <f>CHOOSE(CONTROL!$C$42, 8.2968, 8.2968) * CHOOSE(CONTROL!$C$21, $C$9, 100%, $E$9)</f>
        <v>8.2967999999999993</v>
      </c>
      <c r="Q165" s="14">
        <f>CHOOSE(CONTROL!$C$42, 9.084, 9.084) * CHOOSE(CONTROL!$C$21, $C$9, 100%, $E$9)</f>
        <v>9.0839999999999996</v>
      </c>
      <c r="R165" s="14">
        <f>CHOOSE(CONTROL!$C$42, 9.6937, 9.6937) * CHOOSE(CONTROL!$C$21, $C$9, 100%, $E$9)</f>
        <v>9.6936999999999998</v>
      </c>
      <c r="S165" s="14">
        <f>CHOOSE(CONTROL!$C$42, 8.0659, 8.0659) * CHOOSE(CONTROL!$C$21, $C$9, 100%, $E$9)</f>
        <v>8.0658999999999992</v>
      </c>
      <c r="T16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56">
        <f>(1000*CHOOSE(CONTROL!$C$42, 695, 695)*CHOOSE(CONTROL!$C$42, 0.5599, 0.5599)*CHOOSE(CONTROL!$C$42, 30, 30))/1000000</f>
        <v>11.673914999999997</v>
      </c>
      <c r="V165" s="56">
        <f>(1000*CHOOSE(CONTROL!$C$42, 500, 500)*CHOOSE(CONTROL!$C$42, 0.275, 0.275)*CHOOSE(CONTROL!$C$42, 30, 30))/1000000</f>
        <v>4.125</v>
      </c>
      <c r="W165" s="56">
        <f>(1000*CHOOSE(CONTROL!$C$42, 0.1146, 0.1146)*CHOOSE(CONTROL!$C$42, 121.5, 121.5)*CHOOSE(CONTROL!$C$42, 30, 30))/1000000</f>
        <v>0.417717</v>
      </c>
      <c r="X165" s="56">
        <f>(30*0.1790888*245000/1000000)+(30*0.2374*100000/1000000)</f>
        <v>2.0285026799999999</v>
      </c>
      <c r="Y165" s="56"/>
      <c r="Z165" s="14"/>
      <c r="AA165" s="55"/>
      <c r="AB165" s="49">
        <f>(B165*194.205+C165*267.466+D165*133.845+E165*53.484+F165*40+G165*185+H165*0+I165*100+J165*300)/(194.205+267.466+133.845+53.484+0+40+185+100+300)</f>
        <v>8.4589534072213493</v>
      </c>
      <c r="AC165" s="44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8.3335215827338143</v>
      </c>
    </row>
    <row r="166" spans="1:29" ht="15.75" x14ac:dyDescent="0.25">
      <c r="A166" s="13">
        <v>45931</v>
      </c>
      <c r="B166" s="14">
        <f>CHOOSE(CONTROL!$C$42, 8.2499, 8.2499) * CHOOSE(CONTROL!$C$21, $C$9, 100%, $E$9)</f>
        <v>8.2499000000000002</v>
      </c>
      <c r="C166" s="14">
        <f>CHOOSE(CONTROL!$C$42, 8.2552, 8.2552) * CHOOSE(CONTROL!$C$21, $C$9, 100%, $E$9)</f>
        <v>8.2552000000000003</v>
      </c>
      <c r="D166" s="14">
        <f>CHOOSE(CONTROL!$C$42, 8.486, 8.486) * CHOOSE(CONTROL!$C$21, $C$9, 100%, $E$9)</f>
        <v>8.4860000000000007</v>
      </c>
      <c r="E166" s="14">
        <f>CHOOSE(CONTROL!$C$42, 8.5151, 8.5151) * CHOOSE(CONTROL!$C$21, $C$9, 100%, $E$9)</f>
        <v>8.5151000000000003</v>
      </c>
      <c r="F166" s="14">
        <f>CHOOSE(CONTROL!$C$42, 8.2788, 8.2788)*CHOOSE(CONTROL!$C$21, $C$9, 100%, $E$9)</f>
        <v>8.2788000000000004</v>
      </c>
      <c r="G166" s="14">
        <f>CHOOSE(CONTROL!$C$42, 8.2959, 8.2959)*CHOOSE(CONTROL!$C$21, $C$9, 100%, $E$9)</f>
        <v>8.2958999999999996</v>
      </c>
      <c r="H166" s="14">
        <f>CHOOSE(CONTROL!$C$42, 8.5056, 8.5056) * CHOOSE(CONTROL!$C$21, $C$9, 100%, $E$9)</f>
        <v>8.5055999999999994</v>
      </c>
      <c r="I166" s="14">
        <f>CHOOSE(CONTROL!$C$42, 8.309, 8.309)* CHOOSE(CONTROL!$C$21, $C$9, 100%, $E$9)</f>
        <v>8.3089999999999993</v>
      </c>
      <c r="J166" s="14">
        <f>CHOOSE(CONTROL!$C$42, 8.2718, 8.2718)* CHOOSE(CONTROL!$C$21, $C$9, 100%, $E$9)</f>
        <v>8.2718000000000007</v>
      </c>
      <c r="K166" s="52">
        <f>CHOOSE(CONTROL!$C$42, 8.3051, 8.3051) * CHOOSE(CONTROL!$C$21, $C$9, 100%, $E$9)</f>
        <v>8.3050999999999995</v>
      </c>
      <c r="L166" s="14">
        <f>CHOOSE(CONTROL!$C$42, 9.0926, 9.0926) * CHOOSE(CONTROL!$C$21, $C$9, 100%, $E$9)</f>
        <v>9.0925999999999991</v>
      </c>
      <c r="M166" s="14">
        <f>CHOOSE(CONTROL!$C$42, 8.11, 8.11) * CHOOSE(CONTROL!$C$21, $C$9, 100%, $E$9)</f>
        <v>8.11</v>
      </c>
      <c r="N166" s="14">
        <f>CHOOSE(CONTROL!$C$42, 8.1267, 8.1267) * CHOOSE(CONTROL!$C$21, $C$9, 100%, $E$9)</f>
        <v>8.1266999999999996</v>
      </c>
      <c r="O166" s="14">
        <f>CHOOSE(CONTROL!$C$42, 8.339, 8.339) * CHOOSE(CONTROL!$C$21, $C$9, 100%, $E$9)</f>
        <v>8.3390000000000004</v>
      </c>
      <c r="P166" s="14">
        <f>CHOOSE(CONTROL!$C$42, 8.146, 8.146) * CHOOSE(CONTROL!$C$21, $C$9, 100%, $E$9)</f>
        <v>8.1460000000000008</v>
      </c>
      <c r="Q166" s="14">
        <f>CHOOSE(CONTROL!$C$42, 8.9337, 8.9337) * CHOOSE(CONTROL!$C$21, $C$9, 100%, $E$9)</f>
        <v>8.9337</v>
      </c>
      <c r="R166" s="14">
        <f>CHOOSE(CONTROL!$C$42, 9.543, 9.543) * CHOOSE(CONTROL!$C$21, $C$9, 100%, $E$9)</f>
        <v>9.5429999999999993</v>
      </c>
      <c r="S166" s="14">
        <f>CHOOSE(CONTROL!$C$42, 7.9184, 7.9184) * CHOOSE(CONTROL!$C$21, $C$9, 100%, $E$9)</f>
        <v>7.9184000000000001</v>
      </c>
      <c r="T16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56">
        <f>(1000*CHOOSE(CONTROL!$C$42, 695, 695)*CHOOSE(CONTROL!$C$42, 0.5599, 0.5599)*CHOOSE(CONTROL!$C$42, 31, 31))/1000000</f>
        <v>12.063045499999998</v>
      </c>
      <c r="V166" s="56">
        <f>(1000*CHOOSE(CONTROL!$C$42, 500, 500)*CHOOSE(CONTROL!$C$42, 0.275, 0.275)*CHOOSE(CONTROL!$C$42, 31, 31))/1000000</f>
        <v>4.2625000000000002</v>
      </c>
      <c r="W166" s="56">
        <f>(1000*CHOOSE(CONTROL!$C$42, 0.1146, 0.1146)*CHOOSE(CONTROL!$C$42, 121.5, 121.5)*CHOOSE(CONTROL!$C$42, 31, 31))/1000000</f>
        <v>0.43164089999999994</v>
      </c>
      <c r="X166" s="56">
        <f>(31*0.1790888*245000/1000000)+(31*0.2374*100000/1000000)</f>
        <v>2.0961194359999999</v>
      </c>
      <c r="Y166" s="56"/>
      <c r="Z166" s="14"/>
      <c r="AA166" s="55"/>
      <c r="AB166" s="49">
        <f>(B166*131.881+C166*277.167+D166*79.08+E166*125.872+F166*40+G166*185+H166*0+I166*100+J166*300)/(131.881+277.167+79.08+125.872+0+40+185+100+300)</f>
        <v>8.3109710472154976</v>
      </c>
      <c r="AC166" s="44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8.183276258992807</v>
      </c>
    </row>
    <row r="167" spans="1:29" ht="15.75" x14ac:dyDescent="0.25">
      <c r="A167" s="13">
        <v>45962</v>
      </c>
      <c r="B167" s="14">
        <f>CHOOSE(CONTROL!$C$42, 8.484, 8.484) * CHOOSE(CONTROL!$C$21, $C$9, 100%, $E$9)</f>
        <v>8.484</v>
      </c>
      <c r="C167" s="14">
        <f>CHOOSE(CONTROL!$C$42, 8.489, 8.489) * CHOOSE(CONTROL!$C$21, $C$9, 100%, $E$9)</f>
        <v>8.4890000000000008</v>
      </c>
      <c r="D167" s="14">
        <f>CHOOSE(CONTROL!$C$42, 8.5581, 8.5581) * CHOOSE(CONTROL!$C$21, $C$9, 100%, $E$9)</f>
        <v>8.5580999999999996</v>
      </c>
      <c r="E167" s="14">
        <f>CHOOSE(CONTROL!$C$42, 8.5922, 8.5922) * CHOOSE(CONTROL!$C$21, $C$9, 100%, $E$9)</f>
        <v>8.5922000000000001</v>
      </c>
      <c r="F167" s="14">
        <f>CHOOSE(CONTROL!$C$42, 8.5196, 8.5196)*CHOOSE(CONTROL!$C$21, $C$9, 100%, $E$9)</f>
        <v>8.5196000000000005</v>
      </c>
      <c r="G167" s="14">
        <f>CHOOSE(CONTROL!$C$42, 8.537, 8.537)*CHOOSE(CONTROL!$C$21, $C$9, 100%, $E$9)</f>
        <v>8.5370000000000008</v>
      </c>
      <c r="H167" s="14">
        <f>CHOOSE(CONTROL!$C$42, 8.5814, 8.5814) * CHOOSE(CONTROL!$C$21, $C$9, 100%, $E$9)</f>
        <v>8.5814000000000004</v>
      </c>
      <c r="I167" s="14">
        <f>CHOOSE(CONTROL!$C$42, 8.5469, 8.5469)* CHOOSE(CONTROL!$C$21, $C$9, 100%, $E$9)</f>
        <v>8.5469000000000008</v>
      </c>
      <c r="J167" s="14">
        <f>CHOOSE(CONTROL!$C$42, 8.5126, 8.5126)* CHOOSE(CONTROL!$C$21, $C$9, 100%, $E$9)</f>
        <v>8.5126000000000008</v>
      </c>
      <c r="K167" s="52">
        <f>CHOOSE(CONTROL!$C$42, 8.543, 8.543) * CHOOSE(CONTROL!$C$21, $C$9, 100%, $E$9)</f>
        <v>8.5429999999999993</v>
      </c>
      <c r="L167" s="14">
        <f>CHOOSE(CONTROL!$C$42, 9.1684, 9.1684) * CHOOSE(CONTROL!$C$21, $C$9, 100%, $E$9)</f>
        <v>9.1684000000000001</v>
      </c>
      <c r="M167" s="14">
        <f>CHOOSE(CONTROL!$C$42, 8.3458, 8.3458) * CHOOSE(CONTROL!$C$21, $C$9, 100%, $E$9)</f>
        <v>8.3458000000000006</v>
      </c>
      <c r="N167" s="14">
        <f>CHOOSE(CONTROL!$C$42, 8.3629, 8.3629) * CHOOSE(CONTROL!$C$21, $C$9, 100%, $E$9)</f>
        <v>8.3628999999999998</v>
      </c>
      <c r="O167" s="14">
        <f>CHOOSE(CONTROL!$C$42, 8.4132, 8.4132) * CHOOSE(CONTROL!$C$21, $C$9, 100%, $E$9)</f>
        <v>8.4131999999999998</v>
      </c>
      <c r="P167" s="14">
        <f>CHOOSE(CONTROL!$C$42, 8.379, 8.379) * CHOOSE(CONTROL!$C$21, $C$9, 100%, $E$9)</f>
        <v>8.3789999999999996</v>
      </c>
      <c r="Q167" s="14">
        <f>CHOOSE(CONTROL!$C$42, 9.0079, 9.0079) * CHOOSE(CONTROL!$C$21, $C$9, 100%, $E$9)</f>
        <v>9.0078999999999994</v>
      </c>
      <c r="R167" s="14">
        <f>CHOOSE(CONTROL!$C$42, 9.6174, 9.6174) * CHOOSE(CONTROL!$C$21, $C$9, 100%, $E$9)</f>
        <v>9.6173999999999999</v>
      </c>
      <c r="S167" s="14">
        <f>CHOOSE(CONTROL!$C$42, 8.1437, 8.1437) * CHOOSE(CONTROL!$C$21, $C$9, 100%, $E$9)</f>
        <v>8.1437000000000008</v>
      </c>
      <c r="T16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56">
        <f>(1000*CHOOSE(CONTROL!$C$42, 695, 695)*CHOOSE(CONTROL!$C$42, 0.5599, 0.5599)*CHOOSE(CONTROL!$C$42, 30, 30))/1000000</f>
        <v>11.673914999999997</v>
      </c>
      <c r="V167" s="56">
        <f>(1000*CHOOSE(CONTROL!$C$42, 500, 500)*CHOOSE(CONTROL!$C$42, 0.275, 0.275)*CHOOSE(CONTROL!$C$42, 30, 30))/1000000</f>
        <v>4.125</v>
      </c>
      <c r="W167" s="56">
        <f>(1000*CHOOSE(CONTROL!$C$42, 0.1146, 0.1146)*CHOOSE(CONTROL!$C$42, 121.5, 121.5)*CHOOSE(CONTROL!$C$42, 30, 30))/1000000</f>
        <v>0.417717</v>
      </c>
      <c r="X167" s="56">
        <f>(30*0.1790888*100000/1000000)+(30*0.2374*100000/1000000)</f>
        <v>1.2494664</v>
      </c>
      <c r="Y167" s="56"/>
      <c r="Z167" s="14"/>
      <c r="AA167" s="55"/>
      <c r="AB167" s="49">
        <f>(B167*122.58+C167*297.941+D167*89.177+E167*40.302+F167*40+G167*160+H167*0+I167*100+J167*300)/(122.58+297.941+89.177+40.302+0+40+160+100+300)</f>
        <v>8.51637599747826</v>
      </c>
      <c r="AC167" s="44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8.3821093525179862</v>
      </c>
    </row>
    <row r="168" spans="1:29" ht="15.75" x14ac:dyDescent="0.25">
      <c r="A168" s="13">
        <v>45992</v>
      </c>
      <c r="B168" s="14">
        <f>CHOOSE(CONTROL!$C$42, 9.0804, 9.0804) * CHOOSE(CONTROL!$C$21, $C$9, 100%, $E$9)</f>
        <v>9.0803999999999991</v>
      </c>
      <c r="C168" s="14">
        <f>CHOOSE(CONTROL!$C$42, 9.0855, 9.0855) * CHOOSE(CONTROL!$C$21, $C$9, 100%, $E$9)</f>
        <v>9.0854999999999997</v>
      </c>
      <c r="D168" s="14">
        <f>CHOOSE(CONTROL!$C$42, 9.1545, 9.1545) * CHOOSE(CONTROL!$C$21, $C$9, 100%, $E$9)</f>
        <v>9.1545000000000005</v>
      </c>
      <c r="E168" s="14">
        <f>CHOOSE(CONTROL!$C$42, 9.1886, 9.1886) * CHOOSE(CONTROL!$C$21, $C$9, 100%, $E$9)</f>
        <v>9.1885999999999992</v>
      </c>
      <c r="F168" s="14">
        <f>CHOOSE(CONTROL!$C$42, 9.1182, 9.1182)*CHOOSE(CONTROL!$C$21, $C$9, 100%, $E$9)</f>
        <v>9.1181999999999999</v>
      </c>
      <c r="G168" s="14">
        <f>CHOOSE(CONTROL!$C$42, 9.1362, 9.1362)*CHOOSE(CONTROL!$C$21, $C$9, 100%, $E$9)</f>
        <v>9.1362000000000005</v>
      </c>
      <c r="H168" s="14">
        <f>CHOOSE(CONTROL!$C$42, 9.1778, 9.1778) * CHOOSE(CONTROL!$C$21, $C$9, 100%, $E$9)</f>
        <v>9.1777999999999995</v>
      </c>
      <c r="I168" s="14">
        <f>CHOOSE(CONTROL!$C$42, 9.1452, 9.1452)* CHOOSE(CONTROL!$C$21, $C$9, 100%, $E$9)</f>
        <v>9.1452000000000009</v>
      </c>
      <c r="J168" s="14">
        <f>CHOOSE(CONTROL!$C$42, 9.1112, 9.1112)* CHOOSE(CONTROL!$C$21, $C$9, 100%, $E$9)</f>
        <v>9.1112000000000002</v>
      </c>
      <c r="K168" s="52">
        <f>CHOOSE(CONTROL!$C$42, 9.1413, 9.1413) * CHOOSE(CONTROL!$C$21, $C$9, 100%, $E$9)</f>
        <v>9.1412999999999993</v>
      </c>
      <c r="L168" s="14">
        <f>CHOOSE(CONTROL!$C$42, 9.7648, 9.7648) * CHOOSE(CONTROL!$C$21, $C$9, 100%, $E$9)</f>
        <v>9.7647999999999993</v>
      </c>
      <c r="M168" s="14">
        <f>CHOOSE(CONTROL!$C$42, 8.9322, 8.9322) * CHOOSE(CONTROL!$C$21, $C$9, 100%, $E$9)</f>
        <v>8.9321999999999999</v>
      </c>
      <c r="N168" s="14">
        <f>CHOOSE(CONTROL!$C$42, 8.9499, 8.9499) * CHOOSE(CONTROL!$C$21, $C$9, 100%, $E$9)</f>
        <v>8.9498999999999995</v>
      </c>
      <c r="O168" s="14">
        <f>CHOOSE(CONTROL!$C$42, 8.9974, 8.9974) * CHOOSE(CONTROL!$C$21, $C$9, 100%, $E$9)</f>
        <v>8.9974000000000007</v>
      </c>
      <c r="P168" s="14">
        <f>CHOOSE(CONTROL!$C$42, 8.965, 8.965) * CHOOSE(CONTROL!$C$21, $C$9, 100%, $E$9)</f>
        <v>8.9649999999999999</v>
      </c>
      <c r="Q168" s="14">
        <f>CHOOSE(CONTROL!$C$42, 9.5921, 9.5921) * CHOOSE(CONTROL!$C$21, $C$9, 100%, $E$9)</f>
        <v>9.5921000000000003</v>
      </c>
      <c r="R168" s="14">
        <f>CHOOSE(CONTROL!$C$42, 10.2031, 10.2031) * CHOOSE(CONTROL!$C$21, $C$9, 100%, $E$9)</f>
        <v>10.203099999999999</v>
      </c>
      <c r="S168" s="14">
        <f>CHOOSE(CONTROL!$C$42, 8.7168, 8.7168) * CHOOSE(CONTROL!$C$21, $C$9, 100%, $E$9)</f>
        <v>8.7167999999999992</v>
      </c>
      <c r="T16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56">
        <f>(1000*CHOOSE(CONTROL!$C$42, 695, 695)*CHOOSE(CONTROL!$C$42, 0.5599, 0.5599)*CHOOSE(CONTROL!$C$42, 31, 31))/1000000</f>
        <v>12.063045499999998</v>
      </c>
      <c r="V168" s="56">
        <f>(1000*CHOOSE(CONTROL!$C$42, 500, 500)*CHOOSE(CONTROL!$C$42, 0.275, 0.275)*CHOOSE(CONTROL!$C$42, 31, 31))/1000000</f>
        <v>4.2625000000000002</v>
      </c>
      <c r="W168" s="56">
        <f>(1000*CHOOSE(CONTROL!$C$42, 0.1146, 0.1146)*CHOOSE(CONTROL!$C$42, 121.5, 121.5)*CHOOSE(CONTROL!$C$42, 31, 31))/1000000</f>
        <v>0.43164089999999994</v>
      </c>
      <c r="X168" s="56">
        <f>(31*0.1790888*100000/1000000)+(31*0.2374*100000/1000000)</f>
        <v>1.2911152800000001</v>
      </c>
      <c r="Y168" s="56"/>
      <c r="Z168" s="14"/>
      <c r="AA168" s="55"/>
      <c r="AB168" s="49">
        <f>(B168*122.58+C168*297.941+D168*89.177+E168*40.302+F168*40+G168*160+H168*0+I168*100+J168*300)/(122.58+297.941+89.177+40.302+0+40+160+100+300)</f>
        <v>9.1140071227826098</v>
      </c>
      <c r="AC168" s="44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8.9674892086330953</v>
      </c>
    </row>
    <row r="169" spans="1:29" ht="15.75" x14ac:dyDescent="0.25">
      <c r="A169" s="13">
        <v>46023</v>
      </c>
      <c r="B169" s="14">
        <f>CHOOSE(CONTROL!$C$42, 9.5874, 9.5874) * CHOOSE(CONTROL!$C$21, $C$9, 100%, $E$9)</f>
        <v>9.5874000000000006</v>
      </c>
      <c r="C169" s="14">
        <f>CHOOSE(CONTROL!$C$42, 9.5924, 9.5924) * CHOOSE(CONTROL!$C$21, $C$9, 100%, $E$9)</f>
        <v>9.5923999999999996</v>
      </c>
      <c r="D169" s="14">
        <f>CHOOSE(CONTROL!$C$42, 9.6719, 9.6719) * CHOOSE(CONTROL!$C$21, $C$9, 100%, $E$9)</f>
        <v>9.6719000000000008</v>
      </c>
      <c r="E169" s="14">
        <f>CHOOSE(CONTROL!$C$42, 9.706, 9.706) * CHOOSE(CONTROL!$C$21, $C$9, 100%, $E$9)</f>
        <v>9.7059999999999995</v>
      </c>
      <c r="F169" s="14">
        <f>CHOOSE(CONTROL!$C$42, 9.6104, 9.6104)*CHOOSE(CONTROL!$C$21, $C$9, 100%, $E$9)</f>
        <v>9.6104000000000003</v>
      </c>
      <c r="G169" s="14">
        <f>CHOOSE(CONTROL!$C$42, 9.6279, 9.6279)*CHOOSE(CONTROL!$C$21, $C$9, 100%, $E$9)</f>
        <v>9.6279000000000003</v>
      </c>
      <c r="H169" s="14">
        <f>CHOOSE(CONTROL!$C$42, 9.6952, 9.6952) * CHOOSE(CONTROL!$C$21, $C$9, 100%, $E$9)</f>
        <v>9.6951999999999998</v>
      </c>
      <c r="I169" s="14">
        <f>CHOOSE(CONTROL!$C$42, 9.6527, 9.6527)* CHOOSE(CONTROL!$C$21, $C$9, 100%, $E$9)</f>
        <v>9.6526999999999994</v>
      </c>
      <c r="J169" s="14">
        <f>CHOOSE(CONTROL!$C$42, 9.6034, 9.6034)* CHOOSE(CONTROL!$C$21, $C$9, 100%, $E$9)</f>
        <v>9.6034000000000006</v>
      </c>
      <c r="K169" s="52">
        <f>CHOOSE(CONTROL!$C$42, 9.6488, 9.6488) * CHOOSE(CONTROL!$C$21, $C$9, 100%, $E$9)</f>
        <v>9.6487999999999996</v>
      </c>
      <c r="L169" s="14">
        <f>CHOOSE(CONTROL!$C$42, 10.2822, 10.2822) * CHOOSE(CONTROL!$C$21, $C$9, 100%, $E$9)</f>
        <v>10.2822</v>
      </c>
      <c r="M169" s="14">
        <f>CHOOSE(CONTROL!$C$42, 9.4143, 9.4143) * CHOOSE(CONTROL!$C$21, $C$9, 100%, $E$9)</f>
        <v>9.4143000000000008</v>
      </c>
      <c r="N169" s="14">
        <f>CHOOSE(CONTROL!$C$42, 9.4315, 9.4315) * CHOOSE(CONTROL!$C$21, $C$9, 100%, $E$9)</f>
        <v>9.4314999999999998</v>
      </c>
      <c r="O169" s="14">
        <f>CHOOSE(CONTROL!$C$42, 9.5042, 9.5042) * CHOOSE(CONTROL!$C$21, $C$9, 100%, $E$9)</f>
        <v>9.5042000000000009</v>
      </c>
      <c r="P169" s="14">
        <f>CHOOSE(CONTROL!$C$42, 9.4621, 9.4621) * CHOOSE(CONTROL!$C$21, $C$9, 100%, $E$9)</f>
        <v>9.4620999999999995</v>
      </c>
      <c r="Q169" s="14">
        <f>CHOOSE(CONTROL!$C$42, 10.0989, 10.0989) * CHOOSE(CONTROL!$C$21, $C$9, 100%, $E$9)</f>
        <v>10.0989</v>
      </c>
      <c r="R169" s="14">
        <f>CHOOSE(CONTROL!$C$42, 10.7112, 10.7112) * CHOOSE(CONTROL!$C$21, $C$9, 100%, $E$9)</f>
        <v>10.7112</v>
      </c>
      <c r="S169" s="14">
        <f>CHOOSE(CONTROL!$C$42, 9.204, 9.204) * CHOOSE(CONTROL!$C$21, $C$9, 100%, $E$9)</f>
        <v>9.2040000000000006</v>
      </c>
      <c r="T16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56">
        <f>(1000*CHOOSE(CONTROL!$C$42, 695, 695)*CHOOSE(CONTROL!$C$42, 0.5599, 0.5599)*CHOOSE(CONTROL!$C$42, 31, 31))/1000000</f>
        <v>12.063045499999998</v>
      </c>
      <c r="V169" s="56">
        <f>(1000*CHOOSE(CONTROL!$C$42, 500, 500)*CHOOSE(CONTROL!$C$42, 0.275, 0.275)*CHOOSE(CONTROL!$C$42, 31, 31))/1000000</f>
        <v>4.2625000000000002</v>
      </c>
      <c r="W169" s="56">
        <f>(1000*CHOOSE(CONTROL!$C$42, 0.1146, 0.1146)*CHOOSE(CONTROL!$C$42, 121.5, 121.5)*CHOOSE(CONTROL!$C$42, 31, 31))/1000000</f>
        <v>0.43164089999999994</v>
      </c>
      <c r="X169" s="56">
        <f>(31*0.1790888*100000/1000000)+(31*0.2374*100000/1000000)</f>
        <v>1.2911152800000001</v>
      </c>
      <c r="Y169" s="56"/>
      <c r="Z169" s="14"/>
      <c r="AA169" s="55"/>
      <c r="AB169" s="49">
        <f>(B169*122.58+C169*297.941+D169*89.177+E169*40.302+F169*40+G169*160+H169*0+I169*100+J169*300)/(122.58+297.941+89.177+40.302+0+40+160+100+300)</f>
        <v>9.6156912858260881</v>
      </c>
      <c r="AC169" s="44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9.4629136690647488</v>
      </c>
    </row>
    <row r="170" spans="1:29" ht="15.75" x14ac:dyDescent="0.25">
      <c r="A170" s="13">
        <v>46054</v>
      </c>
      <c r="B170" s="14">
        <f>CHOOSE(CONTROL!$C$42, 9.778, 9.778) * CHOOSE(CONTROL!$C$21, $C$9, 100%, $E$9)</f>
        <v>9.7780000000000005</v>
      </c>
      <c r="C170" s="14">
        <f>CHOOSE(CONTROL!$C$42, 9.783, 9.783) * CHOOSE(CONTROL!$C$21, $C$9, 100%, $E$9)</f>
        <v>9.7829999999999995</v>
      </c>
      <c r="D170" s="14">
        <f>CHOOSE(CONTROL!$C$42, 9.8624, 9.8624) * CHOOSE(CONTROL!$C$21, $C$9, 100%, $E$9)</f>
        <v>9.8623999999999992</v>
      </c>
      <c r="E170" s="14">
        <f>CHOOSE(CONTROL!$C$42, 9.8966, 9.8966) * CHOOSE(CONTROL!$C$21, $C$9, 100%, $E$9)</f>
        <v>9.8965999999999994</v>
      </c>
      <c r="F170" s="14">
        <f>CHOOSE(CONTROL!$C$42, 9.8007, 9.8007)*CHOOSE(CONTROL!$C$21, $C$9, 100%, $E$9)</f>
        <v>9.8007000000000009</v>
      </c>
      <c r="G170" s="14">
        <f>CHOOSE(CONTROL!$C$42, 9.8182, 9.8182)*CHOOSE(CONTROL!$C$21, $C$9, 100%, $E$9)</f>
        <v>9.8181999999999992</v>
      </c>
      <c r="H170" s="14">
        <f>CHOOSE(CONTROL!$C$42, 9.8857, 9.8857) * CHOOSE(CONTROL!$C$21, $C$9, 100%, $E$9)</f>
        <v>9.8856999999999999</v>
      </c>
      <c r="I170" s="14">
        <f>CHOOSE(CONTROL!$C$42, 9.8439, 9.8439)* CHOOSE(CONTROL!$C$21, $C$9, 100%, $E$9)</f>
        <v>9.8438999999999997</v>
      </c>
      <c r="J170" s="14">
        <f>CHOOSE(CONTROL!$C$42, 9.7937, 9.7937)* CHOOSE(CONTROL!$C$21, $C$9, 100%, $E$9)</f>
        <v>9.7936999999999994</v>
      </c>
      <c r="K170" s="52">
        <f>CHOOSE(CONTROL!$C$42, 9.84, 9.84) * CHOOSE(CONTROL!$C$21, $C$9, 100%, $E$9)</f>
        <v>9.84</v>
      </c>
      <c r="L170" s="14">
        <f>CHOOSE(CONTROL!$C$42, 10.4727, 10.4727) * CHOOSE(CONTROL!$C$21, $C$9, 100%, $E$9)</f>
        <v>10.4727</v>
      </c>
      <c r="M170" s="14">
        <f>CHOOSE(CONTROL!$C$42, 9.6008, 9.6008) * CHOOSE(CONTROL!$C$21, $C$9, 100%, $E$9)</f>
        <v>9.6007999999999996</v>
      </c>
      <c r="N170" s="14">
        <f>CHOOSE(CONTROL!$C$42, 9.6179, 9.6179) * CHOOSE(CONTROL!$C$21, $C$9, 100%, $E$9)</f>
        <v>9.6179000000000006</v>
      </c>
      <c r="O170" s="14">
        <f>CHOOSE(CONTROL!$C$42, 9.6909, 9.6909) * CHOOSE(CONTROL!$C$21, $C$9, 100%, $E$9)</f>
        <v>9.6908999999999992</v>
      </c>
      <c r="P170" s="14">
        <f>CHOOSE(CONTROL!$C$42, 9.6493, 9.6493) * CHOOSE(CONTROL!$C$21, $C$9, 100%, $E$9)</f>
        <v>9.6493000000000002</v>
      </c>
      <c r="Q170" s="14">
        <f>CHOOSE(CONTROL!$C$42, 10.2856, 10.2856) * CHOOSE(CONTROL!$C$21, $C$9, 100%, $E$9)</f>
        <v>10.285600000000001</v>
      </c>
      <c r="R170" s="14">
        <f>CHOOSE(CONTROL!$C$42, 10.8983, 10.8983) * CHOOSE(CONTROL!$C$21, $C$9, 100%, $E$9)</f>
        <v>10.898300000000001</v>
      </c>
      <c r="S170" s="14">
        <f>CHOOSE(CONTROL!$C$42, 9.3871, 9.3871) * CHOOSE(CONTROL!$C$21, $C$9, 100%, $E$9)</f>
        <v>9.3871000000000002</v>
      </c>
      <c r="T17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56">
        <f>(1000*CHOOSE(CONTROL!$C$42, 695, 695)*CHOOSE(CONTROL!$C$42, 0.5599, 0.5599)*CHOOSE(CONTROL!$C$42, 28, 28))/1000000</f>
        <v>10.895653999999999</v>
      </c>
      <c r="V170" s="56">
        <f>(1000*CHOOSE(CONTROL!$C$42, 500, 500)*CHOOSE(CONTROL!$C$42, 0.275, 0.275)*CHOOSE(CONTROL!$C$42, 28, 28))/1000000</f>
        <v>3.85</v>
      </c>
      <c r="W170" s="56">
        <f>(1000*CHOOSE(CONTROL!$C$42, 0.1146, 0.1146)*CHOOSE(CONTROL!$C$42, 121.5, 121.5)*CHOOSE(CONTROL!$C$42, 28, 28))/1000000</f>
        <v>0.38986920000000003</v>
      </c>
      <c r="X170" s="56">
        <f>(28*0.1790888*100000/1000000)+(28*0.2374*100000/1000000)</f>
        <v>1.16616864</v>
      </c>
      <c r="Y170" s="56"/>
      <c r="Z170" s="14"/>
      <c r="AA170" s="55"/>
      <c r="AB170" s="49">
        <f>(B170*122.58+C170*297.941+D170*89.177+E170*40.302+F170*40+G170*160+H170*0+I170*100+J170*300)/(122.58+297.941+89.177+40.302+0+40+160+100+300)</f>
        <v>9.8062052704347842</v>
      </c>
      <c r="AC170" s="44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9.64959928057554</v>
      </c>
    </row>
    <row r="171" spans="1:29" ht="15.75" x14ac:dyDescent="0.25">
      <c r="A171" s="13">
        <v>46082</v>
      </c>
      <c r="B171" s="14">
        <f>CHOOSE(CONTROL!$C$42, 9.5202, 9.5202) * CHOOSE(CONTROL!$C$21, $C$9, 100%, $E$9)</f>
        <v>9.5202000000000009</v>
      </c>
      <c r="C171" s="14">
        <f>CHOOSE(CONTROL!$C$42, 9.5252, 9.5252) * CHOOSE(CONTROL!$C$21, $C$9, 100%, $E$9)</f>
        <v>9.5251999999999999</v>
      </c>
      <c r="D171" s="14">
        <f>CHOOSE(CONTROL!$C$42, 9.6047, 9.6047) * CHOOSE(CONTROL!$C$21, $C$9, 100%, $E$9)</f>
        <v>9.6046999999999993</v>
      </c>
      <c r="E171" s="14">
        <f>CHOOSE(CONTROL!$C$42, 9.6388, 9.6388) * CHOOSE(CONTROL!$C$21, $C$9, 100%, $E$9)</f>
        <v>9.6387999999999998</v>
      </c>
      <c r="F171" s="14">
        <f>CHOOSE(CONTROL!$C$42, 9.5422, 9.5422)*CHOOSE(CONTROL!$C$21, $C$9, 100%, $E$9)</f>
        <v>9.5421999999999993</v>
      </c>
      <c r="G171" s="14">
        <f>CHOOSE(CONTROL!$C$42, 9.5595, 9.5595)*CHOOSE(CONTROL!$C$21, $C$9, 100%, $E$9)</f>
        <v>9.5594999999999999</v>
      </c>
      <c r="H171" s="14">
        <f>CHOOSE(CONTROL!$C$42, 9.628, 9.628) * CHOOSE(CONTROL!$C$21, $C$9, 100%, $E$9)</f>
        <v>9.6280000000000001</v>
      </c>
      <c r="I171" s="14">
        <f>CHOOSE(CONTROL!$C$42, 9.5853, 9.5853)* CHOOSE(CONTROL!$C$21, $C$9, 100%, $E$9)</f>
        <v>9.5853000000000002</v>
      </c>
      <c r="J171" s="14">
        <f>CHOOSE(CONTROL!$C$42, 9.5352, 9.5352)* CHOOSE(CONTROL!$C$21, $C$9, 100%, $E$9)</f>
        <v>9.5351999999999997</v>
      </c>
      <c r="K171" s="52">
        <f>CHOOSE(CONTROL!$C$42, 9.5814, 9.5814) * CHOOSE(CONTROL!$C$21, $C$9, 100%, $E$9)</f>
        <v>9.5814000000000004</v>
      </c>
      <c r="L171" s="14">
        <f>CHOOSE(CONTROL!$C$42, 10.215, 10.215) * CHOOSE(CONTROL!$C$21, $C$9, 100%, $E$9)</f>
        <v>10.215</v>
      </c>
      <c r="M171" s="14">
        <f>CHOOSE(CONTROL!$C$42, 9.3475, 9.3475) * CHOOSE(CONTROL!$C$21, $C$9, 100%, $E$9)</f>
        <v>9.3475000000000001</v>
      </c>
      <c r="N171" s="14">
        <f>CHOOSE(CONTROL!$C$42, 9.3645, 9.3645) * CHOOSE(CONTROL!$C$21, $C$9, 100%, $E$9)</f>
        <v>9.3644999999999996</v>
      </c>
      <c r="O171" s="14">
        <f>CHOOSE(CONTROL!$C$42, 9.4384, 9.4384) * CHOOSE(CONTROL!$C$21, $C$9, 100%, $E$9)</f>
        <v>9.4383999999999997</v>
      </c>
      <c r="P171" s="14">
        <f>CHOOSE(CONTROL!$C$42, 9.3961, 9.3961) * CHOOSE(CONTROL!$C$21, $C$9, 100%, $E$9)</f>
        <v>9.3961000000000006</v>
      </c>
      <c r="Q171" s="14">
        <f>CHOOSE(CONTROL!$C$42, 10.0331, 10.0331) * CHOOSE(CONTROL!$C$21, $C$9, 100%, $E$9)</f>
        <v>10.033099999999999</v>
      </c>
      <c r="R171" s="14">
        <f>CHOOSE(CONTROL!$C$42, 10.6452, 10.6452) * CHOOSE(CONTROL!$C$21, $C$9, 100%, $E$9)</f>
        <v>10.645200000000001</v>
      </c>
      <c r="S171" s="14">
        <f>CHOOSE(CONTROL!$C$42, 9.1394, 9.1394) * CHOOSE(CONTROL!$C$21, $C$9, 100%, $E$9)</f>
        <v>9.1394000000000002</v>
      </c>
      <c r="T17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56">
        <f>(1000*CHOOSE(CONTROL!$C$42, 695, 695)*CHOOSE(CONTROL!$C$42, 0.5599, 0.5599)*CHOOSE(CONTROL!$C$42, 31, 31))/1000000</f>
        <v>12.063045499999998</v>
      </c>
      <c r="V171" s="56">
        <f>(1000*CHOOSE(CONTROL!$C$42, 500, 500)*CHOOSE(CONTROL!$C$42, 0.275, 0.275)*CHOOSE(CONTROL!$C$42, 31, 31))/1000000</f>
        <v>4.2625000000000002</v>
      </c>
      <c r="W171" s="56">
        <f>(1000*CHOOSE(CONTROL!$C$42, 0.1146, 0.1146)*CHOOSE(CONTROL!$C$42, 121.5, 121.5)*CHOOSE(CONTROL!$C$42, 31, 31))/1000000</f>
        <v>0.43164089999999994</v>
      </c>
      <c r="X171" s="56">
        <f>(31*0.1790888*100000/1000000)+(31*0.2374*100000/1000000)</f>
        <v>1.2911152800000001</v>
      </c>
      <c r="Y171" s="56"/>
      <c r="Z171" s="14"/>
      <c r="AA171" s="55"/>
      <c r="AB171" s="49">
        <f>(B171*122.58+C171*297.941+D171*89.177+E171*40.302+F171*40+G171*160+H171*0+I171*100+J171*300)/(122.58+297.941+89.177+40.302+0+40+160+100+300)</f>
        <v>9.548011285826087</v>
      </c>
      <c r="AC171" s="44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9.3966705035971216</v>
      </c>
    </row>
    <row r="172" spans="1:29" ht="15.75" x14ac:dyDescent="0.25">
      <c r="A172" s="13">
        <v>46113</v>
      </c>
      <c r="B172" s="14">
        <f>CHOOSE(CONTROL!$C$42, 9.5122, 9.5122) * CHOOSE(CONTROL!$C$21, $C$9, 100%, $E$9)</f>
        <v>9.5122</v>
      </c>
      <c r="C172" s="14">
        <f>CHOOSE(CONTROL!$C$42, 9.5167, 9.5167) * CHOOSE(CONTROL!$C$21, $C$9, 100%, $E$9)</f>
        <v>9.5167000000000002</v>
      </c>
      <c r="D172" s="14">
        <f>CHOOSE(CONTROL!$C$42, 9.7457, 9.7457) * CHOOSE(CONTROL!$C$21, $C$9, 100%, $E$9)</f>
        <v>9.7456999999999994</v>
      </c>
      <c r="E172" s="14">
        <f>CHOOSE(CONTROL!$C$42, 9.7778, 9.7778) * CHOOSE(CONTROL!$C$21, $C$9, 100%, $E$9)</f>
        <v>9.7777999999999992</v>
      </c>
      <c r="F172" s="14">
        <f>CHOOSE(CONTROL!$C$42, 9.5392, 9.5392)*CHOOSE(CONTROL!$C$21, $C$9, 100%, $E$9)</f>
        <v>9.5391999999999992</v>
      </c>
      <c r="G172" s="14">
        <f>CHOOSE(CONTROL!$C$42, 9.556, 9.556)*CHOOSE(CONTROL!$C$21, $C$9, 100%, $E$9)</f>
        <v>9.5559999999999992</v>
      </c>
      <c r="H172" s="14">
        <f>CHOOSE(CONTROL!$C$42, 9.7675, 9.7675) * CHOOSE(CONTROL!$C$21, $C$9, 100%, $E$9)</f>
        <v>9.7675000000000001</v>
      </c>
      <c r="I172" s="14">
        <f>CHOOSE(CONTROL!$C$42, 9.575, 9.575)* CHOOSE(CONTROL!$C$21, $C$9, 100%, $E$9)</f>
        <v>9.5749999999999993</v>
      </c>
      <c r="J172" s="14">
        <f>CHOOSE(CONTROL!$C$42, 9.5322, 9.5322)* CHOOSE(CONTROL!$C$21, $C$9, 100%, $E$9)</f>
        <v>9.5321999999999996</v>
      </c>
      <c r="K172" s="52">
        <f>CHOOSE(CONTROL!$C$42, 9.5711, 9.5711) * CHOOSE(CONTROL!$C$21, $C$9, 100%, $E$9)</f>
        <v>9.5710999999999995</v>
      </c>
      <c r="L172" s="14">
        <f>CHOOSE(CONTROL!$C$42, 10.3545, 10.3545) * CHOOSE(CONTROL!$C$21, $C$9, 100%, $E$9)</f>
        <v>10.3545</v>
      </c>
      <c r="M172" s="14">
        <f>CHOOSE(CONTROL!$C$42, 9.3446, 9.3446) * CHOOSE(CONTROL!$C$21, $C$9, 100%, $E$9)</f>
        <v>9.3445999999999998</v>
      </c>
      <c r="N172" s="14">
        <f>CHOOSE(CONTROL!$C$42, 9.361, 9.361) * CHOOSE(CONTROL!$C$21, $C$9, 100%, $E$9)</f>
        <v>9.3610000000000007</v>
      </c>
      <c r="O172" s="14">
        <f>CHOOSE(CONTROL!$C$42, 9.5751, 9.5751) * CHOOSE(CONTROL!$C$21, $C$9, 100%, $E$9)</f>
        <v>9.5751000000000008</v>
      </c>
      <c r="P172" s="14">
        <f>CHOOSE(CONTROL!$C$42, 9.386, 9.386) * CHOOSE(CONTROL!$C$21, $C$9, 100%, $E$9)</f>
        <v>9.3859999999999992</v>
      </c>
      <c r="Q172" s="14">
        <f>CHOOSE(CONTROL!$C$42, 10.1698, 10.1698) * CHOOSE(CONTROL!$C$21, $C$9, 100%, $E$9)</f>
        <v>10.1698</v>
      </c>
      <c r="R172" s="14">
        <f>CHOOSE(CONTROL!$C$42, 10.7822, 10.7822) * CHOOSE(CONTROL!$C$21, $C$9, 100%, $E$9)</f>
        <v>10.7822</v>
      </c>
      <c r="S172" s="14">
        <f>CHOOSE(CONTROL!$C$42, 9.131, 9.131) * CHOOSE(CONTROL!$C$21, $C$9, 100%, $E$9)</f>
        <v>9.1310000000000002</v>
      </c>
      <c r="T17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56">
        <f>(1000*CHOOSE(CONTROL!$C$42, 695, 695)*CHOOSE(CONTROL!$C$42, 0.5599, 0.5599)*CHOOSE(CONTROL!$C$42, 30, 30))/1000000</f>
        <v>11.673914999999997</v>
      </c>
      <c r="V172" s="56">
        <f>(1000*CHOOSE(CONTROL!$C$42, 500, 500)*CHOOSE(CONTROL!$C$42, 0.275, 0.275)*CHOOSE(CONTROL!$C$42, 30, 30))/1000000</f>
        <v>4.125</v>
      </c>
      <c r="W172" s="56">
        <f>(1000*CHOOSE(CONTROL!$C$42, 0.1146, 0.1146)*CHOOSE(CONTROL!$C$42, 121.5, 121.5)*CHOOSE(CONTROL!$C$42, 30, 30))/1000000</f>
        <v>0.417717</v>
      </c>
      <c r="X172" s="56">
        <f>(30*0.1790888*245000/1000000)+(30*0.2374*100000/1000000)</f>
        <v>2.0285026799999999</v>
      </c>
      <c r="Y172" s="56"/>
      <c r="Z172" s="14"/>
      <c r="AA172" s="55"/>
      <c r="AB172" s="49">
        <f>(B172*141.293+C172*267.993+D172*115.016+E172*89.698+F172*40+G172*185+H172*0+I172*100+J172*300)/(141.293+267.993+115.016+89.698+0+40+185+100+300)</f>
        <v>9.5714001560129134</v>
      </c>
      <c r="AC172" s="44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9.4190050359712245</v>
      </c>
    </row>
    <row r="173" spans="1:29" ht="15.75" x14ac:dyDescent="0.25">
      <c r="A173" s="13">
        <v>46143</v>
      </c>
      <c r="B173" s="14">
        <f>CHOOSE(CONTROL!$C$42, 9.6172, 9.6172) * CHOOSE(CONTROL!$C$21, $C$9, 100%, $E$9)</f>
        <v>9.6172000000000004</v>
      </c>
      <c r="C173" s="14">
        <f>CHOOSE(CONTROL!$C$42, 9.6253, 9.6253) * CHOOSE(CONTROL!$C$21, $C$9, 100%, $E$9)</f>
        <v>9.6252999999999993</v>
      </c>
      <c r="D173" s="14">
        <f>CHOOSE(CONTROL!$C$42, 9.8511, 9.8511) * CHOOSE(CONTROL!$C$21, $C$9, 100%, $E$9)</f>
        <v>9.8511000000000006</v>
      </c>
      <c r="E173" s="14">
        <f>CHOOSE(CONTROL!$C$42, 9.8825, 9.8825) * CHOOSE(CONTROL!$C$21, $C$9, 100%, $E$9)</f>
        <v>9.8825000000000003</v>
      </c>
      <c r="F173" s="14">
        <f>CHOOSE(CONTROL!$C$42, 9.6429, 9.6429)*CHOOSE(CONTROL!$C$21, $C$9, 100%, $E$9)</f>
        <v>9.6428999999999991</v>
      </c>
      <c r="G173" s="14">
        <f>CHOOSE(CONTROL!$C$42, 9.6599, 9.6599)*CHOOSE(CONTROL!$C$21, $C$9, 100%, $E$9)</f>
        <v>9.6599000000000004</v>
      </c>
      <c r="H173" s="14">
        <f>CHOOSE(CONTROL!$C$42, 9.8712, 9.8712) * CHOOSE(CONTROL!$C$21, $C$9, 100%, $E$9)</f>
        <v>9.8712</v>
      </c>
      <c r="I173" s="14">
        <f>CHOOSE(CONTROL!$C$42, 9.6789, 9.6789)* CHOOSE(CONTROL!$C$21, $C$9, 100%, $E$9)</f>
        <v>9.6789000000000005</v>
      </c>
      <c r="J173" s="14">
        <f>CHOOSE(CONTROL!$C$42, 9.6359, 9.6359)* CHOOSE(CONTROL!$C$21, $C$9, 100%, $E$9)</f>
        <v>9.6358999999999995</v>
      </c>
      <c r="K173" s="52">
        <f>CHOOSE(CONTROL!$C$42, 9.675, 9.675) * CHOOSE(CONTROL!$C$21, $C$9, 100%, $E$9)</f>
        <v>9.6750000000000007</v>
      </c>
      <c r="L173" s="14">
        <f>CHOOSE(CONTROL!$C$42, 10.4582, 10.4582) * CHOOSE(CONTROL!$C$21, $C$9, 100%, $E$9)</f>
        <v>10.4582</v>
      </c>
      <c r="M173" s="14">
        <f>CHOOSE(CONTROL!$C$42, 9.4462, 9.4462) * CHOOSE(CONTROL!$C$21, $C$9, 100%, $E$9)</f>
        <v>9.4461999999999993</v>
      </c>
      <c r="N173" s="14">
        <f>CHOOSE(CONTROL!$C$42, 9.4628, 9.4628) * CHOOSE(CONTROL!$C$21, $C$9, 100%, $E$9)</f>
        <v>9.4627999999999997</v>
      </c>
      <c r="O173" s="14">
        <f>CHOOSE(CONTROL!$C$42, 9.6766, 9.6766) * CHOOSE(CONTROL!$C$21, $C$9, 100%, $E$9)</f>
        <v>9.6766000000000005</v>
      </c>
      <c r="P173" s="14">
        <f>CHOOSE(CONTROL!$C$42, 9.4878, 9.4878) * CHOOSE(CONTROL!$C$21, $C$9, 100%, $E$9)</f>
        <v>9.4878</v>
      </c>
      <c r="Q173" s="14">
        <f>CHOOSE(CONTROL!$C$42, 10.2713, 10.2713) * CHOOSE(CONTROL!$C$21, $C$9, 100%, $E$9)</f>
        <v>10.2713</v>
      </c>
      <c r="R173" s="14">
        <f>CHOOSE(CONTROL!$C$42, 10.884, 10.884) * CHOOSE(CONTROL!$C$21, $C$9, 100%, $E$9)</f>
        <v>10.884</v>
      </c>
      <c r="S173" s="14">
        <f>CHOOSE(CONTROL!$C$42, 9.2306, 9.2306) * CHOOSE(CONTROL!$C$21, $C$9, 100%, $E$9)</f>
        <v>9.2306000000000008</v>
      </c>
      <c r="T17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56">
        <f>(1000*CHOOSE(CONTROL!$C$42, 695, 695)*CHOOSE(CONTROL!$C$42, 0.5599, 0.5599)*CHOOSE(CONTROL!$C$42, 31, 31))/1000000</f>
        <v>12.063045499999998</v>
      </c>
      <c r="V173" s="56">
        <f>(1000*CHOOSE(CONTROL!$C$42, 500, 500)*CHOOSE(CONTROL!$C$42, 0.275, 0.275)*CHOOSE(CONTROL!$C$42, 31, 31))/1000000</f>
        <v>4.2625000000000002</v>
      </c>
      <c r="W173" s="56">
        <f>(1000*CHOOSE(CONTROL!$C$42, 0.1146, 0.1146)*CHOOSE(CONTROL!$C$42, 121.5, 121.5)*CHOOSE(CONTROL!$C$42, 31, 31))/1000000</f>
        <v>0.43164089999999994</v>
      </c>
      <c r="X173" s="56">
        <f>(31*0.1790888*245000/1000000)+(31*0.2374*100000/1000000)</f>
        <v>2.0961194359999999</v>
      </c>
      <c r="Y173" s="56"/>
      <c r="Z173" s="14"/>
      <c r="AA173" s="55"/>
      <c r="AB173" s="49">
        <f>(B173*194.205+C173*267.466+D173*133.845+E173*53.484+F173*40+G173*185+H173*0+I173*100+J173*300)/(194.205+267.466+133.845+53.484+0+40+185+100+300)</f>
        <v>9.6708653259811612</v>
      </c>
      <c r="AC173" s="44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9.5206517985611505</v>
      </c>
    </row>
    <row r="174" spans="1:29" ht="15.75" x14ac:dyDescent="0.25">
      <c r="A174" s="13">
        <v>46174</v>
      </c>
      <c r="B174" s="14">
        <f>CHOOSE(CONTROL!$C$42, 9.9101, 9.9101) * CHOOSE(CONTROL!$C$21, $C$9, 100%, $E$9)</f>
        <v>9.9100999999999999</v>
      </c>
      <c r="C174" s="14">
        <f>CHOOSE(CONTROL!$C$42, 9.9181, 9.9181) * CHOOSE(CONTROL!$C$21, $C$9, 100%, $E$9)</f>
        <v>9.9181000000000008</v>
      </c>
      <c r="D174" s="14">
        <f>CHOOSE(CONTROL!$C$42, 10.1439, 10.1439) * CHOOSE(CONTROL!$C$21, $C$9, 100%, $E$9)</f>
        <v>10.1439</v>
      </c>
      <c r="E174" s="14">
        <f>CHOOSE(CONTROL!$C$42, 10.1753, 10.1753) * CHOOSE(CONTROL!$C$21, $C$9, 100%, $E$9)</f>
        <v>10.1753</v>
      </c>
      <c r="F174" s="14">
        <f>CHOOSE(CONTROL!$C$42, 9.9362, 9.9362)*CHOOSE(CONTROL!$C$21, $C$9, 100%, $E$9)</f>
        <v>9.9361999999999995</v>
      </c>
      <c r="G174" s="14">
        <f>CHOOSE(CONTROL!$C$42, 9.9532, 9.9532)*CHOOSE(CONTROL!$C$21, $C$9, 100%, $E$9)</f>
        <v>9.9532000000000007</v>
      </c>
      <c r="H174" s="14">
        <f>CHOOSE(CONTROL!$C$42, 10.164, 10.164) * CHOOSE(CONTROL!$C$21, $C$9, 100%, $E$9)</f>
        <v>10.164</v>
      </c>
      <c r="I174" s="14">
        <f>CHOOSE(CONTROL!$C$42, 9.9726, 9.9726)* CHOOSE(CONTROL!$C$21, $C$9, 100%, $E$9)</f>
        <v>9.9725999999999999</v>
      </c>
      <c r="J174" s="14">
        <f>CHOOSE(CONTROL!$C$42, 9.9292, 9.9292)* CHOOSE(CONTROL!$C$21, $C$9, 100%, $E$9)</f>
        <v>9.9291999999999998</v>
      </c>
      <c r="K174" s="52">
        <f>CHOOSE(CONTROL!$C$42, 9.9687, 9.9687) * CHOOSE(CONTROL!$C$21, $C$9, 100%, $E$9)</f>
        <v>9.9687000000000001</v>
      </c>
      <c r="L174" s="14">
        <f>CHOOSE(CONTROL!$C$42, 10.751, 10.751) * CHOOSE(CONTROL!$C$21, $C$9, 100%, $E$9)</f>
        <v>10.750999999999999</v>
      </c>
      <c r="M174" s="14">
        <f>CHOOSE(CONTROL!$C$42, 9.7334, 9.7334) * CHOOSE(CONTROL!$C$21, $C$9, 100%, $E$9)</f>
        <v>9.7333999999999996</v>
      </c>
      <c r="N174" s="14">
        <f>CHOOSE(CONTROL!$C$42, 9.7501, 9.7501) * CHOOSE(CONTROL!$C$21, $C$9, 100%, $E$9)</f>
        <v>9.7500999999999998</v>
      </c>
      <c r="O174" s="14">
        <f>CHOOSE(CONTROL!$C$42, 9.9634, 9.9634) * CHOOSE(CONTROL!$C$21, $C$9, 100%, $E$9)</f>
        <v>9.9634</v>
      </c>
      <c r="P174" s="14">
        <f>CHOOSE(CONTROL!$C$42, 9.7754, 9.7754) * CHOOSE(CONTROL!$C$21, $C$9, 100%, $E$9)</f>
        <v>9.7753999999999994</v>
      </c>
      <c r="Q174" s="14">
        <f>CHOOSE(CONTROL!$C$42, 10.5581, 10.5581) * CHOOSE(CONTROL!$C$21, $C$9, 100%, $E$9)</f>
        <v>10.5581</v>
      </c>
      <c r="R174" s="14">
        <f>CHOOSE(CONTROL!$C$42, 11.1715, 11.1715) * CHOOSE(CONTROL!$C$21, $C$9, 100%, $E$9)</f>
        <v>11.1715</v>
      </c>
      <c r="S174" s="14">
        <f>CHOOSE(CONTROL!$C$42, 9.5119, 9.5119) * CHOOSE(CONTROL!$C$21, $C$9, 100%, $E$9)</f>
        <v>9.5119000000000007</v>
      </c>
      <c r="T17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56">
        <f>(1000*CHOOSE(CONTROL!$C$42, 695, 695)*CHOOSE(CONTROL!$C$42, 0.5599, 0.5599)*CHOOSE(CONTROL!$C$42, 30, 30))/1000000</f>
        <v>11.673914999999997</v>
      </c>
      <c r="V174" s="56">
        <f>(1000*CHOOSE(CONTROL!$C$42, 500, 500)*CHOOSE(CONTROL!$C$42, 0.275, 0.275)*CHOOSE(CONTROL!$C$42, 30, 30))/1000000</f>
        <v>4.125</v>
      </c>
      <c r="W174" s="56">
        <f>(1000*CHOOSE(CONTROL!$C$42, 0.1146, 0.1146)*CHOOSE(CONTROL!$C$42, 121.5, 121.5)*CHOOSE(CONTROL!$C$42, 30, 30))/1000000</f>
        <v>0.417717</v>
      </c>
      <c r="X174" s="56">
        <f>(30*0.1790888*245000/1000000)+(30*0.2374*100000/1000000)</f>
        <v>2.0285026799999999</v>
      </c>
      <c r="Y174" s="56"/>
      <c r="Z174" s="14"/>
      <c r="AA174" s="55"/>
      <c r="AB174" s="49">
        <f>(B174*194.205+C174*267.466+D174*133.845+E174*53.484+F174*40+G174*185+H174*0+I174*100+J174*300)/(194.205+267.466+133.845+53.484+0+40+185+100+300)</f>
        <v>9.9639572572998443</v>
      </c>
      <c r="AC174" s="44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9.8078201438848929</v>
      </c>
    </row>
    <row r="175" spans="1:29" ht="15.75" x14ac:dyDescent="0.25">
      <c r="A175" s="13">
        <v>46204</v>
      </c>
      <c r="B175" s="14">
        <f>CHOOSE(CONTROL!$C$42, 9.7402, 9.7402) * CHOOSE(CONTROL!$C$21, $C$9, 100%, $E$9)</f>
        <v>9.7401999999999997</v>
      </c>
      <c r="C175" s="14">
        <f>CHOOSE(CONTROL!$C$42, 9.7482, 9.7482) * CHOOSE(CONTROL!$C$21, $C$9, 100%, $E$9)</f>
        <v>9.7482000000000006</v>
      </c>
      <c r="D175" s="14">
        <f>CHOOSE(CONTROL!$C$42, 9.974, 9.974) * CHOOSE(CONTROL!$C$21, $C$9, 100%, $E$9)</f>
        <v>9.9740000000000002</v>
      </c>
      <c r="E175" s="14">
        <f>CHOOSE(CONTROL!$C$42, 10.0054, 10.0054) * CHOOSE(CONTROL!$C$21, $C$9, 100%, $E$9)</f>
        <v>10.0054</v>
      </c>
      <c r="F175" s="14">
        <f>CHOOSE(CONTROL!$C$42, 9.7667, 9.7667)*CHOOSE(CONTROL!$C$21, $C$9, 100%, $E$9)</f>
        <v>9.7667000000000002</v>
      </c>
      <c r="G175" s="14">
        <f>CHOOSE(CONTROL!$C$42, 9.7839, 9.7839)*CHOOSE(CONTROL!$C$21, $C$9, 100%, $E$9)</f>
        <v>9.7838999999999992</v>
      </c>
      <c r="H175" s="14">
        <f>CHOOSE(CONTROL!$C$42, 9.9941, 9.9941) * CHOOSE(CONTROL!$C$21, $C$9, 100%, $E$9)</f>
        <v>9.9940999999999995</v>
      </c>
      <c r="I175" s="14">
        <f>CHOOSE(CONTROL!$C$42, 9.8022, 9.8022)* CHOOSE(CONTROL!$C$21, $C$9, 100%, $E$9)</f>
        <v>9.8021999999999991</v>
      </c>
      <c r="J175" s="14">
        <f>CHOOSE(CONTROL!$C$42, 9.7597, 9.7597)* CHOOSE(CONTROL!$C$21, $C$9, 100%, $E$9)</f>
        <v>9.7597000000000005</v>
      </c>
      <c r="K175" s="52">
        <f>CHOOSE(CONTROL!$C$42, 9.7983, 9.7983) * CHOOSE(CONTROL!$C$21, $C$9, 100%, $E$9)</f>
        <v>9.7982999999999993</v>
      </c>
      <c r="L175" s="14">
        <f>CHOOSE(CONTROL!$C$42, 10.5811, 10.5811) * CHOOSE(CONTROL!$C$21, $C$9, 100%, $E$9)</f>
        <v>10.581099999999999</v>
      </c>
      <c r="M175" s="14">
        <f>CHOOSE(CONTROL!$C$42, 9.5675, 9.5675) * CHOOSE(CONTROL!$C$21, $C$9, 100%, $E$9)</f>
        <v>9.5675000000000008</v>
      </c>
      <c r="N175" s="14">
        <f>CHOOSE(CONTROL!$C$42, 9.5843, 9.5843) * CHOOSE(CONTROL!$C$21, $C$9, 100%, $E$9)</f>
        <v>9.5843000000000007</v>
      </c>
      <c r="O175" s="14">
        <f>CHOOSE(CONTROL!$C$42, 9.797, 9.797) * CHOOSE(CONTROL!$C$21, $C$9, 100%, $E$9)</f>
        <v>9.7970000000000006</v>
      </c>
      <c r="P175" s="14">
        <f>CHOOSE(CONTROL!$C$42, 9.6085, 9.6085) * CHOOSE(CONTROL!$C$21, $C$9, 100%, $E$9)</f>
        <v>9.6084999999999994</v>
      </c>
      <c r="Q175" s="14">
        <f>CHOOSE(CONTROL!$C$42, 10.3917, 10.3917) * CHOOSE(CONTROL!$C$21, $C$9, 100%, $E$9)</f>
        <v>10.3917</v>
      </c>
      <c r="R175" s="14">
        <f>CHOOSE(CONTROL!$C$42, 11.0047, 11.0047) * CHOOSE(CONTROL!$C$21, $C$9, 100%, $E$9)</f>
        <v>11.0047</v>
      </c>
      <c r="S175" s="14">
        <f>CHOOSE(CONTROL!$C$42, 9.3487, 9.3487) * CHOOSE(CONTROL!$C$21, $C$9, 100%, $E$9)</f>
        <v>9.3486999999999991</v>
      </c>
      <c r="T17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56">
        <f>(1000*CHOOSE(CONTROL!$C$42, 695, 695)*CHOOSE(CONTROL!$C$42, 0.5599, 0.5599)*CHOOSE(CONTROL!$C$42, 31, 31))/1000000</f>
        <v>12.063045499999998</v>
      </c>
      <c r="V175" s="56">
        <f>(1000*CHOOSE(CONTROL!$C$42, 500, 500)*CHOOSE(CONTROL!$C$42, 0.275, 0.275)*CHOOSE(CONTROL!$C$42, 31, 31))/1000000</f>
        <v>4.2625000000000002</v>
      </c>
      <c r="W175" s="56">
        <f>(1000*CHOOSE(CONTROL!$C$42, 0.1146, 0.1146)*CHOOSE(CONTROL!$C$42, 121.5, 121.5)*CHOOSE(CONTROL!$C$42, 31, 31))/1000000</f>
        <v>0.43164089999999994</v>
      </c>
      <c r="X175" s="56">
        <f>(31*0.1790888*245000/1000000)+(31*0.2374*100000/1000000)</f>
        <v>2.0961194359999999</v>
      </c>
      <c r="Y175" s="56"/>
      <c r="Z175" s="14"/>
      <c r="AA175" s="55"/>
      <c r="AB175" s="49">
        <f>(B175*194.205+C175*267.466+D175*133.845+E175*53.484+F175*40+G175*185+H175*0+I175*100+J175*300)/(194.205+267.466+133.845+53.484+0+40+185+100+300)</f>
        <v>9.794211888383046</v>
      </c>
      <c r="AC175" s="44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9.6416589928057554</v>
      </c>
    </row>
    <row r="176" spans="1:29" ht="15.75" x14ac:dyDescent="0.25">
      <c r="A176" s="13">
        <v>46235</v>
      </c>
      <c r="B176" s="14">
        <f>CHOOSE(CONTROL!$C$42, 9.2787, 9.2787) * CHOOSE(CONTROL!$C$21, $C$9, 100%, $E$9)</f>
        <v>9.2787000000000006</v>
      </c>
      <c r="C176" s="14">
        <f>CHOOSE(CONTROL!$C$42, 9.2867, 9.2867) * CHOOSE(CONTROL!$C$21, $C$9, 100%, $E$9)</f>
        <v>9.2866999999999997</v>
      </c>
      <c r="D176" s="14">
        <f>CHOOSE(CONTROL!$C$42, 9.5125, 9.5125) * CHOOSE(CONTROL!$C$21, $C$9, 100%, $E$9)</f>
        <v>9.5124999999999993</v>
      </c>
      <c r="E176" s="14">
        <f>CHOOSE(CONTROL!$C$42, 9.544, 9.544) * CHOOSE(CONTROL!$C$21, $C$9, 100%, $E$9)</f>
        <v>9.5440000000000005</v>
      </c>
      <c r="F176" s="14">
        <f>CHOOSE(CONTROL!$C$42, 9.3055, 9.3055)*CHOOSE(CONTROL!$C$21, $C$9, 100%, $E$9)</f>
        <v>9.3055000000000003</v>
      </c>
      <c r="G176" s="14">
        <f>CHOOSE(CONTROL!$C$42, 9.3228, 9.3228)*CHOOSE(CONTROL!$C$21, $C$9, 100%, $E$9)</f>
        <v>9.3228000000000009</v>
      </c>
      <c r="H176" s="14">
        <f>CHOOSE(CONTROL!$C$42, 9.5326, 9.5326) * CHOOSE(CONTROL!$C$21, $C$9, 100%, $E$9)</f>
        <v>9.5326000000000004</v>
      </c>
      <c r="I176" s="14">
        <f>CHOOSE(CONTROL!$C$42, 9.3393, 9.3393)* CHOOSE(CONTROL!$C$21, $C$9, 100%, $E$9)</f>
        <v>9.3392999999999997</v>
      </c>
      <c r="J176" s="14">
        <f>CHOOSE(CONTROL!$C$42, 9.2985, 9.2985)* CHOOSE(CONTROL!$C$21, $C$9, 100%, $E$9)</f>
        <v>9.2985000000000007</v>
      </c>
      <c r="K176" s="52">
        <f>CHOOSE(CONTROL!$C$42, 9.3354, 9.3354) * CHOOSE(CONTROL!$C$21, $C$9, 100%, $E$9)</f>
        <v>9.3353999999999999</v>
      </c>
      <c r="L176" s="14">
        <f>CHOOSE(CONTROL!$C$42, 10.1196, 10.1196) * CHOOSE(CONTROL!$C$21, $C$9, 100%, $E$9)</f>
        <v>10.1196</v>
      </c>
      <c r="M176" s="14">
        <f>CHOOSE(CONTROL!$C$42, 9.1157, 9.1157) * CHOOSE(CONTROL!$C$21, $C$9, 100%, $E$9)</f>
        <v>9.1157000000000004</v>
      </c>
      <c r="N176" s="14">
        <f>CHOOSE(CONTROL!$C$42, 9.1326, 9.1326) * CHOOSE(CONTROL!$C$21, $C$9, 100%, $E$9)</f>
        <v>9.1326000000000001</v>
      </c>
      <c r="O176" s="14">
        <f>CHOOSE(CONTROL!$C$42, 9.345, 9.345) * CHOOSE(CONTROL!$C$21, $C$9, 100%, $E$9)</f>
        <v>9.3450000000000006</v>
      </c>
      <c r="P176" s="14">
        <f>CHOOSE(CONTROL!$C$42, 9.1551, 9.1551) * CHOOSE(CONTROL!$C$21, $C$9, 100%, $E$9)</f>
        <v>9.1550999999999991</v>
      </c>
      <c r="Q176" s="14">
        <f>CHOOSE(CONTROL!$C$42, 9.9397, 9.9397) * CHOOSE(CONTROL!$C$21, $C$9, 100%, $E$9)</f>
        <v>9.9397000000000002</v>
      </c>
      <c r="R176" s="14">
        <f>CHOOSE(CONTROL!$C$42, 10.5515, 10.5515) * CHOOSE(CONTROL!$C$21, $C$9, 100%, $E$9)</f>
        <v>10.551500000000001</v>
      </c>
      <c r="S176" s="14">
        <f>CHOOSE(CONTROL!$C$42, 8.9053, 8.9053) * CHOOSE(CONTROL!$C$21, $C$9, 100%, $E$9)</f>
        <v>8.9053000000000004</v>
      </c>
      <c r="T17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56">
        <f>(1000*CHOOSE(CONTROL!$C$42, 695, 695)*CHOOSE(CONTROL!$C$42, 0.5599, 0.5599)*CHOOSE(CONTROL!$C$42, 31, 31))/1000000</f>
        <v>12.063045499999998</v>
      </c>
      <c r="V176" s="56">
        <f>(1000*CHOOSE(CONTROL!$C$42, 500, 500)*CHOOSE(CONTROL!$C$42, 0.275, 0.275)*CHOOSE(CONTROL!$C$42, 31, 31))/1000000</f>
        <v>4.2625000000000002</v>
      </c>
      <c r="W176" s="56">
        <f>(1000*CHOOSE(CONTROL!$C$42, 0.1146, 0.1146)*CHOOSE(CONTROL!$C$42, 121.5, 121.5)*CHOOSE(CONTROL!$C$42, 31, 31))/1000000</f>
        <v>0.43164089999999994</v>
      </c>
      <c r="X176" s="56">
        <f>(31*0.1790888*245000/1000000)+(31*0.2374*100000/1000000)</f>
        <v>2.0961194359999999</v>
      </c>
      <c r="Y176" s="56"/>
      <c r="Z176" s="14"/>
      <c r="AA176" s="55"/>
      <c r="AB176" s="49">
        <f>(B176*194.205+C176*267.466+D176*133.845+E176*53.484+F176*40+G176*185+H176*0+I176*100+J176*300)/(194.205+267.466+133.845+53.484+0+40+185+100+300)</f>
        <v>9.332744343956044</v>
      </c>
      <c r="AC176" s="44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9.1895956834532377</v>
      </c>
    </row>
    <row r="177" spans="1:29" ht="15.75" x14ac:dyDescent="0.25">
      <c r="A177" s="13">
        <v>46266</v>
      </c>
      <c r="B177" s="14">
        <f>CHOOSE(CONTROL!$C$42, 8.708, 8.708) * CHOOSE(CONTROL!$C$21, $C$9, 100%, $E$9)</f>
        <v>8.7080000000000002</v>
      </c>
      <c r="C177" s="14">
        <f>CHOOSE(CONTROL!$C$42, 8.716, 8.716) * CHOOSE(CONTROL!$C$21, $C$9, 100%, $E$9)</f>
        <v>8.7159999999999993</v>
      </c>
      <c r="D177" s="14">
        <f>CHOOSE(CONTROL!$C$42, 8.9418, 8.9418) * CHOOSE(CONTROL!$C$21, $C$9, 100%, $E$9)</f>
        <v>8.9418000000000006</v>
      </c>
      <c r="E177" s="14">
        <f>CHOOSE(CONTROL!$C$42, 8.9733, 8.9733) * CHOOSE(CONTROL!$C$21, $C$9, 100%, $E$9)</f>
        <v>8.9733000000000001</v>
      </c>
      <c r="F177" s="14">
        <f>CHOOSE(CONTROL!$C$42, 8.7348, 8.7348)*CHOOSE(CONTROL!$C$21, $C$9, 100%, $E$9)</f>
        <v>8.7347999999999999</v>
      </c>
      <c r="G177" s="14">
        <f>CHOOSE(CONTROL!$C$42, 8.7521, 8.7521)*CHOOSE(CONTROL!$C$21, $C$9, 100%, $E$9)</f>
        <v>8.7521000000000004</v>
      </c>
      <c r="H177" s="14">
        <f>CHOOSE(CONTROL!$C$42, 8.9619, 8.9619) * CHOOSE(CONTROL!$C$21, $C$9, 100%, $E$9)</f>
        <v>8.9619</v>
      </c>
      <c r="I177" s="14">
        <f>CHOOSE(CONTROL!$C$42, 8.7668, 8.7668)* CHOOSE(CONTROL!$C$21, $C$9, 100%, $E$9)</f>
        <v>8.7667999999999999</v>
      </c>
      <c r="J177" s="14">
        <f>CHOOSE(CONTROL!$C$42, 8.7278, 8.7278)* CHOOSE(CONTROL!$C$21, $C$9, 100%, $E$9)</f>
        <v>8.7278000000000002</v>
      </c>
      <c r="K177" s="52">
        <f>CHOOSE(CONTROL!$C$42, 8.7629, 8.7629) * CHOOSE(CONTROL!$C$21, $C$9, 100%, $E$9)</f>
        <v>8.7629000000000001</v>
      </c>
      <c r="L177" s="14">
        <f>CHOOSE(CONTROL!$C$42, 9.5489, 9.5489) * CHOOSE(CONTROL!$C$21, $C$9, 100%, $E$9)</f>
        <v>9.5488999999999997</v>
      </c>
      <c r="M177" s="14">
        <f>CHOOSE(CONTROL!$C$42, 8.5567, 8.5567) * CHOOSE(CONTROL!$C$21, $C$9, 100%, $E$9)</f>
        <v>8.5566999999999993</v>
      </c>
      <c r="N177" s="14">
        <f>CHOOSE(CONTROL!$C$42, 8.5736, 8.5736) * CHOOSE(CONTROL!$C$21, $C$9, 100%, $E$9)</f>
        <v>8.5736000000000008</v>
      </c>
      <c r="O177" s="14">
        <f>CHOOSE(CONTROL!$C$42, 8.786, 8.786) * CHOOSE(CONTROL!$C$21, $C$9, 100%, $E$9)</f>
        <v>8.7859999999999996</v>
      </c>
      <c r="P177" s="14">
        <f>CHOOSE(CONTROL!$C$42, 8.5944, 8.5944) * CHOOSE(CONTROL!$C$21, $C$9, 100%, $E$9)</f>
        <v>8.5944000000000003</v>
      </c>
      <c r="Q177" s="14">
        <f>CHOOSE(CONTROL!$C$42, 9.3807, 9.3807) * CHOOSE(CONTROL!$C$21, $C$9, 100%, $E$9)</f>
        <v>9.3806999999999992</v>
      </c>
      <c r="R177" s="14">
        <f>CHOOSE(CONTROL!$C$42, 9.9911, 9.9911) * CHOOSE(CONTROL!$C$21, $C$9, 100%, $E$9)</f>
        <v>9.9910999999999994</v>
      </c>
      <c r="S177" s="14">
        <f>CHOOSE(CONTROL!$C$42, 8.3569, 8.3569) * CHOOSE(CONTROL!$C$21, $C$9, 100%, $E$9)</f>
        <v>8.3568999999999996</v>
      </c>
      <c r="T17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56">
        <f>(1000*CHOOSE(CONTROL!$C$42, 695, 695)*CHOOSE(CONTROL!$C$42, 0.5599, 0.5599)*CHOOSE(CONTROL!$C$42, 30, 30))/1000000</f>
        <v>11.673914999999997</v>
      </c>
      <c r="V177" s="56">
        <f>(1000*CHOOSE(CONTROL!$C$42, 500, 500)*CHOOSE(CONTROL!$C$42, 0.275, 0.275)*CHOOSE(CONTROL!$C$42, 30, 30))/1000000</f>
        <v>4.125</v>
      </c>
      <c r="W177" s="56">
        <f>(1000*CHOOSE(CONTROL!$C$42, 0.1146, 0.1146)*CHOOSE(CONTROL!$C$42, 121.5, 121.5)*CHOOSE(CONTROL!$C$42, 30, 30))/1000000</f>
        <v>0.417717</v>
      </c>
      <c r="X177" s="56">
        <f>(30*0.1790888*245000/1000000)+(30*0.2374*100000/1000000)</f>
        <v>2.0285026799999999</v>
      </c>
      <c r="Y177" s="56"/>
      <c r="Z177" s="14"/>
      <c r="AA177" s="55"/>
      <c r="AB177" s="49">
        <f>(B177*194.205+C177*267.466+D177*133.845+E177*53.484+F177*40+G177*185+H177*0+I177*100+J177*300)/(194.205+267.466+133.845+53.484+0+40+185+100+300)</f>
        <v>8.7619030566718994</v>
      </c>
      <c r="AC177" s="44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8.6303510791366929</v>
      </c>
    </row>
    <row r="178" spans="1:29" ht="15.75" x14ac:dyDescent="0.25">
      <c r="A178" s="13">
        <v>46296</v>
      </c>
      <c r="B178" s="14">
        <f>CHOOSE(CONTROL!$C$42, 8.5472, 8.5472) * CHOOSE(CONTROL!$C$21, $C$9, 100%, $E$9)</f>
        <v>8.5472000000000001</v>
      </c>
      <c r="C178" s="14">
        <f>CHOOSE(CONTROL!$C$42, 8.5526, 8.5526) * CHOOSE(CONTROL!$C$21, $C$9, 100%, $E$9)</f>
        <v>8.5526</v>
      </c>
      <c r="D178" s="14">
        <f>CHOOSE(CONTROL!$C$42, 8.7833, 8.7833) * CHOOSE(CONTROL!$C$21, $C$9, 100%, $E$9)</f>
        <v>8.7833000000000006</v>
      </c>
      <c r="E178" s="14">
        <f>CHOOSE(CONTROL!$C$42, 8.8124, 8.8124) * CHOOSE(CONTROL!$C$21, $C$9, 100%, $E$9)</f>
        <v>8.8124000000000002</v>
      </c>
      <c r="F178" s="14">
        <f>CHOOSE(CONTROL!$C$42, 8.5761, 8.5761)*CHOOSE(CONTROL!$C$21, $C$9, 100%, $E$9)</f>
        <v>8.5761000000000003</v>
      </c>
      <c r="G178" s="14">
        <f>CHOOSE(CONTROL!$C$42, 8.5932, 8.5932)*CHOOSE(CONTROL!$C$21, $C$9, 100%, $E$9)</f>
        <v>8.5931999999999995</v>
      </c>
      <c r="H178" s="14">
        <f>CHOOSE(CONTROL!$C$42, 8.8029, 8.8029) * CHOOSE(CONTROL!$C$21, $C$9, 100%, $E$9)</f>
        <v>8.8028999999999993</v>
      </c>
      <c r="I178" s="14">
        <f>CHOOSE(CONTROL!$C$42, 8.6073, 8.6073)* CHOOSE(CONTROL!$C$21, $C$9, 100%, $E$9)</f>
        <v>8.6073000000000004</v>
      </c>
      <c r="J178" s="14">
        <f>CHOOSE(CONTROL!$C$42, 8.5691, 8.5691)* CHOOSE(CONTROL!$C$21, $C$9, 100%, $E$9)</f>
        <v>8.5691000000000006</v>
      </c>
      <c r="K178" s="52">
        <f>CHOOSE(CONTROL!$C$42, 8.6034, 8.6034) * CHOOSE(CONTROL!$C$21, $C$9, 100%, $E$9)</f>
        <v>8.6034000000000006</v>
      </c>
      <c r="L178" s="14">
        <f>CHOOSE(CONTROL!$C$42, 9.3899, 9.3899) * CHOOSE(CONTROL!$C$21, $C$9, 100%, $E$9)</f>
        <v>9.3899000000000008</v>
      </c>
      <c r="M178" s="14">
        <f>CHOOSE(CONTROL!$C$42, 8.4012, 8.4012) * CHOOSE(CONTROL!$C$21, $C$9, 100%, $E$9)</f>
        <v>8.4011999999999993</v>
      </c>
      <c r="N178" s="14">
        <f>CHOOSE(CONTROL!$C$42, 8.418, 8.418) * CHOOSE(CONTROL!$C$21, $C$9, 100%, $E$9)</f>
        <v>8.4179999999999993</v>
      </c>
      <c r="O178" s="14">
        <f>CHOOSE(CONTROL!$C$42, 8.6302, 8.6302) * CHOOSE(CONTROL!$C$21, $C$9, 100%, $E$9)</f>
        <v>8.6302000000000003</v>
      </c>
      <c r="P178" s="14">
        <f>CHOOSE(CONTROL!$C$42, 8.4382, 8.4382) * CHOOSE(CONTROL!$C$21, $C$9, 100%, $E$9)</f>
        <v>8.4382000000000001</v>
      </c>
      <c r="Q178" s="14">
        <f>CHOOSE(CONTROL!$C$42, 9.2249, 9.2249) * CHOOSE(CONTROL!$C$21, $C$9, 100%, $E$9)</f>
        <v>9.2248999999999999</v>
      </c>
      <c r="R178" s="14">
        <f>CHOOSE(CONTROL!$C$42, 9.835, 9.835) * CHOOSE(CONTROL!$C$21, $C$9, 100%, $E$9)</f>
        <v>9.8350000000000009</v>
      </c>
      <c r="S178" s="14">
        <f>CHOOSE(CONTROL!$C$42, 8.2041, 8.2041) * CHOOSE(CONTROL!$C$21, $C$9, 100%, $E$9)</f>
        <v>8.2041000000000004</v>
      </c>
      <c r="T17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56">
        <f>(1000*CHOOSE(CONTROL!$C$42, 695, 695)*CHOOSE(CONTROL!$C$42, 0.5599, 0.5599)*CHOOSE(CONTROL!$C$42, 31, 31))/1000000</f>
        <v>12.063045499999998</v>
      </c>
      <c r="V178" s="56">
        <f>(1000*CHOOSE(CONTROL!$C$42, 500, 500)*CHOOSE(CONTROL!$C$42, 0.275, 0.275)*CHOOSE(CONTROL!$C$42, 31, 31))/1000000</f>
        <v>4.2625000000000002</v>
      </c>
      <c r="W178" s="56">
        <f>(1000*CHOOSE(CONTROL!$C$42, 0.1146, 0.1146)*CHOOSE(CONTROL!$C$42, 121.5, 121.5)*CHOOSE(CONTROL!$C$42, 31, 31))/1000000</f>
        <v>0.43164089999999994</v>
      </c>
      <c r="X178" s="56">
        <f>(31*0.1790888*245000/1000000)+(31*0.2374*100000/1000000)</f>
        <v>2.0961194359999999</v>
      </c>
      <c r="Y178" s="56"/>
      <c r="Z178" s="14"/>
      <c r="AA178" s="55"/>
      <c r="AB178" s="49">
        <f>(B178*131.881+C178*277.167+D178*79.08+E178*125.872+F178*40+G178*185+H178*0+I178*100+J178*300)/(131.881+277.167+79.08+125.872+0+40+185+100+300)</f>
        <v>8.6083741276836161</v>
      </c>
      <c r="AC178" s="44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8.4746431654676257</v>
      </c>
    </row>
    <row r="179" spans="1:29" ht="15.75" x14ac:dyDescent="0.25">
      <c r="A179" s="13">
        <v>46327</v>
      </c>
      <c r="B179" s="14">
        <f>CHOOSE(CONTROL!$C$42, 8.7898, 8.7898) * CHOOSE(CONTROL!$C$21, $C$9, 100%, $E$9)</f>
        <v>8.7897999999999996</v>
      </c>
      <c r="C179" s="14">
        <f>CHOOSE(CONTROL!$C$42, 8.7948, 8.7948) * CHOOSE(CONTROL!$C$21, $C$9, 100%, $E$9)</f>
        <v>8.7948000000000004</v>
      </c>
      <c r="D179" s="14">
        <f>CHOOSE(CONTROL!$C$42, 8.8639, 8.8639) * CHOOSE(CONTROL!$C$21, $C$9, 100%, $E$9)</f>
        <v>8.8638999999999992</v>
      </c>
      <c r="E179" s="14">
        <f>CHOOSE(CONTROL!$C$42, 8.898, 8.898) * CHOOSE(CONTROL!$C$21, $C$9, 100%, $E$9)</f>
        <v>8.8979999999999997</v>
      </c>
      <c r="F179" s="14">
        <f>CHOOSE(CONTROL!$C$42, 8.8254, 8.8254)*CHOOSE(CONTROL!$C$21, $C$9, 100%, $E$9)</f>
        <v>8.8254000000000001</v>
      </c>
      <c r="G179" s="14">
        <f>CHOOSE(CONTROL!$C$42, 8.8428, 8.8428)*CHOOSE(CONTROL!$C$21, $C$9, 100%, $E$9)</f>
        <v>8.8428000000000004</v>
      </c>
      <c r="H179" s="14">
        <f>CHOOSE(CONTROL!$C$42, 8.8872, 8.8872) * CHOOSE(CONTROL!$C$21, $C$9, 100%, $E$9)</f>
        <v>8.8872</v>
      </c>
      <c r="I179" s="14">
        <f>CHOOSE(CONTROL!$C$42, 8.8536, 8.8536)* CHOOSE(CONTROL!$C$21, $C$9, 100%, $E$9)</f>
        <v>8.8536000000000001</v>
      </c>
      <c r="J179" s="14">
        <f>CHOOSE(CONTROL!$C$42, 8.8184, 8.8184)* CHOOSE(CONTROL!$C$21, $C$9, 100%, $E$9)</f>
        <v>8.8184000000000005</v>
      </c>
      <c r="K179" s="52">
        <f>CHOOSE(CONTROL!$C$42, 8.8497, 8.8497) * CHOOSE(CONTROL!$C$21, $C$9, 100%, $E$9)</f>
        <v>8.8497000000000003</v>
      </c>
      <c r="L179" s="14">
        <f>CHOOSE(CONTROL!$C$42, 9.4742, 9.4742) * CHOOSE(CONTROL!$C$21, $C$9, 100%, $E$9)</f>
        <v>9.4741999999999997</v>
      </c>
      <c r="M179" s="14">
        <f>CHOOSE(CONTROL!$C$42, 8.6454, 8.6454) * CHOOSE(CONTROL!$C$21, $C$9, 100%, $E$9)</f>
        <v>8.6454000000000004</v>
      </c>
      <c r="N179" s="14">
        <f>CHOOSE(CONTROL!$C$42, 8.6624, 8.6624) * CHOOSE(CONTROL!$C$21, $C$9, 100%, $E$9)</f>
        <v>8.6623999999999999</v>
      </c>
      <c r="O179" s="14">
        <f>CHOOSE(CONTROL!$C$42, 8.7128, 8.7128) * CHOOSE(CONTROL!$C$21, $C$9, 100%, $E$9)</f>
        <v>8.7127999999999997</v>
      </c>
      <c r="P179" s="14">
        <f>CHOOSE(CONTROL!$C$42, 8.6794, 8.6794) * CHOOSE(CONTROL!$C$21, $C$9, 100%, $E$9)</f>
        <v>8.6793999999999993</v>
      </c>
      <c r="Q179" s="14">
        <f>CHOOSE(CONTROL!$C$42, 9.3075, 9.3075) * CHOOSE(CONTROL!$C$21, $C$9, 100%, $E$9)</f>
        <v>9.3074999999999992</v>
      </c>
      <c r="R179" s="14">
        <f>CHOOSE(CONTROL!$C$42, 9.9177, 9.9177) * CHOOSE(CONTROL!$C$21, $C$9, 100%, $E$9)</f>
        <v>9.9177</v>
      </c>
      <c r="S179" s="14">
        <f>CHOOSE(CONTROL!$C$42, 8.4376, 8.4376) * CHOOSE(CONTROL!$C$21, $C$9, 100%, $E$9)</f>
        <v>8.4375999999999998</v>
      </c>
      <c r="T17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56">
        <f>(1000*CHOOSE(CONTROL!$C$42, 695, 695)*CHOOSE(CONTROL!$C$42, 0.5599, 0.5599)*CHOOSE(CONTROL!$C$42, 30, 30))/1000000</f>
        <v>11.673914999999997</v>
      </c>
      <c r="V179" s="56">
        <f>(1000*CHOOSE(CONTROL!$C$42, 500, 500)*CHOOSE(CONTROL!$C$42, 0.275, 0.275)*CHOOSE(CONTROL!$C$42, 30, 30))/1000000</f>
        <v>4.125</v>
      </c>
      <c r="W179" s="56">
        <f>(1000*CHOOSE(CONTROL!$C$42, 0.1146, 0.1146)*CHOOSE(CONTROL!$C$42, 121.5, 121.5)*CHOOSE(CONTROL!$C$42, 30, 30))/1000000</f>
        <v>0.417717</v>
      </c>
      <c r="X179" s="56">
        <f>(30*0.1790888*100000/1000000)+(30*0.2374*100000/1000000)</f>
        <v>1.2494664</v>
      </c>
      <c r="Y179" s="56"/>
      <c r="Z179" s="14"/>
      <c r="AA179" s="55"/>
      <c r="AB179" s="49">
        <f>(B179*122.58+C179*297.941+D179*89.177+E179*40.302+F179*40+G179*160+H179*0+I179*100+J179*300)/(122.58+297.941+89.177+40.302+0+40+160+100+300)</f>
        <v>8.8222542583478258</v>
      </c>
      <c r="AC179" s="44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8.6818187050359708</v>
      </c>
    </row>
    <row r="180" spans="1:29" ht="15.75" x14ac:dyDescent="0.25">
      <c r="A180" s="13">
        <v>46357</v>
      </c>
      <c r="B180" s="14">
        <f>CHOOSE(CONTROL!$C$42, 9.4077, 9.4077) * CHOOSE(CONTROL!$C$21, $C$9, 100%, $E$9)</f>
        <v>9.4077000000000002</v>
      </c>
      <c r="C180" s="14">
        <f>CHOOSE(CONTROL!$C$42, 9.4128, 9.4128) * CHOOSE(CONTROL!$C$21, $C$9, 100%, $E$9)</f>
        <v>9.4128000000000007</v>
      </c>
      <c r="D180" s="14">
        <f>CHOOSE(CONTROL!$C$42, 9.4818, 9.4818) * CHOOSE(CONTROL!$C$21, $C$9, 100%, $E$9)</f>
        <v>9.4817999999999998</v>
      </c>
      <c r="E180" s="14">
        <f>CHOOSE(CONTROL!$C$42, 9.5159, 9.5159) * CHOOSE(CONTROL!$C$21, $C$9, 100%, $E$9)</f>
        <v>9.5159000000000002</v>
      </c>
      <c r="F180" s="14">
        <f>CHOOSE(CONTROL!$C$42, 9.4456, 9.4456)*CHOOSE(CONTROL!$C$21, $C$9, 100%, $E$9)</f>
        <v>9.4456000000000007</v>
      </c>
      <c r="G180" s="14">
        <f>CHOOSE(CONTROL!$C$42, 9.4636, 9.4636)*CHOOSE(CONTROL!$C$21, $C$9, 100%, $E$9)</f>
        <v>9.4635999999999996</v>
      </c>
      <c r="H180" s="14">
        <f>CHOOSE(CONTROL!$C$42, 9.5051, 9.5051) * CHOOSE(CONTROL!$C$21, $C$9, 100%, $E$9)</f>
        <v>9.5051000000000005</v>
      </c>
      <c r="I180" s="14">
        <f>CHOOSE(CONTROL!$C$42, 9.4735, 9.4735)* CHOOSE(CONTROL!$C$21, $C$9, 100%, $E$9)</f>
        <v>9.4734999999999996</v>
      </c>
      <c r="J180" s="14">
        <f>CHOOSE(CONTROL!$C$42, 9.4386, 9.4386)* CHOOSE(CONTROL!$C$21, $C$9, 100%, $E$9)</f>
        <v>9.4385999999999992</v>
      </c>
      <c r="K180" s="52">
        <f>CHOOSE(CONTROL!$C$42, 9.4696, 9.4696) * CHOOSE(CONTROL!$C$21, $C$9, 100%, $E$9)</f>
        <v>9.4695999999999998</v>
      </c>
      <c r="L180" s="14">
        <f>CHOOSE(CONTROL!$C$42, 10.0921, 10.0921) * CHOOSE(CONTROL!$C$21, $C$9, 100%, $E$9)</f>
        <v>10.0921</v>
      </c>
      <c r="M180" s="14">
        <f>CHOOSE(CONTROL!$C$42, 9.2529, 9.2529) * CHOOSE(CONTROL!$C$21, $C$9, 100%, $E$9)</f>
        <v>9.2529000000000003</v>
      </c>
      <c r="N180" s="14">
        <f>CHOOSE(CONTROL!$C$42, 9.2705, 9.2705) * CHOOSE(CONTROL!$C$21, $C$9, 100%, $E$9)</f>
        <v>9.2705000000000002</v>
      </c>
      <c r="O180" s="14">
        <f>CHOOSE(CONTROL!$C$42, 9.318, 9.318) * CHOOSE(CONTROL!$C$21, $C$9, 100%, $E$9)</f>
        <v>9.3179999999999996</v>
      </c>
      <c r="P180" s="14">
        <f>CHOOSE(CONTROL!$C$42, 9.2866, 9.2866) * CHOOSE(CONTROL!$C$21, $C$9, 100%, $E$9)</f>
        <v>9.2866</v>
      </c>
      <c r="Q180" s="14">
        <f>CHOOSE(CONTROL!$C$42, 9.9127, 9.9127) * CHOOSE(CONTROL!$C$21, $C$9, 100%, $E$9)</f>
        <v>9.9126999999999992</v>
      </c>
      <c r="R180" s="14">
        <f>CHOOSE(CONTROL!$C$42, 10.5245, 10.5245) * CHOOSE(CONTROL!$C$21, $C$9, 100%, $E$9)</f>
        <v>10.5245</v>
      </c>
      <c r="S180" s="14">
        <f>CHOOSE(CONTROL!$C$42, 9.0313, 9.0313) * CHOOSE(CONTROL!$C$21, $C$9, 100%, $E$9)</f>
        <v>9.0312999999999999</v>
      </c>
      <c r="T18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56">
        <f>(1000*CHOOSE(CONTROL!$C$42, 695, 695)*CHOOSE(CONTROL!$C$42, 0.5599, 0.5599)*CHOOSE(CONTROL!$C$42, 31, 31))/1000000</f>
        <v>12.063045499999998</v>
      </c>
      <c r="V180" s="56">
        <f>(1000*CHOOSE(CONTROL!$C$42, 500, 500)*CHOOSE(CONTROL!$C$42, 0.275, 0.275)*CHOOSE(CONTROL!$C$42, 31, 31))/1000000</f>
        <v>4.2625000000000002</v>
      </c>
      <c r="W180" s="56">
        <f>(1000*CHOOSE(CONTROL!$C$42, 0.1146, 0.1146)*CHOOSE(CONTROL!$C$42, 121.5, 121.5)*CHOOSE(CONTROL!$C$42, 31, 31))/1000000</f>
        <v>0.43164089999999994</v>
      </c>
      <c r="X180" s="56">
        <f>(31*0.1790888*100000/1000000)+(31*0.2374*100000/1000000)</f>
        <v>1.2911152800000001</v>
      </c>
      <c r="Y180" s="56"/>
      <c r="Z180" s="14"/>
      <c r="AA180" s="55"/>
      <c r="AB180" s="49">
        <f>(B180*122.58+C180*297.941+D180*89.177+E180*40.302+F180*40+G180*160+H180*0+I180*100+J180*300)/(122.58+297.941+89.177+40.302+0+40+160+100+300)</f>
        <v>9.4414375575652159</v>
      </c>
      <c r="AC180" s="44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9.2882676258992802</v>
      </c>
    </row>
    <row r="181" spans="1:29" ht="15.75" x14ac:dyDescent="0.25">
      <c r="A181" s="13">
        <v>46388</v>
      </c>
      <c r="B181" s="14">
        <f>CHOOSE(CONTROL!$C$42, 9.9157, 9.9157) * CHOOSE(CONTROL!$C$21, $C$9, 100%, $E$9)</f>
        <v>9.9156999999999993</v>
      </c>
      <c r="C181" s="14">
        <f>CHOOSE(CONTROL!$C$42, 9.9208, 9.9208) * CHOOSE(CONTROL!$C$21, $C$9, 100%, $E$9)</f>
        <v>9.9207999999999998</v>
      </c>
      <c r="D181" s="14">
        <f>CHOOSE(CONTROL!$C$42, 10.0002, 10.0002) * CHOOSE(CONTROL!$C$21, $C$9, 100%, $E$9)</f>
        <v>10.0002</v>
      </c>
      <c r="E181" s="14">
        <f>CHOOSE(CONTROL!$C$42, 10.0343, 10.0343) * CHOOSE(CONTROL!$C$21, $C$9, 100%, $E$9)</f>
        <v>10.0343</v>
      </c>
      <c r="F181" s="14">
        <f>CHOOSE(CONTROL!$C$42, 9.9387, 9.9387)*CHOOSE(CONTROL!$C$21, $C$9, 100%, $E$9)</f>
        <v>9.9387000000000008</v>
      </c>
      <c r="G181" s="14">
        <f>CHOOSE(CONTROL!$C$42, 9.9562, 9.9562)*CHOOSE(CONTROL!$C$21, $C$9, 100%, $E$9)</f>
        <v>9.9562000000000008</v>
      </c>
      <c r="H181" s="14">
        <f>CHOOSE(CONTROL!$C$42, 10.0235, 10.0235) * CHOOSE(CONTROL!$C$21, $C$9, 100%, $E$9)</f>
        <v>10.0235</v>
      </c>
      <c r="I181" s="14">
        <f>CHOOSE(CONTROL!$C$42, 9.982, 9.982)* CHOOSE(CONTROL!$C$21, $C$9, 100%, $E$9)</f>
        <v>9.9819999999999993</v>
      </c>
      <c r="J181" s="14">
        <f>CHOOSE(CONTROL!$C$42, 9.9317, 9.9317)* CHOOSE(CONTROL!$C$21, $C$9, 100%, $E$9)</f>
        <v>9.9316999999999993</v>
      </c>
      <c r="K181" s="52">
        <f>CHOOSE(CONTROL!$C$42, 9.9782, 9.9782) * CHOOSE(CONTROL!$C$21, $C$9, 100%, $E$9)</f>
        <v>9.9781999999999993</v>
      </c>
      <c r="L181" s="14">
        <f>CHOOSE(CONTROL!$C$42, 10.6105, 10.6105) * CHOOSE(CONTROL!$C$21, $C$9, 100%, $E$9)</f>
        <v>10.6105</v>
      </c>
      <c r="M181" s="14">
        <f>CHOOSE(CONTROL!$C$42, 9.7359, 9.7359) * CHOOSE(CONTROL!$C$21, $C$9, 100%, $E$9)</f>
        <v>9.7359000000000009</v>
      </c>
      <c r="N181" s="14">
        <f>CHOOSE(CONTROL!$C$42, 9.7531, 9.7531) * CHOOSE(CONTROL!$C$21, $C$9, 100%, $E$9)</f>
        <v>9.7530999999999999</v>
      </c>
      <c r="O181" s="14">
        <f>CHOOSE(CONTROL!$C$42, 9.8258, 9.8258) * CHOOSE(CONTROL!$C$21, $C$9, 100%, $E$9)</f>
        <v>9.8257999999999992</v>
      </c>
      <c r="P181" s="14">
        <f>CHOOSE(CONTROL!$C$42, 9.7847, 9.7847) * CHOOSE(CONTROL!$C$21, $C$9, 100%, $E$9)</f>
        <v>9.7847000000000008</v>
      </c>
      <c r="Q181" s="14">
        <f>CHOOSE(CONTROL!$C$42, 10.4205, 10.4205) * CHOOSE(CONTROL!$C$21, $C$9, 100%, $E$9)</f>
        <v>10.420500000000001</v>
      </c>
      <c r="R181" s="14">
        <f>CHOOSE(CONTROL!$C$42, 11.0336, 11.0336) * CHOOSE(CONTROL!$C$21, $C$9, 100%, $E$9)</f>
        <v>11.0336</v>
      </c>
      <c r="S181" s="14">
        <f>CHOOSE(CONTROL!$C$42, 9.5195, 9.5195) * CHOOSE(CONTROL!$C$21, $C$9, 100%, $E$9)</f>
        <v>9.5195000000000007</v>
      </c>
      <c r="T18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56">
        <f>(1000*CHOOSE(CONTROL!$C$42, 695, 695)*CHOOSE(CONTROL!$C$42, 0.5599, 0.5599)*CHOOSE(CONTROL!$C$42, 31, 31))/1000000</f>
        <v>12.063045499999998</v>
      </c>
      <c r="V181" s="56">
        <f>(1000*CHOOSE(CONTROL!$C$42, 500, 500)*CHOOSE(CONTROL!$C$42, 0.275, 0.275)*CHOOSE(CONTROL!$C$42, 31, 31))/1000000</f>
        <v>4.2625000000000002</v>
      </c>
      <c r="W181" s="56">
        <f>(1000*CHOOSE(CONTROL!$C$42, 0.1146, 0.1146)*CHOOSE(CONTROL!$C$42, 121.5, 121.5)*CHOOSE(CONTROL!$C$42, 31, 31))/1000000</f>
        <v>0.43164089999999994</v>
      </c>
      <c r="X181" s="56">
        <f>(31*0.1790888*100000/1000000)+(31*0.2374*100000/1000000)</f>
        <v>1.2911152800000001</v>
      </c>
      <c r="Y181" s="56"/>
      <c r="Z181" s="14"/>
      <c r="AA181" s="55"/>
      <c r="AB181" s="49">
        <f>(B181*122.58+C181*297.941+D181*89.177+E181*40.302+F181*40+G181*160+H181*0+I181*100+J181*300)/(122.58+297.941+89.177+40.302+0+40+160+100+300)</f>
        <v>9.9441041502608698</v>
      </c>
      <c r="AC181" s="44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9.7846575539568352</v>
      </c>
    </row>
    <row r="182" spans="1:29" ht="15.75" x14ac:dyDescent="0.25">
      <c r="A182" s="13">
        <v>46419</v>
      </c>
      <c r="B182" s="14">
        <f>CHOOSE(CONTROL!$C$42, 10.1128, 10.1128) * CHOOSE(CONTROL!$C$21, $C$9, 100%, $E$9)</f>
        <v>10.1128</v>
      </c>
      <c r="C182" s="14">
        <f>CHOOSE(CONTROL!$C$42, 10.1179, 10.1179) * CHOOSE(CONTROL!$C$21, $C$9, 100%, $E$9)</f>
        <v>10.117900000000001</v>
      </c>
      <c r="D182" s="14">
        <f>CHOOSE(CONTROL!$C$42, 10.1973, 10.1973) * CHOOSE(CONTROL!$C$21, $C$9, 100%, $E$9)</f>
        <v>10.1973</v>
      </c>
      <c r="E182" s="14">
        <f>CHOOSE(CONTROL!$C$42, 10.2314, 10.2314) * CHOOSE(CONTROL!$C$21, $C$9, 100%, $E$9)</f>
        <v>10.231400000000001</v>
      </c>
      <c r="F182" s="14">
        <f>CHOOSE(CONTROL!$C$42, 10.1356, 10.1356)*CHOOSE(CONTROL!$C$21, $C$9, 100%, $E$9)</f>
        <v>10.1356</v>
      </c>
      <c r="G182" s="14">
        <f>CHOOSE(CONTROL!$C$42, 10.1531, 10.1531)*CHOOSE(CONTROL!$C$21, $C$9, 100%, $E$9)</f>
        <v>10.1531</v>
      </c>
      <c r="H182" s="14">
        <f>CHOOSE(CONTROL!$C$42, 10.2206, 10.2206) * CHOOSE(CONTROL!$C$21, $C$9, 100%, $E$9)</f>
        <v>10.220599999999999</v>
      </c>
      <c r="I182" s="14">
        <f>CHOOSE(CONTROL!$C$42, 10.1798, 10.1798)* CHOOSE(CONTROL!$C$21, $C$9, 100%, $E$9)</f>
        <v>10.1798</v>
      </c>
      <c r="J182" s="14">
        <f>CHOOSE(CONTROL!$C$42, 10.1286, 10.1286)* CHOOSE(CONTROL!$C$21, $C$9, 100%, $E$9)</f>
        <v>10.1286</v>
      </c>
      <c r="K182" s="52">
        <f>CHOOSE(CONTROL!$C$42, 10.1759, 10.1759) * CHOOSE(CONTROL!$C$21, $C$9, 100%, $E$9)</f>
        <v>10.1759</v>
      </c>
      <c r="L182" s="14">
        <f>CHOOSE(CONTROL!$C$42, 10.8076, 10.8076) * CHOOSE(CONTROL!$C$21, $C$9, 100%, $E$9)</f>
        <v>10.807600000000001</v>
      </c>
      <c r="M182" s="14">
        <f>CHOOSE(CONTROL!$C$42, 9.9288, 9.9288) * CHOOSE(CONTROL!$C$21, $C$9, 100%, $E$9)</f>
        <v>9.9288000000000007</v>
      </c>
      <c r="N182" s="14">
        <f>CHOOSE(CONTROL!$C$42, 9.9459, 9.9459) * CHOOSE(CONTROL!$C$21, $C$9, 100%, $E$9)</f>
        <v>9.9459</v>
      </c>
      <c r="O182" s="14">
        <f>CHOOSE(CONTROL!$C$42, 10.0189, 10.0189) * CHOOSE(CONTROL!$C$21, $C$9, 100%, $E$9)</f>
        <v>10.0189</v>
      </c>
      <c r="P182" s="14">
        <f>CHOOSE(CONTROL!$C$42, 9.9783, 9.9783) * CHOOSE(CONTROL!$C$21, $C$9, 100%, $E$9)</f>
        <v>9.9783000000000008</v>
      </c>
      <c r="Q182" s="14">
        <f>CHOOSE(CONTROL!$C$42, 10.6136, 10.6136) * CHOOSE(CONTROL!$C$21, $C$9, 100%, $E$9)</f>
        <v>10.6136</v>
      </c>
      <c r="R182" s="14">
        <f>CHOOSE(CONTROL!$C$42, 11.2271, 11.2271) * CHOOSE(CONTROL!$C$21, $C$9, 100%, $E$9)</f>
        <v>11.2271</v>
      </c>
      <c r="S182" s="14">
        <f>CHOOSE(CONTROL!$C$42, 9.7089, 9.7089) * CHOOSE(CONTROL!$C$21, $C$9, 100%, $E$9)</f>
        <v>9.7088999999999999</v>
      </c>
      <c r="T18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82" s="56">
        <f>(1000*CHOOSE(CONTROL!$C$42, 695, 695)*CHOOSE(CONTROL!$C$42, 0.5599, 0.5599)*CHOOSE(CONTROL!$C$42, 28, 28))/1000000</f>
        <v>10.895653999999999</v>
      </c>
      <c r="V182" s="56">
        <f>(1000*CHOOSE(CONTROL!$C$42, 500, 500)*CHOOSE(CONTROL!$C$42, 0.275, 0.275)*CHOOSE(CONTROL!$C$42, 28, 28))/1000000</f>
        <v>3.85</v>
      </c>
      <c r="W182" s="56">
        <f>(1000*CHOOSE(CONTROL!$C$42, 0.1146, 0.1146)*CHOOSE(CONTROL!$C$42, 121.5, 121.5)*CHOOSE(CONTROL!$C$42, 28, 28))/1000000</f>
        <v>0.38986920000000003</v>
      </c>
      <c r="X182" s="56">
        <f>(28*0.1790888*100000/1000000)+(28*0.2374*100000/1000000)</f>
        <v>1.16616864</v>
      </c>
      <c r="Y182" s="56"/>
      <c r="Z182" s="14"/>
      <c r="AA182" s="55"/>
      <c r="AB182" s="49">
        <f>(B182*122.58+C182*297.941+D182*89.177+E182*40.302+F182*40+G182*160+H182*0+I182*100+J182*300)/(122.58+297.941+89.177+40.302+0+40+160+100+300)</f>
        <v>10.141178063304347</v>
      </c>
      <c r="AC182" s="44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9.9777431654676274</v>
      </c>
    </row>
    <row r="183" spans="1:29" ht="15.75" x14ac:dyDescent="0.25">
      <c r="A183" s="13">
        <v>46447</v>
      </c>
      <c r="B183" s="14">
        <f>CHOOSE(CONTROL!$C$42, 9.8462, 9.8462) * CHOOSE(CONTROL!$C$21, $C$9, 100%, $E$9)</f>
        <v>9.8461999999999996</v>
      </c>
      <c r="C183" s="14">
        <f>CHOOSE(CONTROL!$C$42, 9.8513, 9.8513) * CHOOSE(CONTROL!$C$21, $C$9, 100%, $E$9)</f>
        <v>9.8513000000000002</v>
      </c>
      <c r="D183" s="14">
        <f>CHOOSE(CONTROL!$C$42, 9.9307, 9.9307) * CHOOSE(CONTROL!$C$21, $C$9, 100%, $E$9)</f>
        <v>9.9306999999999999</v>
      </c>
      <c r="E183" s="14">
        <f>CHOOSE(CONTROL!$C$42, 9.9648, 9.9648) * CHOOSE(CONTROL!$C$21, $C$9, 100%, $E$9)</f>
        <v>9.9648000000000003</v>
      </c>
      <c r="F183" s="14">
        <f>CHOOSE(CONTROL!$C$42, 9.8682, 9.8682)*CHOOSE(CONTROL!$C$21, $C$9, 100%, $E$9)</f>
        <v>9.8681999999999999</v>
      </c>
      <c r="G183" s="14">
        <f>CHOOSE(CONTROL!$C$42, 9.8855, 9.8855)*CHOOSE(CONTROL!$C$21, $C$9, 100%, $E$9)</f>
        <v>9.8855000000000004</v>
      </c>
      <c r="H183" s="14">
        <f>CHOOSE(CONTROL!$C$42, 9.954, 9.954) * CHOOSE(CONTROL!$C$21, $C$9, 100%, $E$9)</f>
        <v>9.9540000000000006</v>
      </c>
      <c r="I183" s="14">
        <f>CHOOSE(CONTROL!$C$42, 9.9123, 9.9123)* CHOOSE(CONTROL!$C$21, $C$9, 100%, $E$9)</f>
        <v>9.9123000000000001</v>
      </c>
      <c r="J183" s="14">
        <f>CHOOSE(CONTROL!$C$42, 9.8612, 9.8612)* CHOOSE(CONTROL!$C$21, $C$9, 100%, $E$9)</f>
        <v>9.8612000000000002</v>
      </c>
      <c r="K183" s="52">
        <f>CHOOSE(CONTROL!$C$42, 9.9084, 9.9084) * CHOOSE(CONTROL!$C$21, $C$9, 100%, $E$9)</f>
        <v>9.9084000000000003</v>
      </c>
      <c r="L183" s="14">
        <f>CHOOSE(CONTROL!$C$42, 10.541, 10.541) * CHOOSE(CONTROL!$C$21, $C$9, 100%, $E$9)</f>
        <v>10.541</v>
      </c>
      <c r="M183" s="14">
        <f>CHOOSE(CONTROL!$C$42, 9.6669, 9.6669) * CHOOSE(CONTROL!$C$21, $C$9, 100%, $E$9)</f>
        <v>9.6669</v>
      </c>
      <c r="N183" s="14">
        <f>CHOOSE(CONTROL!$C$42, 9.6838, 9.6838) * CHOOSE(CONTROL!$C$21, $C$9, 100%, $E$9)</f>
        <v>9.6837999999999997</v>
      </c>
      <c r="O183" s="14">
        <f>CHOOSE(CONTROL!$C$42, 9.7577, 9.7577) * CHOOSE(CONTROL!$C$21, $C$9, 100%, $E$9)</f>
        <v>9.7576999999999998</v>
      </c>
      <c r="P183" s="14">
        <f>CHOOSE(CONTROL!$C$42, 9.7164, 9.7164) * CHOOSE(CONTROL!$C$21, $C$9, 100%, $E$9)</f>
        <v>9.7164000000000001</v>
      </c>
      <c r="Q183" s="14">
        <f>CHOOSE(CONTROL!$C$42, 10.3524, 10.3524) * CHOOSE(CONTROL!$C$21, $C$9, 100%, $E$9)</f>
        <v>10.352399999999999</v>
      </c>
      <c r="R183" s="14">
        <f>CHOOSE(CONTROL!$C$42, 10.9653, 10.9653) * CHOOSE(CONTROL!$C$21, $C$9, 100%, $E$9)</f>
        <v>10.965299999999999</v>
      </c>
      <c r="S183" s="14">
        <f>CHOOSE(CONTROL!$C$42, 9.4527, 9.4527) * CHOOSE(CONTROL!$C$21, $C$9, 100%, $E$9)</f>
        <v>9.4527000000000001</v>
      </c>
      <c r="T18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56">
        <f>(1000*CHOOSE(CONTROL!$C$42, 695, 695)*CHOOSE(CONTROL!$C$42, 0.5599, 0.5599)*CHOOSE(CONTROL!$C$42, 31, 31))/1000000</f>
        <v>12.063045499999998</v>
      </c>
      <c r="V183" s="56">
        <f>(1000*CHOOSE(CONTROL!$C$42, 500, 500)*CHOOSE(CONTROL!$C$42, 0.275, 0.275)*CHOOSE(CONTROL!$C$42, 31, 31))/1000000</f>
        <v>4.2625000000000002</v>
      </c>
      <c r="W183" s="56">
        <f>(1000*CHOOSE(CONTROL!$C$42, 0.1146, 0.1146)*CHOOSE(CONTROL!$C$42, 121.5, 121.5)*CHOOSE(CONTROL!$C$42, 31, 31))/1000000</f>
        <v>0.43164089999999994</v>
      </c>
      <c r="X183" s="56">
        <f>(31*0.1790888*100000/1000000)+(31*0.2374*100000/1000000)</f>
        <v>1.2911152800000001</v>
      </c>
      <c r="Y183" s="56"/>
      <c r="Z183" s="14"/>
      <c r="AA183" s="55"/>
      <c r="AB183" s="49">
        <f>(B183*122.58+C183*297.941+D183*89.177+E183*40.302+F183*40+G183*160+H183*0+I183*100+J183*300)/(122.58+297.941+89.177+40.302+0+40+160+100+300)</f>
        <v>9.8741241502608705</v>
      </c>
      <c r="AC183" s="44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9.7161489208633096</v>
      </c>
    </row>
    <row r="184" spans="1:29" ht="15.75" x14ac:dyDescent="0.25">
      <c r="A184" s="13">
        <v>46478</v>
      </c>
      <c r="B184" s="14">
        <f>CHOOSE(CONTROL!$C$42, 9.838, 9.838) * CHOOSE(CONTROL!$C$21, $C$9, 100%, $E$9)</f>
        <v>9.8379999999999992</v>
      </c>
      <c r="C184" s="14">
        <f>CHOOSE(CONTROL!$C$42, 9.8424, 9.8424) * CHOOSE(CONTROL!$C$21, $C$9, 100%, $E$9)</f>
        <v>9.8423999999999996</v>
      </c>
      <c r="D184" s="14">
        <f>CHOOSE(CONTROL!$C$42, 10.0714, 10.0714) * CHOOSE(CONTROL!$C$21, $C$9, 100%, $E$9)</f>
        <v>10.071400000000001</v>
      </c>
      <c r="E184" s="14">
        <f>CHOOSE(CONTROL!$C$42, 10.1035, 10.1035) * CHOOSE(CONTROL!$C$21, $C$9, 100%, $E$9)</f>
        <v>10.1035</v>
      </c>
      <c r="F184" s="14">
        <f>CHOOSE(CONTROL!$C$42, 9.865, 9.865)*CHOOSE(CONTROL!$C$21, $C$9, 100%, $E$9)</f>
        <v>9.8650000000000002</v>
      </c>
      <c r="G184" s="14">
        <f>CHOOSE(CONTROL!$C$42, 9.8817, 9.8817)*CHOOSE(CONTROL!$C$21, $C$9, 100%, $E$9)</f>
        <v>9.8817000000000004</v>
      </c>
      <c r="H184" s="14">
        <f>CHOOSE(CONTROL!$C$42, 10.0933, 10.0933) * CHOOSE(CONTROL!$C$21, $C$9, 100%, $E$9)</f>
        <v>10.093299999999999</v>
      </c>
      <c r="I184" s="14">
        <f>CHOOSE(CONTROL!$C$42, 9.9017, 9.9017)* CHOOSE(CONTROL!$C$21, $C$9, 100%, $E$9)</f>
        <v>9.9016999999999999</v>
      </c>
      <c r="J184" s="14">
        <f>CHOOSE(CONTROL!$C$42, 9.858, 9.858)* CHOOSE(CONTROL!$C$21, $C$9, 100%, $E$9)</f>
        <v>9.8580000000000005</v>
      </c>
      <c r="K184" s="52">
        <f>CHOOSE(CONTROL!$C$42, 9.8978, 9.8978) * CHOOSE(CONTROL!$C$21, $C$9, 100%, $E$9)</f>
        <v>9.8978000000000002</v>
      </c>
      <c r="L184" s="14">
        <f>CHOOSE(CONTROL!$C$42, 10.6803, 10.6803) * CHOOSE(CONTROL!$C$21, $C$9, 100%, $E$9)</f>
        <v>10.680300000000001</v>
      </c>
      <c r="M184" s="14">
        <f>CHOOSE(CONTROL!$C$42, 9.6637, 9.6637) * CHOOSE(CONTROL!$C$21, $C$9, 100%, $E$9)</f>
        <v>9.6637000000000004</v>
      </c>
      <c r="N184" s="14">
        <f>CHOOSE(CONTROL!$C$42, 9.68, 9.68) * CHOOSE(CONTROL!$C$21, $C$9, 100%, $E$9)</f>
        <v>9.68</v>
      </c>
      <c r="O184" s="14">
        <f>CHOOSE(CONTROL!$C$42, 9.8942, 9.8942) * CHOOSE(CONTROL!$C$21, $C$9, 100%, $E$9)</f>
        <v>9.8941999999999997</v>
      </c>
      <c r="P184" s="14">
        <f>CHOOSE(CONTROL!$C$42, 9.706, 9.706) * CHOOSE(CONTROL!$C$21, $C$9, 100%, $E$9)</f>
        <v>9.7059999999999995</v>
      </c>
      <c r="Q184" s="14">
        <f>CHOOSE(CONTROL!$C$42, 10.4889, 10.4889) * CHOOSE(CONTROL!$C$21, $C$9, 100%, $E$9)</f>
        <v>10.488899999999999</v>
      </c>
      <c r="R184" s="14">
        <f>CHOOSE(CONTROL!$C$42, 11.1021, 11.1021) * CHOOSE(CONTROL!$C$21, $C$9, 100%, $E$9)</f>
        <v>11.1021</v>
      </c>
      <c r="S184" s="14">
        <f>CHOOSE(CONTROL!$C$42, 9.444, 9.444) * CHOOSE(CONTROL!$C$21, $C$9, 100%, $E$9)</f>
        <v>9.4440000000000008</v>
      </c>
      <c r="T18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56">
        <f>(1000*CHOOSE(CONTROL!$C$42, 695, 695)*CHOOSE(CONTROL!$C$42, 0.5599, 0.5599)*CHOOSE(CONTROL!$C$42, 30, 30))/1000000</f>
        <v>11.673914999999997</v>
      </c>
      <c r="V184" s="56">
        <f>(1000*CHOOSE(CONTROL!$C$42, 500, 500)*CHOOSE(CONTROL!$C$42, 0.275, 0.275)*CHOOSE(CONTROL!$C$42, 30, 30))/1000000</f>
        <v>4.125</v>
      </c>
      <c r="W184" s="56">
        <f>(1000*CHOOSE(CONTROL!$C$42, 0.1146, 0.1146)*CHOOSE(CONTROL!$C$42, 121.5, 121.5)*CHOOSE(CONTROL!$C$42, 30, 30))/1000000</f>
        <v>0.417717</v>
      </c>
      <c r="X184" s="56">
        <f>(30*0.1790888*245000/1000000)+(30*0.2374*100000/1000000)</f>
        <v>2.0285026799999999</v>
      </c>
      <c r="Y184" s="56"/>
      <c r="Z184" s="14"/>
      <c r="AA184" s="55"/>
      <c r="AB184" s="49">
        <f>(B184*141.293+C184*267.993+D184*115.016+E184*89.698+F184*40+G184*185+H184*0+I184*100+J184*300)/(141.293+267.993+115.016+89.698+0+40+185+100+300)</f>
        <v>9.897219711541565</v>
      </c>
      <c r="AC184" s="44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9.7382115107913645</v>
      </c>
    </row>
    <row r="185" spans="1:29" ht="15.75" x14ac:dyDescent="0.25">
      <c r="A185" s="13">
        <v>46508</v>
      </c>
      <c r="B185" s="14">
        <f>CHOOSE(CONTROL!$C$42, 9.9465, 9.9465) * CHOOSE(CONTROL!$C$21, $C$9, 100%, $E$9)</f>
        <v>9.9465000000000003</v>
      </c>
      <c r="C185" s="14">
        <f>CHOOSE(CONTROL!$C$42, 9.9545, 9.9545) * CHOOSE(CONTROL!$C$21, $C$9, 100%, $E$9)</f>
        <v>9.9544999999999995</v>
      </c>
      <c r="D185" s="14">
        <f>CHOOSE(CONTROL!$C$42, 10.1803, 10.1803) * CHOOSE(CONTROL!$C$21, $C$9, 100%, $E$9)</f>
        <v>10.180300000000001</v>
      </c>
      <c r="E185" s="14">
        <f>CHOOSE(CONTROL!$C$42, 10.2118, 10.2118) * CHOOSE(CONTROL!$C$21, $C$9, 100%, $E$9)</f>
        <v>10.2118</v>
      </c>
      <c r="F185" s="14">
        <f>CHOOSE(CONTROL!$C$42, 9.9722, 9.9722)*CHOOSE(CONTROL!$C$21, $C$9, 100%, $E$9)</f>
        <v>9.9722000000000008</v>
      </c>
      <c r="G185" s="14">
        <f>CHOOSE(CONTROL!$C$42, 9.9891, 9.9891)*CHOOSE(CONTROL!$C$21, $C$9, 100%, $E$9)</f>
        <v>9.9891000000000005</v>
      </c>
      <c r="H185" s="14">
        <f>CHOOSE(CONTROL!$C$42, 10.2004, 10.2004) * CHOOSE(CONTROL!$C$21, $C$9, 100%, $E$9)</f>
        <v>10.2004</v>
      </c>
      <c r="I185" s="14">
        <f>CHOOSE(CONTROL!$C$42, 10.0092, 10.0092)* CHOOSE(CONTROL!$C$21, $C$9, 100%, $E$9)</f>
        <v>10.0092</v>
      </c>
      <c r="J185" s="14">
        <f>CHOOSE(CONTROL!$C$42, 9.9652, 9.9652)* CHOOSE(CONTROL!$C$21, $C$9, 100%, $E$9)</f>
        <v>9.9651999999999994</v>
      </c>
      <c r="K185" s="52">
        <f>CHOOSE(CONTROL!$C$42, 10.0053, 10.0053) * CHOOSE(CONTROL!$C$21, $C$9, 100%, $E$9)</f>
        <v>10.0053</v>
      </c>
      <c r="L185" s="14">
        <f>CHOOSE(CONTROL!$C$42, 10.7874, 10.7874) * CHOOSE(CONTROL!$C$21, $C$9, 100%, $E$9)</f>
        <v>10.7874</v>
      </c>
      <c r="M185" s="14">
        <f>CHOOSE(CONTROL!$C$42, 9.7687, 9.7687) * CHOOSE(CONTROL!$C$21, $C$9, 100%, $E$9)</f>
        <v>9.7687000000000008</v>
      </c>
      <c r="N185" s="14">
        <f>CHOOSE(CONTROL!$C$42, 9.7853, 9.7853) * CHOOSE(CONTROL!$C$21, $C$9, 100%, $E$9)</f>
        <v>9.7852999999999994</v>
      </c>
      <c r="O185" s="14">
        <f>CHOOSE(CONTROL!$C$42, 9.9991, 9.9991) * CHOOSE(CONTROL!$C$21, $C$9, 100%, $E$9)</f>
        <v>9.9991000000000003</v>
      </c>
      <c r="P185" s="14">
        <f>CHOOSE(CONTROL!$C$42, 9.8113, 9.8113) * CHOOSE(CONTROL!$C$21, $C$9, 100%, $E$9)</f>
        <v>9.8112999999999992</v>
      </c>
      <c r="Q185" s="14">
        <f>CHOOSE(CONTROL!$C$42, 10.5938, 10.5938) * CHOOSE(CONTROL!$C$21, $C$9, 100%, $E$9)</f>
        <v>10.5938</v>
      </c>
      <c r="R185" s="14">
        <f>CHOOSE(CONTROL!$C$42, 11.2073, 11.2073) * CHOOSE(CONTROL!$C$21, $C$9, 100%, $E$9)</f>
        <v>11.2073</v>
      </c>
      <c r="S185" s="14">
        <f>CHOOSE(CONTROL!$C$42, 9.547, 9.547) * CHOOSE(CONTROL!$C$21, $C$9, 100%, $E$9)</f>
        <v>9.5470000000000006</v>
      </c>
      <c r="T18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56">
        <f>(1000*CHOOSE(CONTROL!$C$42, 695, 695)*CHOOSE(CONTROL!$C$42, 0.5599, 0.5599)*CHOOSE(CONTROL!$C$42, 31, 31))/1000000</f>
        <v>12.063045499999998</v>
      </c>
      <c r="V185" s="56">
        <f>(1000*CHOOSE(CONTROL!$C$42, 500, 500)*CHOOSE(CONTROL!$C$42, 0.275, 0.275)*CHOOSE(CONTROL!$C$42, 31, 31))/1000000</f>
        <v>4.2625000000000002</v>
      </c>
      <c r="W185" s="56">
        <f>(1000*CHOOSE(CONTROL!$C$42, 0.1146, 0.1146)*CHOOSE(CONTROL!$C$42, 121.5, 121.5)*CHOOSE(CONTROL!$C$42, 31, 31))/1000000</f>
        <v>0.43164089999999994</v>
      </c>
      <c r="X185" s="56">
        <f>(31*0.1790888*245000/1000000)+(31*0.2374*100000/1000000)</f>
        <v>2.0961194359999999</v>
      </c>
      <c r="Y185" s="56"/>
      <c r="Z185" s="14"/>
      <c r="AA185" s="55"/>
      <c r="AB185" s="49">
        <f>(B185*194.205+C185*267.466+D185*133.845+E185*53.484+F185*40+G185*185+H185*0+I185*100+J185*300)/(194.205+267.466+133.845+53.484+0+40+185+100+300)</f>
        <v>10.000197797645212</v>
      </c>
      <c r="AC185" s="44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9.8432956834532384</v>
      </c>
    </row>
    <row r="186" spans="1:29" ht="15.75" x14ac:dyDescent="0.25">
      <c r="A186" s="13">
        <v>46539</v>
      </c>
      <c r="B186" s="14">
        <f>CHOOSE(CONTROL!$C$42, 10.2494, 10.2494) * CHOOSE(CONTROL!$C$21, $C$9, 100%, $E$9)</f>
        <v>10.2494</v>
      </c>
      <c r="C186" s="14">
        <f>CHOOSE(CONTROL!$C$42, 10.2574, 10.2574) * CHOOSE(CONTROL!$C$21, $C$9, 100%, $E$9)</f>
        <v>10.257400000000001</v>
      </c>
      <c r="D186" s="14">
        <f>CHOOSE(CONTROL!$C$42, 10.4832, 10.4832) * CHOOSE(CONTROL!$C$21, $C$9, 100%, $E$9)</f>
        <v>10.4832</v>
      </c>
      <c r="E186" s="14">
        <f>CHOOSE(CONTROL!$C$42, 10.5146, 10.5146) * CHOOSE(CONTROL!$C$21, $C$9, 100%, $E$9)</f>
        <v>10.5146</v>
      </c>
      <c r="F186" s="14">
        <f>CHOOSE(CONTROL!$C$42, 10.2755, 10.2755)*CHOOSE(CONTROL!$C$21, $C$9, 100%, $E$9)</f>
        <v>10.275499999999999</v>
      </c>
      <c r="G186" s="14">
        <f>CHOOSE(CONTROL!$C$42, 10.2925, 10.2925)*CHOOSE(CONTROL!$C$21, $C$9, 100%, $E$9)</f>
        <v>10.2925</v>
      </c>
      <c r="H186" s="14">
        <f>CHOOSE(CONTROL!$C$42, 10.5033, 10.5033) * CHOOSE(CONTROL!$C$21, $C$9, 100%, $E$9)</f>
        <v>10.503299999999999</v>
      </c>
      <c r="I186" s="14">
        <f>CHOOSE(CONTROL!$C$42, 10.313, 10.313)* CHOOSE(CONTROL!$C$21, $C$9, 100%, $E$9)</f>
        <v>10.313000000000001</v>
      </c>
      <c r="J186" s="14">
        <f>CHOOSE(CONTROL!$C$42, 10.2685, 10.2685)* CHOOSE(CONTROL!$C$21, $C$9, 100%, $E$9)</f>
        <v>10.2685</v>
      </c>
      <c r="K186" s="52">
        <f>CHOOSE(CONTROL!$C$42, 10.3091, 10.3091) * CHOOSE(CONTROL!$C$21, $C$9, 100%, $E$9)</f>
        <v>10.309100000000001</v>
      </c>
      <c r="L186" s="14">
        <f>CHOOSE(CONTROL!$C$42, 11.0903, 11.0903) * CHOOSE(CONTROL!$C$21, $C$9, 100%, $E$9)</f>
        <v>11.090299999999999</v>
      </c>
      <c r="M186" s="14">
        <f>CHOOSE(CONTROL!$C$42, 10.0658, 10.0658) * CHOOSE(CONTROL!$C$21, $C$9, 100%, $E$9)</f>
        <v>10.065799999999999</v>
      </c>
      <c r="N186" s="14">
        <f>CHOOSE(CONTROL!$C$42, 10.0825, 10.0825) * CHOOSE(CONTROL!$C$21, $C$9, 100%, $E$9)</f>
        <v>10.0825</v>
      </c>
      <c r="O186" s="14">
        <f>CHOOSE(CONTROL!$C$42, 10.2958, 10.2958) * CHOOSE(CONTROL!$C$21, $C$9, 100%, $E$9)</f>
        <v>10.2958</v>
      </c>
      <c r="P186" s="14">
        <f>CHOOSE(CONTROL!$C$42, 10.1088, 10.1088) * CHOOSE(CONTROL!$C$21, $C$9, 100%, $E$9)</f>
        <v>10.1088</v>
      </c>
      <c r="Q186" s="14">
        <f>CHOOSE(CONTROL!$C$42, 10.8905, 10.8905) * CHOOSE(CONTROL!$C$21, $C$9, 100%, $E$9)</f>
        <v>10.890499999999999</v>
      </c>
      <c r="R186" s="14">
        <f>CHOOSE(CONTROL!$C$42, 11.5047, 11.5047) * CHOOSE(CONTROL!$C$21, $C$9, 100%, $E$9)</f>
        <v>11.5047</v>
      </c>
      <c r="S186" s="14">
        <f>CHOOSE(CONTROL!$C$42, 9.838, 9.838) * CHOOSE(CONTROL!$C$21, $C$9, 100%, $E$9)</f>
        <v>9.8379999999999992</v>
      </c>
      <c r="T18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56">
        <f>(1000*CHOOSE(CONTROL!$C$42, 695, 695)*CHOOSE(CONTROL!$C$42, 0.5599, 0.5599)*CHOOSE(CONTROL!$C$42, 30, 30))/1000000</f>
        <v>11.673914999999997</v>
      </c>
      <c r="V186" s="56">
        <f>(1000*CHOOSE(CONTROL!$C$42, 500, 500)*CHOOSE(CONTROL!$C$42, 0.275, 0.275)*CHOOSE(CONTROL!$C$42, 30, 30))/1000000</f>
        <v>4.125</v>
      </c>
      <c r="W186" s="56">
        <f>(1000*CHOOSE(CONTROL!$C$42, 0.1146, 0.1146)*CHOOSE(CONTROL!$C$42, 121.5, 121.5)*CHOOSE(CONTROL!$C$42, 30, 30))/1000000</f>
        <v>0.417717</v>
      </c>
      <c r="X186" s="56">
        <f>(30*0.1790888*245000/1000000)+(30*0.2374*100000/1000000)</f>
        <v>2.0285026799999999</v>
      </c>
      <c r="Y186" s="56"/>
      <c r="Z186" s="14"/>
      <c r="AA186" s="55"/>
      <c r="AB186" s="49">
        <f>(B186*194.205+C186*267.466+D186*133.845+E186*53.484+F186*40+G186*185+H186*0+I186*100+J186*300)/(194.205+267.466+133.845+53.484+0+40+185+100+300)</f>
        <v>10.303343599529041</v>
      </c>
      <c r="AC186" s="44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10.140364028776979</v>
      </c>
    </row>
    <row r="187" spans="1:29" ht="15.75" x14ac:dyDescent="0.25">
      <c r="A187" s="13">
        <v>46569</v>
      </c>
      <c r="B187" s="14">
        <f>CHOOSE(CONTROL!$C$42, 10.0736, 10.0736) * CHOOSE(CONTROL!$C$21, $C$9, 100%, $E$9)</f>
        <v>10.073600000000001</v>
      </c>
      <c r="C187" s="14">
        <f>CHOOSE(CONTROL!$C$42, 10.0817, 10.0817) * CHOOSE(CONTROL!$C$21, $C$9, 100%, $E$9)</f>
        <v>10.0817</v>
      </c>
      <c r="D187" s="14">
        <f>CHOOSE(CONTROL!$C$42, 10.3075, 10.3075) * CHOOSE(CONTROL!$C$21, $C$9, 100%, $E$9)</f>
        <v>10.307499999999999</v>
      </c>
      <c r="E187" s="14">
        <f>CHOOSE(CONTROL!$C$42, 10.3389, 10.3389) * CHOOSE(CONTROL!$C$21, $C$9, 100%, $E$9)</f>
        <v>10.338900000000001</v>
      </c>
      <c r="F187" s="14">
        <f>CHOOSE(CONTROL!$C$42, 10.1002, 10.1002)*CHOOSE(CONTROL!$C$21, $C$9, 100%, $E$9)</f>
        <v>10.100199999999999</v>
      </c>
      <c r="G187" s="14">
        <f>CHOOSE(CONTROL!$C$42, 10.1174, 10.1174)*CHOOSE(CONTROL!$C$21, $C$9, 100%, $E$9)</f>
        <v>10.1174</v>
      </c>
      <c r="H187" s="14">
        <f>CHOOSE(CONTROL!$C$42, 10.3276, 10.3276) * CHOOSE(CONTROL!$C$21, $C$9, 100%, $E$9)</f>
        <v>10.3276</v>
      </c>
      <c r="I187" s="14">
        <f>CHOOSE(CONTROL!$C$42, 10.1367, 10.1367)* CHOOSE(CONTROL!$C$21, $C$9, 100%, $E$9)</f>
        <v>10.136699999999999</v>
      </c>
      <c r="J187" s="14">
        <f>CHOOSE(CONTROL!$C$42, 10.0932, 10.0932)* CHOOSE(CONTROL!$C$21, $C$9, 100%, $E$9)</f>
        <v>10.0932</v>
      </c>
      <c r="K187" s="52">
        <f>CHOOSE(CONTROL!$C$42, 10.1328, 10.1328) * CHOOSE(CONTROL!$C$21, $C$9, 100%, $E$9)</f>
        <v>10.1328</v>
      </c>
      <c r="L187" s="14">
        <f>CHOOSE(CONTROL!$C$42, 10.9146, 10.9146) * CHOOSE(CONTROL!$C$21, $C$9, 100%, $E$9)</f>
        <v>10.9146</v>
      </c>
      <c r="M187" s="14">
        <f>CHOOSE(CONTROL!$C$42, 9.8941, 9.8941) * CHOOSE(CONTROL!$C$21, $C$9, 100%, $E$9)</f>
        <v>9.8940999999999999</v>
      </c>
      <c r="N187" s="14">
        <f>CHOOSE(CONTROL!$C$42, 9.911, 9.911) * CHOOSE(CONTROL!$C$21, $C$9, 100%, $E$9)</f>
        <v>9.9109999999999996</v>
      </c>
      <c r="O187" s="14">
        <f>CHOOSE(CONTROL!$C$42, 10.1236, 10.1236) * CHOOSE(CONTROL!$C$21, $C$9, 100%, $E$9)</f>
        <v>10.1236</v>
      </c>
      <c r="P187" s="14">
        <f>CHOOSE(CONTROL!$C$42, 9.9362, 9.9362) * CHOOSE(CONTROL!$C$21, $C$9, 100%, $E$9)</f>
        <v>9.9361999999999995</v>
      </c>
      <c r="Q187" s="14">
        <f>CHOOSE(CONTROL!$C$42, 10.7183, 10.7183) * CHOOSE(CONTROL!$C$21, $C$9, 100%, $E$9)</f>
        <v>10.718299999999999</v>
      </c>
      <c r="R187" s="14">
        <f>CHOOSE(CONTROL!$C$42, 11.3321, 11.3321) * CHOOSE(CONTROL!$C$21, $C$9, 100%, $E$9)</f>
        <v>11.332100000000001</v>
      </c>
      <c r="S187" s="14">
        <f>CHOOSE(CONTROL!$C$42, 9.6691, 9.6691) * CHOOSE(CONTROL!$C$21, $C$9, 100%, $E$9)</f>
        <v>9.6691000000000003</v>
      </c>
      <c r="T18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56">
        <f>(1000*CHOOSE(CONTROL!$C$42, 695, 695)*CHOOSE(CONTROL!$C$42, 0.5599, 0.5599)*CHOOSE(CONTROL!$C$42, 31, 31))/1000000</f>
        <v>12.063045499999998</v>
      </c>
      <c r="V187" s="56">
        <f>(1000*CHOOSE(CONTROL!$C$42, 500, 500)*CHOOSE(CONTROL!$C$42, 0.275, 0.275)*CHOOSE(CONTROL!$C$42, 31, 31))/1000000</f>
        <v>4.2625000000000002</v>
      </c>
      <c r="W187" s="56">
        <f>(1000*CHOOSE(CONTROL!$C$42, 0.1146, 0.1146)*CHOOSE(CONTROL!$C$42, 121.5, 121.5)*CHOOSE(CONTROL!$C$42, 31, 31))/1000000</f>
        <v>0.43164089999999994</v>
      </c>
      <c r="X187" s="56">
        <f>(31*0.1790888*245000/1000000)+(31*0.2374*100000/1000000)</f>
        <v>2.0961194359999999</v>
      </c>
      <c r="Y187" s="56"/>
      <c r="Z187" s="14"/>
      <c r="AA187" s="55"/>
      <c r="AB187" s="49">
        <f>(B187*194.205+C187*267.466+D187*133.845+E187*53.484+F187*40+G187*185+H187*0+I187*100+J187*300)/(194.205+267.466+133.845+53.484+0+40+185+100+300)</f>
        <v>10.127775137598118</v>
      </c>
      <c r="AC187" s="44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9.9684402877697842</v>
      </c>
    </row>
    <row r="188" spans="1:29" ht="15.75" x14ac:dyDescent="0.25">
      <c r="A188" s="13">
        <v>46600</v>
      </c>
      <c r="B188" s="14">
        <f>CHOOSE(CONTROL!$C$42, 9.5963, 9.5963) * CHOOSE(CONTROL!$C$21, $C$9, 100%, $E$9)</f>
        <v>9.5962999999999994</v>
      </c>
      <c r="C188" s="14">
        <f>CHOOSE(CONTROL!$C$42, 9.6044, 9.6044) * CHOOSE(CONTROL!$C$21, $C$9, 100%, $E$9)</f>
        <v>9.6044</v>
      </c>
      <c r="D188" s="14">
        <f>CHOOSE(CONTROL!$C$42, 9.8302, 9.8302) * CHOOSE(CONTROL!$C$21, $C$9, 100%, $E$9)</f>
        <v>9.8301999999999996</v>
      </c>
      <c r="E188" s="14">
        <f>CHOOSE(CONTROL!$C$42, 9.8616, 9.8616) * CHOOSE(CONTROL!$C$21, $C$9, 100%, $E$9)</f>
        <v>9.8615999999999993</v>
      </c>
      <c r="F188" s="14">
        <f>CHOOSE(CONTROL!$C$42, 9.6232, 9.6232)*CHOOSE(CONTROL!$C$21, $C$9, 100%, $E$9)</f>
        <v>9.6232000000000006</v>
      </c>
      <c r="G188" s="14">
        <f>CHOOSE(CONTROL!$C$42, 9.6404, 9.6404)*CHOOSE(CONTROL!$C$21, $C$9, 100%, $E$9)</f>
        <v>9.6403999999999996</v>
      </c>
      <c r="H188" s="14">
        <f>CHOOSE(CONTROL!$C$42, 9.8503, 9.8503) * CHOOSE(CONTROL!$C$21, $C$9, 100%, $E$9)</f>
        <v>9.8503000000000007</v>
      </c>
      <c r="I188" s="14">
        <f>CHOOSE(CONTROL!$C$42, 9.6579, 9.6579)* CHOOSE(CONTROL!$C$21, $C$9, 100%, $E$9)</f>
        <v>9.6578999999999997</v>
      </c>
      <c r="J188" s="14">
        <f>CHOOSE(CONTROL!$C$42, 9.6162, 9.6162)* CHOOSE(CONTROL!$C$21, $C$9, 100%, $E$9)</f>
        <v>9.6161999999999992</v>
      </c>
      <c r="K188" s="52">
        <f>CHOOSE(CONTROL!$C$42, 9.654, 9.654) * CHOOSE(CONTROL!$C$21, $C$9, 100%, $E$9)</f>
        <v>9.6539999999999999</v>
      </c>
      <c r="L188" s="14">
        <f>CHOOSE(CONTROL!$C$42, 10.4373, 10.4373) * CHOOSE(CONTROL!$C$21, $C$9, 100%, $E$9)</f>
        <v>10.4373</v>
      </c>
      <c r="M188" s="14">
        <f>CHOOSE(CONTROL!$C$42, 9.4268, 9.4268) * CHOOSE(CONTROL!$C$21, $C$9, 100%, $E$9)</f>
        <v>9.4268000000000001</v>
      </c>
      <c r="N188" s="14">
        <f>CHOOSE(CONTROL!$C$42, 9.4437, 9.4437) * CHOOSE(CONTROL!$C$21, $C$9, 100%, $E$9)</f>
        <v>9.4436999999999998</v>
      </c>
      <c r="O188" s="14">
        <f>CHOOSE(CONTROL!$C$42, 9.6561, 9.6561) * CHOOSE(CONTROL!$C$21, $C$9, 100%, $E$9)</f>
        <v>9.6561000000000003</v>
      </c>
      <c r="P188" s="14">
        <f>CHOOSE(CONTROL!$C$42, 9.4672, 9.4672) * CHOOSE(CONTROL!$C$21, $C$9, 100%, $E$9)</f>
        <v>9.4672000000000001</v>
      </c>
      <c r="Q188" s="14">
        <f>CHOOSE(CONTROL!$C$42, 10.2508, 10.2508) * CHOOSE(CONTROL!$C$21, $C$9, 100%, $E$9)</f>
        <v>10.2508</v>
      </c>
      <c r="R188" s="14">
        <f>CHOOSE(CONTROL!$C$42, 10.8635, 10.8635) * CHOOSE(CONTROL!$C$21, $C$9, 100%, $E$9)</f>
        <v>10.8635</v>
      </c>
      <c r="S188" s="14">
        <f>CHOOSE(CONTROL!$C$42, 9.2105, 9.2105) * CHOOSE(CONTROL!$C$21, $C$9, 100%, $E$9)</f>
        <v>9.2104999999999997</v>
      </c>
      <c r="T18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56">
        <f>(1000*CHOOSE(CONTROL!$C$42, 695, 695)*CHOOSE(CONTROL!$C$42, 0.5599, 0.5599)*CHOOSE(CONTROL!$C$42, 31, 31))/1000000</f>
        <v>12.063045499999998</v>
      </c>
      <c r="V188" s="56">
        <f>(1000*CHOOSE(CONTROL!$C$42, 500, 500)*CHOOSE(CONTROL!$C$42, 0.275, 0.275)*CHOOSE(CONTROL!$C$42, 31, 31))/1000000</f>
        <v>4.2625000000000002</v>
      </c>
      <c r="W188" s="56">
        <f>(1000*CHOOSE(CONTROL!$C$42, 0.1146, 0.1146)*CHOOSE(CONTROL!$C$42, 121.5, 121.5)*CHOOSE(CONTROL!$C$42, 31, 31))/1000000</f>
        <v>0.43164089999999994</v>
      </c>
      <c r="X188" s="56">
        <f>(31*0.1790888*245000/1000000)+(31*0.2374*100000/1000000)</f>
        <v>2.0961194359999999</v>
      </c>
      <c r="Y188" s="56"/>
      <c r="Z188" s="14"/>
      <c r="AA188" s="55"/>
      <c r="AB188" s="49">
        <f>(B188*194.205+C188*267.466+D188*133.845+E188*53.484+F188*40+G188*185+H188*0+I188*100+J188*300)/(194.205+267.466+133.845+53.484+0+40+185+100+300)</f>
        <v>9.6504810245682897</v>
      </c>
      <c r="AC188" s="44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9.5008395683453255</v>
      </c>
    </row>
    <row r="189" spans="1:29" ht="15.75" x14ac:dyDescent="0.25">
      <c r="A189" s="13">
        <v>46631</v>
      </c>
      <c r="B189" s="14">
        <f>CHOOSE(CONTROL!$C$42, 9.0061, 9.0061) * CHOOSE(CONTROL!$C$21, $C$9, 100%, $E$9)</f>
        <v>9.0061</v>
      </c>
      <c r="C189" s="14">
        <f>CHOOSE(CONTROL!$C$42, 9.0141, 9.0141) * CHOOSE(CONTROL!$C$21, $C$9, 100%, $E$9)</f>
        <v>9.0140999999999991</v>
      </c>
      <c r="D189" s="14">
        <f>CHOOSE(CONTROL!$C$42, 9.2399, 9.2399) * CHOOSE(CONTROL!$C$21, $C$9, 100%, $E$9)</f>
        <v>9.2399000000000004</v>
      </c>
      <c r="E189" s="14">
        <f>CHOOSE(CONTROL!$C$42, 9.2714, 9.2714) * CHOOSE(CONTROL!$C$21, $C$9, 100%, $E$9)</f>
        <v>9.2713999999999999</v>
      </c>
      <c r="F189" s="14">
        <f>CHOOSE(CONTROL!$C$42, 9.0329, 9.0329)*CHOOSE(CONTROL!$C$21, $C$9, 100%, $E$9)</f>
        <v>9.0328999999999997</v>
      </c>
      <c r="G189" s="14">
        <f>CHOOSE(CONTROL!$C$42, 9.0502, 9.0502)*CHOOSE(CONTROL!$C$21, $C$9, 100%, $E$9)</f>
        <v>9.0502000000000002</v>
      </c>
      <c r="H189" s="14">
        <f>CHOOSE(CONTROL!$C$42, 9.26, 9.26) * CHOOSE(CONTROL!$C$21, $C$9, 100%, $E$9)</f>
        <v>9.26</v>
      </c>
      <c r="I189" s="14">
        <f>CHOOSE(CONTROL!$C$42, 9.0659, 9.0659)* CHOOSE(CONTROL!$C$21, $C$9, 100%, $E$9)</f>
        <v>9.0658999999999992</v>
      </c>
      <c r="J189" s="14">
        <f>CHOOSE(CONTROL!$C$42, 9.0259, 9.0259)* CHOOSE(CONTROL!$C$21, $C$9, 100%, $E$9)</f>
        <v>9.0259</v>
      </c>
      <c r="K189" s="52">
        <f>CHOOSE(CONTROL!$C$42, 9.062, 9.062) * CHOOSE(CONTROL!$C$21, $C$9, 100%, $E$9)</f>
        <v>9.0619999999999994</v>
      </c>
      <c r="L189" s="14">
        <f>CHOOSE(CONTROL!$C$42, 9.847, 9.847) * CHOOSE(CONTROL!$C$21, $C$9, 100%, $E$9)</f>
        <v>9.8469999999999995</v>
      </c>
      <c r="M189" s="14">
        <f>CHOOSE(CONTROL!$C$42, 8.8487, 8.8487) * CHOOSE(CONTROL!$C$21, $C$9, 100%, $E$9)</f>
        <v>8.8486999999999991</v>
      </c>
      <c r="N189" s="14">
        <f>CHOOSE(CONTROL!$C$42, 8.8656, 8.8656) * CHOOSE(CONTROL!$C$21, $C$9, 100%, $E$9)</f>
        <v>8.8656000000000006</v>
      </c>
      <c r="O189" s="14">
        <f>CHOOSE(CONTROL!$C$42, 9.078, 9.078) * CHOOSE(CONTROL!$C$21, $C$9, 100%, $E$9)</f>
        <v>9.0779999999999994</v>
      </c>
      <c r="P189" s="14">
        <f>CHOOSE(CONTROL!$C$42, 8.8873, 8.8873) * CHOOSE(CONTROL!$C$21, $C$9, 100%, $E$9)</f>
        <v>8.8872999999999998</v>
      </c>
      <c r="Q189" s="14">
        <f>CHOOSE(CONTROL!$C$42, 9.6727, 9.6727) * CHOOSE(CONTROL!$C$21, $C$9, 100%, $E$9)</f>
        <v>9.6727000000000007</v>
      </c>
      <c r="R189" s="14">
        <f>CHOOSE(CONTROL!$C$42, 10.2839, 10.2839) * CHOOSE(CONTROL!$C$21, $C$9, 100%, $E$9)</f>
        <v>10.283899999999999</v>
      </c>
      <c r="S189" s="14">
        <f>CHOOSE(CONTROL!$C$42, 8.6433, 8.6433) * CHOOSE(CONTROL!$C$21, $C$9, 100%, $E$9)</f>
        <v>8.6433</v>
      </c>
      <c r="T18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56">
        <f>(1000*CHOOSE(CONTROL!$C$42, 695, 695)*CHOOSE(CONTROL!$C$42, 0.5599, 0.5599)*CHOOSE(CONTROL!$C$42, 30, 30))/1000000</f>
        <v>11.673914999999997</v>
      </c>
      <c r="V189" s="56">
        <f>(1000*CHOOSE(CONTROL!$C$42, 500, 500)*CHOOSE(CONTROL!$C$42, 0.275, 0.275)*CHOOSE(CONTROL!$C$42, 30, 30))/1000000</f>
        <v>4.125</v>
      </c>
      <c r="W189" s="56">
        <f>(1000*CHOOSE(CONTROL!$C$42, 0.1146, 0.1146)*CHOOSE(CONTROL!$C$42, 121.5, 121.5)*CHOOSE(CONTROL!$C$42, 30, 30))/1000000</f>
        <v>0.417717</v>
      </c>
      <c r="X189" s="56">
        <f>(30*0.1790888*245000/1000000)+(30*0.2374*100000/1000000)</f>
        <v>2.0285026799999999</v>
      </c>
      <c r="Y189" s="56"/>
      <c r="Z189" s="14"/>
      <c r="AA189" s="55"/>
      <c r="AB189" s="49">
        <f>(B189*194.205+C189*267.466+D189*133.845+E189*53.484+F189*40+G189*185+H189*0+I189*100+J189*300)/(194.205+267.466+133.845+53.484+0+40+185+100+300)</f>
        <v>9.0600815496075366</v>
      </c>
      <c r="AC189" s="44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8.9224805755395682</v>
      </c>
    </row>
    <row r="190" spans="1:29" ht="15.75" x14ac:dyDescent="0.25">
      <c r="A190" s="13">
        <v>46661</v>
      </c>
      <c r="B190" s="14">
        <f>CHOOSE(CONTROL!$C$42, 8.8399, 8.8399) * CHOOSE(CONTROL!$C$21, $C$9, 100%, $E$9)</f>
        <v>8.8399000000000001</v>
      </c>
      <c r="C190" s="14">
        <f>CHOOSE(CONTROL!$C$42, 8.8452, 8.8452) * CHOOSE(CONTROL!$C$21, $C$9, 100%, $E$9)</f>
        <v>8.8452000000000002</v>
      </c>
      <c r="D190" s="14">
        <f>CHOOSE(CONTROL!$C$42, 9.076, 9.076) * CHOOSE(CONTROL!$C$21, $C$9, 100%, $E$9)</f>
        <v>9.0760000000000005</v>
      </c>
      <c r="E190" s="14">
        <f>CHOOSE(CONTROL!$C$42, 9.1051, 9.1051) * CHOOSE(CONTROL!$C$21, $C$9, 100%, $E$9)</f>
        <v>9.1051000000000002</v>
      </c>
      <c r="F190" s="14">
        <f>CHOOSE(CONTROL!$C$42, 8.8688, 8.8688)*CHOOSE(CONTROL!$C$21, $C$9, 100%, $E$9)</f>
        <v>8.8688000000000002</v>
      </c>
      <c r="G190" s="14">
        <f>CHOOSE(CONTROL!$C$42, 8.8859, 8.8859)*CHOOSE(CONTROL!$C$21, $C$9, 100%, $E$9)</f>
        <v>8.8858999999999995</v>
      </c>
      <c r="H190" s="14">
        <f>CHOOSE(CONTROL!$C$42, 9.0956, 9.0956) * CHOOSE(CONTROL!$C$21, $C$9, 100%, $E$9)</f>
        <v>9.0955999999999992</v>
      </c>
      <c r="I190" s="14">
        <f>CHOOSE(CONTROL!$C$42, 8.9009, 8.9009)* CHOOSE(CONTROL!$C$21, $C$9, 100%, $E$9)</f>
        <v>8.9009</v>
      </c>
      <c r="J190" s="14">
        <f>CHOOSE(CONTROL!$C$42, 8.8618, 8.8618)* CHOOSE(CONTROL!$C$21, $C$9, 100%, $E$9)</f>
        <v>8.8618000000000006</v>
      </c>
      <c r="K190" s="52">
        <f>CHOOSE(CONTROL!$C$42, 8.897, 8.897) * CHOOSE(CONTROL!$C$21, $C$9, 100%, $E$9)</f>
        <v>8.8970000000000002</v>
      </c>
      <c r="L190" s="14">
        <f>CHOOSE(CONTROL!$C$42, 9.6826, 9.6826) * CHOOSE(CONTROL!$C$21, $C$9, 100%, $E$9)</f>
        <v>9.6826000000000008</v>
      </c>
      <c r="M190" s="14">
        <f>CHOOSE(CONTROL!$C$42, 8.6879, 8.6879) * CHOOSE(CONTROL!$C$21, $C$9, 100%, $E$9)</f>
        <v>8.6879000000000008</v>
      </c>
      <c r="N190" s="14">
        <f>CHOOSE(CONTROL!$C$42, 8.7046, 8.7046) * CHOOSE(CONTROL!$C$21, $C$9, 100%, $E$9)</f>
        <v>8.7045999999999992</v>
      </c>
      <c r="O190" s="14">
        <f>CHOOSE(CONTROL!$C$42, 8.9169, 8.9169) * CHOOSE(CONTROL!$C$21, $C$9, 100%, $E$9)</f>
        <v>8.9169</v>
      </c>
      <c r="P190" s="14">
        <f>CHOOSE(CONTROL!$C$42, 8.7257, 8.7257) * CHOOSE(CONTROL!$C$21, $C$9, 100%, $E$9)</f>
        <v>8.7256999999999998</v>
      </c>
      <c r="Q190" s="14">
        <f>CHOOSE(CONTROL!$C$42, 9.5116, 9.5116) * CHOOSE(CONTROL!$C$21, $C$9, 100%, $E$9)</f>
        <v>9.5115999999999996</v>
      </c>
      <c r="R190" s="14">
        <f>CHOOSE(CONTROL!$C$42, 10.1224, 10.1224) * CHOOSE(CONTROL!$C$21, $C$9, 100%, $E$9)</f>
        <v>10.122400000000001</v>
      </c>
      <c r="S190" s="14">
        <f>CHOOSE(CONTROL!$C$42, 8.4853, 8.4853) * CHOOSE(CONTROL!$C$21, $C$9, 100%, $E$9)</f>
        <v>8.4853000000000005</v>
      </c>
      <c r="T19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56">
        <f>(1000*CHOOSE(CONTROL!$C$42, 695, 695)*CHOOSE(CONTROL!$C$42, 0.5599, 0.5599)*CHOOSE(CONTROL!$C$42, 31, 31))/1000000</f>
        <v>12.063045499999998</v>
      </c>
      <c r="V190" s="56">
        <f>(1000*CHOOSE(CONTROL!$C$42, 500, 500)*CHOOSE(CONTROL!$C$42, 0.275, 0.275)*CHOOSE(CONTROL!$C$42, 31, 31))/1000000</f>
        <v>4.2625000000000002</v>
      </c>
      <c r="W190" s="56">
        <f>(1000*CHOOSE(CONTROL!$C$42, 0.1146, 0.1146)*CHOOSE(CONTROL!$C$42, 121.5, 121.5)*CHOOSE(CONTROL!$C$42, 31, 31))/1000000</f>
        <v>0.43164089999999994</v>
      </c>
      <c r="X190" s="56">
        <f>(31*0.1790888*245000/1000000)+(31*0.2374*100000/1000000)</f>
        <v>2.0961194359999999</v>
      </c>
      <c r="Y190" s="56"/>
      <c r="Z190" s="14"/>
      <c r="AA190" s="55"/>
      <c r="AB190" s="49">
        <f>(B190*131.881+C190*277.167+D190*79.08+E190*125.872+F190*40+G190*185+H190*0+I190*100+J190*300)/(131.881+277.167+79.08+125.872+0+40+185+100+300)</f>
        <v>8.9011243966908804</v>
      </c>
      <c r="AC190" s="44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8.7614352517985594</v>
      </c>
    </row>
    <row r="191" spans="1:29" ht="15.75" x14ac:dyDescent="0.25">
      <c r="A191" s="13">
        <v>46692</v>
      </c>
      <c r="B191" s="14">
        <f>CHOOSE(CONTROL!$C$42, 9.0908, 9.0908) * CHOOSE(CONTROL!$C$21, $C$9, 100%, $E$9)</f>
        <v>9.0907999999999998</v>
      </c>
      <c r="C191" s="14">
        <f>CHOOSE(CONTROL!$C$42, 9.0958, 9.0958) * CHOOSE(CONTROL!$C$21, $C$9, 100%, $E$9)</f>
        <v>9.0958000000000006</v>
      </c>
      <c r="D191" s="14">
        <f>CHOOSE(CONTROL!$C$42, 9.1648, 9.1648) * CHOOSE(CONTROL!$C$21, $C$9, 100%, $E$9)</f>
        <v>9.1647999999999996</v>
      </c>
      <c r="E191" s="14">
        <f>CHOOSE(CONTROL!$C$42, 9.1989, 9.1989) * CHOOSE(CONTROL!$C$21, $C$9, 100%, $E$9)</f>
        <v>9.1989000000000001</v>
      </c>
      <c r="F191" s="14">
        <f>CHOOSE(CONTROL!$C$42, 9.1263, 9.1263)*CHOOSE(CONTROL!$C$21, $C$9, 100%, $E$9)</f>
        <v>9.1263000000000005</v>
      </c>
      <c r="G191" s="14">
        <f>CHOOSE(CONTROL!$C$42, 9.1437, 9.1437)*CHOOSE(CONTROL!$C$21, $C$9, 100%, $E$9)</f>
        <v>9.1437000000000008</v>
      </c>
      <c r="H191" s="14">
        <f>CHOOSE(CONTROL!$C$42, 9.1881, 9.1881) * CHOOSE(CONTROL!$C$21, $C$9, 100%, $E$9)</f>
        <v>9.1881000000000004</v>
      </c>
      <c r="I191" s="14">
        <f>CHOOSE(CONTROL!$C$42, 9.1556, 9.1556)* CHOOSE(CONTROL!$C$21, $C$9, 100%, $E$9)</f>
        <v>9.1555999999999997</v>
      </c>
      <c r="J191" s="14">
        <f>CHOOSE(CONTROL!$C$42, 9.1193, 9.1193)* CHOOSE(CONTROL!$C$21, $C$9, 100%, $E$9)</f>
        <v>9.1193000000000008</v>
      </c>
      <c r="K191" s="52">
        <f>CHOOSE(CONTROL!$C$42, 9.1517, 9.1517) * CHOOSE(CONTROL!$C$21, $C$9, 100%, $E$9)</f>
        <v>9.1516999999999999</v>
      </c>
      <c r="L191" s="14">
        <f>CHOOSE(CONTROL!$C$42, 9.7751, 9.7751) * CHOOSE(CONTROL!$C$21, $C$9, 100%, $E$9)</f>
        <v>9.7751000000000001</v>
      </c>
      <c r="M191" s="14">
        <f>CHOOSE(CONTROL!$C$42, 8.9402, 8.9402) * CHOOSE(CONTROL!$C$21, $C$9, 100%, $E$9)</f>
        <v>8.9402000000000008</v>
      </c>
      <c r="N191" s="14">
        <f>CHOOSE(CONTROL!$C$42, 8.9572, 8.9572) * CHOOSE(CONTROL!$C$21, $C$9, 100%, $E$9)</f>
        <v>8.9572000000000003</v>
      </c>
      <c r="O191" s="14">
        <f>CHOOSE(CONTROL!$C$42, 9.0076, 9.0076) * CHOOSE(CONTROL!$C$21, $C$9, 100%, $E$9)</f>
        <v>9.0076000000000001</v>
      </c>
      <c r="P191" s="14">
        <f>CHOOSE(CONTROL!$C$42, 8.9752, 8.9752) * CHOOSE(CONTROL!$C$21, $C$9, 100%, $E$9)</f>
        <v>8.9751999999999992</v>
      </c>
      <c r="Q191" s="14">
        <f>CHOOSE(CONTROL!$C$42, 9.6023, 9.6023) * CHOOSE(CONTROL!$C$21, $C$9, 100%, $E$9)</f>
        <v>9.6022999999999996</v>
      </c>
      <c r="R191" s="14">
        <f>CHOOSE(CONTROL!$C$42, 10.2133, 10.2133) * CHOOSE(CONTROL!$C$21, $C$9, 100%, $E$9)</f>
        <v>10.2133</v>
      </c>
      <c r="S191" s="14">
        <f>CHOOSE(CONTROL!$C$42, 8.7268, 8.7268) * CHOOSE(CONTROL!$C$21, $C$9, 100%, $E$9)</f>
        <v>8.7268000000000008</v>
      </c>
      <c r="T19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56">
        <f>(1000*CHOOSE(CONTROL!$C$42, 695, 695)*CHOOSE(CONTROL!$C$42, 0.5599, 0.5599)*CHOOSE(CONTROL!$C$42, 30, 30))/1000000</f>
        <v>11.673914999999997</v>
      </c>
      <c r="V191" s="56">
        <f>(1000*CHOOSE(CONTROL!$C$42, 500, 500)*CHOOSE(CONTROL!$C$42, 0.275, 0.275)*CHOOSE(CONTROL!$C$42, 30, 30))/1000000</f>
        <v>4.125</v>
      </c>
      <c r="W191" s="56">
        <f>(1000*CHOOSE(CONTROL!$C$42, 0.1146, 0.1146)*CHOOSE(CONTROL!$C$42, 121.5, 121.5)*CHOOSE(CONTROL!$C$42, 30, 30))/1000000</f>
        <v>0.417717</v>
      </c>
      <c r="X191" s="56">
        <f>(30*0.1790888*100000/1000000)+(30*0.2374*100000/1000000)</f>
        <v>1.2494664</v>
      </c>
      <c r="Y191" s="56"/>
      <c r="Z191" s="14"/>
      <c r="AA191" s="55"/>
      <c r="AB191" s="49">
        <f>(B191*122.58+C191*297.941+D191*89.177+E191*40.302+F191*40+G191*160+H191*0+I191*100+J191*300)/(122.58+297.941+89.177+40.302+0+40+160+100+300)</f>
        <v>9.1232864775652178</v>
      </c>
      <c r="AC191" s="44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8.9767625899280574</v>
      </c>
    </row>
    <row r="192" spans="1:29" ht="15.75" x14ac:dyDescent="0.25">
      <c r="A192" s="13">
        <v>46722</v>
      </c>
      <c r="B192" s="14">
        <f>CHOOSE(CONTROL!$C$42, 9.7299, 9.7299) * CHOOSE(CONTROL!$C$21, $C$9, 100%, $E$9)</f>
        <v>9.7299000000000007</v>
      </c>
      <c r="C192" s="14">
        <f>CHOOSE(CONTROL!$C$42, 9.7349, 9.7349) * CHOOSE(CONTROL!$C$21, $C$9, 100%, $E$9)</f>
        <v>9.7348999999999997</v>
      </c>
      <c r="D192" s="14">
        <f>CHOOSE(CONTROL!$C$42, 9.804, 9.804) * CHOOSE(CONTROL!$C$21, $C$9, 100%, $E$9)</f>
        <v>9.8040000000000003</v>
      </c>
      <c r="E192" s="14">
        <f>CHOOSE(CONTROL!$C$42, 9.8381, 9.8381) * CHOOSE(CONTROL!$C$21, $C$9, 100%, $E$9)</f>
        <v>9.8381000000000007</v>
      </c>
      <c r="F192" s="14">
        <f>CHOOSE(CONTROL!$C$42, 9.7677, 9.7677)*CHOOSE(CONTROL!$C$21, $C$9, 100%, $E$9)</f>
        <v>9.7676999999999996</v>
      </c>
      <c r="G192" s="14">
        <f>CHOOSE(CONTROL!$C$42, 9.7857, 9.7857)*CHOOSE(CONTROL!$C$21, $C$9, 100%, $E$9)</f>
        <v>9.7857000000000003</v>
      </c>
      <c r="H192" s="14">
        <f>CHOOSE(CONTROL!$C$42, 9.8273, 9.8273) * CHOOSE(CONTROL!$C$21, $C$9, 100%, $E$9)</f>
        <v>9.8272999999999993</v>
      </c>
      <c r="I192" s="14">
        <f>CHOOSE(CONTROL!$C$42, 9.7967, 9.7967)* CHOOSE(CONTROL!$C$21, $C$9, 100%, $E$9)</f>
        <v>9.7966999999999995</v>
      </c>
      <c r="J192" s="14">
        <f>CHOOSE(CONTROL!$C$42, 9.7607, 9.7607)* CHOOSE(CONTROL!$C$21, $C$9, 100%, $E$9)</f>
        <v>9.7606999999999999</v>
      </c>
      <c r="K192" s="52">
        <f>CHOOSE(CONTROL!$C$42, 9.7928, 9.7928) * CHOOSE(CONTROL!$C$21, $C$9, 100%, $E$9)</f>
        <v>9.7927999999999997</v>
      </c>
      <c r="L192" s="14">
        <f>CHOOSE(CONTROL!$C$42, 10.4143, 10.4143) * CHOOSE(CONTROL!$C$21, $C$9, 100%, $E$9)</f>
        <v>10.414300000000001</v>
      </c>
      <c r="M192" s="14">
        <f>CHOOSE(CONTROL!$C$42, 9.5684, 9.5684) * CHOOSE(CONTROL!$C$21, $C$9, 100%, $E$9)</f>
        <v>9.5684000000000005</v>
      </c>
      <c r="N192" s="14">
        <f>CHOOSE(CONTROL!$C$42, 9.586, 9.586) * CHOOSE(CONTROL!$C$21, $C$9, 100%, $E$9)</f>
        <v>9.5860000000000003</v>
      </c>
      <c r="O192" s="14">
        <f>CHOOSE(CONTROL!$C$42, 9.6336, 9.6336) * CHOOSE(CONTROL!$C$21, $C$9, 100%, $E$9)</f>
        <v>9.6335999999999995</v>
      </c>
      <c r="P192" s="14">
        <f>CHOOSE(CONTROL!$C$42, 9.6031, 9.6031) * CHOOSE(CONTROL!$C$21, $C$9, 100%, $E$9)</f>
        <v>9.6030999999999995</v>
      </c>
      <c r="Q192" s="14">
        <f>CHOOSE(CONTROL!$C$42, 10.2283, 10.2283) * CHOOSE(CONTROL!$C$21, $C$9, 100%, $E$9)</f>
        <v>10.228300000000001</v>
      </c>
      <c r="R192" s="14">
        <f>CHOOSE(CONTROL!$C$42, 10.8409, 10.8409) * CHOOSE(CONTROL!$C$21, $C$9, 100%, $E$9)</f>
        <v>10.8409</v>
      </c>
      <c r="S192" s="14">
        <f>CHOOSE(CONTROL!$C$42, 9.3409, 9.3409) * CHOOSE(CONTROL!$C$21, $C$9, 100%, $E$9)</f>
        <v>9.3408999999999995</v>
      </c>
      <c r="T19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56">
        <f>(1000*CHOOSE(CONTROL!$C$42, 695, 695)*CHOOSE(CONTROL!$C$42, 0.5599, 0.5599)*CHOOSE(CONTROL!$C$42, 31, 31))/1000000</f>
        <v>12.063045499999998</v>
      </c>
      <c r="V192" s="56">
        <f>(1000*CHOOSE(CONTROL!$C$42, 500, 500)*CHOOSE(CONTROL!$C$42, 0.275, 0.275)*CHOOSE(CONTROL!$C$42, 31, 31))/1000000</f>
        <v>4.2625000000000002</v>
      </c>
      <c r="W192" s="56">
        <f>(1000*CHOOSE(CONTROL!$C$42, 0.1146, 0.1146)*CHOOSE(CONTROL!$C$42, 121.5, 121.5)*CHOOSE(CONTROL!$C$42, 31, 31))/1000000</f>
        <v>0.43164089999999994</v>
      </c>
      <c r="X192" s="56">
        <f>(31*0.1790888*100000/1000000)+(31*0.2374*100000/1000000)</f>
        <v>1.2911152800000001</v>
      </c>
      <c r="Y192" s="56"/>
      <c r="Z192" s="14"/>
      <c r="AA192" s="55"/>
      <c r="AB192" s="49">
        <f>(B192*122.58+C192*297.941+D192*89.177+E192*40.302+F192*40+G192*160+H192*0+I192*100+J192*300)/(122.58+297.941+89.177+40.302+0+40+160+100+300)</f>
        <v>9.7636551279130419</v>
      </c>
      <c r="AC192" s="44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9.603956834532374</v>
      </c>
    </row>
    <row r="193" spans="1:29" ht="15.75" x14ac:dyDescent="0.25">
      <c r="A193" s="13">
        <v>46753</v>
      </c>
      <c r="B193" s="14">
        <f>CHOOSE(CONTROL!$C$42, 10.2462, 10.2462) * CHOOSE(CONTROL!$C$21, $C$9, 100%, $E$9)</f>
        <v>10.2462</v>
      </c>
      <c r="C193" s="14">
        <f>CHOOSE(CONTROL!$C$42, 10.2512, 10.2512) * CHOOSE(CONTROL!$C$21, $C$9, 100%, $E$9)</f>
        <v>10.251200000000001</v>
      </c>
      <c r="D193" s="14">
        <f>CHOOSE(CONTROL!$C$42, 10.3307, 10.3307) * CHOOSE(CONTROL!$C$21, $C$9, 100%, $E$9)</f>
        <v>10.3307</v>
      </c>
      <c r="E193" s="14">
        <f>CHOOSE(CONTROL!$C$42, 10.3648, 10.3648) * CHOOSE(CONTROL!$C$21, $C$9, 100%, $E$9)</f>
        <v>10.364800000000001</v>
      </c>
      <c r="F193" s="14">
        <f>CHOOSE(CONTROL!$C$42, 10.2692, 10.2692)*CHOOSE(CONTROL!$C$21, $C$9, 100%, $E$9)</f>
        <v>10.2692</v>
      </c>
      <c r="G193" s="14">
        <f>CHOOSE(CONTROL!$C$42, 10.2867, 10.2867)*CHOOSE(CONTROL!$C$21, $C$9, 100%, $E$9)</f>
        <v>10.2867</v>
      </c>
      <c r="H193" s="14">
        <f>CHOOSE(CONTROL!$C$42, 10.354, 10.354) * CHOOSE(CONTROL!$C$21, $C$9, 100%, $E$9)</f>
        <v>10.353999999999999</v>
      </c>
      <c r="I193" s="14">
        <f>CHOOSE(CONTROL!$C$42, 10.3136, 10.3136)* CHOOSE(CONTROL!$C$21, $C$9, 100%, $E$9)</f>
        <v>10.313599999999999</v>
      </c>
      <c r="J193" s="14">
        <f>CHOOSE(CONTROL!$C$42, 10.2622, 10.2622)* CHOOSE(CONTROL!$C$21, $C$9, 100%, $E$9)</f>
        <v>10.2622</v>
      </c>
      <c r="K193" s="52">
        <f>CHOOSE(CONTROL!$C$42, 10.3097, 10.3097) * CHOOSE(CONTROL!$C$21, $C$9, 100%, $E$9)</f>
        <v>10.309699999999999</v>
      </c>
      <c r="L193" s="14">
        <f>CHOOSE(CONTROL!$C$42, 10.941, 10.941) * CHOOSE(CONTROL!$C$21, $C$9, 100%, $E$9)</f>
        <v>10.941000000000001</v>
      </c>
      <c r="M193" s="14">
        <f>CHOOSE(CONTROL!$C$42, 10.0596, 10.0596) * CHOOSE(CONTROL!$C$21, $C$9, 100%, $E$9)</f>
        <v>10.0596</v>
      </c>
      <c r="N193" s="14">
        <f>CHOOSE(CONTROL!$C$42, 10.0768, 10.0768) * CHOOSE(CONTROL!$C$21, $C$9, 100%, $E$9)</f>
        <v>10.0768</v>
      </c>
      <c r="O193" s="14">
        <f>CHOOSE(CONTROL!$C$42, 10.1495, 10.1495) * CHOOSE(CONTROL!$C$21, $C$9, 100%, $E$9)</f>
        <v>10.1495</v>
      </c>
      <c r="P193" s="14">
        <f>CHOOSE(CONTROL!$C$42, 10.1094, 10.1094) * CHOOSE(CONTROL!$C$21, $C$9, 100%, $E$9)</f>
        <v>10.109400000000001</v>
      </c>
      <c r="Q193" s="14">
        <f>CHOOSE(CONTROL!$C$42, 10.7442, 10.7442) * CHOOSE(CONTROL!$C$21, $C$9, 100%, $E$9)</f>
        <v>10.744199999999999</v>
      </c>
      <c r="R193" s="14">
        <f>CHOOSE(CONTROL!$C$42, 11.3581, 11.3581) * CHOOSE(CONTROL!$C$21, $C$9, 100%, $E$9)</f>
        <v>11.3581</v>
      </c>
      <c r="S193" s="14">
        <f>CHOOSE(CONTROL!$C$42, 9.837, 9.837) * CHOOSE(CONTROL!$C$21, $C$9, 100%, $E$9)</f>
        <v>9.8369999999999997</v>
      </c>
      <c r="T19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56">
        <f>(1000*CHOOSE(CONTROL!$C$42, 695, 695)*CHOOSE(CONTROL!$C$42, 0.5599, 0.5599)*CHOOSE(CONTROL!$C$42, 31, 31))/1000000</f>
        <v>12.063045499999998</v>
      </c>
      <c r="V193" s="56">
        <f>(1000*CHOOSE(CONTROL!$C$42, 500, 500)*CHOOSE(CONTROL!$C$42, 0.275, 0.275)*CHOOSE(CONTROL!$C$42, 31, 31))/1000000</f>
        <v>4.2625000000000002</v>
      </c>
      <c r="W193" s="56">
        <f>(1000*CHOOSE(CONTROL!$C$42, 0.1146, 0.1146)*CHOOSE(CONTROL!$C$42, 121.5, 121.5)*CHOOSE(CONTROL!$C$42, 31, 31))/1000000</f>
        <v>0.43164089999999994</v>
      </c>
      <c r="X193" s="56">
        <f>(31*0.1790888*100000/1000000)+(31*0.2374*100000/1000000)</f>
        <v>1.2911152800000001</v>
      </c>
      <c r="Y193" s="56"/>
      <c r="Z193" s="14"/>
      <c r="AA193" s="55"/>
      <c r="AB193" s="49">
        <f>(B193*122.58+C193*297.941+D193*89.177+E193*40.302+F193*40+G193*160+H193*0+I193*100+J193*300)/(122.58+297.941+89.177+40.302+0+40+160+100+300)</f>
        <v>10.274673894521738</v>
      </c>
      <c r="AC193" s="44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10.10850143884892</v>
      </c>
    </row>
    <row r="194" spans="1:29" ht="15.75" x14ac:dyDescent="0.25">
      <c r="A194" s="13">
        <v>46784</v>
      </c>
      <c r="B194" s="14">
        <f>CHOOSE(CONTROL!$C$42, 10.4499, 10.4499) * CHOOSE(CONTROL!$C$21, $C$9, 100%, $E$9)</f>
        <v>10.4499</v>
      </c>
      <c r="C194" s="14">
        <f>CHOOSE(CONTROL!$C$42, 10.4549, 10.4549) * CHOOSE(CONTROL!$C$21, $C$9, 100%, $E$9)</f>
        <v>10.4549</v>
      </c>
      <c r="D194" s="14">
        <f>CHOOSE(CONTROL!$C$42, 10.5343, 10.5343) * CHOOSE(CONTROL!$C$21, $C$9, 100%, $E$9)</f>
        <v>10.5343</v>
      </c>
      <c r="E194" s="14">
        <f>CHOOSE(CONTROL!$C$42, 10.5685, 10.5685) * CHOOSE(CONTROL!$C$21, $C$9, 100%, $E$9)</f>
        <v>10.5685</v>
      </c>
      <c r="F194" s="14">
        <f>CHOOSE(CONTROL!$C$42, 10.4726, 10.4726)*CHOOSE(CONTROL!$C$21, $C$9, 100%, $E$9)</f>
        <v>10.4726</v>
      </c>
      <c r="G194" s="14">
        <f>CHOOSE(CONTROL!$C$42, 10.4901, 10.4901)*CHOOSE(CONTROL!$C$21, $C$9, 100%, $E$9)</f>
        <v>10.4901</v>
      </c>
      <c r="H194" s="14">
        <f>CHOOSE(CONTROL!$C$42, 10.5577, 10.5577) * CHOOSE(CONTROL!$C$21, $C$9, 100%, $E$9)</f>
        <v>10.557700000000001</v>
      </c>
      <c r="I194" s="14">
        <f>CHOOSE(CONTROL!$C$42, 10.5179, 10.5179)* CHOOSE(CONTROL!$C$21, $C$9, 100%, $E$9)</f>
        <v>10.517899999999999</v>
      </c>
      <c r="J194" s="14">
        <f>CHOOSE(CONTROL!$C$42, 10.4656, 10.4656)* CHOOSE(CONTROL!$C$21, $C$9, 100%, $E$9)</f>
        <v>10.4656</v>
      </c>
      <c r="K194" s="52">
        <f>CHOOSE(CONTROL!$C$42, 10.514, 10.514) * CHOOSE(CONTROL!$C$21, $C$9, 100%, $E$9)</f>
        <v>10.513999999999999</v>
      </c>
      <c r="L194" s="14">
        <f>CHOOSE(CONTROL!$C$42, 11.1447, 11.1447) * CHOOSE(CONTROL!$C$21, $C$9, 100%, $E$9)</f>
        <v>11.1447</v>
      </c>
      <c r="M194" s="14">
        <f>CHOOSE(CONTROL!$C$42, 10.2589, 10.2589) * CHOOSE(CONTROL!$C$21, $C$9, 100%, $E$9)</f>
        <v>10.258900000000001</v>
      </c>
      <c r="N194" s="14">
        <f>CHOOSE(CONTROL!$C$42, 10.276, 10.276) * CHOOSE(CONTROL!$C$21, $C$9, 100%, $E$9)</f>
        <v>10.276</v>
      </c>
      <c r="O194" s="14">
        <f>CHOOSE(CONTROL!$C$42, 10.349, 10.349) * CHOOSE(CONTROL!$C$21, $C$9, 100%, $E$9)</f>
        <v>10.349</v>
      </c>
      <c r="P194" s="14">
        <f>CHOOSE(CONTROL!$C$42, 10.3095, 10.3095) * CHOOSE(CONTROL!$C$21, $C$9, 100%, $E$9)</f>
        <v>10.3095</v>
      </c>
      <c r="Q194" s="14">
        <f>CHOOSE(CONTROL!$C$42, 10.9437, 10.9437) * CHOOSE(CONTROL!$C$21, $C$9, 100%, $E$9)</f>
        <v>10.9437</v>
      </c>
      <c r="R194" s="14">
        <f>CHOOSE(CONTROL!$C$42, 11.5581, 11.5581) * CHOOSE(CONTROL!$C$21, $C$9, 100%, $E$9)</f>
        <v>11.5581</v>
      </c>
      <c r="S194" s="14">
        <f>CHOOSE(CONTROL!$C$42, 10.0327, 10.0327) * CHOOSE(CONTROL!$C$21, $C$9, 100%, $E$9)</f>
        <v>10.0327</v>
      </c>
      <c r="T194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94" s="56">
        <f>(1000*CHOOSE(CONTROL!$C$42, 695, 695)*CHOOSE(CONTROL!$C$42, 0.5599, 0.5599)*CHOOSE(CONTROL!$C$42, 29, 29))/1000000</f>
        <v>11.284784499999999</v>
      </c>
      <c r="V194" s="56">
        <f>(1000*CHOOSE(CONTROL!$C$42, 500, 500)*CHOOSE(CONTROL!$C$42, 0.275, 0.275)*CHOOSE(CONTROL!$C$42, 29, 29))/1000000</f>
        <v>3.9874999999999998</v>
      </c>
      <c r="W194" s="56">
        <f>(1000*CHOOSE(CONTROL!$C$42, 0.1146, 0.1146)*CHOOSE(CONTROL!$C$42, 121.5, 121.5)*CHOOSE(CONTROL!$C$42, 29, 29))/1000000</f>
        <v>0.40379309999999996</v>
      </c>
      <c r="X194" s="56">
        <f>(29*0.1790888*100000/1000000)+(29*0.2374*100000/1000000)</f>
        <v>1.2078175199999999</v>
      </c>
      <c r="Y194" s="56"/>
      <c r="Z194" s="14"/>
      <c r="AA194" s="55"/>
      <c r="AB194" s="49">
        <f>(B194*122.58+C194*297.941+D194*89.177+E194*40.302+F194*40+G194*160+H194*0+I194*100+J194*300)/(122.58+297.941+89.177+40.302+0+40+160+100+300)</f>
        <v>10.478287879130434</v>
      </c>
      <c r="AC194" s="44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10.308001438848921</v>
      </c>
    </row>
    <row r="195" spans="1:29" ht="15.75" x14ac:dyDescent="0.25">
      <c r="A195" s="13">
        <v>46813</v>
      </c>
      <c r="B195" s="14">
        <f>CHOOSE(CONTROL!$C$42, 10.1744, 10.1744) * CHOOSE(CONTROL!$C$21, $C$9, 100%, $E$9)</f>
        <v>10.1744</v>
      </c>
      <c r="C195" s="14">
        <f>CHOOSE(CONTROL!$C$42, 10.1794, 10.1794) * CHOOSE(CONTROL!$C$21, $C$9, 100%, $E$9)</f>
        <v>10.179399999999999</v>
      </c>
      <c r="D195" s="14">
        <f>CHOOSE(CONTROL!$C$42, 10.2588, 10.2588) * CHOOSE(CONTROL!$C$21, $C$9, 100%, $E$9)</f>
        <v>10.258800000000001</v>
      </c>
      <c r="E195" s="14">
        <f>CHOOSE(CONTROL!$C$42, 10.2929, 10.2929) * CHOOSE(CONTROL!$C$21, $C$9, 100%, $E$9)</f>
        <v>10.292899999999999</v>
      </c>
      <c r="F195" s="14">
        <f>CHOOSE(CONTROL!$C$42, 10.1964, 10.1964)*CHOOSE(CONTROL!$C$21, $C$9, 100%, $E$9)</f>
        <v>10.196400000000001</v>
      </c>
      <c r="G195" s="14">
        <f>CHOOSE(CONTROL!$C$42, 10.2137, 10.2137)*CHOOSE(CONTROL!$C$21, $C$9, 100%, $E$9)</f>
        <v>10.213699999999999</v>
      </c>
      <c r="H195" s="14">
        <f>CHOOSE(CONTROL!$C$42, 10.2821, 10.2821) * CHOOSE(CONTROL!$C$21, $C$9, 100%, $E$9)</f>
        <v>10.2821</v>
      </c>
      <c r="I195" s="14">
        <f>CHOOSE(CONTROL!$C$42, 10.2415, 10.2415)* CHOOSE(CONTROL!$C$21, $C$9, 100%, $E$9)</f>
        <v>10.2415</v>
      </c>
      <c r="J195" s="14">
        <f>CHOOSE(CONTROL!$C$42, 10.1894, 10.1894)* CHOOSE(CONTROL!$C$21, $C$9, 100%, $E$9)</f>
        <v>10.189399999999999</v>
      </c>
      <c r="K195" s="52">
        <f>CHOOSE(CONTROL!$C$42, 10.2376, 10.2376) * CHOOSE(CONTROL!$C$21, $C$9, 100%, $E$9)</f>
        <v>10.2376</v>
      </c>
      <c r="L195" s="14">
        <f>CHOOSE(CONTROL!$C$42, 10.8691, 10.8691) * CHOOSE(CONTROL!$C$21, $C$9, 100%, $E$9)</f>
        <v>10.8691</v>
      </c>
      <c r="M195" s="14">
        <f>CHOOSE(CONTROL!$C$42, 9.9883, 9.9883) * CHOOSE(CONTROL!$C$21, $C$9, 100%, $E$9)</f>
        <v>9.9883000000000006</v>
      </c>
      <c r="N195" s="14">
        <f>CHOOSE(CONTROL!$C$42, 10.0052, 10.0052) * CHOOSE(CONTROL!$C$21, $C$9, 100%, $E$9)</f>
        <v>10.0052</v>
      </c>
      <c r="O195" s="14">
        <f>CHOOSE(CONTROL!$C$42, 10.0792, 10.0792) * CHOOSE(CONTROL!$C$21, $C$9, 100%, $E$9)</f>
        <v>10.0792</v>
      </c>
      <c r="P195" s="14">
        <f>CHOOSE(CONTROL!$C$42, 10.0388, 10.0388) * CHOOSE(CONTROL!$C$21, $C$9, 100%, $E$9)</f>
        <v>10.0388</v>
      </c>
      <c r="Q195" s="14">
        <f>CHOOSE(CONTROL!$C$42, 10.6739, 10.6739) * CHOOSE(CONTROL!$C$21, $C$9, 100%, $E$9)</f>
        <v>10.6739</v>
      </c>
      <c r="R195" s="14">
        <f>CHOOSE(CONTROL!$C$42, 11.2875, 11.2875) * CHOOSE(CONTROL!$C$21, $C$9, 100%, $E$9)</f>
        <v>11.2875</v>
      </c>
      <c r="S195" s="14">
        <f>CHOOSE(CONTROL!$C$42, 9.768, 9.768) * CHOOSE(CONTROL!$C$21, $C$9, 100%, $E$9)</f>
        <v>9.7680000000000007</v>
      </c>
      <c r="T19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56">
        <f>(1000*CHOOSE(CONTROL!$C$42, 695, 695)*CHOOSE(CONTROL!$C$42, 0.5599, 0.5599)*CHOOSE(CONTROL!$C$42, 31, 31))/1000000</f>
        <v>12.063045499999998</v>
      </c>
      <c r="V195" s="56">
        <f>(1000*CHOOSE(CONTROL!$C$42, 500, 500)*CHOOSE(CONTROL!$C$42, 0.275, 0.275)*CHOOSE(CONTROL!$C$42, 31, 31))/1000000</f>
        <v>4.2625000000000002</v>
      </c>
      <c r="W195" s="56">
        <f>(1000*CHOOSE(CONTROL!$C$42, 0.1146, 0.1146)*CHOOSE(CONTROL!$C$42, 121.5, 121.5)*CHOOSE(CONTROL!$C$42, 31, 31))/1000000</f>
        <v>0.43164089999999994</v>
      </c>
      <c r="X195" s="56">
        <f>(31*0.1790888*100000/1000000)+(31*0.2374*100000/1000000)</f>
        <v>1.2911152800000001</v>
      </c>
      <c r="Y195" s="56"/>
      <c r="Z195" s="14"/>
      <c r="AA195" s="55"/>
      <c r="AB195" s="49">
        <f>(B195*122.58+C195*297.941+D195*89.177+E195*40.302+F195*40+G195*160+H195*0+I195*100+J195*300)/(122.58+297.941+89.177+40.302+0+40+160+100+300)</f>
        <v>10.202373939826085</v>
      </c>
      <c r="AC195" s="44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10.037738129496402</v>
      </c>
    </row>
    <row r="196" spans="1:29" ht="15.75" x14ac:dyDescent="0.25">
      <c r="A196" s="13">
        <v>46844</v>
      </c>
      <c r="B196" s="14">
        <f>CHOOSE(CONTROL!$C$42, 10.1658, 10.1658) * CHOOSE(CONTROL!$C$21, $C$9, 100%, $E$9)</f>
        <v>10.165800000000001</v>
      </c>
      <c r="C196" s="14">
        <f>CHOOSE(CONTROL!$C$42, 10.1703, 10.1703) * CHOOSE(CONTROL!$C$21, $C$9, 100%, $E$9)</f>
        <v>10.170299999999999</v>
      </c>
      <c r="D196" s="14">
        <f>CHOOSE(CONTROL!$C$42, 10.3992, 10.3992) * CHOOSE(CONTROL!$C$21, $C$9, 100%, $E$9)</f>
        <v>10.3992</v>
      </c>
      <c r="E196" s="14">
        <f>CHOOSE(CONTROL!$C$42, 10.4313, 10.4313) * CHOOSE(CONTROL!$C$21, $C$9, 100%, $E$9)</f>
        <v>10.4313</v>
      </c>
      <c r="F196" s="14">
        <f>CHOOSE(CONTROL!$C$42, 10.1928, 10.1928)*CHOOSE(CONTROL!$C$21, $C$9, 100%, $E$9)</f>
        <v>10.1928</v>
      </c>
      <c r="G196" s="14">
        <f>CHOOSE(CONTROL!$C$42, 10.2095, 10.2095)*CHOOSE(CONTROL!$C$21, $C$9, 100%, $E$9)</f>
        <v>10.2095</v>
      </c>
      <c r="H196" s="14">
        <f>CHOOSE(CONTROL!$C$42, 10.4211, 10.4211) * CHOOSE(CONTROL!$C$21, $C$9, 100%, $E$9)</f>
        <v>10.421099999999999</v>
      </c>
      <c r="I196" s="14">
        <f>CHOOSE(CONTROL!$C$42, 10.2306, 10.2306)* CHOOSE(CONTROL!$C$21, $C$9, 100%, $E$9)</f>
        <v>10.230600000000001</v>
      </c>
      <c r="J196" s="14">
        <f>CHOOSE(CONTROL!$C$42, 10.1858, 10.1858)* CHOOSE(CONTROL!$C$21, $C$9, 100%, $E$9)</f>
        <v>10.1858</v>
      </c>
      <c r="K196" s="52">
        <f>CHOOSE(CONTROL!$C$42, 10.2267, 10.2267) * CHOOSE(CONTROL!$C$21, $C$9, 100%, $E$9)</f>
        <v>10.226699999999999</v>
      </c>
      <c r="L196" s="14">
        <f>CHOOSE(CONTROL!$C$42, 11.0081, 11.0081) * CHOOSE(CONTROL!$C$21, $C$9, 100%, $E$9)</f>
        <v>11.008100000000001</v>
      </c>
      <c r="M196" s="14">
        <f>CHOOSE(CONTROL!$C$42, 9.9848, 9.9848) * CHOOSE(CONTROL!$C$21, $C$9, 100%, $E$9)</f>
        <v>9.9847999999999999</v>
      </c>
      <c r="N196" s="14">
        <f>CHOOSE(CONTROL!$C$42, 10.0012, 10.0012) * CHOOSE(CONTROL!$C$21, $C$9, 100%, $E$9)</f>
        <v>10.001200000000001</v>
      </c>
      <c r="O196" s="14">
        <f>CHOOSE(CONTROL!$C$42, 10.2153, 10.2153) * CHOOSE(CONTROL!$C$21, $C$9, 100%, $E$9)</f>
        <v>10.215299999999999</v>
      </c>
      <c r="P196" s="14">
        <f>CHOOSE(CONTROL!$C$42, 10.0281, 10.0281) * CHOOSE(CONTROL!$C$21, $C$9, 100%, $E$9)</f>
        <v>10.0281</v>
      </c>
      <c r="Q196" s="14">
        <f>CHOOSE(CONTROL!$C$42, 10.81, 10.81) * CHOOSE(CONTROL!$C$21, $C$9, 100%, $E$9)</f>
        <v>10.81</v>
      </c>
      <c r="R196" s="14">
        <f>CHOOSE(CONTROL!$C$42, 11.424, 11.424) * CHOOSE(CONTROL!$C$21, $C$9, 100%, $E$9)</f>
        <v>11.423999999999999</v>
      </c>
      <c r="S196" s="14">
        <f>CHOOSE(CONTROL!$C$42, 9.759, 9.759) * CHOOSE(CONTROL!$C$21, $C$9, 100%, $E$9)</f>
        <v>9.7590000000000003</v>
      </c>
      <c r="T19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56">
        <f>(1000*CHOOSE(CONTROL!$C$42, 695, 695)*CHOOSE(CONTROL!$C$42, 0.5599, 0.5599)*CHOOSE(CONTROL!$C$42, 30, 30))/1000000</f>
        <v>11.673914999999997</v>
      </c>
      <c r="V196" s="56">
        <f>(1000*CHOOSE(CONTROL!$C$42, 500, 500)*CHOOSE(CONTROL!$C$42, 0.275, 0.275)*CHOOSE(CONTROL!$C$42, 30, 30))/1000000</f>
        <v>4.125</v>
      </c>
      <c r="W196" s="56">
        <f>(1000*CHOOSE(CONTROL!$C$42, 0.1146, 0.1146)*CHOOSE(CONTROL!$C$42, 121.5, 121.5)*CHOOSE(CONTROL!$C$42, 30, 30))/1000000</f>
        <v>0.417717</v>
      </c>
      <c r="X196" s="56">
        <f>(30*0.1790888*245000/1000000)+(30*0.2374*100000/1000000)</f>
        <v>2.0285026799999999</v>
      </c>
      <c r="Y196" s="56"/>
      <c r="Z196" s="14"/>
      <c r="AA196" s="55"/>
      <c r="AB196" s="49">
        <f>(B196*141.293+C196*267.993+D196*115.016+E196*89.698+F196*40+G196*185+H196*0+I196*100+J196*300)/(141.293+267.993+115.016+89.698+0+40+185+100+300)</f>
        <v>10.22513012259887</v>
      </c>
      <c r="AC196" s="44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10.059478417266188</v>
      </c>
    </row>
    <row r="197" spans="1:29" ht="15.75" x14ac:dyDescent="0.25">
      <c r="A197" s="13">
        <v>46874</v>
      </c>
      <c r="B197" s="14">
        <f>CHOOSE(CONTROL!$C$42, 10.2779, 10.2779) * CHOOSE(CONTROL!$C$21, $C$9, 100%, $E$9)</f>
        <v>10.277900000000001</v>
      </c>
      <c r="C197" s="14">
        <f>CHOOSE(CONTROL!$C$42, 10.286, 10.286) * CHOOSE(CONTROL!$C$21, $C$9, 100%, $E$9)</f>
        <v>10.286</v>
      </c>
      <c r="D197" s="14">
        <f>CHOOSE(CONTROL!$C$42, 10.5117, 10.5117) * CHOOSE(CONTROL!$C$21, $C$9, 100%, $E$9)</f>
        <v>10.511699999999999</v>
      </c>
      <c r="E197" s="14">
        <f>CHOOSE(CONTROL!$C$42, 10.5432, 10.5432) * CHOOSE(CONTROL!$C$21, $C$9, 100%, $E$9)</f>
        <v>10.543200000000001</v>
      </c>
      <c r="F197" s="14">
        <f>CHOOSE(CONTROL!$C$42, 10.3036, 10.3036)*CHOOSE(CONTROL!$C$21, $C$9, 100%, $E$9)</f>
        <v>10.303599999999999</v>
      </c>
      <c r="G197" s="14">
        <f>CHOOSE(CONTROL!$C$42, 10.3206, 10.3206)*CHOOSE(CONTROL!$C$21, $C$9, 100%, $E$9)</f>
        <v>10.320600000000001</v>
      </c>
      <c r="H197" s="14">
        <f>CHOOSE(CONTROL!$C$42, 10.5318, 10.5318) * CHOOSE(CONTROL!$C$21, $C$9, 100%, $E$9)</f>
        <v>10.5318</v>
      </c>
      <c r="I197" s="14">
        <f>CHOOSE(CONTROL!$C$42, 10.3417, 10.3417)* CHOOSE(CONTROL!$C$21, $C$9, 100%, $E$9)</f>
        <v>10.341699999999999</v>
      </c>
      <c r="J197" s="14">
        <f>CHOOSE(CONTROL!$C$42, 10.2966, 10.2966)* CHOOSE(CONTROL!$C$21, $C$9, 100%, $E$9)</f>
        <v>10.2966</v>
      </c>
      <c r="K197" s="52">
        <f>CHOOSE(CONTROL!$C$42, 10.3378, 10.3378) * CHOOSE(CONTROL!$C$21, $C$9, 100%, $E$9)</f>
        <v>10.3378</v>
      </c>
      <c r="L197" s="14">
        <f>CHOOSE(CONTROL!$C$42, 11.1188, 11.1188) * CHOOSE(CONTROL!$C$21, $C$9, 100%, $E$9)</f>
        <v>11.1188</v>
      </c>
      <c r="M197" s="14">
        <f>CHOOSE(CONTROL!$C$42, 10.0933, 10.0933) * CHOOSE(CONTROL!$C$21, $C$9, 100%, $E$9)</f>
        <v>10.093299999999999</v>
      </c>
      <c r="N197" s="14">
        <f>CHOOSE(CONTROL!$C$42, 10.1099, 10.1099) * CHOOSE(CONTROL!$C$21, $C$9, 100%, $E$9)</f>
        <v>10.1099</v>
      </c>
      <c r="O197" s="14">
        <f>CHOOSE(CONTROL!$C$42, 10.3237, 10.3237) * CHOOSE(CONTROL!$C$21, $C$9, 100%, $E$9)</f>
        <v>10.323700000000001</v>
      </c>
      <c r="P197" s="14">
        <f>CHOOSE(CONTROL!$C$42, 10.1369, 10.1369) * CHOOSE(CONTROL!$C$21, $C$9, 100%, $E$9)</f>
        <v>10.136900000000001</v>
      </c>
      <c r="Q197" s="14">
        <f>CHOOSE(CONTROL!$C$42, 10.9184, 10.9184) * CHOOSE(CONTROL!$C$21, $C$9, 100%, $E$9)</f>
        <v>10.9184</v>
      </c>
      <c r="R197" s="14">
        <f>CHOOSE(CONTROL!$C$42, 11.5327, 11.5327) * CHOOSE(CONTROL!$C$21, $C$9, 100%, $E$9)</f>
        <v>11.5327</v>
      </c>
      <c r="S197" s="14">
        <f>CHOOSE(CONTROL!$C$42, 9.8654, 9.8654) * CHOOSE(CONTROL!$C$21, $C$9, 100%, $E$9)</f>
        <v>9.8653999999999993</v>
      </c>
      <c r="T19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56">
        <f>(1000*CHOOSE(CONTROL!$C$42, 695, 695)*CHOOSE(CONTROL!$C$42, 0.5599, 0.5599)*CHOOSE(CONTROL!$C$42, 31, 31))/1000000</f>
        <v>12.063045499999998</v>
      </c>
      <c r="V197" s="56">
        <f>(1000*CHOOSE(CONTROL!$C$42, 500, 500)*CHOOSE(CONTROL!$C$42, 0.275, 0.275)*CHOOSE(CONTROL!$C$42, 31, 31))/1000000</f>
        <v>4.2625000000000002</v>
      </c>
      <c r="W197" s="56">
        <f>(1000*CHOOSE(CONTROL!$C$42, 0.1146, 0.1146)*CHOOSE(CONTROL!$C$42, 121.5, 121.5)*CHOOSE(CONTROL!$C$42, 31, 31))/1000000</f>
        <v>0.43164089999999994</v>
      </c>
      <c r="X197" s="56">
        <f>(31*0.1790888*245000/1000000)+(31*0.2374*100000/1000000)</f>
        <v>2.0961194359999999</v>
      </c>
      <c r="Y197" s="56"/>
      <c r="Z197" s="14"/>
      <c r="AA197" s="55"/>
      <c r="AB197" s="49">
        <f>(B197*194.205+C197*267.466+D197*133.845+E197*53.484+F197*40+G197*185+H197*0+I197*100+J197*300)/(194.205+267.466+133.845+53.484+0+40+185+100+300)</f>
        <v>10.331719655259027</v>
      </c>
      <c r="AC197" s="44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10.168039568345325</v>
      </c>
    </row>
    <row r="198" spans="1:29" ht="15.75" x14ac:dyDescent="0.25">
      <c r="A198" s="13">
        <v>46905</v>
      </c>
      <c r="B198" s="14">
        <f>CHOOSE(CONTROL!$C$42, 10.5909, 10.5909) * CHOOSE(CONTROL!$C$21, $C$9, 100%, $E$9)</f>
        <v>10.5909</v>
      </c>
      <c r="C198" s="14">
        <f>CHOOSE(CONTROL!$C$42, 10.5989, 10.5989) * CHOOSE(CONTROL!$C$21, $C$9, 100%, $E$9)</f>
        <v>10.5989</v>
      </c>
      <c r="D198" s="14">
        <f>CHOOSE(CONTROL!$C$42, 10.8247, 10.8247) * CHOOSE(CONTROL!$C$21, $C$9, 100%, $E$9)</f>
        <v>10.8247</v>
      </c>
      <c r="E198" s="14">
        <f>CHOOSE(CONTROL!$C$42, 10.8562, 10.8562) * CHOOSE(CONTROL!$C$21, $C$9, 100%, $E$9)</f>
        <v>10.856199999999999</v>
      </c>
      <c r="F198" s="14">
        <f>CHOOSE(CONTROL!$C$42, 10.617, 10.617)*CHOOSE(CONTROL!$C$21, $C$9, 100%, $E$9)</f>
        <v>10.617000000000001</v>
      </c>
      <c r="G198" s="14">
        <f>CHOOSE(CONTROL!$C$42, 10.6341, 10.6341)*CHOOSE(CONTROL!$C$21, $C$9, 100%, $E$9)</f>
        <v>10.6341</v>
      </c>
      <c r="H198" s="14">
        <f>CHOOSE(CONTROL!$C$42, 10.8448, 10.8448) * CHOOSE(CONTROL!$C$21, $C$9, 100%, $E$9)</f>
        <v>10.844799999999999</v>
      </c>
      <c r="I198" s="14">
        <f>CHOOSE(CONTROL!$C$42, 10.6556, 10.6556)* CHOOSE(CONTROL!$C$21, $C$9, 100%, $E$9)</f>
        <v>10.6556</v>
      </c>
      <c r="J198" s="14">
        <f>CHOOSE(CONTROL!$C$42, 10.61, 10.61)* CHOOSE(CONTROL!$C$21, $C$9, 100%, $E$9)</f>
        <v>10.61</v>
      </c>
      <c r="K198" s="52">
        <f>CHOOSE(CONTROL!$C$42, 10.6517, 10.6517) * CHOOSE(CONTROL!$C$21, $C$9, 100%, $E$9)</f>
        <v>10.6517</v>
      </c>
      <c r="L198" s="14">
        <f>CHOOSE(CONTROL!$C$42, 11.4318, 11.4318) * CHOOSE(CONTROL!$C$21, $C$9, 100%, $E$9)</f>
        <v>11.431800000000001</v>
      </c>
      <c r="M198" s="14">
        <f>CHOOSE(CONTROL!$C$42, 10.4003, 10.4003) * CHOOSE(CONTROL!$C$21, $C$9, 100%, $E$9)</f>
        <v>10.4003</v>
      </c>
      <c r="N198" s="14">
        <f>CHOOSE(CONTROL!$C$42, 10.417, 10.417) * CHOOSE(CONTROL!$C$21, $C$9, 100%, $E$9)</f>
        <v>10.417</v>
      </c>
      <c r="O198" s="14">
        <f>CHOOSE(CONTROL!$C$42, 10.6303, 10.6303) * CHOOSE(CONTROL!$C$21, $C$9, 100%, $E$9)</f>
        <v>10.6303</v>
      </c>
      <c r="P198" s="14">
        <f>CHOOSE(CONTROL!$C$42, 10.4444, 10.4444) * CHOOSE(CONTROL!$C$21, $C$9, 100%, $E$9)</f>
        <v>10.4444</v>
      </c>
      <c r="Q198" s="14">
        <f>CHOOSE(CONTROL!$C$42, 11.225, 11.225) * CHOOSE(CONTROL!$C$21, $C$9, 100%, $E$9)</f>
        <v>11.225</v>
      </c>
      <c r="R198" s="14">
        <f>CHOOSE(CONTROL!$C$42, 11.84, 11.84) * CHOOSE(CONTROL!$C$21, $C$9, 100%, $E$9)</f>
        <v>11.84</v>
      </c>
      <c r="S198" s="14">
        <f>CHOOSE(CONTROL!$C$42, 10.1661, 10.1661) * CHOOSE(CONTROL!$C$21, $C$9, 100%, $E$9)</f>
        <v>10.1661</v>
      </c>
      <c r="T19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56">
        <f>(1000*CHOOSE(CONTROL!$C$42, 695, 695)*CHOOSE(CONTROL!$C$42, 0.5599, 0.5599)*CHOOSE(CONTROL!$C$42, 30, 30))/1000000</f>
        <v>11.673914999999997</v>
      </c>
      <c r="V198" s="56">
        <f>(1000*CHOOSE(CONTROL!$C$42, 500, 500)*CHOOSE(CONTROL!$C$42, 0.275, 0.275)*CHOOSE(CONTROL!$C$42, 30, 30))/1000000</f>
        <v>4.125</v>
      </c>
      <c r="W198" s="56">
        <f>(1000*CHOOSE(CONTROL!$C$42, 0.1146, 0.1146)*CHOOSE(CONTROL!$C$42, 121.5, 121.5)*CHOOSE(CONTROL!$C$42, 30, 30))/1000000</f>
        <v>0.417717</v>
      </c>
      <c r="X198" s="56">
        <f>(30*0.1790888*245000/1000000)+(30*0.2374*100000/1000000)</f>
        <v>2.0285026799999999</v>
      </c>
      <c r="Y198" s="56"/>
      <c r="Z198" s="14"/>
      <c r="AA198" s="55"/>
      <c r="AB198" s="49">
        <f>(B198*194.205+C198*267.466+D198*133.845+E198*53.484+F198*40+G198*185+H198*0+I198*100+J198*300)/(194.205+267.466+133.845+53.484+0+40+185+100+300)</f>
        <v>10.644948661067504</v>
      </c>
      <c r="AC198" s="44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10.475022302158274</v>
      </c>
    </row>
    <row r="199" spans="1:29" ht="15.75" x14ac:dyDescent="0.25">
      <c r="A199" s="13">
        <v>46935</v>
      </c>
      <c r="B199" s="14">
        <f>CHOOSE(CONTROL!$C$42, 10.4093, 10.4093) * CHOOSE(CONTROL!$C$21, $C$9, 100%, $E$9)</f>
        <v>10.4093</v>
      </c>
      <c r="C199" s="14">
        <f>CHOOSE(CONTROL!$C$42, 10.4173, 10.4173) * CHOOSE(CONTROL!$C$21, $C$9, 100%, $E$9)</f>
        <v>10.417299999999999</v>
      </c>
      <c r="D199" s="14">
        <f>CHOOSE(CONTROL!$C$42, 10.6431, 10.6431) * CHOOSE(CONTROL!$C$21, $C$9, 100%, $E$9)</f>
        <v>10.6431</v>
      </c>
      <c r="E199" s="14">
        <f>CHOOSE(CONTROL!$C$42, 10.6746, 10.6746) * CHOOSE(CONTROL!$C$21, $C$9, 100%, $E$9)</f>
        <v>10.6746</v>
      </c>
      <c r="F199" s="14">
        <f>CHOOSE(CONTROL!$C$42, 10.4359, 10.4359)*CHOOSE(CONTROL!$C$21, $C$9, 100%, $E$9)</f>
        <v>10.4359</v>
      </c>
      <c r="G199" s="14">
        <f>CHOOSE(CONTROL!$C$42, 10.4531, 10.4531)*CHOOSE(CONTROL!$C$21, $C$9, 100%, $E$9)</f>
        <v>10.453099999999999</v>
      </c>
      <c r="H199" s="14">
        <f>CHOOSE(CONTROL!$C$42, 10.6632, 10.6632) * CHOOSE(CONTROL!$C$21, $C$9, 100%, $E$9)</f>
        <v>10.6632</v>
      </c>
      <c r="I199" s="14">
        <f>CHOOSE(CONTROL!$C$42, 10.4734, 10.4734)* CHOOSE(CONTROL!$C$21, $C$9, 100%, $E$9)</f>
        <v>10.4734</v>
      </c>
      <c r="J199" s="14">
        <f>CHOOSE(CONTROL!$C$42, 10.4289, 10.4289)* CHOOSE(CONTROL!$C$21, $C$9, 100%, $E$9)</f>
        <v>10.428900000000001</v>
      </c>
      <c r="K199" s="52">
        <f>CHOOSE(CONTROL!$C$42, 10.4696, 10.4696) * CHOOSE(CONTROL!$C$21, $C$9, 100%, $E$9)</f>
        <v>10.4696</v>
      </c>
      <c r="L199" s="14">
        <f>CHOOSE(CONTROL!$C$42, 11.2502, 11.2502) * CHOOSE(CONTROL!$C$21, $C$9, 100%, $E$9)</f>
        <v>11.2502</v>
      </c>
      <c r="M199" s="14">
        <f>CHOOSE(CONTROL!$C$42, 10.2229, 10.2229) * CHOOSE(CONTROL!$C$21, $C$9, 100%, $E$9)</f>
        <v>10.222899999999999</v>
      </c>
      <c r="N199" s="14">
        <f>CHOOSE(CONTROL!$C$42, 10.2397, 10.2397) * CHOOSE(CONTROL!$C$21, $C$9, 100%, $E$9)</f>
        <v>10.239699999999999</v>
      </c>
      <c r="O199" s="14">
        <f>CHOOSE(CONTROL!$C$42, 10.4524, 10.4524) * CHOOSE(CONTROL!$C$21, $C$9, 100%, $E$9)</f>
        <v>10.452400000000001</v>
      </c>
      <c r="P199" s="14">
        <f>CHOOSE(CONTROL!$C$42, 10.266, 10.266) * CHOOSE(CONTROL!$C$21, $C$9, 100%, $E$9)</f>
        <v>10.266</v>
      </c>
      <c r="Q199" s="14">
        <f>CHOOSE(CONTROL!$C$42, 11.0471, 11.0471) * CHOOSE(CONTROL!$C$21, $C$9, 100%, $E$9)</f>
        <v>11.0471</v>
      </c>
      <c r="R199" s="14">
        <f>CHOOSE(CONTROL!$C$42, 11.6617, 11.6617) * CHOOSE(CONTROL!$C$21, $C$9, 100%, $E$9)</f>
        <v>11.6617</v>
      </c>
      <c r="S199" s="14">
        <f>CHOOSE(CONTROL!$C$42, 9.9917, 9.9917) * CHOOSE(CONTROL!$C$21, $C$9, 100%, $E$9)</f>
        <v>9.9916999999999998</v>
      </c>
      <c r="T19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56">
        <f>(1000*CHOOSE(CONTROL!$C$42, 695, 695)*CHOOSE(CONTROL!$C$42, 0.5599, 0.5599)*CHOOSE(CONTROL!$C$42, 31, 31))/1000000</f>
        <v>12.063045499999998</v>
      </c>
      <c r="V199" s="56">
        <f>(1000*CHOOSE(CONTROL!$C$42, 500, 500)*CHOOSE(CONTROL!$C$42, 0.275, 0.275)*CHOOSE(CONTROL!$C$42, 31, 31))/1000000</f>
        <v>4.2625000000000002</v>
      </c>
      <c r="W199" s="56">
        <f>(1000*CHOOSE(CONTROL!$C$42, 0.1146, 0.1146)*CHOOSE(CONTROL!$C$42, 121.5, 121.5)*CHOOSE(CONTROL!$C$42, 31, 31))/1000000</f>
        <v>0.43164089999999994</v>
      </c>
      <c r="X199" s="56">
        <f>(31*0.1790888*245000/1000000)+(31*0.2374*100000/1000000)</f>
        <v>2.0961194359999999</v>
      </c>
      <c r="Y199" s="56"/>
      <c r="Z199" s="14"/>
      <c r="AA199" s="55"/>
      <c r="AB199" s="49">
        <f>(B199*194.205+C199*267.466+D199*133.845+E199*53.484+F199*40+G199*185+H199*0+I199*100+J199*300)/(194.205+267.466+133.845+53.484+0+40+185+100+300)</f>
        <v>10.463522130455258</v>
      </c>
      <c r="AC199" s="44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10.297361151079135</v>
      </c>
    </row>
    <row r="200" spans="1:29" ht="15.75" x14ac:dyDescent="0.25">
      <c r="A200" s="13">
        <v>46966</v>
      </c>
      <c r="B200" s="14">
        <f>CHOOSE(CONTROL!$C$42, 9.9161, 9.9161) * CHOOSE(CONTROL!$C$21, $C$9, 100%, $E$9)</f>
        <v>9.9161000000000001</v>
      </c>
      <c r="C200" s="14">
        <f>CHOOSE(CONTROL!$C$42, 9.9241, 9.9241) * CHOOSE(CONTROL!$C$21, $C$9, 100%, $E$9)</f>
        <v>9.9240999999999993</v>
      </c>
      <c r="D200" s="14">
        <f>CHOOSE(CONTROL!$C$42, 10.1499, 10.1499) * CHOOSE(CONTROL!$C$21, $C$9, 100%, $E$9)</f>
        <v>10.149900000000001</v>
      </c>
      <c r="E200" s="14">
        <f>CHOOSE(CONTROL!$C$42, 10.1814, 10.1814) * CHOOSE(CONTROL!$C$21, $C$9, 100%, $E$9)</f>
        <v>10.1814</v>
      </c>
      <c r="F200" s="14">
        <f>CHOOSE(CONTROL!$C$42, 9.9429, 9.9429)*CHOOSE(CONTROL!$C$21, $C$9, 100%, $E$9)</f>
        <v>9.9428999999999998</v>
      </c>
      <c r="G200" s="14">
        <f>CHOOSE(CONTROL!$C$42, 9.9602, 9.9602)*CHOOSE(CONTROL!$C$21, $C$9, 100%, $E$9)</f>
        <v>9.9602000000000004</v>
      </c>
      <c r="H200" s="14">
        <f>CHOOSE(CONTROL!$C$42, 10.17, 10.17) * CHOOSE(CONTROL!$C$21, $C$9, 100%, $E$9)</f>
        <v>10.17</v>
      </c>
      <c r="I200" s="14">
        <f>CHOOSE(CONTROL!$C$42, 9.9787, 9.9787)* CHOOSE(CONTROL!$C$21, $C$9, 100%, $E$9)</f>
        <v>9.9786999999999999</v>
      </c>
      <c r="J200" s="14">
        <f>CHOOSE(CONTROL!$C$42, 9.9359, 9.9359)* CHOOSE(CONTROL!$C$21, $C$9, 100%, $E$9)</f>
        <v>9.9359000000000002</v>
      </c>
      <c r="K200" s="52">
        <f>CHOOSE(CONTROL!$C$42, 9.9748, 9.9748) * CHOOSE(CONTROL!$C$21, $C$9, 100%, $E$9)</f>
        <v>9.9748000000000001</v>
      </c>
      <c r="L200" s="14">
        <f>CHOOSE(CONTROL!$C$42, 10.757, 10.757) * CHOOSE(CONTROL!$C$21, $C$9, 100%, $E$9)</f>
        <v>10.757</v>
      </c>
      <c r="M200" s="14">
        <f>CHOOSE(CONTROL!$C$42, 9.74, 9.74) * CHOOSE(CONTROL!$C$21, $C$9, 100%, $E$9)</f>
        <v>9.74</v>
      </c>
      <c r="N200" s="14">
        <f>CHOOSE(CONTROL!$C$42, 9.7569, 9.7569) * CHOOSE(CONTROL!$C$21, $C$9, 100%, $E$9)</f>
        <v>9.7568999999999999</v>
      </c>
      <c r="O200" s="14">
        <f>CHOOSE(CONTROL!$C$42, 9.9693, 9.9693) * CHOOSE(CONTROL!$C$21, $C$9, 100%, $E$9)</f>
        <v>9.9693000000000005</v>
      </c>
      <c r="P200" s="14">
        <f>CHOOSE(CONTROL!$C$42, 9.7814, 9.7814) * CHOOSE(CONTROL!$C$21, $C$9, 100%, $E$9)</f>
        <v>9.7813999999999997</v>
      </c>
      <c r="Q200" s="14">
        <f>CHOOSE(CONTROL!$C$42, 10.564, 10.564) * CHOOSE(CONTROL!$C$21, $C$9, 100%, $E$9)</f>
        <v>10.564</v>
      </c>
      <c r="R200" s="14">
        <f>CHOOSE(CONTROL!$C$42, 11.1774, 11.1774) * CHOOSE(CONTROL!$C$21, $C$9, 100%, $E$9)</f>
        <v>11.1774</v>
      </c>
      <c r="S200" s="14">
        <f>CHOOSE(CONTROL!$C$42, 9.5177, 9.5177) * CHOOSE(CONTROL!$C$21, $C$9, 100%, $E$9)</f>
        <v>9.5176999999999996</v>
      </c>
      <c r="T20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56">
        <f>(1000*CHOOSE(CONTROL!$C$42, 695, 695)*CHOOSE(CONTROL!$C$42, 0.5599, 0.5599)*CHOOSE(CONTROL!$C$42, 31, 31))/1000000</f>
        <v>12.063045499999998</v>
      </c>
      <c r="V200" s="56">
        <f>(1000*CHOOSE(CONTROL!$C$42, 500, 500)*CHOOSE(CONTROL!$C$42, 0.275, 0.275)*CHOOSE(CONTROL!$C$42, 31, 31))/1000000</f>
        <v>4.2625000000000002</v>
      </c>
      <c r="W200" s="56">
        <f>(1000*CHOOSE(CONTROL!$C$42, 0.1146, 0.1146)*CHOOSE(CONTROL!$C$42, 121.5, 121.5)*CHOOSE(CONTROL!$C$42, 31, 31))/1000000</f>
        <v>0.43164089999999994</v>
      </c>
      <c r="X200" s="56">
        <f>(31*0.1790888*245000/1000000)+(31*0.2374*100000/1000000)</f>
        <v>2.0961194359999999</v>
      </c>
      <c r="Y200" s="56"/>
      <c r="Z200" s="14"/>
      <c r="AA200" s="55"/>
      <c r="AB200" s="49">
        <f>(B200*194.205+C200*267.466+D200*133.845+E200*53.484+F200*40+G200*185+H200*0+I200*100+J200*300)/(194.205+267.466+133.845+53.484+0+40+185+100+300)</f>
        <v>9.9703013298273184</v>
      </c>
      <c r="AC200" s="44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9.8141834532374101</v>
      </c>
    </row>
    <row r="201" spans="1:29" ht="15.75" x14ac:dyDescent="0.25">
      <c r="A201" s="13">
        <v>46997</v>
      </c>
      <c r="B201" s="14">
        <f>CHOOSE(CONTROL!$C$42, 9.3062, 9.3062) * CHOOSE(CONTROL!$C$21, $C$9, 100%, $E$9)</f>
        <v>9.3062000000000005</v>
      </c>
      <c r="C201" s="14">
        <f>CHOOSE(CONTROL!$C$42, 9.3142, 9.3142) * CHOOSE(CONTROL!$C$21, $C$9, 100%, $E$9)</f>
        <v>9.3141999999999996</v>
      </c>
      <c r="D201" s="14">
        <f>CHOOSE(CONTROL!$C$42, 9.54, 9.54) * CHOOSE(CONTROL!$C$21, $C$9, 100%, $E$9)</f>
        <v>9.5399999999999991</v>
      </c>
      <c r="E201" s="14">
        <f>CHOOSE(CONTROL!$C$42, 9.5714, 9.5714) * CHOOSE(CONTROL!$C$21, $C$9, 100%, $E$9)</f>
        <v>9.5714000000000006</v>
      </c>
      <c r="F201" s="14">
        <f>CHOOSE(CONTROL!$C$42, 9.333, 9.333)*CHOOSE(CONTROL!$C$21, $C$9, 100%, $E$9)</f>
        <v>9.3330000000000002</v>
      </c>
      <c r="G201" s="14">
        <f>CHOOSE(CONTROL!$C$42, 9.3502, 9.3502)*CHOOSE(CONTROL!$C$21, $C$9, 100%, $E$9)</f>
        <v>9.3501999999999992</v>
      </c>
      <c r="H201" s="14">
        <f>CHOOSE(CONTROL!$C$42, 9.5601, 9.5601) * CHOOSE(CONTROL!$C$21, $C$9, 100%, $E$9)</f>
        <v>9.5601000000000003</v>
      </c>
      <c r="I201" s="14">
        <f>CHOOSE(CONTROL!$C$42, 9.3669, 9.3669)* CHOOSE(CONTROL!$C$21, $C$9, 100%, $E$9)</f>
        <v>9.3668999999999993</v>
      </c>
      <c r="J201" s="14">
        <f>CHOOSE(CONTROL!$C$42, 9.326, 9.326)* CHOOSE(CONTROL!$C$21, $C$9, 100%, $E$9)</f>
        <v>9.3260000000000005</v>
      </c>
      <c r="K201" s="52">
        <f>CHOOSE(CONTROL!$C$42, 9.363, 9.363) * CHOOSE(CONTROL!$C$21, $C$9, 100%, $E$9)</f>
        <v>9.3629999999999995</v>
      </c>
      <c r="L201" s="14">
        <f>CHOOSE(CONTROL!$C$42, 10.1471, 10.1471) * CHOOSE(CONTROL!$C$21, $C$9, 100%, $E$9)</f>
        <v>10.1471</v>
      </c>
      <c r="M201" s="14">
        <f>CHOOSE(CONTROL!$C$42, 9.1426, 9.1426) * CHOOSE(CONTROL!$C$21, $C$9, 100%, $E$9)</f>
        <v>9.1425999999999998</v>
      </c>
      <c r="N201" s="14">
        <f>CHOOSE(CONTROL!$C$42, 9.1595, 9.1595) * CHOOSE(CONTROL!$C$21, $C$9, 100%, $E$9)</f>
        <v>9.1594999999999995</v>
      </c>
      <c r="O201" s="14">
        <f>CHOOSE(CONTROL!$C$42, 9.3719, 9.3719) * CHOOSE(CONTROL!$C$21, $C$9, 100%, $E$9)</f>
        <v>9.3719000000000001</v>
      </c>
      <c r="P201" s="14">
        <f>CHOOSE(CONTROL!$C$42, 9.1821, 9.1821) * CHOOSE(CONTROL!$C$21, $C$9, 100%, $E$9)</f>
        <v>9.1821000000000002</v>
      </c>
      <c r="Q201" s="14">
        <f>CHOOSE(CONTROL!$C$42, 9.9666, 9.9666) * CHOOSE(CONTROL!$C$21, $C$9, 100%, $E$9)</f>
        <v>9.9665999999999997</v>
      </c>
      <c r="R201" s="14">
        <f>CHOOSE(CONTROL!$C$42, 10.5785, 10.5785) * CHOOSE(CONTROL!$C$21, $C$9, 100%, $E$9)</f>
        <v>10.5785</v>
      </c>
      <c r="S201" s="14">
        <f>CHOOSE(CONTROL!$C$42, 8.9317, 8.9317) * CHOOSE(CONTROL!$C$21, $C$9, 100%, $E$9)</f>
        <v>8.9316999999999993</v>
      </c>
      <c r="T20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56">
        <f>(1000*CHOOSE(CONTROL!$C$42, 695, 695)*CHOOSE(CONTROL!$C$42, 0.5599, 0.5599)*CHOOSE(CONTROL!$C$42, 30, 30))/1000000</f>
        <v>11.673914999999997</v>
      </c>
      <c r="V201" s="56">
        <f>(1000*CHOOSE(CONTROL!$C$42, 500, 500)*CHOOSE(CONTROL!$C$42, 0.275, 0.275)*CHOOSE(CONTROL!$C$42, 30, 30))/1000000</f>
        <v>4.125</v>
      </c>
      <c r="W201" s="56">
        <f>(1000*CHOOSE(CONTROL!$C$42, 0.1146, 0.1146)*CHOOSE(CONTROL!$C$42, 121.5, 121.5)*CHOOSE(CONTROL!$C$42, 30, 30))/1000000</f>
        <v>0.417717</v>
      </c>
      <c r="X201" s="56">
        <f>(30*0.1790888*245000/1000000)+(30*0.2374*100000/1000000)</f>
        <v>2.0285026799999999</v>
      </c>
      <c r="Y201" s="56"/>
      <c r="Z201" s="14"/>
      <c r="AA201" s="55"/>
      <c r="AB201" s="49">
        <f>(B201*194.205+C201*267.466+D201*133.845+E201*53.484+F201*40+G201*185+H201*0+I201*100+J201*300)/(194.205+267.466+133.845+53.484+0+40+185+100+300)</f>
        <v>9.3602334739403474</v>
      </c>
      <c r="AC201" s="44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9.2165100719424462</v>
      </c>
    </row>
    <row r="202" spans="1:29" ht="15.75" x14ac:dyDescent="0.25">
      <c r="A202" s="13">
        <v>47027</v>
      </c>
      <c r="B202" s="14">
        <f>CHOOSE(CONTROL!$C$42, 9.1345, 9.1345) * CHOOSE(CONTROL!$C$21, $C$9, 100%, $E$9)</f>
        <v>9.1344999999999992</v>
      </c>
      <c r="C202" s="14">
        <f>CHOOSE(CONTROL!$C$42, 9.1398, 9.1398) * CHOOSE(CONTROL!$C$21, $C$9, 100%, $E$9)</f>
        <v>9.1397999999999993</v>
      </c>
      <c r="D202" s="14">
        <f>CHOOSE(CONTROL!$C$42, 9.3705, 9.3705) * CHOOSE(CONTROL!$C$21, $C$9, 100%, $E$9)</f>
        <v>9.3704999999999998</v>
      </c>
      <c r="E202" s="14">
        <f>CHOOSE(CONTROL!$C$42, 9.3997, 9.3997) * CHOOSE(CONTROL!$C$21, $C$9, 100%, $E$9)</f>
        <v>9.3996999999999993</v>
      </c>
      <c r="F202" s="14">
        <f>CHOOSE(CONTROL!$C$42, 9.1633, 9.1633)*CHOOSE(CONTROL!$C$21, $C$9, 100%, $E$9)</f>
        <v>9.1632999999999996</v>
      </c>
      <c r="G202" s="14">
        <f>CHOOSE(CONTROL!$C$42, 9.1804, 9.1804)*CHOOSE(CONTROL!$C$21, $C$9, 100%, $E$9)</f>
        <v>9.1804000000000006</v>
      </c>
      <c r="H202" s="14">
        <f>CHOOSE(CONTROL!$C$42, 9.3901, 9.3901) * CHOOSE(CONTROL!$C$21, $C$9, 100%, $E$9)</f>
        <v>9.3901000000000003</v>
      </c>
      <c r="I202" s="14">
        <f>CHOOSE(CONTROL!$C$42, 9.1964, 9.1964)* CHOOSE(CONTROL!$C$21, $C$9, 100%, $E$9)</f>
        <v>9.1964000000000006</v>
      </c>
      <c r="J202" s="14">
        <f>CHOOSE(CONTROL!$C$42, 9.1563, 9.1563)* CHOOSE(CONTROL!$C$21, $C$9, 100%, $E$9)</f>
        <v>9.1562999999999999</v>
      </c>
      <c r="K202" s="52">
        <f>CHOOSE(CONTROL!$C$42, 9.1925, 9.1925) * CHOOSE(CONTROL!$C$21, $C$9, 100%, $E$9)</f>
        <v>9.1925000000000008</v>
      </c>
      <c r="L202" s="14">
        <f>CHOOSE(CONTROL!$C$42, 9.9771, 9.9771) * CHOOSE(CONTROL!$C$21, $C$9, 100%, $E$9)</f>
        <v>9.9771000000000001</v>
      </c>
      <c r="M202" s="14">
        <f>CHOOSE(CONTROL!$C$42, 8.9764, 8.9764) * CHOOSE(CONTROL!$C$21, $C$9, 100%, $E$9)</f>
        <v>8.9763999999999999</v>
      </c>
      <c r="N202" s="14">
        <f>CHOOSE(CONTROL!$C$42, 8.9932, 8.9932) * CHOOSE(CONTROL!$C$21, $C$9, 100%, $E$9)</f>
        <v>8.9931999999999999</v>
      </c>
      <c r="O202" s="14">
        <f>CHOOSE(CONTROL!$C$42, 9.2054, 9.2054) * CHOOSE(CONTROL!$C$21, $C$9, 100%, $E$9)</f>
        <v>9.2053999999999991</v>
      </c>
      <c r="P202" s="14">
        <f>CHOOSE(CONTROL!$C$42, 9.0151, 9.0151) * CHOOSE(CONTROL!$C$21, $C$9, 100%, $E$9)</f>
        <v>9.0151000000000003</v>
      </c>
      <c r="Q202" s="14">
        <f>CHOOSE(CONTROL!$C$42, 9.8001, 9.8001) * CHOOSE(CONTROL!$C$21, $C$9, 100%, $E$9)</f>
        <v>9.8001000000000005</v>
      </c>
      <c r="R202" s="14">
        <f>CHOOSE(CONTROL!$C$42, 10.4116, 10.4116) * CHOOSE(CONTROL!$C$21, $C$9, 100%, $E$9)</f>
        <v>10.4116</v>
      </c>
      <c r="S202" s="14">
        <f>CHOOSE(CONTROL!$C$42, 8.7684, 8.7684) * CHOOSE(CONTROL!$C$21, $C$9, 100%, $E$9)</f>
        <v>8.7683999999999997</v>
      </c>
      <c r="T20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56">
        <f>(1000*CHOOSE(CONTROL!$C$42, 695, 695)*CHOOSE(CONTROL!$C$42, 0.5599, 0.5599)*CHOOSE(CONTROL!$C$42, 31, 31))/1000000</f>
        <v>12.063045499999998</v>
      </c>
      <c r="V202" s="56">
        <f>(1000*CHOOSE(CONTROL!$C$42, 500, 500)*CHOOSE(CONTROL!$C$42, 0.275, 0.275)*CHOOSE(CONTROL!$C$42, 31, 31))/1000000</f>
        <v>4.2625000000000002</v>
      </c>
      <c r="W202" s="56">
        <f>(1000*CHOOSE(CONTROL!$C$42, 0.1146, 0.1146)*CHOOSE(CONTROL!$C$42, 121.5, 121.5)*CHOOSE(CONTROL!$C$42, 31, 31))/1000000</f>
        <v>0.43164089999999994</v>
      </c>
      <c r="X202" s="56">
        <f>(31*0.1790888*245000/1000000)+(31*0.2374*100000/1000000)</f>
        <v>2.0961194359999999</v>
      </c>
      <c r="Y202" s="56"/>
      <c r="Z202" s="14"/>
      <c r="AA202" s="55"/>
      <c r="AB202" s="49">
        <f>(B202*131.881+C202*277.167+D202*79.08+E202*125.872+F202*40+G202*185+H202*0+I202*100+J202*300)/(131.881+277.167+79.08+125.872+0+40+185+100+300)</f>
        <v>9.1957482804681199</v>
      </c>
      <c r="AC202" s="44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9.050087769784172</v>
      </c>
    </row>
    <row r="203" spans="1:29" ht="15.75" x14ac:dyDescent="0.25">
      <c r="A203" s="13">
        <v>47058</v>
      </c>
      <c r="B203" s="14">
        <f>CHOOSE(CONTROL!$C$42, 9.3937, 9.3937) * CHOOSE(CONTROL!$C$21, $C$9, 100%, $E$9)</f>
        <v>9.3937000000000008</v>
      </c>
      <c r="C203" s="14">
        <f>CHOOSE(CONTROL!$C$42, 9.3988, 9.3988) * CHOOSE(CONTROL!$C$21, $C$9, 100%, $E$9)</f>
        <v>9.3987999999999996</v>
      </c>
      <c r="D203" s="14">
        <f>CHOOSE(CONTROL!$C$42, 9.4678, 9.4678) * CHOOSE(CONTROL!$C$21, $C$9, 100%, $E$9)</f>
        <v>9.4678000000000004</v>
      </c>
      <c r="E203" s="14">
        <f>CHOOSE(CONTROL!$C$42, 9.5019, 9.5019) * CHOOSE(CONTROL!$C$21, $C$9, 100%, $E$9)</f>
        <v>9.5018999999999991</v>
      </c>
      <c r="F203" s="14">
        <f>CHOOSE(CONTROL!$C$42, 9.4293, 9.4293)*CHOOSE(CONTROL!$C$21, $C$9, 100%, $E$9)</f>
        <v>9.4292999999999996</v>
      </c>
      <c r="G203" s="14">
        <f>CHOOSE(CONTROL!$C$42, 9.4467, 9.4467)*CHOOSE(CONTROL!$C$21, $C$9, 100%, $E$9)</f>
        <v>9.4466999999999999</v>
      </c>
      <c r="H203" s="14">
        <f>CHOOSE(CONTROL!$C$42, 9.4911, 9.4911) * CHOOSE(CONTROL!$C$21, $C$9, 100%, $E$9)</f>
        <v>9.4910999999999994</v>
      </c>
      <c r="I203" s="14">
        <f>CHOOSE(CONTROL!$C$42, 9.4595, 9.4595)* CHOOSE(CONTROL!$C$21, $C$9, 100%, $E$9)</f>
        <v>9.4595000000000002</v>
      </c>
      <c r="J203" s="14">
        <f>CHOOSE(CONTROL!$C$42, 9.4223, 9.4223)* CHOOSE(CONTROL!$C$21, $C$9, 100%, $E$9)</f>
        <v>9.4222999999999999</v>
      </c>
      <c r="K203" s="52">
        <f>CHOOSE(CONTROL!$C$42, 9.4556, 9.4556) * CHOOSE(CONTROL!$C$21, $C$9, 100%, $E$9)</f>
        <v>9.4556000000000004</v>
      </c>
      <c r="L203" s="14">
        <f>CHOOSE(CONTROL!$C$42, 10.0781, 10.0781) * CHOOSE(CONTROL!$C$21, $C$9, 100%, $E$9)</f>
        <v>10.078099999999999</v>
      </c>
      <c r="M203" s="14">
        <f>CHOOSE(CONTROL!$C$42, 9.2369, 9.2369) * CHOOSE(CONTROL!$C$21, $C$9, 100%, $E$9)</f>
        <v>9.2369000000000003</v>
      </c>
      <c r="N203" s="14">
        <f>CHOOSE(CONTROL!$C$42, 9.254, 9.254) * CHOOSE(CONTROL!$C$21, $C$9, 100%, $E$9)</f>
        <v>9.2539999999999996</v>
      </c>
      <c r="O203" s="14">
        <f>CHOOSE(CONTROL!$C$42, 9.3043, 9.3043) * CHOOSE(CONTROL!$C$21, $C$9, 100%, $E$9)</f>
        <v>9.3042999999999996</v>
      </c>
      <c r="P203" s="14">
        <f>CHOOSE(CONTROL!$C$42, 9.2728, 9.2728) * CHOOSE(CONTROL!$C$21, $C$9, 100%, $E$9)</f>
        <v>9.2728000000000002</v>
      </c>
      <c r="Q203" s="14">
        <f>CHOOSE(CONTROL!$C$42, 9.899, 9.899) * CHOOSE(CONTROL!$C$21, $C$9, 100%, $E$9)</f>
        <v>9.8989999999999991</v>
      </c>
      <c r="R203" s="14">
        <f>CHOOSE(CONTROL!$C$42, 10.5108, 10.5108) * CHOOSE(CONTROL!$C$21, $C$9, 100%, $E$9)</f>
        <v>10.5108</v>
      </c>
      <c r="S203" s="14">
        <f>CHOOSE(CONTROL!$C$42, 9.0179, 9.0179) * CHOOSE(CONTROL!$C$21, $C$9, 100%, $E$9)</f>
        <v>9.0178999999999991</v>
      </c>
      <c r="T20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56">
        <f>(1000*CHOOSE(CONTROL!$C$42, 695, 695)*CHOOSE(CONTROL!$C$42, 0.5599, 0.5599)*CHOOSE(CONTROL!$C$42, 30, 30))/1000000</f>
        <v>11.673914999999997</v>
      </c>
      <c r="V203" s="56">
        <f>(1000*CHOOSE(CONTROL!$C$42, 500, 500)*CHOOSE(CONTROL!$C$42, 0.275, 0.275)*CHOOSE(CONTROL!$C$42, 30, 30))/1000000</f>
        <v>4.125</v>
      </c>
      <c r="W203" s="56">
        <f>(1000*CHOOSE(CONTROL!$C$42, 0.1146, 0.1146)*CHOOSE(CONTROL!$C$42, 121.5, 121.5)*CHOOSE(CONTROL!$C$42, 30, 30))/1000000</f>
        <v>0.417717</v>
      </c>
      <c r="X203" s="56">
        <f>(30*0.1790888*100000/1000000)+(30*0.2374*100000/1000000)</f>
        <v>1.2494664</v>
      </c>
      <c r="Y203" s="56"/>
      <c r="Z203" s="14"/>
      <c r="AA203" s="55"/>
      <c r="AB203" s="49">
        <f>(B203*122.58+C203*297.941+D203*89.177+E203*40.302+F203*40+G203*160+H203*0+I203*100+J203*300)/(122.58+297.941+89.177+40.302+0+40+160+100+300)</f>
        <v>9.4263540793043479</v>
      </c>
      <c r="AC203" s="44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9.2735978417266178</v>
      </c>
    </row>
    <row r="204" spans="1:29" ht="15.75" x14ac:dyDescent="0.25">
      <c r="A204" s="13">
        <v>47088</v>
      </c>
      <c r="B204" s="14">
        <f>CHOOSE(CONTROL!$C$42, 10.0542, 10.0542) * CHOOSE(CONTROL!$C$21, $C$9, 100%, $E$9)</f>
        <v>10.0542</v>
      </c>
      <c r="C204" s="14">
        <f>CHOOSE(CONTROL!$C$42, 10.0592, 10.0592) * CHOOSE(CONTROL!$C$21, $C$9, 100%, $E$9)</f>
        <v>10.059200000000001</v>
      </c>
      <c r="D204" s="14">
        <f>CHOOSE(CONTROL!$C$42, 10.1282, 10.1282) * CHOOSE(CONTROL!$C$21, $C$9, 100%, $E$9)</f>
        <v>10.1282</v>
      </c>
      <c r="E204" s="14">
        <f>CHOOSE(CONTROL!$C$42, 10.1623, 10.1623) * CHOOSE(CONTROL!$C$21, $C$9, 100%, $E$9)</f>
        <v>10.1623</v>
      </c>
      <c r="F204" s="14">
        <f>CHOOSE(CONTROL!$C$42, 10.092, 10.092)*CHOOSE(CONTROL!$C$21, $C$9, 100%, $E$9)</f>
        <v>10.092000000000001</v>
      </c>
      <c r="G204" s="14">
        <f>CHOOSE(CONTROL!$C$42, 10.11, 10.11)*CHOOSE(CONTROL!$C$21, $C$9, 100%, $E$9)</f>
        <v>10.11</v>
      </c>
      <c r="H204" s="14">
        <f>CHOOSE(CONTROL!$C$42, 10.1515, 10.1515) * CHOOSE(CONTROL!$C$21, $C$9, 100%, $E$9)</f>
        <v>10.1515</v>
      </c>
      <c r="I204" s="14">
        <f>CHOOSE(CONTROL!$C$42, 10.122, 10.122)* CHOOSE(CONTROL!$C$21, $C$9, 100%, $E$9)</f>
        <v>10.122</v>
      </c>
      <c r="J204" s="14">
        <f>CHOOSE(CONTROL!$C$42, 10.085, 10.085)* CHOOSE(CONTROL!$C$21, $C$9, 100%, $E$9)</f>
        <v>10.085000000000001</v>
      </c>
      <c r="K204" s="52">
        <f>CHOOSE(CONTROL!$C$42, 10.1181, 10.1181) * CHOOSE(CONTROL!$C$21, $C$9, 100%, $E$9)</f>
        <v>10.1181</v>
      </c>
      <c r="L204" s="14">
        <f>CHOOSE(CONTROL!$C$42, 10.7385, 10.7385) * CHOOSE(CONTROL!$C$21, $C$9, 100%, $E$9)</f>
        <v>10.7385</v>
      </c>
      <c r="M204" s="14">
        <f>CHOOSE(CONTROL!$C$42, 9.886, 9.886) * CHOOSE(CONTROL!$C$21, $C$9, 100%, $E$9)</f>
        <v>9.8859999999999992</v>
      </c>
      <c r="N204" s="14">
        <f>CHOOSE(CONTROL!$C$42, 9.9037, 9.9037) * CHOOSE(CONTROL!$C$21, $C$9, 100%, $E$9)</f>
        <v>9.9037000000000006</v>
      </c>
      <c r="O204" s="14">
        <f>CHOOSE(CONTROL!$C$42, 9.9512, 9.9512) * CHOOSE(CONTROL!$C$21, $C$9, 100%, $E$9)</f>
        <v>9.9512</v>
      </c>
      <c r="P204" s="14">
        <f>CHOOSE(CONTROL!$C$42, 9.9217, 9.9217) * CHOOSE(CONTROL!$C$21, $C$9, 100%, $E$9)</f>
        <v>9.9216999999999995</v>
      </c>
      <c r="Q204" s="14">
        <f>CHOOSE(CONTROL!$C$42, 10.5459, 10.5459) * CHOOSE(CONTROL!$C$21, $C$9, 100%, $E$9)</f>
        <v>10.5459</v>
      </c>
      <c r="R204" s="14">
        <f>CHOOSE(CONTROL!$C$42, 11.1593, 11.1593) * CHOOSE(CONTROL!$C$21, $C$9, 100%, $E$9)</f>
        <v>11.1593</v>
      </c>
      <c r="S204" s="14">
        <f>CHOOSE(CONTROL!$C$42, 9.6525, 9.6525) * CHOOSE(CONTROL!$C$21, $C$9, 100%, $E$9)</f>
        <v>9.6524999999999999</v>
      </c>
      <c r="T20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56">
        <f>(1000*CHOOSE(CONTROL!$C$42, 695, 695)*CHOOSE(CONTROL!$C$42, 0.5599, 0.5599)*CHOOSE(CONTROL!$C$42, 31, 31))/1000000</f>
        <v>12.063045499999998</v>
      </c>
      <c r="V204" s="56">
        <f>(1000*CHOOSE(CONTROL!$C$42, 500, 500)*CHOOSE(CONTROL!$C$42, 0.275, 0.275)*CHOOSE(CONTROL!$C$42, 31, 31))/1000000</f>
        <v>4.2625000000000002</v>
      </c>
      <c r="W204" s="56">
        <f>(1000*CHOOSE(CONTROL!$C$42, 0.1146, 0.1146)*CHOOSE(CONTROL!$C$42, 121.5, 121.5)*CHOOSE(CONTROL!$C$42, 31, 31))/1000000</f>
        <v>0.43164089999999994</v>
      </c>
      <c r="X204" s="56">
        <f>(31*0.1790888*100000/1000000)+(31*0.2374*100000/1000000)</f>
        <v>1.2911152800000001</v>
      </c>
      <c r="Y204" s="56"/>
      <c r="Z204" s="14"/>
      <c r="AA204" s="55"/>
      <c r="AB204" s="49">
        <f>(B204*122.58+C204*297.941+D204*89.177+E204*40.302+F204*40+G204*160+H204*0+I204*100+J204*300)/(122.58+297.941+89.177+40.302+0+40+160+100+300)</f>
        <v>10.088030825391305</v>
      </c>
      <c r="AC204" s="44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9.9217064748201445</v>
      </c>
    </row>
    <row r="205" spans="1:29" ht="15.75" x14ac:dyDescent="0.25">
      <c r="A205" s="13">
        <v>47119</v>
      </c>
      <c r="B205" s="14">
        <f>CHOOSE(CONTROL!$C$42, 10.587, 10.587) * CHOOSE(CONTROL!$C$21, $C$9, 100%, $E$9)</f>
        <v>10.587</v>
      </c>
      <c r="C205" s="14">
        <f>CHOOSE(CONTROL!$C$42, 10.592, 10.592) * CHOOSE(CONTROL!$C$21, $C$9, 100%, $E$9)</f>
        <v>10.592000000000001</v>
      </c>
      <c r="D205" s="14">
        <f>CHOOSE(CONTROL!$C$42, 10.6715, 10.6715) * CHOOSE(CONTROL!$C$21, $C$9, 100%, $E$9)</f>
        <v>10.6715</v>
      </c>
      <c r="E205" s="14">
        <f>CHOOSE(CONTROL!$C$42, 10.7056, 10.7056) * CHOOSE(CONTROL!$C$21, $C$9, 100%, $E$9)</f>
        <v>10.7056</v>
      </c>
      <c r="F205" s="14">
        <f>CHOOSE(CONTROL!$C$42, 10.61, 10.61)*CHOOSE(CONTROL!$C$21, $C$9, 100%, $E$9)</f>
        <v>10.61</v>
      </c>
      <c r="G205" s="14">
        <f>CHOOSE(CONTROL!$C$42, 10.6275, 10.6275)*CHOOSE(CONTROL!$C$21, $C$9, 100%, $E$9)</f>
        <v>10.6275</v>
      </c>
      <c r="H205" s="14">
        <f>CHOOSE(CONTROL!$C$42, 10.6948, 10.6948) * CHOOSE(CONTROL!$C$21, $C$9, 100%, $E$9)</f>
        <v>10.694800000000001</v>
      </c>
      <c r="I205" s="14">
        <f>CHOOSE(CONTROL!$C$42, 10.6554, 10.6554)* CHOOSE(CONTROL!$C$21, $C$9, 100%, $E$9)</f>
        <v>10.6554</v>
      </c>
      <c r="J205" s="14">
        <f>CHOOSE(CONTROL!$C$42, 10.603, 10.603)* CHOOSE(CONTROL!$C$21, $C$9, 100%, $E$9)</f>
        <v>10.603</v>
      </c>
      <c r="K205" s="52">
        <f>CHOOSE(CONTROL!$C$42, 10.6515, 10.6515) * CHOOSE(CONTROL!$C$21, $C$9, 100%, $E$9)</f>
        <v>10.6515</v>
      </c>
      <c r="L205" s="14">
        <f>CHOOSE(CONTROL!$C$42, 11.2818, 11.2818) * CHOOSE(CONTROL!$C$21, $C$9, 100%, $E$9)</f>
        <v>11.2818</v>
      </c>
      <c r="M205" s="14">
        <f>CHOOSE(CONTROL!$C$42, 10.3934, 10.3934) * CHOOSE(CONTROL!$C$21, $C$9, 100%, $E$9)</f>
        <v>10.3934</v>
      </c>
      <c r="N205" s="14">
        <f>CHOOSE(CONTROL!$C$42, 10.4106, 10.4106) * CHOOSE(CONTROL!$C$21, $C$9, 100%, $E$9)</f>
        <v>10.410600000000001</v>
      </c>
      <c r="O205" s="14">
        <f>CHOOSE(CONTROL!$C$42, 10.4833, 10.4833) * CHOOSE(CONTROL!$C$21, $C$9, 100%, $E$9)</f>
        <v>10.4833</v>
      </c>
      <c r="P205" s="14">
        <f>CHOOSE(CONTROL!$C$42, 10.4442, 10.4442) * CHOOSE(CONTROL!$C$21, $C$9, 100%, $E$9)</f>
        <v>10.4442</v>
      </c>
      <c r="Q205" s="14">
        <f>CHOOSE(CONTROL!$C$42, 11.078, 11.078) * CHOOSE(CONTROL!$C$21, $C$9, 100%, $E$9)</f>
        <v>11.077999999999999</v>
      </c>
      <c r="R205" s="14">
        <f>CHOOSE(CONTROL!$C$42, 11.6927, 11.6927) * CHOOSE(CONTROL!$C$21, $C$9, 100%, $E$9)</f>
        <v>11.6927</v>
      </c>
      <c r="S205" s="14">
        <f>CHOOSE(CONTROL!$C$42, 10.1645, 10.1645) * CHOOSE(CONTROL!$C$21, $C$9, 100%, $E$9)</f>
        <v>10.1645</v>
      </c>
      <c r="T20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56">
        <f>(1000*CHOOSE(CONTROL!$C$42, 695, 695)*CHOOSE(CONTROL!$C$42, 0.5599, 0.5599)*CHOOSE(CONTROL!$C$42, 31, 31))/1000000</f>
        <v>12.063045499999998</v>
      </c>
      <c r="V205" s="56">
        <f>(1000*CHOOSE(CONTROL!$C$42, 500, 500)*CHOOSE(CONTROL!$C$42, 0.275, 0.275)*CHOOSE(CONTROL!$C$42, 31, 31))/1000000</f>
        <v>4.2625000000000002</v>
      </c>
      <c r="W205" s="56">
        <f>(1000*CHOOSE(CONTROL!$C$42, 0.1146, 0.1146)*CHOOSE(CONTROL!$C$42, 121.5, 121.5)*CHOOSE(CONTROL!$C$42, 31, 31))/1000000</f>
        <v>0.43164089999999994</v>
      </c>
      <c r="X205" s="56">
        <f>(31*0.1790888*100000/1000000)+(31*0.2374*100000/1000000)</f>
        <v>1.2911152800000001</v>
      </c>
      <c r="Y205" s="56"/>
      <c r="Z205" s="14"/>
      <c r="AA205" s="55"/>
      <c r="AB205" s="49">
        <f>(B205*122.58+C205*297.941+D205*89.177+E205*40.302+F205*40+G205*160+H205*0+I205*100+J205*300)/(122.58+297.941+89.177+40.302+0+40+160+100+300)</f>
        <v>10.615560851043478</v>
      </c>
      <c r="AC205" s="44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10.442445323741007</v>
      </c>
    </row>
    <row r="206" spans="1:29" ht="15.75" x14ac:dyDescent="0.25">
      <c r="A206" s="13">
        <v>47150</v>
      </c>
      <c r="B206" s="14">
        <f>CHOOSE(CONTROL!$C$42, 10.7974, 10.7974) * CHOOSE(CONTROL!$C$21, $C$9, 100%, $E$9)</f>
        <v>10.7974</v>
      </c>
      <c r="C206" s="14">
        <f>CHOOSE(CONTROL!$C$42, 10.8025, 10.8025) * CHOOSE(CONTROL!$C$21, $C$9, 100%, $E$9)</f>
        <v>10.8025</v>
      </c>
      <c r="D206" s="14">
        <f>CHOOSE(CONTROL!$C$42, 10.8819, 10.8819) * CHOOSE(CONTROL!$C$21, $C$9, 100%, $E$9)</f>
        <v>10.8819</v>
      </c>
      <c r="E206" s="14">
        <f>CHOOSE(CONTROL!$C$42, 10.916, 10.916) * CHOOSE(CONTROL!$C$21, $C$9, 100%, $E$9)</f>
        <v>10.916</v>
      </c>
      <c r="F206" s="14">
        <f>CHOOSE(CONTROL!$C$42, 10.8202, 10.8202)*CHOOSE(CONTROL!$C$21, $C$9, 100%, $E$9)</f>
        <v>10.8202</v>
      </c>
      <c r="G206" s="14">
        <f>CHOOSE(CONTROL!$C$42, 10.8377, 10.8377)*CHOOSE(CONTROL!$C$21, $C$9, 100%, $E$9)</f>
        <v>10.8377</v>
      </c>
      <c r="H206" s="14">
        <f>CHOOSE(CONTROL!$C$42, 10.9052, 10.9052) * CHOOSE(CONTROL!$C$21, $C$9, 100%, $E$9)</f>
        <v>10.905200000000001</v>
      </c>
      <c r="I206" s="14">
        <f>CHOOSE(CONTROL!$C$42, 10.8666, 10.8666)* CHOOSE(CONTROL!$C$21, $C$9, 100%, $E$9)</f>
        <v>10.8666</v>
      </c>
      <c r="J206" s="14">
        <f>CHOOSE(CONTROL!$C$42, 10.8132, 10.8132)* CHOOSE(CONTROL!$C$21, $C$9, 100%, $E$9)</f>
        <v>10.8132</v>
      </c>
      <c r="K206" s="52">
        <f>CHOOSE(CONTROL!$C$42, 10.8627, 10.8627) * CHOOSE(CONTROL!$C$21, $C$9, 100%, $E$9)</f>
        <v>10.8627</v>
      </c>
      <c r="L206" s="14">
        <f>CHOOSE(CONTROL!$C$42, 11.4922, 11.4922) * CHOOSE(CONTROL!$C$21, $C$9, 100%, $E$9)</f>
        <v>11.4922</v>
      </c>
      <c r="M206" s="14">
        <f>CHOOSE(CONTROL!$C$42, 10.5994, 10.5994) * CHOOSE(CONTROL!$C$21, $C$9, 100%, $E$9)</f>
        <v>10.599399999999999</v>
      </c>
      <c r="N206" s="14">
        <f>CHOOSE(CONTROL!$C$42, 10.6165, 10.6165) * CHOOSE(CONTROL!$C$21, $C$9, 100%, $E$9)</f>
        <v>10.6165</v>
      </c>
      <c r="O206" s="14">
        <f>CHOOSE(CONTROL!$C$42, 10.6895, 10.6895) * CHOOSE(CONTROL!$C$21, $C$9, 100%, $E$9)</f>
        <v>10.689500000000001</v>
      </c>
      <c r="P206" s="14">
        <f>CHOOSE(CONTROL!$C$42, 10.651, 10.651) * CHOOSE(CONTROL!$C$21, $C$9, 100%, $E$9)</f>
        <v>10.651</v>
      </c>
      <c r="Q206" s="14">
        <f>CHOOSE(CONTROL!$C$42, 11.2842, 11.2842) * CHOOSE(CONTROL!$C$21, $C$9, 100%, $E$9)</f>
        <v>11.2842</v>
      </c>
      <c r="R206" s="14">
        <f>CHOOSE(CONTROL!$C$42, 11.8994, 11.8994) * CHOOSE(CONTROL!$C$21, $C$9, 100%, $E$9)</f>
        <v>11.8994</v>
      </c>
      <c r="S206" s="14">
        <f>CHOOSE(CONTROL!$C$42, 10.3667, 10.3667) * CHOOSE(CONTROL!$C$21, $C$9, 100%, $E$9)</f>
        <v>10.3667</v>
      </c>
      <c r="T20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56">
        <f>(1000*CHOOSE(CONTROL!$C$42, 695, 695)*CHOOSE(CONTROL!$C$42, 0.5599, 0.5599)*CHOOSE(CONTROL!$C$42, 28, 28))/1000000</f>
        <v>10.895653999999999</v>
      </c>
      <c r="V206" s="56">
        <f>(1000*CHOOSE(CONTROL!$C$42, 500, 500)*CHOOSE(CONTROL!$C$42, 0.275, 0.275)*CHOOSE(CONTROL!$C$42, 28, 28))/1000000</f>
        <v>3.85</v>
      </c>
      <c r="W206" s="56">
        <f>(1000*CHOOSE(CONTROL!$C$42, 0.1146, 0.1146)*CHOOSE(CONTROL!$C$42, 121.5, 121.5)*CHOOSE(CONTROL!$C$42, 28, 28))/1000000</f>
        <v>0.38986920000000003</v>
      </c>
      <c r="X206" s="56">
        <f>(28*0.1790888*100000/1000000)+(28*0.2374*100000/1000000)</f>
        <v>1.16616864</v>
      </c>
      <c r="Y206" s="56"/>
      <c r="Z206" s="14"/>
      <c r="AA206" s="55"/>
      <c r="AB206" s="49">
        <f>(B206*122.58+C206*297.941+D206*89.177+E206*40.302+F206*40+G206*160+H206*0+I206*100+J206*300)/(122.58+297.941+89.177+40.302+0+40+160+100+300)</f>
        <v>10.825969367652174</v>
      </c>
      <c r="AC206" s="44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10.648645323741006</v>
      </c>
    </row>
    <row r="207" spans="1:29" ht="15.75" x14ac:dyDescent="0.25">
      <c r="A207" s="13">
        <v>47178</v>
      </c>
      <c r="B207" s="14">
        <f>CHOOSE(CONTROL!$C$42, 10.5128, 10.5128) * CHOOSE(CONTROL!$C$21, $C$9, 100%, $E$9)</f>
        <v>10.5128</v>
      </c>
      <c r="C207" s="14">
        <f>CHOOSE(CONTROL!$C$42, 10.5178, 10.5178) * CHOOSE(CONTROL!$C$21, $C$9, 100%, $E$9)</f>
        <v>10.517799999999999</v>
      </c>
      <c r="D207" s="14">
        <f>CHOOSE(CONTROL!$C$42, 10.5973, 10.5973) * CHOOSE(CONTROL!$C$21, $C$9, 100%, $E$9)</f>
        <v>10.597300000000001</v>
      </c>
      <c r="E207" s="14">
        <f>CHOOSE(CONTROL!$C$42, 10.6314, 10.6314) * CHOOSE(CONTROL!$C$21, $C$9, 100%, $E$9)</f>
        <v>10.631399999999999</v>
      </c>
      <c r="F207" s="14">
        <f>CHOOSE(CONTROL!$C$42, 10.5348, 10.5348)*CHOOSE(CONTROL!$C$21, $C$9, 100%, $E$9)</f>
        <v>10.534800000000001</v>
      </c>
      <c r="G207" s="14">
        <f>CHOOSE(CONTROL!$C$42, 10.5521, 10.5521)*CHOOSE(CONTROL!$C$21, $C$9, 100%, $E$9)</f>
        <v>10.552099999999999</v>
      </c>
      <c r="H207" s="14">
        <f>CHOOSE(CONTROL!$C$42, 10.6206, 10.6206) * CHOOSE(CONTROL!$C$21, $C$9, 100%, $E$9)</f>
        <v>10.6206</v>
      </c>
      <c r="I207" s="14">
        <f>CHOOSE(CONTROL!$C$42, 10.581, 10.581)* CHOOSE(CONTROL!$C$21, $C$9, 100%, $E$9)</f>
        <v>10.581</v>
      </c>
      <c r="J207" s="14">
        <f>CHOOSE(CONTROL!$C$42, 10.5278, 10.5278)* CHOOSE(CONTROL!$C$21, $C$9, 100%, $E$9)</f>
        <v>10.527799999999999</v>
      </c>
      <c r="K207" s="52">
        <f>CHOOSE(CONTROL!$C$42, 10.5771, 10.5771) * CHOOSE(CONTROL!$C$21, $C$9, 100%, $E$9)</f>
        <v>10.5771</v>
      </c>
      <c r="L207" s="14">
        <f>CHOOSE(CONTROL!$C$42, 11.2076, 11.2076) * CHOOSE(CONTROL!$C$21, $C$9, 100%, $E$9)</f>
        <v>11.207599999999999</v>
      </c>
      <c r="M207" s="14">
        <f>CHOOSE(CONTROL!$C$42, 10.3198, 10.3198) * CHOOSE(CONTROL!$C$21, $C$9, 100%, $E$9)</f>
        <v>10.319800000000001</v>
      </c>
      <c r="N207" s="14">
        <f>CHOOSE(CONTROL!$C$42, 10.3367, 10.3367) * CHOOSE(CONTROL!$C$21, $C$9, 100%, $E$9)</f>
        <v>10.3367</v>
      </c>
      <c r="O207" s="14">
        <f>CHOOSE(CONTROL!$C$42, 10.4106, 10.4106) * CHOOSE(CONTROL!$C$21, $C$9, 100%, $E$9)</f>
        <v>10.410600000000001</v>
      </c>
      <c r="P207" s="14">
        <f>CHOOSE(CONTROL!$C$42, 10.3713, 10.3713) * CHOOSE(CONTROL!$C$21, $C$9, 100%, $E$9)</f>
        <v>10.3713</v>
      </c>
      <c r="Q207" s="14">
        <f>CHOOSE(CONTROL!$C$42, 11.0053, 11.0053) * CHOOSE(CONTROL!$C$21, $C$9, 100%, $E$9)</f>
        <v>11.0053</v>
      </c>
      <c r="R207" s="14">
        <f>CHOOSE(CONTROL!$C$42, 11.6198, 11.6198) * CHOOSE(CONTROL!$C$21, $C$9, 100%, $E$9)</f>
        <v>11.6198</v>
      </c>
      <c r="S207" s="14">
        <f>CHOOSE(CONTROL!$C$42, 10.0932, 10.0932) * CHOOSE(CONTROL!$C$21, $C$9, 100%, $E$9)</f>
        <v>10.0932</v>
      </c>
      <c r="T20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56">
        <f>(1000*CHOOSE(CONTROL!$C$42, 695, 695)*CHOOSE(CONTROL!$C$42, 0.5599, 0.5599)*CHOOSE(CONTROL!$C$42, 31, 31))/1000000</f>
        <v>12.063045499999998</v>
      </c>
      <c r="V207" s="56">
        <f>(1000*CHOOSE(CONTROL!$C$42, 500, 500)*CHOOSE(CONTROL!$C$42, 0.275, 0.275)*CHOOSE(CONTROL!$C$42, 31, 31))/1000000</f>
        <v>4.2625000000000002</v>
      </c>
      <c r="W207" s="56">
        <f>(1000*CHOOSE(CONTROL!$C$42, 0.1146, 0.1146)*CHOOSE(CONTROL!$C$42, 121.5, 121.5)*CHOOSE(CONTROL!$C$42, 31, 31))/1000000</f>
        <v>0.43164089999999994</v>
      </c>
      <c r="X207" s="56">
        <f>(31*0.1790888*100000/1000000)+(31*0.2374*100000/1000000)</f>
        <v>1.2911152800000001</v>
      </c>
      <c r="Y207" s="56"/>
      <c r="Z207" s="14"/>
      <c r="AA207" s="55"/>
      <c r="AB207" s="49">
        <f>(B207*122.58+C207*297.941+D207*89.177+E207*40.302+F207*40+G207*160+H207*0+I207*100+J207*300)/(122.58+297.941+89.177+40.302+0+40+160+100+300)</f>
        <v>10.540880851043479</v>
      </c>
      <c r="AC207" s="44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10.369336690647483</v>
      </c>
    </row>
    <row r="208" spans="1:29" ht="15.75" x14ac:dyDescent="0.25">
      <c r="A208" s="13">
        <v>47209</v>
      </c>
      <c r="B208" s="14">
        <f>CHOOSE(CONTROL!$C$42, 10.5039, 10.5039) * CHOOSE(CONTROL!$C$21, $C$9, 100%, $E$9)</f>
        <v>10.5039</v>
      </c>
      <c r="C208" s="14">
        <f>CHOOSE(CONTROL!$C$42, 10.5084, 10.5084) * CHOOSE(CONTROL!$C$21, $C$9, 100%, $E$9)</f>
        <v>10.5084</v>
      </c>
      <c r="D208" s="14">
        <f>CHOOSE(CONTROL!$C$42, 10.7373, 10.7373) * CHOOSE(CONTROL!$C$21, $C$9, 100%, $E$9)</f>
        <v>10.737299999999999</v>
      </c>
      <c r="E208" s="14">
        <f>CHOOSE(CONTROL!$C$42, 10.7694, 10.7694) * CHOOSE(CONTROL!$C$21, $C$9, 100%, $E$9)</f>
        <v>10.769399999999999</v>
      </c>
      <c r="F208" s="14">
        <f>CHOOSE(CONTROL!$C$42, 10.5309, 10.5309)*CHOOSE(CONTROL!$C$21, $C$9, 100%, $E$9)</f>
        <v>10.530900000000001</v>
      </c>
      <c r="G208" s="14">
        <f>CHOOSE(CONTROL!$C$42, 10.5476, 10.5476)*CHOOSE(CONTROL!$C$21, $C$9, 100%, $E$9)</f>
        <v>10.547599999999999</v>
      </c>
      <c r="H208" s="14">
        <f>CHOOSE(CONTROL!$C$42, 10.7592, 10.7592) * CHOOSE(CONTROL!$C$21, $C$9, 100%, $E$9)</f>
        <v>10.7592</v>
      </c>
      <c r="I208" s="14">
        <f>CHOOSE(CONTROL!$C$42, 10.5697, 10.5697)* CHOOSE(CONTROL!$C$21, $C$9, 100%, $E$9)</f>
        <v>10.569699999999999</v>
      </c>
      <c r="J208" s="14">
        <f>CHOOSE(CONTROL!$C$42, 10.5239, 10.5239)* CHOOSE(CONTROL!$C$21, $C$9, 100%, $E$9)</f>
        <v>10.523899999999999</v>
      </c>
      <c r="K208" s="52">
        <f>CHOOSE(CONTROL!$C$42, 10.5658, 10.5658) * CHOOSE(CONTROL!$C$21, $C$9, 100%, $E$9)</f>
        <v>10.565799999999999</v>
      </c>
      <c r="L208" s="14">
        <f>CHOOSE(CONTROL!$C$42, 11.3462, 11.3462) * CHOOSE(CONTROL!$C$21, $C$9, 100%, $E$9)</f>
        <v>11.3462</v>
      </c>
      <c r="M208" s="14">
        <f>CHOOSE(CONTROL!$C$42, 10.316, 10.316) * CHOOSE(CONTROL!$C$21, $C$9, 100%, $E$9)</f>
        <v>10.316000000000001</v>
      </c>
      <c r="N208" s="14">
        <f>CHOOSE(CONTROL!$C$42, 10.3323, 10.3323) * CHOOSE(CONTROL!$C$21, $C$9, 100%, $E$9)</f>
        <v>10.3323</v>
      </c>
      <c r="O208" s="14">
        <f>CHOOSE(CONTROL!$C$42, 10.5464, 10.5464) * CHOOSE(CONTROL!$C$21, $C$9, 100%, $E$9)</f>
        <v>10.5464</v>
      </c>
      <c r="P208" s="14">
        <f>CHOOSE(CONTROL!$C$42, 10.3603, 10.3603) * CHOOSE(CONTROL!$C$21, $C$9, 100%, $E$9)</f>
        <v>10.360300000000001</v>
      </c>
      <c r="Q208" s="14">
        <f>CHOOSE(CONTROL!$C$42, 11.1411, 11.1411) * CHOOSE(CONTROL!$C$21, $C$9, 100%, $E$9)</f>
        <v>11.1411</v>
      </c>
      <c r="R208" s="14">
        <f>CHOOSE(CONTROL!$C$42, 11.756, 11.756) * CHOOSE(CONTROL!$C$21, $C$9, 100%, $E$9)</f>
        <v>11.756</v>
      </c>
      <c r="S208" s="14">
        <f>CHOOSE(CONTROL!$C$42, 10.0839, 10.0839) * CHOOSE(CONTROL!$C$21, $C$9, 100%, $E$9)</f>
        <v>10.0839</v>
      </c>
      <c r="T20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56">
        <f>(1000*CHOOSE(CONTROL!$C$42, 695, 695)*CHOOSE(CONTROL!$C$42, 0.5599, 0.5599)*CHOOSE(CONTROL!$C$42, 30, 30))/1000000</f>
        <v>11.673914999999997</v>
      </c>
      <c r="V208" s="56">
        <f>(1000*CHOOSE(CONTROL!$C$42, 500, 500)*CHOOSE(CONTROL!$C$42, 0.275, 0.275)*CHOOSE(CONTROL!$C$42, 30, 30))/1000000</f>
        <v>4.125</v>
      </c>
      <c r="W208" s="56">
        <f>(1000*CHOOSE(CONTROL!$C$42, 0.1146, 0.1146)*CHOOSE(CONTROL!$C$42, 121.5, 121.5)*CHOOSE(CONTROL!$C$42, 30, 30))/1000000</f>
        <v>0.417717</v>
      </c>
      <c r="X208" s="56">
        <f>(30*0.1790888*245000/1000000)+(30*0.2374*100000/1000000)</f>
        <v>2.0285026799999999</v>
      </c>
      <c r="Y208" s="56"/>
      <c r="Z208" s="14"/>
      <c r="AA208" s="55"/>
      <c r="AB208" s="49">
        <f>(B208*141.293+C208*267.993+D208*115.016+E208*89.698+F208*40+G208*185+H208*0+I208*100+J208*300)/(141.293+267.993+115.016+89.698+0+40+185+100+300)</f>
        <v>10.563310832849071</v>
      </c>
      <c r="AC208" s="44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10.390771223021583</v>
      </c>
    </row>
    <row r="209" spans="1:29" ht="15.75" x14ac:dyDescent="0.25">
      <c r="A209" s="13">
        <v>47239</v>
      </c>
      <c r="B209" s="14">
        <f>CHOOSE(CONTROL!$C$42, 10.6197, 10.6197) * CHOOSE(CONTROL!$C$21, $C$9, 100%, $E$9)</f>
        <v>10.6197</v>
      </c>
      <c r="C209" s="14">
        <f>CHOOSE(CONTROL!$C$42, 10.6277, 10.6277) * CHOOSE(CONTROL!$C$21, $C$9, 100%, $E$9)</f>
        <v>10.627700000000001</v>
      </c>
      <c r="D209" s="14">
        <f>CHOOSE(CONTROL!$C$42, 10.8535, 10.8535) * CHOOSE(CONTROL!$C$21, $C$9, 100%, $E$9)</f>
        <v>10.8535</v>
      </c>
      <c r="E209" s="14">
        <f>CHOOSE(CONTROL!$C$42, 10.885, 10.885) * CHOOSE(CONTROL!$C$21, $C$9, 100%, $E$9)</f>
        <v>10.885</v>
      </c>
      <c r="F209" s="14">
        <f>CHOOSE(CONTROL!$C$42, 10.6454, 10.6454)*CHOOSE(CONTROL!$C$21, $C$9, 100%, $E$9)</f>
        <v>10.6454</v>
      </c>
      <c r="G209" s="14">
        <f>CHOOSE(CONTROL!$C$42, 10.6623, 10.6623)*CHOOSE(CONTROL!$C$21, $C$9, 100%, $E$9)</f>
        <v>10.6623</v>
      </c>
      <c r="H209" s="14">
        <f>CHOOSE(CONTROL!$C$42, 10.8736, 10.8736) * CHOOSE(CONTROL!$C$21, $C$9, 100%, $E$9)</f>
        <v>10.8736</v>
      </c>
      <c r="I209" s="14">
        <f>CHOOSE(CONTROL!$C$42, 10.6845, 10.6845)* CHOOSE(CONTROL!$C$21, $C$9, 100%, $E$9)</f>
        <v>10.6845</v>
      </c>
      <c r="J209" s="14">
        <f>CHOOSE(CONTROL!$C$42, 10.6384, 10.6384)* CHOOSE(CONTROL!$C$21, $C$9, 100%, $E$9)</f>
        <v>10.638400000000001</v>
      </c>
      <c r="K209" s="52">
        <f>CHOOSE(CONTROL!$C$42, 10.6806, 10.6806) * CHOOSE(CONTROL!$C$21, $C$9, 100%, $E$9)</f>
        <v>10.6806</v>
      </c>
      <c r="L209" s="14">
        <f>CHOOSE(CONTROL!$C$42, 11.4606, 11.4606) * CHOOSE(CONTROL!$C$21, $C$9, 100%, $E$9)</f>
        <v>11.460599999999999</v>
      </c>
      <c r="M209" s="14">
        <f>CHOOSE(CONTROL!$C$42, 10.4281, 10.4281) * CHOOSE(CONTROL!$C$21, $C$9, 100%, $E$9)</f>
        <v>10.428100000000001</v>
      </c>
      <c r="N209" s="14">
        <f>CHOOSE(CONTROL!$C$42, 10.4447, 10.4447) * CHOOSE(CONTROL!$C$21, $C$9, 100%, $E$9)</f>
        <v>10.444699999999999</v>
      </c>
      <c r="O209" s="14">
        <f>CHOOSE(CONTROL!$C$42, 10.6585, 10.6585) * CHOOSE(CONTROL!$C$21, $C$9, 100%, $E$9)</f>
        <v>10.6585</v>
      </c>
      <c r="P209" s="14">
        <f>CHOOSE(CONTROL!$C$42, 10.4727, 10.4727) * CHOOSE(CONTROL!$C$21, $C$9, 100%, $E$9)</f>
        <v>10.4727</v>
      </c>
      <c r="Q209" s="14">
        <f>CHOOSE(CONTROL!$C$42, 11.2532, 11.2532) * CHOOSE(CONTROL!$C$21, $C$9, 100%, $E$9)</f>
        <v>11.2532</v>
      </c>
      <c r="R209" s="14">
        <f>CHOOSE(CONTROL!$C$42, 11.8684, 11.8684) * CHOOSE(CONTROL!$C$21, $C$9, 100%, $E$9)</f>
        <v>11.868399999999999</v>
      </c>
      <c r="S209" s="14">
        <f>CHOOSE(CONTROL!$C$42, 10.1938, 10.1938) * CHOOSE(CONTROL!$C$21, $C$9, 100%, $E$9)</f>
        <v>10.1938</v>
      </c>
      <c r="T20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56">
        <f>(1000*CHOOSE(CONTROL!$C$42, 695, 695)*CHOOSE(CONTROL!$C$42, 0.5599, 0.5599)*CHOOSE(CONTROL!$C$42, 31, 31))/1000000</f>
        <v>12.063045499999998</v>
      </c>
      <c r="V209" s="56">
        <f>(1000*CHOOSE(CONTROL!$C$42, 500, 500)*CHOOSE(CONTROL!$C$42, 0.275, 0.275)*CHOOSE(CONTROL!$C$42, 31, 31))/1000000</f>
        <v>4.2625000000000002</v>
      </c>
      <c r="W209" s="56">
        <f>(1000*CHOOSE(CONTROL!$C$42, 0.1146, 0.1146)*CHOOSE(CONTROL!$C$42, 121.5, 121.5)*CHOOSE(CONTROL!$C$42, 31, 31))/1000000</f>
        <v>0.43164089999999994</v>
      </c>
      <c r="X209" s="56">
        <f>(31*0.1790888*245000/1000000)+(31*0.2374*100000/1000000)</f>
        <v>2.0961194359999999</v>
      </c>
      <c r="Y209" s="56"/>
      <c r="Z209" s="14"/>
      <c r="AA209" s="55"/>
      <c r="AB209" s="49">
        <f>(B209*194.205+C209*267.466+D209*133.845+E209*53.484+F209*40+G209*185+H209*0+I209*100+J209*300)/(194.205+267.466+133.845+53.484+0+40+185+100+300)</f>
        <v>10.673562632810048</v>
      </c>
      <c r="AC209" s="44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10.502983453237411</v>
      </c>
    </row>
    <row r="210" spans="1:29" ht="15.75" x14ac:dyDescent="0.25">
      <c r="A210" s="13">
        <v>47270</v>
      </c>
      <c r="B210" s="14">
        <f>CHOOSE(CONTROL!$C$42, 10.9431, 10.9431) * CHOOSE(CONTROL!$C$21, $C$9, 100%, $E$9)</f>
        <v>10.943099999999999</v>
      </c>
      <c r="C210" s="14">
        <f>CHOOSE(CONTROL!$C$42, 10.9511, 10.9511) * CHOOSE(CONTROL!$C$21, $C$9, 100%, $E$9)</f>
        <v>10.9511</v>
      </c>
      <c r="D210" s="14">
        <f>CHOOSE(CONTROL!$C$42, 11.1769, 11.1769) * CHOOSE(CONTROL!$C$21, $C$9, 100%, $E$9)</f>
        <v>11.1769</v>
      </c>
      <c r="E210" s="14">
        <f>CHOOSE(CONTROL!$C$42, 11.2084, 11.2084) * CHOOSE(CONTROL!$C$21, $C$9, 100%, $E$9)</f>
        <v>11.208399999999999</v>
      </c>
      <c r="F210" s="14">
        <f>CHOOSE(CONTROL!$C$42, 10.9692, 10.9692)*CHOOSE(CONTROL!$C$21, $C$9, 100%, $E$9)</f>
        <v>10.969200000000001</v>
      </c>
      <c r="G210" s="14">
        <f>CHOOSE(CONTROL!$C$42, 10.9863, 10.9863)*CHOOSE(CONTROL!$C$21, $C$9, 100%, $E$9)</f>
        <v>10.9863</v>
      </c>
      <c r="H210" s="14">
        <f>CHOOSE(CONTROL!$C$42, 11.197, 11.197) * CHOOSE(CONTROL!$C$21, $C$9, 100%, $E$9)</f>
        <v>11.196999999999999</v>
      </c>
      <c r="I210" s="14">
        <f>CHOOSE(CONTROL!$C$42, 11.0089, 11.0089)* CHOOSE(CONTROL!$C$21, $C$9, 100%, $E$9)</f>
        <v>11.008900000000001</v>
      </c>
      <c r="J210" s="14">
        <f>CHOOSE(CONTROL!$C$42, 10.9622, 10.9622)* CHOOSE(CONTROL!$C$21, $C$9, 100%, $E$9)</f>
        <v>10.962199999999999</v>
      </c>
      <c r="K210" s="52">
        <f>CHOOSE(CONTROL!$C$42, 11.005, 11.005) * CHOOSE(CONTROL!$C$21, $C$9, 100%, $E$9)</f>
        <v>11.005000000000001</v>
      </c>
      <c r="L210" s="14">
        <f>CHOOSE(CONTROL!$C$42, 11.784, 11.784) * CHOOSE(CONTROL!$C$21, $C$9, 100%, $E$9)</f>
        <v>11.784000000000001</v>
      </c>
      <c r="M210" s="14">
        <f>CHOOSE(CONTROL!$C$42, 10.7453, 10.7453) * CHOOSE(CONTROL!$C$21, $C$9, 100%, $E$9)</f>
        <v>10.7453</v>
      </c>
      <c r="N210" s="14">
        <f>CHOOSE(CONTROL!$C$42, 10.762, 10.762) * CHOOSE(CONTROL!$C$21, $C$9, 100%, $E$9)</f>
        <v>10.762</v>
      </c>
      <c r="O210" s="14">
        <f>CHOOSE(CONTROL!$C$42, 10.9753, 10.9753) * CHOOSE(CONTROL!$C$21, $C$9, 100%, $E$9)</f>
        <v>10.975300000000001</v>
      </c>
      <c r="P210" s="14">
        <f>CHOOSE(CONTROL!$C$42, 10.7904, 10.7904) * CHOOSE(CONTROL!$C$21, $C$9, 100%, $E$9)</f>
        <v>10.7904</v>
      </c>
      <c r="Q210" s="14">
        <f>CHOOSE(CONTROL!$C$42, 11.57, 11.57) * CHOOSE(CONTROL!$C$21, $C$9, 100%, $E$9)</f>
        <v>11.57</v>
      </c>
      <c r="R210" s="14">
        <f>CHOOSE(CONTROL!$C$42, 12.1859, 12.1859) * CHOOSE(CONTROL!$C$21, $C$9, 100%, $E$9)</f>
        <v>12.1859</v>
      </c>
      <c r="S210" s="14">
        <f>CHOOSE(CONTROL!$C$42, 10.5046, 10.5046) * CHOOSE(CONTROL!$C$21, $C$9, 100%, $E$9)</f>
        <v>10.5046</v>
      </c>
      <c r="T21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56">
        <f>(1000*CHOOSE(CONTROL!$C$42, 695, 695)*CHOOSE(CONTROL!$C$42, 0.5599, 0.5599)*CHOOSE(CONTROL!$C$42, 30, 30))/1000000</f>
        <v>11.673914999999997</v>
      </c>
      <c r="V210" s="56">
        <f>(1000*CHOOSE(CONTROL!$C$42, 500, 500)*CHOOSE(CONTROL!$C$42, 0.275, 0.275)*CHOOSE(CONTROL!$C$42, 30, 30))/1000000</f>
        <v>4.125</v>
      </c>
      <c r="W210" s="56">
        <f>(1000*CHOOSE(CONTROL!$C$42, 0.1146, 0.1146)*CHOOSE(CONTROL!$C$42, 121.5, 121.5)*CHOOSE(CONTROL!$C$42, 30, 30))/1000000</f>
        <v>0.417717</v>
      </c>
      <c r="X210" s="56">
        <f>(30*0.1790888*245000/1000000)+(30*0.2374*100000/1000000)</f>
        <v>2.0285026799999999</v>
      </c>
      <c r="Y210" s="56"/>
      <c r="Z210" s="14"/>
      <c r="AA210" s="55"/>
      <c r="AB210" s="49">
        <f>(B210*194.205+C210*267.466+D210*133.845+E210*53.484+F210*40+G210*185+H210*0+I210*100+J210*300)/(194.205+267.466+133.845+53.484+0+40+185+100+300)</f>
        <v>10.997235003296703</v>
      </c>
      <c r="AC210" s="44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10.82016618705036</v>
      </c>
    </row>
    <row r="211" spans="1:29" ht="15.75" x14ac:dyDescent="0.25">
      <c r="A211" s="13">
        <v>47300</v>
      </c>
      <c r="B211" s="14">
        <f>CHOOSE(CONTROL!$C$42, 10.7555, 10.7555) * CHOOSE(CONTROL!$C$21, $C$9, 100%, $E$9)</f>
        <v>10.7555</v>
      </c>
      <c r="C211" s="14">
        <f>CHOOSE(CONTROL!$C$42, 10.7635, 10.7635) * CHOOSE(CONTROL!$C$21, $C$9, 100%, $E$9)</f>
        <v>10.763500000000001</v>
      </c>
      <c r="D211" s="14">
        <f>CHOOSE(CONTROL!$C$42, 10.9893, 10.9893) * CHOOSE(CONTROL!$C$21, $C$9, 100%, $E$9)</f>
        <v>10.9893</v>
      </c>
      <c r="E211" s="14">
        <f>CHOOSE(CONTROL!$C$42, 11.0207, 11.0207) * CHOOSE(CONTROL!$C$21, $C$9, 100%, $E$9)</f>
        <v>11.0207</v>
      </c>
      <c r="F211" s="14">
        <f>CHOOSE(CONTROL!$C$42, 10.782, 10.782)*CHOOSE(CONTROL!$C$21, $C$9, 100%, $E$9)</f>
        <v>10.782</v>
      </c>
      <c r="G211" s="14">
        <f>CHOOSE(CONTROL!$C$42, 10.7992, 10.7992)*CHOOSE(CONTROL!$C$21, $C$9, 100%, $E$9)</f>
        <v>10.799200000000001</v>
      </c>
      <c r="H211" s="14">
        <f>CHOOSE(CONTROL!$C$42, 11.0094, 11.0094) * CHOOSE(CONTROL!$C$21, $C$9, 100%, $E$9)</f>
        <v>11.009399999999999</v>
      </c>
      <c r="I211" s="14">
        <f>CHOOSE(CONTROL!$C$42, 10.8207, 10.8207)* CHOOSE(CONTROL!$C$21, $C$9, 100%, $E$9)</f>
        <v>10.8207</v>
      </c>
      <c r="J211" s="14">
        <f>CHOOSE(CONTROL!$C$42, 10.775, 10.775)* CHOOSE(CONTROL!$C$21, $C$9, 100%, $E$9)</f>
        <v>10.775</v>
      </c>
      <c r="K211" s="52">
        <f>CHOOSE(CONTROL!$C$42, 10.8168, 10.8168) * CHOOSE(CONTROL!$C$21, $C$9, 100%, $E$9)</f>
        <v>10.816800000000001</v>
      </c>
      <c r="L211" s="14">
        <f>CHOOSE(CONTROL!$C$42, 11.5964, 11.5964) * CHOOSE(CONTROL!$C$21, $C$9, 100%, $E$9)</f>
        <v>11.596399999999999</v>
      </c>
      <c r="M211" s="14">
        <f>CHOOSE(CONTROL!$C$42, 10.5619, 10.5619) * CHOOSE(CONTROL!$C$21, $C$9, 100%, $E$9)</f>
        <v>10.5619</v>
      </c>
      <c r="N211" s="14">
        <f>CHOOSE(CONTROL!$C$42, 10.5788, 10.5788) * CHOOSE(CONTROL!$C$21, $C$9, 100%, $E$9)</f>
        <v>10.578799999999999</v>
      </c>
      <c r="O211" s="14">
        <f>CHOOSE(CONTROL!$C$42, 10.7915, 10.7915) * CHOOSE(CONTROL!$C$21, $C$9, 100%, $E$9)</f>
        <v>10.791499999999999</v>
      </c>
      <c r="P211" s="14">
        <f>CHOOSE(CONTROL!$C$42, 10.6061, 10.6061) * CHOOSE(CONTROL!$C$21, $C$9, 100%, $E$9)</f>
        <v>10.6061</v>
      </c>
      <c r="Q211" s="14">
        <f>CHOOSE(CONTROL!$C$42, 11.3862, 11.3862) * CHOOSE(CONTROL!$C$21, $C$9, 100%, $E$9)</f>
        <v>11.386200000000001</v>
      </c>
      <c r="R211" s="14">
        <f>CHOOSE(CONTROL!$C$42, 12.0017, 12.0017) * CHOOSE(CONTROL!$C$21, $C$9, 100%, $E$9)</f>
        <v>12.0017</v>
      </c>
      <c r="S211" s="14">
        <f>CHOOSE(CONTROL!$C$42, 10.3243, 10.3243) * CHOOSE(CONTROL!$C$21, $C$9, 100%, $E$9)</f>
        <v>10.324299999999999</v>
      </c>
      <c r="T21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56">
        <f>(1000*CHOOSE(CONTROL!$C$42, 695, 695)*CHOOSE(CONTROL!$C$42, 0.5599, 0.5599)*CHOOSE(CONTROL!$C$42, 31, 31))/1000000</f>
        <v>12.063045499999998</v>
      </c>
      <c r="V211" s="56">
        <f>(1000*CHOOSE(CONTROL!$C$42, 500, 500)*CHOOSE(CONTROL!$C$42, 0.275, 0.275)*CHOOSE(CONTROL!$C$42, 31, 31))/1000000</f>
        <v>4.2625000000000002</v>
      </c>
      <c r="W211" s="56">
        <f>(1000*CHOOSE(CONTROL!$C$42, 0.1146, 0.1146)*CHOOSE(CONTROL!$C$42, 121.5, 121.5)*CHOOSE(CONTROL!$C$42, 31, 31))/1000000</f>
        <v>0.43164089999999994</v>
      </c>
      <c r="X211" s="56">
        <f>(31*0.1790888*245000/1000000)+(31*0.2374*100000/1000000)</f>
        <v>2.0961194359999999</v>
      </c>
      <c r="Y211" s="56"/>
      <c r="Z211" s="14"/>
      <c r="AA211" s="55"/>
      <c r="AB211" s="49">
        <f>(B211*194.205+C211*267.466+D211*133.845+E211*53.484+F211*40+G211*185+H211*0+I211*100+J211*300)/(194.205+267.466+133.845+53.484+0+40+185+100+300)</f>
        <v>10.80976306577708</v>
      </c>
      <c r="AC211" s="44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10.636570503597122</v>
      </c>
    </row>
    <row r="212" spans="1:29" ht="15.75" x14ac:dyDescent="0.25">
      <c r="A212" s="13">
        <v>47331</v>
      </c>
      <c r="B212" s="14">
        <f>CHOOSE(CONTROL!$C$42, 10.2458, 10.2458) * CHOOSE(CONTROL!$C$21, $C$9, 100%, $E$9)</f>
        <v>10.245799999999999</v>
      </c>
      <c r="C212" s="14">
        <f>CHOOSE(CONTROL!$C$42, 10.2538, 10.2538) * CHOOSE(CONTROL!$C$21, $C$9, 100%, $E$9)</f>
        <v>10.2538</v>
      </c>
      <c r="D212" s="14">
        <f>CHOOSE(CONTROL!$C$42, 10.4796, 10.4796) * CHOOSE(CONTROL!$C$21, $C$9, 100%, $E$9)</f>
        <v>10.4796</v>
      </c>
      <c r="E212" s="14">
        <f>CHOOSE(CONTROL!$C$42, 10.5111, 10.5111) * CHOOSE(CONTROL!$C$21, $C$9, 100%, $E$9)</f>
        <v>10.511100000000001</v>
      </c>
      <c r="F212" s="14">
        <f>CHOOSE(CONTROL!$C$42, 10.2726, 10.2726)*CHOOSE(CONTROL!$C$21, $C$9, 100%, $E$9)</f>
        <v>10.272600000000001</v>
      </c>
      <c r="G212" s="14">
        <f>CHOOSE(CONTROL!$C$42, 10.2899, 10.2899)*CHOOSE(CONTROL!$C$21, $C$9, 100%, $E$9)</f>
        <v>10.289899999999999</v>
      </c>
      <c r="H212" s="14">
        <f>CHOOSE(CONTROL!$C$42, 10.4997, 10.4997) * CHOOSE(CONTROL!$C$21, $C$9, 100%, $E$9)</f>
        <v>10.499700000000001</v>
      </c>
      <c r="I212" s="14">
        <f>CHOOSE(CONTROL!$C$42, 10.3094, 10.3094)* CHOOSE(CONTROL!$C$21, $C$9, 100%, $E$9)</f>
        <v>10.3094</v>
      </c>
      <c r="J212" s="14">
        <f>CHOOSE(CONTROL!$C$42, 10.2656, 10.2656)* CHOOSE(CONTROL!$C$21, $C$9, 100%, $E$9)</f>
        <v>10.265599999999999</v>
      </c>
      <c r="K212" s="52">
        <f>CHOOSE(CONTROL!$C$42, 10.3056, 10.3056) * CHOOSE(CONTROL!$C$21, $C$9, 100%, $E$9)</f>
        <v>10.3056</v>
      </c>
      <c r="L212" s="14">
        <f>CHOOSE(CONTROL!$C$42, 11.0867, 11.0867) * CHOOSE(CONTROL!$C$21, $C$9, 100%, $E$9)</f>
        <v>11.0867</v>
      </c>
      <c r="M212" s="14">
        <f>CHOOSE(CONTROL!$C$42, 10.063, 10.063) * CHOOSE(CONTROL!$C$21, $C$9, 100%, $E$9)</f>
        <v>10.063000000000001</v>
      </c>
      <c r="N212" s="14">
        <f>CHOOSE(CONTROL!$C$42, 10.0799, 10.0799) * CHOOSE(CONTROL!$C$21, $C$9, 100%, $E$9)</f>
        <v>10.0799</v>
      </c>
      <c r="O212" s="14">
        <f>CHOOSE(CONTROL!$C$42, 10.2923, 10.2923) * CHOOSE(CONTROL!$C$21, $C$9, 100%, $E$9)</f>
        <v>10.292299999999999</v>
      </c>
      <c r="P212" s="14">
        <f>CHOOSE(CONTROL!$C$42, 10.1053, 10.1053) * CHOOSE(CONTROL!$C$21, $C$9, 100%, $E$9)</f>
        <v>10.1053</v>
      </c>
      <c r="Q212" s="14">
        <f>CHOOSE(CONTROL!$C$42, 10.887, 10.887) * CHOOSE(CONTROL!$C$21, $C$9, 100%, $E$9)</f>
        <v>10.887</v>
      </c>
      <c r="R212" s="14">
        <f>CHOOSE(CONTROL!$C$42, 11.5012, 11.5012) * CHOOSE(CONTROL!$C$21, $C$9, 100%, $E$9)</f>
        <v>11.501200000000001</v>
      </c>
      <c r="S212" s="14">
        <f>CHOOSE(CONTROL!$C$42, 9.8346, 9.8346) * CHOOSE(CONTROL!$C$21, $C$9, 100%, $E$9)</f>
        <v>9.8346</v>
      </c>
      <c r="T21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56">
        <f>(1000*CHOOSE(CONTROL!$C$42, 695, 695)*CHOOSE(CONTROL!$C$42, 0.5599, 0.5599)*CHOOSE(CONTROL!$C$42, 31, 31))/1000000</f>
        <v>12.063045499999998</v>
      </c>
      <c r="V212" s="56">
        <f>(1000*CHOOSE(CONTROL!$C$42, 500, 500)*CHOOSE(CONTROL!$C$42, 0.275, 0.275)*CHOOSE(CONTROL!$C$42, 31, 31))/1000000</f>
        <v>4.2625000000000002</v>
      </c>
      <c r="W212" s="56">
        <f>(1000*CHOOSE(CONTROL!$C$42, 0.1146, 0.1146)*CHOOSE(CONTROL!$C$42, 121.5, 121.5)*CHOOSE(CONTROL!$C$42, 31, 31))/1000000</f>
        <v>0.43164089999999994</v>
      </c>
      <c r="X212" s="56">
        <f>(31*0.1790888*245000/1000000)+(31*0.2374*100000/1000000)</f>
        <v>2.0961194359999999</v>
      </c>
      <c r="Y212" s="56"/>
      <c r="Z212" s="14"/>
      <c r="AA212" s="55"/>
      <c r="AB212" s="49">
        <f>(B212*194.205+C212*267.466+D212*133.845+E212*53.484+F212*40+G212*185+H212*0+I212*100+J212*300)/(194.205+267.466+133.845+53.484+0+40+185+100+300)</f>
        <v>10.300079822762951</v>
      </c>
      <c r="AC212" s="44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10.137312949640288</v>
      </c>
    </row>
    <row r="213" spans="1:29" ht="15.75" x14ac:dyDescent="0.25">
      <c r="A213" s="13">
        <v>47362</v>
      </c>
      <c r="B213" s="14">
        <f>CHOOSE(CONTROL!$C$42, 9.6156, 9.6156) * CHOOSE(CONTROL!$C$21, $C$9, 100%, $E$9)</f>
        <v>9.6156000000000006</v>
      </c>
      <c r="C213" s="14">
        <f>CHOOSE(CONTROL!$C$42, 9.6236, 9.6236) * CHOOSE(CONTROL!$C$21, $C$9, 100%, $E$9)</f>
        <v>9.6235999999999997</v>
      </c>
      <c r="D213" s="14">
        <f>CHOOSE(CONTROL!$C$42, 9.8494, 9.8494) * CHOOSE(CONTROL!$C$21, $C$9, 100%, $E$9)</f>
        <v>9.8493999999999993</v>
      </c>
      <c r="E213" s="14">
        <f>CHOOSE(CONTROL!$C$42, 9.8809, 9.8809) * CHOOSE(CONTROL!$C$21, $C$9, 100%, $E$9)</f>
        <v>9.8809000000000005</v>
      </c>
      <c r="F213" s="14">
        <f>CHOOSE(CONTROL!$C$42, 9.6424, 9.6424)*CHOOSE(CONTROL!$C$21, $C$9, 100%, $E$9)</f>
        <v>9.6424000000000003</v>
      </c>
      <c r="G213" s="14">
        <f>CHOOSE(CONTROL!$C$42, 9.6597, 9.6597)*CHOOSE(CONTROL!$C$21, $C$9, 100%, $E$9)</f>
        <v>9.6597000000000008</v>
      </c>
      <c r="H213" s="14">
        <f>CHOOSE(CONTROL!$C$42, 9.8695, 9.8695) * CHOOSE(CONTROL!$C$21, $C$9, 100%, $E$9)</f>
        <v>9.8695000000000004</v>
      </c>
      <c r="I213" s="14">
        <f>CHOOSE(CONTROL!$C$42, 9.6773, 9.6773)* CHOOSE(CONTROL!$C$21, $C$9, 100%, $E$9)</f>
        <v>9.6773000000000007</v>
      </c>
      <c r="J213" s="14">
        <f>CHOOSE(CONTROL!$C$42, 9.6354, 9.6354)* CHOOSE(CONTROL!$C$21, $C$9, 100%, $E$9)</f>
        <v>9.6354000000000006</v>
      </c>
      <c r="K213" s="52">
        <f>CHOOSE(CONTROL!$C$42, 9.6734, 9.6734) * CHOOSE(CONTROL!$C$21, $C$9, 100%, $E$9)</f>
        <v>9.6734000000000009</v>
      </c>
      <c r="L213" s="14">
        <f>CHOOSE(CONTROL!$C$42, 10.4565, 10.4565) * CHOOSE(CONTROL!$C$21, $C$9, 100%, $E$9)</f>
        <v>10.4565</v>
      </c>
      <c r="M213" s="14">
        <f>CHOOSE(CONTROL!$C$42, 9.4457, 9.4457) * CHOOSE(CONTROL!$C$21, $C$9, 100%, $E$9)</f>
        <v>9.4457000000000004</v>
      </c>
      <c r="N213" s="14">
        <f>CHOOSE(CONTROL!$C$42, 9.4626, 9.4626) * CHOOSE(CONTROL!$C$21, $C$9, 100%, $E$9)</f>
        <v>9.4626000000000001</v>
      </c>
      <c r="O213" s="14">
        <f>CHOOSE(CONTROL!$C$42, 9.675, 9.675) * CHOOSE(CONTROL!$C$21, $C$9, 100%, $E$9)</f>
        <v>9.6750000000000007</v>
      </c>
      <c r="P213" s="14">
        <f>CHOOSE(CONTROL!$C$42, 9.4861, 9.4861) * CHOOSE(CONTROL!$C$21, $C$9, 100%, $E$9)</f>
        <v>9.4861000000000004</v>
      </c>
      <c r="Q213" s="14">
        <f>CHOOSE(CONTROL!$C$42, 10.2697, 10.2697) * CHOOSE(CONTROL!$C$21, $C$9, 100%, $E$9)</f>
        <v>10.2697</v>
      </c>
      <c r="R213" s="14">
        <f>CHOOSE(CONTROL!$C$42, 10.8824, 10.8824) * CHOOSE(CONTROL!$C$21, $C$9, 100%, $E$9)</f>
        <v>10.882400000000001</v>
      </c>
      <c r="S213" s="14">
        <f>CHOOSE(CONTROL!$C$42, 9.229, 9.229) * CHOOSE(CONTROL!$C$21, $C$9, 100%, $E$9)</f>
        <v>9.2289999999999992</v>
      </c>
      <c r="T21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56">
        <f>(1000*CHOOSE(CONTROL!$C$42, 695, 695)*CHOOSE(CONTROL!$C$42, 0.5599, 0.5599)*CHOOSE(CONTROL!$C$42, 30, 30))/1000000</f>
        <v>11.673914999999997</v>
      </c>
      <c r="V213" s="56">
        <f>(1000*CHOOSE(CONTROL!$C$42, 500, 500)*CHOOSE(CONTROL!$C$42, 0.275, 0.275)*CHOOSE(CONTROL!$C$42, 30, 30))/1000000</f>
        <v>4.125</v>
      </c>
      <c r="W213" s="56">
        <f>(1000*CHOOSE(CONTROL!$C$42, 0.1146, 0.1146)*CHOOSE(CONTROL!$C$42, 121.5, 121.5)*CHOOSE(CONTROL!$C$42, 30, 30))/1000000</f>
        <v>0.417717</v>
      </c>
      <c r="X213" s="56">
        <f>(30*0.1790888*245000/1000000)+(30*0.2374*100000/1000000)</f>
        <v>2.0285026799999999</v>
      </c>
      <c r="Y213" s="56"/>
      <c r="Z213" s="14"/>
      <c r="AA213" s="55"/>
      <c r="AB213" s="49">
        <f>(B213*194.205+C213*267.466+D213*133.845+E213*53.484+F213*40+G213*185+H213*0+I213*100+J213*300)/(194.205+267.466+133.845+53.484+0+40+185+100+300)</f>
        <v>9.669730686185245</v>
      </c>
      <c r="AC213" s="44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9.5197395683453241</v>
      </c>
    </row>
    <row r="214" spans="1:29" ht="15.75" x14ac:dyDescent="0.25">
      <c r="A214" s="13">
        <v>47392</v>
      </c>
      <c r="B214" s="14">
        <f>CHOOSE(CONTROL!$C$42, 9.4382, 9.4382) * CHOOSE(CONTROL!$C$21, $C$9, 100%, $E$9)</f>
        <v>9.4382000000000001</v>
      </c>
      <c r="C214" s="14">
        <f>CHOOSE(CONTROL!$C$42, 9.4436, 9.4436) * CHOOSE(CONTROL!$C$21, $C$9, 100%, $E$9)</f>
        <v>9.4436</v>
      </c>
      <c r="D214" s="14">
        <f>CHOOSE(CONTROL!$C$42, 9.6743, 9.6743) * CHOOSE(CONTROL!$C$21, $C$9, 100%, $E$9)</f>
        <v>9.6743000000000006</v>
      </c>
      <c r="E214" s="14">
        <f>CHOOSE(CONTROL!$C$42, 9.7034, 9.7034) * CHOOSE(CONTROL!$C$21, $C$9, 100%, $E$9)</f>
        <v>9.7034000000000002</v>
      </c>
      <c r="F214" s="14">
        <f>CHOOSE(CONTROL!$C$42, 9.4671, 9.4671)*CHOOSE(CONTROL!$C$21, $C$9, 100%, $E$9)</f>
        <v>9.4671000000000003</v>
      </c>
      <c r="G214" s="14">
        <f>CHOOSE(CONTROL!$C$42, 9.4842, 9.4842)*CHOOSE(CONTROL!$C$21, $C$9, 100%, $E$9)</f>
        <v>9.4841999999999995</v>
      </c>
      <c r="H214" s="14">
        <f>CHOOSE(CONTROL!$C$42, 9.6939, 9.6939) * CHOOSE(CONTROL!$C$21, $C$9, 100%, $E$9)</f>
        <v>9.6938999999999993</v>
      </c>
      <c r="I214" s="14">
        <f>CHOOSE(CONTROL!$C$42, 9.5011, 9.5011)* CHOOSE(CONTROL!$C$21, $C$9, 100%, $E$9)</f>
        <v>9.5010999999999992</v>
      </c>
      <c r="J214" s="14">
        <f>CHOOSE(CONTROL!$C$42, 9.4601, 9.4601)* CHOOSE(CONTROL!$C$21, $C$9, 100%, $E$9)</f>
        <v>9.4601000000000006</v>
      </c>
      <c r="K214" s="52">
        <f>CHOOSE(CONTROL!$C$42, 9.4972, 9.4972) * CHOOSE(CONTROL!$C$21, $C$9, 100%, $E$9)</f>
        <v>9.4971999999999994</v>
      </c>
      <c r="L214" s="14">
        <f>CHOOSE(CONTROL!$C$42, 10.2809, 10.2809) * CHOOSE(CONTROL!$C$21, $C$9, 100%, $E$9)</f>
        <v>10.280900000000001</v>
      </c>
      <c r="M214" s="14">
        <f>CHOOSE(CONTROL!$C$42, 9.274, 9.274) * CHOOSE(CONTROL!$C$21, $C$9, 100%, $E$9)</f>
        <v>9.2739999999999991</v>
      </c>
      <c r="N214" s="14">
        <f>CHOOSE(CONTROL!$C$42, 9.2907, 9.2907) * CHOOSE(CONTROL!$C$21, $C$9, 100%, $E$9)</f>
        <v>9.2906999999999993</v>
      </c>
      <c r="O214" s="14">
        <f>CHOOSE(CONTROL!$C$42, 9.503, 9.503) * CHOOSE(CONTROL!$C$21, $C$9, 100%, $E$9)</f>
        <v>9.5030000000000001</v>
      </c>
      <c r="P214" s="14">
        <f>CHOOSE(CONTROL!$C$42, 9.3136, 9.3136) * CHOOSE(CONTROL!$C$21, $C$9, 100%, $E$9)</f>
        <v>9.3135999999999992</v>
      </c>
      <c r="Q214" s="14">
        <f>CHOOSE(CONTROL!$C$42, 10.0977, 10.0977) * CHOOSE(CONTROL!$C$21, $C$9, 100%, $E$9)</f>
        <v>10.0977</v>
      </c>
      <c r="R214" s="14">
        <f>CHOOSE(CONTROL!$C$42, 10.7099, 10.7099) * CHOOSE(CONTROL!$C$21, $C$9, 100%, $E$9)</f>
        <v>10.709899999999999</v>
      </c>
      <c r="S214" s="14">
        <f>CHOOSE(CONTROL!$C$42, 9.0603, 9.0603) * CHOOSE(CONTROL!$C$21, $C$9, 100%, $E$9)</f>
        <v>9.0602999999999998</v>
      </c>
      <c r="T21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56">
        <f>(1000*CHOOSE(CONTROL!$C$42, 695, 695)*CHOOSE(CONTROL!$C$42, 0.5599, 0.5599)*CHOOSE(CONTROL!$C$42, 31, 31))/1000000</f>
        <v>12.063045499999998</v>
      </c>
      <c r="V214" s="56">
        <f>(1000*CHOOSE(CONTROL!$C$42, 500, 500)*CHOOSE(CONTROL!$C$42, 0.275, 0.275)*CHOOSE(CONTROL!$C$42, 31, 31))/1000000</f>
        <v>4.2625000000000002</v>
      </c>
      <c r="W214" s="56">
        <f>(1000*CHOOSE(CONTROL!$C$42, 0.1146, 0.1146)*CHOOSE(CONTROL!$C$42, 121.5, 121.5)*CHOOSE(CONTROL!$C$42, 31, 31))/1000000</f>
        <v>0.43164089999999994</v>
      </c>
      <c r="X214" s="56">
        <f>(31*0.1790888*245000/1000000)+(31*0.2374*100000/1000000)</f>
        <v>2.0961194359999999</v>
      </c>
      <c r="Y214" s="56"/>
      <c r="Z214" s="14"/>
      <c r="AA214" s="55"/>
      <c r="AB214" s="49">
        <f>(B214*131.881+C214*277.167+D214*79.08+E214*125.872+F214*40+G214*185+H214*0+I214*100+J214*300)/(131.881+277.167+79.08+125.872+0+40+185+100+300)</f>
        <v>9.4996001163841832</v>
      </c>
      <c r="AC214" s="44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9.3477942446043158</v>
      </c>
    </row>
    <row r="215" spans="1:29" ht="15.75" x14ac:dyDescent="0.25">
      <c r="A215" s="13">
        <v>47423</v>
      </c>
      <c r="B215" s="14">
        <f>CHOOSE(CONTROL!$C$42, 9.7061, 9.7061) * CHOOSE(CONTROL!$C$21, $C$9, 100%, $E$9)</f>
        <v>9.7060999999999993</v>
      </c>
      <c r="C215" s="14">
        <f>CHOOSE(CONTROL!$C$42, 9.7112, 9.7112) * CHOOSE(CONTROL!$C$21, $C$9, 100%, $E$9)</f>
        <v>9.7111999999999998</v>
      </c>
      <c r="D215" s="14">
        <f>CHOOSE(CONTROL!$C$42, 9.7802, 9.7802) * CHOOSE(CONTROL!$C$21, $C$9, 100%, $E$9)</f>
        <v>9.7802000000000007</v>
      </c>
      <c r="E215" s="14">
        <f>CHOOSE(CONTROL!$C$42, 9.8143, 9.8143) * CHOOSE(CONTROL!$C$21, $C$9, 100%, $E$9)</f>
        <v>9.8142999999999994</v>
      </c>
      <c r="F215" s="14">
        <f>CHOOSE(CONTROL!$C$42, 9.7417, 9.7417)*CHOOSE(CONTROL!$C$21, $C$9, 100%, $E$9)</f>
        <v>9.7416999999999998</v>
      </c>
      <c r="G215" s="14">
        <f>CHOOSE(CONTROL!$C$42, 9.7591, 9.7591)*CHOOSE(CONTROL!$C$21, $C$9, 100%, $E$9)</f>
        <v>9.7591000000000001</v>
      </c>
      <c r="H215" s="14">
        <f>CHOOSE(CONTROL!$C$42, 9.8035, 9.8035) * CHOOSE(CONTROL!$C$21, $C$9, 100%, $E$9)</f>
        <v>9.8034999999999997</v>
      </c>
      <c r="I215" s="14">
        <f>CHOOSE(CONTROL!$C$42, 9.7729, 9.7729)* CHOOSE(CONTROL!$C$21, $C$9, 100%, $E$9)</f>
        <v>9.7728999999999999</v>
      </c>
      <c r="J215" s="14">
        <f>CHOOSE(CONTROL!$C$42, 9.7347, 9.7347)* CHOOSE(CONTROL!$C$21, $C$9, 100%, $E$9)</f>
        <v>9.7347000000000001</v>
      </c>
      <c r="K215" s="52">
        <f>CHOOSE(CONTROL!$C$42, 9.769, 9.769) * CHOOSE(CONTROL!$C$21, $C$9, 100%, $E$9)</f>
        <v>9.7690000000000001</v>
      </c>
      <c r="L215" s="14">
        <f>CHOOSE(CONTROL!$C$42, 10.3905, 10.3905) * CHOOSE(CONTROL!$C$21, $C$9, 100%, $E$9)</f>
        <v>10.390499999999999</v>
      </c>
      <c r="M215" s="14">
        <f>CHOOSE(CONTROL!$C$42, 9.5429, 9.5429) * CHOOSE(CONTROL!$C$21, $C$9, 100%, $E$9)</f>
        <v>9.5428999999999995</v>
      </c>
      <c r="N215" s="14">
        <f>CHOOSE(CONTROL!$C$42, 9.56, 9.56) * CHOOSE(CONTROL!$C$21, $C$9, 100%, $E$9)</f>
        <v>9.56</v>
      </c>
      <c r="O215" s="14">
        <f>CHOOSE(CONTROL!$C$42, 9.6103, 9.6103) * CHOOSE(CONTROL!$C$21, $C$9, 100%, $E$9)</f>
        <v>9.6103000000000005</v>
      </c>
      <c r="P215" s="14">
        <f>CHOOSE(CONTROL!$C$42, 9.5798, 9.5798) * CHOOSE(CONTROL!$C$21, $C$9, 100%, $E$9)</f>
        <v>9.5798000000000005</v>
      </c>
      <c r="Q215" s="14">
        <f>CHOOSE(CONTROL!$C$42, 10.205, 10.205) * CHOOSE(CONTROL!$C$21, $C$9, 100%, $E$9)</f>
        <v>10.205</v>
      </c>
      <c r="R215" s="14">
        <f>CHOOSE(CONTROL!$C$42, 10.8176, 10.8176) * CHOOSE(CONTROL!$C$21, $C$9, 100%, $E$9)</f>
        <v>10.817600000000001</v>
      </c>
      <c r="S215" s="14">
        <f>CHOOSE(CONTROL!$C$42, 9.3181, 9.3181) * CHOOSE(CONTROL!$C$21, $C$9, 100%, $E$9)</f>
        <v>9.3180999999999994</v>
      </c>
      <c r="T21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56">
        <f>(1000*CHOOSE(CONTROL!$C$42, 695, 695)*CHOOSE(CONTROL!$C$42, 0.5599, 0.5599)*CHOOSE(CONTROL!$C$42, 30, 30))/1000000</f>
        <v>11.673914999999997</v>
      </c>
      <c r="V215" s="56">
        <f>(1000*CHOOSE(CONTROL!$C$42, 500, 500)*CHOOSE(CONTROL!$C$42, 0.275, 0.275)*CHOOSE(CONTROL!$C$42, 30, 30))/1000000</f>
        <v>4.125</v>
      </c>
      <c r="W215" s="56">
        <f>(1000*CHOOSE(CONTROL!$C$42, 0.1146, 0.1146)*CHOOSE(CONTROL!$C$42, 121.5, 121.5)*CHOOSE(CONTROL!$C$42, 30, 30))/1000000</f>
        <v>0.417717</v>
      </c>
      <c r="X215" s="56">
        <f>(30*0.1790888*100000/1000000)+(30*0.2374*100000/1000000)</f>
        <v>1.2494664</v>
      </c>
      <c r="Y215" s="56"/>
      <c r="Z215" s="14"/>
      <c r="AA215" s="55"/>
      <c r="AB215" s="49">
        <f>(B215*122.58+C215*297.941+D215*89.177+E215*40.302+F215*40+G215*160+H215*0+I215*100+J215*300)/(122.58+297.941+89.177+40.302+0+40+160+100+300)</f>
        <v>9.738841035826086</v>
      </c>
      <c r="AC215" s="44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9.579741726618705</v>
      </c>
    </row>
    <row r="216" spans="1:29" ht="15.75" x14ac:dyDescent="0.25">
      <c r="A216" s="13">
        <v>47453</v>
      </c>
      <c r="B216" s="14">
        <f>CHOOSE(CONTROL!$C$42, 10.3886, 10.3886) * CHOOSE(CONTROL!$C$21, $C$9, 100%, $E$9)</f>
        <v>10.3886</v>
      </c>
      <c r="C216" s="14">
        <f>CHOOSE(CONTROL!$C$42, 10.3936, 10.3936) * CHOOSE(CONTROL!$C$21, $C$9, 100%, $E$9)</f>
        <v>10.393599999999999</v>
      </c>
      <c r="D216" s="14">
        <f>CHOOSE(CONTROL!$C$42, 10.4627, 10.4627) * CHOOSE(CONTROL!$C$21, $C$9, 100%, $E$9)</f>
        <v>10.4627</v>
      </c>
      <c r="E216" s="14">
        <f>CHOOSE(CONTROL!$C$42, 10.4968, 10.4968) * CHOOSE(CONTROL!$C$21, $C$9, 100%, $E$9)</f>
        <v>10.4968</v>
      </c>
      <c r="F216" s="14">
        <f>CHOOSE(CONTROL!$C$42, 10.4264, 10.4264)*CHOOSE(CONTROL!$C$21, $C$9, 100%, $E$9)</f>
        <v>10.426399999999999</v>
      </c>
      <c r="G216" s="14">
        <f>CHOOSE(CONTROL!$C$42, 10.4444, 10.4444)*CHOOSE(CONTROL!$C$21, $C$9, 100%, $E$9)</f>
        <v>10.4444</v>
      </c>
      <c r="H216" s="14">
        <f>CHOOSE(CONTROL!$C$42, 10.486, 10.486) * CHOOSE(CONTROL!$C$21, $C$9, 100%, $E$9)</f>
        <v>10.486000000000001</v>
      </c>
      <c r="I216" s="14">
        <f>CHOOSE(CONTROL!$C$42, 10.4574, 10.4574)* CHOOSE(CONTROL!$C$21, $C$9, 100%, $E$9)</f>
        <v>10.4574</v>
      </c>
      <c r="J216" s="14">
        <f>CHOOSE(CONTROL!$C$42, 10.4194, 10.4194)* CHOOSE(CONTROL!$C$21, $C$9, 100%, $E$9)</f>
        <v>10.4194</v>
      </c>
      <c r="K216" s="52">
        <f>CHOOSE(CONTROL!$C$42, 10.4535, 10.4535) * CHOOSE(CONTROL!$C$21, $C$9, 100%, $E$9)</f>
        <v>10.4535</v>
      </c>
      <c r="L216" s="14">
        <f>CHOOSE(CONTROL!$C$42, 11.073, 11.073) * CHOOSE(CONTROL!$C$21, $C$9, 100%, $E$9)</f>
        <v>11.073</v>
      </c>
      <c r="M216" s="14">
        <f>CHOOSE(CONTROL!$C$42, 10.2136, 10.2136) * CHOOSE(CONTROL!$C$21, $C$9, 100%, $E$9)</f>
        <v>10.2136</v>
      </c>
      <c r="N216" s="14">
        <f>CHOOSE(CONTROL!$C$42, 10.2312, 10.2312) * CHOOSE(CONTROL!$C$21, $C$9, 100%, $E$9)</f>
        <v>10.231199999999999</v>
      </c>
      <c r="O216" s="14">
        <f>CHOOSE(CONTROL!$C$42, 10.2788, 10.2788) * CHOOSE(CONTROL!$C$21, $C$9, 100%, $E$9)</f>
        <v>10.2788</v>
      </c>
      <c r="P216" s="14">
        <f>CHOOSE(CONTROL!$C$42, 10.2503, 10.2503) * CHOOSE(CONTROL!$C$21, $C$9, 100%, $E$9)</f>
        <v>10.250299999999999</v>
      </c>
      <c r="Q216" s="14">
        <f>CHOOSE(CONTROL!$C$42, 10.8735, 10.8735) * CHOOSE(CONTROL!$C$21, $C$9, 100%, $E$9)</f>
        <v>10.8735</v>
      </c>
      <c r="R216" s="14">
        <f>CHOOSE(CONTROL!$C$42, 11.4877, 11.4877) * CHOOSE(CONTROL!$C$21, $C$9, 100%, $E$9)</f>
        <v>11.4877</v>
      </c>
      <c r="S216" s="14">
        <f>CHOOSE(CONTROL!$C$42, 9.9738, 9.9738) * CHOOSE(CONTROL!$C$21, $C$9, 100%, $E$9)</f>
        <v>9.9738000000000007</v>
      </c>
      <c r="T21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56">
        <f>(1000*CHOOSE(CONTROL!$C$42, 695, 695)*CHOOSE(CONTROL!$C$42, 0.5599, 0.5599)*CHOOSE(CONTROL!$C$42, 31, 31))/1000000</f>
        <v>12.063045499999998</v>
      </c>
      <c r="V216" s="56">
        <f>(1000*CHOOSE(CONTROL!$C$42, 500, 500)*CHOOSE(CONTROL!$C$42, 0.275, 0.275)*CHOOSE(CONTROL!$C$42, 31, 31))/1000000</f>
        <v>4.2625000000000002</v>
      </c>
      <c r="W216" s="56">
        <f>(1000*CHOOSE(CONTROL!$C$42, 0.1146, 0.1146)*CHOOSE(CONTROL!$C$42, 121.5, 121.5)*CHOOSE(CONTROL!$C$42, 31, 31))/1000000</f>
        <v>0.43164089999999994</v>
      </c>
      <c r="X216" s="56">
        <f>(31*0.1790888*100000/1000000)+(31*0.2374*100000/1000000)</f>
        <v>1.2911152800000001</v>
      </c>
      <c r="Y216" s="56"/>
      <c r="Z216" s="14"/>
      <c r="AA216" s="55"/>
      <c r="AB216" s="49">
        <f>(B216*122.58+C216*297.941+D216*89.177+E216*40.302+F216*40+G216*160+H216*0+I216*100+J216*300)/(122.58+297.941+89.177+40.302+0+40+160+100+300)</f>
        <v>10.422529040956523</v>
      </c>
      <c r="AC216" s="44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10.249444604316547</v>
      </c>
    </row>
    <row r="217" spans="1:29" ht="15.75" x14ac:dyDescent="0.25">
      <c r="A217" s="13">
        <v>47484</v>
      </c>
      <c r="B217" s="14">
        <f>CHOOSE(CONTROL!$C$42, 10.921, 10.921) * CHOOSE(CONTROL!$C$21, $C$9, 100%, $E$9)</f>
        <v>10.920999999999999</v>
      </c>
      <c r="C217" s="14">
        <f>CHOOSE(CONTROL!$C$42, 10.9261, 10.9261) * CHOOSE(CONTROL!$C$21, $C$9, 100%, $E$9)</f>
        <v>10.9261</v>
      </c>
      <c r="D217" s="14">
        <f>CHOOSE(CONTROL!$C$42, 11.0055, 11.0055) * CHOOSE(CONTROL!$C$21, $C$9, 100%, $E$9)</f>
        <v>11.0055</v>
      </c>
      <c r="E217" s="14">
        <f>CHOOSE(CONTROL!$C$42, 11.0396, 11.0396) * CHOOSE(CONTROL!$C$21, $C$9, 100%, $E$9)</f>
        <v>11.0396</v>
      </c>
      <c r="F217" s="14">
        <f>CHOOSE(CONTROL!$C$42, 10.944, 10.944)*CHOOSE(CONTROL!$C$21, $C$9, 100%, $E$9)</f>
        <v>10.944000000000001</v>
      </c>
      <c r="G217" s="14">
        <f>CHOOSE(CONTROL!$C$42, 10.9616, 10.9616)*CHOOSE(CONTROL!$C$21, $C$9, 100%, $E$9)</f>
        <v>10.961600000000001</v>
      </c>
      <c r="H217" s="14">
        <f>CHOOSE(CONTROL!$C$42, 11.0288, 11.0288) * CHOOSE(CONTROL!$C$21, $C$9, 100%, $E$9)</f>
        <v>11.0288</v>
      </c>
      <c r="I217" s="14">
        <f>CHOOSE(CONTROL!$C$42, 10.9905, 10.9905)* CHOOSE(CONTROL!$C$21, $C$9, 100%, $E$9)</f>
        <v>10.990500000000001</v>
      </c>
      <c r="J217" s="14">
        <f>CHOOSE(CONTROL!$C$42, 10.937, 10.937)* CHOOSE(CONTROL!$C$21, $C$9, 100%, $E$9)</f>
        <v>10.936999999999999</v>
      </c>
      <c r="K217" s="52">
        <f>CHOOSE(CONTROL!$C$42, 10.9866, 10.9866) * CHOOSE(CONTROL!$C$21, $C$9, 100%, $E$9)</f>
        <v>10.986599999999999</v>
      </c>
      <c r="L217" s="14">
        <f>CHOOSE(CONTROL!$C$42, 11.6158, 11.6158) * CHOOSE(CONTROL!$C$21, $C$9, 100%, $E$9)</f>
        <v>11.6158</v>
      </c>
      <c r="M217" s="14">
        <f>CHOOSE(CONTROL!$C$42, 10.7206, 10.7206) * CHOOSE(CONTROL!$C$21, $C$9, 100%, $E$9)</f>
        <v>10.720599999999999</v>
      </c>
      <c r="N217" s="14">
        <f>CHOOSE(CONTROL!$C$42, 10.7378, 10.7378) * CHOOSE(CONTROL!$C$21, $C$9, 100%, $E$9)</f>
        <v>10.7378</v>
      </c>
      <c r="O217" s="14">
        <f>CHOOSE(CONTROL!$C$42, 10.8105, 10.8105) * CHOOSE(CONTROL!$C$21, $C$9, 100%, $E$9)</f>
        <v>10.810499999999999</v>
      </c>
      <c r="P217" s="14">
        <f>CHOOSE(CONTROL!$C$42, 10.7724, 10.7724) * CHOOSE(CONTROL!$C$21, $C$9, 100%, $E$9)</f>
        <v>10.772399999999999</v>
      </c>
      <c r="Q217" s="14">
        <f>CHOOSE(CONTROL!$C$42, 11.4052, 11.4052) * CHOOSE(CONTROL!$C$21, $C$9, 100%, $E$9)</f>
        <v>11.405200000000001</v>
      </c>
      <c r="R217" s="14">
        <f>CHOOSE(CONTROL!$C$42, 12.0207, 12.0207) * CHOOSE(CONTROL!$C$21, $C$9, 100%, $E$9)</f>
        <v>12.0207</v>
      </c>
      <c r="S217" s="14">
        <f>CHOOSE(CONTROL!$C$42, 10.4855, 10.4855) * CHOOSE(CONTROL!$C$21, $C$9, 100%, $E$9)</f>
        <v>10.4855</v>
      </c>
      <c r="T21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56">
        <f>(1000*CHOOSE(CONTROL!$C$42, 695, 695)*CHOOSE(CONTROL!$C$42, 0.5599, 0.5599)*CHOOSE(CONTROL!$C$42, 31, 31))/1000000</f>
        <v>12.063045499999998</v>
      </c>
      <c r="V217" s="56">
        <f>(1000*CHOOSE(CONTROL!$C$42, 500, 500)*CHOOSE(CONTROL!$C$42, 0.275, 0.275)*CHOOSE(CONTROL!$C$42, 31, 31))/1000000</f>
        <v>4.2625000000000002</v>
      </c>
      <c r="W217" s="56">
        <f>(1000*CHOOSE(CONTROL!$C$42, 0.1146, 0.1146)*CHOOSE(CONTROL!$C$42, 121.5, 121.5)*CHOOSE(CONTROL!$C$42, 31, 31))/1000000</f>
        <v>0.43164089999999994</v>
      </c>
      <c r="X217" s="56">
        <f>(31*0.1790888*100000/1000000)+(31*0.2374*100000/1000000)</f>
        <v>1.2911152800000001</v>
      </c>
      <c r="Y217" s="56"/>
      <c r="Z217" s="14"/>
      <c r="AA217" s="55"/>
      <c r="AB217" s="49">
        <f>(B217*122.58+C217*297.941+D217*89.177+E217*40.302+F217*40+G217*160+H217*0+I217*100+J217*300)/(122.58+297.941+89.177+40.302+0+40+160+100+300)</f>
        <v>10.949696324173914</v>
      </c>
      <c r="AC217" s="44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10.769789208633092</v>
      </c>
    </row>
    <row r="218" spans="1:29" ht="15.75" x14ac:dyDescent="0.25">
      <c r="A218" s="13">
        <v>47515</v>
      </c>
      <c r="B218" s="14">
        <f>CHOOSE(CONTROL!$C$42, 11.1381, 11.1381) * CHOOSE(CONTROL!$C$21, $C$9, 100%, $E$9)</f>
        <v>11.1381</v>
      </c>
      <c r="C218" s="14">
        <f>CHOOSE(CONTROL!$C$42, 11.1432, 11.1432) * CHOOSE(CONTROL!$C$21, $C$9, 100%, $E$9)</f>
        <v>11.1432</v>
      </c>
      <c r="D218" s="14">
        <f>CHOOSE(CONTROL!$C$42, 11.2226, 11.2226) * CHOOSE(CONTROL!$C$21, $C$9, 100%, $E$9)</f>
        <v>11.2226</v>
      </c>
      <c r="E218" s="14">
        <f>CHOOSE(CONTROL!$C$42, 11.2567, 11.2567) * CHOOSE(CONTROL!$C$21, $C$9, 100%, $E$9)</f>
        <v>11.2567</v>
      </c>
      <c r="F218" s="14">
        <f>CHOOSE(CONTROL!$C$42, 11.1609, 11.1609)*CHOOSE(CONTROL!$C$21, $C$9, 100%, $E$9)</f>
        <v>11.1609</v>
      </c>
      <c r="G218" s="14">
        <f>CHOOSE(CONTROL!$C$42, 11.1784, 11.1784)*CHOOSE(CONTROL!$C$21, $C$9, 100%, $E$9)</f>
        <v>11.1784</v>
      </c>
      <c r="H218" s="14">
        <f>CHOOSE(CONTROL!$C$42, 11.2459, 11.2459) * CHOOSE(CONTROL!$C$21, $C$9, 100%, $E$9)</f>
        <v>11.245900000000001</v>
      </c>
      <c r="I218" s="14">
        <f>CHOOSE(CONTROL!$C$42, 11.2083, 11.2083)* CHOOSE(CONTROL!$C$21, $C$9, 100%, $E$9)</f>
        <v>11.208299999999999</v>
      </c>
      <c r="J218" s="14">
        <f>CHOOSE(CONTROL!$C$42, 11.1539, 11.1539)* CHOOSE(CONTROL!$C$21, $C$9, 100%, $E$9)</f>
        <v>11.1539</v>
      </c>
      <c r="K218" s="52">
        <f>CHOOSE(CONTROL!$C$42, 11.2044, 11.2044) * CHOOSE(CONTROL!$C$21, $C$9, 100%, $E$9)</f>
        <v>11.2044</v>
      </c>
      <c r="L218" s="14">
        <f>CHOOSE(CONTROL!$C$42, 11.8329, 11.8329) * CHOOSE(CONTROL!$C$21, $C$9, 100%, $E$9)</f>
        <v>11.8329</v>
      </c>
      <c r="M218" s="14">
        <f>CHOOSE(CONTROL!$C$42, 10.9331, 10.9331) * CHOOSE(CONTROL!$C$21, $C$9, 100%, $E$9)</f>
        <v>10.9331</v>
      </c>
      <c r="N218" s="14">
        <f>CHOOSE(CONTROL!$C$42, 10.9502, 10.9502) * CHOOSE(CONTROL!$C$21, $C$9, 100%, $E$9)</f>
        <v>10.950200000000001</v>
      </c>
      <c r="O218" s="14">
        <f>CHOOSE(CONTROL!$C$42, 11.0232, 11.0232) * CHOOSE(CONTROL!$C$21, $C$9, 100%, $E$9)</f>
        <v>11.023199999999999</v>
      </c>
      <c r="P218" s="14">
        <f>CHOOSE(CONTROL!$C$42, 10.9857, 10.9857) * CHOOSE(CONTROL!$C$21, $C$9, 100%, $E$9)</f>
        <v>10.9857</v>
      </c>
      <c r="Q218" s="14">
        <f>CHOOSE(CONTROL!$C$42, 11.6179, 11.6179) * CHOOSE(CONTROL!$C$21, $C$9, 100%, $E$9)</f>
        <v>11.617900000000001</v>
      </c>
      <c r="R218" s="14">
        <f>CHOOSE(CONTROL!$C$42, 12.2339, 12.2339) * CHOOSE(CONTROL!$C$21, $C$9, 100%, $E$9)</f>
        <v>12.2339</v>
      </c>
      <c r="S218" s="14">
        <f>CHOOSE(CONTROL!$C$42, 10.6941, 10.6941) * CHOOSE(CONTROL!$C$21, $C$9, 100%, $E$9)</f>
        <v>10.694100000000001</v>
      </c>
      <c r="T21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56">
        <f>(1000*CHOOSE(CONTROL!$C$42, 695, 695)*CHOOSE(CONTROL!$C$42, 0.5599, 0.5599)*CHOOSE(CONTROL!$C$42, 28, 28))/1000000</f>
        <v>10.895653999999999</v>
      </c>
      <c r="V218" s="56">
        <f>(1000*CHOOSE(CONTROL!$C$42, 500, 500)*CHOOSE(CONTROL!$C$42, 0.275, 0.275)*CHOOSE(CONTROL!$C$42, 28, 28))/1000000</f>
        <v>3.85</v>
      </c>
      <c r="W218" s="56">
        <f>(1000*CHOOSE(CONTROL!$C$42, 0.1146, 0.1146)*CHOOSE(CONTROL!$C$42, 121.5, 121.5)*CHOOSE(CONTROL!$C$42, 28, 28))/1000000</f>
        <v>0.38986920000000003</v>
      </c>
      <c r="X218" s="56">
        <f>(28*0.1790888*100000/1000000)+(28*0.2374*100000/1000000)</f>
        <v>1.16616864</v>
      </c>
      <c r="Y218" s="56"/>
      <c r="Z218" s="14"/>
      <c r="AA218" s="55"/>
      <c r="AB218" s="49">
        <f>(B218*122.58+C218*297.941+D218*89.177+E218*40.302+F218*40+G218*160+H218*0+I218*100+J218*300)/(122.58+297.941+89.177+40.302+0+40+160+100+300)</f>
        <v>11.166756324173912</v>
      </c>
      <c r="AC218" s="44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10.982489208633094</v>
      </c>
    </row>
    <row r="219" spans="1:29" ht="15.75" x14ac:dyDescent="0.25">
      <c r="A219" s="13">
        <v>47543</v>
      </c>
      <c r="B219" s="14">
        <f>CHOOSE(CONTROL!$C$42, 10.8445, 10.8445) * CHOOSE(CONTROL!$C$21, $C$9, 100%, $E$9)</f>
        <v>10.8445</v>
      </c>
      <c r="C219" s="14">
        <f>CHOOSE(CONTROL!$C$42, 10.8495, 10.8495) * CHOOSE(CONTROL!$C$21, $C$9, 100%, $E$9)</f>
        <v>10.849500000000001</v>
      </c>
      <c r="D219" s="14">
        <f>CHOOSE(CONTROL!$C$42, 10.929, 10.929) * CHOOSE(CONTROL!$C$21, $C$9, 100%, $E$9)</f>
        <v>10.929</v>
      </c>
      <c r="E219" s="14">
        <f>CHOOSE(CONTROL!$C$42, 10.9631, 10.9631) * CHOOSE(CONTROL!$C$21, $C$9, 100%, $E$9)</f>
        <v>10.963100000000001</v>
      </c>
      <c r="F219" s="14">
        <f>CHOOSE(CONTROL!$C$42, 10.8665, 10.8665)*CHOOSE(CONTROL!$C$21, $C$9, 100%, $E$9)</f>
        <v>10.8665</v>
      </c>
      <c r="G219" s="14">
        <f>CHOOSE(CONTROL!$C$42, 10.8838, 10.8838)*CHOOSE(CONTROL!$C$21, $C$9, 100%, $E$9)</f>
        <v>10.883800000000001</v>
      </c>
      <c r="H219" s="14">
        <f>CHOOSE(CONTROL!$C$42, 10.9523, 10.9523) * CHOOSE(CONTROL!$C$21, $C$9, 100%, $E$9)</f>
        <v>10.952299999999999</v>
      </c>
      <c r="I219" s="14">
        <f>CHOOSE(CONTROL!$C$42, 10.9137, 10.9137)* CHOOSE(CONTROL!$C$21, $C$9, 100%, $E$9)</f>
        <v>10.9137</v>
      </c>
      <c r="J219" s="14">
        <f>CHOOSE(CONTROL!$C$42, 10.8595, 10.8595)* CHOOSE(CONTROL!$C$21, $C$9, 100%, $E$9)</f>
        <v>10.859500000000001</v>
      </c>
      <c r="K219" s="52">
        <f>CHOOSE(CONTROL!$C$42, 10.9098, 10.9098) * CHOOSE(CONTROL!$C$21, $C$9, 100%, $E$9)</f>
        <v>10.909800000000001</v>
      </c>
      <c r="L219" s="14">
        <f>CHOOSE(CONTROL!$C$42, 11.5393, 11.5393) * CHOOSE(CONTROL!$C$21, $C$9, 100%, $E$9)</f>
        <v>11.539300000000001</v>
      </c>
      <c r="M219" s="14">
        <f>CHOOSE(CONTROL!$C$42, 10.6447, 10.6447) * CHOOSE(CONTROL!$C$21, $C$9, 100%, $E$9)</f>
        <v>10.6447</v>
      </c>
      <c r="N219" s="14">
        <f>CHOOSE(CONTROL!$C$42, 10.6616, 10.6616) * CHOOSE(CONTROL!$C$21, $C$9, 100%, $E$9)</f>
        <v>10.6616</v>
      </c>
      <c r="O219" s="14">
        <f>CHOOSE(CONTROL!$C$42, 10.7355, 10.7355) * CHOOSE(CONTROL!$C$21, $C$9, 100%, $E$9)</f>
        <v>10.7355</v>
      </c>
      <c r="P219" s="14">
        <f>CHOOSE(CONTROL!$C$42, 10.6972, 10.6972) * CHOOSE(CONTROL!$C$21, $C$9, 100%, $E$9)</f>
        <v>10.6972</v>
      </c>
      <c r="Q219" s="14">
        <f>CHOOSE(CONTROL!$C$42, 11.3302, 11.3302) * CHOOSE(CONTROL!$C$21, $C$9, 100%, $E$9)</f>
        <v>11.3302</v>
      </c>
      <c r="R219" s="14">
        <f>CHOOSE(CONTROL!$C$42, 11.9456, 11.9456) * CHOOSE(CONTROL!$C$21, $C$9, 100%, $E$9)</f>
        <v>11.945600000000001</v>
      </c>
      <c r="S219" s="14">
        <f>CHOOSE(CONTROL!$C$42, 10.4119, 10.4119) * CHOOSE(CONTROL!$C$21, $C$9, 100%, $E$9)</f>
        <v>10.411899999999999</v>
      </c>
      <c r="T21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56">
        <f>(1000*CHOOSE(CONTROL!$C$42, 695, 695)*CHOOSE(CONTROL!$C$42, 0.5599, 0.5599)*CHOOSE(CONTROL!$C$42, 31, 31))/1000000</f>
        <v>12.063045499999998</v>
      </c>
      <c r="V219" s="56">
        <f>(1000*CHOOSE(CONTROL!$C$42, 500, 500)*CHOOSE(CONTROL!$C$42, 0.275, 0.275)*CHOOSE(CONTROL!$C$42, 31, 31))/1000000</f>
        <v>4.2625000000000002</v>
      </c>
      <c r="W219" s="56">
        <f>(1000*CHOOSE(CONTROL!$C$42, 0.1146, 0.1146)*CHOOSE(CONTROL!$C$42, 121.5, 121.5)*CHOOSE(CONTROL!$C$42, 31, 31))/1000000</f>
        <v>0.43164089999999994</v>
      </c>
      <c r="X219" s="56">
        <f>(31*0.1790888*100000/1000000)+(31*0.2374*100000/1000000)</f>
        <v>1.2911152800000001</v>
      </c>
      <c r="Y219" s="56"/>
      <c r="Z219" s="14"/>
      <c r="AA219" s="55"/>
      <c r="AB219" s="49">
        <f>(B219*122.58+C219*297.941+D219*89.177+E219*40.302+F219*40+G219*160+H219*0+I219*100+J219*300)/(122.58+297.941+89.177+40.302+0+40+160+100+300)</f>
        <v>10.872667807565218</v>
      </c>
      <c r="AC219" s="44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10.694380575539569</v>
      </c>
    </row>
    <row r="220" spans="1:29" ht="15.75" x14ac:dyDescent="0.25">
      <c r="A220" s="13">
        <v>47574</v>
      </c>
      <c r="B220" s="14">
        <f>CHOOSE(CONTROL!$C$42, 10.8353, 10.8353) * CHOOSE(CONTROL!$C$21, $C$9, 100%, $E$9)</f>
        <v>10.8353</v>
      </c>
      <c r="C220" s="14">
        <f>CHOOSE(CONTROL!$C$42, 10.8398, 10.8398) * CHOOSE(CONTROL!$C$21, $C$9, 100%, $E$9)</f>
        <v>10.8398</v>
      </c>
      <c r="D220" s="14">
        <f>CHOOSE(CONTROL!$C$42, 11.0687, 11.0687) * CHOOSE(CONTROL!$C$21, $C$9, 100%, $E$9)</f>
        <v>11.0687</v>
      </c>
      <c r="E220" s="14">
        <f>CHOOSE(CONTROL!$C$42, 11.1008, 11.1008) * CHOOSE(CONTROL!$C$21, $C$9, 100%, $E$9)</f>
        <v>11.1008</v>
      </c>
      <c r="F220" s="14">
        <f>CHOOSE(CONTROL!$C$42, 10.8623, 10.8623)*CHOOSE(CONTROL!$C$21, $C$9, 100%, $E$9)</f>
        <v>10.862299999999999</v>
      </c>
      <c r="G220" s="14">
        <f>CHOOSE(CONTROL!$C$42, 10.879, 10.879)*CHOOSE(CONTROL!$C$21, $C$9, 100%, $E$9)</f>
        <v>10.879</v>
      </c>
      <c r="H220" s="14">
        <f>CHOOSE(CONTROL!$C$42, 11.0906, 11.0906) * CHOOSE(CONTROL!$C$21, $C$9, 100%, $E$9)</f>
        <v>11.0906</v>
      </c>
      <c r="I220" s="14">
        <f>CHOOSE(CONTROL!$C$42, 10.9022, 10.9022)* CHOOSE(CONTROL!$C$21, $C$9, 100%, $E$9)</f>
        <v>10.902200000000001</v>
      </c>
      <c r="J220" s="14">
        <f>CHOOSE(CONTROL!$C$42, 10.8553, 10.8553)* CHOOSE(CONTROL!$C$21, $C$9, 100%, $E$9)</f>
        <v>10.8553</v>
      </c>
      <c r="K220" s="52">
        <f>CHOOSE(CONTROL!$C$42, 10.8983, 10.8983) * CHOOSE(CONTROL!$C$21, $C$9, 100%, $E$9)</f>
        <v>10.898300000000001</v>
      </c>
      <c r="L220" s="14">
        <f>CHOOSE(CONTROL!$C$42, 11.6776, 11.6776) * CHOOSE(CONTROL!$C$21, $C$9, 100%, $E$9)</f>
        <v>11.6776</v>
      </c>
      <c r="M220" s="14">
        <f>CHOOSE(CONTROL!$C$42, 10.6406, 10.6406) * CHOOSE(CONTROL!$C$21, $C$9, 100%, $E$9)</f>
        <v>10.640599999999999</v>
      </c>
      <c r="N220" s="14">
        <f>CHOOSE(CONTROL!$C$42, 10.6569, 10.6569) * CHOOSE(CONTROL!$C$21, $C$9, 100%, $E$9)</f>
        <v>10.6569</v>
      </c>
      <c r="O220" s="14">
        <f>CHOOSE(CONTROL!$C$42, 10.871, 10.871) * CHOOSE(CONTROL!$C$21, $C$9, 100%, $E$9)</f>
        <v>10.871</v>
      </c>
      <c r="P220" s="14">
        <f>CHOOSE(CONTROL!$C$42, 10.6859, 10.6859) * CHOOSE(CONTROL!$C$21, $C$9, 100%, $E$9)</f>
        <v>10.6859</v>
      </c>
      <c r="Q220" s="14">
        <f>CHOOSE(CONTROL!$C$42, 11.4657, 11.4657) * CHOOSE(CONTROL!$C$21, $C$9, 100%, $E$9)</f>
        <v>11.4657</v>
      </c>
      <c r="R220" s="14">
        <f>CHOOSE(CONTROL!$C$42, 12.0814, 12.0814) * CHOOSE(CONTROL!$C$21, $C$9, 100%, $E$9)</f>
        <v>12.0814</v>
      </c>
      <c r="S220" s="14">
        <f>CHOOSE(CONTROL!$C$42, 10.4023, 10.4023) * CHOOSE(CONTROL!$C$21, $C$9, 100%, $E$9)</f>
        <v>10.4023</v>
      </c>
      <c r="T22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56">
        <f>(1000*CHOOSE(CONTROL!$C$42, 695, 695)*CHOOSE(CONTROL!$C$42, 0.5599, 0.5599)*CHOOSE(CONTROL!$C$42, 30, 30))/1000000</f>
        <v>11.673914999999997</v>
      </c>
      <c r="V220" s="56">
        <f>(1000*CHOOSE(CONTROL!$C$42, 500, 500)*CHOOSE(CONTROL!$C$42, 0.275, 0.275)*CHOOSE(CONTROL!$C$42, 30, 30))/1000000</f>
        <v>4.125</v>
      </c>
      <c r="W220" s="56">
        <f>(1000*CHOOSE(CONTROL!$C$42, 0.1146, 0.1146)*CHOOSE(CONTROL!$C$42, 121.5, 121.5)*CHOOSE(CONTROL!$C$42, 30, 30))/1000000</f>
        <v>0.417717</v>
      </c>
      <c r="X220" s="56">
        <f>(30*0.1790888*245000/1000000)+(30*0.2374*100000/1000000)</f>
        <v>2.0285026799999999</v>
      </c>
      <c r="Y220" s="56"/>
      <c r="Z220" s="14"/>
      <c r="AA220" s="55"/>
      <c r="AB220" s="49">
        <f>(B220*141.293+C220*267.993+D220*115.016+E220*89.698+F220*40+G220*185+H220*0+I220*100+J220*300)/(141.293+267.993+115.016+89.698+0+40+185+100+300)</f>
        <v>10.894799614124294</v>
      </c>
      <c r="AC220" s="44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10.715515107913669</v>
      </c>
    </row>
    <row r="221" spans="1:29" ht="15.75" x14ac:dyDescent="0.25">
      <c r="A221" s="13">
        <v>47604</v>
      </c>
      <c r="B221" s="14">
        <f>CHOOSE(CONTROL!$C$42, 10.9547, 10.9547) * CHOOSE(CONTROL!$C$21, $C$9, 100%, $E$9)</f>
        <v>10.954700000000001</v>
      </c>
      <c r="C221" s="14">
        <f>CHOOSE(CONTROL!$C$42, 10.9627, 10.9627) * CHOOSE(CONTROL!$C$21, $C$9, 100%, $E$9)</f>
        <v>10.9627</v>
      </c>
      <c r="D221" s="14">
        <f>CHOOSE(CONTROL!$C$42, 11.1885, 11.1885) * CHOOSE(CONTROL!$C$21, $C$9, 100%, $E$9)</f>
        <v>11.188499999999999</v>
      </c>
      <c r="E221" s="14">
        <f>CHOOSE(CONTROL!$C$42, 11.22, 11.22) * CHOOSE(CONTROL!$C$21, $C$9, 100%, $E$9)</f>
        <v>11.22</v>
      </c>
      <c r="F221" s="14">
        <f>CHOOSE(CONTROL!$C$42, 10.9804, 10.9804)*CHOOSE(CONTROL!$C$21, $C$9, 100%, $E$9)</f>
        <v>10.980399999999999</v>
      </c>
      <c r="G221" s="14">
        <f>CHOOSE(CONTROL!$C$42, 10.9973, 10.9973)*CHOOSE(CONTROL!$C$21, $C$9, 100%, $E$9)</f>
        <v>10.997299999999999</v>
      </c>
      <c r="H221" s="14">
        <f>CHOOSE(CONTROL!$C$42, 11.2086, 11.2086) * CHOOSE(CONTROL!$C$21, $C$9, 100%, $E$9)</f>
        <v>11.208600000000001</v>
      </c>
      <c r="I221" s="14">
        <f>CHOOSE(CONTROL!$C$42, 11.0206, 11.0206)* CHOOSE(CONTROL!$C$21, $C$9, 100%, $E$9)</f>
        <v>11.0206</v>
      </c>
      <c r="J221" s="14">
        <f>CHOOSE(CONTROL!$C$42, 10.9734, 10.9734)* CHOOSE(CONTROL!$C$21, $C$9, 100%, $E$9)</f>
        <v>10.9734</v>
      </c>
      <c r="K221" s="52">
        <f>CHOOSE(CONTROL!$C$42, 11.0167, 11.0167) * CHOOSE(CONTROL!$C$21, $C$9, 100%, $E$9)</f>
        <v>11.0167</v>
      </c>
      <c r="L221" s="14">
        <f>CHOOSE(CONTROL!$C$42, 11.7956, 11.7956) * CHOOSE(CONTROL!$C$21, $C$9, 100%, $E$9)</f>
        <v>11.7956</v>
      </c>
      <c r="M221" s="14">
        <f>CHOOSE(CONTROL!$C$42, 10.7562, 10.7562) * CHOOSE(CONTROL!$C$21, $C$9, 100%, $E$9)</f>
        <v>10.7562</v>
      </c>
      <c r="N221" s="14">
        <f>CHOOSE(CONTROL!$C$42, 10.7728, 10.7728) * CHOOSE(CONTROL!$C$21, $C$9, 100%, $E$9)</f>
        <v>10.7728</v>
      </c>
      <c r="O221" s="14">
        <f>CHOOSE(CONTROL!$C$42, 10.9867, 10.9867) * CHOOSE(CONTROL!$C$21, $C$9, 100%, $E$9)</f>
        <v>10.986700000000001</v>
      </c>
      <c r="P221" s="14">
        <f>CHOOSE(CONTROL!$C$42, 10.8018, 10.8018) * CHOOSE(CONTROL!$C$21, $C$9, 100%, $E$9)</f>
        <v>10.8018</v>
      </c>
      <c r="Q221" s="14">
        <f>CHOOSE(CONTROL!$C$42, 11.5814, 11.5814) * CHOOSE(CONTROL!$C$21, $C$9, 100%, $E$9)</f>
        <v>11.5814</v>
      </c>
      <c r="R221" s="14">
        <f>CHOOSE(CONTROL!$C$42, 12.1973, 12.1973) * CHOOSE(CONTROL!$C$21, $C$9, 100%, $E$9)</f>
        <v>12.1973</v>
      </c>
      <c r="S221" s="14">
        <f>CHOOSE(CONTROL!$C$42, 10.5158, 10.5158) * CHOOSE(CONTROL!$C$21, $C$9, 100%, $E$9)</f>
        <v>10.5158</v>
      </c>
      <c r="T22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56">
        <f>(1000*CHOOSE(CONTROL!$C$42, 695, 695)*CHOOSE(CONTROL!$C$42, 0.5599, 0.5599)*CHOOSE(CONTROL!$C$42, 31, 31))/1000000</f>
        <v>12.063045499999998</v>
      </c>
      <c r="V221" s="56">
        <f>(1000*CHOOSE(CONTROL!$C$42, 500, 500)*CHOOSE(CONTROL!$C$42, 0.275, 0.275)*CHOOSE(CONTROL!$C$42, 31, 31))/1000000</f>
        <v>4.2625000000000002</v>
      </c>
      <c r="W221" s="56">
        <f>(1000*CHOOSE(CONTROL!$C$42, 0.1146, 0.1146)*CHOOSE(CONTROL!$C$42, 121.5, 121.5)*CHOOSE(CONTROL!$C$42, 31, 31))/1000000</f>
        <v>0.43164089999999994</v>
      </c>
      <c r="X221" s="56">
        <f>(31*0.1790888*245000/1000000)+(31*0.2374*100000/1000000)</f>
        <v>2.0961194359999999</v>
      </c>
      <c r="Y221" s="56"/>
      <c r="Z221" s="14"/>
      <c r="AA221" s="55"/>
      <c r="AB221" s="49">
        <f>(B221*194.205+C221*267.466+D221*133.845+E221*53.484+F221*40+G221*185+H221*0+I221*100+J221*300)/(194.205+267.466+133.845+53.484+0+40+185+100+300)</f>
        <v>11.008648975039247</v>
      </c>
      <c r="AC221" s="44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10.831255395683455</v>
      </c>
    </row>
    <row r="222" spans="1:29" ht="15.75" x14ac:dyDescent="0.25">
      <c r="A222" s="13">
        <v>47635</v>
      </c>
      <c r="B222" s="14">
        <f>CHOOSE(CONTROL!$C$42, 11.2883, 11.2883) * CHOOSE(CONTROL!$C$21, $C$9, 100%, $E$9)</f>
        <v>11.2883</v>
      </c>
      <c r="C222" s="14">
        <f>CHOOSE(CONTROL!$C$42, 11.2963, 11.2963) * CHOOSE(CONTROL!$C$21, $C$9, 100%, $E$9)</f>
        <v>11.2963</v>
      </c>
      <c r="D222" s="14">
        <f>CHOOSE(CONTROL!$C$42, 11.5221, 11.5221) * CHOOSE(CONTROL!$C$21, $C$9, 100%, $E$9)</f>
        <v>11.5221</v>
      </c>
      <c r="E222" s="14">
        <f>CHOOSE(CONTROL!$C$42, 11.5536, 11.5536) * CHOOSE(CONTROL!$C$21, $C$9, 100%, $E$9)</f>
        <v>11.553599999999999</v>
      </c>
      <c r="F222" s="14">
        <f>CHOOSE(CONTROL!$C$42, 11.3144, 11.3144)*CHOOSE(CONTROL!$C$21, $C$9, 100%, $E$9)</f>
        <v>11.314399999999999</v>
      </c>
      <c r="G222" s="14">
        <f>CHOOSE(CONTROL!$C$42, 11.3315, 11.3315)*CHOOSE(CONTROL!$C$21, $C$9, 100%, $E$9)</f>
        <v>11.3315</v>
      </c>
      <c r="H222" s="14">
        <f>CHOOSE(CONTROL!$C$42, 11.5422, 11.5422) * CHOOSE(CONTROL!$C$21, $C$9, 100%, $E$9)</f>
        <v>11.542199999999999</v>
      </c>
      <c r="I222" s="14">
        <f>CHOOSE(CONTROL!$C$42, 11.3552, 11.3552)* CHOOSE(CONTROL!$C$21, $C$9, 100%, $E$9)</f>
        <v>11.3552</v>
      </c>
      <c r="J222" s="14">
        <f>CHOOSE(CONTROL!$C$42, 11.3074, 11.3074)* CHOOSE(CONTROL!$C$21, $C$9, 100%, $E$9)</f>
        <v>11.307399999999999</v>
      </c>
      <c r="K222" s="52">
        <f>CHOOSE(CONTROL!$C$42, 11.3513, 11.3513) * CHOOSE(CONTROL!$C$21, $C$9, 100%, $E$9)</f>
        <v>11.3513</v>
      </c>
      <c r="L222" s="14">
        <f>CHOOSE(CONTROL!$C$42, 12.1292, 12.1292) * CHOOSE(CONTROL!$C$21, $C$9, 100%, $E$9)</f>
        <v>12.129200000000001</v>
      </c>
      <c r="M222" s="14">
        <f>CHOOSE(CONTROL!$C$42, 11.0834, 11.0834) * CHOOSE(CONTROL!$C$21, $C$9, 100%, $E$9)</f>
        <v>11.083399999999999</v>
      </c>
      <c r="N222" s="14">
        <f>CHOOSE(CONTROL!$C$42, 11.1001, 11.1001) * CHOOSE(CONTROL!$C$21, $C$9, 100%, $E$9)</f>
        <v>11.100099999999999</v>
      </c>
      <c r="O222" s="14">
        <f>CHOOSE(CONTROL!$C$42, 11.3134, 11.3134) * CHOOSE(CONTROL!$C$21, $C$9, 100%, $E$9)</f>
        <v>11.3134</v>
      </c>
      <c r="P222" s="14">
        <f>CHOOSE(CONTROL!$C$42, 11.1296, 11.1296) * CHOOSE(CONTROL!$C$21, $C$9, 100%, $E$9)</f>
        <v>11.1296</v>
      </c>
      <c r="Q222" s="14">
        <f>CHOOSE(CONTROL!$C$42, 11.9081, 11.9081) * CHOOSE(CONTROL!$C$21, $C$9, 100%, $E$9)</f>
        <v>11.908099999999999</v>
      </c>
      <c r="R222" s="14">
        <f>CHOOSE(CONTROL!$C$42, 12.5249, 12.5249) * CHOOSE(CONTROL!$C$21, $C$9, 100%, $E$9)</f>
        <v>12.524900000000001</v>
      </c>
      <c r="S222" s="14">
        <f>CHOOSE(CONTROL!$C$42, 10.8363, 10.8363) * CHOOSE(CONTROL!$C$21, $C$9, 100%, $E$9)</f>
        <v>10.8363</v>
      </c>
      <c r="T22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56">
        <f>(1000*CHOOSE(CONTROL!$C$42, 695, 695)*CHOOSE(CONTROL!$C$42, 0.5599, 0.5599)*CHOOSE(CONTROL!$C$42, 30, 30))/1000000</f>
        <v>11.673914999999997</v>
      </c>
      <c r="V222" s="56">
        <f>(1000*CHOOSE(CONTROL!$C$42, 500, 500)*CHOOSE(CONTROL!$C$42, 0.275, 0.275)*CHOOSE(CONTROL!$C$42, 30, 30))/1000000</f>
        <v>4.125</v>
      </c>
      <c r="W222" s="56">
        <f>(1000*CHOOSE(CONTROL!$C$42, 0.1146, 0.1146)*CHOOSE(CONTROL!$C$42, 121.5, 121.5)*CHOOSE(CONTROL!$C$42, 30, 30))/1000000</f>
        <v>0.417717</v>
      </c>
      <c r="X222" s="56">
        <f>(30*0.1790888*245000/1000000)+(30*0.2374*100000/1000000)</f>
        <v>2.0285026799999999</v>
      </c>
      <c r="Y222" s="56"/>
      <c r="Z222" s="14"/>
      <c r="AA222" s="55"/>
      <c r="AB222" s="49">
        <f>(B222*194.205+C222*267.466+D222*133.845+E222*53.484+F222*40+G222*185+H222*0+I222*100+J222*300)/(194.205+267.466+133.845+53.484+0+40+185+100+300)</f>
        <v>11.342521345525903</v>
      </c>
      <c r="AC222" s="44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11.158424460431652</v>
      </c>
    </row>
    <row r="223" spans="1:29" ht="15.75" x14ac:dyDescent="0.25">
      <c r="A223" s="13">
        <v>47665</v>
      </c>
      <c r="B223" s="14">
        <f>CHOOSE(CONTROL!$C$42, 11.0947, 11.0947) * CHOOSE(CONTROL!$C$21, $C$9, 100%, $E$9)</f>
        <v>11.0947</v>
      </c>
      <c r="C223" s="14">
        <f>CHOOSE(CONTROL!$C$42, 11.1028, 11.1028) * CHOOSE(CONTROL!$C$21, $C$9, 100%, $E$9)</f>
        <v>11.1028</v>
      </c>
      <c r="D223" s="14">
        <f>CHOOSE(CONTROL!$C$42, 11.3286, 11.3286) * CHOOSE(CONTROL!$C$21, $C$9, 100%, $E$9)</f>
        <v>11.3286</v>
      </c>
      <c r="E223" s="14">
        <f>CHOOSE(CONTROL!$C$42, 11.36, 11.36) * CHOOSE(CONTROL!$C$21, $C$9, 100%, $E$9)</f>
        <v>11.36</v>
      </c>
      <c r="F223" s="14">
        <f>CHOOSE(CONTROL!$C$42, 11.1213, 11.1213)*CHOOSE(CONTROL!$C$21, $C$9, 100%, $E$9)</f>
        <v>11.1213</v>
      </c>
      <c r="G223" s="14">
        <f>CHOOSE(CONTROL!$C$42, 11.1385, 11.1385)*CHOOSE(CONTROL!$C$21, $C$9, 100%, $E$9)</f>
        <v>11.138500000000001</v>
      </c>
      <c r="H223" s="14">
        <f>CHOOSE(CONTROL!$C$42, 11.3487, 11.3487) * CHOOSE(CONTROL!$C$21, $C$9, 100%, $E$9)</f>
        <v>11.348699999999999</v>
      </c>
      <c r="I223" s="14">
        <f>CHOOSE(CONTROL!$C$42, 11.161, 11.161)* CHOOSE(CONTROL!$C$21, $C$9, 100%, $E$9)</f>
        <v>11.161</v>
      </c>
      <c r="J223" s="14">
        <f>CHOOSE(CONTROL!$C$42, 11.1143, 11.1143)* CHOOSE(CONTROL!$C$21, $C$9, 100%, $E$9)</f>
        <v>11.1143</v>
      </c>
      <c r="K223" s="52">
        <f>CHOOSE(CONTROL!$C$42, 11.1571, 11.1571) * CHOOSE(CONTROL!$C$21, $C$9, 100%, $E$9)</f>
        <v>11.1571</v>
      </c>
      <c r="L223" s="14">
        <f>CHOOSE(CONTROL!$C$42, 11.9357, 11.9357) * CHOOSE(CONTROL!$C$21, $C$9, 100%, $E$9)</f>
        <v>11.935700000000001</v>
      </c>
      <c r="M223" s="14">
        <f>CHOOSE(CONTROL!$C$42, 10.8943, 10.8943) * CHOOSE(CONTROL!$C$21, $C$9, 100%, $E$9)</f>
        <v>10.894299999999999</v>
      </c>
      <c r="N223" s="14">
        <f>CHOOSE(CONTROL!$C$42, 10.9111, 10.9111) * CHOOSE(CONTROL!$C$21, $C$9, 100%, $E$9)</f>
        <v>10.911099999999999</v>
      </c>
      <c r="O223" s="14">
        <f>CHOOSE(CONTROL!$C$42, 11.1238, 11.1238) * CHOOSE(CONTROL!$C$21, $C$9, 100%, $E$9)</f>
        <v>11.123799999999999</v>
      </c>
      <c r="P223" s="14">
        <f>CHOOSE(CONTROL!$C$42, 10.9394, 10.9394) * CHOOSE(CONTROL!$C$21, $C$9, 100%, $E$9)</f>
        <v>10.939399999999999</v>
      </c>
      <c r="Q223" s="14">
        <f>CHOOSE(CONTROL!$C$42, 11.7185, 11.7185) * CHOOSE(CONTROL!$C$21, $C$9, 100%, $E$9)</f>
        <v>11.718500000000001</v>
      </c>
      <c r="R223" s="14">
        <f>CHOOSE(CONTROL!$C$42, 12.3348, 12.3348) * CHOOSE(CONTROL!$C$21, $C$9, 100%, $E$9)</f>
        <v>12.3348</v>
      </c>
      <c r="S223" s="14">
        <f>CHOOSE(CONTROL!$C$42, 10.6503, 10.6503) * CHOOSE(CONTROL!$C$21, $C$9, 100%, $E$9)</f>
        <v>10.6503</v>
      </c>
      <c r="T22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56">
        <f>(1000*CHOOSE(CONTROL!$C$42, 695, 695)*CHOOSE(CONTROL!$C$42, 0.5599, 0.5599)*CHOOSE(CONTROL!$C$42, 31, 31))/1000000</f>
        <v>12.063045499999998</v>
      </c>
      <c r="V223" s="56">
        <f>(1000*CHOOSE(CONTROL!$C$42, 500, 500)*CHOOSE(CONTROL!$C$42, 0.275, 0.275)*CHOOSE(CONTROL!$C$42, 31, 31))/1000000</f>
        <v>4.2625000000000002</v>
      </c>
      <c r="W223" s="56">
        <f>(1000*CHOOSE(CONTROL!$C$42, 0.1146, 0.1146)*CHOOSE(CONTROL!$C$42, 121.5, 121.5)*CHOOSE(CONTROL!$C$42, 31, 31))/1000000</f>
        <v>0.43164089999999994</v>
      </c>
      <c r="X223" s="56">
        <f>(31*0.1790888*245000/1000000)+(31*0.2374*100000/1000000)</f>
        <v>2.0961194359999999</v>
      </c>
      <c r="Y223" s="56"/>
      <c r="Z223" s="14"/>
      <c r="AA223" s="55"/>
      <c r="AB223" s="49">
        <f>(B223*194.205+C223*267.466+D223*133.845+E223*53.484+F223*40+G223*185+H223*0+I223*100+J223*300)/(194.205+267.466+133.845+53.484+0+40+185+100+300)</f>
        <v>11.14912631499215</v>
      </c>
      <c r="AC223" s="44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10.969048920863308</v>
      </c>
    </row>
    <row r="224" spans="1:29" ht="15.75" x14ac:dyDescent="0.25">
      <c r="A224" s="13">
        <v>47696</v>
      </c>
      <c r="B224" s="14">
        <f>CHOOSE(CONTROL!$C$42, 10.5473, 10.5473) * CHOOSE(CONTROL!$C$21, $C$9, 100%, $E$9)</f>
        <v>10.5473</v>
      </c>
      <c r="C224" s="14">
        <f>CHOOSE(CONTROL!$C$42, 10.5553, 10.5553) * CHOOSE(CONTROL!$C$21, $C$9, 100%, $E$9)</f>
        <v>10.555300000000001</v>
      </c>
      <c r="D224" s="14">
        <f>CHOOSE(CONTROL!$C$42, 10.7811, 10.7811) * CHOOSE(CONTROL!$C$21, $C$9, 100%, $E$9)</f>
        <v>10.7811</v>
      </c>
      <c r="E224" s="14">
        <f>CHOOSE(CONTROL!$C$42, 10.8126, 10.8126) * CHOOSE(CONTROL!$C$21, $C$9, 100%, $E$9)</f>
        <v>10.8126</v>
      </c>
      <c r="F224" s="14">
        <f>CHOOSE(CONTROL!$C$42, 10.5741, 10.5741)*CHOOSE(CONTROL!$C$21, $C$9, 100%, $E$9)</f>
        <v>10.5741</v>
      </c>
      <c r="G224" s="14">
        <f>CHOOSE(CONTROL!$C$42, 10.5914, 10.5914)*CHOOSE(CONTROL!$C$21, $C$9, 100%, $E$9)</f>
        <v>10.5914</v>
      </c>
      <c r="H224" s="14">
        <f>CHOOSE(CONTROL!$C$42, 10.8012, 10.8012) * CHOOSE(CONTROL!$C$21, $C$9, 100%, $E$9)</f>
        <v>10.8012</v>
      </c>
      <c r="I224" s="14">
        <f>CHOOSE(CONTROL!$C$42, 10.6119, 10.6119)* CHOOSE(CONTROL!$C$21, $C$9, 100%, $E$9)</f>
        <v>10.6119</v>
      </c>
      <c r="J224" s="14">
        <f>CHOOSE(CONTROL!$C$42, 10.5671, 10.5671)* CHOOSE(CONTROL!$C$21, $C$9, 100%, $E$9)</f>
        <v>10.5671</v>
      </c>
      <c r="K224" s="52">
        <f>CHOOSE(CONTROL!$C$42, 10.608, 10.608) * CHOOSE(CONTROL!$C$21, $C$9, 100%, $E$9)</f>
        <v>10.608000000000001</v>
      </c>
      <c r="L224" s="14">
        <f>CHOOSE(CONTROL!$C$42, 11.3882, 11.3882) * CHOOSE(CONTROL!$C$21, $C$9, 100%, $E$9)</f>
        <v>11.388199999999999</v>
      </c>
      <c r="M224" s="14">
        <f>CHOOSE(CONTROL!$C$42, 10.3583, 10.3583) * CHOOSE(CONTROL!$C$21, $C$9, 100%, $E$9)</f>
        <v>10.3583</v>
      </c>
      <c r="N224" s="14">
        <f>CHOOSE(CONTROL!$C$42, 10.3752, 10.3752) * CHOOSE(CONTROL!$C$21, $C$9, 100%, $E$9)</f>
        <v>10.3752</v>
      </c>
      <c r="O224" s="14">
        <f>CHOOSE(CONTROL!$C$42, 10.5876, 10.5876) * CHOOSE(CONTROL!$C$21, $C$9, 100%, $E$9)</f>
        <v>10.5876</v>
      </c>
      <c r="P224" s="14">
        <f>CHOOSE(CONTROL!$C$42, 10.4016, 10.4016) * CHOOSE(CONTROL!$C$21, $C$9, 100%, $E$9)</f>
        <v>10.4016</v>
      </c>
      <c r="Q224" s="14">
        <f>CHOOSE(CONTROL!$C$42, 11.1823, 11.1823) * CHOOSE(CONTROL!$C$21, $C$9, 100%, $E$9)</f>
        <v>11.1823</v>
      </c>
      <c r="R224" s="14">
        <f>CHOOSE(CONTROL!$C$42, 11.7973, 11.7973) * CHOOSE(CONTROL!$C$21, $C$9, 100%, $E$9)</f>
        <v>11.7973</v>
      </c>
      <c r="S224" s="14">
        <f>CHOOSE(CONTROL!$C$42, 10.1243, 10.1243) * CHOOSE(CONTROL!$C$21, $C$9, 100%, $E$9)</f>
        <v>10.1243</v>
      </c>
      <c r="T22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56">
        <f>(1000*CHOOSE(CONTROL!$C$42, 695, 695)*CHOOSE(CONTROL!$C$42, 0.5599, 0.5599)*CHOOSE(CONTROL!$C$42, 31, 31))/1000000</f>
        <v>12.063045499999998</v>
      </c>
      <c r="V224" s="56">
        <f>(1000*CHOOSE(CONTROL!$C$42, 500, 500)*CHOOSE(CONTROL!$C$42, 0.275, 0.275)*CHOOSE(CONTROL!$C$42, 31, 31))/1000000</f>
        <v>4.2625000000000002</v>
      </c>
      <c r="W224" s="56">
        <f>(1000*CHOOSE(CONTROL!$C$42, 0.1146, 0.1146)*CHOOSE(CONTROL!$C$42, 121.5, 121.5)*CHOOSE(CONTROL!$C$42, 31, 31))/1000000</f>
        <v>0.43164089999999994</v>
      </c>
      <c r="X224" s="56">
        <f>(31*0.1790888*245000/1000000)+(31*0.2374*100000/1000000)</f>
        <v>2.0961194359999999</v>
      </c>
      <c r="Y224" s="56"/>
      <c r="Z224" s="14"/>
      <c r="AA224" s="55"/>
      <c r="AB224" s="49">
        <f>(B224*194.205+C224*267.466+D224*133.845+E224*53.484+F224*40+G224*185+H224*0+I224*100+J224*300)/(194.205+267.466+133.845+53.484+0+40+185+100+300)</f>
        <v>10.60165831569859</v>
      </c>
      <c r="AC224" s="44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10.432756834532373</v>
      </c>
    </row>
    <row r="225" spans="1:29" ht="15.75" x14ac:dyDescent="0.25">
      <c r="A225" s="13">
        <v>47727</v>
      </c>
      <c r="B225" s="14">
        <f>CHOOSE(CONTROL!$C$42, 9.8782, 9.8782) * CHOOSE(CONTROL!$C$21, $C$9, 100%, $E$9)</f>
        <v>9.8781999999999996</v>
      </c>
      <c r="C225" s="14">
        <f>CHOOSE(CONTROL!$C$42, 9.8862, 9.8862) * CHOOSE(CONTROL!$C$21, $C$9, 100%, $E$9)</f>
        <v>9.8862000000000005</v>
      </c>
      <c r="D225" s="14">
        <f>CHOOSE(CONTROL!$C$42, 10.112, 10.112) * CHOOSE(CONTROL!$C$21, $C$9, 100%, $E$9)</f>
        <v>10.112</v>
      </c>
      <c r="E225" s="14">
        <f>CHOOSE(CONTROL!$C$42, 10.1435, 10.1435) * CHOOSE(CONTROL!$C$21, $C$9, 100%, $E$9)</f>
        <v>10.1435</v>
      </c>
      <c r="F225" s="14">
        <f>CHOOSE(CONTROL!$C$42, 9.905, 9.905)*CHOOSE(CONTROL!$C$21, $C$9, 100%, $E$9)</f>
        <v>9.9049999999999994</v>
      </c>
      <c r="G225" s="14">
        <f>CHOOSE(CONTROL!$C$42, 9.9223, 9.9223)*CHOOSE(CONTROL!$C$21, $C$9, 100%, $E$9)</f>
        <v>9.9222999999999999</v>
      </c>
      <c r="H225" s="14">
        <f>CHOOSE(CONTROL!$C$42, 10.1321, 10.1321) * CHOOSE(CONTROL!$C$21, $C$9, 100%, $E$9)</f>
        <v>10.132099999999999</v>
      </c>
      <c r="I225" s="14">
        <f>CHOOSE(CONTROL!$C$42, 9.9407, 9.9407)* CHOOSE(CONTROL!$C$21, $C$9, 100%, $E$9)</f>
        <v>9.9406999999999996</v>
      </c>
      <c r="J225" s="14">
        <f>CHOOSE(CONTROL!$C$42, 9.898, 9.898)* CHOOSE(CONTROL!$C$21, $C$9, 100%, $E$9)</f>
        <v>9.8979999999999997</v>
      </c>
      <c r="K225" s="52">
        <f>CHOOSE(CONTROL!$C$42, 9.9368, 9.9368) * CHOOSE(CONTROL!$C$21, $C$9, 100%, $E$9)</f>
        <v>9.9367999999999999</v>
      </c>
      <c r="L225" s="14">
        <f>CHOOSE(CONTROL!$C$42, 10.7191, 10.7191) * CHOOSE(CONTROL!$C$21, $C$9, 100%, $E$9)</f>
        <v>10.719099999999999</v>
      </c>
      <c r="M225" s="14">
        <f>CHOOSE(CONTROL!$C$42, 9.7029, 9.7029) * CHOOSE(CONTROL!$C$21, $C$9, 100%, $E$9)</f>
        <v>9.7028999999999996</v>
      </c>
      <c r="N225" s="14">
        <f>CHOOSE(CONTROL!$C$42, 9.7198, 9.7198) * CHOOSE(CONTROL!$C$21, $C$9, 100%, $E$9)</f>
        <v>9.7197999999999993</v>
      </c>
      <c r="O225" s="14">
        <f>CHOOSE(CONTROL!$C$42, 9.9322, 9.9322) * CHOOSE(CONTROL!$C$21, $C$9, 100%, $E$9)</f>
        <v>9.9321999999999999</v>
      </c>
      <c r="P225" s="14">
        <f>CHOOSE(CONTROL!$C$42, 9.7442, 9.7442) * CHOOSE(CONTROL!$C$21, $C$9, 100%, $E$9)</f>
        <v>9.7441999999999993</v>
      </c>
      <c r="Q225" s="14">
        <f>CHOOSE(CONTROL!$C$42, 10.5269, 10.5269) * CHOOSE(CONTROL!$C$21, $C$9, 100%, $E$9)</f>
        <v>10.526899999999999</v>
      </c>
      <c r="R225" s="14">
        <f>CHOOSE(CONTROL!$C$42, 11.1402, 11.1402) * CHOOSE(CONTROL!$C$21, $C$9, 100%, $E$9)</f>
        <v>11.1402</v>
      </c>
      <c r="S225" s="14">
        <f>CHOOSE(CONTROL!$C$42, 9.4813, 9.4813) * CHOOSE(CONTROL!$C$21, $C$9, 100%, $E$9)</f>
        <v>9.4812999999999992</v>
      </c>
      <c r="T22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56">
        <f>(1000*CHOOSE(CONTROL!$C$42, 695, 695)*CHOOSE(CONTROL!$C$42, 0.5599, 0.5599)*CHOOSE(CONTROL!$C$42, 30, 30))/1000000</f>
        <v>11.673914999999997</v>
      </c>
      <c r="V225" s="56">
        <f>(1000*CHOOSE(CONTROL!$C$42, 500, 500)*CHOOSE(CONTROL!$C$42, 0.275, 0.275)*CHOOSE(CONTROL!$C$42, 30, 30))/1000000</f>
        <v>4.125</v>
      </c>
      <c r="W225" s="56">
        <f>(1000*CHOOSE(CONTROL!$C$42, 0.1146, 0.1146)*CHOOSE(CONTROL!$C$42, 121.5, 121.5)*CHOOSE(CONTROL!$C$42, 30, 30))/1000000</f>
        <v>0.417717</v>
      </c>
      <c r="X225" s="56">
        <f>(30*0.1790888*245000/1000000)+(30*0.2374*100000/1000000)</f>
        <v>2.0285026799999999</v>
      </c>
      <c r="Y225" s="56"/>
      <c r="Z225" s="14"/>
      <c r="AA225" s="55"/>
      <c r="AB225" s="49">
        <f>(B225*194.205+C225*267.466+D225*133.845+E225*53.484+F225*40+G225*185+H225*0+I225*100+J225*300)/(194.205+267.466+133.845+53.484+0+40+185+100+300)</f>
        <v>9.9323934805337526</v>
      </c>
      <c r="AC225" s="44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9.7770690647482024</v>
      </c>
    </row>
    <row r="226" spans="1:29" ht="15.75" x14ac:dyDescent="0.25">
      <c r="A226" s="13">
        <v>47757</v>
      </c>
      <c r="B226" s="14">
        <f>CHOOSE(CONTROL!$C$42, 9.6761, 9.6761) * CHOOSE(CONTROL!$C$21, $C$9, 100%, $E$9)</f>
        <v>9.6760999999999999</v>
      </c>
      <c r="C226" s="14">
        <f>CHOOSE(CONTROL!$C$42, 9.6815, 9.6815) * CHOOSE(CONTROL!$C$21, $C$9, 100%, $E$9)</f>
        <v>9.6814999999999998</v>
      </c>
      <c r="D226" s="14">
        <f>CHOOSE(CONTROL!$C$42, 9.9122, 9.9122) * CHOOSE(CONTROL!$C$21, $C$9, 100%, $E$9)</f>
        <v>9.9122000000000003</v>
      </c>
      <c r="E226" s="14">
        <f>CHOOSE(CONTROL!$C$42, 9.9413, 9.9413) * CHOOSE(CONTROL!$C$21, $C$9, 100%, $E$9)</f>
        <v>9.9413</v>
      </c>
      <c r="F226" s="14">
        <f>CHOOSE(CONTROL!$C$42, 9.705, 9.705)*CHOOSE(CONTROL!$C$21, $C$9, 100%, $E$9)</f>
        <v>9.7050000000000001</v>
      </c>
      <c r="G226" s="14">
        <f>CHOOSE(CONTROL!$C$42, 9.7221, 9.7221)*CHOOSE(CONTROL!$C$21, $C$9, 100%, $E$9)</f>
        <v>9.7220999999999993</v>
      </c>
      <c r="H226" s="14">
        <f>CHOOSE(CONTROL!$C$42, 9.9318, 9.9318) * CHOOSE(CONTROL!$C$21, $C$9, 100%, $E$9)</f>
        <v>9.9318000000000008</v>
      </c>
      <c r="I226" s="14">
        <f>CHOOSE(CONTROL!$C$42, 9.7397, 9.7397)* CHOOSE(CONTROL!$C$21, $C$9, 100%, $E$9)</f>
        <v>9.7396999999999991</v>
      </c>
      <c r="J226" s="14">
        <f>CHOOSE(CONTROL!$C$42, 9.698, 9.698)* CHOOSE(CONTROL!$C$21, $C$9, 100%, $E$9)</f>
        <v>9.6980000000000004</v>
      </c>
      <c r="K226" s="52">
        <f>CHOOSE(CONTROL!$C$42, 9.7358, 9.7358) * CHOOSE(CONTROL!$C$21, $C$9, 100%, $E$9)</f>
        <v>9.7357999999999993</v>
      </c>
      <c r="L226" s="14">
        <f>CHOOSE(CONTROL!$C$42, 10.5188, 10.5188) * CHOOSE(CONTROL!$C$21, $C$9, 100%, $E$9)</f>
        <v>10.518800000000001</v>
      </c>
      <c r="M226" s="14">
        <f>CHOOSE(CONTROL!$C$42, 9.507, 9.507) * CHOOSE(CONTROL!$C$21, $C$9, 100%, $E$9)</f>
        <v>9.5069999999999997</v>
      </c>
      <c r="N226" s="14">
        <f>CHOOSE(CONTROL!$C$42, 9.5237, 9.5237) * CHOOSE(CONTROL!$C$21, $C$9, 100%, $E$9)</f>
        <v>9.5236999999999998</v>
      </c>
      <c r="O226" s="14">
        <f>CHOOSE(CONTROL!$C$42, 9.736, 9.736) * CHOOSE(CONTROL!$C$21, $C$9, 100%, $E$9)</f>
        <v>9.7360000000000007</v>
      </c>
      <c r="P226" s="14">
        <f>CHOOSE(CONTROL!$C$42, 9.5473, 9.5473) * CHOOSE(CONTROL!$C$21, $C$9, 100%, $E$9)</f>
        <v>9.5472999999999999</v>
      </c>
      <c r="Q226" s="14">
        <f>CHOOSE(CONTROL!$C$42, 10.3307, 10.3307) * CHOOSE(CONTROL!$C$21, $C$9, 100%, $E$9)</f>
        <v>10.3307</v>
      </c>
      <c r="R226" s="14">
        <f>CHOOSE(CONTROL!$C$42, 10.9435, 10.9435) * CHOOSE(CONTROL!$C$21, $C$9, 100%, $E$9)</f>
        <v>10.9435</v>
      </c>
      <c r="S226" s="14">
        <f>CHOOSE(CONTROL!$C$42, 9.2889, 9.2889) * CHOOSE(CONTROL!$C$21, $C$9, 100%, $E$9)</f>
        <v>9.2888999999999999</v>
      </c>
      <c r="T22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56">
        <f>(1000*CHOOSE(CONTROL!$C$42, 695, 695)*CHOOSE(CONTROL!$C$42, 0.5599, 0.5599)*CHOOSE(CONTROL!$C$42, 31, 31))/1000000</f>
        <v>12.063045499999998</v>
      </c>
      <c r="V226" s="56">
        <f>(1000*CHOOSE(CONTROL!$C$42, 500, 500)*CHOOSE(CONTROL!$C$42, 0.275, 0.275)*CHOOSE(CONTROL!$C$42, 31, 31))/1000000</f>
        <v>4.2625000000000002</v>
      </c>
      <c r="W226" s="56">
        <f>(1000*CHOOSE(CONTROL!$C$42, 0.1146, 0.1146)*CHOOSE(CONTROL!$C$42, 121.5, 121.5)*CHOOSE(CONTROL!$C$42, 31, 31))/1000000</f>
        <v>0.43164089999999994</v>
      </c>
      <c r="X226" s="56">
        <f>(31*0.1790888*245000/1000000)+(31*0.2374*100000/1000000)</f>
        <v>2.0961194359999999</v>
      </c>
      <c r="Y226" s="56"/>
      <c r="Z226" s="14"/>
      <c r="AA226" s="55"/>
      <c r="AB226" s="49">
        <f>(B226*131.881+C226*277.167+D226*79.08+E226*125.872+F226*40+G226*185+H226*0+I226*100+J226*300)/(131.881+277.167+79.08+125.872+0+40+185+100+300)</f>
        <v>9.7375566135593203</v>
      </c>
      <c r="AC226" s="44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9.5808949640287775</v>
      </c>
    </row>
    <row r="227" spans="1:29" ht="15.75" x14ac:dyDescent="0.25">
      <c r="A227" s="13">
        <v>47788</v>
      </c>
      <c r="B227" s="14">
        <f>CHOOSE(CONTROL!$C$42, 9.9304, 9.9304) * CHOOSE(CONTROL!$C$21, $C$9, 100%, $E$9)</f>
        <v>9.9304000000000006</v>
      </c>
      <c r="C227" s="14">
        <f>CHOOSE(CONTROL!$C$42, 9.9354, 9.9354) * CHOOSE(CONTROL!$C$21, $C$9, 100%, $E$9)</f>
        <v>9.9353999999999996</v>
      </c>
      <c r="D227" s="14">
        <f>CHOOSE(CONTROL!$C$42, 10.0044, 10.0044) * CHOOSE(CONTROL!$C$21, $C$9, 100%, $E$9)</f>
        <v>10.0044</v>
      </c>
      <c r="E227" s="14">
        <f>CHOOSE(CONTROL!$C$42, 10.0385, 10.0385) * CHOOSE(CONTROL!$C$21, $C$9, 100%, $E$9)</f>
        <v>10.038500000000001</v>
      </c>
      <c r="F227" s="14">
        <f>CHOOSE(CONTROL!$C$42, 9.9659, 9.9659)*CHOOSE(CONTROL!$C$21, $C$9, 100%, $E$9)</f>
        <v>9.9658999999999995</v>
      </c>
      <c r="G227" s="14">
        <f>CHOOSE(CONTROL!$C$42, 9.9834, 9.9834)*CHOOSE(CONTROL!$C$21, $C$9, 100%, $E$9)</f>
        <v>9.9833999999999996</v>
      </c>
      <c r="H227" s="14">
        <f>CHOOSE(CONTROL!$C$42, 10.0277, 10.0277) * CHOOSE(CONTROL!$C$21, $C$9, 100%, $E$9)</f>
        <v>10.027699999999999</v>
      </c>
      <c r="I227" s="14">
        <f>CHOOSE(CONTROL!$C$42, 9.9978, 9.9978)* CHOOSE(CONTROL!$C$21, $C$9, 100%, $E$9)</f>
        <v>9.9977999999999998</v>
      </c>
      <c r="J227" s="14">
        <f>CHOOSE(CONTROL!$C$42, 9.9589, 9.9589)* CHOOSE(CONTROL!$C$21, $C$9, 100%, $E$9)</f>
        <v>9.9588999999999999</v>
      </c>
      <c r="K227" s="52">
        <f>CHOOSE(CONTROL!$C$42, 9.9939, 9.9939) * CHOOSE(CONTROL!$C$21, $C$9, 100%, $E$9)</f>
        <v>9.9939</v>
      </c>
      <c r="L227" s="14">
        <f>CHOOSE(CONTROL!$C$42, 10.6147, 10.6147) * CHOOSE(CONTROL!$C$21, $C$9, 100%, $E$9)</f>
        <v>10.614699999999999</v>
      </c>
      <c r="M227" s="14">
        <f>CHOOSE(CONTROL!$C$42, 9.7626, 9.7626) * CHOOSE(CONTROL!$C$21, $C$9, 100%, $E$9)</f>
        <v>9.7626000000000008</v>
      </c>
      <c r="N227" s="14">
        <f>CHOOSE(CONTROL!$C$42, 9.7796, 9.7796) * CHOOSE(CONTROL!$C$21, $C$9, 100%, $E$9)</f>
        <v>9.7796000000000003</v>
      </c>
      <c r="O227" s="14">
        <f>CHOOSE(CONTROL!$C$42, 9.83, 9.83) * CHOOSE(CONTROL!$C$21, $C$9, 100%, $E$9)</f>
        <v>9.83</v>
      </c>
      <c r="P227" s="14">
        <f>CHOOSE(CONTROL!$C$42, 9.8001, 9.8001) * CHOOSE(CONTROL!$C$21, $C$9, 100%, $E$9)</f>
        <v>9.8001000000000005</v>
      </c>
      <c r="Q227" s="14">
        <f>CHOOSE(CONTROL!$C$42, 10.4247, 10.4247) * CHOOSE(CONTROL!$C$21, $C$9, 100%, $E$9)</f>
        <v>10.4247</v>
      </c>
      <c r="R227" s="14">
        <f>CHOOSE(CONTROL!$C$42, 11.0377, 11.0377) * CHOOSE(CONTROL!$C$21, $C$9, 100%, $E$9)</f>
        <v>11.037699999999999</v>
      </c>
      <c r="S227" s="14">
        <f>CHOOSE(CONTROL!$C$42, 9.5335, 9.5335) * CHOOSE(CONTROL!$C$21, $C$9, 100%, $E$9)</f>
        <v>9.5335000000000001</v>
      </c>
      <c r="T22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56">
        <f>(1000*CHOOSE(CONTROL!$C$42, 695, 695)*CHOOSE(CONTROL!$C$42, 0.5599, 0.5599)*CHOOSE(CONTROL!$C$42, 30, 30))/1000000</f>
        <v>11.673914999999997</v>
      </c>
      <c r="V227" s="56">
        <f>(1000*CHOOSE(CONTROL!$C$42, 500, 500)*CHOOSE(CONTROL!$C$42, 0.275, 0.275)*CHOOSE(CONTROL!$C$42, 30, 30))/1000000</f>
        <v>4.125</v>
      </c>
      <c r="W227" s="56">
        <f>(1000*CHOOSE(CONTROL!$C$42, 0.1146, 0.1146)*CHOOSE(CONTROL!$C$42, 121.5, 121.5)*CHOOSE(CONTROL!$C$42, 30, 30))/1000000</f>
        <v>0.417717</v>
      </c>
      <c r="X227" s="56">
        <f>(30*0.1790888*100000/1000000)+(30*0.2374*100000/1000000)</f>
        <v>1.2494664</v>
      </c>
      <c r="Y227" s="56"/>
      <c r="Z227" s="14"/>
      <c r="AA227" s="55"/>
      <c r="AB227" s="49">
        <f>(B227*122.58+C227*297.941+D227*89.177+E227*40.302+F227*40+G227*160+H227*0+I227*100+J227*300)/(122.58+297.941+89.177+40.302+0+40+160+100+300)</f>
        <v>9.9631264775652166</v>
      </c>
      <c r="AC227" s="44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9.7995223021582749</v>
      </c>
    </row>
    <row r="228" spans="1:29" ht="15.75" x14ac:dyDescent="0.25">
      <c r="A228" s="13">
        <v>47818</v>
      </c>
      <c r="B228" s="14">
        <f>CHOOSE(CONTROL!$C$42, 10.6068, 10.6068) * CHOOSE(CONTROL!$C$21, $C$9, 100%, $E$9)</f>
        <v>10.6068</v>
      </c>
      <c r="C228" s="14">
        <f>CHOOSE(CONTROL!$C$42, 10.6118, 10.6118) * CHOOSE(CONTROL!$C$21, $C$9, 100%, $E$9)</f>
        <v>10.611800000000001</v>
      </c>
      <c r="D228" s="14">
        <f>CHOOSE(CONTROL!$C$42, 10.6808, 10.6808) * CHOOSE(CONTROL!$C$21, $C$9, 100%, $E$9)</f>
        <v>10.6808</v>
      </c>
      <c r="E228" s="14">
        <f>CHOOSE(CONTROL!$C$42, 10.7149, 10.7149) * CHOOSE(CONTROL!$C$21, $C$9, 100%, $E$9)</f>
        <v>10.7149</v>
      </c>
      <c r="F228" s="14">
        <f>CHOOSE(CONTROL!$C$42, 10.6446, 10.6446)*CHOOSE(CONTROL!$C$21, $C$9, 100%, $E$9)</f>
        <v>10.644600000000001</v>
      </c>
      <c r="G228" s="14">
        <f>CHOOSE(CONTROL!$C$42, 10.6626, 10.6626)*CHOOSE(CONTROL!$C$21, $C$9, 100%, $E$9)</f>
        <v>10.662599999999999</v>
      </c>
      <c r="H228" s="14">
        <f>CHOOSE(CONTROL!$C$42, 10.7041, 10.7041) * CHOOSE(CONTROL!$C$21, $C$9, 100%, $E$9)</f>
        <v>10.7041</v>
      </c>
      <c r="I228" s="14">
        <f>CHOOSE(CONTROL!$C$42, 10.6763, 10.6763)* CHOOSE(CONTROL!$C$21, $C$9, 100%, $E$9)</f>
        <v>10.676299999999999</v>
      </c>
      <c r="J228" s="14">
        <f>CHOOSE(CONTROL!$C$42, 10.6376, 10.6376)* CHOOSE(CONTROL!$C$21, $C$9, 100%, $E$9)</f>
        <v>10.637600000000001</v>
      </c>
      <c r="K228" s="52">
        <f>CHOOSE(CONTROL!$C$42, 10.6724, 10.6724) * CHOOSE(CONTROL!$C$21, $C$9, 100%, $E$9)</f>
        <v>10.6724</v>
      </c>
      <c r="L228" s="14">
        <f>CHOOSE(CONTROL!$C$42, 11.2911, 11.2911) * CHOOSE(CONTROL!$C$21, $C$9, 100%, $E$9)</f>
        <v>11.2911</v>
      </c>
      <c r="M228" s="14">
        <f>CHOOSE(CONTROL!$C$42, 10.4273, 10.4273) * CHOOSE(CONTROL!$C$21, $C$9, 100%, $E$9)</f>
        <v>10.427300000000001</v>
      </c>
      <c r="N228" s="14">
        <f>CHOOSE(CONTROL!$C$42, 10.445, 10.445) * CHOOSE(CONTROL!$C$21, $C$9, 100%, $E$9)</f>
        <v>10.445</v>
      </c>
      <c r="O228" s="14">
        <f>CHOOSE(CONTROL!$C$42, 10.4925, 10.4925) * CHOOSE(CONTROL!$C$21, $C$9, 100%, $E$9)</f>
        <v>10.4925</v>
      </c>
      <c r="P228" s="14">
        <f>CHOOSE(CONTROL!$C$42, 10.4647, 10.4647) * CHOOSE(CONTROL!$C$21, $C$9, 100%, $E$9)</f>
        <v>10.464700000000001</v>
      </c>
      <c r="Q228" s="14">
        <f>CHOOSE(CONTROL!$C$42, 11.0872, 11.0872) * CHOOSE(CONTROL!$C$21, $C$9, 100%, $E$9)</f>
        <v>11.087199999999999</v>
      </c>
      <c r="R228" s="14">
        <f>CHOOSE(CONTROL!$C$42, 11.7019, 11.7019) * CHOOSE(CONTROL!$C$21, $C$9, 100%, $E$9)</f>
        <v>11.7019</v>
      </c>
      <c r="S228" s="14">
        <f>CHOOSE(CONTROL!$C$42, 10.1835, 10.1835) * CHOOSE(CONTROL!$C$21, $C$9, 100%, $E$9)</f>
        <v>10.1835</v>
      </c>
      <c r="T22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56">
        <f>(1000*CHOOSE(CONTROL!$C$42, 695, 695)*CHOOSE(CONTROL!$C$42, 0.5599, 0.5599)*CHOOSE(CONTROL!$C$42, 31, 31))/1000000</f>
        <v>12.063045499999998</v>
      </c>
      <c r="V228" s="56">
        <f>(1000*CHOOSE(CONTROL!$C$42, 500, 500)*CHOOSE(CONTROL!$C$42, 0.275, 0.275)*CHOOSE(CONTROL!$C$42, 31, 31))/1000000</f>
        <v>4.2625000000000002</v>
      </c>
      <c r="W228" s="56">
        <f>(1000*CHOOSE(CONTROL!$C$42, 0.1146, 0.1146)*CHOOSE(CONTROL!$C$42, 121.5, 121.5)*CHOOSE(CONTROL!$C$42, 31, 31))/1000000</f>
        <v>0.43164089999999994</v>
      </c>
      <c r="X228" s="56">
        <f>(31*0.1790888*100000/1000000)+(31*0.2374*100000/1000000)</f>
        <v>1.2911152800000001</v>
      </c>
      <c r="Y228" s="56"/>
      <c r="Z228" s="14"/>
      <c r="AA228" s="55"/>
      <c r="AB228" s="49">
        <f>(B228*122.58+C228*297.941+D228*89.177+E228*40.302+F228*40+G228*160+H228*0+I228*100+J228*300)/(122.58+297.941+89.177+40.302+0+40+160+100+300)</f>
        <v>10.640778651478261</v>
      </c>
      <c r="AC228" s="44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10.46325107913669</v>
      </c>
    </row>
    <row r="229" spans="1:29" ht="15.75" x14ac:dyDescent="0.25">
      <c r="A229" s="13">
        <v>47849</v>
      </c>
      <c r="B229" s="14">
        <f>CHOOSE(CONTROL!$C$42, 11.4853, 11.4853) * CHOOSE(CONTROL!$C$21, $C$9, 100%, $E$9)</f>
        <v>11.485300000000001</v>
      </c>
      <c r="C229" s="14">
        <f>CHOOSE(CONTROL!$C$42, 11.4903, 11.4903) * CHOOSE(CONTROL!$C$21, $C$9, 100%, $E$9)</f>
        <v>11.4903</v>
      </c>
      <c r="D229" s="14">
        <f>CHOOSE(CONTROL!$C$42, 11.5698, 11.5698) * CHOOSE(CONTROL!$C$21, $C$9, 100%, $E$9)</f>
        <v>11.569800000000001</v>
      </c>
      <c r="E229" s="14">
        <f>CHOOSE(CONTROL!$C$42, 11.6039, 11.6039) * CHOOSE(CONTROL!$C$21, $C$9, 100%, $E$9)</f>
        <v>11.603899999999999</v>
      </c>
      <c r="F229" s="14">
        <f>CHOOSE(CONTROL!$C$42, 11.5083, 11.5083)*CHOOSE(CONTROL!$C$21, $C$9, 100%, $E$9)</f>
        <v>11.5083</v>
      </c>
      <c r="G229" s="14">
        <f>CHOOSE(CONTROL!$C$42, 11.5258, 11.5258)*CHOOSE(CONTROL!$C$21, $C$9, 100%, $E$9)</f>
        <v>11.5258</v>
      </c>
      <c r="H229" s="14">
        <f>CHOOSE(CONTROL!$C$42, 11.5931, 11.5931) * CHOOSE(CONTROL!$C$21, $C$9, 100%, $E$9)</f>
        <v>11.5931</v>
      </c>
      <c r="I229" s="14">
        <f>CHOOSE(CONTROL!$C$42, 11.5565, 11.5565)* CHOOSE(CONTROL!$C$21, $C$9, 100%, $E$9)</f>
        <v>11.5565</v>
      </c>
      <c r="J229" s="14">
        <f>CHOOSE(CONTROL!$C$42, 11.5013, 11.5013)* CHOOSE(CONTROL!$C$21, $C$9, 100%, $E$9)</f>
        <v>11.501300000000001</v>
      </c>
      <c r="K229" s="52">
        <f>CHOOSE(CONTROL!$C$42, 11.5526, 11.5526) * CHOOSE(CONTROL!$C$21, $C$9, 100%, $E$9)</f>
        <v>11.5526</v>
      </c>
      <c r="L229" s="14">
        <f>CHOOSE(CONTROL!$C$42, 12.1801, 12.1801) * CHOOSE(CONTROL!$C$21, $C$9, 100%, $E$9)</f>
        <v>12.180099999999999</v>
      </c>
      <c r="M229" s="14">
        <f>CHOOSE(CONTROL!$C$42, 11.2733, 11.2733) * CHOOSE(CONTROL!$C$21, $C$9, 100%, $E$9)</f>
        <v>11.273300000000001</v>
      </c>
      <c r="N229" s="14">
        <f>CHOOSE(CONTROL!$C$42, 11.2905, 11.2905) * CHOOSE(CONTROL!$C$21, $C$9, 100%, $E$9)</f>
        <v>11.2905</v>
      </c>
      <c r="O229" s="14">
        <f>CHOOSE(CONTROL!$C$42, 11.3632, 11.3632) * CHOOSE(CONTROL!$C$21, $C$9, 100%, $E$9)</f>
        <v>11.363200000000001</v>
      </c>
      <c r="P229" s="14">
        <f>CHOOSE(CONTROL!$C$42, 11.3268, 11.3268) * CHOOSE(CONTROL!$C$21, $C$9, 100%, $E$9)</f>
        <v>11.3268</v>
      </c>
      <c r="Q229" s="14">
        <f>CHOOSE(CONTROL!$C$42, 11.9579, 11.9579) * CHOOSE(CONTROL!$C$21, $C$9, 100%, $E$9)</f>
        <v>11.9579</v>
      </c>
      <c r="R229" s="14">
        <f>CHOOSE(CONTROL!$C$42, 12.5748, 12.5748) * CHOOSE(CONTROL!$C$21, $C$9, 100%, $E$9)</f>
        <v>12.5748</v>
      </c>
      <c r="S229" s="14">
        <f>CHOOSE(CONTROL!$C$42, 11.0277, 11.0277) * CHOOSE(CONTROL!$C$21, $C$9, 100%, $E$9)</f>
        <v>11.027699999999999</v>
      </c>
      <c r="T22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56">
        <f>(1000*CHOOSE(CONTROL!$C$42, 695, 695)*CHOOSE(CONTROL!$C$42, 0.5599, 0.5599)*CHOOSE(CONTROL!$C$42, 31, 31))/1000000</f>
        <v>12.063045499999998</v>
      </c>
      <c r="V229" s="56">
        <f>(1000*CHOOSE(CONTROL!$C$42, 500, 500)*CHOOSE(CONTROL!$C$42, 0.275, 0.275)*CHOOSE(CONTROL!$C$42, 31, 31))/1000000</f>
        <v>4.2625000000000002</v>
      </c>
      <c r="W229" s="56">
        <f>(1000*CHOOSE(CONTROL!$C$42, 0.1146, 0.1146)*CHOOSE(CONTROL!$C$42, 121.5, 121.5)*CHOOSE(CONTROL!$C$42, 31, 31))/1000000</f>
        <v>0.43164089999999994</v>
      </c>
      <c r="X229" s="56">
        <f>(31*0.1790888*100000/1000000)+(31*0.2374*100000/1000000)</f>
        <v>1.2911152800000001</v>
      </c>
      <c r="Y229" s="56"/>
      <c r="Z229" s="14"/>
      <c r="AA229" s="55"/>
      <c r="AB229" s="49">
        <f>(B229*122.58+C229*297.941+D229*89.177+E229*40.302+F229*40+G229*160+H229*0+I229*100+J229*300)/(122.58+297.941+89.177+40.302+0+40+160+100+300)</f>
        <v>11.514104329304347</v>
      </c>
      <c r="AC229" s="44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11.322733812949641</v>
      </c>
    </row>
    <row r="230" spans="1:29" ht="15.75" x14ac:dyDescent="0.25">
      <c r="A230" s="13">
        <v>47880</v>
      </c>
      <c r="B230" s="14">
        <f>CHOOSE(CONTROL!$C$42, 11.6896, 11.6896) * CHOOSE(CONTROL!$C$21, $C$9, 100%, $E$9)</f>
        <v>11.6896</v>
      </c>
      <c r="C230" s="14">
        <f>CHOOSE(CONTROL!$C$42, 11.6946, 11.6946) * CHOOSE(CONTROL!$C$21, $C$9, 100%, $E$9)</f>
        <v>11.694599999999999</v>
      </c>
      <c r="D230" s="14">
        <f>CHOOSE(CONTROL!$C$42, 11.774, 11.774) * CHOOSE(CONTROL!$C$21, $C$9, 100%, $E$9)</f>
        <v>11.773999999999999</v>
      </c>
      <c r="E230" s="14">
        <f>CHOOSE(CONTROL!$C$42, 11.8081, 11.8081) * CHOOSE(CONTROL!$C$21, $C$9, 100%, $E$9)</f>
        <v>11.8081</v>
      </c>
      <c r="F230" s="14">
        <f>CHOOSE(CONTROL!$C$42, 11.7123, 11.7123)*CHOOSE(CONTROL!$C$21, $C$9, 100%, $E$9)</f>
        <v>11.712300000000001</v>
      </c>
      <c r="G230" s="14">
        <f>CHOOSE(CONTROL!$C$42, 11.7298, 11.7298)*CHOOSE(CONTROL!$C$21, $C$9, 100%, $E$9)</f>
        <v>11.729799999999999</v>
      </c>
      <c r="H230" s="14">
        <f>CHOOSE(CONTROL!$C$42, 11.7973, 11.7973) * CHOOSE(CONTROL!$C$21, $C$9, 100%, $E$9)</f>
        <v>11.7973</v>
      </c>
      <c r="I230" s="14">
        <f>CHOOSE(CONTROL!$C$42, 11.7614, 11.7614)* CHOOSE(CONTROL!$C$21, $C$9, 100%, $E$9)</f>
        <v>11.7614</v>
      </c>
      <c r="J230" s="14">
        <f>CHOOSE(CONTROL!$C$42, 11.7053, 11.7053)* CHOOSE(CONTROL!$C$21, $C$9, 100%, $E$9)</f>
        <v>11.705299999999999</v>
      </c>
      <c r="K230" s="52">
        <f>CHOOSE(CONTROL!$C$42, 11.7576, 11.7576) * CHOOSE(CONTROL!$C$21, $C$9, 100%, $E$9)</f>
        <v>11.7576</v>
      </c>
      <c r="L230" s="14">
        <f>CHOOSE(CONTROL!$C$42, 12.3843, 12.3843) * CHOOSE(CONTROL!$C$21, $C$9, 100%, $E$9)</f>
        <v>12.3843</v>
      </c>
      <c r="M230" s="14">
        <f>CHOOSE(CONTROL!$C$42, 11.4732, 11.4732) * CHOOSE(CONTROL!$C$21, $C$9, 100%, $E$9)</f>
        <v>11.4732</v>
      </c>
      <c r="N230" s="14">
        <f>CHOOSE(CONTROL!$C$42, 11.4903, 11.4903) * CHOOSE(CONTROL!$C$21, $C$9, 100%, $E$9)</f>
        <v>11.4903</v>
      </c>
      <c r="O230" s="14">
        <f>CHOOSE(CONTROL!$C$42, 11.5633, 11.5633) * CHOOSE(CONTROL!$C$21, $C$9, 100%, $E$9)</f>
        <v>11.5633</v>
      </c>
      <c r="P230" s="14">
        <f>CHOOSE(CONTROL!$C$42, 11.5275, 11.5275) * CHOOSE(CONTROL!$C$21, $C$9, 100%, $E$9)</f>
        <v>11.5275</v>
      </c>
      <c r="Q230" s="14">
        <f>CHOOSE(CONTROL!$C$42, 12.158, 12.158) * CHOOSE(CONTROL!$C$21, $C$9, 100%, $E$9)</f>
        <v>12.157999999999999</v>
      </c>
      <c r="R230" s="14">
        <f>CHOOSE(CONTROL!$C$42, 12.7754, 12.7754) * CHOOSE(CONTROL!$C$21, $C$9, 100%, $E$9)</f>
        <v>12.775399999999999</v>
      </c>
      <c r="S230" s="14">
        <f>CHOOSE(CONTROL!$C$42, 11.2239, 11.2239) * CHOOSE(CONTROL!$C$21, $C$9, 100%, $E$9)</f>
        <v>11.2239</v>
      </c>
      <c r="T23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30" s="56">
        <f>(1000*CHOOSE(CONTROL!$C$42, 695, 695)*CHOOSE(CONTROL!$C$42, 0.5599, 0.5599)*CHOOSE(CONTROL!$C$42, 28, 28))/1000000</f>
        <v>10.895653999999999</v>
      </c>
      <c r="V230" s="56">
        <f>(1000*CHOOSE(CONTROL!$C$42, 500, 500)*CHOOSE(CONTROL!$C$42, 0.275, 0.275)*CHOOSE(CONTROL!$C$42, 28, 28))/1000000</f>
        <v>3.85</v>
      </c>
      <c r="W230" s="56">
        <f>(1000*CHOOSE(CONTROL!$C$42, 0.1146, 0.1146)*CHOOSE(CONTROL!$C$42, 121.5, 121.5)*CHOOSE(CONTROL!$C$42, 28, 28))/1000000</f>
        <v>0.38986920000000003</v>
      </c>
      <c r="X230" s="56">
        <f>(28*0.1790888*100000/1000000)+(28*0.2374*100000/1000000)</f>
        <v>1.16616864</v>
      </c>
      <c r="Y230" s="56"/>
      <c r="Z230" s="14"/>
      <c r="AA230" s="55"/>
      <c r="AB230" s="49">
        <f>(B230*122.58+C230*297.941+D230*89.177+E230*40.302+F230*40+G230*160+H230*0+I230*100+J230*300)/(122.58+297.941+89.177+40.302+0+40+160+100+300)</f>
        <v>11.718314809391304</v>
      </c>
      <c r="AC230" s="44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11.522833812949642</v>
      </c>
    </row>
    <row r="231" spans="1:29" ht="15.75" x14ac:dyDescent="0.25">
      <c r="A231" s="13">
        <v>47908</v>
      </c>
      <c r="B231" s="14">
        <f>CHOOSE(CONTROL!$C$42, 11.3579, 11.3579) * CHOOSE(CONTROL!$C$21, $C$9, 100%, $E$9)</f>
        <v>11.357900000000001</v>
      </c>
      <c r="C231" s="14">
        <f>CHOOSE(CONTROL!$C$42, 11.363, 11.363) * CHOOSE(CONTROL!$C$21, $C$9, 100%, $E$9)</f>
        <v>11.363</v>
      </c>
      <c r="D231" s="14">
        <f>CHOOSE(CONTROL!$C$42, 11.4424, 11.4424) * CHOOSE(CONTROL!$C$21, $C$9, 100%, $E$9)</f>
        <v>11.442399999999999</v>
      </c>
      <c r="E231" s="14">
        <f>CHOOSE(CONTROL!$C$42, 11.4765, 11.4765) * CHOOSE(CONTROL!$C$21, $C$9, 100%, $E$9)</f>
        <v>11.4765</v>
      </c>
      <c r="F231" s="14">
        <f>CHOOSE(CONTROL!$C$42, 11.38, 11.38)*CHOOSE(CONTROL!$C$21, $C$9, 100%, $E$9)</f>
        <v>11.38</v>
      </c>
      <c r="G231" s="14">
        <f>CHOOSE(CONTROL!$C$42, 11.3973, 11.3973)*CHOOSE(CONTROL!$C$21, $C$9, 100%, $E$9)</f>
        <v>11.3973</v>
      </c>
      <c r="H231" s="14">
        <f>CHOOSE(CONTROL!$C$42, 11.4657, 11.4657) * CHOOSE(CONTROL!$C$21, $C$9, 100%, $E$9)</f>
        <v>11.4657</v>
      </c>
      <c r="I231" s="14">
        <f>CHOOSE(CONTROL!$C$42, 11.4288, 11.4288)* CHOOSE(CONTROL!$C$21, $C$9, 100%, $E$9)</f>
        <v>11.428800000000001</v>
      </c>
      <c r="J231" s="14">
        <f>CHOOSE(CONTROL!$C$42, 11.373, 11.373)* CHOOSE(CONTROL!$C$21, $C$9, 100%, $E$9)</f>
        <v>11.372999999999999</v>
      </c>
      <c r="K231" s="52">
        <f>CHOOSE(CONTROL!$C$42, 11.4249, 11.4249) * CHOOSE(CONTROL!$C$21, $C$9, 100%, $E$9)</f>
        <v>11.424899999999999</v>
      </c>
      <c r="L231" s="14">
        <f>CHOOSE(CONTROL!$C$42, 12.0527, 12.0527) * CHOOSE(CONTROL!$C$21, $C$9, 100%, $E$9)</f>
        <v>12.0527</v>
      </c>
      <c r="M231" s="14">
        <f>CHOOSE(CONTROL!$C$42, 11.1477, 11.1477) * CHOOSE(CONTROL!$C$21, $C$9, 100%, $E$9)</f>
        <v>11.1477</v>
      </c>
      <c r="N231" s="14">
        <f>CHOOSE(CONTROL!$C$42, 11.1646, 11.1646) * CHOOSE(CONTROL!$C$21, $C$9, 100%, $E$9)</f>
        <v>11.1646</v>
      </c>
      <c r="O231" s="14">
        <f>CHOOSE(CONTROL!$C$42, 11.2385, 11.2385) * CHOOSE(CONTROL!$C$21, $C$9, 100%, $E$9)</f>
        <v>11.2385</v>
      </c>
      <c r="P231" s="14">
        <f>CHOOSE(CONTROL!$C$42, 11.2017, 11.2017) * CHOOSE(CONTROL!$C$21, $C$9, 100%, $E$9)</f>
        <v>11.201700000000001</v>
      </c>
      <c r="Q231" s="14">
        <f>CHOOSE(CONTROL!$C$42, 11.8332, 11.8332) * CHOOSE(CONTROL!$C$21, $C$9, 100%, $E$9)</f>
        <v>11.8332</v>
      </c>
      <c r="R231" s="14">
        <f>CHOOSE(CONTROL!$C$42, 12.4498, 12.4498) * CHOOSE(CONTROL!$C$21, $C$9, 100%, $E$9)</f>
        <v>12.4498</v>
      </c>
      <c r="S231" s="14">
        <f>CHOOSE(CONTROL!$C$42, 10.9053, 10.9053) * CHOOSE(CONTROL!$C$21, $C$9, 100%, $E$9)</f>
        <v>10.9053</v>
      </c>
      <c r="T23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56">
        <f>(1000*CHOOSE(CONTROL!$C$42, 695, 695)*CHOOSE(CONTROL!$C$42, 0.5599, 0.5599)*CHOOSE(CONTROL!$C$42, 31, 31))/1000000</f>
        <v>12.063045499999998</v>
      </c>
      <c r="V231" s="56">
        <f>(1000*CHOOSE(CONTROL!$C$42, 500, 500)*CHOOSE(CONTROL!$C$42, 0.275, 0.275)*CHOOSE(CONTROL!$C$42, 31, 31))/1000000</f>
        <v>4.2625000000000002</v>
      </c>
      <c r="W231" s="56">
        <f>(1000*CHOOSE(CONTROL!$C$42, 0.1146, 0.1146)*CHOOSE(CONTROL!$C$42, 121.5, 121.5)*CHOOSE(CONTROL!$C$42, 31, 31))/1000000</f>
        <v>0.43164089999999994</v>
      </c>
      <c r="X231" s="56">
        <f>(31*0.1790888*100000/1000000)+(31*0.2374*100000/1000000)</f>
        <v>1.2911152800000001</v>
      </c>
      <c r="Y231" s="56"/>
      <c r="Z231" s="14"/>
      <c r="AA231" s="55"/>
      <c r="AB231" s="49">
        <f>(B231*122.58+C231*297.941+D231*89.177+E231*40.302+F231*40+G231*160+H231*0+I231*100+J231*300)/(122.58+297.941+89.177+40.302+0+40+160+100+300)</f>
        <v>11.386285019826087</v>
      </c>
      <c r="AC231" s="44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11.197596402877698</v>
      </c>
    </row>
    <row r="232" spans="1:29" ht="15.75" x14ac:dyDescent="0.25">
      <c r="A232" s="13">
        <v>47939</v>
      </c>
      <c r="B232" s="14">
        <f>CHOOSE(CONTROL!$C$42, 11.325, 11.325) * CHOOSE(CONTROL!$C$21, $C$9, 100%, $E$9)</f>
        <v>11.324999999999999</v>
      </c>
      <c r="C232" s="14">
        <f>CHOOSE(CONTROL!$C$42, 11.3295, 11.3295) * CHOOSE(CONTROL!$C$21, $C$9, 100%, $E$9)</f>
        <v>11.329499999999999</v>
      </c>
      <c r="D232" s="14">
        <f>CHOOSE(CONTROL!$C$42, 11.5584, 11.5584) * CHOOSE(CONTROL!$C$21, $C$9, 100%, $E$9)</f>
        <v>11.558400000000001</v>
      </c>
      <c r="E232" s="14">
        <f>CHOOSE(CONTROL!$C$42, 11.5905, 11.5905) * CHOOSE(CONTROL!$C$21, $C$9, 100%, $E$9)</f>
        <v>11.5905</v>
      </c>
      <c r="F232" s="14">
        <f>CHOOSE(CONTROL!$C$42, 11.352, 11.352)*CHOOSE(CONTROL!$C$21, $C$9, 100%, $E$9)</f>
        <v>11.352</v>
      </c>
      <c r="G232" s="14">
        <f>CHOOSE(CONTROL!$C$42, 11.3687, 11.3687)*CHOOSE(CONTROL!$C$21, $C$9, 100%, $E$9)</f>
        <v>11.3687</v>
      </c>
      <c r="H232" s="14">
        <f>CHOOSE(CONTROL!$C$42, 11.5803, 11.5803) * CHOOSE(CONTROL!$C$21, $C$9, 100%, $E$9)</f>
        <v>11.580299999999999</v>
      </c>
      <c r="I232" s="14">
        <f>CHOOSE(CONTROL!$C$42, 11.3934, 11.3934)* CHOOSE(CONTROL!$C$21, $C$9, 100%, $E$9)</f>
        <v>11.3934</v>
      </c>
      <c r="J232" s="14">
        <f>CHOOSE(CONTROL!$C$42, 11.345, 11.345)* CHOOSE(CONTROL!$C$21, $C$9, 100%, $E$9)</f>
        <v>11.345000000000001</v>
      </c>
      <c r="K232" s="52">
        <f>CHOOSE(CONTROL!$C$42, 11.3895, 11.3895) * CHOOSE(CONTROL!$C$21, $C$9, 100%, $E$9)</f>
        <v>11.3895</v>
      </c>
      <c r="L232" s="14">
        <f>CHOOSE(CONTROL!$C$42, 12.1673, 12.1673) * CHOOSE(CONTROL!$C$21, $C$9, 100%, $E$9)</f>
        <v>12.167299999999999</v>
      </c>
      <c r="M232" s="14">
        <f>CHOOSE(CONTROL!$C$42, 11.1202, 11.1202) * CHOOSE(CONTROL!$C$21, $C$9, 100%, $E$9)</f>
        <v>11.120200000000001</v>
      </c>
      <c r="N232" s="14">
        <f>CHOOSE(CONTROL!$C$42, 11.1366, 11.1366) * CHOOSE(CONTROL!$C$21, $C$9, 100%, $E$9)</f>
        <v>11.1366</v>
      </c>
      <c r="O232" s="14">
        <f>CHOOSE(CONTROL!$C$42, 11.3507, 11.3507) * CHOOSE(CONTROL!$C$21, $C$9, 100%, $E$9)</f>
        <v>11.3507</v>
      </c>
      <c r="P232" s="14">
        <f>CHOOSE(CONTROL!$C$42, 11.167, 11.167) * CHOOSE(CONTROL!$C$21, $C$9, 100%, $E$9)</f>
        <v>11.167</v>
      </c>
      <c r="Q232" s="14">
        <f>CHOOSE(CONTROL!$C$42, 11.9454, 11.9454) * CHOOSE(CONTROL!$C$21, $C$9, 100%, $E$9)</f>
        <v>11.945399999999999</v>
      </c>
      <c r="R232" s="14">
        <f>CHOOSE(CONTROL!$C$42, 12.5623, 12.5623) * CHOOSE(CONTROL!$C$21, $C$9, 100%, $E$9)</f>
        <v>12.5623</v>
      </c>
      <c r="S232" s="14">
        <f>CHOOSE(CONTROL!$C$42, 10.8729, 10.8729) * CHOOSE(CONTROL!$C$21, $C$9, 100%, $E$9)</f>
        <v>10.8729</v>
      </c>
      <c r="T23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56">
        <f>(1000*CHOOSE(CONTROL!$C$42, 695, 695)*CHOOSE(CONTROL!$C$42, 0.5599, 0.5599)*CHOOSE(CONTROL!$C$42, 30, 30))/1000000</f>
        <v>11.673914999999997</v>
      </c>
      <c r="V232" s="56">
        <f>(1000*CHOOSE(CONTROL!$C$42, 500, 500)*CHOOSE(CONTROL!$C$42, 0.275, 0.275)*CHOOSE(CONTROL!$C$42, 30, 30))/1000000</f>
        <v>4.125</v>
      </c>
      <c r="W232" s="56">
        <f>(1000*CHOOSE(CONTROL!$C$42, 0.1146, 0.1146)*CHOOSE(CONTROL!$C$42, 121.5, 121.5)*CHOOSE(CONTROL!$C$42, 30, 30))/1000000</f>
        <v>0.417717</v>
      </c>
      <c r="X232" s="56">
        <f>(30*0.1790888*245000/1000000)+(30*0.2374*100000/1000000)</f>
        <v>2.0285026799999999</v>
      </c>
      <c r="Y232" s="56"/>
      <c r="Z232" s="14"/>
      <c r="AA232" s="55"/>
      <c r="AB232" s="49">
        <f>(B232*141.293+C232*267.993+D232*115.016+E232*89.698+F232*40+G232*185+H232*0+I232*100+J232*300)/(141.293+267.993+115.016+89.698+0+40+185+100+300)</f>
        <v>11.384620679499596</v>
      </c>
      <c r="AC232" s="44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11.195382014388489</v>
      </c>
    </row>
    <row r="233" spans="1:29" ht="15.75" x14ac:dyDescent="0.25">
      <c r="A233" s="13">
        <v>47969</v>
      </c>
      <c r="B233" s="14">
        <f>CHOOSE(CONTROL!$C$42, 11.4262, 11.4262) * CHOOSE(CONTROL!$C$21, $C$9, 100%, $E$9)</f>
        <v>11.4262</v>
      </c>
      <c r="C233" s="14">
        <f>CHOOSE(CONTROL!$C$42, 11.4343, 11.4343) * CHOOSE(CONTROL!$C$21, $C$9, 100%, $E$9)</f>
        <v>11.4343</v>
      </c>
      <c r="D233" s="14">
        <f>CHOOSE(CONTROL!$C$42, 11.6601, 11.6601) * CHOOSE(CONTROL!$C$21, $C$9, 100%, $E$9)</f>
        <v>11.6601</v>
      </c>
      <c r="E233" s="14">
        <f>CHOOSE(CONTROL!$C$42, 11.6915, 11.6915) * CHOOSE(CONTROL!$C$21, $C$9, 100%, $E$9)</f>
        <v>11.6915</v>
      </c>
      <c r="F233" s="14">
        <f>CHOOSE(CONTROL!$C$42, 11.4519, 11.4519)*CHOOSE(CONTROL!$C$21, $C$9, 100%, $E$9)</f>
        <v>11.4519</v>
      </c>
      <c r="G233" s="14">
        <f>CHOOSE(CONTROL!$C$42, 11.4689, 11.4689)*CHOOSE(CONTROL!$C$21, $C$9, 100%, $E$9)</f>
        <v>11.4689</v>
      </c>
      <c r="H233" s="14">
        <f>CHOOSE(CONTROL!$C$42, 11.6801, 11.6801) * CHOOSE(CONTROL!$C$21, $C$9, 100%, $E$9)</f>
        <v>11.680099999999999</v>
      </c>
      <c r="I233" s="14">
        <f>CHOOSE(CONTROL!$C$42, 11.4936, 11.4936)* CHOOSE(CONTROL!$C$21, $C$9, 100%, $E$9)</f>
        <v>11.493600000000001</v>
      </c>
      <c r="J233" s="14">
        <f>CHOOSE(CONTROL!$C$42, 11.4449, 11.4449)* CHOOSE(CONTROL!$C$21, $C$9, 100%, $E$9)</f>
        <v>11.444900000000001</v>
      </c>
      <c r="K233" s="52">
        <f>CHOOSE(CONTROL!$C$42, 11.4897, 11.4897) * CHOOSE(CONTROL!$C$21, $C$9, 100%, $E$9)</f>
        <v>11.489699999999999</v>
      </c>
      <c r="L233" s="14">
        <f>CHOOSE(CONTROL!$C$42, 12.2671, 12.2671) * CHOOSE(CONTROL!$C$21, $C$9, 100%, $E$9)</f>
        <v>12.267099999999999</v>
      </c>
      <c r="M233" s="14">
        <f>CHOOSE(CONTROL!$C$42, 11.2181, 11.2181) * CHOOSE(CONTROL!$C$21, $C$9, 100%, $E$9)</f>
        <v>11.2181</v>
      </c>
      <c r="N233" s="14">
        <f>CHOOSE(CONTROL!$C$42, 11.2347, 11.2347) * CHOOSE(CONTROL!$C$21, $C$9, 100%, $E$9)</f>
        <v>11.2347</v>
      </c>
      <c r="O233" s="14">
        <f>CHOOSE(CONTROL!$C$42, 11.4485, 11.4485) * CHOOSE(CONTROL!$C$21, $C$9, 100%, $E$9)</f>
        <v>11.448499999999999</v>
      </c>
      <c r="P233" s="14">
        <f>CHOOSE(CONTROL!$C$42, 11.2651, 11.2651) * CHOOSE(CONTROL!$C$21, $C$9, 100%, $E$9)</f>
        <v>11.2651</v>
      </c>
      <c r="Q233" s="14">
        <f>CHOOSE(CONTROL!$C$42, 12.0432, 12.0432) * CHOOSE(CONTROL!$C$21, $C$9, 100%, $E$9)</f>
        <v>12.043200000000001</v>
      </c>
      <c r="R233" s="14">
        <f>CHOOSE(CONTROL!$C$42, 12.6603, 12.6603) * CHOOSE(CONTROL!$C$21, $C$9, 100%, $E$9)</f>
        <v>12.660299999999999</v>
      </c>
      <c r="S233" s="14">
        <f>CHOOSE(CONTROL!$C$42, 10.9688, 10.9688) * CHOOSE(CONTROL!$C$21, $C$9, 100%, $E$9)</f>
        <v>10.9688</v>
      </c>
      <c r="T23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56">
        <f>(1000*CHOOSE(CONTROL!$C$42, 695, 695)*CHOOSE(CONTROL!$C$42, 0.5599, 0.5599)*CHOOSE(CONTROL!$C$42, 31, 31))/1000000</f>
        <v>12.063045499999998</v>
      </c>
      <c r="V233" s="56">
        <f>(1000*CHOOSE(CONTROL!$C$42, 500, 500)*CHOOSE(CONTROL!$C$42, 0.275, 0.275)*CHOOSE(CONTROL!$C$42, 31, 31))/1000000</f>
        <v>4.2625000000000002</v>
      </c>
      <c r="W233" s="56">
        <f>(1000*CHOOSE(CONTROL!$C$42, 0.1146, 0.1146)*CHOOSE(CONTROL!$C$42, 121.5, 121.5)*CHOOSE(CONTROL!$C$42, 31, 31))/1000000</f>
        <v>0.43164089999999994</v>
      </c>
      <c r="X233" s="56">
        <f>(31*0.1790888*245000/1000000)+(31*0.2374*100000/1000000)</f>
        <v>2.0961194359999999</v>
      </c>
      <c r="Y233" s="56"/>
      <c r="Z233" s="14"/>
      <c r="AA233" s="55"/>
      <c r="AB233" s="49">
        <f>(B233*194.205+C233*267.466+D233*133.845+E233*53.484+F233*40+G233*185+H233*0+I233*100+J233*300)/(194.205+267.466+133.845+53.484+0+40+185+100+300)</f>
        <v>11.480312735714287</v>
      </c>
      <c r="AC233" s="44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11.293328776978418</v>
      </c>
    </row>
    <row r="234" spans="1:29" ht="15.75" x14ac:dyDescent="0.25">
      <c r="A234" s="13">
        <v>48000</v>
      </c>
      <c r="B234" s="14">
        <f>CHOOSE(CONTROL!$C$42, 11.75, 11.75) * CHOOSE(CONTROL!$C$21, $C$9, 100%, $E$9)</f>
        <v>11.75</v>
      </c>
      <c r="C234" s="14">
        <f>CHOOSE(CONTROL!$C$42, 11.758, 11.758) * CHOOSE(CONTROL!$C$21, $C$9, 100%, $E$9)</f>
        <v>11.757999999999999</v>
      </c>
      <c r="D234" s="14">
        <f>CHOOSE(CONTROL!$C$42, 11.9838, 11.9838) * CHOOSE(CONTROL!$C$21, $C$9, 100%, $E$9)</f>
        <v>11.9838</v>
      </c>
      <c r="E234" s="14">
        <f>CHOOSE(CONTROL!$C$42, 12.0153, 12.0153) * CHOOSE(CONTROL!$C$21, $C$9, 100%, $E$9)</f>
        <v>12.0153</v>
      </c>
      <c r="F234" s="14">
        <f>CHOOSE(CONTROL!$C$42, 11.7761, 11.7761)*CHOOSE(CONTROL!$C$21, $C$9, 100%, $E$9)</f>
        <v>11.7761</v>
      </c>
      <c r="G234" s="14">
        <f>CHOOSE(CONTROL!$C$42, 11.7932, 11.7932)*CHOOSE(CONTROL!$C$21, $C$9, 100%, $E$9)</f>
        <v>11.793200000000001</v>
      </c>
      <c r="H234" s="14">
        <f>CHOOSE(CONTROL!$C$42, 12.0039, 12.0039) * CHOOSE(CONTROL!$C$21, $C$9, 100%, $E$9)</f>
        <v>12.0039</v>
      </c>
      <c r="I234" s="14">
        <f>CHOOSE(CONTROL!$C$42, 11.8184, 11.8184)* CHOOSE(CONTROL!$C$21, $C$9, 100%, $E$9)</f>
        <v>11.8184</v>
      </c>
      <c r="J234" s="14">
        <f>CHOOSE(CONTROL!$C$42, 11.7691, 11.7691)* CHOOSE(CONTROL!$C$21, $C$9, 100%, $E$9)</f>
        <v>11.7691</v>
      </c>
      <c r="K234" s="52">
        <f>CHOOSE(CONTROL!$C$42, 11.8145, 11.8145) * CHOOSE(CONTROL!$C$21, $C$9, 100%, $E$9)</f>
        <v>11.814500000000001</v>
      </c>
      <c r="L234" s="14">
        <f>CHOOSE(CONTROL!$C$42, 12.5909, 12.5909) * CHOOSE(CONTROL!$C$21, $C$9, 100%, $E$9)</f>
        <v>12.5909</v>
      </c>
      <c r="M234" s="14">
        <f>CHOOSE(CONTROL!$C$42, 11.5357, 11.5357) * CHOOSE(CONTROL!$C$21, $C$9, 100%, $E$9)</f>
        <v>11.5357</v>
      </c>
      <c r="N234" s="14">
        <f>CHOOSE(CONTROL!$C$42, 11.5524, 11.5524) * CHOOSE(CONTROL!$C$21, $C$9, 100%, $E$9)</f>
        <v>11.5524</v>
      </c>
      <c r="O234" s="14">
        <f>CHOOSE(CONTROL!$C$42, 11.7657, 11.7657) * CHOOSE(CONTROL!$C$21, $C$9, 100%, $E$9)</f>
        <v>11.765700000000001</v>
      </c>
      <c r="P234" s="14">
        <f>CHOOSE(CONTROL!$C$42, 11.5832, 11.5832) * CHOOSE(CONTROL!$C$21, $C$9, 100%, $E$9)</f>
        <v>11.5832</v>
      </c>
      <c r="Q234" s="14">
        <f>CHOOSE(CONTROL!$C$42, 12.3604, 12.3604) * CHOOSE(CONTROL!$C$21, $C$9, 100%, $E$9)</f>
        <v>12.3604</v>
      </c>
      <c r="R234" s="14">
        <f>CHOOSE(CONTROL!$C$42, 12.9783, 12.9783) * CHOOSE(CONTROL!$C$21, $C$9, 100%, $E$9)</f>
        <v>12.978300000000001</v>
      </c>
      <c r="S234" s="14">
        <f>CHOOSE(CONTROL!$C$42, 11.28, 11.28) * CHOOSE(CONTROL!$C$21, $C$9, 100%, $E$9)</f>
        <v>11.28</v>
      </c>
      <c r="T23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56">
        <f>(1000*CHOOSE(CONTROL!$C$42, 695, 695)*CHOOSE(CONTROL!$C$42, 0.5599, 0.5599)*CHOOSE(CONTROL!$C$42, 30, 30))/1000000</f>
        <v>11.673914999999997</v>
      </c>
      <c r="V234" s="56">
        <f>(1000*CHOOSE(CONTROL!$C$42, 500, 500)*CHOOSE(CONTROL!$C$42, 0.275, 0.275)*CHOOSE(CONTROL!$C$42, 30, 30))/1000000</f>
        <v>4.125</v>
      </c>
      <c r="W234" s="56">
        <f>(1000*CHOOSE(CONTROL!$C$42, 0.1146, 0.1146)*CHOOSE(CONTROL!$C$42, 121.5, 121.5)*CHOOSE(CONTROL!$C$42, 30, 30))/1000000</f>
        <v>0.417717</v>
      </c>
      <c r="X234" s="56">
        <f>(30*0.1790888*245000/1000000)+(30*0.2374*100000/1000000)</f>
        <v>2.0285026799999999</v>
      </c>
      <c r="Y234" s="56"/>
      <c r="Z234" s="14"/>
      <c r="AA234" s="55"/>
      <c r="AB234" s="49">
        <f>(B234*194.205+C234*267.466+D234*133.845+E234*53.484+F234*40+G234*185+H234*0+I234*100+J234*300)/(194.205+267.466+133.845+53.484+0+40+185+100+300)</f>
        <v>11.804339084929355</v>
      </c>
      <c r="AC234" s="44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11.610911510791368</v>
      </c>
    </row>
    <row r="235" spans="1:29" ht="15.75" x14ac:dyDescent="0.25">
      <c r="A235" s="13">
        <v>48030</v>
      </c>
      <c r="B235" s="14">
        <f>CHOOSE(CONTROL!$C$42, 11.5248, 11.5248) * CHOOSE(CONTROL!$C$21, $C$9, 100%, $E$9)</f>
        <v>11.524800000000001</v>
      </c>
      <c r="C235" s="14">
        <f>CHOOSE(CONTROL!$C$42, 11.5329, 11.5329) * CHOOSE(CONTROL!$C$21, $C$9, 100%, $E$9)</f>
        <v>11.5329</v>
      </c>
      <c r="D235" s="14">
        <f>CHOOSE(CONTROL!$C$42, 11.7586, 11.7586) * CHOOSE(CONTROL!$C$21, $C$9, 100%, $E$9)</f>
        <v>11.758599999999999</v>
      </c>
      <c r="E235" s="14">
        <f>CHOOSE(CONTROL!$C$42, 11.7901, 11.7901) * CHOOSE(CONTROL!$C$21, $C$9, 100%, $E$9)</f>
        <v>11.790100000000001</v>
      </c>
      <c r="F235" s="14">
        <f>CHOOSE(CONTROL!$C$42, 11.5514, 11.5514)*CHOOSE(CONTROL!$C$21, $C$9, 100%, $E$9)</f>
        <v>11.551399999999999</v>
      </c>
      <c r="G235" s="14">
        <f>CHOOSE(CONTROL!$C$42, 11.5686, 11.5686)*CHOOSE(CONTROL!$C$21, $C$9, 100%, $E$9)</f>
        <v>11.5686</v>
      </c>
      <c r="H235" s="14">
        <f>CHOOSE(CONTROL!$C$42, 11.7787, 11.7787) * CHOOSE(CONTROL!$C$21, $C$9, 100%, $E$9)</f>
        <v>11.778700000000001</v>
      </c>
      <c r="I235" s="14">
        <f>CHOOSE(CONTROL!$C$42, 11.5925, 11.5925)* CHOOSE(CONTROL!$C$21, $C$9, 100%, $E$9)</f>
        <v>11.592499999999999</v>
      </c>
      <c r="J235" s="14">
        <f>CHOOSE(CONTROL!$C$42, 11.5444, 11.5444)* CHOOSE(CONTROL!$C$21, $C$9, 100%, $E$9)</f>
        <v>11.5444</v>
      </c>
      <c r="K235" s="52">
        <f>CHOOSE(CONTROL!$C$42, 11.5886, 11.5886) * CHOOSE(CONTROL!$C$21, $C$9, 100%, $E$9)</f>
        <v>11.5886</v>
      </c>
      <c r="L235" s="14">
        <f>CHOOSE(CONTROL!$C$42, 12.3657, 12.3657) * CHOOSE(CONTROL!$C$21, $C$9, 100%, $E$9)</f>
        <v>12.3657</v>
      </c>
      <c r="M235" s="14">
        <f>CHOOSE(CONTROL!$C$42, 11.3156, 11.3156) * CHOOSE(CONTROL!$C$21, $C$9, 100%, $E$9)</f>
        <v>11.3156</v>
      </c>
      <c r="N235" s="14">
        <f>CHOOSE(CONTROL!$C$42, 11.3324, 11.3324) * CHOOSE(CONTROL!$C$21, $C$9, 100%, $E$9)</f>
        <v>11.3324</v>
      </c>
      <c r="O235" s="14">
        <f>CHOOSE(CONTROL!$C$42, 11.5451, 11.5451) * CHOOSE(CONTROL!$C$21, $C$9, 100%, $E$9)</f>
        <v>11.5451</v>
      </c>
      <c r="P235" s="14">
        <f>CHOOSE(CONTROL!$C$42, 11.362, 11.362) * CHOOSE(CONTROL!$C$21, $C$9, 100%, $E$9)</f>
        <v>11.362</v>
      </c>
      <c r="Q235" s="14">
        <f>CHOOSE(CONTROL!$C$42, 12.1398, 12.1398) * CHOOSE(CONTROL!$C$21, $C$9, 100%, $E$9)</f>
        <v>12.139799999999999</v>
      </c>
      <c r="R235" s="14">
        <f>CHOOSE(CONTROL!$C$42, 12.7571, 12.7571) * CHOOSE(CONTROL!$C$21, $C$9, 100%, $E$9)</f>
        <v>12.757099999999999</v>
      </c>
      <c r="S235" s="14">
        <f>CHOOSE(CONTROL!$C$42, 11.0636, 11.0636) * CHOOSE(CONTROL!$C$21, $C$9, 100%, $E$9)</f>
        <v>11.063599999999999</v>
      </c>
      <c r="T23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56">
        <f>(1000*CHOOSE(CONTROL!$C$42, 695, 695)*CHOOSE(CONTROL!$C$42, 0.5599, 0.5599)*CHOOSE(CONTROL!$C$42, 31, 31))/1000000</f>
        <v>12.063045499999998</v>
      </c>
      <c r="V235" s="56">
        <f>(1000*CHOOSE(CONTROL!$C$42, 500, 500)*CHOOSE(CONTROL!$C$42, 0.275, 0.275)*CHOOSE(CONTROL!$C$42, 31, 31))/1000000</f>
        <v>4.2625000000000002</v>
      </c>
      <c r="W235" s="56">
        <f>(1000*CHOOSE(CONTROL!$C$42, 0.1146, 0.1146)*CHOOSE(CONTROL!$C$42, 121.5, 121.5)*CHOOSE(CONTROL!$C$42, 31, 31))/1000000</f>
        <v>0.43164089999999994</v>
      </c>
      <c r="X235" s="56">
        <f>(31*0.1790888*245000/1000000)+(31*0.2374*100000/1000000)</f>
        <v>2.0961194359999999</v>
      </c>
      <c r="Y235" s="56"/>
      <c r="Z235" s="14"/>
      <c r="AA235" s="55"/>
      <c r="AB235" s="49">
        <f>(B235*194.205+C235*267.466+D235*133.845+E235*53.484+F235*40+G235*185+H235*0+I235*100+J235*300)/(194.205+267.466+133.845+53.484+0+40+185+100+300)</f>
        <v>11.579325699215069</v>
      </c>
      <c r="AC235" s="44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11.390535971223022</v>
      </c>
    </row>
    <row r="236" spans="1:29" ht="15.75" x14ac:dyDescent="0.25">
      <c r="A236" s="13">
        <v>48061</v>
      </c>
      <c r="B236" s="14">
        <f>CHOOSE(CONTROL!$C$42, 10.9561, 10.9561) * CHOOSE(CONTROL!$C$21, $C$9, 100%, $E$9)</f>
        <v>10.956099999999999</v>
      </c>
      <c r="C236" s="14">
        <f>CHOOSE(CONTROL!$C$42, 10.9642, 10.9642) * CHOOSE(CONTROL!$C$21, $C$9, 100%, $E$9)</f>
        <v>10.9642</v>
      </c>
      <c r="D236" s="14">
        <f>CHOOSE(CONTROL!$C$42, 11.19, 11.19) * CHOOSE(CONTROL!$C$21, $C$9, 100%, $E$9)</f>
        <v>11.19</v>
      </c>
      <c r="E236" s="14">
        <f>CHOOSE(CONTROL!$C$42, 11.2214, 11.2214) * CHOOSE(CONTROL!$C$21, $C$9, 100%, $E$9)</f>
        <v>11.221399999999999</v>
      </c>
      <c r="F236" s="14">
        <f>CHOOSE(CONTROL!$C$42, 10.983, 10.983)*CHOOSE(CONTROL!$C$21, $C$9, 100%, $E$9)</f>
        <v>10.983000000000001</v>
      </c>
      <c r="G236" s="14">
        <f>CHOOSE(CONTROL!$C$42, 11.0002, 11.0002)*CHOOSE(CONTROL!$C$21, $C$9, 100%, $E$9)</f>
        <v>11.0002</v>
      </c>
      <c r="H236" s="14">
        <f>CHOOSE(CONTROL!$C$42, 11.2101, 11.2101) * CHOOSE(CONTROL!$C$21, $C$9, 100%, $E$9)</f>
        <v>11.210100000000001</v>
      </c>
      <c r="I236" s="14">
        <f>CHOOSE(CONTROL!$C$42, 11.022, 11.022)* CHOOSE(CONTROL!$C$21, $C$9, 100%, $E$9)</f>
        <v>11.022</v>
      </c>
      <c r="J236" s="14">
        <f>CHOOSE(CONTROL!$C$42, 10.976, 10.976)* CHOOSE(CONTROL!$C$21, $C$9, 100%, $E$9)</f>
        <v>10.976000000000001</v>
      </c>
      <c r="K236" s="52">
        <f>CHOOSE(CONTROL!$C$42, 11.0181, 11.0181) * CHOOSE(CONTROL!$C$21, $C$9, 100%, $E$9)</f>
        <v>11.0181</v>
      </c>
      <c r="L236" s="14">
        <f>CHOOSE(CONTROL!$C$42, 11.7971, 11.7971) * CHOOSE(CONTROL!$C$21, $C$9, 100%, $E$9)</f>
        <v>11.7971</v>
      </c>
      <c r="M236" s="14">
        <f>CHOOSE(CONTROL!$C$42, 10.7588, 10.7588) * CHOOSE(CONTROL!$C$21, $C$9, 100%, $E$9)</f>
        <v>10.758800000000001</v>
      </c>
      <c r="N236" s="14">
        <f>CHOOSE(CONTROL!$C$42, 10.7757, 10.7757) * CHOOSE(CONTROL!$C$21, $C$9, 100%, $E$9)</f>
        <v>10.775700000000001</v>
      </c>
      <c r="O236" s="14">
        <f>CHOOSE(CONTROL!$C$42, 10.9881, 10.9881) * CHOOSE(CONTROL!$C$21, $C$9, 100%, $E$9)</f>
        <v>10.988099999999999</v>
      </c>
      <c r="P236" s="14">
        <f>CHOOSE(CONTROL!$C$42, 10.8032, 10.8032) * CHOOSE(CONTROL!$C$21, $C$9, 100%, $E$9)</f>
        <v>10.8032</v>
      </c>
      <c r="Q236" s="14">
        <f>CHOOSE(CONTROL!$C$42, 11.5828, 11.5828) * CHOOSE(CONTROL!$C$21, $C$9, 100%, $E$9)</f>
        <v>11.582800000000001</v>
      </c>
      <c r="R236" s="14">
        <f>CHOOSE(CONTROL!$C$42, 12.1987, 12.1987) * CHOOSE(CONTROL!$C$21, $C$9, 100%, $E$9)</f>
        <v>12.198700000000001</v>
      </c>
      <c r="S236" s="14">
        <f>CHOOSE(CONTROL!$C$42, 10.5171, 10.5171) * CHOOSE(CONTROL!$C$21, $C$9, 100%, $E$9)</f>
        <v>10.517099999999999</v>
      </c>
      <c r="T23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56">
        <f>(1000*CHOOSE(CONTROL!$C$42, 695, 695)*CHOOSE(CONTROL!$C$42, 0.5599, 0.5599)*CHOOSE(CONTROL!$C$42, 31, 31))/1000000</f>
        <v>12.063045499999998</v>
      </c>
      <c r="V236" s="56">
        <f>(1000*CHOOSE(CONTROL!$C$42, 500, 500)*CHOOSE(CONTROL!$C$42, 0.275, 0.275)*CHOOSE(CONTROL!$C$42, 31, 31))/1000000</f>
        <v>4.2625000000000002</v>
      </c>
      <c r="W236" s="56">
        <f>(1000*CHOOSE(CONTROL!$C$42, 0.1146, 0.1146)*CHOOSE(CONTROL!$C$42, 121.5, 121.5)*CHOOSE(CONTROL!$C$42, 31, 31))/1000000</f>
        <v>0.43164089999999994</v>
      </c>
      <c r="X236" s="56">
        <f>(31*0.1790888*245000/1000000)+(31*0.2374*100000/1000000)</f>
        <v>2.0961194359999999</v>
      </c>
      <c r="Y236" s="56"/>
      <c r="Z236" s="14"/>
      <c r="AA236" s="55"/>
      <c r="AB236" s="49">
        <f>(B236*194.205+C236*267.466+D236*133.845+E236*53.484+F236*40+G236*185+H236*0+I236*100+J236*300)/(194.205+267.466+133.845+53.484+0+40+185+100+300)</f>
        <v>11.010618544191525</v>
      </c>
      <c r="AC236" s="44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10.83341510791367</v>
      </c>
    </row>
    <row r="237" spans="1:29" ht="15.75" x14ac:dyDescent="0.25">
      <c r="A237" s="13">
        <v>48092</v>
      </c>
      <c r="B237" s="14">
        <f>CHOOSE(CONTROL!$C$42, 10.2611, 10.2611) * CHOOSE(CONTROL!$C$21, $C$9, 100%, $E$9)</f>
        <v>10.261100000000001</v>
      </c>
      <c r="C237" s="14">
        <f>CHOOSE(CONTROL!$C$42, 10.2691, 10.2691) * CHOOSE(CONTROL!$C$21, $C$9, 100%, $E$9)</f>
        <v>10.2691</v>
      </c>
      <c r="D237" s="14">
        <f>CHOOSE(CONTROL!$C$42, 10.4949, 10.4949) * CHOOSE(CONTROL!$C$21, $C$9, 100%, $E$9)</f>
        <v>10.494899999999999</v>
      </c>
      <c r="E237" s="14">
        <f>CHOOSE(CONTROL!$C$42, 10.5264, 10.5264) * CHOOSE(CONTROL!$C$21, $C$9, 100%, $E$9)</f>
        <v>10.526400000000001</v>
      </c>
      <c r="F237" s="14">
        <f>CHOOSE(CONTROL!$C$42, 10.2879, 10.2879)*CHOOSE(CONTROL!$C$21, $C$9, 100%, $E$9)</f>
        <v>10.2879</v>
      </c>
      <c r="G237" s="14">
        <f>CHOOSE(CONTROL!$C$42, 10.3052, 10.3052)*CHOOSE(CONTROL!$C$21, $C$9, 100%, $E$9)</f>
        <v>10.305199999999999</v>
      </c>
      <c r="H237" s="14">
        <f>CHOOSE(CONTROL!$C$42, 10.515, 10.515) * CHOOSE(CONTROL!$C$21, $C$9, 100%, $E$9)</f>
        <v>10.515000000000001</v>
      </c>
      <c r="I237" s="14">
        <f>CHOOSE(CONTROL!$C$42, 10.3248, 10.3248)* CHOOSE(CONTROL!$C$21, $C$9, 100%, $E$9)</f>
        <v>10.3248</v>
      </c>
      <c r="J237" s="14">
        <f>CHOOSE(CONTROL!$C$42, 10.2809, 10.2809)* CHOOSE(CONTROL!$C$21, $C$9, 100%, $E$9)</f>
        <v>10.280900000000001</v>
      </c>
      <c r="K237" s="52">
        <f>CHOOSE(CONTROL!$C$42, 10.3209, 10.3209) * CHOOSE(CONTROL!$C$21, $C$9, 100%, $E$9)</f>
        <v>10.3209</v>
      </c>
      <c r="L237" s="14">
        <f>CHOOSE(CONTROL!$C$42, 11.102, 11.102) * CHOOSE(CONTROL!$C$21, $C$9, 100%, $E$9)</f>
        <v>11.102</v>
      </c>
      <c r="M237" s="14">
        <f>CHOOSE(CONTROL!$C$42, 10.078, 10.078) * CHOOSE(CONTROL!$C$21, $C$9, 100%, $E$9)</f>
        <v>10.077999999999999</v>
      </c>
      <c r="N237" s="14">
        <f>CHOOSE(CONTROL!$C$42, 10.0949, 10.0949) * CHOOSE(CONTROL!$C$21, $C$9, 100%, $E$9)</f>
        <v>10.094900000000001</v>
      </c>
      <c r="O237" s="14">
        <f>CHOOSE(CONTROL!$C$42, 10.3073, 10.3073) * CHOOSE(CONTROL!$C$21, $C$9, 100%, $E$9)</f>
        <v>10.3073</v>
      </c>
      <c r="P237" s="14">
        <f>CHOOSE(CONTROL!$C$42, 10.1203, 10.1203) * CHOOSE(CONTROL!$C$21, $C$9, 100%, $E$9)</f>
        <v>10.1203</v>
      </c>
      <c r="Q237" s="14">
        <f>CHOOSE(CONTROL!$C$42, 10.902, 10.902) * CHOOSE(CONTROL!$C$21, $C$9, 100%, $E$9)</f>
        <v>10.901999999999999</v>
      </c>
      <c r="R237" s="14">
        <f>CHOOSE(CONTROL!$C$42, 11.5162, 11.5162) * CHOOSE(CONTROL!$C$21, $C$9, 100%, $E$9)</f>
        <v>11.5162</v>
      </c>
      <c r="S237" s="14">
        <f>CHOOSE(CONTROL!$C$42, 9.8493, 9.8493) * CHOOSE(CONTROL!$C$21, $C$9, 100%, $E$9)</f>
        <v>9.8492999999999995</v>
      </c>
      <c r="T23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56">
        <f>(1000*CHOOSE(CONTROL!$C$42, 695, 695)*CHOOSE(CONTROL!$C$42, 0.5599, 0.5599)*CHOOSE(CONTROL!$C$42, 30, 30))/1000000</f>
        <v>11.673914999999997</v>
      </c>
      <c r="V237" s="56">
        <f>(1000*CHOOSE(CONTROL!$C$42, 500, 500)*CHOOSE(CONTROL!$C$42, 0.275, 0.275)*CHOOSE(CONTROL!$C$42, 30, 30))/1000000</f>
        <v>4.125</v>
      </c>
      <c r="W237" s="56">
        <f>(1000*CHOOSE(CONTROL!$C$42, 0.1146, 0.1146)*CHOOSE(CONTROL!$C$42, 121.5, 121.5)*CHOOSE(CONTROL!$C$42, 30, 30))/1000000</f>
        <v>0.417717</v>
      </c>
      <c r="X237" s="56">
        <f>(30*0.1790888*245000/1000000)+(30*0.2374*100000/1000000)</f>
        <v>2.0285026799999999</v>
      </c>
      <c r="Y237" s="56"/>
      <c r="Z237" s="14"/>
      <c r="AA237" s="55"/>
      <c r="AB237" s="49">
        <f>(B237*194.205+C237*267.466+D237*133.845+E237*53.484+F237*40+G237*185+H237*0+I237*100+J237*300)/(194.205+267.466+133.845+53.484+0+40+185+100+300)</f>
        <v>10.315387672056515</v>
      </c>
      <c r="AC237" s="44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10.152312949640287</v>
      </c>
    </row>
    <row r="238" spans="1:29" ht="15.75" x14ac:dyDescent="0.25">
      <c r="A238" s="13">
        <v>48122</v>
      </c>
      <c r="B238" s="14">
        <f>CHOOSE(CONTROL!$C$42, 10.0512, 10.0512) * CHOOSE(CONTROL!$C$21, $C$9, 100%, $E$9)</f>
        <v>10.0512</v>
      </c>
      <c r="C238" s="14">
        <f>CHOOSE(CONTROL!$C$42, 10.0566, 10.0566) * CHOOSE(CONTROL!$C$21, $C$9, 100%, $E$9)</f>
        <v>10.0566</v>
      </c>
      <c r="D238" s="14">
        <f>CHOOSE(CONTROL!$C$42, 10.2873, 10.2873) * CHOOSE(CONTROL!$C$21, $C$9, 100%, $E$9)</f>
        <v>10.2873</v>
      </c>
      <c r="E238" s="14">
        <f>CHOOSE(CONTROL!$C$42, 10.3164, 10.3164) * CHOOSE(CONTROL!$C$21, $C$9, 100%, $E$9)</f>
        <v>10.3164</v>
      </c>
      <c r="F238" s="14">
        <f>CHOOSE(CONTROL!$C$42, 10.0801, 10.0801)*CHOOSE(CONTROL!$C$21, $C$9, 100%, $E$9)</f>
        <v>10.0801</v>
      </c>
      <c r="G238" s="14">
        <f>CHOOSE(CONTROL!$C$42, 10.0972, 10.0972)*CHOOSE(CONTROL!$C$21, $C$9, 100%, $E$9)</f>
        <v>10.097200000000001</v>
      </c>
      <c r="H238" s="14">
        <f>CHOOSE(CONTROL!$C$42, 10.3069, 10.3069) * CHOOSE(CONTROL!$C$21, $C$9, 100%, $E$9)</f>
        <v>10.306900000000001</v>
      </c>
      <c r="I238" s="14">
        <f>CHOOSE(CONTROL!$C$42, 10.116, 10.116)* CHOOSE(CONTROL!$C$21, $C$9, 100%, $E$9)</f>
        <v>10.116</v>
      </c>
      <c r="J238" s="14">
        <f>CHOOSE(CONTROL!$C$42, 10.0731, 10.0731)* CHOOSE(CONTROL!$C$21, $C$9, 100%, $E$9)</f>
        <v>10.0731</v>
      </c>
      <c r="K238" s="52">
        <f>CHOOSE(CONTROL!$C$42, 10.1121, 10.1121) * CHOOSE(CONTROL!$C$21, $C$9, 100%, $E$9)</f>
        <v>10.1121</v>
      </c>
      <c r="L238" s="14">
        <f>CHOOSE(CONTROL!$C$42, 10.8939, 10.8939) * CHOOSE(CONTROL!$C$21, $C$9, 100%, $E$9)</f>
        <v>10.8939</v>
      </c>
      <c r="M238" s="14">
        <f>CHOOSE(CONTROL!$C$42, 9.8744, 9.8744) * CHOOSE(CONTROL!$C$21, $C$9, 100%, $E$9)</f>
        <v>9.8743999999999996</v>
      </c>
      <c r="N238" s="14">
        <f>CHOOSE(CONTROL!$C$42, 9.8912, 9.8912) * CHOOSE(CONTROL!$C$21, $C$9, 100%, $E$9)</f>
        <v>9.8911999999999995</v>
      </c>
      <c r="O238" s="14">
        <f>CHOOSE(CONTROL!$C$42, 10.1034, 10.1034) * CHOOSE(CONTROL!$C$21, $C$9, 100%, $E$9)</f>
        <v>10.103400000000001</v>
      </c>
      <c r="P238" s="14">
        <f>CHOOSE(CONTROL!$C$42, 9.9159, 9.9159) * CHOOSE(CONTROL!$C$21, $C$9, 100%, $E$9)</f>
        <v>9.9159000000000006</v>
      </c>
      <c r="Q238" s="14">
        <f>CHOOSE(CONTROL!$C$42, 10.6981, 10.6981) * CHOOSE(CONTROL!$C$21, $C$9, 100%, $E$9)</f>
        <v>10.6981</v>
      </c>
      <c r="R238" s="14">
        <f>CHOOSE(CONTROL!$C$42, 11.3119, 11.3119) * CHOOSE(CONTROL!$C$21, $C$9, 100%, $E$9)</f>
        <v>11.3119</v>
      </c>
      <c r="S238" s="14">
        <f>CHOOSE(CONTROL!$C$42, 9.6493, 9.6493) * CHOOSE(CONTROL!$C$21, $C$9, 100%, $E$9)</f>
        <v>9.6493000000000002</v>
      </c>
      <c r="T23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56">
        <f>(1000*CHOOSE(CONTROL!$C$42, 695, 695)*CHOOSE(CONTROL!$C$42, 0.5599, 0.5599)*CHOOSE(CONTROL!$C$42, 31, 31))/1000000</f>
        <v>12.063045499999998</v>
      </c>
      <c r="V238" s="56">
        <f>(1000*CHOOSE(CONTROL!$C$42, 500, 500)*CHOOSE(CONTROL!$C$42, 0.275, 0.275)*CHOOSE(CONTROL!$C$42, 31, 31))/1000000</f>
        <v>4.2625000000000002</v>
      </c>
      <c r="W238" s="56">
        <f>(1000*CHOOSE(CONTROL!$C$42, 0.1146, 0.1146)*CHOOSE(CONTROL!$C$42, 121.5, 121.5)*CHOOSE(CONTROL!$C$42, 31, 31))/1000000</f>
        <v>0.43164089999999994</v>
      </c>
      <c r="X238" s="56">
        <f>(31*0.1790888*245000/1000000)+(31*0.2374*100000/1000000)</f>
        <v>2.0961194359999999</v>
      </c>
      <c r="Y238" s="56"/>
      <c r="Z238" s="14"/>
      <c r="AA238" s="55"/>
      <c r="AB238" s="49">
        <f>(B238*131.881+C238*277.167+D238*79.08+E238*125.872+F238*40+G238*185+H238*0+I238*100+J238*300)/(131.881+277.167+79.08+125.872+0+40+185+100+300)</f>
        <v>10.112753465859564</v>
      </c>
      <c r="AC238" s="44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9.9484906474820125</v>
      </c>
    </row>
    <row r="239" spans="1:29" ht="15.75" x14ac:dyDescent="0.25">
      <c r="A239" s="13">
        <v>48153</v>
      </c>
      <c r="B239" s="14">
        <f>CHOOSE(CONTROL!$C$42, 10.3154, 10.3154) * CHOOSE(CONTROL!$C$21, $C$9, 100%, $E$9)</f>
        <v>10.3154</v>
      </c>
      <c r="C239" s="14">
        <f>CHOOSE(CONTROL!$C$42, 10.3204, 10.3204) * CHOOSE(CONTROL!$C$21, $C$9, 100%, $E$9)</f>
        <v>10.320399999999999</v>
      </c>
      <c r="D239" s="14">
        <f>CHOOSE(CONTROL!$C$42, 10.3894, 10.3894) * CHOOSE(CONTROL!$C$21, $C$9, 100%, $E$9)</f>
        <v>10.3894</v>
      </c>
      <c r="E239" s="14">
        <f>CHOOSE(CONTROL!$C$42, 10.4235, 10.4235) * CHOOSE(CONTROL!$C$21, $C$9, 100%, $E$9)</f>
        <v>10.423500000000001</v>
      </c>
      <c r="F239" s="14">
        <f>CHOOSE(CONTROL!$C$42, 10.3509, 10.3509)*CHOOSE(CONTROL!$C$21, $C$9, 100%, $E$9)</f>
        <v>10.350899999999999</v>
      </c>
      <c r="G239" s="14">
        <f>CHOOSE(CONTROL!$C$42, 10.3683, 10.3683)*CHOOSE(CONTROL!$C$21, $C$9, 100%, $E$9)</f>
        <v>10.3683</v>
      </c>
      <c r="H239" s="14">
        <f>CHOOSE(CONTROL!$C$42, 10.4127, 10.4127) * CHOOSE(CONTROL!$C$21, $C$9, 100%, $E$9)</f>
        <v>10.412699999999999</v>
      </c>
      <c r="I239" s="14">
        <f>CHOOSE(CONTROL!$C$42, 10.384, 10.384)* CHOOSE(CONTROL!$C$21, $C$9, 100%, $E$9)</f>
        <v>10.384</v>
      </c>
      <c r="J239" s="14">
        <f>CHOOSE(CONTROL!$C$42, 10.3439, 10.3439)* CHOOSE(CONTROL!$C$21, $C$9, 100%, $E$9)</f>
        <v>10.3439</v>
      </c>
      <c r="K239" s="52">
        <f>CHOOSE(CONTROL!$C$42, 10.3801, 10.3801) * CHOOSE(CONTROL!$C$21, $C$9, 100%, $E$9)</f>
        <v>10.380100000000001</v>
      </c>
      <c r="L239" s="14">
        <f>CHOOSE(CONTROL!$C$42, 10.9997, 10.9997) * CHOOSE(CONTROL!$C$21, $C$9, 100%, $E$9)</f>
        <v>10.999700000000001</v>
      </c>
      <c r="M239" s="14">
        <f>CHOOSE(CONTROL!$C$42, 10.1397, 10.1397) * CHOOSE(CONTROL!$C$21, $C$9, 100%, $E$9)</f>
        <v>10.139699999999999</v>
      </c>
      <c r="N239" s="14">
        <f>CHOOSE(CONTROL!$C$42, 10.1567, 10.1567) * CHOOSE(CONTROL!$C$21, $C$9, 100%, $E$9)</f>
        <v>10.156700000000001</v>
      </c>
      <c r="O239" s="14">
        <f>CHOOSE(CONTROL!$C$42, 10.2071, 10.2071) * CHOOSE(CONTROL!$C$21, $C$9, 100%, $E$9)</f>
        <v>10.207100000000001</v>
      </c>
      <c r="P239" s="14">
        <f>CHOOSE(CONTROL!$C$42, 10.1783, 10.1783) * CHOOSE(CONTROL!$C$21, $C$9, 100%, $E$9)</f>
        <v>10.1783</v>
      </c>
      <c r="Q239" s="14">
        <f>CHOOSE(CONTROL!$C$42, 10.8018, 10.8018) * CHOOSE(CONTROL!$C$21, $C$9, 100%, $E$9)</f>
        <v>10.8018</v>
      </c>
      <c r="R239" s="14">
        <f>CHOOSE(CONTROL!$C$42, 11.4158, 11.4158) * CHOOSE(CONTROL!$C$21, $C$9, 100%, $E$9)</f>
        <v>11.415800000000001</v>
      </c>
      <c r="S239" s="14">
        <f>CHOOSE(CONTROL!$C$42, 9.9035, 9.9035) * CHOOSE(CONTROL!$C$21, $C$9, 100%, $E$9)</f>
        <v>9.9034999999999993</v>
      </c>
      <c r="T23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56">
        <f>(1000*CHOOSE(CONTROL!$C$42, 695, 695)*CHOOSE(CONTROL!$C$42, 0.5599, 0.5599)*CHOOSE(CONTROL!$C$42, 30, 30))/1000000</f>
        <v>11.673914999999997</v>
      </c>
      <c r="V239" s="56">
        <f>(1000*CHOOSE(CONTROL!$C$42, 500, 500)*CHOOSE(CONTROL!$C$42, 0.275, 0.275)*CHOOSE(CONTROL!$C$42, 30, 30))/1000000</f>
        <v>4.125</v>
      </c>
      <c r="W239" s="56">
        <f>(1000*CHOOSE(CONTROL!$C$42, 0.1146, 0.1146)*CHOOSE(CONTROL!$C$42, 121.5, 121.5)*CHOOSE(CONTROL!$C$42, 30, 30))/1000000</f>
        <v>0.417717</v>
      </c>
      <c r="X239" s="56">
        <f>(30*0.1790888*100000/1000000)+(30*0.2374*100000/1000000)</f>
        <v>1.2494664</v>
      </c>
      <c r="Y239" s="56"/>
      <c r="Z239" s="14"/>
      <c r="AA239" s="55"/>
      <c r="AB239" s="49">
        <f>(B239*122.58+C239*297.941+D239*89.177+E239*40.302+F239*40+G239*160+H239*0+I239*100+J239*300)/(122.58+297.941+89.177+40.302+0+40+160+100+300)</f>
        <v>10.348216912347826</v>
      </c>
      <c r="AC239" s="44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10.176780575539567</v>
      </c>
    </row>
    <row r="240" spans="1:29" ht="15.75" x14ac:dyDescent="0.25">
      <c r="A240" s="13">
        <v>48183</v>
      </c>
      <c r="B240" s="14">
        <f>CHOOSE(CONTROL!$C$42, 11.018, 11.018) * CHOOSE(CONTROL!$C$21, $C$9, 100%, $E$9)</f>
        <v>11.018000000000001</v>
      </c>
      <c r="C240" s="14">
        <f>CHOOSE(CONTROL!$C$42, 11.0231, 11.0231) * CHOOSE(CONTROL!$C$21, $C$9, 100%, $E$9)</f>
        <v>11.023099999999999</v>
      </c>
      <c r="D240" s="14">
        <f>CHOOSE(CONTROL!$C$42, 11.0921, 11.0921) * CHOOSE(CONTROL!$C$21, $C$9, 100%, $E$9)</f>
        <v>11.0921</v>
      </c>
      <c r="E240" s="14">
        <f>CHOOSE(CONTROL!$C$42, 11.1262, 11.1262) * CHOOSE(CONTROL!$C$21, $C$9, 100%, $E$9)</f>
        <v>11.126200000000001</v>
      </c>
      <c r="F240" s="14">
        <f>CHOOSE(CONTROL!$C$42, 11.0558, 11.0558)*CHOOSE(CONTROL!$C$21, $C$9, 100%, $E$9)</f>
        <v>11.0558</v>
      </c>
      <c r="G240" s="14">
        <f>CHOOSE(CONTROL!$C$42, 11.0738, 11.0738)*CHOOSE(CONTROL!$C$21, $C$9, 100%, $E$9)</f>
        <v>11.0738</v>
      </c>
      <c r="H240" s="14">
        <f>CHOOSE(CONTROL!$C$42, 11.1154, 11.1154) * CHOOSE(CONTROL!$C$21, $C$9, 100%, $E$9)</f>
        <v>11.115399999999999</v>
      </c>
      <c r="I240" s="14">
        <f>CHOOSE(CONTROL!$C$42, 11.0888, 11.0888)* CHOOSE(CONTROL!$C$21, $C$9, 100%, $E$9)</f>
        <v>11.088800000000001</v>
      </c>
      <c r="J240" s="14">
        <f>CHOOSE(CONTROL!$C$42, 11.0488, 11.0488)* CHOOSE(CONTROL!$C$21, $C$9, 100%, $E$9)</f>
        <v>11.0488</v>
      </c>
      <c r="K240" s="52">
        <f>CHOOSE(CONTROL!$C$42, 11.0849, 11.0849) * CHOOSE(CONTROL!$C$21, $C$9, 100%, $E$9)</f>
        <v>11.084899999999999</v>
      </c>
      <c r="L240" s="14">
        <f>CHOOSE(CONTROL!$C$42, 11.7024, 11.7024) * CHOOSE(CONTROL!$C$21, $C$9, 100%, $E$9)</f>
        <v>11.702400000000001</v>
      </c>
      <c r="M240" s="14">
        <f>CHOOSE(CONTROL!$C$42, 10.8301, 10.8301) * CHOOSE(CONTROL!$C$21, $C$9, 100%, $E$9)</f>
        <v>10.8301</v>
      </c>
      <c r="N240" s="14">
        <f>CHOOSE(CONTROL!$C$42, 10.8478, 10.8478) * CHOOSE(CONTROL!$C$21, $C$9, 100%, $E$9)</f>
        <v>10.847799999999999</v>
      </c>
      <c r="O240" s="14">
        <f>CHOOSE(CONTROL!$C$42, 10.8953, 10.8953) * CHOOSE(CONTROL!$C$21, $C$9, 100%, $E$9)</f>
        <v>10.895300000000001</v>
      </c>
      <c r="P240" s="14">
        <f>CHOOSE(CONTROL!$C$42, 10.8687, 10.8687) * CHOOSE(CONTROL!$C$21, $C$9, 100%, $E$9)</f>
        <v>10.8687</v>
      </c>
      <c r="Q240" s="14">
        <f>CHOOSE(CONTROL!$C$42, 11.49, 11.49) * CHOOSE(CONTROL!$C$21, $C$9, 100%, $E$9)</f>
        <v>11.49</v>
      </c>
      <c r="R240" s="14">
        <f>CHOOSE(CONTROL!$C$42, 12.1057, 12.1057) * CHOOSE(CONTROL!$C$21, $C$9, 100%, $E$9)</f>
        <v>12.105700000000001</v>
      </c>
      <c r="S240" s="14">
        <f>CHOOSE(CONTROL!$C$42, 10.5786, 10.5786) * CHOOSE(CONTROL!$C$21, $C$9, 100%, $E$9)</f>
        <v>10.5786</v>
      </c>
      <c r="T24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56">
        <f>(1000*CHOOSE(CONTROL!$C$42, 695, 695)*CHOOSE(CONTROL!$C$42, 0.5599, 0.5599)*CHOOSE(CONTROL!$C$42, 31, 31))/1000000</f>
        <v>12.063045499999998</v>
      </c>
      <c r="V240" s="56">
        <f>(1000*CHOOSE(CONTROL!$C$42, 500, 500)*CHOOSE(CONTROL!$C$42, 0.275, 0.275)*CHOOSE(CONTROL!$C$42, 31, 31))/1000000</f>
        <v>4.2625000000000002</v>
      </c>
      <c r="W240" s="56">
        <f>(1000*CHOOSE(CONTROL!$C$42, 0.1146, 0.1146)*CHOOSE(CONTROL!$C$42, 121.5, 121.5)*CHOOSE(CONTROL!$C$42, 31, 31))/1000000</f>
        <v>0.43164089999999994</v>
      </c>
      <c r="X240" s="56">
        <f>(31*0.1790888*100000/1000000)+(31*0.2374*100000/1000000)</f>
        <v>1.2911152800000001</v>
      </c>
      <c r="Y240" s="56"/>
      <c r="Z240" s="14"/>
      <c r="AA240" s="55"/>
      <c r="AB240" s="49">
        <f>(B240*122.58+C240*297.941+D240*89.177+E240*40.302+F240*40+G240*160+H240*0+I240*100+J240*300)/(122.58+297.941+89.177+40.302+0+40+160+100+300)</f>
        <v>11.052128861913044</v>
      </c>
      <c r="AC240" s="44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10.866223741007195</v>
      </c>
    </row>
    <row r="241" spans="1:29" ht="15.75" x14ac:dyDescent="0.25">
      <c r="A241" s="13">
        <v>48214</v>
      </c>
      <c r="B241" s="14">
        <f>CHOOSE(CONTROL!$C$42, 11.9306, 11.9306) * CHOOSE(CONTROL!$C$21, $C$9, 100%, $E$9)</f>
        <v>11.9306</v>
      </c>
      <c r="C241" s="14">
        <f>CHOOSE(CONTROL!$C$42, 11.9357, 11.9357) * CHOOSE(CONTROL!$C$21, $C$9, 100%, $E$9)</f>
        <v>11.935700000000001</v>
      </c>
      <c r="D241" s="14">
        <f>CHOOSE(CONTROL!$C$42, 12.0151, 12.0151) * CHOOSE(CONTROL!$C$21, $C$9, 100%, $E$9)</f>
        <v>12.0151</v>
      </c>
      <c r="E241" s="14">
        <f>CHOOSE(CONTROL!$C$42, 12.0492, 12.0492) * CHOOSE(CONTROL!$C$21, $C$9, 100%, $E$9)</f>
        <v>12.049200000000001</v>
      </c>
      <c r="F241" s="14">
        <f>CHOOSE(CONTROL!$C$42, 11.9536, 11.9536)*CHOOSE(CONTROL!$C$21, $C$9, 100%, $E$9)</f>
        <v>11.9536</v>
      </c>
      <c r="G241" s="14">
        <f>CHOOSE(CONTROL!$C$42, 11.9711, 11.9711)*CHOOSE(CONTROL!$C$21, $C$9, 100%, $E$9)</f>
        <v>11.9711</v>
      </c>
      <c r="H241" s="14">
        <f>CHOOSE(CONTROL!$C$42, 12.0384, 12.0384) * CHOOSE(CONTROL!$C$21, $C$9, 100%, $E$9)</f>
        <v>12.038399999999999</v>
      </c>
      <c r="I241" s="14">
        <f>CHOOSE(CONTROL!$C$42, 12.0032, 12.0032)* CHOOSE(CONTROL!$C$21, $C$9, 100%, $E$9)</f>
        <v>12.0032</v>
      </c>
      <c r="J241" s="14">
        <f>CHOOSE(CONTROL!$C$42, 11.9466, 11.9466)* CHOOSE(CONTROL!$C$21, $C$9, 100%, $E$9)</f>
        <v>11.9466</v>
      </c>
      <c r="K241" s="52">
        <f>CHOOSE(CONTROL!$C$42, 11.9994, 11.9994) * CHOOSE(CONTROL!$C$21, $C$9, 100%, $E$9)</f>
        <v>11.9994</v>
      </c>
      <c r="L241" s="14">
        <f>CHOOSE(CONTROL!$C$42, 12.6254, 12.6254) * CHOOSE(CONTROL!$C$21, $C$9, 100%, $E$9)</f>
        <v>12.625400000000001</v>
      </c>
      <c r="M241" s="14">
        <f>CHOOSE(CONTROL!$C$42, 11.7095, 11.7095) * CHOOSE(CONTROL!$C$21, $C$9, 100%, $E$9)</f>
        <v>11.7095</v>
      </c>
      <c r="N241" s="14">
        <f>CHOOSE(CONTROL!$C$42, 11.7267, 11.7267) * CHOOSE(CONTROL!$C$21, $C$9, 100%, $E$9)</f>
        <v>11.726699999999999</v>
      </c>
      <c r="O241" s="14">
        <f>CHOOSE(CONTROL!$C$42, 11.7994, 11.7994) * CHOOSE(CONTROL!$C$21, $C$9, 100%, $E$9)</f>
        <v>11.7994</v>
      </c>
      <c r="P241" s="14">
        <f>CHOOSE(CONTROL!$C$42, 11.7643, 11.7643) * CHOOSE(CONTROL!$C$21, $C$9, 100%, $E$9)</f>
        <v>11.7643</v>
      </c>
      <c r="Q241" s="14">
        <f>CHOOSE(CONTROL!$C$42, 12.3941, 12.3941) * CHOOSE(CONTROL!$C$21, $C$9, 100%, $E$9)</f>
        <v>12.3941</v>
      </c>
      <c r="R241" s="14">
        <f>CHOOSE(CONTROL!$C$42, 13.0121, 13.0121) * CHOOSE(CONTROL!$C$21, $C$9, 100%, $E$9)</f>
        <v>13.0121</v>
      </c>
      <c r="S241" s="14">
        <f>CHOOSE(CONTROL!$C$42, 11.4556, 11.4556) * CHOOSE(CONTROL!$C$21, $C$9, 100%, $E$9)</f>
        <v>11.4556</v>
      </c>
      <c r="T24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56">
        <f>(1000*CHOOSE(CONTROL!$C$42, 695, 695)*CHOOSE(CONTROL!$C$42, 0.5599, 0.5599)*CHOOSE(CONTROL!$C$42, 31, 31))/1000000</f>
        <v>12.063045499999998</v>
      </c>
      <c r="V241" s="56">
        <f>(1000*CHOOSE(CONTROL!$C$42, 500, 500)*CHOOSE(CONTROL!$C$42, 0.275, 0.275)*CHOOSE(CONTROL!$C$42, 31, 31))/1000000</f>
        <v>4.2625000000000002</v>
      </c>
      <c r="W241" s="56">
        <f>(1000*CHOOSE(CONTROL!$C$42, 0.1146, 0.1146)*CHOOSE(CONTROL!$C$42, 121.5, 121.5)*CHOOSE(CONTROL!$C$42, 31, 31))/1000000</f>
        <v>0.43164089999999994</v>
      </c>
      <c r="X241" s="56">
        <f>(31*0.1790888*100000/1000000)+(31*0.2374*100000/1000000)</f>
        <v>1.2911152800000001</v>
      </c>
      <c r="Y241" s="56"/>
      <c r="Z241" s="14"/>
      <c r="AA241" s="55"/>
      <c r="AB241" s="49">
        <f>(B241*122.58+C241*297.941+D241*89.177+E241*40.302+F241*40+G241*160+H241*0+I241*100+J241*300)/(122.58+297.941+89.177+40.302+0+40+160+100+300)</f>
        <v>11.959551976347825</v>
      </c>
      <c r="AC241" s="44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11.759120863309352</v>
      </c>
    </row>
    <row r="242" spans="1:29" ht="15.75" x14ac:dyDescent="0.25">
      <c r="A242" s="13">
        <v>48245</v>
      </c>
      <c r="B242" s="14">
        <f>CHOOSE(CONTROL!$C$42, 12.1428, 12.1428) * CHOOSE(CONTROL!$C$21, $C$9, 100%, $E$9)</f>
        <v>12.142799999999999</v>
      </c>
      <c r="C242" s="14">
        <f>CHOOSE(CONTROL!$C$42, 12.1479, 12.1479) * CHOOSE(CONTROL!$C$21, $C$9, 100%, $E$9)</f>
        <v>12.1479</v>
      </c>
      <c r="D242" s="14">
        <f>CHOOSE(CONTROL!$C$42, 12.2273, 12.2273) * CHOOSE(CONTROL!$C$21, $C$9, 100%, $E$9)</f>
        <v>12.2273</v>
      </c>
      <c r="E242" s="14">
        <f>CHOOSE(CONTROL!$C$42, 12.2614, 12.2614) * CHOOSE(CONTROL!$C$21, $C$9, 100%, $E$9)</f>
        <v>12.2614</v>
      </c>
      <c r="F242" s="14">
        <f>CHOOSE(CONTROL!$C$42, 12.1656, 12.1656)*CHOOSE(CONTROL!$C$21, $C$9, 100%, $E$9)</f>
        <v>12.1656</v>
      </c>
      <c r="G242" s="14">
        <f>CHOOSE(CONTROL!$C$42, 12.183, 12.183)*CHOOSE(CONTROL!$C$21, $C$9, 100%, $E$9)</f>
        <v>12.183</v>
      </c>
      <c r="H242" s="14">
        <f>CHOOSE(CONTROL!$C$42, 12.2506, 12.2506) * CHOOSE(CONTROL!$C$21, $C$9, 100%, $E$9)</f>
        <v>12.2506</v>
      </c>
      <c r="I242" s="14">
        <f>CHOOSE(CONTROL!$C$42, 12.2161, 12.2161)* CHOOSE(CONTROL!$C$21, $C$9, 100%, $E$9)</f>
        <v>12.216100000000001</v>
      </c>
      <c r="J242" s="14">
        <f>CHOOSE(CONTROL!$C$42, 12.1586, 12.1586)* CHOOSE(CONTROL!$C$21, $C$9, 100%, $E$9)</f>
        <v>12.1586</v>
      </c>
      <c r="K242" s="52">
        <f>CHOOSE(CONTROL!$C$42, 12.2122, 12.2122) * CHOOSE(CONTROL!$C$21, $C$9, 100%, $E$9)</f>
        <v>12.212199999999999</v>
      </c>
      <c r="L242" s="14">
        <f>CHOOSE(CONTROL!$C$42, 12.8376, 12.8376) * CHOOSE(CONTROL!$C$21, $C$9, 100%, $E$9)</f>
        <v>12.8376</v>
      </c>
      <c r="M242" s="14">
        <f>CHOOSE(CONTROL!$C$42, 11.9172, 11.9172) * CHOOSE(CONTROL!$C$21, $C$9, 100%, $E$9)</f>
        <v>11.917199999999999</v>
      </c>
      <c r="N242" s="14">
        <f>CHOOSE(CONTROL!$C$42, 11.9343, 11.9343) * CHOOSE(CONTROL!$C$21, $C$9, 100%, $E$9)</f>
        <v>11.9343</v>
      </c>
      <c r="O242" s="14">
        <f>CHOOSE(CONTROL!$C$42, 12.0073, 12.0073) * CHOOSE(CONTROL!$C$21, $C$9, 100%, $E$9)</f>
        <v>12.007300000000001</v>
      </c>
      <c r="P242" s="14">
        <f>CHOOSE(CONTROL!$C$42, 11.9728, 11.9728) * CHOOSE(CONTROL!$C$21, $C$9, 100%, $E$9)</f>
        <v>11.972799999999999</v>
      </c>
      <c r="Q242" s="14">
        <f>CHOOSE(CONTROL!$C$42, 12.602, 12.602) * CHOOSE(CONTROL!$C$21, $C$9, 100%, $E$9)</f>
        <v>12.602</v>
      </c>
      <c r="R242" s="14">
        <f>CHOOSE(CONTROL!$C$42, 13.2205, 13.2205) * CHOOSE(CONTROL!$C$21, $C$9, 100%, $E$9)</f>
        <v>13.220499999999999</v>
      </c>
      <c r="S242" s="14">
        <f>CHOOSE(CONTROL!$C$42, 11.6595, 11.6595) * CHOOSE(CONTROL!$C$21, $C$9, 100%, $E$9)</f>
        <v>11.6595</v>
      </c>
      <c r="T242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42" s="56">
        <f>(1000*CHOOSE(CONTROL!$C$42, 695, 695)*CHOOSE(CONTROL!$C$42, 0.5599, 0.5599)*CHOOSE(CONTROL!$C$42, 29, 29))/1000000</f>
        <v>11.284784499999999</v>
      </c>
      <c r="V242" s="56">
        <f>(1000*CHOOSE(CONTROL!$C$42, 500, 500)*CHOOSE(CONTROL!$C$42, 0.275, 0.275)*CHOOSE(CONTROL!$C$42, 29, 29))/1000000</f>
        <v>3.9874999999999998</v>
      </c>
      <c r="W242" s="56">
        <f>(1000*CHOOSE(CONTROL!$C$42, 0.1146, 0.1146)*CHOOSE(CONTROL!$C$42, 121.5, 121.5)*CHOOSE(CONTROL!$C$42, 29, 29))/1000000</f>
        <v>0.40379309999999996</v>
      </c>
      <c r="X242" s="56">
        <f>(29*0.1790888*100000/1000000)+(29*0.2374*100000/1000000)</f>
        <v>1.2078175199999999</v>
      </c>
      <c r="Y242" s="56"/>
      <c r="Z242" s="14"/>
      <c r="AA242" s="55"/>
      <c r="AB242" s="49">
        <f>(B242*122.58+C242*297.941+D242*89.177+E242*40.302+F242*40+G242*160+H242*0+I242*100+J242*300)/(122.58+297.941+89.177+40.302+0+40+160+100+300)</f>
        <v>12.171711976347826</v>
      </c>
      <c r="AC242" s="44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11.967020863309353</v>
      </c>
    </row>
    <row r="243" spans="1:29" ht="15.75" x14ac:dyDescent="0.25">
      <c r="A243" s="13">
        <v>48274</v>
      </c>
      <c r="B243" s="14">
        <f>CHOOSE(CONTROL!$C$42, 11.7983, 11.7983) * CHOOSE(CONTROL!$C$21, $C$9, 100%, $E$9)</f>
        <v>11.798299999999999</v>
      </c>
      <c r="C243" s="14">
        <f>CHOOSE(CONTROL!$C$42, 11.8034, 11.8034) * CHOOSE(CONTROL!$C$21, $C$9, 100%, $E$9)</f>
        <v>11.8034</v>
      </c>
      <c r="D243" s="14">
        <f>CHOOSE(CONTROL!$C$42, 11.8828, 11.8828) * CHOOSE(CONTROL!$C$21, $C$9, 100%, $E$9)</f>
        <v>11.8828</v>
      </c>
      <c r="E243" s="14">
        <f>CHOOSE(CONTROL!$C$42, 11.9169, 11.9169) * CHOOSE(CONTROL!$C$21, $C$9, 100%, $E$9)</f>
        <v>11.9169</v>
      </c>
      <c r="F243" s="14">
        <f>CHOOSE(CONTROL!$C$42, 11.8204, 11.8204)*CHOOSE(CONTROL!$C$21, $C$9, 100%, $E$9)</f>
        <v>11.820399999999999</v>
      </c>
      <c r="G243" s="14">
        <f>CHOOSE(CONTROL!$C$42, 11.8376, 11.8376)*CHOOSE(CONTROL!$C$21, $C$9, 100%, $E$9)</f>
        <v>11.8376</v>
      </c>
      <c r="H243" s="14">
        <f>CHOOSE(CONTROL!$C$42, 11.9061, 11.9061) * CHOOSE(CONTROL!$C$21, $C$9, 100%, $E$9)</f>
        <v>11.9061</v>
      </c>
      <c r="I243" s="14">
        <f>CHOOSE(CONTROL!$C$42, 11.8706, 11.8706)* CHOOSE(CONTROL!$C$21, $C$9, 100%, $E$9)</f>
        <v>11.8706</v>
      </c>
      <c r="J243" s="14">
        <f>CHOOSE(CONTROL!$C$42, 11.8134, 11.8134)* CHOOSE(CONTROL!$C$21, $C$9, 100%, $E$9)</f>
        <v>11.8134</v>
      </c>
      <c r="K243" s="52">
        <f>CHOOSE(CONTROL!$C$42, 11.8667, 11.8667) * CHOOSE(CONTROL!$C$21, $C$9, 100%, $E$9)</f>
        <v>11.8667</v>
      </c>
      <c r="L243" s="14">
        <f>CHOOSE(CONTROL!$C$42, 12.4931, 12.4931) * CHOOSE(CONTROL!$C$21, $C$9, 100%, $E$9)</f>
        <v>12.4931</v>
      </c>
      <c r="M243" s="14">
        <f>CHOOSE(CONTROL!$C$42, 11.579, 11.579) * CHOOSE(CONTROL!$C$21, $C$9, 100%, $E$9)</f>
        <v>11.579000000000001</v>
      </c>
      <c r="N243" s="14">
        <f>CHOOSE(CONTROL!$C$42, 11.5959, 11.5959) * CHOOSE(CONTROL!$C$21, $C$9, 100%, $E$9)</f>
        <v>11.5959</v>
      </c>
      <c r="O243" s="14">
        <f>CHOOSE(CONTROL!$C$42, 11.6699, 11.6699) * CHOOSE(CONTROL!$C$21, $C$9, 100%, $E$9)</f>
        <v>11.6699</v>
      </c>
      <c r="P243" s="14">
        <f>CHOOSE(CONTROL!$C$42, 11.6344, 11.6344) * CHOOSE(CONTROL!$C$21, $C$9, 100%, $E$9)</f>
        <v>11.634399999999999</v>
      </c>
      <c r="Q243" s="14">
        <f>CHOOSE(CONTROL!$C$42, 12.2646, 12.2646) * CHOOSE(CONTROL!$C$21, $C$9, 100%, $E$9)</f>
        <v>12.2646</v>
      </c>
      <c r="R243" s="14">
        <f>CHOOSE(CONTROL!$C$42, 12.8822, 12.8822) * CHOOSE(CONTROL!$C$21, $C$9, 100%, $E$9)</f>
        <v>12.882199999999999</v>
      </c>
      <c r="S243" s="14">
        <f>CHOOSE(CONTROL!$C$42, 11.3285, 11.3285) * CHOOSE(CONTROL!$C$21, $C$9, 100%, $E$9)</f>
        <v>11.3285</v>
      </c>
      <c r="T24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56">
        <f>(1000*CHOOSE(CONTROL!$C$42, 695, 695)*CHOOSE(CONTROL!$C$42, 0.5599, 0.5599)*CHOOSE(CONTROL!$C$42, 31, 31))/1000000</f>
        <v>12.063045499999998</v>
      </c>
      <c r="V243" s="56">
        <f>(1000*CHOOSE(CONTROL!$C$42, 500, 500)*CHOOSE(CONTROL!$C$42, 0.275, 0.275)*CHOOSE(CONTROL!$C$42, 31, 31))/1000000</f>
        <v>4.2625000000000002</v>
      </c>
      <c r="W243" s="56">
        <f>(1000*CHOOSE(CONTROL!$C$42, 0.1146, 0.1146)*CHOOSE(CONTROL!$C$42, 121.5, 121.5)*CHOOSE(CONTROL!$C$42, 31, 31))/1000000</f>
        <v>0.43164089999999994</v>
      </c>
      <c r="X243" s="56">
        <f>(31*0.1790888*100000/1000000)+(31*0.2374*100000/1000000)</f>
        <v>1.2911152800000001</v>
      </c>
      <c r="Y243" s="56"/>
      <c r="Z243" s="14"/>
      <c r="AA243" s="55"/>
      <c r="AB243" s="49">
        <f>(B243*122.58+C243*297.941+D243*89.177+E243*40.302+F243*40+G243*160+H243*0+I243*100+J243*300)/(122.58+297.941+89.177+40.302+0+40+160+100+300)</f>
        <v>11.826792845913044</v>
      </c>
      <c r="AC243" s="44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11.629143165467628</v>
      </c>
    </row>
    <row r="244" spans="1:29" ht="15.75" x14ac:dyDescent="0.25">
      <c r="A244" s="13">
        <v>48305</v>
      </c>
      <c r="B244" s="14">
        <f>CHOOSE(CONTROL!$C$42, 11.7641, 11.7641) * CHOOSE(CONTROL!$C$21, $C$9, 100%, $E$9)</f>
        <v>11.764099999999999</v>
      </c>
      <c r="C244" s="14">
        <f>CHOOSE(CONTROL!$C$42, 11.7685, 11.7685) * CHOOSE(CONTROL!$C$21, $C$9, 100%, $E$9)</f>
        <v>11.7685</v>
      </c>
      <c r="D244" s="14">
        <f>CHOOSE(CONTROL!$C$42, 11.9975, 11.9975) * CHOOSE(CONTROL!$C$21, $C$9, 100%, $E$9)</f>
        <v>11.9975</v>
      </c>
      <c r="E244" s="14">
        <f>CHOOSE(CONTROL!$C$42, 12.0296, 12.0296) * CHOOSE(CONTROL!$C$21, $C$9, 100%, $E$9)</f>
        <v>12.0296</v>
      </c>
      <c r="F244" s="14">
        <f>CHOOSE(CONTROL!$C$42, 11.7911, 11.7911)*CHOOSE(CONTROL!$C$21, $C$9, 100%, $E$9)</f>
        <v>11.7911</v>
      </c>
      <c r="G244" s="14">
        <f>CHOOSE(CONTROL!$C$42, 11.8078, 11.8078)*CHOOSE(CONTROL!$C$21, $C$9, 100%, $E$9)</f>
        <v>11.8078</v>
      </c>
      <c r="H244" s="14">
        <f>CHOOSE(CONTROL!$C$42, 12.0194, 12.0194) * CHOOSE(CONTROL!$C$21, $C$9, 100%, $E$9)</f>
        <v>12.019399999999999</v>
      </c>
      <c r="I244" s="14">
        <f>CHOOSE(CONTROL!$C$42, 11.8338, 11.8338)* CHOOSE(CONTROL!$C$21, $C$9, 100%, $E$9)</f>
        <v>11.8338</v>
      </c>
      <c r="J244" s="14">
        <f>CHOOSE(CONTROL!$C$42, 11.7841, 11.7841)* CHOOSE(CONTROL!$C$21, $C$9, 100%, $E$9)</f>
        <v>11.7841</v>
      </c>
      <c r="K244" s="52">
        <f>CHOOSE(CONTROL!$C$42, 11.8299, 11.8299) * CHOOSE(CONTROL!$C$21, $C$9, 100%, $E$9)</f>
        <v>11.8299</v>
      </c>
      <c r="L244" s="14">
        <f>CHOOSE(CONTROL!$C$42, 12.6064, 12.6064) * CHOOSE(CONTROL!$C$21, $C$9, 100%, $E$9)</f>
        <v>12.606400000000001</v>
      </c>
      <c r="M244" s="14">
        <f>CHOOSE(CONTROL!$C$42, 11.5503, 11.5503) * CHOOSE(CONTROL!$C$21, $C$9, 100%, $E$9)</f>
        <v>11.5503</v>
      </c>
      <c r="N244" s="14">
        <f>CHOOSE(CONTROL!$C$42, 11.5667, 11.5667) * CHOOSE(CONTROL!$C$21, $C$9, 100%, $E$9)</f>
        <v>11.566700000000001</v>
      </c>
      <c r="O244" s="14">
        <f>CHOOSE(CONTROL!$C$42, 11.7808, 11.7808) * CHOOSE(CONTROL!$C$21, $C$9, 100%, $E$9)</f>
        <v>11.780799999999999</v>
      </c>
      <c r="P244" s="14">
        <f>CHOOSE(CONTROL!$C$42, 11.5984, 11.5984) * CHOOSE(CONTROL!$C$21, $C$9, 100%, $E$9)</f>
        <v>11.5984</v>
      </c>
      <c r="Q244" s="14">
        <f>CHOOSE(CONTROL!$C$42, 12.3755, 12.3755) * CHOOSE(CONTROL!$C$21, $C$9, 100%, $E$9)</f>
        <v>12.375500000000001</v>
      </c>
      <c r="R244" s="14">
        <f>CHOOSE(CONTROL!$C$42, 12.9934, 12.9934) * CHOOSE(CONTROL!$C$21, $C$9, 100%, $E$9)</f>
        <v>12.993399999999999</v>
      </c>
      <c r="S244" s="14">
        <f>CHOOSE(CONTROL!$C$42, 11.2948, 11.2948) * CHOOSE(CONTROL!$C$21, $C$9, 100%, $E$9)</f>
        <v>11.2948</v>
      </c>
      <c r="T24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56">
        <f>(1000*CHOOSE(CONTROL!$C$42, 695, 695)*CHOOSE(CONTROL!$C$42, 0.5599, 0.5599)*CHOOSE(CONTROL!$C$42, 30, 30))/1000000</f>
        <v>11.673914999999997</v>
      </c>
      <c r="V244" s="56">
        <f>(1000*CHOOSE(CONTROL!$C$42, 500, 500)*CHOOSE(CONTROL!$C$42, 0.275, 0.275)*CHOOSE(CONTROL!$C$42, 30, 30))/1000000</f>
        <v>4.125</v>
      </c>
      <c r="W244" s="56">
        <f>(1000*CHOOSE(CONTROL!$C$42, 0.1146, 0.1146)*CHOOSE(CONTROL!$C$42, 121.5, 121.5)*CHOOSE(CONTROL!$C$42, 30, 30))/1000000</f>
        <v>0.417717</v>
      </c>
      <c r="X244" s="56">
        <f>(30*0.1790888*245000/1000000)+(30*0.2374*100000/1000000)</f>
        <v>2.0285026799999999</v>
      </c>
      <c r="Y244" s="56"/>
      <c r="Z244" s="14"/>
      <c r="AA244" s="55"/>
      <c r="AB244" s="49">
        <f>(B244*141.293+C244*267.993+D244*115.016+E244*89.698+F244*40+G244*185+H244*0+I244*100+J244*300)/(141.293+267.993+115.016+89.698+0+40+185+100+300)</f>
        <v>11.823803973042777</v>
      </c>
      <c r="AC244" s="44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11.625669064748202</v>
      </c>
    </row>
    <row r="245" spans="1:29" ht="15.75" x14ac:dyDescent="0.25">
      <c r="A245" s="13">
        <v>48335</v>
      </c>
      <c r="B245" s="14">
        <f>CHOOSE(CONTROL!$C$42, 11.8692, 11.8692) * CHOOSE(CONTROL!$C$21, $C$9, 100%, $E$9)</f>
        <v>11.869199999999999</v>
      </c>
      <c r="C245" s="14">
        <f>CHOOSE(CONTROL!$C$42, 11.8772, 11.8772) * CHOOSE(CONTROL!$C$21, $C$9, 100%, $E$9)</f>
        <v>11.8772</v>
      </c>
      <c r="D245" s="14">
        <f>CHOOSE(CONTROL!$C$42, 12.103, 12.103) * CHOOSE(CONTROL!$C$21, $C$9, 100%, $E$9)</f>
        <v>12.103</v>
      </c>
      <c r="E245" s="14">
        <f>CHOOSE(CONTROL!$C$42, 12.1345, 12.1345) * CHOOSE(CONTROL!$C$21, $C$9, 100%, $E$9)</f>
        <v>12.134499999999999</v>
      </c>
      <c r="F245" s="14">
        <f>CHOOSE(CONTROL!$C$42, 11.8948, 11.8948)*CHOOSE(CONTROL!$C$21, $C$9, 100%, $E$9)</f>
        <v>11.8948</v>
      </c>
      <c r="G245" s="14">
        <f>CHOOSE(CONTROL!$C$42, 11.9118, 11.9118)*CHOOSE(CONTROL!$C$21, $C$9, 100%, $E$9)</f>
        <v>11.911799999999999</v>
      </c>
      <c r="H245" s="14">
        <f>CHOOSE(CONTROL!$C$42, 12.1231, 12.1231) * CHOOSE(CONTROL!$C$21, $C$9, 100%, $E$9)</f>
        <v>12.123100000000001</v>
      </c>
      <c r="I245" s="14">
        <f>CHOOSE(CONTROL!$C$42, 11.9379, 11.9379)* CHOOSE(CONTROL!$C$21, $C$9, 100%, $E$9)</f>
        <v>11.937900000000001</v>
      </c>
      <c r="J245" s="14">
        <f>CHOOSE(CONTROL!$C$42, 11.8878, 11.8878)* CHOOSE(CONTROL!$C$21, $C$9, 100%, $E$9)</f>
        <v>11.8878</v>
      </c>
      <c r="K245" s="52">
        <f>CHOOSE(CONTROL!$C$42, 11.934, 11.934) * CHOOSE(CONTROL!$C$21, $C$9, 100%, $E$9)</f>
        <v>11.933999999999999</v>
      </c>
      <c r="L245" s="14">
        <f>CHOOSE(CONTROL!$C$42, 12.7101, 12.7101) * CHOOSE(CONTROL!$C$21, $C$9, 100%, $E$9)</f>
        <v>12.710100000000001</v>
      </c>
      <c r="M245" s="14">
        <f>CHOOSE(CONTROL!$C$42, 11.652, 11.652) * CHOOSE(CONTROL!$C$21, $C$9, 100%, $E$9)</f>
        <v>11.651999999999999</v>
      </c>
      <c r="N245" s="14">
        <f>CHOOSE(CONTROL!$C$42, 11.6686, 11.6686) * CHOOSE(CONTROL!$C$21, $C$9, 100%, $E$9)</f>
        <v>11.6686</v>
      </c>
      <c r="O245" s="14">
        <f>CHOOSE(CONTROL!$C$42, 11.8824, 11.8824) * CHOOSE(CONTROL!$C$21, $C$9, 100%, $E$9)</f>
        <v>11.882400000000001</v>
      </c>
      <c r="P245" s="14">
        <f>CHOOSE(CONTROL!$C$42, 11.7003, 11.7003) * CHOOSE(CONTROL!$C$21, $C$9, 100%, $E$9)</f>
        <v>11.7003</v>
      </c>
      <c r="Q245" s="14">
        <f>CHOOSE(CONTROL!$C$42, 12.4771, 12.4771) * CHOOSE(CONTROL!$C$21, $C$9, 100%, $E$9)</f>
        <v>12.4771</v>
      </c>
      <c r="R245" s="14">
        <f>CHOOSE(CONTROL!$C$42, 13.0953, 13.0953) * CHOOSE(CONTROL!$C$21, $C$9, 100%, $E$9)</f>
        <v>13.0953</v>
      </c>
      <c r="S245" s="14">
        <f>CHOOSE(CONTROL!$C$42, 11.3945, 11.3945) * CHOOSE(CONTROL!$C$21, $C$9, 100%, $E$9)</f>
        <v>11.394500000000001</v>
      </c>
      <c r="T24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56">
        <f>(1000*CHOOSE(CONTROL!$C$42, 695, 695)*CHOOSE(CONTROL!$C$42, 0.5599, 0.5599)*CHOOSE(CONTROL!$C$42, 31, 31))/1000000</f>
        <v>12.063045499999998</v>
      </c>
      <c r="V245" s="56">
        <f>(1000*CHOOSE(CONTROL!$C$42, 500, 500)*CHOOSE(CONTROL!$C$42, 0.275, 0.275)*CHOOSE(CONTROL!$C$42, 31, 31))/1000000</f>
        <v>4.2625000000000002</v>
      </c>
      <c r="W245" s="56">
        <f>(1000*CHOOSE(CONTROL!$C$42, 0.1146, 0.1146)*CHOOSE(CONTROL!$C$42, 121.5, 121.5)*CHOOSE(CONTROL!$C$42, 31, 31))/1000000</f>
        <v>0.43164089999999994</v>
      </c>
      <c r="X245" s="56">
        <f>(31*0.1790888*245000/1000000)+(31*0.2374*100000/1000000)</f>
        <v>2.0961194359999999</v>
      </c>
      <c r="Y245" s="56"/>
      <c r="Z245" s="14"/>
      <c r="AA245" s="55"/>
      <c r="AB245" s="49">
        <f>(B245*194.205+C245*267.466+D245*133.845+E245*53.484+F245*40+G245*185+H245*0+I245*100+J245*300)/(194.205+267.466+133.845+53.484+0+40+185+100+300)</f>
        <v>11.923342067660911</v>
      </c>
      <c r="AC245" s="44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11.727415827338129</v>
      </c>
    </row>
    <row r="246" spans="1:29" ht="15.75" x14ac:dyDescent="0.25">
      <c r="A246" s="13">
        <v>48366</v>
      </c>
      <c r="B246" s="14">
        <f>CHOOSE(CONTROL!$C$42, 12.2055, 12.2055) * CHOOSE(CONTROL!$C$21, $C$9, 100%, $E$9)</f>
        <v>12.205500000000001</v>
      </c>
      <c r="C246" s="14">
        <f>CHOOSE(CONTROL!$C$42, 12.2136, 12.2136) * CHOOSE(CONTROL!$C$21, $C$9, 100%, $E$9)</f>
        <v>12.2136</v>
      </c>
      <c r="D246" s="14">
        <f>CHOOSE(CONTROL!$C$42, 12.4393, 12.4393) * CHOOSE(CONTROL!$C$21, $C$9, 100%, $E$9)</f>
        <v>12.439299999999999</v>
      </c>
      <c r="E246" s="14">
        <f>CHOOSE(CONTROL!$C$42, 12.4708, 12.4708) * CHOOSE(CONTROL!$C$21, $C$9, 100%, $E$9)</f>
        <v>12.470800000000001</v>
      </c>
      <c r="F246" s="14">
        <f>CHOOSE(CONTROL!$C$42, 12.2316, 12.2316)*CHOOSE(CONTROL!$C$21, $C$9, 100%, $E$9)</f>
        <v>12.2316</v>
      </c>
      <c r="G246" s="14">
        <f>CHOOSE(CONTROL!$C$42, 12.2487, 12.2487)*CHOOSE(CONTROL!$C$21, $C$9, 100%, $E$9)</f>
        <v>12.248699999999999</v>
      </c>
      <c r="H246" s="14">
        <f>CHOOSE(CONTROL!$C$42, 12.4594, 12.4594) * CHOOSE(CONTROL!$C$21, $C$9, 100%, $E$9)</f>
        <v>12.4594</v>
      </c>
      <c r="I246" s="14">
        <f>CHOOSE(CONTROL!$C$42, 12.2753, 12.2753)* CHOOSE(CONTROL!$C$21, $C$9, 100%, $E$9)</f>
        <v>12.2753</v>
      </c>
      <c r="J246" s="14">
        <f>CHOOSE(CONTROL!$C$42, 12.2246, 12.2246)* CHOOSE(CONTROL!$C$21, $C$9, 100%, $E$9)</f>
        <v>12.224600000000001</v>
      </c>
      <c r="K246" s="52">
        <f>CHOOSE(CONTROL!$C$42, 12.2714, 12.2714) * CHOOSE(CONTROL!$C$21, $C$9, 100%, $E$9)</f>
        <v>12.2714</v>
      </c>
      <c r="L246" s="14">
        <f>CHOOSE(CONTROL!$C$42, 13.0464, 13.0464) * CHOOSE(CONTROL!$C$21, $C$9, 100%, $E$9)</f>
        <v>13.0464</v>
      </c>
      <c r="M246" s="14">
        <f>CHOOSE(CONTROL!$C$42, 11.9818, 11.9818) * CHOOSE(CONTROL!$C$21, $C$9, 100%, $E$9)</f>
        <v>11.9818</v>
      </c>
      <c r="N246" s="14">
        <f>CHOOSE(CONTROL!$C$42, 11.9986, 11.9986) * CHOOSE(CONTROL!$C$21, $C$9, 100%, $E$9)</f>
        <v>11.9986</v>
      </c>
      <c r="O246" s="14">
        <f>CHOOSE(CONTROL!$C$42, 12.2118, 12.2118) * CHOOSE(CONTROL!$C$21, $C$9, 100%, $E$9)</f>
        <v>12.2118</v>
      </c>
      <c r="P246" s="14">
        <f>CHOOSE(CONTROL!$C$42, 12.0308, 12.0308) * CHOOSE(CONTROL!$C$21, $C$9, 100%, $E$9)</f>
        <v>12.030799999999999</v>
      </c>
      <c r="Q246" s="14">
        <f>CHOOSE(CONTROL!$C$42, 12.8065, 12.8065) * CHOOSE(CONTROL!$C$21, $C$9, 100%, $E$9)</f>
        <v>12.8065</v>
      </c>
      <c r="R246" s="14">
        <f>CHOOSE(CONTROL!$C$42, 13.4256, 13.4256) * CHOOSE(CONTROL!$C$21, $C$9, 100%, $E$9)</f>
        <v>13.425599999999999</v>
      </c>
      <c r="S246" s="14">
        <f>CHOOSE(CONTROL!$C$42, 11.7177, 11.7177) * CHOOSE(CONTROL!$C$21, $C$9, 100%, $E$9)</f>
        <v>11.717700000000001</v>
      </c>
      <c r="T24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56">
        <f>(1000*CHOOSE(CONTROL!$C$42, 695, 695)*CHOOSE(CONTROL!$C$42, 0.5599, 0.5599)*CHOOSE(CONTROL!$C$42, 30, 30))/1000000</f>
        <v>11.673914999999997</v>
      </c>
      <c r="V246" s="56">
        <f>(1000*CHOOSE(CONTROL!$C$42, 500, 500)*CHOOSE(CONTROL!$C$42, 0.275, 0.275)*CHOOSE(CONTROL!$C$42, 30, 30))/1000000</f>
        <v>4.125</v>
      </c>
      <c r="W246" s="56">
        <f>(1000*CHOOSE(CONTROL!$C$42, 0.1146, 0.1146)*CHOOSE(CONTROL!$C$42, 121.5, 121.5)*CHOOSE(CONTROL!$C$42, 30, 30))/1000000</f>
        <v>0.417717</v>
      </c>
      <c r="X246" s="56">
        <f>(30*0.1790888*245000/1000000)+(30*0.2374*100000/1000000)</f>
        <v>2.0285026799999999</v>
      </c>
      <c r="Y246" s="56"/>
      <c r="Z246" s="14"/>
      <c r="AA246" s="55"/>
      <c r="AB246" s="49">
        <f>(B246*194.205+C246*267.466+D246*133.845+E246*53.484+F246*40+G246*185+H246*0+I246*100+J246*300)/(194.205+267.466+133.845+53.484+0+40+185+100+300)</f>
        <v>12.259969969230768</v>
      </c>
      <c r="AC246" s="44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12.057250359712228</v>
      </c>
    </row>
    <row r="247" spans="1:29" ht="15.75" x14ac:dyDescent="0.25">
      <c r="A247" s="13">
        <v>48396</v>
      </c>
      <c r="B247" s="14">
        <f>CHOOSE(CONTROL!$C$42, 11.9716, 11.9716) * CHOOSE(CONTROL!$C$21, $C$9, 100%, $E$9)</f>
        <v>11.9716</v>
      </c>
      <c r="C247" s="14">
        <f>CHOOSE(CONTROL!$C$42, 11.9796, 11.9796) * CHOOSE(CONTROL!$C$21, $C$9, 100%, $E$9)</f>
        <v>11.9796</v>
      </c>
      <c r="D247" s="14">
        <f>CHOOSE(CONTROL!$C$42, 12.2054, 12.2054) * CHOOSE(CONTROL!$C$21, $C$9, 100%, $E$9)</f>
        <v>12.205399999999999</v>
      </c>
      <c r="E247" s="14">
        <f>CHOOSE(CONTROL!$C$42, 12.2369, 12.2369) * CHOOSE(CONTROL!$C$21, $C$9, 100%, $E$9)</f>
        <v>12.2369</v>
      </c>
      <c r="F247" s="14">
        <f>CHOOSE(CONTROL!$C$42, 11.9982, 11.9982)*CHOOSE(CONTROL!$C$21, $C$9, 100%, $E$9)</f>
        <v>11.998200000000001</v>
      </c>
      <c r="G247" s="14">
        <f>CHOOSE(CONTROL!$C$42, 12.0154, 12.0154)*CHOOSE(CONTROL!$C$21, $C$9, 100%, $E$9)</f>
        <v>12.0154</v>
      </c>
      <c r="H247" s="14">
        <f>CHOOSE(CONTROL!$C$42, 12.2255, 12.2255) * CHOOSE(CONTROL!$C$21, $C$9, 100%, $E$9)</f>
        <v>12.2255</v>
      </c>
      <c r="I247" s="14">
        <f>CHOOSE(CONTROL!$C$42, 12.0406, 12.0406)* CHOOSE(CONTROL!$C$21, $C$9, 100%, $E$9)</f>
        <v>12.0406</v>
      </c>
      <c r="J247" s="14">
        <f>CHOOSE(CONTROL!$C$42, 11.9912, 11.9912)* CHOOSE(CONTROL!$C$21, $C$9, 100%, $E$9)</f>
        <v>11.991199999999999</v>
      </c>
      <c r="K247" s="52">
        <f>CHOOSE(CONTROL!$C$42, 12.0367, 12.0367) * CHOOSE(CONTROL!$C$21, $C$9, 100%, $E$9)</f>
        <v>12.0367</v>
      </c>
      <c r="L247" s="14">
        <f>CHOOSE(CONTROL!$C$42, 12.8125, 12.8125) * CHOOSE(CONTROL!$C$21, $C$9, 100%, $E$9)</f>
        <v>12.8125</v>
      </c>
      <c r="M247" s="14">
        <f>CHOOSE(CONTROL!$C$42, 11.7532, 11.7532) * CHOOSE(CONTROL!$C$21, $C$9, 100%, $E$9)</f>
        <v>11.7532</v>
      </c>
      <c r="N247" s="14">
        <f>CHOOSE(CONTROL!$C$42, 11.77, 11.77) * CHOOSE(CONTROL!$C$21, $C$9, 100%, $E$9)</f>
        <v>11.77</v>
      </c>
      <c r="O247" s="14">
        <f>CHOOSE(CONTROL!$C$42, 11.9827, 11.9827) * CHOOSE(CONTROL!$C$21, $C$9, 100%, $E$9)</f>
        <v>11.982699999999999</v>
      </c>
      <c r="P247" s="14">
        <f>CHOOSE(CONTROL!$C$42, 11.8009, 11.8009) * CHOOSE(CONTROL!$C$21, $C$9, 100%, $E$9)</f>
        <v>11.8009</v>
      </c>
      <c r="Q247" s="14">
        <f>CHOOSE(CONTROL!$C$42, 12.5774, 12.5774) * CHOOSE(CONTROL!$C$21, $C$9, 100%, $E$9)</f>
        <v>12.577400000000001</v>
      </c>
      <c r="R247" s="14">
        <f>CHOOSE(CONTROL!$C$42, 13.1959, 13.1959) * CHOOSE(CONTROL!$C$21, $C$9, 100%, $E$9)</f>
        <v>13.1959</v>
      </c>
      <c r="S247" s="14">
        <f>CHOOSE(CONTROL!$C$42, 11.4929, 11.4929) * CHOOSE(CONTROL!$C$21, $C$9, 100%, $E$9)</f>
        <v>11.492900000000001</v>
      </c>
      <c r="T24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56">
        <f>(1000*CHOOSE(CONTROL!$C$42, 695, 695)*CHOOSE(CONTROL!$C$42, 0.5599, 0.5599)*CHOOSE(CONTROL!$C$42, 31, 31))/1000000</f>
        <v>12.063045499999998</v>
      </c>
      <c r="V247" s="56">
        <f>(1000*CHOOSE(CONTROL!$C$42, 500, 500)*CHOOSE(CONTROL!$C$42, 0.275, 0.275)*CHOOSE(CONTROL!$C$42, 31, 31))/1000000</f>
        <v>4.2625000000000002</v>
      </c>
      <c r="W247" s="56">
        <f>(1000*CHOOSE(CONTROL!$C$42, 0.1146, 0.1146)*CHOOSE(CONTROL!$C$42, 121.5, 121.5)*CHOOSE(CONTROL!$C$42, 31, 31))/1000000</f>
        <v>0.43164089999999994</v>
      </c>
      <c r="X247" s="56">
        <f>(31*0.1790888*245000/1000000)+(31*0.2374*100000/1000000)</f>
        <v>2.0961194359999999</v>
      </c>
      <c r="Y247" s="56"/>
      <c r="Z247" s="14"/>
      <c r="AA247" s="55"/>
      <c r="AB247" s="49">
        <f>(B247*194.205+C247*267.466+D247*133.845+E247*53.484+F247*40+G247*185+H247*0+I247*100+J247*300)/(194.205+267.466+133.845+53.484+0+40+185+100+300)</f>
        <v>12.026206745839874</v>
      </c>
      <c r="AC247" s="44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11.828323021582733</v>
      </c>
    </row>
    <row r="248" spans="1:29" ht="15.75" x14ac:dyDescent="0.25">
      <c r="A248" s="13">
        <v>48427</v>
      </c>
      <c r="B248" s="14">
        <f>CHOOSE(CONTROL!$C$42, 11.3809, 11.3809) * CHOOSE(CONTROL!$C$21, $C$9, 100%, $E$9)</f>
        <v>11.3809</v>
      </c>
      <c r="C248" s="14">
        <f>CHOOSE(CONTROL!$C$42, 11.3889, 11.3889) * CHOOSE(CONTROL!$C$21, $C$9, 100%, $E$9)</f>
        <v>11.3889</v>
      </c>
      <c r="D248" s="14">
        <f>CHOOSE(CONTROL!$C$42, 11.6147, 11.6147) * CHOOSE(CONTROL!$C$21, $C$9, 100%, $E$9)</f>
        <v>11.614699999999999</v>
      </c>
      <c r="E248" s="14">
        <f>CHOOSE(CONTROL!$C$42, 11.6461, 11.6461) * CHOOSE(CONTROL!$C$21, $C$9, 100%, $E$9)</f>
        <v>11.646100000000001</v>
      </c>
      <c r="F248" s="14">
        <f>CHOOSE(CONTROL!$C$42, 11.4077, 11.4077)*CHOOSE(CONTROL!$C$21, $C$9, 100%, $E$9)</f>
        <v>11.4077</v>
      </c>
      <c r="G248" s="14">
        <f>CHOOSE(CONTROL!$C$42, 11.4249, 11.4249)*CHOOSE(CONTROL!$C$21, $C$9, 100%, $E$9)</f>
        <v>11.424899999999999</v>
      </c>
      <c r="H248" s="14">
        <f>CHOOSE(CONTROL!$C$42, 11.6348, 11.6348) * CHOOSE(CONTROL!$C$21, $C$9, 100%, $E$9)</f>
        <v>11.6348</v>
      </c>
      <c r="I248" s="14">
        <f>CHOOSE(CONTROL!$C$42, 11.448, 11.448)* CHOOSE(CONTROL!$C$21, $C$9, 100%, $E$9)</f>
        <v>11.448</v>
      </c>
      <c r="J248" s="14">
        <f>CHOOSE(CONTROL!$C$42, 11.4007, 11.4007)* CHOOSE(CONTROL!$C$21, $C$9, 100%, $E$9)</f>
        <v>11.400700000000001</v>
      </c>
      <c r="K248" s="52">
        <f>CHOOSE(CONTROL!$C$42, 11.4441, 11.4441) * CHOOSE(CONTROL!$C$21, $C$9, 100%, $E$9)</f>
        <v>11.444100000000001</v>
      </c>
      <c r="L248" s="14">
        <f>CHOOSE(CONTROL!$C$42, 12.2218, 12.2218) * CHOOSE(CONTROL!$C$21, $C$9, 100%, $E$9)</f>
        <v>12.2218</v>
      </c>
      <c r="M248" s="14">
        <f>CHOOSE(CONTROL!$C$42, 11.1748, 11.1748) * CHOOSE(CONTROL!$C$21, $C$9, 100%, $E$9)</f>
        <v>11.174799999999999</v>
      </c>
      <c r="N248" s="14">
        <f>CHOOSE(CONTROL!$C$42, 11.1917, 11.1917) * CHOOSE(CONTROL!$C$21, $C$9, 100%, $E$9)</f>
        <v>11.191700000000001</v>
      </c>
      <c r="O248" s="14">
        <f>CHOOSE(CONTROL!$C$42, 11.4041, 11.4041) * CHOOSE(CONTROL!$C$21, $C$9, 100%, $E$9)</f>
        <v>11.4041</v>
      </c>
      <c r="P248" s="14">
        <f>CHOOSE(CONTROL!$C$42, 11.2205, 11.2205) * CHOOSE(CONTROL!$C$21, $C$9, 100%, $E$9)</f>
        <v>11.220499999999999</v>
      </c>
      <c r="Q248" s="14">
        <f>CHOOSE(CONTROL!$C$42, 11.9988, 11.9988) * CHOOSE(CONTROL!$C$21, $C$9, 100%, $E$9)</f>
        <v>11.998799999999999</v>
      </c>
      <c r="R248" s="14">
        <f>CHOOSE(CONTROL!$C$42, 12.6158, 12.6158) * CHOOSE(CONTROL!$C$21, $C$9, 100%, $E$9)</f>
        <v>12.6158</v>
      </c>
      <c r="S248" s="14">
        <f>CHOOSE(CONTROL!$C$42, 10.9252, 10.9252) * CHOOSE(CONTROL!$C$21, $C$9, 100%, $E$9)</f>
        <v>10.9252</v>
      </c>
      <c r="T24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56">
        <f>(1000*CHOOSE(CONTROL!$C$42, 695, 695)*CHOOSE(CONTROL!$C$42, 0.5599, 0.5599)*CHOOSE(CONTROL!$C$42, 31, 31))/1000000</f>
        <v>12.063045499999998</v>
      </c>
      <c r="V248" s="56">
        <f>(1000*CHOOSE(CONTROL!$C$42, 500, 500)*CHOOSE(CONTROL!$C$42, 0.275, 0.275)*CHOOSE(CONTROL!$C$42, 31, 31))/1000000</f>
        <v>4.2625000000000002</v>
      </c>
      <c r="W248" s="56">
        <f>(1000*CHOOSE(CONTROL!$C$42, 0.1146, 0.1146)*CHOOSE(CONTROL!$C$42, 121.5, 121.5)*CHOOSE(CONTROL!$C$42, 31, 31))/1000000</f>
        <v>0.43164089999999994</v>
      </c>
      <c r="X248" s="56">
        <f>(31*0.1790888*245000/1000000)+(31*0.2374*100000/1000000)</f>
        <v>2.0961194359999999</v>
      </c>
      <c r="Y248" s="56"/>
      <c r="Z248" s="14"/>
      <c r="AA248" s="55"/>
      <c r="AB248" s="49">
        <f>(B248*194.205+C248*267.466+D248*133.845+E248*53.484+F248*40+G248*185+H248*0+I248*100+J248*300)/(194.205+267.466+133.845+53.484+0+40+185+100+300)</f>
        <v>11.435435828728412</v>
      </c>
      <c r="AC248" s="44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11.249602158273381</v>
      </c>
    </row>
    <row r="249" spans="1:29" ht="15.75" x14ac:dyDescent="0.25">
      <c r="A249" s="13">
        <v>48458</v>
      </c>
      <c r="B249" s="14">
        <f>CHOOSE(CONTROL!$C$42, 10.6588, 10.6588) * CHOOSE(CONTROL!$C$21, $C$9, 100%, $E$9)</f>
        <v>10.658799999999999</v>
      </c>
      <c r="C249" s="14">
        <f>CHOOSE(CONTROL!$C$42, 10.6669, 10.6669) * CHOOSE(CONTROL!$C$21, $C$9, 100%, $E$9)</f>
        <v>10.6669</v>
      </c>
      <c r="D249" s="14">
        <f>CHOOSE(CONTROL!$C$42, 10.8927, 10.8927) * CHOOSE(CONTROL!$C$21, $C$9, 100%, $E$9)</f>
        <v>10.8927</v>
      </c>
      <c r="E249" s="14">
        <f>CHOOSE(CONTROL!$C$42, 10.9241, 10.9241) * CHOOSE(CONTROL!$C$21, $C$9, 100%, $E$9)</f>
        <v>10.924099999999999</v>
      </c>
      <c r="F249" s="14">
        <f>CHOOSE(CONTROL!$C$42, 10.6856, 10.6856)*CHOOSE(CONTROL!$C$21, $C$9, 100%, $E$9)</f>
        <v>10.685600000000001</v>
      </c>
      <c r="G249" s="14">
        <f>CHOOSE(CONTROL!$C$42, 10.7029, 10.7029)*CHOOSE(CONTROL!$C$21, $C$9, 100%, $E$9)</f>
        <v>10.7029</v>
      </c>
      <c r="H249" s="14">
        <f>CHOOSE(CONTROL!$C$42, 10.9127, 10.9127) * CHOOSE(CONTROL!$C$21, $C$9, 100%, $E$9)</f>
        <v>10.912699999999999</v>
      </c>
      <c r="I249" s="14">
        <f>CHOOSE(CONTROL!$C$42, 10.7238, 10.7238)* CHOOSE(CONTROL!$C$21, $C$9, 100%, $E$9)</f>
        <v>10.723800000000001</v>
      </c>
      <c r="J249" s="14">
        <f>CHOOSE(CONTROL!$C$42, 10.6786, 10.6786)* CHOOSE(CONTROL!$C$21, $C$9, 100%, $E$9)</f>
        <v>10.678599999999999</v>
      </c>
      <c r="K249" s="52">
        <f>CHOOSE(CONTROL!$C$42, 10.7199, 10.7199) * CHOOSE(CONTROL!$C$21, $C$9, 100%, $E$9)</f>
        <v>10.719900000000001</v>
      </c>
      <c r="L249" s="14">
        <f>CHOOSE(CONTROL!$C$42, 11.4997, 11.4997) * CHOOSE(CONTROL!$C$21, $C$9, 100%, $E$9)</f>
        <v>11.499700000000001</v>
      </c>
      <c r="M249" s="14">
        <f>CHOOSE(CONTROL!$C$42, 10.4675, 10.4675) * CHOOSE(CONTROL!$C$21, $C$9, 100%, $E$9)</f>
        <v>10.467499999999999</v>
      </c>
      <c r="N249" s="14">
        <f>CHOOSE(CONTROL!$C$42, 10.4845, 10.4845) * CHOOSE(CONTROL!$C$21, $C$9, 100%, $E$9)</f>
        <v>10.484500000000001</v>
      </c>
      <c r="O249" s="14">
        <f>CHOOSE(CONTROL!$C$42, 10.6968, 10.6968) * CHOOSE(CONTROL!$C$21, $C$9, 100%, $E$9)</f>
        <v>10.6968</v>
      </c>
      <c r="P249" s="14">
        <f>CHOOSE(CONTROL!$C$42, 10.5111, 10.5111) * CHOOSE(CONTROL!$C$21, $C$9, 100%, $E$9)</f>
        <v>10.511100000000001</v>
      </c>
      <c r="Q249" s="14">
        <f>CHOOSE(CONTROL!$C$42, 11.2915, 11.2915) * CHOOSE(CONTROL!$C$21, $C$9, 100%, $E$9)</f>
        <v>11.291499999999999</v>
      </c>
      <c r="R249" s="14">
        <f>CHOOSE(CONTROL!$C$42, 11.9068, 11.9068) * CHOOSE(CONTROL!$C$21, $C$9, 100%, $E$9)</f>
        <v>11.9068</v>
      </c>
      <c r="S249" s="14">
        <f>CHOOSE(CONTROL!$C$42, 10.2314, 10.2314) * CHOOSE(CONTROL!$C$21, $C$9, 100%, $E$9)</f>
        <v>10.231400000000001</v>
      </c>
      <c r="T24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56">
        <f>(1000*CHOOSE(CONTROL!$C$42, 695, 695)*CHOOSE(CONTROL!$C$42, 0.5599, 0.5599)*CHOOSE(CONTROL!$C$42, 30, 30))/1000000</f>
        <v>11.673914999999997</v>
      </c>
      <c r="V249" s="56">
        <f>(1000*CHOOSE(CONTROL!$C$42, 500, 500)*CHOOSE(CONTROL!$C$42, 0.275, 0.275)*CHOOSE(CONTROL!$C$42, 30, 30))/1000000</f>
        <v>4.125</v>
      </c>
      <c r="W249" s="56">
        <f>(1000*CHOOSE(CONTROL!$C$42, 0.1146, 0.1146)*CHOOSE(CONTROL!$C$42, 121.5, 121.5)*CHOOSE(CONTROL!$C$42, 30, 30))/1000000</f>
        <v>0.417717</v>
      </c>
      <c r="X249" s="56">
        <f>(30*0.1790888*245000/1000000)+(30*0.2374*100000/1000000)</f>
        <v>2.0285026799999999</v>
      </c>
      <c r="Y249" s="56"/>
      <c r="Z249" s="14"/>
      <c r="AA249" s="55"/>
      <c r="AB249" s="49">
        <f>(B249*194.205+C249*267.466+D249*133.845+E249*53.484+F249*40+G249*185+H249*0+I249*100+J249*300)/(194.205+267.466+133.845+53.484+0+40+185+100+300)</f>
        <v>10.713221212951334</v>
      </c>
      <c r="AC249" s="44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10.542023021582734</v>
      </c>
    </row>
    <row r="250" spans="1:29" ht="15.75" x14ac:dyDescent="0.25">
      <c r="A250" s="13">
        <v>48488</v>
      </c>
      <c r="B250" s="14">
        <f>CHOOSE(CONTROL!$C$42, 10.4409, 10.4409) * CHOOSE(CONTROL!$C$21, $C$9, 100%, $E$9)</f>
        <v>10.440899999999999</v>
      </c>
      <c r="C250" s="14">
        <f>CHOOSE(CONTROL!$C$42, 10.4462, 10.4462) * CHOOSE(CONTROL!$C$21, $C$9, 100%, $E$9)</f>
        <v>10.446199999999999</v>
      </c>
      <c r="D250" s="14">
        <f>CHOOSE(CONTROL!$C$42, 10.677, 10.677) * CHOOSE(CONTROL!$C$21, $C$9, 100%, $E$9)</f>
        <v>10.677</v>
      </c>
      <c r="E250" s="14">
        <f>CHOOSE(CONTROL!$C$42, 10.7061, 10.7061) * CHOOSE(CONTROL!$C$21, $C$9, 100%, $E$9)</f>
        <v>10.706099999999999</v>
      </c>
      <c r="F250" s="14">
        <f>CHOOSE(CONTROL!$C$42, 10.4698, 10.4698)*CHOOSE(CONTROL!$C$21, $C$9, 100%, $E$9)</f>
        <v>10.469799999999999</v>
      </c>
      <c r="G250" s="14">
        <f>CHOOSE(CONTROL!$C$42, 10.4869, 10.4869)*CHOOSE(CONTROL!$C$21, $C$9, 100%, $E$9)</f>
        <v>10.4869</v>
      </c>
      <c r="H250" s="14">
        <f>CHOOSE(CONTROL!$C$42, 10.6966, 10.6966) * CHOOSE(CONTROL!$C$21, $C$9, 100%, $E$9)</f>
        <v>10.6966</v>
      </c>
      <c r="I250" s="14">
        <f>CHOOSE(CONTROL!$C$42, 10.5069, 10.5069)* CHOOSE(CONTROL!$C$21, $C$9, 100%, $E$9)</f>
        <v>10.5069</v>
      </c>
      <c r="J250" s="14">
        <f>CHOOSE(CONTROL!$C$42, 10.4628, 10.4628)* CHOOSE(CONTROL!$C$21, $C$9, 100%, $E$9)</f>
        <v>10.4628</v>
      </c>
      <c r="K250" s="52">
        <f>CHOOSE(CONTROL!$C$42, 10.503, 10.503) * CHOOSE(CONTROL!$C$21, $C$9, 100%, $E$9)</f>
        <v>10.503</v>
      </c>
      <c r="L250" s="14">
        <f>CHOOSE(CONTROL!$C$42, 11.2836, 11.2836) * CHOOSE(CONTROL!$C$21, $C$9, 100%, $E$9)</f>
        <v>11.2836</v>
      </c>
      <c r="M250" s="14">
        <f>CHOOSE(CONTROL!$C$42, 10.2561, 10.2561) * CHOOSE(CONTROL!$C$21, $C$9, 100%, $E$9)</f>
        <v>10.2561</v>
      </c>
      <c r="N250" s="14">
        <f>CHOOSE(CONTROL!$C$42, 10.2728, 10.2728) * CHOOSE(CONTROL!$C$21, $C$9, 100%, $E$9)</f>
        <v>10.2728</v>
      </c>
      <c r="O250" s="14">
        <f>CHOOSE(CONTROL!$C$42, 10.4851, 10.4851) * CHOOSE(CONTROL!$C$21, $C$9, 100%, $E$9)</f>
        <v>10.485099999999999</v>
      </c>
      <c r="P250" s="14">
        <f>CHOOSE(CONTROL!$C$42, 10.2987, 10.2987) * CHOOSE(CONTROL!$C$21, $C$9, 100%, $E$9)</f>
        <v>10.2987</v>
      </c>
      <c r="Q250" s="14">
        <f>CHOOSE(CONTROL!$C$42, 11.0798, 11.0798) * CHOOSE(CONTROL!$C$21, $C$9, 100%, $E$9)</f>
        <v>11.079800000000001</v>
      </c>
      <c r="R250" s="14">
        <f>CHOOSE(CONTROL!$C$42, 11.6945, 11.6945) * CHOOSE(CONTROL!$C$21, $C$9, 100%, $E$9)</f>
        <v>11.6945</v>
      </c>
      <c r="S250" s="14">
        <f>CHOOSE(CONTROL!$C$42, 10.0237, 10.0237) * CHOOSE(CONTROL!$C$21, $C$9, 100%, $E$9)</f>
        <v>10.0237</v>
      </c>
      <c r="T25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56">
        <f>(1000*CHOOSE(CONTROL!$C$42, 695, 695)*CHOOSE(CONTROL!$C$42, 0.5599, 0.5599)*CHOOSE(CONTROL!$C$42, 31, 31))/1000000</f>
        <v>12.063045499999998</v>
      </c>
      <c r="V250" s="56">
        <f>(1000*CHOOSE(CONTROL!$C$42, 500, 500)*CHOOSE(CONTROL!$C$42, 0.275, 0.275)*CHOOSE(CONTROL!$C$42, 31, 31))/1000000</f>
        <v>4.2625000000000002</v>
      </c>
      <c r="W250" s="56">
        <f>(1000*CHOOSE(CONTROL!$C$42, 0.1146, 0.1146)*CHOOSE(CONTROL!$C$42, 121.5, 121.5)*CHOOSE(CONTROL!$C$42, 31, 31))/1000000</f>
        <v>0.43164089999999994</v>
      </c>
      <c r="X250" s="56">
        <f>(31*0.1790888*245000/1000000)+(31*0.2374*100000/1000000)</f>
        <v>2.0961194359999999</v>
      </c>
      <c r="Y250" s="56"/>
      <c r="Z250" s="14"/>
      <c r="AA250" s="55"/>
      <c r="AB250" s="49">
        <f>(B250*131.881+C250*277.167+D250*79.08+E250*125.872+F250*40+G250*185+H250*0+I250*100+J250*300)/(131.881+277.167+79.08+125.872+0+40+185+100+300)</f>
        <v>10.502527947941889</v>
      </c>
      <c r="AC250" s="44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10.330325899280576</v>
      </c>
    </row>
    <row r="251" spans="1:29" ht="15.75" x14ac:dyDescent="0.25">
      <c r="A251" s="13">
        <v>48519</v>
      </c>
      <c r="B251" s="14">
        <f>CHOOSE(CONTROL!$C$42, 10.7153, 10.7153) * CHOOSE(CONTROL!$C$21, $C$9, 100%, $E$9)</f>
        <v>10.715299999999999</v>
      </c>
      <c r="C251" s="14">
        <f>CHOOSE(CONTROL!$C$42, 10.7203, 10.7203) * CHOOSE(CONTROL!$C$21, $C$9, 100%, $E$9)</f>
        <v>10.7203</v>
      </c>
      <c r="D251" s="14">
        <f>CHOOSE(CONTROL!$C$42, 10.7894, 10.7894) * CHOOSE(CONTROL!$C$21, $C$9, 100%, $E$9)</f>
        <v>10.789400000000001</v>
      </c>
      <c r="E251" s="14">
        <f>CHOOSE(CONTROL!$C$42, 10.8235, 10.8235) * CHOOSE(CONTROL!$C$21, $C$9, 100%, $E$9)</f>
        <v>10.823499999999999</v>
      </c>
      <c r="F251" s="14">
        <f>CHOOSE(CONTROL!$C$42, 10.7509, 10.7509)*CHOOSE(CONTROL!$C$21, $C$9, 100%, $E$9)</f>
        <v>10.7509</v>
      </c>
      <c r="G251" s="14">
        <f>CHOOSE(CONTROL!$C$42, 10.7683, 10.7683)*CHOOSE(CONTROL!$C$21, $C$9, 100%, $E$9)</f>
        <v>10.7683</v>
      </c>
      <c r="H251" s="14">
        <f>CHOOSE(CONTROL!$C$42, 10.8127, 10.8127) * CHOOSE(CONTROL!$C$21, $C$9, 100%, $E$9)</f>
        <v>10.8127</v>
      </c>
      <c r="I251" s="14">
        <f>CHOOSE(CONTROL!$C$42, 10.7852, 10.7852)* CHOOSE(CONTROL!$C$21, $C$9, 100%, $E$9)</f>
        <v>10.7852</v>
      </c>
      <c r="J251" s="14">
        <f>CHOOSE(CONTROL!$C$42, 10.7439, 10.7439)* CHOOSE(CONTROL!$C$21, $C$9, 100%, $E$9)</f>
        <v>10.7439</v>
      </c>
      <c r="K251" s="52">
        <f>CHOOSE(CONTROL!$C$42, 10.7813, 10.7813) * CHOOSE(CONTROL!$C$21, $C$9, 100%, $E$9)</f>
        <v>10.7813</v>
      </c>
      <c r="L251" s="14">
        <f>CHOOSE(CONTROL!$C$42, 11.3997, 11.3997) * CHOOSE(CONTROL!$C$21, $C$9, 100%, $E$9)</f>
        <v>11.399699999999999</v>
      </c>
      <c r="M251" s="14">
        <f>CHOOSE(CONTROL!$C$42, 10.5314, 10.5314) * CHOOSE(CONTROL!$C$21, $C$9, 100%, $E$9)</f>
        <v>10.5314</v>
      </c>
      <c r="N251" s="14">
        <f>CHOOSE(CONTROL!$C$42, 10.5485, 10.5485) * CHOOSE(CONTROL!$C$21, $C$9, 100%, $E$9)</f>
        <v>10.548500000000001</v>
      </c>
      <c r="O251" s="14">
        <f>CHOOSE(CONTROL!$C$42, 10.5988, 10.5988) * CHOOSE(CONTROL!$C$21, $C$9, 100%, $E$9)</f>
        <v>10.598800000000001</v>
      </c>
      <c r="P251" s="14">
        <f>CHOOSE(CONTROL!$C$42, 10.5713, 10.5713) * CHOOSE(CONTROL!$C$21, $C$9, 100%, $E$9)</f>
        <v>10.571300000000001</v>
      </c>
      <c r="Q251" s="14">
        <f>CHOOSE(CONTROL!$C$42, 11.1935, 11.1935) * CHOOSE(CONTROL!$C$21, $C$9, 100%, $E$9)</f>
        <v>11.1935</v>
      </c>
      <c r="R251" s="14">
        <f>CHOOSE(CONTROL!$C$42, 11.8085, 11.8085) * CHOOSE(CONTROL!$C$21, $C$9, 100%, $E$9)</f>
        <v>11.8085</v>
      </c>
      <c r="S251" s="14">
        <f>CHOOSE(CONTROL!$C$42, 10.2878, 10.2878) * CHOOSE(CONTROL!$C$21, $C$9, 100%, $E$9)</f>
        <v>10.287800000000001</v>
      </c>
      <c r="T25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56">
        <f>(1000*CHOOSE(CONTROL!$C$42, 695, 695)*CHOOSE(CONTROL!$C$42, 0.5599, 0.5599)*CHOOSE(CONTROL!$C$42, 30, 30))/1000000</f>
        <v>11.673914999999997</v>
      </c>
      <c r="V251" s="56">
        <f>(1000*CHOOSE(CONTROL!$C$42, 500, 500)*CHOOSE(CONTROL!$C$42, 0.275, 0.275)*CHOOSE(CONTROL!$C$42, 30, 30))/1000000</f>
        <v>4.125</v>
      </c>
      <c r="W251" s="56">
        <f>(1000*CHOOSE(CONTROL!$C$42, 0.1146, 0.1146)*CHOOSE(CONTROL!$C$42, 121.5, 121.5)*CHOOSE(CONTROL!$C$42, 30, 30))/1000000</f>
        <v>0.417717</v>
      </c>
      <c r="X251" s="56">
        <f>(30*0.1790888*100000/1000000)+(30*0.2374*100000/1000000)</f>
        <v>1.2494664</v>
      </c>
      <c r="Y251" s="56"/>
      <c r="Z251" s="14"/>
      <c r="AA251" s="55"/>
      <c r="AB251" s="49">
        <f>(B251*122.58+C251*297.941+D251*89.177+E251*40.302+F251*40+G251*160+H251*0+I251*100+J251*300)/(122.58+297.941+89.177+40.302+0+40+160+100+300)</f>
        <v>10.748284693130435</v>
      </c>
      <c r="AC251" s="44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10.568673381294964</v>
      </c>
    </row>
    <row r="252" spans="1:29" ht="15.75" x14ac:dyDescent="0.25">
      <c r="A252" s="13">
        <v>48549</v>
      </c>
      <c r="B252" s="14">
        <f>CHOOSE(CONTROL!$C$42, 11.4452, 11.4452) * CHOOSE(CONTROL!$C$21, $C$9, 100%, $E$9)</f>
        <v>11.4452</v>
      </c>
      <c r="C252" s="14">
        <f>CHOOSE(CONTROL!$C$42, 11.4503, 11.4503) * CHOOSE(CONTROL!$C$21, $C$9, 100%, $E$9)</f>
        <v>11.4503</v>
      </c>
      <c r="D252" s="14">
        <f>CHOOSE(CONTROL!$C$42, 11.5193, 11.5193) * CHOOSE(CONTROL!$C$21, $C$9, 100%, $E$9)</f>
        <v>11.519299999999999</v>
      </c>
      <c r="E252" s="14">
        <f>CHOOSE(CONTROL!$C$42, 11.5534, 11.5534) * CHOOSE(CONTROL!$C$21, $C$9, 100%, $E$9)</f>
        <v>11.5534</v>
      </c>
      <c r="F252" s="14">
        <f>CHOOSE(CONTROL!$C$42, 11.483, 11.483)*CHOOSE(CONTROL!$C$21, $C$9, 100%, $E$9)</f>
        <v>11.483000000000001</v>
      </c>
      <c r="G252" s="14">
        <f>CHOOSE(CONTROL!$C$42, 11.501, 11.501)*CHOOSE(CONTROL!$C$21, $C$9, 100%, $E$9)</f>
        <v>11.500999999999999</v>
      </c>
      <c r="H252" s="14">
        <f>CHOOSE(CONTROL!$C$42, 11.5426, 11.5426) * CHOOSE(CONTROL!$C$21, $C$9, 100%, $E$9)</f>
        <v>11.5426</v>
      </c>
      <c r="I252" s="14">
        <f>CHOOSE(CONTROL!$C$42, 11.5174, 11.5174)* CHOOSE(CONTROL!$C$21, $C$9, 100%, $E$9)</f>
        <v>11.5174</v>
      </c>
      <c r="J252" s="14">
        <f>CHOOSE(CONTROL!$C$42, 11.476, 11.476)* CHOOSE(CONTROL!$C$21, $C$9, 100%, $E$9)</f>
        <v>11.476000000000001</v>
      </c>
      <c r="K252" s="52">
        <f>CHOOSE(CONTROL!$C$42, 11.5135, 11.5135) * CHOOSE(CONTROL!$C$21, $C$9, 100%, $E$9)</f>
        <v>11.513500000000001</v>
      </c>
      <c r="L252" s="14">
        <f>CHOOSE(CONTROL!$C$42, 12.1296, 12.1296) * CHOOSE(CONTROL!$C$21, $C$9, 100%, $E$9)</f>
        <v>12.1296</v>
      </c>
      <c r="M252" s="14">
        <f>CHOOSE(CONTROL!$C$42, 11.2486, 11.2486) * CHOOSE(CONTROL!$C$21, $C$9, 100%, $E$9)</f>
        <v>11.2486</v>
      </c>
      <c r="N252" s="14">
        <f>CHOOSE(CONTROL!$C$42, 11.2662, 11.2662) * CHOOSE(CONTROL!$C$21, $C$9, 100%, $E$9)</f>
        <v>11.2662</v>
      </c>
      <c r="O252" s="14">
        <f>CHOOSE(CONTROL!$C$42, 11.3138, 11.3138) * CHOOSE(CONTROL!$C$21, $C$9, 100%, $E$9)</f>
        <v>11.313800000000001</v>
      </c>
      <c r="P252" s="14">
        <f>CHOOSE(CONTROL!$C$42, 11.2884, 11.2884) * CHOOSE(CONTROL!$C$21, $C$9, 100%, $E$9)</f>
        <v>11.288399999999999</v>
      </c>
      <c r="Q252" s="14">
        <f>CHOOSE(CONTROL!$C$42, 11.9085, 11.9085) * CHOOSE(CONTROL!$C$21, $C$9, 100%, $E$9)</f>
        <v>11.9085</v>
      </c>
      <c r="R252" s="14">
        <f>CHOOSE(CONTROL!$C$42, 12.5252, 12.5252) * CHOOSE(CONTROL!$C$21, $C$9, 100%, $E$9)</f>
        <v>12.5252</v>
      </c>
      <c r="S252" s="14">
        <f>CHOOSE(CONTROL!$C$42, 10.9891, 10.9891) * CHOOSE(CONTROL!$C$21, $C$9, 100%, $E$9)</f>
        <v>10.989100000000001</v>
      </c>
      <c r="T25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56">
        <f>(1000*CHOOSE(CONTROL!$C$42, 695, 695)*CHOOSE(CONTROL!$C$42, 0.5599, 0.5599)*CHOOSE(CONTROL!$C$42, 31, 31))/1000000</f>
        <v>12.063045499999998</v>
      </c>
      <c r="V252" s="56">
        <f>(1000*CHOOSE(CONTROL!$C$42, 500, 500)*CHOOSE(CONTROL!$C$42, 0.275, 0.275)*CHOOSE(CONTROL!$C$42, 31, 31))/1000000</f>
        <v>4.2625000000000002</v>
      </c>
      <c r="W252" s="56">
        <f>(1000*CHOOSE(CONTROL!$C$42, 0.1146, 0.1146)*CHOOSE(CONTROL!$C$42, 121.5, 121.5)*CHOOSE(CONTROL!$C$42, 31, 31))/1000000</f>
        <v>0.43164089999999994</v>
      </c>
      <c r="X252" s="56">
        <f>(31*0.1790888*100000/1000000)+(31*0.2374*100000/1000000)</f>
        <v>1.2911152800000001</v>
      </c>
      <c r="Y252" s="56"/>
      <c r="Z252" s="14"/>
      <c r="AA252" s="55"/>
      <c r="AB252" s="49">
        <f>(B252*122.58+C252*297.941+D252*89.177+E252*40.302+F252*40+G252*160+H252*0+I252*100+J252*300)/(122.58+297.941+89.177+40.302+0+40+160+100+300)</f>
        <v>11.479450601043478</v>
      </c>
      <c r="AC252" s="44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11.284890647482014</v>
      </c>
    </row>
    <row r="253" spans="1:29" ht="15.75" x14ac:dyDescent="0.25">
      <c r="A253" s="13">
        <v>48580</v>
      </c>
      <c r="B253" s="14">
        <f>CHOOSE(CONTROL!$C$42, 12.3932, 12.3932) * CHOOSE(CONTROL!$C$21, $C$9, 100%, $E$9)</f>
        <v>12.3932</v>
      </c>
      <c r="C253" s="14">
        <f>CHOOSE(CONTROL!$C$42, 12.3983, 12.3983) * CHOOSE(CONTROL!$C$21, $C$9, 100%, $E$9)</f>
        <v>12.398300000000001</v>
      </c>
      <c r="D253" s="14">
        <f>CHOOSE(CONTROL!$C$42, 12.4777, 12.4777) * CHOOSE(CONTROL!$C$21, $C$9, 100%, $E$9)</f>
        <v>12.4777</v>
      </c>
      <c r="E253" s="14">
        <f>CHOOSE(CONTROL!$C$42, 12.5118, 12.5118) * CHOOSE(CONTROL!$C$21, $C$9, 100%, $E$9)</f>
        <v>12.511799999999999</v>
      </c>
      <c r="F253" s="14">
        <f>CHOOSE(CONTROL!$C$42, 12.4162, 12.4162)*CHOOSE(CONTROL!$C$21, $C$9, 100%, $E$9)</f>
        <v>12.4162</v>
      </c>
      <c r="G253" s="14">
        <f>CHOOSE(CONTROL!$C$42, 12.4338, 12.4338)*CHOOSE(CONTROL!$C$21, $C$9, 100%, $E$9)</f>
        <v>12.4338</v>
      </c>
      <c r="H253" s="14">
        <f>CHOOSE(CONTROL!$C$42, 12.501, 12.501) * CHOOSE(CONTROL!$C$21, $C$9, 100%, $E$9)</f>
        <v>12.500999999999999</v>
      </c>
      <c r="I253" s="14">
        <f>CHOOSE(CONTROL!$C$42, 12.4673, 12.4673)* CHOOSE(CONTROL!$C$21, $C$9, 100%, $E$9)</f>
        <v>12.4673</v>
      </c>
      <c r="J253" s="14">
        <f>CHOOSE(CONTROL!$C$42, 12.4092, 12.4092)* CHOOSE(CONTROL!$C$21, $C$9, 100%, $E$9)</f>
        <v>12.4092</v>
      </c>
      <c r="K253" s="52">
        <f>CHOOSE(CONTROL!$C$42, 12.4634, 12.4634) * CHOOSE(CONTROL!$C$21, $C$9, 100%, $E$9)</f>
        <v>12.4634</v>
      </c>
      <c r="L253" s="14">
        <f>CHOOSE(CONTROL!$C$42, 13.088, 13.088) * CHOOSE(CONTROL!$C$21, $C$9, 100%, $E$9)</f>
        <v>13.087999999999999</v>
      </c>
      <c r="M253" s="14">
        <f>CHOOSE(CONTROL!$C$42, 12.1627, 12.1627) * CHOOSE(CONTROL!$C$21, $C$9, 100%, $E$9)</f>
        <v>12.162699999999999</v>
      </c>
      <c r="N253" s="14">
        <f>CHOOSE(CONTROL!$C$42, 12.1798, 12.1798) * CHOOSE(CONTROL!$C$21, $C$9, 100%, $E$9)</f>
        <v>12.1798</v>
      </c>
      <c r="O253" s="14">
        <f>CHOOSE(CONTROL!$C$42, 12.2526, 12.2526) * CHOOSE(CONTROL!$C$21, $C$9, 100%, $E$9)</f>
        <v>12.252599999999999</v>
      </c>
      <c r="P253" s="14">
        <f>CHOOSE(CONTROL!$C$42, 12.2189, 12.2189) * CHOOSE(CONTROL!$C$21, $C$9, 100%, $E$9)</f>
        <v>12.2189</v>
      </c>
      <c r="Q253" s="14">
        <f>CHOOSE(CONTROL!$C$42, 12.8473, 12.8473) * CHOOSE(CONTROL!$C$21, $C$9, 100%, $E$9)</f>
        <v>12.847300000000001</v>
      </c>
      <c r="R253" s="14">
        <f>CHOOSE(CONTROL!$C$42, 13.4664, 13.4664) * CHOOSE(CONTROL!$C$21, $C$9, 100%, $E$9)</f>
        <v>13.4664</v>
      </c>
      <c r="S253" s="14">
        <f>CHOOSE(CONTROL!$C$42, 11.9001, 11.9001) * CHOOSE(CONTROL!$C$21, $C$9, 100%, $E$9)</f>
        <v>11.9001</v>
      </c>
      <c r="T25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56">
        <f>(1000*CHOOSE(CONTROL!$C$42, 695, 695)*CHOOSE(CONTROL!$C$42, 0.5599, 0.5599)*CHOOSE(CONTROL!$C$42, 31, 31))/1000000</f>
        <v>12.063045499999998</v>
      </c>
      <c r="V253" s="56">
        <f>(1000*CHOOSE(CONTROL!$C$42, 500, 500)*CHOOSE(CONTROL!$C$42, 0.275, 0.275)*CHOOSE(CONTROL!$C$42, 31, 31))/1000000</f>
        <v>4.2625000000000002</v>
      </c>
      <c r="W253" s="56">
        <f>(1000*CHOOSE(CONTROL!$C$42, 0.1146, 0.1146)*CHOOSE(CONTROL!$C$42, 121.5, 121.5)*CHOOSE(CONTROL!$C$42, 31, 31))/1000000</f>
        <v>0.43164089999999994</v>
      </c>
      <c r="X253" s="56">
        <f>(31*0.1790888*100000/1000000)+(31*0.2374*100000/1000000)</f>
        <v>1.2911152800000001</v>
      </c>
      <c r="Y253" s="56"/>
      <c r="Z253" s="14"/>
      <c r="AA253" s="55"/>
      <c r="AB253" s="49">
        <f>(B253*122.58+C253*297.941+D253*89.177+E253*40.302+F253*40+G253*160+H253*0+I253*100+J253*300)/(122.58+297.941+89.177+40.302+0+40+160+100+300)</f>
        <v>12.422296324173912</v>
      </c>
      <c r="AC253" s="44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12.212516546762588</v>
      </c>
    </row>
    <row r="254" spans="1:29" ht="15.75" x14ac:dyDescent="0.25">
      <c r="A254" s="13">
        <v>48611</v>
      </c>
      <c r="B254" s="14">
        <f>CHOOSE(CONTROL!$C$42, 12.6137, 12.6137) * CHOOSE(CONTROL!$C$21, $C$9, 100%, $E$9)</f>
        <v>12.6137</v>
      </c>
      <c r="C254" s="14">
        <f>CHOOSE(CONTROL!$C$42, 12.6187, 12.6187) * CHOOSE(CONTROL!$C$21, $C$9, 100%, $E$9)</f>
        <v>12.6187</v>
      </c>
      <c r="D254" s="14">
        <f>CHOOSE(CONTROL!$C$42, 12.6981, 12.6981) * CHOOSE(CONTROL!$C$21, $C$9, 100%, $E$9)</f>
        <v>12.6981</v>
      </c>
      <c r="E254" s="14">
        <f>CHOOSE(CONTROL!$C$42, 12.7322, 12.7322) * CHOOSE(CONTROL!$C$21, $C$9, 100%, $E$9)</f>
        <v>12.732200000000001</v>
      </c>
      <c r="F254" s="14">
        <f>CHOOSE(CONTROL!$C$42, 12.6364, 12.6364)*CHOOSE(CONTROL!$C$21, $C$9, 100%, $E$9)</f>
        <v>12.6364</v>
      </c>
      <c r="G254" s="14">
        <f>CHOOSE(CONTROL!$C$42, 12.6539, 12.6539)*CHOOSE(CONTROL!$C$21, $C$9, 100%, $E$9)</f>
        <v>12.6539</v>
      </c>
      <c r="H254" s="14">
        <f>CHOOSE(CONTROL!$C$42, 12.7214, 12.7214) * CHOOSE(CONTROL!$C$21, $C$9, 100%, $E$9)</f>
        <v>12.721399999999999</v>
      </c>
      <c r="I254" s="14">
        <f>CHOOSE(CONTROL!$C$42, 12.6884, 12.6884)* CHOOSE(CONTROL!$C$21, $C$9, 100%, $E$9)</f>
        <v>12.6884</v>
      </c>
      <c r="J254" s="14">
        <f>CHOOSE(CONTROL!$C$42, 12.6294, 12.6294)* CHOOSE(CONTROL!$C$21, $C$9, 100%, $E$9)</f>
        <v>12.6294</v>
      </c>
      <c r="K254" s="52">
        <f>CHOOSE(CONTROL!$C$42, 12.6846, 12.6846) * CHOOSE(CONTROL!$C$21, $C$9, 100%, $E$9)</f>
        <v>12.6846</v>
      </c>
      <c r="L254" s="14">
        <f>CHOOSE(CONTROL!$C$42, 13.3084, 13.3084) * CHOOSE(CONTROL!$C$21, $C$9, 100%, $E$9)</f>
        <v>13.308400000000001</v>
      </c>
      <c r="M254" s="14">
        <f>CHOOSE(CONTROL!$C$42, 12.3784, 12.3784) * CHOOSE(CONTROL!$C$21, $C$9, 100%, $E$9)</f>
        <v>12.378399999999999</v>
      </c>
      <c r="N254" s="14">
        <f>CHOOSE(CONTROL!$C$42, 12.3955, 12.3955) * CHOOSE(CONTROL!$C$21, $C$9, 100%, $E$9)</f>
        <v>12.3955</v>
      </c>
      <c r="O254" s="14">
        <f>CHOOSE(CONTROL!$C$42, 12.4685, 12.4685) * CHOOSE(CONTROL!$C$21, $C$9, 100%, $E$9)</f>
        <v>12.468500000000001</v>
      </c>
      <c r="P254" s="14">
        <f>CHOOSE(CONTROL!$C$42, 12.4354, 12.4354) * CHOOSE(CONTROL!$C$21, $C$9, 100%, $E$9)</f>
        <v>12.4354</v>
      </c>
      <c r="Q254" s="14">
        <f>CHOOSE(CONTROL!$C$42, 13.0632, 13.0632) * CHOOSE(CONTROL!$C$21, $C$9, 100%, $E$9)</f>
        <v>13.0632</v>
      </c>
      <c r="R254" s="14">
        <f>CHOOSE(CONTROL!$C$42, 13.6828, 13.6828) * CHOOSE(CONTROL!$C$21, $C$9, 100%, $E$9)</f>
        <v>13.6828</v>
      </c>
      <c r="S254" s="14">
        <f>CHOOSE(CONTROL!$C$42, 12.1119, 12.1119) * CHOOSE(CONTROL!$C$21, $C$9, 100%, $E$9)</f>
        <v>12.1119</v>
      </c>
      <c r="T25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56">
        <f>(1000*CHOOSE(CONTROL!$C$42, 695, 695)*CHOOSE(CONTROL!$C$42, 0.5599, 0.5599)*CHOOSE(CONTROL!$C$42, 28, 28))/1000000</f>
        <v>10.895653999999999</v>
      </c>
      <c r="V254" s="56">
        <f>(1000*CHOOSE(CONTROL!$C$42, 500, 500)*CHOOSE(CONTROL!$C$42, 0.275, 0.275)*CHOOSE(CONTROL!$C$42, 28, 28))/1000000</f>
        <v>3.85</v>
      </c>
      <c r="W254" s="56">
        <f>(1000*CHOOSE(CONTROL!$C$42, 0.1146, 0.1146)*CHOOSE(CONTROL!$C$42, 121.5, 121.5)*CHOOSE(CONTROL!$C$42, 28, 28))/1000000</f>
        <v>0.38986920000000003</v>
      </c>
      <c r="X254" s="56">
        <f>(28*0.1790888*100000/1000000)+(28*0.2374*100000/1000000)</f>
        <v>1.16616864</v>
      </c>
      <c r="Y254" s="56"/>
      <c r="Z254" s="14"/>
      <c r="AA254" s="55"/>
      <c r="AB254" s="49">
        <f>(B254*122.58+C254*297.941+D254*89.177+E254*40.302+F254*40+G254*160+H254*0+I254*100+J254*300)/(122.58+297.941+89.177+40.302+0+40+160+100+300)</f>
        <v>12.642666983304348</v>
      </c>
      <c r="AC254" s="44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12.428422302158271</v>
      </c>
    </row>
    <row r="255" spans="1:29" ht="15.75" x14ac:dyDescent="0.25">
      <c r="A255" s="13">
        <v>48639</v>
      </c>
      <c r="B255" s="14">
        <f>CHOOSE(CONTROL!$C$42, 12.2558, 12.2558) * CHOOSE(CONTROL!$C$21, $C$9, 100%, $E$9)</f>
        <v>12.255800000000001</v>
      </c>
      <c r="C255" s="14">
        <f>CHOOSE(CONTROL!$C$42, 12.2609, 12.2609) * CHOOSE(CONTROL!$C$21, $C$9, 100%, $E$9)</f>
        <v>12.260899999999999</v>
      </c>
      <c r="D255" s="14">
        <f>CHOOSE(CONTROL!$C$42, 12.3403, 12.3403) * CHOOSE(CONTROL!$C$21, $C$9, 100%, $E$9)</f>
        <v>12.340299999999999</v>
      </c>
      <c r="E255" s="14">
        <f>CHOOSE(CONTROL!$C$42, 12.3744, 12.3744) * CHOOSE(CONTROL!$C$21, $C$9, 100%, $E$9)</f>
        <v>12.3744</v>
      </c>
      <c r="F255" s="14">
        <f>CHOOSE(CONTROL!$C$42, 12.2779, 12.2779)*CHOOSE(CONTROL!$C$21, $C$9, 100%, $E$9)</f>
        <v>12.277900000000001</v>
      </c>
      <c r="G255" s="14">
        <f>CHOOSE(CONTROL!$C$42, 12.2951, 12.2951)*CHOOSE(CONTROL!$C$21, $C$9, 100%, $E$9)</f>
        <v>12.2951</v>
      </c>
      <c r="H255" s="14">
        <f>CHOOSE(CONTROL!$C$42, 12.3636, 12.3636) * CHOOSE(CONTROL!$C$21, $C$9, 100%, $E$9)</f>
        <v>12.3636</v>
      </c>
      <c r="I255" s="14">
        <f>CHOOSE(CONTROL!$C$42, 12.3295, 12.3295)* CHOOSE(CONTROL!$C$21, $C$9, 100%, $E$9)</f>
        <v>12.329499999999999</v>
      </c>
      <c r="J255" s="14">
        <f>CHOOSE(CONTROL!$C$42, 12.2709, 12.2709)* CHOOSE(CONTROL!$C$21, $C$9, 100%, $E$9)</f>
        <v>12.270899999999999</v>
      </c>
      <c r="K255" s="52">
        <f>CHOOSE(CONTROL!$C$42, 12.3256, 12.3256) * CHOOSE(CONTROL!$C$21, $C$9, 100%, $E$9)</f>
        <v>12.3256</v>
      </c>
      <c r="L255" s="14">
        <f>CHOOSE(CONTROL!$C$42, 12.9506, 12.9506) * CHOOSE(CONTROL!$C$21, $C$9, 100%, $E$9)</f>
        <v>12.9506</v>
      </c>
      <c r="M255" s="14">
        <f>CHOOSE(CONTROL!$C$42, 12.0271, 12.0271) * CHOOSE(CONTROL!$C$21, $C$9, 100%, $E$9)</f>
        <v>12.027100000000001</v>
      </c>
      <c r="N255" s="14">
        <f>CHOOSE(CONTROL!$C$42, 12.044, 12.044) * CHOOSE(CONTROL!$C$21, $C$9, 100%, $E$9)</f>
        <v>12.044</v>
      </c>
      <c r="O255" s="14">
        <f>CHOOSE(CONTROL!$C$42, 12.118, 12.118) * CHOOSE(CONTROL!$C$21, $C$9, 100%, $E$9)</f>
        <v>12.118</v>
      </c>
      <c r="P255" s="14">
        <f>CHOOSE(CONTROL!$C$42, 12.0839, 12.0839) * CHOOSE(CONTROL!$C$21, $C$9, 100%, $E$9)</f>
        <v>12.0839</v>
      </c>
      <c r="Q255" s="14">
        <f>CHOOSE(CONTROL!$C$42, 12.7127, 12.7127) * CHOOSE(CONTROL!$C$21, $C$9, 100%, $E$9)</f>
        <v>12.7127</v>
      </c>
      <c r="R255" s="14">
        <f>CHOOSE(CONTROL!$C$42, 13.3315, 13.3315) * CHOOSE(CONTROL!$C$21, $C$9, 100%, $E$9)</f>
        <v>13.3315</v>
      </c>
      <c r="S255" s="14">
        <f>CHOOSE(CONTROL!$C$42, 11.7681, 11.7681) * CHOOSE(CONTROL!$C$21, $C$9, 100%, $E$9)</f>
        <v>11.7681</v>
      </c>
      <c r="T25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56">
        <f>(1000*CHOOSE(CONTROL!$C$42, 695, 695)*CHOOSE(CONTROL!$C$42, 0.5599, 0.5599)*CHOOSE(CONTROL!$C$42, 31, 31))/1000000</f>
        <v>12.063045499999998</v>
      </c>
      <c r="V255" s="56">
        <f>(1000*CHOOSE(CONTROL!$C$42, 500, 500)*CHOOSE(CONTROL!$C$42, 0.275, 0.275)*CHOOSE(CONTROL!$C$42, 31, 31))/1000000</f>
        <v>4.2625000000000002</v>
      </c>
      <c r="W255" s="56">
        <f>(1000*CHOOSE(CONTROL!$C$42, 0.1146, 0.1146)*CHOOSE(CONTROL!$C$42, 121.5, 121.5)*CHOOSE(CONTROL!$C$42, 31, 31))/1000000</f>
        <v>0.43164089999999994</v>
      </c>
      <c r="X255" s="56">
        <f>(31*0.1790888*100000/1000000)+(31*0.2374*100000/1000000)</f>
        <v>1.2911152800000001</v>
      </c>
      <c r="Y255" s="56"/>
      <c r="Z255" s="14"/>
      <c r="AA255" s="55"/>
      <c r="AB255" s="49">
        <f>(B255*122.58+C255*297.941+D255*89.177+E255*40.302+F255*40+G255*160+H255*0+I255*100+J255*300)/(122.58+297.941+89.177+40.302+0+40+160+100+300)</f>
        <v>12.284414585043478</v>
      </c>
      <c r="AC255" s="44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12.077444604316547</v>
      </c>
    </row>
    <row r="256" spans="1:29" ht="15.75" x14ac:dyDescent="0.25">
      <c r="A256" s="13">
        <v>48670</v>
      </c>
      <c r="B256" s="14">
        <f>CHOOSE(CONTROL!$C$42, 12.2202, 12.2202) * CHOOSE(CONTROL!$C$21, $C$9, 100%, $E$9)</f>
        <v>12.2202</v>
      </c>
      <c r="C256" s="14">
        <f>CHOOSE(CONTROL!$C$42, 12.2246, 12.2246) * CHOOSE(CONTROL!$C$21, $C$9, 100%, $E$9)</f>
        <v>12.224600000000001</v>
      </c>
      <c r="D256" s="14">
        <f>CHOOSE(CONTROL!$C$42, 12.4536, 12.4536) * CHOOSE(CONTROL!$C$21, $C$9, 100%, $E$9)</f>
        <v>12.4536</v>
      </c>
      <c r="E256" s="14">
        <f>CHOOSE(CONTROL!$C$42, 12.4857, 12.4857) * CHOOSE(CONTROL!$C$21, $C$9, 100%, $E$9)</f>
        <v>12.4857</v>
      </c>
      <c r="F256" s="14">
        <f>CHOOSE(CONTROL!$C$42, 12.2472, 12.2472)*CHOOSE(CONTROL!$C$21, $C$9, 100%, $E$9)</f>
        <v>12.247199999999999</v>
      </c>
      <c r="G256" s="14">
        <f>CHOOSE(CONTROL!$C$42, 12.2639, 12.2639)*CHOOSE(CONTROL!$C$21, $C$9, 100%, $E$9)</f>
        <v>12.2639</v>
      </c>
      <c r="H256" s="14">
        <f>CHOOSE(CONTROL!$C$42, 12.4755, 12.4755) * CHOOSE(CONTROL!$C$21, $C$9, 100%, $E$9)</f>
        <v>12.4755</v>
      </c>
      <c r="I256" s="14">
        <f>CHOOSE(CONTROL!$C$42, 12.2914, 12.2914)* CHOOSE(CONTROL!$C$21, $C$9, 100%, $E$9)</f>
        <v>12.291399999999999</v>
      </c>
      <c r="J256" s="14">
        <f>CHOOSE(CONTROL!$C$42, 12.2402, 12.2402)* CHOOSE(CONTROL!$C$21, $C$9, 100%, $E$9)</f>
        <v>12.2402</v>
      </c>
      <c r="K256" s="52">
        <f>CHOOSE(CONTROL!$C$42, 12.2875, 12.2875) * CHOOSE(CONTROL!$C$21, $C$9, 100%, $E$9)</f>
        <v>12.2875</v>
      </c>
      <c r="L256" s="14">
        <f>CHOOSE(CONTROL!$C$42, 13.0625, 13.0625) * CHOOSE(CONTROL!$C$21, $C$9, 100%, $E$9)</f>
        <v>13.0625</v>
      </c>
      <c r="M256" s="14">
        <f>CHOOSE(CONTROL!$C$42, 11.9971, 11.9971) * CHOOSE(CONTROL!$C$21, $C$9, 100%, $E$9)</f>
        <v>11.9971</v>
      </c>
      <c r="N256" s="14">
        <f>CHOOSE(CONTROL!$C$42, 12.0134, 12.0134) * CHOOSE(CONTROL!$C$21, $C$9, 100%, $E$9)</f>
        <v>12.013400000000001</v>
      </c>
      <c r="O256" s="14">
        <f>CHOOSE(CONTROL!$C$42, 12.2275, 12.2275) * CHOOSE(CONTROL!$C$21, $C$9, 100%, $E$9)</f>
        <v>12.227499999999999</v>
      </c>
      <c r="P256" s="14">
        <f>CHOOSE(CONTROL!$C$42, 12.0465, 12.0465) * CHOOSE(CONTROL!$C$21, $C$9, 100%, $E$9)</f>
        <v>12.0465</v>
      </c>
      <c r="Q256" s="14">
        <f>CHOOSE(CONTROL!$C$42, 12.8222, 12.8222) * CHOOSE(CONTROL!$C$21, $C$9, 100%, $E$9)</f>
        <v>12.8222</v>
      </c>
      <c r="R256" s="14">
        <f>CHOOSE(CONTROL!$C$42, 13.4413, 13.4413) * CHOOSE(CONTROL!$C$21, $C$9, 100%, $E$9)</f>
        <v>13.4413</v>
      </c>
      <c r="S256" s="14">
        <f>CHOOSE(CONTROL!$C$42, 11.7331, 11.7331) * CHOOSE(CONTROL!$C$21, $C$9, 100%, $E$9)</f>
        <v>11.7331</v>
      </c>
      <c r="T25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56">
        <f>(1000*CHOOSE(CONTROL!$C$42, 695, 695)*CHOOSE(CONTROL!$C$42, 0.5599, 0.5599)*CHOOSE(CONTROL!$C$42, 30, 30))/1000000</f>
        <v>11.673914999999997</v>
      </c>
      <c r="V256" s="56">
        <f>(1000*CHOOSE(CONTROL!$C$42, 500, 500)*CHOOSE(CONTROL!$C$42, 0.275, 0.275)*CHOOSE(CONTROL!$C$42, 30, 30))/1000000</f>
        <v>4.125</v>
      </c>
      <c r="W256" s="56">
        <f>(1000*CHOOSE(CONTROL!$C$42, 0.1146, 0.1146)*CHOOSE(CONTROL!$C$42, 121.5, 121.5)*CHOOSE(CONTROL!$C$42, 30, 30))/1000000</f>
        <v>0.417717</v>
      </c>
      <c r="X256" s="56">
        <f>(30*0.1790888*245000/1000000)+(30*0.2374*100000/1000000)</f>
        <v>2.0285026799999999</v>
      </c>
      <c r="Y256" s="56"/>
      <c r="Z256" s="14"/>
      <c r="AA256" s="55"/>
      <c r="AB256" s="49">
        <f>(B256*141.293+C256*267.993+D256*115.016+E256*89.698+F256*40+G256*185+H256*0+I256*100+J256*300)/(141.293+267.993+115.016+89.698+0+40+185+100+300)</f>
        <v>12.28002503841808</v>
      </c>
      <c r="AC256" s="44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12.072605035971222</v>
      </c>
    </row>
    <row r="257" spans="1:29" ht="15.75" x14ac:dyDescent="0.25">
      <c r="A257" s="13">
        <v>48700</v>
      </c>
      <c r="B257" s="14">
        <f>CHOOSE(CONTROL!$C$42, 12.3293, 12.3293) * CHOOSE(CONTROL!$C$21, $C$9, 100%, $E$9)</f>
        <v>12.3293</v>
      </c>
      <c r="C257" s="14">
        <f>CHOOSE(CONTROL!$C$42, 12.3373, 12.3373) * CHOOSE(CONTROL!$C$21, $C$9, 100%, $E$9)</f>
        <v>12.337300000000001</v>
      </c>
      <c r="D257" s="14">
        <f>CHOOSE(CONTROL!$C$42, 12.5631, 12.5631) * CHOOSE(CONTROL!$C$21, $C$9, 100%, $E$9)</f>
        <v>12.5631</v>
      </c>
      <c r="E257" s="14">
        <f>CHOOSE(CONTROL!$C$42, 12.5946, 12.5946) * CHOOSE(CONTROL!$C$21, $C$9, 100%, $E$9)</f>
        <v>12.5946</v>
      </c>
      <c r="F257" s="14">
        <f>CHOOSE(CONTROL!$C$42, 12.355, 12.355)*CHOOSE(CONTROL!$C$21, $C$9, 100%, $E$9)</f>
        <v>12.355</v>
      </c>
      <c r="G257" s="14">
        <f>CHOOSE(CONTROL!$C$42, 12.3719, 12.3719)*CHOOSE(CONTROL!$C$21, $C$9, 100%, $E$9)</f>
        <v>12.3719</v>
      </c>
      <c r="H257" s="14">
        <f>CHOOSE(CONTROL!$C$42, 12.5832, 12.5832) * CHOOSE(CONTROL!$C$21, $C$9, 100%, $E$9)</f>
        <v>12.5832</v>
      </c>
      <c r="I257" s="14">
        <f>CHOOSE(CONTROL!$C$42, 12.3995, 12.3995)* CHOOSE(CONTROL!$C$21, $C$9, 100%, $E$9)</f>
        <v>12.3995</v>
      </c>
      <c r="J257" s="14">
        <f>CHOOSE(CONTROL!$C$42, 12.348, 12.348)* CHOOSE(CONTROL!$C$21, $C$9, 100%, $E$9)</f>
        <v>12.348000000000001</v>
      </c>
      <c r="K257" s="52">
        <f>CHOOSE(CONTROL!$C$42, 12.3956, 12.3956) * CHOOSE(CONTROL!$C$21, $C$9, 100%, $E$9)</f>
        <v>12.3956</v>
      </c>
      <c r="L257" s="14">
        <f>CHOOSE(CONTROL!$C$42, 13.1702, 13.1702) * CHOOSE(CONTROL!$C$21, $C$9, 100%, $E$9)</f>
        <v>13.170199999999999</v>
      </c>
      <c r="M257" s="14">
        <f>CHOOSE(CONTROL!$C$42, 12.1027, 12.1027) * CHOOSE(CONTROL!$C$21, $C$9, 100%, $E$9)</f>
        <v>12.1027</v>
      </c>
      <c r="N257" s="14">
        <f>CHOOSE(CONTROL!$C$42, 12.1193, 12.1193) * CHOOSE(CONTROL!$C$21, $C$9, 100%, $E$9)</f>
        <v>12.119300000000001</v>
      </c>
      <c r="O257" s="14">
        <f>CHOOSE(CONTROL!$C$42, 12.3331, 12.3331) * CHOOSE(CONTROL!$C$21, $C$9, 100%, $E$9)</f>
        <v>12.3331</v>
      </c>
      <c r="P257" s="14">
        <f>CHOOSE(CONTROL!$C$42, 12.1524, 12.1524) * CHOOSE(CONTROL!$C$21, $C$9, 100%, $E$9)</f>
        <v>12.1524</v>
      </c>
      <c r="Q257" s="14">
        <f>CHOOSE(CONTROL!$C$42, 12.9278, 12.9278) * CHOOSE(CONTROL!$C$21, $C$9, 100%, $E$9)</f>
        <v>12.9278</v>
      </c>
      <c r="R257" s="14">
        <f>CHOOSE(CONTROL!$C$42, 13.5471, 13.5471) * CHOOSE(CONTROL!$C$21, $C$9, 100%, $E$9)</f>
        <v>13.5471</v>
      </c>
      <c r="S257" s="14">
        <f>CHOOSE(CONTROL!$C$42, 11.8366, 11.8366) * CHOOSE(CONTROL!$C$21, $C$9, 100%, $E$9)</f>
        <v>11.836600000000001</v>
      </c>
      <c r="T25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56">
        <f>(1000*CHOOSE(CONTROL!$C$42, 695, 695)*CHOOSE(CONTROL!$C$42, 0.5599, 0.5599)*CHOOSE(CONTROL!$C$42, 31, 31))/1000000</f>
        <v>12.063045499999998</v>
      </c>
      <c r="V257" s="56">
        <f>(1000*CHOOSE(CONTROL!$C$42, 500, 500)*CHOOSE(CONTROL!$C$42, 0.275, 0.275)*CHOOSE(CONTROL!$C$42, 31, 31))/1000000</f>
        <v>4.2625000000000002</v>
      </c>
      <c r="W257" s="56">
        <f>(1000*CHOOSE(CONTROL!$C$42, 0.1146, 0.1146)*CHOOSE(CONTROL!$C$42, 121.5, 121.5)*CHOOSE(CONTROL!$C$42, 31, 31))/1000000</f>
        <v>0.43164089999999994</v>
      </c>
      <c r="X257" s="56">
        <f>(31*0.1790888*245000/1000000)+(31*0.2374*100000/1000000)</f>
        <v>2.0961194359999999</v>
      </c>
      <c r="Y257" s="56"/>
      <c r="Z257" s="14"/>
      <c r="AA257" s="55"/>
      <c r="AB257" s="49">
        <f>(B257*194.205+C257*267.466+D257*133.845+E257*53.484+F257*40+G257*185+H257*0+I257*100+J257*300)/(194.205+267.466+133.845+53.484+0+40+185+100+300)</f>
        <v>12.383586494662481</v>
      </c>
      <c r="AC257" s="44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12.178317266187051</v>
      </c>
    </row>
    <row r="258" spans="1:29" ht="15.75" x14ac:dyDescent="0.25">
      <c r="A258" s="13">
        <v>48731</v>
      </c>
      <c r="B258" s="14">
        <f>CHOOSE(CONTROL!$C$42, 12.6787, 12.6787) * CHOOSE(CONTROL!$C$21, $C$9, 100%, $E$9)</f>
        <v>12.678699999999999</v>
      </c>
      <c r="C258" s="14">
        <f>CHOOSE(CONTROL!$C$42, 12.6867, 12.6867) * CHOOSE(CONTROL!$C$21, $C$9, 100%, $E$9)</f>
        <v>12.6867</v>
      </c>
      <c r="D258" s="14">
        <f>CHOOSE(CONTROL!$C$42, 12.9125, 12.9125) * CHOOSE(CONTROL!$C$21, $C$9, 100%, $E$9)</f>
        <v>12.9125</v>
      </c>
      <c r="E258" s="14">
        <f>CHOOSE(CONTROL!$C$42, 12.944, 12.944) * CHOOSE(CONTROL!$C$21, $C$9, 100%, $E$9)</f>
        <v>12.944000000000001</v>
      </c>
      <c r="F258" s="14">
        <f>CHOOSE(CONTROL!$C$42, 12.7048, 12.7048)*CHOOSE(CONTROL!$C$21, $C$9, 100%, $E$9)</f>
        <v>12.704800000000001</v>
      </c>
      <c r="G258" s="14">
        <f>CHOOSE(CONTROL!$C$42, 12.7219, 12.7219)*CHOOSE(CONTROL!$C$21, $C$9, 100%, $E$9)</f>
        <v>12.7219</v>
      </c>
      <c r="H258" s="14">
        <f>CHOOSE(CONTROL!$C$42, 12.9326, 12.9326) * CHOOSE(CONTROL!$C$21, $C$9, 100%, $E$9)</f>
        <v>12.932600000000001</v>
      </c>
      <c r="I258" s="14">
        <f>CHOOSE(CONTROL!$C$42, 12.75, 12.75)* CHOOSE(CONTROL!$C$21, $C$9, 100%, $E$9)</f>
        <v>12.75</v>
      </c>
      <c r="J258" s="14">
        <f>CHOOSE(CONTROL!$C$42, 12.6978, 12.6978)* CHOOSE(CONTROL!$C$21, $C$9, 100%, $E$9)</f>
        <v>12.697800000000001</v>
      </c>
      <c r="K258" s="52">
        <f>CHOOSE(CONTROL!$C$42, 12.7461, 12.7461) * CHOOSE(CONTROL!$C$21, $C$9, 100%, $E$9)</f>
        <v>12.7461</v>
      </c>
      <c r="L258" s="14">
        <f>CHOOSE(CONTROL!$C$42, 13.5196, 13.5196) * CHOOSE(CONTROL!$C$21, $C$9, 100%, $E$9)</f>
        <v>13.519600000000001</v>
      </c>
      <c r="M258" s="14">
        <f>CHOOSE(CONTROL!$C$42, 12.4453, 12.4453) * CHOOSE(CONTROL!$C$21, $C$9, 100%, $E$9)</f>
        <v>12.4453</v>
      </c>
      <c r="N258" s="14">
        <f>CHOOSE(CONTROL!$C$42, 12.4621, 12.4621) * CHOOSE(CONTROL!$C$21, $C$9, 100%, $E$9)</f>
        <v>12.4621</v>
      </c>
      <c r="O258" s="14">
        <f>CHOOSE(CONTROL!$C$42, 12.6753, 12.6753) * CHOOSE(CONTROL!$C$21, $C$9, 100%, $E$9)</f>
        <v>12.6753</v>
      </c>
      <c r="P258" s="14">
        <f>CHOOSE(CONTROL!$C$42, 12.4957, 12.4957) * CHOOSE(CONTROL!$C$21, $C$9, 100%, $E$9)</f>
        <v>12.495699999999999</v>
      </c>
      <c r="Q258" s="14">
        <f>CHOOSE(CONTROL!$C$42, 13.27, 13.27) * CHOOSE(CONTROL!$C$21, $C$9, 100%, $E$9)</f>
        <v>13.27</v>
      </c>
      <c r="R258" s="14">
        <f>CHOOSE(CONTROL!$C$42, 13.8902, 13.8902) * CHOOSE(CONTROL!$C$21, $C$9, 100%, $E$9)</f>
        <v>13.8902</v>
      </c>
      <c r="S258" s="14">
        <f>CHOOSE(CONTROL!$C$42, 12.1723, 12.1723) * CHOOSE(CONTROL!$C$21, $C$9, 100%, $E$9)</f>
        <v>12.1723</v>
      </c>
      <c r="T25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56">
        <f>(1000*CHOOSE(CONTROL!$C$42, 695, 695)*CHOOSE(CONTROL!$C$42, 0.5599, 0.5599)*CHOOSE(CONTROL!$C$42, 30, 30))/1000000</f>
        <v>11.673914999999997</v>
      </c>
      <c r="V258" s="56">
        <f>(1000*CHOOSE(CONTROL!$C$42, 500, 500)*CHOOSE(CONTROL!$C$42, 0.275, 0.275)*CHOOSE(CONTROL!$C$42, 30, 30))/1000000</f>
        <v>4.125</v>
      </c>
      <c r="W258" s="56">
        <f>(1000*CHOOSE(CONTROL!$C$42, 0.1146, 0.1146)*CHOOSE(CONTROL!$C$42, 121.5, 121.5)*CHOOSE(CONTROL!$C$42, 30, 30))/1000000</f>
        <v>0.417717</v>
      </c>
      <c r="X258" s="56">
        <f>(30*0.1790888*245000/1000000)+(30*0.2374*100000/1000000)</f>
        <v>2.0285026799999999</v>
      </c>
      <c r="Y258" s="56"/>
      <c r="Z258" s="14"/>
      <c r="AA258" s="55"/>
      <c r="AB258" s="49">
        <f>(B258*194.205+C258*267.466+D258*133.845+E258*53.484+F258*40+G258*185+H258*0+I258*100+J258*300)/(194.205+267.466+133.845+53.484+0+40+185+100+300)</f>
        <v>12.733266714442699</v>
      </c>
      <c r="AC258" s="44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12.520951798561152</v>
      </c>
    </row>
    <row r="259" spans="1:29" ht="15.75" x14ac:dyDescent="0.25">
      <c r="A259" s="13">
        <v>48761</v>
      </c>
      <c r="B259" s="14">
        <f>CHOOSE(CONTROL!$C$42, 12.4357, 12.4357) * CHOOSE(CONTROL!$C$21, $C$9, 100%, $E$9)</f>
        <v>12.435700000000001</v>
      </c>
      <c r="C259" s="14">
        <f>CHOOSE(CONTROL!$C$42, 12.4437, 12.4437) * CHOOSE(CONTROL!$C$21, $C$9, 100%, $E$9)</f>
        <v>12.4437</v>
      </c>
      <c r="D259" s="14">
        <f>CHOOSE(CONTROL!$C$42, 12.6695, 12.6695) * CHOOSE(CONTROL!$C$21, $C$9, 100%, $E$9)</f>
        <v>12.669499999999999</v>
      </c>
      <c r="E259" s="14">
        <f>CHOOSE(CONTROL!$C$42, 12.701, 12.701) * CHOOSE(CONTROL!$C$21, $C$9, 100%, $E$9)</f>
        <v>12.701000000000001</v>
      </c>
      <c r="F259" s="14">
        <f>CHOOSE(CONTROL!$C$42, 12.4623, 12.4623)*CHOOSE(CONTROL!$C$21, $C$9, 100%, $E$9)</f>
        <v>12.462300000000001</v>
      </c>
      <c r="G259" s="14">
        <f>CHOOSE(CONTROL!$C$42, 12.4795, 12.4795)*CHOOSE(CONTROL!$C$21, $C$9, 100%, $E$9)</f>
        <v>12.4795</v>
      </c>
      <c r="H259" s="14">
        <f>CHOOSE(CONTROL!$C$42, 12.6896, 12.6896) * CHOOSE(CONTROL!$C$21, $C$9, 100%, $E$9)</f>
        <v>12.6896</v>
      </c>
      <c r="I259" s="14">
        <f>CHOOSE(CONTROL!$C$42, 12.5062, 12.5062)* CHOOSE(CONTROL!$C$21, $C$9, 100%, $E$9)</f>
        <v>12.5062</v>
      </c>
      <c r="J259" s="14">
        <f>CHOOSE(CONTROL!$C$42, 12.4553, 12.4553)* CHOOSE(CONTROL!$C$21, $C$9, 100%, $E$9)</f>
        <v>12.455299999999999</v>
      </c>
      <c r="K259" s="52">
        <f>CHOOSE(CONTROL!$C$42, 12.5023, 12.5023) * CHOOSE(CONTROL!$C$21, $C$9, 100%, $E$9)</f>
        <v>12.5023</v>
      </c>
      <c r="L259" s="14">
        <f>CHOOSE(CONTROL!$C$42, 13.2766, 13.2766) * CHOOSE(CONTROL!$C$21, $C$9, 100%, $E$9)</f>
        <v>13.2766</v>
      </c>
      <c r="M259" s="14">
        <f>CHOOSE(CONTROL!$C$42, 12.2078, 12.2078) * CHOOSE(CONTROL!$C$21, $C$9, 100%, $E$9)</f>
        <v>12.207800000000001</v>
      </c>
      <c r="N259" s="14">
        <f>CHOOSE(CONTROL!$C$42, 12.2246, 12.2246) * CHOOSE(CONTROL!$C$21, $C$9, 100%, $E$9)</f>
        <v>12.224600000000001</v>
      </c>
      <c r="O259" s="14">
        <f>CHOOSE(CONTROL!$C$42, 12.4373, 12.4373) * CHOOSE(CONTROL!$C$21, $C$9, 100%, $E$9)</f>
        <v>12.4373</v>
      </c>
      <c r="P259" s="14">
        <f>CHOOSE(CONTROL!$C$42, 12.2569, 12.2569) * CHOOSE(CONTROL!$C$21, $C$9, 100%, $E$9)</f>
        <v>12.2569</v>
      </c>
      <c r="Q259" s="14">
        <f>CHOOSE(CONTROL!$C$42, 13.032, 13.032) * CHOOSE(CONTROL!$C$21, $C$9, 100%, $E$9)</f>
        <v>13.032</v>
      </c>
      <c r="R259" s="14">
        <f>CHOOSE(CONTROL!$C$42, 13.6516, 13.6516) * CHOOSE(CONTROL!$C$21, $C$9, 100%, $E$9)</f>
        <v>13.6516</v>
      </c>
      <c r="S259" s="14">
        <f>CHOOSE(CONTROL!$C$42, 11.9388, 11.9388) * CHOOSE(CONTROL!$C$21, $C$9, 100%, $E$9)</f>
        <v>11.938800000000001</v>
      </c>
      <c r="T25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56">
        <f>(1000*CHOOSE(CONTROL!$C$42, 695, 695)*CHOOSE(CONTROL!$C$42, 0.5599, 0.5599)*CHOOSE(CONTROL!$C$42, 31, 31))/1000000</f>
        <v>12.063045499999998</v>
      </c>
      <c r="V259" s="56">
        <f>(1000*CHOOSE(CONTROL!$C$42, 500, 500)*CHOOSE(CONTROL!$C$42, 0.275, 0.275)*CHOOSE(CONTROL!$C$42, 31, 31))/1000000</f>
        <v>4.2625000000000002</v>
      </c>
      <c r="W259" s="56">
        <f>(1000*CHOOSE(CONTROL!$C$42, 0.1146, 0.1146)*CHOOSE(CONTROL!$C$42, 121.5, 121.5)*CHOOSE(CONTROL!$C$42, 31, 31))/1000000</f>
        <v>0.43164089999999994</v>
      </c>
      <c r="X259" s="56">
        <f>(31*0.1790888*245000/1000000)+(31*0.2374*100000/1000000)</f>
        <v>2.0961194359999999</v>
      </c>
      <c r="Y259" s="56"/>
      <c r="Z259" s="14"/>
      <c r="AA259" s="55"/>
      <c r="AB259" s="49">
        <f>(B259*194.205+C259*267.466+D259*133.845+E259*53.484+F259*40+G259*185+H259*0+I259*100+J259*300)/(194.205+267.466+133.845+53.484+0+40+185+100+300)</f>
        <v>12.490424485243329</v>
      </c>
      <c r="AC259" s="44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12.283124460431656</v>
      </c>
    </row>
    <row r="260" spans="1:29" ht="15.75" x14ac:dyDescent="0.25">
      <c r="A260" s="13">
        <v>48792</v>
      </c>
      <c r="B260" s="14">
        <f>CHOOSE(CONTROL!$C$42, 11.822, 11.822) * CHOOSE(CONTROL!$C$21, $C$9, 100%, $E$9)</f>
        <v>11.821999999999999</v>
      </c>
      <c r="C260" s="14">
        <f>CHOOSE(CONTROL!$C$42, 11.8301, 11.8301) * CHOOSE(CONTROL!$C$21, $C$9, 100%, $E$9)</f>
        <v>11.8301</v>
      </c>
      <c r="D260" s="14">
        <f>CHOOSE(CONTROL!$C$42, 12.0558, 12.0558) * CHOOSE(CONTROL!$C$21, $C$9, 100%, $E$9)</f>
        <v>12.0558</v>
      </c>
      <c r="E260" s="14">
        <f>CHOOSE(CONTROL!$C$42, 12.0873, 12.0873) * CHOOSE(CONTROL!$C$21, $C$9, 100%, $E$9)</f>
        <v>12.087300000000001</v>
      </c>
      <c r="F260" s="14">
        <f>CHOOSE(CONTROL!$C$42, 11.8488, 11.8488)*CHOOSE(CONTROL!$C$21, $C$9, 100%, $E$9)</f>
        <v>11.848800000000001</v>
      </c>
      <c r="G260" s="14">
        <f>CHOOSE(CONTROL!$C$42, 11.8661, 11.8661)*CHOOSE(CONTROL!$C$21, $C$9, 100%, $E$9)</f>
        <v>11.866099999999999</v>
      </c>
      <c r="H260" s="14">
        <f>CHOOSE(CONTROL!$C$42, 12.0759, 12.0759) * CHOOSE(CONTROL!$C$21, $C$9, 100%, $E$9)</f>
        <v>12.075900000000001</v>
      </c>
      <c r="I260" s="14">
        <f>CHOOSE(CONTROL!$C$42, 11.8906, 11.8906)* CHOOSE(CONTROL!$C$21, $C$9, 100%, $E$9)</f>
        <v>11.890599999999999</v>
      </c>
      <c r="J260" s="14">
        <f>CHOOSE(CONTROL!$C$42, 11.8418, 11.8418)* CHOOSE(CONTROL!$C$21, $C$9, 100%, $E$9)</f>
        <v>11.841799999999999</v>
      </c>
      <c r="K260" s="52">
        <f>CHOOSE(CONTROL!$C$42, 11.8867, 11.8867) * CHOOSE(CONTROL!$C$21, $C$9, 100%, $E$9)</f>
        <v>11.886699999999999</v>
      </c>
      <c r="L260" s="14">
        <f>CHOOSE(CONTROL!$C$42, 12.6629, 12.6629) * CHOOSE(CONTROL!$C$21, $C$9, 100%, $E$9)</f>
        <v>12.6629</v>
      </c>
      <c r="M260" s="14">
        <f>CHOOSE(CONTROL!$C$42, 11.6069, 11.6069) * CHOOSE(CONTROL!$C$21, $C$9, 100%, $E$9)</f>
        <v>11.6069</v>
      </c>
      <c r="N260" s="14">
        <f>CHOOSE(CONTROL!$C$42, 11.6238, 11.6238) * CHOOSE(CONTROL!$C$21, $C$9, 100%, $E$9)</f>
        <v>11.623799999999999</v>
      </c>
      <c r="O260" s="14">
        <f>CHOOSE(CONTROL!$C$42, 11.8362, 11.8362) * CHOOSE(CONTROL!$C$21, $C$9, 100%, $E$9)</f>
        <v>11.8362</v>
      </c>
      <c r="P260" s="14">
        <f>CHOOSE(CONTROL!$C$42, 11.654, 11.654) * CHOOSE(CONTROL!$C$21, $C$9, 100%, $E$9)</f>
        <v>11.654</v>
      </c>
      <c r="Q260" s="14">
        <f>CHOOSE(CONTROL!$C$42, 12.4309, 12.4309) * CHOOSE(CONTROL!$C$21, $C$9, 100%, $E$9)</f>
        <v>12.430899999999999</v>
      </c>
      <c r="R260" s="14">
        <f>CHOOSE(CONTROL!$C$42, 13.049, 13.049) * CHOOSE(CONTROL!$C$21, $C$9, 100%, $E$9)</f>
        <v>13.048999999999999</v>
      </c>
      <c r="S260" s="14">
        <f>CHOOSE(CONTROL!$C$42, 11.3492, 11.3492) * CHOOSE(CONTROL!$C$21, $C$9, 100%, $E$9)</f>
        <v>11.3492</v>
      </c>
      <c r="T26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56">
        <f>(1000*CHOOSE(CONTROL!$C$42, 695, 695)*CHOOSE(CONTROL!$C$42, 0.5599, 0.5599)*CHOOSE(CONTROL!$C$42, 31, 31))/1000000</f>
        <v>12.063045499999998</v>
      </c>
      <c r="V260" s="56">
        <f>(1000*CHOOSE(CONTROL!$C$42, 500, 500)*CHOOSE(CONTROL!$C$42, 0.275, 0.275)*CHOOSE(CONTROL!$C$42, 31, 31))/1000000</f>
        <v>4.2625000000000002</v>
      </c>
      <c r="W260" s="56">
        <f>(1000*CHOOSE(CONTROL!$C$42, 0.1146, 0.1146)*CHOOSE(CONTROL!$C$42, 121.5, 121.5)*CHOOSE(CONTROL!$C$42, 31, 31))/1000000</f>
        <v>0.43164089999999994</v>
      </c>
      <c r="X260" s="56">
        <f>(31*0.1790888*245000/1000000)+(31*0.2374*100000/1000000)</f>
        <v>2.0961194359999999</v>
      </c>
      <c r="Y260" s="56"/>
      <c r="Z260" s="14"/>
      <c r="AA260" s="55"/>
      <c r="AB260" s="49">
        <f>(B260*194.205+C260*267.466+D260*133.845+E260*53.484+F260*40+G260*185+H260*0+I260*100+J260*300)/(194.205+267.466+133.845+53.484+0+40+185+100+300)</f>
        <v>11.876693281632653</v>
      </c>
      <c r="AC260" s="44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11.6819035971223</v>
      </c>
    </row>
    <row r="261" spans="1:29" ht="15.75" x14ac:dyDescent="0.25">
      <c r="A261" s="13">
        <v>48823</v>
      </c>
      <c r="B261" s="14">
        <f>CHOOSE(CONTROL!$C$42, 11.072, 11.072) * CHOOSE(CONTROL!$C$21, $C$9, 100%, $E$9)</f>
        <v>11.071999999999999</v>
      </c>
      <c r="C261" s="14">
        <f>CHOOSE(CONTROL!$C$42, 11.08, 11.08) * CHOOSE(CONTROL!$C$21, $C$9, 100%, $E$9)</f>
        <v>11.08</v>
      </c>
      <c r="D261" s="14">
        <f>CHOOSE(CONTROL!$C$42, 11.3058, 11.3058) * CHOOSE(CONTROL!$C$21, $C$9, 100%, $E$9)</f>
        <v>11.3058</v>
      </c>
      <c r="E261" s="14">
        <f>CHOOSE(CONTROL!$C$42, 11.3373, 11.3373) * CHOOSE(CONTROL!$C$21, $C$9, 100%, $E$9)</f>
        <v>11.337300000000001</v>
      </c>
      <c r="F261" s="14">
        <f>CHOOSE(CONTROL!$C$42, 11.0988, 11.0988)*CHOOSE(CONTROL!$C$21, $C$9, 100%, $E$9)</f>
        <v>11.098800000000001</v>
      </c>
      <c r="G261" s="14">
        <f>CHOOSE(CONTROL!$C$42, 11.1161, 11.1161)*CHOOSE(CONTROL!$C$21, $C$9, 100%, $E$9)</f>
        <v>11.116099999999999</v>
      </c>
      <c r="H261" s="14">
        <f>CHOOSE(CONTROL!$C$42, 11.3259, 11.3259) * CHOOSE(CONTROL!$C$21, $C$9, 100%, $E$9)</f>
        <v>11.325900000000001</v>
      </c>
      <c r="I261" s="14">
        <f>CHOOSE(CONTROL!$C$42, 11.1382, 11.1382)* CHOOSE(CONTROL!$C$21, $C$9, 100%, $E$9)</f>
        <v>11.138199999999999</v>
      </c>
      <c r="J261" s="14">
        <f>CHOOSE(CONTROL!$C$42, 11.0918, 11.0918)* CHOOSE(CONTROL!$C$21, $C$9, 100%, $E$9)</f>
        <v>11.091799999999999</v>
      </c>
      <c r="K261" s="52">
        <f>CHOOSE(CONTROL!$C$42, 11.1343, 11.1343) * CHOOSE(CONTROL!$C$21, $C$9, 100%, $E$9)</f>
        <v>11.1343</v>
      </c>
      <c r="L261" s="14">
        <f>CHOOSE(CONTROL!$C$42, 11.9129, 11.9129) * CHOOSE(CONTROL!$C$21, $C$9, 100%, $E$9)</f>
        <v>11.9129</v>
      </c>
      <c r="M261" s="14">
        <f>CHOOSE(CONTROL!$C$42, 10.8723, 10.8723) * CHOOSE(CONTROL!$C$21, $C$9, 100%, $E$9)</f>
        <v>10.872299999999999</v>
      </c>
      <c r="N261" s="14">
        <f>CHOOSE(CONTROL!$C$42, 10.8892, 10.8892) * CHOOSE(CONTROL!$C$21, $C$9, 100%, $E$9)</f>
        <v>10.889200000000001</v>
      </c>
      <c r="O261" s="14">
        <f>CHOOSE(CONTROL!$C$42, 11.1016, 11.1016) * CHOOSE(CONTROL!$C$21, $C$9, 100%, $E$9)</f>
        <v>11.101599999999999</v>
      </c>
      <c r="P261" s="14">
        <f>CHOOSE(CONTROL!$C$42, 10.9171, 10.9171) * CHOOSE(CONTROL!$C$21, $C$9, 100%, $E$9)</f>
        <v>10.9171</v>
      </c>
      <c r="Q261" s="14">
        <f>CHOOSE(CONTROL!$C$42, 11.6963, 11.6963) * CHOOSE(CONTROL!$C$21, $C$9, 100%, $E$9)</f>
        <v>11.696300000000001</v>
      </c>
      <c r="R261" s="14">
        <f>CHOOSE(CONTROL!$C$42, 12.3125, 12.3125) * CHOOSE(CONTROL!$C$21, $C$9, 100%, $E$9)</f>
        <v>12.3125</v>
      </c>
      <c r="S261" s="14">
        <f>CHOOSE(CONTROL!$C$42, 10.6285, 10.6285) * CHOOSE(CONTROL!$C$21, $C$9, 100%, $E$9)</f>
        <v>10.628500000000001</v>
      </c>
      <c r="T26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56">
        <f>(1000*CHOOSE(CONTROL!$C$42, 695, 695)*CHOOSE(CONTROL!$C$42, 0.5599, 0.5599)*CHOOSE(CONTROL!$C$42, 30, 30))/1000000</f>
        <v>11.673914999999997</v>
      </c>
      <c r="V261" s="56">
        <f>(1000*CHOOSE(CONTROL!$C$42, 500, 500)*CHOOSE(CONTROL!$C$42, 0.275, 0.275)*CHOOSE(CONTROL!$C$42, 30, 30))/1000000</f>
        <v>4.125</v>
      </c>
      <c r="W261" s="56">
        <f>(1000*CHOOSE(CONTROL!$C$42, 0.1146, 0.1146)*CHOOSE(CONTROL!$C$42, 121.5, 121.5)*CHOOSE(CONTROL!$C$42, 30, 30))/1000000</f>
        <v>0.417717</v>
      </c>
      <c r="X261" s="56">
        <f>(30*0.1790888*245000/1000000)+(30*0.2374*100000/1000000)</f>
        <v>2.0285026799999999</v>
      </c>
      <c r="Y261" s="56"/>
      <c r="Z261" s="14"/>
      <c r="AA261" s="55"/>
      <c r="AB261" s="49">
        <f>(B261*194.205+C261*267.466+D261*133.845+E261*53.484+F261*40+G261*185+H261*0+I261*100+J261*300)/(194.205+267.466+133.845+53.484+0+40+185+100+300)</f>
        <v>11.126483904395606</v>
      </c>
      <c r="AC261" s="44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10.946972661870504</v>
      </c>
    </row>
    <row r="262" spans="1:29" ht="15.75" x14ac:dyDescent="0.25">
      <c r="A262" s="13">
        <v>48853</v>
      </c>
      <c r="B262" s="14">
        <f>CHOOSE(CONTROL!$C$42, 10.8457, 10.8457) * CHOOSE(CONTROL!$C$21, $C$9, 100%, $E$9)</f>
        <v>10.845700000000001</v>
      </c>
      <c r="C262" s="14">
        <f>CHOOSE(CONTROL!$C$42, 10.851, 10.851) * CHOOSE(CONTROL!$C$21, $C$9, 100%, $E$9)</f>
        <v>10.851000000000001</v>
      </c>
      <c r="D262" s="14">
        <f>CHOOSE(CONTROL!$C$42, 11.0818, 11.0818) * CHOOSE(CONTROL!$C$21, $C$9, 100%, $E$9)</f>
        <v>11.081799999999999</v>
      </c>
      <c r="E262" s="14">
        <f>CHOOSE(CONTROL!$C$42, 11.1109, 11.1109) * CHOOSE(CONTROL!$C$21, $C$9, 100%, $E$9)</f>
        <v>11.110900000000001</v>
      </c>
      <c r="F262" s="14">
        <f>CHOOSE(CONTROL!$C$42, 10.8746, 10.8746)*CHOOSE(CONTROL!$C$21, $C$9, 100%, $E$9)</f>
        <v>10.874599999999999</v>
      </c>
      <c r="G262" s="14">
        <f>CHOOSE(CONTROL!$C$42, 10.8917, 10.8917)*CHOOSE(CONTROL!$C$21, $C$9, 100%, $E$9)</f>
        <v>10.8917</v>
      </c>
      <c r="H262" s="14">
        <f>CHOOSE(CONTROL!$C$42, 11.1014, 11.1014) * CHOOSE(CONTROL!$C$21, $C$9, 100%, $E$9)</f>
        <v>11.1014</v>
      </c>
      <c r="I262" s="14">
        <f>CHOOSE(CONTROL!$C$42, 10.913, 10.913)* CHOOSE(CONTROL!$C$21, $C$9, 100%, $E$9)</f>
        <v>10.913</v>
      </c>
      <c r="J262" s="14">
        <f>CHOOSE(CONTROL!$C$42, 10.8676, 10.8676)* CHOOSE(CONTROL!$C$21, $C$9, 100%, $E$9)</f>
        <v>10.867599999999999</v>
      </c>
      <c r="K262" s="52">
        <f>CHOOSE(CONTROL!$C$42, 10.9091, 10.9091) * CHOOSE(CONTROL!$C$21, $C$9, 100%, $E$9)</f>
        <v>10.9091</v>
      </c>
      <c r="L262" s="14">
        <f>CHOOSE(CONTROL!$C$42, 11.6884, 11.6884) * CHOOSE(CONTROL!$C$21, $C$9, 100%, $E$9)</f>
        <v>11.6884</v>
      </c>
      <c r="M262" s="14">
        <f>CHOOSE(CONTROL!$C$42, 10.6526, 10.6526) * CHOOSE(CONTROL!$C$21, $C$9, 100%, $E$9)</f>
        <v>10.6526</v>
      </c>
      <c r="N262" s="14">
        <f>CHOOSE(CONTROL!$C$42, 10.6693, 10.6693) * CHOOSE(CONTROL!$C$21, $C$9, 100%, $E$9)</f>
        <v>10.6693</v>
      </c>
      <c r="O262" s="14">
        <f>CHOOSE(CONTROL!$C$42, 10.8816, 10.8816) * CHOOSE(CONTROL!$C$21, $C$9, 100%, $E$9)</f>
        <v>10.881600000000001</v>
      </c>
      <c r="P262" s="14">
        <f>CHOOSE(CONTROL!$C$42, 10.6964, 10.6964) * CHOOSE(CONTROL!$C$21, $C$9, 100%, $E$9)</f>
        <v>10.696400000000001</v>
      </c>
      <c r="Q262" s="14">
        <f>CHOOSE(CONTROL!$C$42, 11.4763, 11.4763) * CHOOSE(CONTROL!$C$21, $C$9, 100%, $E$9)</f>
        <v>11.4763</v>
      </c>
      <c r="R262" s="14">
        <f>CHOOSE(CONTROL!$C$42, 12.092, 12.092) * CHOOSE(CONTROL!$C$21, $C$9, 100%, $E$9)</f>
        <v>12.092000000000001</v>
      </c>
      <c r="S262" s="14">
        <f>CHOOSE(CONTROL!$C$42, 10.4127, 10.4127) * CHOOSE(CONTROL!$C$21, $C$9, 100%, $E$9)</f>
        <v>10.412699999999999</v>
      </c>
      <c r="T26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56">
        <f>(1000*CHOOSE(CONTROL!$C$42, 695, 695)*CHOOSE(CONTROL!$C$42, 0.5599, 0.5599)*CHOOSE(CONTROL!$C$42, 31, 31))/1000000</f>
        <v>12.063045499999998</v>
      </c>
      <c r="V262" s="56">
        <f>(1000*CHOOSE(CONTROL!$C$42, 500, 500)*CHOOSE(CONTROL!$C$42, 0.275, 0.275)*CHOOSE(CONTROL!$C$42, 31, 31))/1000000</f>
        <v>4.2625000000000002</v>
      </c>
      <c r="W262" s="56">
        <f>(1000*CHOOSE(CONTROL!$C$42, 0.1146, 0.1146)*CHOOSE(CONTROL!$C$42, 121.5, 121.5)*CHOOSE(CONTROL!$C$42, 31, 31))/1000000</f>
        <v>0.43164089999999994</v>
      </c>
      <c r="X262" s="56">
        <f>(31*0.1790888*245000/1000000)+(31*0.2374*100000/1000000)</f>
        <v>2.0961194359999999</v>
      </c>
      <c r="Y262" s="56"/>
      <c r="Z262" s="14"/>
      <c r="AA262" s="55"/>
      <c r="AB262" s="49">
        <f>(B262*131.881+C262*277.167+D262*79.08+E262*125.872+F262*40+G262*185+H262*0+I262*100+J262*300)/(131.881+277.167+79.08+125.872+0+40+185+100+300)</f>
        <v>10.907432871267151</v>
      </c>
      <c r="AC262" s="44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10.726998561151079</v>
      </c>
    </row>
    <row r="263" spans="1:29" ht="15.75" x14ac:dyDescent="0.25">
      <c r="A263" s="13">
        <v>48884</v>
      </c>
      <c r="B263" s="14">
        <f>CHOOSE(CONTROL!$C$42, 11.1307, 11.1307) * CHOOSE(CONTROL!$C$21, $C$9, 100%, $E$9)</f>
        <v>11.130699999999999</v>
      </c>
      <c r="C263" s="14">
        <f>CHOOSE(CONTROL!$C$42, 11.1358, 11.1358) * CHOOSE(CONTROL!$C$21, $C$9, 100%, $E$9)</f>
        <v>11.1358</v>
      </c>
      <c r="D263" s="14">
        <f>CHOOSE(CONTROL!$C$42, 11.2048, 11.2048) * CHOOSE(CONTROL!$C$21, $C$9, 100%, $E$9)</f>
        <v>11.204800000000001</v>
      </c>
      <c r="E263" s="14">
        <f>CHOOSE(CONTROL!$C$42, 11.2389, 11.2389) * CHOOSE(CONTROL!$C$21, $C$9, 100%, $E$9)</f>
        <v>11.238899999999999</v>
      </c>
      <c r="F263" s="14">
        <f>CHOOSE(CONTROL!$C$42, 11.1663, 11.1663)*CHOOSE(CONTROL!$C$21, $C$9, 100%, $E$9)</f>
        <v>11.1663</v>
      </c>
      <c r="G263" s="14">
        <f>CHOOSE(CONTROL!$C$42, 11.1837, 11.1837)*CHOOSE(CONTROL!$C$21, $C$9, 100%, $E$9)</f>
        <v>11.1837</v>
      </c>
      <c r="H263" s="14">
        <f>CHOOSE(CONTROL!$C$42, 11.2281, 11.2281) * CHOOSE(CONTROL!$C$21, $C$9, 100%, $E$9)</f>
        <v>11.2281</v>
      </c>
      <c r="I263" s="14">
        <f>CHOOSE(CONTROL!$C$42, 11.2019, 11.2019)* CHOOSE(CONTROL!$C$21, $C$9, 100%, $E$9)</f>
        <v>11.2019</v>
      </c>
      <c r="J263" s="14">
        <f>CHOOSE(CONTROL!$C$42, 11.1593, 11.1593)* CHOOSE(CONTROL!$C$21, $C$9, 100%, $E$9)</f>
        <v>11.1593</v>
      </c>
      <c r="K263" s="52">
        <f>CHOOSE(CONTROL!$C$42, 11.198, 11.198) * CHOOSE(CONTROL!$C$21, $C$9, 100%, $E$9)</f>
        <v>11.198</v>
      </c>
      <c r="L263" s="14">
        <f>CHOOSE(CONTROL!$C$42, 11.8151, 11.8151) * CHOOSE(CONTROL!$C$21, $C$9, 100%, $E$9)</f>
        <v>11.815099999999999</v>
      </c>
      <c r="M263" s="14">
        <f>CHOOSE(CONTROL!$C$42, 10.9384, 10.9384) * CHOOSE(CONTROL!$C$21, $C$9, 100%, $E$9)</f>
        <v>10.9384</v>
      </c>
      <c r="N263" s="14">
        <f>CHOOSE(CONTROL!$C$42, 10.9554, 10.9554) * CHOOSE(CONTROL!$C$21, $C$9, 100%, $E$9)</f>
        <v>10.955399999999999</v>
      </c>
      <c r="O263" s="14">
        <f>CHOOSE(CONTROL!$C$42, 11.0057, 11.0057) * CHOOSE(CONTROL!$C$21, $C$9, 100%, $E$9)</f>
        <v>11.005699999999999</v>
      </c>
      <c r="P263" s="14">
        <f>CHOOSE(CONTROL!$C$42, 10.9795, 10.9795) * CHOOSE(CONTROL!$C$21, $C$9, 100%, $E$9)</f>
        <v>10.9795</v>
      </c>
      <c r="Q263" s="14">
        <f>CHOOSE(CONTROL!$C$42, 11.6004, 11.6004) * CHOOSE(CONTROL!$C$21, $C$9, 100%, $E$9)</f>
        <v>11.6004</v>
      </c>
      <c r="R263" s="14">
        <f>CHOOSE(CONTROL!$C$42, 12.2165, 12.2165) * CHOOSE(CONTROL!$C$21, $C$9, 100%, $E$9)</f>
        <v>12.2165</v>
      </c>
      <c r="S263" s="14">
        <f>CHOOSE(CONTROL!$C$42, 10.687, 10.687) * CHOOSE(CONTROL!$C$21, $C$9, 100%, $E$9)</f>
        <v>10.686999999999999</v>
      </c>
      <c r="T26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56">
        <f>(1000*CHOOSE(CONTROL!$C$42, 695, 695)*CHOOSE(CONTROL!$C$42, 0.5599, 0.5599)*CHOOSE(CONTROL!$C$42, 30, 30))/1000000</f>
        <v>11.673914999999997</v>
      </c>
      <c r="V263" s="56">
        <f>(1000*CHOOSE(CONTROL!$C$42, 500, 500)*CHOOSE(CONTROL!$C$42, 0.275, 0.275)*CHOOSE(CONTROL!$C$42, 30, 30))/1000000</f>
        <v>4.125</v>
      </c>
      <c r="W263" s="56">
        <f>(1000*CHOOSE(CONTROL!$C$42, 0.1146, 0.1146)*CHOOSE(CONTROL!$C$42, 121.5, 121.5)*CHOOSE(CONTROL!$C$42, 30, 30))/1000000</f>
        <v>0.417717</v>
      </c>
      <c r="X263" s="56">
        <f>(30*0.1790888*100000/1000000)+(30*0.2374*100000/1000000)</f>
        <v>1.2494664</v>
      </c>
      <c r="Y263" s="56"/>
      <c r="Z263" s="14"/>
      <c r="AA263" s="55"/>
      <c r="AB263" s="49">
        <f>(B263*122.58+C263*297.941+D263*89.177+E263*40.302+F263*40+G263*160+H263*0+I263*100+J263*300)/(122.58+297.941+89.177+40.302+0+40+160+100+300)</f>
        <v>11.16382364452174</v>
      </c>
      <c r="AC263" s="44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10.975794964028776</v>
      </c>
    </row>
    <row r="264" spans="1:29" ht="15.75" x14ac:dyDescent="0.25">
      <c r="A264" s="13">
        <v>48914</v>
      </c>
      <c r="B264" s="14">
        <f>CHOOSE(CONTROL!$C$42, 11.889, 11.889) * CHOOSE(CONTROL!$C$21, $C$9, 100%, $E$9)</f>
        <v>11.888999999999999</v>
      </c>
      <c r="C264" s="14">
        <f>CHOOSE(CONTROL!$C$42, 11.894, 11.894) * CHOOSE(CONTROL!$C$21, $C$9, 100%, $E$9)</f>
        <v>11.894</v>
      </c>
      <c r="D264" s="14">
        <f>CHOOSE(CONTROL!$C$42, 11.963, 11.963) * CHOOSE(CONTROL!$C$21, $C$9, 100%, $E$9)</f>
        <v>11.962999999999999</v>
      </c>
      <c r="E264" s="14">
        <f>CHOOSE(CONTROL!$C$42, 11.9971, 11.9971) * CHOOSE(CONTROL!$C$21, $C$9, 100%, $E$9)</f>
        <v>11.9971</v>
      </c>
      <c r="F264" s="14">
        <f>CHOOSE(CONTROL!$C$42, 11.9268, 11.9268)*CHOOSE(CONTROL!$C$21, $C$9, 100%, $E$9)</f>
        <v>11.9268</v>
      </c>
      <c r="G264" s="14">
        <f>CHOOSE(CONTROL!$C$42, 11.9448, 11.9448)*CHOOSE(CONTROL!$C$21, $C$9, 100%, $E$9)</f>
        <v>11.944800000000001</v>
      </c>
      <c r="H264" s="14">
        <f>CHOOSE(CONTROL!$C$42, 11.9863, 11.9863) * CHOOSE(CONTROL!$C$21, $C$9, 100%, $E$9)</f>
        <v>11.9863</v>
      </c>
      <c r="I264" s="14">
        <f>CHOOSE(CONTROL!$C$42, 11.9625, 11.9625)* CHOOSE(CONTROL!$C$21, $C$9, 100%, $E$9)</f>
        <v>11.9625</v>
      </c>
      <c r="J264" s="14">
        <f>CHOOSE(CONTROL!$C$42, 11.9198, 11.9198)* CHOOSE(CONTROL!$C$21, $C$9, 100%, $E$9)</f>
        <v>11.9198</v>
      </c>
      <c r="K264" s="52">
        <f>CHOOSE(CONTROL!$C$42, 11.9586, 11.9586) * CHOOSE(CONTROL!$C$21, $C$9, 100%, $E$9)</f>
        <v>11.958600000000001</v>
      </c>
      <c r="L264" s="14">
        <f>CHOOSE(CONTROL!$C$42, 12.5733, 12.5733) * CHOOSE(CONTROL!$C$21, $C$9, 100%, $E$9)</f>
        <v>12.5733</v>
      </c>
      <c r="M264" s="14">
        <f>CHOOSE(CONTROL!$C$42, 11.6833, 11.6833) * CHOOSE(CONTROL!$C$21, $C$9, 100%, $E$9)</f>
        <v>11.683299999999999</v>
      </c>
      <c r="N264" s="14">
        <f>CHOOSE(CONTROL!$C$42, 11.7009, 11.7009) * CHOOSE(CONTROL!$C$21, $C$9, 100%, $E$9)</f>
        <v>11.700900000000001</v>
      </c>
      <c r="O264" s="14">
        <f>CHOOSE(CONTROL!$C$42, 11.7484, 11.7484) * CHOOSE(CONTROL!$C$21, $C$9, 100%, $E$9)</f>
        <v>11.7484</v>
      </c>
      <c r="P264" s="14">
        <f>CHOOSE(CONTROL!$C$42, 11.7244, 11.7244) * CHOOSE(CONTROL!$C$21, $C$9, 100%, $E$9)</f>
        <v>11.724399999999999</v>
      </c>
      <c r="Q264" s="14">
        <f>CHOOSE(CONTROL!$C$42, 12.3431, 12.3431) * CHOOSE(CONTROL!$C$21, $C$9, 100%, $E$9)</f>
        <v>12.3431</v>
      </c>
      <c r="R264" s="14">
        <f>CHOOSE(CONTROL!$C$42, 12.961, 12.961) * CHOOSE(CONTROL!$C$21, $C$9, 100%, $E$9)</f>
        <v>12.961</v>
      </c>
      <c r="S264" s="14">
        <f>CHOOSE(CONTROL!$C$42, 11.4156, 11.4156) * CHOOSE(CONTROL!$C$21, $C$9, 100%, $E$9)</f>
        <v>11.4156</v>
      </c>
      <c r="T26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56">
        <f>(1000*CHOOSE(CONTROL!$C$42, 695, 695)*CHOOSE(CONTROL!$C$42, 0.5599, 0.5599)*CHOOSE(CONTROL!$C$42, 31, 31))/1000000</f>
        <v>12.063045499999998</v>
      </c>
      <c r="V264" s="56">
        <f>(1000*CHOOSE(CONTROL!$C$42, 500, 500)*CHOOSE(CONTROL!$C$42, 0.275, 0.275)*CHOOSE(CONTROL!$C$42, 31, 31))/1000000</f>
        <v>4.2625000000000002</v>
      </c>
      <c r="W264" s="56">
        <f>(1000*CHOOSE(CONTROL!$C$42, 0.1146, 0.1146)*CHOOSE(CONTROL!$C$42, 121.5, 121.5)*CHOOSE(CONTROL!$C$42, 31, 31))/1000000</f>
        <v>0.43164089999999994</v>
      </c>
      <c r="X264" s="56">
        <f>(31*0.1790888*100000/1000000)+(31*0.2374*100000/1000000)</f>
        <v>1.2911152800000001</v>
      </c>
      <c r="Y264" s="56"/>
      <c r="Z264" s="14"/>
      <c r="AA264" s="55"/>
      <c r="AB264" s="49">
        <f>(B264*122.58+C264*297.941+D264*89.177+E264*40.302+F264*40+G264*160+H264*0+I264*100+J264*300)/(122.58+297.941+89.177+40.302+0+40+160+100+300)</f>
        <v>11.923326477565219</v>
      </c>
      <c r="AC264" s="44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11.719732374100719</v>
      </c>
    </row>
    <row r="265" spans="1:29" ht="15.75" x14ac:dyDescent="0.25">
      <c r="A265" s="13">
        <v>48945</v>
      </c>
      <c r="B265" s="14">
        <f>CHOOSE(CONTROL!$C$42, 12.8738, 12.8738) * CHOOSE(CONTROL!$C$21, $C$9, 100%, $E$9)</f>
        <v>12.873799999999999</v>
      </c>
      <c r="C265" s="14">
        <f>CHOOSE(CONTROL!$C$42, 12.8788, 12.8788) * CHOOSE(CONTROL!$C$21, $C$9, 100%, $E$9)</f>
        <v>12.8788</v>
      </c>
      <c r="D265" s="14">
        <f>CHOOSE(CONTROL!$C$42, 12.9583, 12.9583) * CHOOSE(CONTROL!$C$21, $C$9, 100%, $E$9)</f>
        <v>12.958299999999999</v>
      </c>
      <c r="E265" s="14">
        <f>CHOOSE(CONTROL!$C$42, 12.9924, 12.9924) * CHOOSE(CONTROL!$C$21, $C$9, 100%, $E$9)</f>
        <v>12.9924</v>
      </c>
      <c r="F265" s="14">
        <f>CHOOSE(CONTROL!$C$42, 12.8968, 12.8968)*CHOOSE(CONTROL!$C$21, $C$9, 100%, $E$9)</f>
        <v>12.896800000000001</v>
      </c>
      <c r="G265" s="14">
        <f>CHOOSE(CONTROL!$C$42, 12.9143, 12.9143)*CHOOSE(CONTROL!$C$21, $C$9, 100%, $E$9)</f>
        <v>12.914300000000001</v>
      </c>
      <c r="H265" s="14">
        <f>CHOOSE(CONTROL!$C$42, 12.9816, 12.9816) * CHOOSE(CONTROL!$C$21, $C$9, 100%, $E$9)</f>
        <v>12.9816</v>
      </c>
      <c r="I265" s="14">
        <f>CHOOSE(CONTROL!$C$42, 12.9494, 12.9494)* CHOOSE(CONTROL!$C$21, $C$9, 100%, $E$9)</f>
        <v>12.949400000000001</v>
      </c>
      <c r="J265" s="14">
        <f>CHOOSE(CONTROL!$C$42, 12.8898, 12.8898)* CHOOSE(CONTROL!$C$21, $C$9, 100%, $E$9)</f>
        <v>12.889799999999999</v>
      </c>
      <c r="K265" s="52">
        <f>CHOOSE(CONTROL!$C$42, 12.9455, 12.9455) * CHOOSE(CONTROL!$C$21, $C$9, 100%, $E$9)</f>
        <v>12.945499999999999</v>
      </c>
      <c r="L265" s="14">
        <f>CHOOSE(CONTROL!$C$42, 13.5686, 13.5686) * CHOOSE(CONTROL!$C$21, $C$9, 100%, $E$9)</f>
        <v>13.5686</v>
      </c>
      <c r="M265" s="14">
        <f>CHOOSE(CONTROL!$C$42, 12.6334, 12.6334) * CHOOSE(CONTROL!$C$21, $C$9, 100%, $E$9)</f>
        <v>12.6334</v>
      </c>
      <c r="N265" s="14">
        <f>CHOOSE(CONTROL!$C$42, 12.6505, 12.6505) * CHOOSE(CONTROL!$C$21, $C$9, 100%, $E$9)</f>
        <v>12.650499999999999</v>
      </c>
      <c r="O265" s="14">
        <f>CHOOSE(CONTROL!$C$42, 12.7233, 12.7233) * CHOOSE(CONTROL!$C$21, $C$9, 100%, $E$9)</f>
        <v>12.7233</v>
      </c>
      <c r="P265" s="14">
        <f>CHOOSE(CONTROL!$C$42, 12.691, 12.691) * CHOOSE(CONTROL!$C$21, $C$9, 100%, $E$9)</f>
        <v>12.691000000000001</v>
      </c>
      <c r="Q265" s="14">
        <f>CHOOSE(CONTROL!$C$42, 13.318, 13.318) * CHOOSE(CONTROL!$C$21, $C$9, 100%, $E$9)</f>
        <v>13.318</v>
      </c>
      <c r="R265" s="14">
        <f>CHOOSE(CONTROL!$C$42, 13.9383, 13.9383) * CHOOSE(CONTROL!$C$21, $C$9, 100%, $E$9)</f>
        <v>13.9383</v>
      </c>
      <c r="S265" s="14">
        <f>CHOOSE(CONTROL!$C$42, 12.3619, 12.3619) * CHOOSE(CONTROL!$C$21, $C$9, 100%, $E$9)</f>
        <v>12.3619</v>
      </c>
      <c r="T26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56">
        <f>(1000*CHOOSE(CONTROL!$C$42, 695, 695)*CHOOSE(CONTROL!$C$42, 0.5599, 0.5599)*CHOOSE(CONTROL!$C$42, 31, 31))/1000000</f>
        <v>12.063045499999998</v>
      </c>
      <c r="V265" s="56">
        <f>(1000*CHOOSE(CONTROL!$C$42, 500, 500)*CHOOSE(CONTROL!$C$42, 0.275, 0.275)*CHOOSE(CONTROL!$C$42, 31, 31))/1000000</f>
        <v>4.2625000000000002</v>
      </c>
      <c r="W265" s="56">
        <f>(1000*CHOOSE(CONTROL!$C$42, 0.1146, 0.1146)*CHOOSE(CONTROL!$C$42, 121.5, 121.5)*CHOOSE(CONTROL!$C$42, 31, 31))/1000000</f>
        <v>0.43164089999999994</v>
      </c>
      <c r="X265" s="56">
        <f>(31*0.1790888*100000/1000000)+(31*0.2374*100000/1000000)</f>
        <v>1.2911152800000001</v>
      </c>
      <c r="Y265" s="56"/>
      <c r="Z265" s="14"/>
      <c r="AA265" s="55"/>
      <c r="AB265" s="49">
        <f>(B265*122.58+C265*297.941+D265*89.177+E265*40.302+F265*40+G265*160+H265*0+I265*100+J265*300)/(122.58+297.941+89.177+40.302+0+40+160+100+300)</f>
        <v>12.902986938</v>
      </c>
      <c r="AC265" s="44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12.683417985611511</v>
      </c>
    </row>
    <row r="266" spans="1:29" ht="15.75" x14ac:dyDescent="0.25">
      <c r="A266" s="13">
        <v>48976</v>
      </c>
      <c r="B266" s="14">
        <f>CHOOSE(CONTROL!$C$42, 13.1028, 13.1028) * CHOOSE(CONTROL!$C$21, $C$9, 100%, $E$9)</f>
        <v>13.1028</v>
      </c>
      <c r="C266" s="14">
        <f>CHOOSE(CONTROL!$C$42, 13.1078, 13.1078) * CHOOSE(CONTROL!$C$21, $C$9, 100%, $E$9)</f>
        <v>13.107799999999999</v>
      </c>
      <c r="D266" s="14">
        <f>CHOOSE(CONTROL!$C$42, 13.1873, 13.1873) * CHOOSE(CONTROL!$C$21, $C$9, 100%, $E$9)</f>
        <v>13.1873</v>
      </c>
      <c r="E266" s="14">
        <f>CHOOSE(CONTROL!$C$42, 13.2214, 13.2214) * CHOOSE(CONTROL!$C$21, $C$9, 100%, $E$9)</f>
        <v>13.221399999999999</v>
      </c>
      <c r="F266" s="14">
        <f>CHOOSE(CONTROL!$C$42, 13.1256, 13.1256)*CHOOSE(CONTROL!$C$21, $C$9, 100%, $E$9)</f>
        <v>13.1256</v>
      </c>
      <c r="G266" s="14">
        <f>CHOOSE(CONTROL!$C$42, 13.143, 13.143)*CHOOSE(CONTROL!$C$21, $C$9, 100%, $E$9)</f>
        <v>13.143000000000001</v>
      </c>
      <c r="H266" s="14">
        <f>CHOOSE(CONTROL!$C$42, 13.2106, 13.2106) * CHOOSE(CONTROL!$C$21, $C$9, 100%, $E$9)</f>
        <v>13.210599999999999</v>
      </c>
      <c r="I266" s="14">
        <f>CHOOSE(CONTROL!$C$42, 13.1791, 13.1791)* CHOOSE(CONTROL!$C$21, $C$9, 100%, $E$9)</f>
        <v>13.1791</v>
      </c>
      <c r="J266" s="14">
        <f>CHOOSE(CONTROL!$C$42, 13.1186, 13.1186)* CHOOSE(CONTROL!$C$21, $C$9, 100%, $E$9)</f>
        <v>13.118600000000001</v>
      </c>
      <c r="K266" s="52">
        <f>CHOOSE(CONTROL!$C$42, 13.1752, 13.1752) * CHOOSE(CONTROL!$C$21, $C$9, 100%, $E$9)</f>
        <v>13.1752</v>
      </c>
      <c r="L266" s="14">
        <f>CHOOSE(CONTROL!$C$42, 13.7976, 13.7976) * CHOOSE(CONTROL!$C$21, $C$9, 100%, $E$9)</f>
        <v>13.797599999999999</v>
      </c>
      <c r="M266" s="14">
        <f>CHOOSE(CONTROL!$C$42, 12.8575, 12.8575) * CHOOSE(CONTROL!$C$21, $C$9, 100%, $E$9)</f>
        <v>12.8575</v>
      </c>
      <c r="N266" s="14">
        <f>CHOOSE(CONTROL!$C$42, 12.8746, 12.8746) * CHOOSE(CONTROL!$C$21, $C$9, 100%, $E$9)</f>
        <v>12.874599999999999</v>
      </c>
      <c r="O266" s="14">
        <f>CHOOSE(CONTROL!$C$42, 12.9476, 12.9476) * CHOOSE(CONTROL!$C$21, $C$9, 100%, $E$9)</f>
        <v>12.9476</v>
      </c>
      <c r="P266" s="14">
        <f>CHOOSE(CONTROL!$C$42, 12.916, 12.916) * CHOOSE(CONTROL!$C$21, $C$9, 100%, $E$9)</f>
        <v>12.916</v>
      </c>
      <c r="Q266" s="14">
        <f>CHOOSE(CONTROL!$C$42, 13.5423, 13.5423) * CHOOSE(CONTROL!$C$21, $C$9, 100%, $E$9)</f>
        <v>13.542299999999999</v>
      </c>
      <c r="R266" s="14">
        <f>CHOOSE(CONTROL!$C$42, 14.1631, 14.1631) * CHOOSE(CONTROL!$C$21, $C$9, 100%, $E$9)</f>
        <v>14.1631</v>
      </c>
      <c r="S266" s="14">
        <f>CHOOSE(CONTROL!$C$42, 12.5819, 12.5819) * CHOOSE(CONTROL!$C$21, $C$9, 100%, $E$9)</f>
        <v>12.581899999999999</v>
      </c>
      <c r="T26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56">
        <f>(1000*CHOOSE(CONTROL!$C$42, 695, 695)*CHOOSE(CONTROL!$C$42, 0.5599, 0.5599)*CHOOSE(CONTROL!$C$42, 28, 28))/1000000</f>
        <v>10.895653999999999</v>
      </c>
      <c r="V266" s="56">
        <f>(1000*CHOOSE(CONTROL!$C$42, 500, 500)*CHOOSE(CONTROL!$C$42, 0.275, 0.275)*CHOOSE(CONTROL!$C$42, 28, 28))/1000000</f>
        <v>3.85</v>
      </c>
      <c r="W266" s="56">
        <f>(1000*CHOOSE(CONTROL!$C$42, 0.1146, 0.1146)*CHOOSE(CONTROL!$C$42, 121.5, 121.5)*CHOOSE(CONTROL!$C$42, 28, 28))/1000000</f>
        <v>0.38986920000000003</v>
      </c>
      <c r="X266" s="56">
        <f>(28*0.1790888*100000/1000000)+(28*0.2374*100000/1000000)</f>
        <v>1.16616864</v>
      </c>
      <c r="Y266" s="56"/>
      <c r="Z266" s="14"/>
      <c r="AA266" s="55"/>
      <c r="AB266" s="49">
        <f>(B266*122.58+C266*297.941+D266*89.177+E266*40.302+F266*40+G266*160+H266*0+I266*100+J266*300)/(122.58+297.941+89.177+40.302+0+40+160+100+300)</f>
        <v>13.131946937999999</v>
      </c>
      <c r="AC266" s="44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12.907738129496403</v>
      </c>
    </row>
    <row r="267" spans="1:29" ht="15.75" x14ac:dyDescent="0.25">
      <c r="A267" s="13">
        <v>49004</v>
      </c>
      <c r="B267" s="14">
        <f>CHOOSE(CONTROL!$C$42, 12.731, 12.731) * CHOOSE(CONTROL!$C$21, $C$9, 100%, $E$9)</f>
        <v>12.731</v>
      </c>
      <c r="C267" s="14">
        <f>CHOOSE(CONTROL!$C$42, 12.7361, 12.7361) * CHOOSE(CONTROL!$C$21, $C$9, 100%, $E$9)</f>
        <v>12.7361</v>
      </c>
      <c r="D267" s="14">
        <f>CHOOSE(CONTROL!$C$42, 12.8155, 12.8155) * CHOOSE(CONTROL!$C$21, $C$9, 100%, $E$9)</f>
        <v>12.8155</v>
      </c>
      <c r="E267" s="14">
        <f>CHOOSE(CONTROL!$C$42, 12.8496, 12.8496) * CHOOSE(CONTROL!$C$21, $C$9, 100%, $E$9)</f>
        <v>12.849600000000001</v>
      </c>
      <c r="F267" s="14">
        <f>CHOOSE(CONTROL!$C$42, 12.7531, 12.7531)*CHOOSE(CONTROL!$C$21, $C$9, 100%, $E$9)</f>
        <v>12.7531</v>
      </c>
      <c r="G267" s="14">
        <f>CHOOSE(CONTROL!$C$42, 12.7704, 12.7704)*CHOOSE(CONTROL!$C$21, $C$9, 100%, $E$9)</f>
        <v>12.7704</v>
      </c>
      <c r="H267" s="14">
        <f>CHOOSE(CONTROL!$C$42, 12.8388, 12.8388) * CHOOSE(CONTROL!$C$21, $C$9, 100%, $E$9)</f>
        <v>12.838800000000001</v>
      </c>
      <c r="I267" s="14">
        <f>CHOOSE(CONTROL!$C$42, 12.8062, 12.8062)* CHOOSE(CONTROL!$C$21, $C$9, 100%, $E$9)</f>
        <v>12.8062</v>
      </c>
      <c r="J267" s="14">
        <f>CHOOSE(CONTROL!$C$42, 12.7461, 12.7461)* CHOOSE(CONTROL!$C$21, $C$9, 100%, $E$9)</f>
        <v>12.7461</v>
      </c>
      <c r="K267" s="52">
        <f>CHOOSE(CONTROL!$C$42, 12.8023, 12.8023) * CHOOSE(CONTROL!$C$21, $C$9, 100%, $E$9)</f>
        <v>12.802300000000001</v>
      </c>
      <c r="L267" s="14">
        <f>CHOOSE(CONTROL!$C$42, 13.4258, 13.4258) * CHOOSE(CONTROL!$C$21, $C$9, 100%, $E$9)</f>
        <v>13.425800000000001</v>
      </c>
      <c r="M267" s="14">
        <f>CHOOSE(CONTROL!$C$42, 12.4926, 12.4926) * CHOOSE(CONTROL!$C$21, $C$9, 100%, $E$9)</f>
        <v>12.492599999999999</v>
      </c>
      <c r="N267" s="14">
        <f>CHOOSE(CONTROL!$C$42, 12.5095, 12.5095) * CHOOSE(CONTROL!$C$21, $C$9, 100%, $E$9)</f>
        <v>12.509499999999999</v>
      </c>
      <c r="O267" s="14">
        <f>CHOOSE(CONTROL!$C$42, 12.5835, 12.5835) * CHOOSE(CONTROL!$C$21, $C$9, 100%, $E$9)</f>
        <v>12.583500000000001</v>
      </c>
      <c r="P267" s="14">
        <f>CHOOSE(CONTROL!$C$42, 12.5508, 12.5508) * CHOOSE(CONTROL!$C$21, $C$9, 100%, $E$9)</f>
        <v>12.550800000000001</v>
      </c>
      <c r="Q267" s="14">
        <f>CHOOSE(CONTROL!$C$42, 13.1782, 13.1782) * CHOOSE(CONTROL!$C$21, $C$9, 100%, $E$9)</f>
        <v>13.1782</v>
      </c>
      <c r="R267" s="14">
        <f>CHOOSE(CONTROL!$C$42, 13.7981, 13.7981) * CHOOSE(CONTROL!$C$21, $C$9, 100%, $E$9)</f>
        <v>13.7981</v>
      </c>
      <c r="S267" s="14">
        <f>CHOOSE(CONTROL!$C$42, 12.2247, 12.2247) * CHOOSE(CONTROL!$C$21, $C$9, 100%, $E$9)</f>
        <v>12.2247</v>
      </c>
      <c r="T26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56">
        <f>(1000*CHOOSE(CONTROL!$C$42, 695, 695)*CHOOSE(CONTROL!$C$42, 0.5599, 0.5599)*CHOOSE(CONTROL!$C$42, 31, 31))/1000000</f>
        <v>12.063045499999998</v>
      </c>
      <c r="V267" s="56">
        <f>(1000*CHOOSE(CONTROL!$C$42, 500, 500)*CHOOSE(CONTROL!$C$42, 0.275, 0.275)*CHOOSE(CONTROL!$C$42, 31, 31))/1000000</f>
        <v>4.2625000000000002</v>
      </c>
      <c r="W267" s="56">
        <f>(1000*CHOOSE(CONTROL!$C$42, 0.1146, 0.1146)*CHOOSE(CONTROL!$C$42, 121.5, 121.5)*CHOOSE(CONTROL!$C$42, 31, 31))/1000000</f>
        <v>0.43164089999999994</v>
      </c>
      <c r="X267" s="56">
        <f>(31*0.1790888*100000/1000000)+(31*0.2374*100000/1000000)</f>
        <v>1.2911152800000001</v>
      </c>
      <c r="Y267" s="56"/>
      <c r="Z267" s="14"/>
      <c r="AA267" s="55"/>
      <c r="AB267" s="49">
        <f>(B267*122.58+C267*297.941+D267*89.177+E267*40.302+F267*40+G267*160+H267*0+I267*100+J267*300)/(122.58+297.941+89.177+40.302+0+40+160+100+300)</f>
        <v>12.759758932869564</v>
      </c>
      <c r="AC267" s="44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12.54314604316547</v>
      </c>
    </row>
    <row r="268" spans="1:29" ht="15.75" x14ac:dyDescent="0.25">
      <c r="A268" s="13">
        <v>49035</v>
      </c>
      <c r="B268" s="14">
        <f>CHOOSE(CONTROL!$C$42, 12.694, 12.694) * CHOOSE(CONTROL!$C$21, $C$9, 100%, $E$9)</f>
        <v>12.694000000000001</v>
      </c>
      <c r="C268" s="14">
        <f>CHOOSE(CONTROL!$C$42, 12.6985, 12.6985) * CHOOSE(CONTROL!$C$21, $C$9, 100%, $E$9)</f>
        <v>12.698499999999999</v>
      </c>
      <c r="D268" s="14">
        <f>CHOOSE(CONTROL!$C$42, 12.9274, 12.9274) * CHOOSE(CONTROL!$C$21, $C$9, 100%, $E$9)</f>
        <v>12.9274</v>
      </c>
      <c r="E268" s="14">
        <f>CHOOSE(CONTROL!$C$42, 12.9595, 12.9595) * CHOOSE(CONTROL!$C$21, $C$9, 100%, $E$9)</f>
        <v>12.9595</v>
      </c>
      <c r="F268" s="14">
        <f>CHOOSE(CONTROL!$C$42, 12.721, 12.721)*CHOOSE(CONTROL!$C$21, $C$9, 100%, $E$9)</f>
        <v>12.721</v>
      </c>
      <c r="G268" s="14">
        <f>CHOOSE(CONTROL!$C$42, 12.7377, 12.7377)*CHOOSE(CONTROL!$C$21, $C$9, 100%, $E$9)</f>
        <v>12.7377</v>
      </c>
      <c r="H268" s="14">
        <f>CHOOSE(CONTROL!$C$42, 12.9493, 12.9493) * CHOOSE(CONTROL!$C$21, $C$9, 100%, $E$9)</f>
        <v>12.949299999999999</v>
      </c>
      <c r="I268" s="14">
        <f>CHOOSE(CONTROL!$C$42, 12.7667, 12.7667)* CHOOSE(CONTROL!$C$21, $C$9, 100%, $E$9)</f>
        <v>12.7667</v>
      </c>
      <c r="J268" s="14">
        <f>CHOOSE(CONTROL!$C$42, 12.714, 12.714)* CHOOSE(CONTROL!$C$21, $C$9, 100%, $E$9)</f>
        <v>12.714</v>
      </c>
      <c r="K268" s="52">
        <f>CHOOSE(CONTROL!$C$42, 12.7628, 12.7628) * CHOOSE(CONTROL!$C$21, $C$9, 100%, $E$9)</f>
        <v>12.7628</v>
      </c>
      <c r="L268" s="14">
        <f>CHOOSE(CONTROL!$C$42, 13.5363, 13.5363) * CHOOSE(CONTROL!$C$21, $C$9, 100%, $E$9)</f>
        <v>13.536300000000001</v>
      </c>
      <c r="M268" s="14">
        <f>CHOOSE(CONTROL!$C$42, 12.4612, 12.4612) * CHOOSE(CONTROL!$C$21, $C$9, 100%, $E$9)</f>
        <v>12.4612</v>
      </c>
      <c r="N268" s="14">
        <f>CHOOSE(CONTROL!$C$42, 12.4775, 12.4775) * CHOOSE(CONTROL!$C$21, $C$9, 100%, $E$9)</f>
        <v>12.477499999999999</v>
      </c>
      <c r="O268" s="14">
        <f>CHOOSE(CONTROL!$C$42, 12.6916, 12.6916) * CHOOSE(CONTROL!$C$21, $C$9, 100%, $E$9)</f>
        <v>12.691599999999999</v>
      </c>
      <c r="P268" s="14">
        <f>CHOOSE(CONTROL!$C$42, 12.5121, 12.5121) * CHOOSE(CONTROL!$C$21, $C$9, 100%, $E$9)</f>
        <v>12.5121</v>
      </c>
      <c r="Q268" s="14">
        <f>CHOOSE(CONTROL!$C$42, 13.2863, 13.2863) * CHOOSE(CONTROL!$C$21, $C$9, 100%, $E$9)</f>
        <v>13.286300000000001</v>
      </c>
      <c r="R268" s="14">
        <f>CHOOSE(CONTROL!$C$42, 13.9066, 13.9066) * CHOOSE(CONTROL!$C$21, $C$9, 100%, $E$9)</f>
        <v>13.906599999999999</v>
      </c>
      <c r="S268" s="14">
        <f>CHOOSE(CONTROL!$C$42, 12.1883, 12.1883) * CHOOSE(CONTROL!$C$21, $C$9, 100%, $E$9)</f>
        <v>12.1883</v>
      </c>
      <c r="T26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56">
        <f>(1000*CHOOSE(CONTROL!$C$42, 695, 695)*CHOOSE(CONTROL!$C$42, 0.5599, 0.5599)*CHOOSE(CONTROL!$C$42, 30, 30))/1000000</f>
        <v>11.673914999999997</v>
      </c>
      <c r="V268" s="56">
        <f>(1000*CHOOSE(CONTROL!$C$42, 500, 500)*CHOOSE(CONTROL!$C$42, 0.275, 0.275)*CHOOSE(CONTROL!$C$42, 30, 30))/1000000</f>
        <v>4.125</v>
      </c>
      <c r="W268" s="56">
        <f>(1000*CHOOSE(CONTROL!$C$42, 0.1146, 0.1146)*CHOOSE(CONTROL!$C$42, 121.5, 121.5)*CHOOSE(CONTROL!$C$42, 30, 30))/1000000</f>
        <v>0.417717</v>
      </c>
      <c r="X268" s="56">
        <f>(30*0.1790888*245000/1000000)+(30*0.2374*100000/1000000)</f>
        <v>2.0285026799999999</v>
      </c>
      <c r="Y268" s="56"/>
      <c r="Z268" s="14"/>
      <c r="AA268" s="55"/>
      <c r="AB268" s="49">
        <f>(B268*141.293+C268*267.993+D268*115.016+E268*89.698+F268*40+G268*185+H268*0+I268*100+J268*300)/(141.293+267.993+115.016+89.698+0+40+185+100+300)</f>
        <v>12.753967733575465</v>
      </c>
      <c r="AC268" s="44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12.536920863309353</v>
      </c>
    </row>
    <row r="269" spans="1:29" ht="15.75" x14ac:dyDescent="0.25">
      <c r="A269" s="13">
        <v>49065</v>
      </c>
      <c r="B269" s="14">
        <f>CHOOSE(CONTROL!$C$42, 12.8073, 12.8073) * CHOOSE(CONTROL!$C$21, $C$9, 100%, $E$9)</f>
        <v>12.8073</v>
      </c>
      <c r="C269" s="14">
        <f>CHOOSE(CONTROL!$C$42, 12.8153, 12.8153) * CHOOSE(CONTROL!$C$21, $C$9, 100%, $E$9)</f>
        <v>12.815300000000001</v>
      </c>
      <c r="D269" s="14">
        <f>CHOOSE(CONTROL!$C$42, 13.0411, 13.0411) * CHOOSE(CONTROL!$C$21, $C$9, 100%, $E$9)</f>
        <v>13.0411</v>
      </c>
      <c r="E269" s="14">
        <f>CHOOSE(CONTROL!$C$42, 13.0726, 13.0726) * CHOOSE(CONTROL!$C$21, $C$9, 100%, $E$9)</f>
        <v>13.0726</v>
      </c>
      <c r="F269" s="14">
        <f>CHOOSE(CONTROL!$C$42, 12.833, 12.833)*CHOOSE(CONTROL!$C$21, $C$9, 100%, $E$9)</f>
        <v>12.833</v>
      </c>
      <c r="G269" s="14">
        <f>CHOOSE(CONTROL!$C$42, 12.8499, 12.8499)*CHOOSE(CONTROL!$C$21, $C$9, 100%, $E$9)</f>
        <v>12.8499</v>
      </c>
      <c r="H269" s="14">
        <f>CHOOSE(CONTROL!$C$42, 13.0612, 13.0612) * CHOOSE(CONTROL!$C$21, $C$9, 100%, $E$9)</f>
        <v>13.061199999999999</v>
      </c>
      <c r="I269" s="14">
        <f>CHOOSE(CONTROL!$C$42, 12.879, 12.879)* CHOOSE(CONTROL!$C$21, $C$9, 100%, $E$9)</f>
        <v>12.879</v>
      </c>
      <c r="J269" s="14">
        <f>CHOOSE(CONTROL!$C$42, 12.826, 12.826)* CHOOSE(CONTROL!$C$21, $C$9, 100%, $E$9)</f>
        <v>12.826000000000001</v>
      </c>
      <c r="K269" s="52">
        <f>CHOOSE(CONTROL!$C$42, 12.8751, 12.8751) * CHOOSE(CONTROL!$C$21, $C$9, 100%, $E$9)</f>
        <v>12.8751</v>
      </c>
      <c r="L269" s="14">
        <f>CHOOSE(CONTROL!$C$42, 13.6482, 13.6482) * CHOOSE(CONTROL!$C$21, $C$9, 100%, $E$9)</f>
        <v>13.648199999999999</v>
      </c>
      <c r="M269" s="14">
        <f>CHOOSE(CONTROL!$C$42, 12.5709, 12.5709) * CHOOSE(CONTROL!$C$21, $C$9, 100%, $E$9)</f>
        <v>12.5709</v>
      </c>
      <c r="N269" s="14">
        <f>CHOOSE(CONTROL!$C$42, 12.5875, 12.5875) * CHOOSE(CONTROL!$C$21, $C$9, 100%, $E$9)</f>
        <v>12.5875</v>
      </c>
      <c r="O269" s="14">
        <f>CHOOSE(CONTROL!$C$42, 12.8013, 12.8013) * CHOOSE(CONTROL!$C$21, $C$9, 100%, $E$9)</f>
        <v>12.801299999999999</v>
      </c>
      <c r="P269" s="14">
        <f>CHOOSE(CONTROL!$C$42, 12.622, 12.622) * CHOOSE(CONTROL!$C$21, $C$9, 100%, $E$9)</f>
        <v>12.622</v>
      </c>
      <c r="Q269" s="14">
        <f>CHOOSE(CONTROL!$C$42, 13.396, 13.396) * CHOOSE(CONTROL!$C$21, $C$9, 100%, $E$9)</f>
        <v>13.396000000000001</v>
      </c>
      <c r="R269" s="14">
        <f>CHOOSE(CONTROL!$C$42, 14.0165, 14.0165) * CHOOSE(CONTROL!$C$21, $C$9, 100%, $E$9)</f>
        <v>14.016500000000001</v>
      </c>
      <c r="S269" s="14">
        <f>CHOOSE(CONTROL!$C$42, 12.2959, 12.2959) * CHOOSE(CONTROL!$C$21, $C$9, 100%, $E$9)</f>
        <v>12.2959</v>
      </c>
      <c r="T26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56">
        <f>(1000*CHOOSE(CONTROL!$C$42, 695, 695)*CHOOSE(CONTROL!$C$42, 0.5599, 0.5599)*CHOOSE(CONTROL!$C$42, 31, 31))/1000000</f>
        <v>12.063045499999998</v>
      </c>
      <c r="V269" s="56">
        <f>(1000*CHOOSE(CONTROL!$C$42, 500, 500)*CHOOSE(CONTROL!$C$42, 0.275, 0.275)*CHOOSE(CONTROL!$C$42, 31, 31))/1000000</f>
        <v>4.2625000000000002</v>
      </c>
      <c r="W269" s="56">
        <f>(1000*CHOOSE(CONTROL!$C$42, 0.1146, 0.1146)*CHOOSE(CONTROL!$C$42, 121.5, 121.5)*CHOOSE(CONTROL!$C$42, 31, 31))/1000000</f>
        <v>0.43164089999999994</v>
      </c>
      <c r="X269" s="56">
        <f>(31*0.1790888*245000/1000000)+(31*0.2374*100000/1000000)</f>
        <v>2.0961194359999999</v>
      </c>
      <c r="Y269" s="56"/>
      <c r="Z269" s="14"/>
      <c r="AA269" s="55"/>
      <c r="AB269" s="49">
        <f>(B269*194.205+C269*267.466+D269*133.845+E269*53.484+F269*40+G269*185+H269*0+I269*100+J269*300)/(194.205+267.466+133.845+53.484+0+40+185+100+300)</f>
        <v>12.861704234065934</v>
      </c>
      <c r="AC269" s="44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12.646718705035971</v>
      </c>
    </row>
    <row r="270" spans="1:29" ht="15.75" x14ac:dyDescent="0.25">
      <c r="A270" s="13">
        <v>49096</v>
      </c>
      <c r="B270" s="14">
        <f>CHOOSE(CONTROL!$C$42, 13.1703, 13.1703) * CHOOSE(CONTROL!$C$21, $C$9, 100%, $E$9)</f>
        <v>13.170299999999999</v>
      </c>
      <c r="C270" s="14">
        <f>CHOOSE(CONTROL!$C$42, 13.1783, 13.1783) * CHOOSE(CONTROL!$C$21, $C$9, 100%, $E$9)</f>
        <v>13.1783</v>
      </c>
      <c r="D270" s="14">
        <f>CHOOSE(CONTROL!$C$42, 13.4041, 13.4041) * CHOOSE(CONTROL!$C$21, $C$9, 100%, $E$9)</f>
        <v>13.4041</v>
      </c>
      <c r="E270" s="14">
        <f>CHOOSE(CONTROL!$C$42, 13.4355, 13.4355) * CHOOSE(CONTROL!$C$21, $C$9, 100%, $E$9)</f>
        <v>13.435499999999999</v>
      </c>
      <c r="F270" s="14">
        <f>CHOOSE(CONTROL!$C$42, 13.1964, 13.1964)*CHOOSE(CONTROL!$C$21, $C$9, 100%, $E$9)</f>
        <v>13.196400000000001</v>
      </c>
      <c r="G270" s="14">
        <f>CHOOSE(CONTROL!$C$42, 13.2134, 13.2134)*CHOOSE(CONTROL!$C$21, $C$9, 100%, $E$9)</f>
        <v>13.2134</v>
      </c>
      <c r="H270" s="14">
        <f>CHOOSE(CONTROL!$C$42, 13.4242, 13.4242) * CHOOSE(CONTROL!$C$21, $C$9, 100%, $E$9)</f>
        <v>13.424200000000001</v>
      </c>
      <c r="I270" s="14">
        <f>CHOOSE(CONTROL!$C$42, 13.2431, 13.2431)* CHOOSE(CONTROL!$C$21, $C$9, 100%, $E$9)</f>
        <v>13.2431</v>
      </c>
      <c r="J270" s="14">
        <f>CHOOSE(CONTROL!$C$42, 13.1894, 13.1894)* CHOOSE(CONTROL!$C$21, $C$9, 100%, $E$9)</f>
        <v>13.189399999999999</v>
      </c>
      <c r="K270" s="52">
        <f>CHOOSE(CONTROL!$C$42, 13.2392, 13.2392) * CHOOSE(CONTROL!$C$21, $C$9, 100%, $E$9)</f>
        <v>13.2392</v>
      </c>
      <c r="L270" s="14">
        <f>CHOOSE(CONTROL!$C$42, 14.0112, 14.0112) * CHOOSE(CONTROL!$C$21, $C$9, 100%, $E$9)</f>
        <v>14.011200000000001</v>
      </c>
      <c r="M270" s="14">
        <f>CHOOSE(CONTROL!$C$42, 12.9268, 12.9268) * CHOOSE(CONTROL!$C$21, $C$9, 100%, $E$9)</f>
        <v>12.9268</v>
      </c>
      <c r="N270" s="14">
        <f>CHOOSE(CONTROL!$C$42, 12.9435, 12.9435) * CHOOSE(CONTROL!$C$21, $C$9, 100%, $E$9)</f>
        <v>12.9435</v>
      </c>
      <c r="O270" s="14">
        <f>CHOOSE(CONTROL!$C$42, 13.1568, 13.1568) * CHOOSE(CONTROL!$C$21, $C$9, 100%, $E$9)</f>
        <v>13.1568</v>
      </c>
      <c r="P270" s="14">
        <f>CHOOSE(CONTROL!$C$42, 12.9786, 12.9786) * CHOOSE(CONTROL!$C$21, $C$9, 100%, $E$9)</f>
        <v>12.9786</v>
      </c>
      <c r="Q270" s="14">
        <f>CHOOSE(CONTROL!$C$42, 13.7515, 13.7515) * CHOOSE(CONTROL!$C$21, $C$9, 100%, $E$9)</f>
        <v>13.7515</v>
      </c>
      <c r="R270" s="14">
        <f>CHOOSE(CONTROL!$C$42, 14.3729, 14.3729) * CHOOSE(CONTROL!$C$21, $C$9, 100%, $E$9)</f>
        <v>14.3729</v>
      </c>
      <c r="S270" s="14">
        <f>CHOOSE(CONTROL!$C$42, 12.6447, 12.6447) * CHOOSE(CONTROL!$C$21, $C$9, 100%, $E$9)</f>
        <v>12.6447</v>
      </c>
      <c r="T27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56">
        <f>(1000*CHOOSE(CONTROL!$C$42, 695, 695)*CHOOSE(CONTROL!$C$42, 0.5599, 0.5599)*CHOOSE(CONTROL!$C$42, 30, 30))/1000000</f>
        <v>11.673914999999997</v>
      </c>
      <c r="V270" s="56">
        <f>(1000*CHOOSE(CONTROL!$C$42, 500, 500)*CHOOSE(CONTROL!$C$42, 0.275, 0.275)*CHOOSE(CONTROL!$C$42, 30, 30))/1000000</f>
        <v>4.125</v>
      </c>
      <c r="W270" s="56">
        <f>(1000*CHOOSE(CONTROL!$C$42, 0.1146, 0.1146)*CHOOSE(CONTROL!$C$42, 121.5, 121.5)*CHOOSE(CONTROL!$C$42, 30, 30))/1000000</f>
        <v>0.417717</v>
      </c>
      <c r="X270" s="56">
        <f>(30*0.1790888*245000/1000000)+(30*0.2374*100000/1000000)</f>
        <v>2.0285026799999999</v>
      </c>
      <c r="Y270" s="56"/>
      <c r="Z270" s="14"/>
      <c r="AA270" s="55"/>
      <c r="AB270" s="49">
        <f>(B270*194.205+C270*267.466+D270*133.845+E270*53.484+F270*40+G270*185+H270*0+I270*100+J270*300)/(194.205+267.466+133.845+53.484+0+40+185+100+300)</f>
        <v>13.224965734536891</v>
      </c>
      <c r="AC270" s="44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13.002630215827338</v>
      </c>
    </row>
    <row r="271" spans="1:29" ht="15.75" x14ac:dyDescent="0.25">
      <c r="A271" s="13">
        <v>49126</v>
      </c>
      <c r="B271" s="14">
        <f>CHOOSE(CONTROL!$C$42, 12.9178, 12.9178) * CHOOSE(CONTROL!$C$21, $C$9, 100%, $E$9)</f>
        <v>12.9178</v>
      </c>
      <c r="C271" s="14">
        <f>CHOOSE(CONTROL!$C$42, 12.9259, 12.9259) * CHOOSE(CONTROL!$C$21, $C$9, 100%, $E$9)</f>
        <v>12.9259</v>
      </c>
      <c r="D271" s="14">
        <f>CHOOSE(CONTROL!$C$42, 13.1516, 13.1516) * CHOOSE(CONTROL!$C$21, $C$9, 100%, $E$9)</f>
        <v>13.1516</v>
      </c>
      <c r="E271" s="14">
        <f>CHOOSE(CONTROL!$C$42, 13.1831, 13.1831) * CHOOSE(CONTROL!$C$21, $C$9, 100%, $E$9)</f>
        <v>13.1831</v>
      </c>
      <c r="F271" s="14">
        <f>CHOOSE(CONTROL!$C$42, 12.9444, 12.9444)*CHOOSE(CONTROL!$C$21, $C$9, 100%, $E$9)</f>
        <v>12.9444</v>
      </c>
      <c r="G271" s="14">
        <f>CHOOSE(CONTROL!$C$42, 12.9616, 12.9616)*CHOOSE(CONTROL!$C$21, $C$9, 100%, $E$9)</f>
        <v>12.961600000000001</v>
      </c>
      <c r="H271" s="14">
        <f>CHOOSE(CONTROL!$C$42, 13.1717, 13.1717) * CHOOSE(CONTROL!$C$21, $C$9, 100%, $E$9)</f>
        <v>13.1717</v>
      </c>
      <c r="I271" s="14">
        <f>CHOOSE(CONTROL!$C$42, 12.9898, 12.9898)* CHOOSE(CONTROL!$C$21, $C$9, 100%, $E$9)</f>
        <v>12.989800000000001</v>
      </c>
      <c r="J271" s="14">
        <f>CHOOSE(CONTROL!$C$42, 12.9374, 12.9374)* CHOOSE(CONTROL!$C$21, $C$9, 100%, $E$9)</f>
        <v>12.9374</v>
      </c>
      <c r="K271" s="52">
        <f>CHOOSE(CONTROL!$C$42, 12.9859, 12.9859) * CHOOSE(CONTROL!$C$21, $C$9, 100%, $E$9)</f>
        <v>12.985900000000001</v>
      </c>
      <c r="L271" s="14">
        <f>CHOOSE(CONTROL!$C$42, 13.7587, 13.7587) * CHOOSE(CONTROL!$C$21, $C$9, 100%, $E$9)</f>
        <v>13.758699999999999</v>
      </c>
      <c r="M271" s="14">
        <f>CHOOSE(CONTROL!$C$42, 12.68, 12.68) * CHOOSE(CONTROL!$C$21, $C$9, 100%, $E$9)</f>
        <v>12.68</v>
      </c>
      <c r="N271" s="14">
        <f>CHOOSE(CONTROL!$C$42, 12.6969, 12.6969) * CHOOSE(CONTROL!$C$21, $C$9, 100%, $E$9)</f>
        <v>12.696899999999999</v>
      </c>
      <c r="O271" s="14">
        <f>CHOOSE(CONTROL!$C$42, 12.9096, 12.9096) * CHOOSE(CONTROL!$C$21, $C$9, 100%, $E$9)</f>
        <v>12.909599999999999</v>
      </c>
      <c r="P271" s="14">
        <f>CHOOSE(CONTROL!$C$42, 12.7306, 12.7306) * CHOOSE(CONTROL!$C$21, $C$9, 100%, $E$9)</f>
        <v>12.730600000000001</v>
      </c>
      <c r="Q271" s="14">
        <f>CHOOSE(CONTROL!$C$42, 13.5043, 13.5043) * CHOOSE(CONTROL!$C$21, $C$9, 100%, $E$9)</f>
        <v>13.504300000000001</v>
      </c>
      <c r="R271" s="14">
        <f>CHOOSE(CONTROL!$C$42, 14.125, 14.125) * CHOOSE(CONTROL!$C$21, $C$9, 100%, $E$9)</f>
        <v>14.125</v>
      </c>
      <c r="S271" s="14">
        <f>CHOOSE(CONTROL!$C$42, 12.4021, 12.4021) * CHOOSE(CONTROL!$C$21, $C$9, 100%, $E$9)</f>
        <v>12.402100000000001</v>
      </c>
      <c r="T27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56">
        <f>(1000*CHOOSE(CONTROL!$C$42, 695, 695)*CHOOSE(CONTROL!$C$42, 0.5599, 0.5599)*CHOOSE(CONTROL!$C$42, 31, 31))/1000000</f>
        <v>12.063045499999998</v>
      </c>
      <c r="V271" s="56">
        <f>(1000*CHOOSE(CONTROL!$C$42, 500, 500)*CHOOSE(CONTROL!$C$42, 0.275, 0.275)*CHOOSE(CONTROL!$C$42, 31, 31))/1000000</f>
        <v>4.2625000000000002</v>
      </c>
      <c r="W271" s="56">
        <f>(1000*CHOOSE(CONTROL!$C$42, 0.1146, 0.1146)*CHOOSE(CONTROL!$C$42, 121.5, 121.5)*CHOOSE(CONTROL!$C$42, 31, 31))/1000000</f>
        <v>0.43164089999999994</v>
      </c>
      <c r="X271" s="56">
        <f>(31*0.1790888*245000/1000000)+(31*0.2374*100000/1000000)</f>
        <v>2.0961194359999999</v>
      </c>
      <c r="Y271" s="56"/>
      <c r="Z271" s="14"/>
      <c r="AA271" s="55"/>
      <c r="AB271" s="49">
        <f>(B271*194.205+C271*267.466+D271*133.845+E271*53.484+F271*40+G271*185+H271*0+I271*100+J271*300)/(194.205+267.466+133.845+53.484+0+40+185+100+300)</f>
        <v>12.972663218838305</v>
      </c>
      <c r="AC271" s="44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12.755591366906472</v>
      </c>
    </row>
    <row r="272" spans="1:29" ht="15.75" x14ac:dyDescent="0.25">
      <c r="A272" s="13">
        <v>49157</v>
      </c>
      <c r="B272" s="14">
        <f>CHOOSE(CONTROL!$C$42, 12.2803, 12.2803) * CHOOSE(CONTROL!$C$21, $C$9, 100%, $E$9)</f>
        <v>12.2803</v>
      </c>
      <c r="C272" s="14">
        <f>CHOOSE(CONTROL!$C$42, 12.2884, 12.2884) * CHOOSE(CONTROL!$C$21, $C$9, 100%, $E$9)</f>
        <v>12.288399999999999</v>
      </c>
      <c r="D272" s="14">
        <f>CHOOSE(CONTROL!$C$42, 12.5142, 12.5142) * CHOOSE(CONTROL!$C$21, $C$9, 100%, $E$9)</f>
        <v>12.514200000000001</v>
      </c>
      <c r="E272" s="14">
        <f>CHOOSE(CONTROL!$C$42, 12.5456, 12.5456) * CHOOSE(CONTROL!$C$21, $C$9, 100%, $E$9)</f>
        <v>12.5456</v>
      </c>
      <c r="F272" s="14">
        <f>CHOOSE(CONTROL!$C$42, 12.3072, 12.3072)*CHOOSE(CONTROL!$C$21, $C$9, 100%, $E$9)</f>
        <v>12.3072</v>
      </c>
      <c r="G272" s="14">
        <f>CHOOSE(CONTROL!$C$42, 12.3244, 12.3244)*CHOOSE(CONTROL!$C$21, $C$9, 100%, $E$9)</f>
        <v>12.324400000000001</v>
      </c>
      <c r="H272" s="14">
        <f>CHOOSE(CONTROL!$C$42, 12.5343, 12.5343) * CHOOSE(CONTROL!$C$21, $C$9, 100%, $E$9)</f>
        <v>12.5343</v>
      </c>
      <c r="I272" s="14">
        <f>CHOOSE(CONTROL!$C$42, 12.3503, 12.3503)* CHOOSE(CONTROL!$C$21, $C$9, 100%, $E$9)</f>
        <v>12.350300000000001</v>
      </c>
      <c r="J272" s="14">
        <f>CHOOSE(CONTROL!$C$42, 12.3002, 12.3002)* CHOOSE(CONTROL!$C$21, $C$9, 100%, $E$9)</f>
        <v>12.3002</v>
      </c>
      <c r="K272" s="52">
        <f>CHOOSE(CONTROL!$C$42, 12.3464, 12.3464) * CHOOSE(CONTROL!$C$21, $C$9, 100%, $E$9)</f>
        <v>12.346399999999999</v>
      </c>
      <c r="L272" s="14">
        <f>CHOOSE(CONTROL!$C$42, 13.1213, 13.1213) * CHOOSE(CONTROL!$C$21, $C$9, 100%, $E$9)</f>
        <v>13.1213</v>
      </c>
      <c r="M272" s="14">
        <f>CHOOSE(CONTROL!$C$42, 12.0558, 12.0558) * CHOOSE(CONTROL!$C$21, $C$9, 100%, $E$9)</f>
        <v>12.0558</v>
      </c>
      <c r="N272" s="14">
        <f>CHOOSE(CONTROL!$C$42, 12.0727, 12.0727) * CHOOSE(CONTROL!$C$21, $C$9, 100%, $E$9)</f>
        <v>12.072699999999999</v>
      </c>
      <c r="O272" s="14">
        <f>CHOOSE(CONTROL!$C$42, 12.2851, 12.2851) * CHOOSE(CONTROL!$C$21, $C$9, 100%, $E$9)</f>
        <v>12.2851</v>
      </c>
      <c r="P272" s="14">
        <f>CHOOSE(CONTROL!$C$42, 12.1043, 12.1043) * CHOOSE(CONTROL!$C$21, $C$9, 100%, $E$9)</f>
        <v>12.1043</v>
      </c>
      <c r="Q272" s="14">
        <f>CHOOSE(CONTROL!$C$42, 12.8798, 12.8798) * CHOOSE(CONTROL!$C$21, $C$9, 100%, $E$9)</f>
        <v>12.879799999999999</v>
      </c>
      <c r="R272" s="14">
        <f>CHOOSE(CONTROL!$C$42, 13.499, 13.499) * CHOOSE(CONTROL!$C$21, $C$9, 100%, $E$9)</f>
        <v>13.499000000000001</v>
      </c>
      <c r="S272" s="14">
        <f>CHOOSE(CONTROL!$C$42, 11.7895, 11.7895) * CHOOSE(CONTROL!$C$21, $C$9, 100%, $E$9)</f>
        <v>11.7895</v>
      </c>
      <c r="T27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56">
        <f>(1000*CHOOSE(CONTROL!$C$42, 695, 695)*CHOOSE(CONTROL!$C$42, 0.5599, 0.5599)*CHOOSE(CONTROL!$C$42, 31, 31))/1000000</f>
        <v>12.063045499999998</v>
      </c>
      <c r="V272" s="56">
        <f>(1000*CHOOSE(CONTROL!$C$42, 500, 500)*CHOOSE(CONTROL!$C$42, 0.275, 0.275)*CHOOSE(CONTROL!$C$42, 31, 31))/1000000</f>
        <v>4.2625000000000002</v>
      </c>
      <c r="W272" s="56">
        <f>(1000*CHOOSE(CONTROL!$C$42, 0.1146, 0.1146)*CHOOSE(CONTROL!$C$42, 121.5, 121.5)*CHOOSE(CONTROL!$C$42, 31, 31))/1000000</f>
        <v>0.43164089999999994</v>
      </c>
      <c r="X272" s="56">
        <f>(31*0.1790888*245000/1000000)+(31*0.2374*100000/1000000)</f>
        <v>2.0961194359999999</v>
      </c>
      <c r="Y272" s="56"/>
      <c r="Z272" s="14"/>
      <c r="AA272" s="55"/>
      <c r="AB272" s="49">
        <f>(B272*194.205+C272*267.466+D272*133.845+E272*53.484+F272*40+G272*185+H272*0+I272*100+J272*300)/(194.205+267.466+133.845+53.484+0+40+185+100+300)</f>
        <v>12.335140365227632</v>
      </c>
      <c r="AC272" s="44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12.131005035971221</v>
      </c>
    </row>
    <row r="273" spans="1:29" ht="15.75" x14ac:dyDescent="0.25">
      <c r="A273" s="13">
        <v>49188</v>
      </c>
      <c r="B273" s="14">
        <f>CHOOSE(CONTROL!$C$42, 11.5012, 11.5012) * CHOOSE(CONTROL!$C$21, $C$9, 100%, $E$9)</f>
        <v>11.501200000000001</v>
      </c>
      <c r="C273" s="14">
        <f>CHOOSE(CONTROL!$C$42, 11.5092, 11.5092) * CHOOSE(CONTROL!$C$21, $C$9, 100%, $E$9)</f>
        <v>11.5092</v>
      </c>
      <c r="D273" s="14">
        <f>CHOOSE(CONTROL!$C$42, 11.735, 11.735) * CHOOSE(CONTROL!$C$21, $C$9, 100%, $E$9)</f>
        <v>11.734999999999999</v>
      </c>
      <c r="E273" s="14">
        <f>CHOOSE(CONTROL!$C$42, 11.7665, 11.7665) * CHOOSE(CONTROL!$C$21, $C$9, 100%, $E$9)</f>
        <v>11.766500000000001</v>
      </c>
      <c r="F273" s="14">
        <f>CHOOSE(CONTROL!$C$42, 11.528, 11.528)*CHOOSE(CONTROL!$C$21, $C$9, 100%, $E$9)</f>
        <v>11.528</v>
      </c>
      <c r="G273" s="14">
        <f>CHOOSE(CONTROL!$C$42, 11.5453, 11.5453)*CHOOSE(CONTROL!$C$21, $C$9, 100%, $E$9)</f>
        <v>11.545299999999999</v>
      </c>
      <c r="H273" s="14">
        <f>CHOOSE(CONTROL!$C$42, 11.7551, 11.7551) * CHOOSE(CONTROL!$C$21, $C$9, 100%, $E$9)</f>
        <v>11.755100000000001</v>
      </c>
      <c r="I273" s="14">
        <f>CHOOSE(CONTROL!$C$42, 11.5688, 11.5688)* CHOOSE(CONTROL!$C$21, $C$9, 100%, $E$9)</f>
        <v>11.5688</v>
      </c>
      <c r="J273" s="14">
        <f>CHOOSE(CONTROL!$C$42, 11.521, 11.521)* CHOOSE(CONTROL!$C$21, $C$9, 100%, $E$9)</f>
        <v>11.521000000000001</v>
      </c>
      <c r="K273" s="52">
        <f>CHOOSE(CONTROL!$C$42, 11.5649, 11.5649) * CHOOSE(CONTROL!$C$21, $C$9, 100%, $E$9)</f>
        <v>11.5649</v>
      </c>
      <c r="L273" s="14">
        <f>CHOOSE(CONTROL!$C$42, 12.3421, 12.3421) * CHOOSE(CONTROL!$C$21, $C$9, 100%, $E$9)</f>
        <v>12.3421</v>
      </c>
      <c r="M273" s="14">
        <f>CHOOSE(CONTROL!$C$42, 11.2927, 11.2927) * CHOOSE(CONTROL!$C$21, $C$9, 100%, $E$9)</f>
        <v>11.2927</v>
      </c>
      <c r="N273" s="14">
        <f>CHOOSE(CONTROL!$C$42, 11.3096, 11.3096) * CHOOSE(CONTROL!$C$21, $C$9, 100%, $E$9)</f>
        <v>11.3096</v>
      </c>
      <c r="O273" s="14">
        <f>CHOOSE(CONTROL!$C$42, 11.522, 11.522) * CHOOSE(CONTROL!$C$21, $C$9, 100%, $E$9)</f>
        <v>11.522</v>
      </c>
      <c r="P273" s="14">
        <f>CHOOSE(CONTROL!$C$42, 11.3388, 11.3388) * CHOOSE(CONTROL!$C$21, $C$9, 100%, $E$9)</f>
        <v>11.338800000000001</v>
      </c>
      <c r="Q273" s="14">
        <f>CHOOSE(CONTROL!$C$42, 12.1167, 12.1167) * CHOOSE(CONTROL!$C$21, $C$9, 100%, $E$9)</f>
        <v>12.1167</v>
      </c>
      <c r="R273" s="14">
        <f>CHOOSE(CONTROL!$C$42, 12.734, 12.734) * CHOOSE(CONTROL!$C$21, $C$9, 100%, $E$9)</f>
        <v>12.734</v>
      </c>
      <c r="S273" s="14">
        <f>CHOOSE(CONTROL!$C$42, 11.0409, 11.0409) * CHOOSE(CONTROL!$C$21, $C$9, 100%, $E$9)</f>
        <v>11.040900000000001</v>
      </c>
      <c r="T27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56">
        <f>(1000*CHOOSE(CONTROL!$C$42, 695, 695)*CHOOSE(CONTROL!$C$42, 0.5599, 0.5599)*CHOOSE(CONTROL!$C$42, 30, 30))/1000000</f>
        <v>11.673914999999997</v>
      </c>
      <c r="V273" s="56">
        <f>(1000*CHOOSE(CONTROL!$C$42, 500, 500)*CHOOSE(CONTROL!$C$42, 0.275, 0.275)*CHOOSE(CONTROL!$C$42, 30, 30))/1000000</f>
        <v>4.125</v>
      </c>
      <c r="W273" s="56">
        <f>(1000*CHOOSE(CONTROL!$C$42, 0.1146, 0.1146)*CHOOSE(CONTROL!$C$42, 121.5, 121.5)*CHOOSE(CONTROL!$C$42, 30, 30))/1000000</f>
        <v>0.417717</v>
      </c>
      <c r="X273" s="56">
        <f>(30*0.1790888*245000/1000000)+(30*0.2374*100000/1000000)</f>
        <v>2.0285026799999999</v>
      </c>
      <c r="Y273" s="56"/>
      <c r="Z273" s="14"/>
      <c r="AA273" s="55"/>
      <c r="AB273" s="49">
        <f>(B273*194.205+C273*267.466+D273*133.845+E273*53.484+F273*40+G273*185+H273*0+I273*100+J273*300)/(194.205+267.466+133.845+53.484+0+40+185+100+300)</f>
        <v>11.555793794505496</v>
      </c>
      <c r="AC273" s="44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11.367559712230216</v>
      </c>
    </row>
    <row r="274" spans="1:29" ht="15.75" x14ac:dyDescent="0.25">
      <c r="A274" s="13">
        <v>49218</v>
      </c>
      <c r="B274" s="14">
        <f>CHOOSE(CONTROL!$C$42, 11.2662, 11.2662) * CHOOSE(CONTROL!$C$21, $C$9, 100%, $E$9)</f>
        <v>11.2662</v>
      </c>
      <c r="C274" s="14">
        <f>CHOOSE(CONTROL!$C$42, 11.2715, 11.2715) * CHOOSE(CONTROL!$C$21, $C$9, 100%, $E$9)</f>
        <v>11.2715</v>
      </c>
      <c r="D274" s="14">
        <f>CHOOSE(CONTROL!$C$42, 11.5023, 11.5023) * CHOOSE(CONTROL!$C$21, $C$9, 100%, $E$9)</f>
        <v>11.5023</v>
      </c>
      <c r="E274" s="14">
        <f>CHOOSE(CONTROL!$C$42, 11.5314, 11.5314) * CHOOSE(CONTROL!$C$21, $C$9, 100%, $E$9)</f>
        <v>11.5314</v>
      </c>
      <c r="F274" s="14">
        <f>CHOOSE(CONTROL!$C$42, 11.295, 11.295)*CHOOSE(CONTROL!$C$21, $C$9, 100%, $E$9)</f>
        <v>11.295</v>
      </c>
      <c r="G274" s="14">
        <f>CHOOSE(CONTROL!$C$42, 11.3122, 11.3122)*CHOOSE(CONTROL!$C$21, $C$9, 100%, $E$9)</f>
        <v>11.312200000000001</v>
      </c>
      <c r="H274" s="14">
        <f>CHOOSE(CONTROL!$C$42, 11.5218, 11.5218) * CHOOSE(CONTROL!$C$21, $C$9, 100%, $E$9)</f>
        <v>11.521800000000001</v>
      </c>
      <c r="I274" s="14">
        <f>CHOOSE(CONTROL!$C$42, 11.3348, 11.3348)* CHOOSE(CONTROL!$C$21, $C$9, 100%, $E$9)</f>
        <v>11.3348</v>
      </c>
      <c r="J274" s="14">
        <f>CHOOSE(CONTROL!$C$42, 11.288, 11.288)* CHOOSE(CONTROL!$C$21, $C$9, 100%, $E$9)</f>
        <v>11.288</v>
      </c>
      <c r="K274" s="52">
        <f>CHOOSE(CONTROL!$C$42, 11.3309, 11.3309) * CHOOSE(CONTROL!$C$21, $C$9, 100%, $E$9)</f>
        <v>11.3309</v>
      </c>
      <c r="L274" s="14">
        <f>CHOOSE(CONTROL!$C$42, 12.1088, 12.1088) * CHOOSE(CONTROL!$C$21, $C$9, 100%, $E$9)</f>
        <v>12.1088</v>
      </c>
      <c r="M274" s="14">
        <f>CHOOSE(CONTROL!$C$42, 11.0645, 11.0645) * CHOOSE(CONTROL!$C$21, $C$9, 100%, $E$9)</f>
        <v>11.064500000000001</v>
      </c>
      <c r="N274" s="14">
        <f>CHOOSE(CONTROL!$C$42, 11.0812, 11.0812) * CHOOSE(CONTROL!$C$21, $C$9, 100%, $E$9)</f>
        <v>11.081200000000001</v>
      </c>
      <c r="O274" s="14">
        <f>CHOOSE(CONTROL!$C$42, 11.2935, 11.2935) * CHOOSE(CONTROL!$C$21, $C$9, 100%, $E$9)</f>
        <v>11.2935</v>
      </c>
      <c r="P274" s="14">
        <f>CHOOSE(CONTROL!$C$42, 11.1096, 11.1096) * CHOOSE(CONTROL!$C$21, $C$9, 100%, $E$9)</f>
        <v>11.1096</v>
      </c>
      <c r="Q274" s="14">
        <f>CHOOSE(CONTROL!$C$42, 11.8882, 11.8882) * CHOOSE(CONTROL!$C$21, $C$9, 100%, $E$9)</f>
        <v>11.888199999999999</v>
      </c>
      <c r="R274" s="14">
        <f>CHOOSE(CONTROL!$C$42, 12.5049, 12.5049) * CHOOSE(CONTROL!$C$21, $C$9, 100%, $E$9)</f>
        <v>12.504899999999999</v>
      </c>
      <c r="S274" s="14">
        <f>CHOOSE(CONTROL!$C$42, 10.8167, 10.8167) * CHOOSE(CONTROL!$C$21, $C$9, 100%, $E$9)</f>
        <v>10.816700000000001</v>
      </c>
      <c r="T27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56">
        <f>(1000*CHOOSE(CONTROL!$C$42, 695, 695)*CHOOSE(CONTROL!$C$42, 0.5599, 0.5599)*CHOOSE(CONTROL!$C$42, 31, 31))/1000000</f>
        <v>12.063045499999998</v>
      </c>
      <c r="V274" s="56">
        <f>(1000*CHOOSE(CONTROL!$C$42, 500, 500)*CHOOSE(CONTROL!$C$42, 0.275, 0.275)*CHOOSE(CONTROL!$C$42, 31, 31))/1000000</f>
        <v>4.2625000000000002</v>
      </c>
      <c r="W274" s="56">
        <f>(1000*CHOOSE(CONTROL!$C$42, 0.1146, 0.1146)*CHOOSE(CONTROL!$C$42, 121.5, 121.5)*CHOOSE(CONTROL!$C$42, 31, 31))/1000000</f>
        <v>0.43164089999999994</v>
      </c>
      <c r="X274" s="56">
        <f>(31*0.1790888*245000/1000000)+(31*0.2374*100000/1000000)</f>
        <v>2.0961194359999999</v>
      </c>
      <c r="Y274" s="56"/>
      <c r="Z274" s="14"/>
      <c r="AA274" s="55"/>
      <c r="AB274" s="49">
        <f>(B274*131.881+C274*277.167+D274*79.08+E274*125.872+F274*40+G274*185+H274*0+I274*100+J274*300)/(131.881+277.167+79.08+125.872+0+40+185+100+300)</f>
        <v>11.328010353107343</v>
      </c>
      <c r="AC274" s="44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11.139085611510792</v>
      </c>
    </row>
    <row r="275" spans="1:29" ht="15.75" x14ac:dyDescent="0.25">
      <c r="A275" s="13">
        <v>49249</v>
      </c>
      <c r="B275" s="14">
        <f>CHOOSE(CONTROL!$C$42, 11.5623, 11.5623) * CHOOSE(CONTROL!$C$21, $C$9, 100%, $E$9)</f>
        <v>11.5623</v>
      </c>
      <c r="C275" s="14">
        <f>CHOOSE(CONTROL!$C$42, 11.5674, 11.5674) * CHOOSE(CONTROL!$C$21, $C$9, 100%, $E$9)</f>
        <v>11.567399999999999</v>
      </c>
      <c r="D275" s="14">
        <f>CHOOSE(CONTROL!$C$42, 11.6364, 11.6364) * CHOOSE(CONTROL!$C$21, $C$9, 100%, $E$9)</f>
        <v>11.6364</v>
      </c>
      <c r="E275" s="14">
        <f>CHOOSE(CONTROL!$C$42, 11.6705, 11.6705) * CHOOSE(CONTROL!$C$21, $C$9, 100%, $E$9)</f>
        <v>11.670500000000001</v>
      </c>
      <c r="F275" s="14">
        <f>CHOOSE(CONTROL!$C$42, 11.5979, 11.5979)*CHOOSE(CONTROL!$C$21, $C$9, 100%, $E$9)</f>
        <v>11.597899999999999</v>
      </c>
      <c r="G275" s="14">
        <f>CHOOSE(CONTROL!$C$42, 11.6153, 11.6153)*CHOOSE(CONTROL!$C$21, $C$9, 100%, $E$9)</f>
        <v>11.6153</v>
      </c>
      <c r="H275" s="14">
        <f>CHOOSE(CONTROL!$C$42, 11.6597, 11.6597) * CHOOSE(CONTROL!$C$21, $C$9, 100%, $E$9)</f>
        <v>11.659700000000001</v>
      </c>
      <c r="I275" s="14">
        <f>CHOOSE(CONTROL!$C$42, 11.6348, 11.6348)* CHOOSE(CONTROL!$C$21, $C$9, 100%, $E$9)</f>
        <v>11.6348</v>
      </c>
      <c r="J275" s="14">
        <f>CHOOSE(CONTROL!$C$42, 11.5909, 11.5909)* CHOOSE(CONTROL!$C$21, $C$9, 100%, $E$9)</f>
        <v>11.5909</v>
      </c>
      <c r="K275" s="52">
        <f>CHOOSE(CONTROL!$C$42, 11.631, 11.631) * CHOOSE(CONTROL!$C$21, $C$9, 100%, $E$9)</f>
        <v>11.631</v>
      </c>
      <c r="L275" s="14">
        <f>CHOOSE(CONTROL!$C$42, 12.2467, 12.2467) * CHOOSE(CONTROL!$C$21, $C$9, 100%, $E$9)</f>
        <v>12.246700000000001</v>
      </c>
      <c r="M275" s="14">
        <f>CHOOSE(CONTROL!$C$42, 11.3611, 11.3611) * CHOOSE(CONTROL!$C$21, $C$9, 100%, $E$9)</f>
        <v>11.3611</v>
      </c>
      <c r="N275" s="14">
        <f>CHOOSE(CONTROL!$C$42, 11.3781, 11.3781) * CHOOSE(CONTROL!$C$21, $C$9, 100%, $E$9)</f>
        <v>11.3781</v>
      </c>
      <c r="O275" s="14">
        <f>CHOOSE(CONTROL!$C$42, 11.4285, 11.4285) * CHOOSE(CONTROL!$C$21, $C$9, 100%, $E$9)</f>
        <v>11.4285</v>
      </c>
      <c r="P275" s="14">
        <f>CHOOSE(CONTROL!$C$42, 11.4035, 11.4035) * CHOOSE(CONTROL!$C$21, $C$9, 100%, $E$9)</f>
        <v>11.403499999999999</v>
      </c>
      <c r="Q275" s="14">
        <f>CHOOSE(CONTROL!$C$42, 12.0232, 12.0232) * CHOOSE(CONTROL!$C$21, $C$9, 100%, $E$9)</f>
        <v>12.023199999999999</v>
      </c>
      <c r="R275" s="14">
        <f>CHOOSE(CONTROL!$C$42, 12.6402, 12.6402) * CHOOSE(CONTROL!$C$21, $C$9, 100%, $E$9)</f>
        <v>12.6402</v>
      </c>
      <c r="S275" s="14">
        <f>CHOOSE(CONTROL!$C$42, 11.1017, 11.1017) * CHOOSE(CONTROL!$C$21, $C$9, 100%, $E$9)</f>
        <v>11.101699999999999</v>
      </c>
      <c r="T27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56">
        <f>(1000*CHOOSE(CONTROL!$C$42, 695, 695)*CHOOSE(CONTROL!$C$42, 0.5599, 0.5599)*CHOOSE(CONTROL!$C$42, 30, 30))/1000000</f>
        <v>11.673914999999997</v>
      </c>
      <c r="V275" s="56">
        <f>(1000*CHOOSE(CONTROL!$C$42, 500, 500)*CHOOSE(CONTROL!$C$42, 0.275, 0.275)*CHOOSE(CONTROL!$C$42, 30, 30))/1000000</f>
        <v>4.125</v>
      </c>
      <c r="W275" s="56">
        <f>(1000*CHOOSE(CONTROL!$C$42, 0.1146, 0.1146)*CHOOSE(CONTROL!$C$42, 121.5, 121.5)*CHOOSE(CONTROL!$C$42, 30, 30))/1000000</f>
        <v>0.417717</v>
      </c>
      <c r="X275" s="56">
        <f>(30*0.1790888*100000/1000000)+(30*0.2374*100000/1000000)</f>
        <v>1.2494664</v>
      </c>
      <c r="Y275" s="56"/>
      <c r="Z275" s="14"/>
      <c r="AA275" s="55"/>
      <c r="AB275" s="49">
        <f>(B275*122.58+C275*297.941+D275*89.177+E275*40.302+F275*40+G275*160+H275*0+I275*100+J275*300)/(122.58+297.941+89.177+40.302+0+40+160+100+300)</f>
        <v>11.595536687999999</v>
      </c>
      <c r="AC275" s="44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11.398727338129497</v>
      </c>
    </row>
    <row r="276" spans="1:29" ht="15.75" x14ac:dyDescent="0.25">
      <c r="A276" s="13">
        <v>49279</v>
      </c>
      <c r="B276" s="14">
        <f>CHOOSE(CONTROL!$C$42, 12.35, 12.35) * CHOOSE(CONTROL!$C$21, $C$9, 100%, $E$9)</f>
        <v>12.35</v>
      </c>
      <c r="C276" s="14">
        <f>CHOOSE(CONTROL!$C$42, 12.355, 12.355) * CHOOSE(CONTROL!$C$21, $C$9, 100%, $E$9)</f>
        <v>12.355</v>
      </c>
      <c r="D276" s="14">
        <f>CHOOSE(CONTROL!$C$42, 12.424, 12.424) * CHOOSE(CONTROL!$C$21, $C$9, 100%, $E$9)</f>
        <v>12.423999999999999</v>
      </c>
      <c r="E276" s="14">
        <f>CHOOSE(CONTROL!$C$42, 12.4581, 12.4581) * CHOOSE(CONTROL!$C$21, $C$9, 100%, $E$9)</f>
        <v>12.4581</v>
      </c>
      <c r="F276" s="14">
        <f>CHOOSE(CONTROL!$C$42, 12.3878, 12.3878)*CHOOSE(CONTROL!$C$21, $C$9, 100%, $E$9)</f>
        <v>12.3878</v>
      </c>
      <c r="G276" s="14">
        <f>CHOOSE(CONTROL!$C$42, 12.4058, 12.4058)*CHOOSE(CONTROL!$C$21, $C$9, 100%, $E$9)</f>
        <v>12.405799999999999</v>
      </c>
      <c r="H276" s="14">
        <f>CHOOSE(CONTROL!$C$42, 12.4473, 12.4473) * CHOOSE(CONTROL!$C$21, $C$9, 100%, $E$9)</f>
        <v>12.4473</v>
      </c>
      <c r="I276" s="14">
        <f>CHOOSE(CONTROL!$C$42, 12.425, 12.425)* CHOOSE(CONTROL!$C$21, $C$9, 100%, $E$9)</f>
        <v>12.425000000000001</v>
      </c>
      <c r="J276" s="14">
        <f>CHOOSE(CONTROL!$C$42, 12.3808, 12.3808)* CHOOSE(CONTROL!$C$21, $C$9, 100%, $E$9)</f>
        <v>12.380800000000001</v>
      </c>
      <c r="K276" s="52">
        <f>CHOOSE(CONTROL!$C$42, 12.4211, 12.4211) * CHOOSE(CONTROL!$C$21, $C$9, 100%, $E$9)</f>
        <v>12.421099999999999</v>
      </c>
      <c r="L276" s="14">
        <f>CHOOSE(CONTROL!$C$42, 13.0343, 13.0343) * CHOOSE(CONTROL!$C$21, $C$9, 100%, $E$9)</f>
        <v>13.0343</v>
      </c>
      <c r="M276" s="14">
        <f>CHOOSE(CONTROL!$C$42, 12.1348, 12.1348) * CHOOSE(CONTROL!$C$21, $C$9, 100%, $E$9)</f>
        <v>12.1348</v>
      </c>
      <c r="N276" s="14">
        <f>CHOOSE(CONTROL!$C$42, 12.1524, 12.1524) * CHOOSE(CONTROL!$C$21, $C$9, 100%, $E$9)</f>
        <v>12.1524</v>
      </c>
      <c r="O276" s="14">
        <f>CHOOSE(CONTROL!$C$42, 12.2, 12.2) * CHOOSE(CONTROL!$C$21, $C$9, 100%, $E$9)</f>
        <v>12.2</v>
      </c>
      <c r="P276" s="14">
        <f>CHOOSE(CONTROL!$C$42, 12.1774, 12.1774) * CHOOSE(CONTROL!$C$21, $C$9, 100%, $E$9)</f>
        <v>12.1774</v>
      </c>
      <c r="Q276" s="14">
        <f>CHOOSE(CONTROL!$C$42, 12.7947, 12.7947) * CHOOSE(CONTROL!$C$21, $C$9, 100%, $E$9)</f>
        <v>12.794700000000001</v>
      </c>
      <c r="R276" s="14">
        <f>CHOOSE(CONTROL!$C$42, 13.4137, 13.4137) * CHOOSE(CONTROL!$C$21, $C$9, 100%, $E$9)</f>
        <v>13.4137</v>
      </c>
      <c r="S276" s="14">
        <f>CHOOSE(CONTROL!$C$42, 11.8585, 11.8585) * CHOOSE(CONTROL!$C$21, $C$9, 100%, $E$9)</f>
        <v>11.858499999999999</v>
      </c>
      <c r="T27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56">
        <f>(1000*CHOOSE(CONTROL!$C$42, 695, 695)*CHOOSE(CONTROL!$C$42, 0.5599, 0.5599)*CHOOSE(CONTROL!$C$42, 31, 31))/1000000</f>
        <v>12.063045499999998</v>
      </c>
      <c r="V276" s="56">
        <f>(1000*CHOOSE(CONTROL!$C$42, 500, 500)*CHOOSE(CONTROL!$C$42, 0.275, 0.275)*CHOOSE(CONTROL!$C$42, 31, 31))/1000000</f>
        <v>4.2625000000000002</v>
      </c>
      <c r="W276" s="56">
        <f>(1000*CHOOSE(CONTROL!$C$42, 0.1146, 0.1146)*CHOOSE(CONTROL!$C$42, 121.5, 121.5)*CHOOSE(CONTROL!$C$42, 31, 31))/1000000</f>
        <v>0.43164089999999994</v>
      </c>
      <c r="X276" s="56">
        <f>(31*0.1790888*100000/1000000)+(31*0.2374*100000/1000000)</f>
        <v>1.2911152800000001</v>
      </c>
      <c r="Y276" s="56"/>
      <c r="Z276" s="14"/>
      <c r="AA276" s="55"/>
      <c r="AB276" s="49">
        <f>(B276*122.58+C276*297.941+D276*89.177+E276*40.302+F276*40+G276*160+H276*0+I276*100+J276*300)/(122.58+297.941+89.177+40.302+0+40+160+100+300)</f>
        <v>12.384456912347826</v>
      </c>
      <c r="AC276" s="44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12.171493525179857</v>
      </c>
    </row>
    <row r="277" spans="1:29" ht="15.75" x14ac:dyDescent="0.25">
      <c r="A277" s="13">
        <v>49310</v>
      </c>
      <c r="B277" s="14">
        <f>CHOOSE(CONTROL!$C$42, 13.373, 13.373) * CHOOSE(CONTROL!$C$21, $C$9, 100%, $E$9)</f>
        <v>13.372999999999999</v>
      </c>
      <c r="C277" s="14">
        <f>CHOOSE(CONTROL!$C$42, 13.378, 13.378) * CHOOSE(CONTROL!$C$21, $C$9, 100%, $E$9)</f>
        <v>13.378</v>
      </c>
      <c r="D277" s="14">
        <f>CHOOSE(CONTROL!$C$42, 13.4575, 13.4575) * CHOOSE(CONTROL!$C$21, $C$9, 100%, $E$9)</f>
        <v>13.4575</v>
      </c>
      <c r="E277" s="14">
        <f>CHOOSE(CONTROL!$C$42, 13.4916, 13.4916) * CHOOSE(CONTROL!$C$21, $C$9, 100%, $E$9)</f>
        <v>13.4916</v>
      </c>
      <c r="F277" s="14">
        <f>CHOOSE(CONTROL!$C$42, 13.396, 13.396)*CHOOSE(CONTROL!$C$21, $C$9, 100%, $E$9)</f>
        <v>13.396000000000001</v>
      </c>
      <c r="G277" s="14">
        <f>CHOOSE(CONTROL!$C$42, 13.4135, 13.4135)*CHOOSE(CONTROL!$C$21, $C$9, 100%, $E$9)</f>
        <v>13.413500000000001</v>
      </c>
      <c r="H277" s="14">
        <f>CHOOSE(CONTROL!$C$42, 13.4808, 13.4808) * CHOOSE(CONTROL!$C$21, $C$9, 100%, $E$9)</f>
        <v>13.4808</v>
      </c>
      <c r="I277" s="14">
        <f>CHOOSE(CONTROL!$C$42, 13.4502, 13.4502)* CHOOSE(CONTROL!$C$21, $C$9, 100%, $E$9)</f>
        <v>13.450200000000001</v>
      </c>
      <c r="J277" s="14">
        <f>CHOOSE(CONTROL!$C$42, 13.389, 13.389)* CHOOSE(CONTROL!$C$21, $C$9, 100%, $E$9)</f>
        <v>13.388999999999999</v>
      </c>
      <c r="K277" s="52">
        <f>CHOOSE(CONTROL!$C$42, 13.4463, 13.4463) * CHOOSE(CONTROL!$C$21, $C$9, 100%, $E$9)</f>
        <v>13.446300000000001</v>
      </c>
      <c r="L277" s="14">
        <f>CHOOSE(CONTROL!$C$42, 14.0678, 14.0678) * CHOOSE(CONTROL!$C$21, $C$9, 100%, $E$9)</f>
        <v>14.0678</v>
      </c>
      <c r="M277" s="14">
        <f>CHOOSE(CONTROL!$C$42, 13.1224, 13.1224) * CHOOSE(CONTROL!$C$21, $C$9, 100%, $E$9)</f>
        <v>13.122400000000001</v>
      </c>
      <c r="N277" s="14">
        <f>CHOOSE(CONTROL!$C$42, 13.1395, 13.1395) * CHOOSE(CONTROL!$C$21, $C$9, 100%, $E$9)</f>
        <v>13.1395</v>
      </c>
      <c r="O277" s="14">
        <f>CHOOSE(CONTROL!$C$42, 13.2123, 13.2123) * CHOOSE(CONTROL!$C$21, $C$9, 100%, $E$9)</f>
        <v>13.212300000000001</v>
      </c>
      <c r="P277" s="14">
        <f>CHOOSE(CONTROL!$C$42, 13.1815, 13.1815) * CHOOSE(CONTROL!$C$21, $C$9, 100%, $E$9)</f>
        <v>13.1815</v>
      </c>
      <c r="Q277" s="14">
        <f>CHOOSE(CONTROL!$C$42, 13.807, 13.807) * CHOOSE(CONTROL!$C$21, $C$9, 100%, $E$9)</f>
        <v>13.807</v>
      </c>
      <c r="R277" s="14">
        <f>CHOOSE(CONTROL!$C$42, 14.4285, 14.4285) * CHOOSE(CONTROL!$C$21, $C$9, 100%, $E$9)</f>
        <v>14.4285</v>
      </c>
      <c r="S277" s="14">
        <f>CHOOSE(CONTROL!$C$42, 12.8416, 12.8416) * CHOOSE(CONTROL!$C$21, $C$9, 100%, $E$9)</f>
        <v>12.8416</v>
      </c>
      <c r="T27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56">
        <f>(1000*CHOOSE(CONTROL!$C$42, 695, 695)*CHOOSE(CONTROL!$C$42, 0.5599, 0.5599)*CHOOSE(CONTROL!$C$42, 31, 31))/1000000</f>
        <v>12.063045499999998</v>
      </c>
      <c r="V277" s="56">
        <f>(1000*CHOOSE(CONTROL!$C$42, 500, 500)*CHOOSE(CONTROL!$C$42, 0.275, 0.275)*CHOOSE(CONTROL!$C$42, 31, 31))/1000000</f>
        <v>4.2625000000000002</v>
      </c>
      <c r="W277" s="56">
        <f>(1000*CHOOSE(CONTROL!$C$42, 0.1146, 0.1146)*CHOOSE(CONTROL!$C$42, 121.5, 121.5)*CHOOSE(CONTROL!$C$42, 31, 31))/1000000</f>
        <v>0.43164089999999994</v>
      </c>
      <c r="X277" s="56">
        <f>(31*0.1790888*100000/1000000)+(31*0.2374*100000/1000000)</f>
        <v>1.2911152800000001</v>
      </c>
      <c r="Y277" s="56"/>
      <c r="Z277" s="14"/>
      <c r="AA277" s="55"/>
      <c r="AB277" s="49">
        <f>(B277*122.58+C277*297.941+D277*89.177+E277*40.302+F277*40+G277*160+H277*0+I277*100+J277*300)/(122.58+297.941+89.177+40.302+0+40+160+100+300)</f>
        <v>13.402326068434784</v>
      </c>
      <c r="AC277" s="44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13.172633812949639</v>
      </c>
    </row>
    <row r="278" spans="1:29" ht="15.75" x14ac:dyDescent="0.25">
      <c r="A278" s="13">
        <v>49341</v>
      </c>
      <c r="B278" s="14">
        <f>CHOOSE(CONTROL!$C$42, 13.6109, 13.6109) * CHOOSE(CONTROL!$C$21, $C$9, 100%, $E$9)</f>
        <v>13.610900000000001</v>
      </c>
      <c r="C278" s="14">
        <f>CHOOSE(CONTROL!$C$42, 13.6159, 13.6159) * CHOOSE(CONTROL!$C$21, $C$9, 100%, $E$9)</f>
        <v>13.6159</v>
      </c>
      <c r="D278" s="14">
        <f>CHOOSE(CONTROL!$C$42, 13.6954, 13.6954) * CHOOSE(CONTROL!$C$21, $C$9, 100%, $E$9)</f>
        <v>13.695399999999999</v>
      </c>
      <c r="E278" s="14">
        <f>CHOOSE(CONTROL!$C$42, 13.7295, 13.7295) * CHOOSE(CONTROL!$C$21, $C$9, 100%, $E$9)</f>
        <v>13.7295</v>
      </c>
      <c r="F278" s="14">
        <f>CHOOSE(CONTROL!$C$42, 13.6337, 13.6337)*CHOOSE(CONTROL!$C$21, $C$9, 100%, $E$9)</f>
        <v>13.633699999999999</v>
      </c>
      <c r="G278" s="14">
        <f>CHOOSE(CONTROL!$C$42, 13.6511, 13.6511)*CHOOSE(CONTROL!$C$21, $C$9, 100%, $E$9)</f>
        <v>13.6511</v>
      </c>
      <c r="H278" s="14">
        <f>CHOOSE(CONTROL!$C$42, 13.7187, 13.7187) * CHOOSE(CONTROL!$C$21, $C$9, 100%, $E$9)</f>
        <v>13.7187</v>
      </c>
      <c r="I278" s="14">
        <f>CHOOSE(CONTROL!$C$42, 13.6888, 13.6888)* CHOOSE(CONTROL!$C$21, $C$9, 100%, $E$9)</f>
        <v>13.688800000000001</v>
      </c>
      <c r="J278" s="14">
        <f>CHOOSE(CONTROL!$C$42, 13.6267, 13.6267)* CHOOSE(CONTROL!$C$21, $C$9, 100%, $E$9)</f>
        <v>13.6267</v>
      </c>
      <c r="K278" s="52">
        <f>CHOOSE(CONTROL!$C$42, 13.6849, 13.6849) * CHOOSE(CONTROL!$C$21, $C$9, 100%, $E$9)</f>
        <v>13.684900000000001</v>
      </c>
      <c r="L278" s="14">
        <f>CHOOSE(CONTROL!$C$42, 14.3057, 14.3057) * CHOOSE(CONTROL!$C$21, $C$9, 100%, $E$9)</f>
        <v>14.3057</v>
      </c>
      <c r="M278" s="14">
        <f>CHOOSE(CONTROL!$C$42, 13.3551, 13.3551) * CHOOSE(CONTROL!$C$21, $C$9, 100%, $E$9)</f>
        <v>13.3551</v>
      </c>
      <c r="N278" s="14">
        <f>CHOOSE(CONTROL!$C$42, 13.3722, 13.3722) * CHOOSE(CONTROL!$C$21, $C$9, 100%, $E$9)</f>
        <v>13.372199999999999</v>
      </c>
      <c r="O278" s="14">
        <f>CHOOSE(CONTROL!$C$42, 13.4453, 13.4453) * CHOOSE(CONTROL!$C$21, $C$9, 100%, $E$9)</f>
        <v>13.4453</v>
      </c>
      <c r="P278" s="14">
        <f>CHOOSE(CONTROL!$C$42, 13.4152, 13.4152) * CHOOSE(CONTROL!$C$21, $C$9, 100%, $E$9)</f>
        <v>13.4152</v>
      </c>
      <c r="Q278" s="14">
        <f>CHOOSE(CONTROL!$C$42, 14.04, 14.04) * CHOOSE(CONTROL!$C$21, $C$9, 100%, $E$9)</f>
        <v>14.04</v>
      </c>
      <c r="R278" s="14">
        <f>CHOOSE(CONTROL!$C$42, 14.6621, 14.6621) * CHOOSE(CONTROL!$C$21, $C$9, 100%, $E$9)</f>
        <v>14.662100000000001</v>
      </c>
      <c r="S278" s="14">
        <f>CHOOSE(CONTROL!$C$42, 13.0701, 13.0701) * CHOOSE(CONTROL!$C$21, $C$9, 100%, $E$9)</f>
        <v>13.0701</v>
      </c>
      <c r="T27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78" s="56">
        <f>(1000*CHOOSE(CONTROL!$C$42, 695, 695)*CHOOSE(CONTROL!$C$42, 0.5599, 0.5599)*CHOOSE(CONTROL!$C$42, 28, 28))/1000000</f>
        <v>10.895653999999999</v>
      </c>
      <c r="V278" s="56">
        <f>(1000*CHOOSE(CONTROL!$C$42, 500, 500)*CHOOSE(CONTROL!$C$42, 0.275, 0.275)*CHOOSE(CONTROL!$C$42, 28, 28))/1000000</f>
        <v>3.85</v>
      </c>
      <c r="W278" s="56">
        <f>(1000*CHOOSE(CONTROL!$C$42, 0.1146, 0.1146)*CHOOSE(CONTROL!$C$42, 121.5, 121.5)*CHOOSE(CONTROL!$C$42, 28, 28))/1000000</f>
        <v>0.38986920000000003</v>
      </c>
      <c r="X278" s="56">
        <f>(28*0.1790888*100000/1000000)+(28*0.2374*100000/1000000)</f>
        <v>1.16616864</v>
      </c>
      <c r="Y278" s="56"/>
      <c r="Z278" s="14"/>
      <c r="AA278" s="55"/>
      <c r="AB278" s="49">
        <f>(B278*122.58+C278*297.941+D278*89.177+E278*40.302+F278*40+G278*160+H278*0+I278*100+J278*300)/(122.58+297.941+89.177+40.302+0+40+160+100+300)</f>
        <v>13.640186068434783</v>
      </c>
      <c r="AC278" s="44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13.405613669064747</v>
      </c>
    </row>
    <row r="279" spans="1:29" ht="15.75" x14ac:dyDescent="0.25">
      <c r="A279" s="13">
        <v>49369</v>
      </c>
      <c r="B279" s="14">
        <f>CHOOSE(CONTROL!$C$42, 13.2247, 13.2247) * CHOOSE(CONTROL!$C$21, $C$9, 100%, $E$9)</f>
        <v>13.2247</v>
      </c>
      <c r="C279" s="14">
        <f>CHOOSE(CONTROL!$C$42, 13.2298, 13.2298) * CHOOSE(CONTROL!$C$21, $C$9, 100%, $E$9)</f>
        <v>13.229799999999999</v>
      </c>
      <c r="D279" s="14">
        <f>CHOOSE(CONTROL!$C$42, 13.3092, 13.3092) * CHOOSE(CONTROL!$C$21, $C$9, 100%, $E$9)</f>
        <v>13.309200000000001</v>
      </c>
      <c r="E279" s="14">
        <f>CHOOSE(CONTROL!$C$42, 13.3433, 13.3433) * CHOOSE(CONTROL!$C$21, $C$9, 100%, $E$9)</f>
        <v>13.343299999999999</v>
      </c>
      <c r="F279" s="14">
        <f>CHOOSE(CONTROL!$C$42, 13.2468, 13.2468)*CHOOSE(CONTROL!$C$21, $C$9, 100%, $E$9)</f>
        <v>13.2468</v>
      </c>
      <c r="G279" s="14">
        <f>CHOOSE(CONTROL!$C$42, 13.264, 13.264)*CHOOSE(CONTROL!$C$21, $C$9, 100%, $E$9)</f>
        <v>13.263999999999999</v>
      </c>
      <c r="H279" s="14">
        <f>CHOOSE(CONTROL!$C$42, 13.3325, 13.3325) * CHOOSE(CONTROL!$C$21, $C$9, 100%, $E$9)</f>
        <v>13.3325</v>
      </c>
      <c r="I279" s="14">
        <f>CHOOSE(CONTROL!$C$42, 13.3014, 13.3014)* CHOOSE(CONTROL!$C$21, $C$9, 100%, $E$9)</f>
        <v>13.301399999999999</v>
      </c>
      <c r="J279" s="14">
        <f>CHOOSE(CONTROL!$C$42, 13.2398, 13.2398)* CHOOSE(CONTROL!$C$21, $C$9, 100%, $E$9)</f>
        <v>13.239800000000001</v>
      </c>
      <c r="K279" s="52">
        <f>CHOOSE(CONTROL!$C$42, 13.2975, 13.2975) * CHOOSE(CONTROL!$C$21, $C$9, 100%, $E$9)</f>
        <v>13.297499999999999</v>
      </c>
      <c r="L279" s="14">
        <f>CHOOSE(CONTROL!$C$42, 13.9195, 13.9195) * CHOOSE(CONTROL!$C$21, $C$9, 100%, $E$9)</f>
        <v>13.919499999999999</v>
      </c>
      <c r="M279" s="14">
        <f>CHOOSE(CONTROL!$C$42, 12.9762, 12.9762) * CHOOSE(CONTROL!$C$21, $C$9, 100%, $E$9)</f>
        <v>12.9762</v>
      </c>
      <c r="N279" s="14">
        <f>CHOOSE(CONTROL!$C$42, 12.9931, 12.9931) * CHOOSE(CONTROL!$C$21, $C$9, 100%, $E$9)</f>
        <v>12.9931</v>
      </c>
      <c r="O279" s="14">
        <f>CHOOSE(CONTROL!$C$42, 13.067, 13.067) * CHOOSE(CONTROL!$C$21, $C$9, 100%, $E$9)</f>
        <v>13.067</v>
      </c>
      <c r="P279" s="14">
        <f>CHOOSE(CONTROL!$C$42, 13.0358, 13.0358) * CHOOSE(CONTROL!$C$21, $C$9, 100%, $E$9)</f>
        <v>13.0358</v>
      </c>
      <c r="Q279" s="14">
        <f>CHOOSE(CONTROL!$C$42, 13.6617, 13.6617) * CHOOSE(CONTROL!$C$21, $C$9, 100%, $E$9)</f>
        <v>13.6617</v>
      </c>
      <c r="R279" s="14">
        <f>CHOOSE(CONTROL!$C$42, 14.2829, 14.2829) * CHOOSE(CONTROL!$C$21, $C$9, 100%, $E$9)</f>
        <v>14.2829</v>
      </c>
      <c r="S279" s="14">
        <f>CHOOSE(CONTROL!$C$42, 12.6991, 12.6991) * CHOOSE(CONTROL!$C$21, $C$9, 100%, $E$9)</f>
        <v>12.6991</v>
      </c>
      <c r="T27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56">
        <f>(1000*CHOOSE(CONTROL!$C$42, 695, 695)*CHOOSE(CONTROL!$C$42, 0.5599, 0.5599)*CHOOSE(CONTROL!$C$42, 31, 31))/1000000</f>
        <v>12.063045499999998</v>
      </c>
      <c r="V279" s="56">
        <f>(1000*CHOOSE(CONTROL!$C$42, 500, 500)*CHOOSE(CONTROL!$C$42, 0.275, 0.275)*CHOOSE(CONTROL!$C$42, 31, 31))/1000000</f>
        <v>4.2625000000000002</v>
      </c>
      <c r="W279" s="56">
        <f>(1000*CHOOSE(CONTROL!$C$42, 0.1146, 0.1146)*CHOOSE(CONTROL!$C$42, 121.5, 121.5)*CHOOSE(CONTROL!$C$42, 31, 31))/1000000</f>
        <v>0.43164089999999994</v>
      </c>
      <c r="X279" s="56">
        <f>(31*0.1790888*100000/1000000)+(31*0.2374*100000/1000000)</f>
        <v>1.2911152800000001</v>
      </c>
      <c r="Y279" s="56"/>
      <c r="Z279" s="14"/>
      <c r="AA279" s="55"/>
      <c r="AB279" s="49">
        <f>(B279*122.58+C279*297.941+D279*89.177+E279*40.302+F279*40+G279*160+H279*0+I279*100+J279*300)/(122.58+297.941+89.177+40.302+0+40+160+100+300)</f>
        <v>13.253575454608695</v>
      </c>
      <c r="AC279" s="44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13.026902158273382</v>
      </c>
    </row>
    <row r="280" spans="1:29" ht="15.75" x14ac:dyDescent="0.25">
      <c r="A280" s="13">
        <v>49400</v>
      </c>
      <c r="B280" s="14">
        <f>CHOOSE(CONTROL!$C$42, 13.1862, 13.1862) * CHOOSE(CONTROL!$C$21, $C$9, 100%, $E$9)</f>
        <v>13.186199999999999</v>
      </c>
      <c r="C280" s="14">
        <f>CHOOSE(CONTROL!$C$42, 13.1906, 13.1906) * CHOOSE(CONTROL!$C$21, $C$9, 100%, $E$9)</f>
        <v>13.1906</v>
      </c>
      <c r="D280" s="14">
        <f>CHOOSE(CONTROL!$C$42, 13.4196, 13.4196) * CHOOSE(CONTROL!$C$21, $C$9, 100%, $E$9)</f>
        <v>13.419600000000001</v>
      </c>
      <c r="E280" s="14">
        <f>CHOOSE(CONTROL!$C$42, 13.4517, 13.4517) * CHOOSE(CONTROL!$C$21, $C$9, 100%, $E$9)</f>
        <v>13.451700000000001</v>
      </c>
      <c r="F280" s="14">
        <f>CHOOSE(CONTROL!$C$42, 13.2132, 13.2132)*CHOOSE(CONTROL!$C$21, $C$9, 100%, $E$9)</f>
        <v>13.213200000000001</v>
      </c>
      <c r="G280" s="14">
        <f>CHOOSE(CONTROL!$C$42, 13.2299, 13.2299)*CHOOSE(CONTROL!$C$21, $C$9, 100%, $E$9)</f>
        <v>13.229900000000001</v>
      </c>
      <c r="H280" s="14">
        <f>CHOOSE(CONTROL!$C$42, 13.4415, 13.4415) * CHOOSE(CONTROL!$C$21, $C$9, 100%, $E$9)</f>
        <v>13.4415</v>
      </c>
      <c r="I280" s="14">
        <f>CHOOSE(CONTROL!$C$42, 13.2604, 13.2604)* CHOOSE(CONTROL!$C$21, $C$9, 100%, $E$9)</f>
        <v>13.260400000000001</v>
      </c>
      <c r="J280" s="14">
        <f>CHOOSE(CONTROL!$C$42, 13.2062, 13.2062)* CHOOSE(CONTROL!$C$21, $C$9, 100%, $E$9)</f>
        <v>13.206200000000001</v>
      </c>
      <c r="K280" s="52">
        <f>CHOOSE(CONTROL!$C$42, 13.2565, 13.2565) * CHOOSE(CONTROL!$C$21, $C$9, 100%, $E$9)</f>
        <v>13.256500000000001</v>
      </c>
      <c r="L280" s="14">
        <f>CHOOSE(CONTROL!$C$42, 14.0285, 14.0285) * CHOOSE(CONTROL!$C$21, $C$9, 100%, $E$9)</f>
        <v>14.028499999999999</v>
      </c>
      <c r="M280" s="14">
        <f>CHOOSE(CONTROL!$C$42, 12.9433, 12.9433) * CHOOSE(CONTROL!$C$21, $C$9, 100%, $E$9)</f>
        <v>12.943300000000001</v>
      </c>
      <c r="N280" s="14">
        <f>CHOOSE(CONTROL!$C$42, 12.9596, 12.9596) * CHOOSE(CONTROL!$C$21, $C$9, 100%, $E$9)</f>
        <v>12.9596</v>
      </c>
      <c r="O280" s="14">
        <f>CHOOSE(CONTROL!$C$42, 13.1738, 13.1738) * CHOOSE(CONTROL!$C$21, $C$9, 100%, $E$9)</f>
        <v>13.1738</v>
      </c>
      <c r="P280" s="14">
        <f>CHOOSE(CONTROL!$C$42, 12.9956, 12.9956) * CHOOSE(CONTROL!$C$21, $C$9, 100%, $E$9)</f>
        <v>12.9956</v>
      </c>
      <c r="Q280" s="14">
        <f>CHOOSE(CONTROL!$C$42, 13.7685, 13.7685) * CHOOSE(CONTROL!$C$21, $C$9, 100%, $E$9)</f>
        <v>13.7685</v>
      </c>
      <c r="R280" s="14">
        <f>CHOOSE(CONTROL!$C$42, 14.3899, 14.3899) * CHOOSE(CONTROL!$C$21, $C$9, 100%, $E$9)</f>
        <v>14.389900000000001</v>
      </c>
      <c r="S280" s="14">
        <f>CHOOSE(CONTROL!$C$42, 12.6613, 12.6613) * CHOOSE(CONTROL!$C$21, $C$9, 100%, $E$9)</f>
        <v>12.661300000000001</v>
      </c>
      <c r="T28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56">
        <f>(1000*CHOOSE(CONTROL!$C$42, 695, 695)*CHOOSE(CONTROL!$C$42, 0.5599, 0.5599)*CHOOSE(CONTROL!$C$42, 30, 30))/1000000</f>
        <v>11.673914999999997</v>
      </c>
      <c r="V280" s="56">
        <f>(1000*CHOOSE(CONTROL!$C$42, 500, 500)*CHOOSE(CONTROL!$C$42, 0.275, 0.275)*CHOOSE(CONTROL!$C$42, 30, 30))/1000000</f>
        <v>4.125</v>
      </c>
      <c r="W280" s="56">
        <f>(1000*CHOOSE(CONTROL!$C$42, 0.1146, 0.1146)*CHOOSE(CONTROL!$C$42, 121.5, 121.5)*CHOOSE(CONTROL!$C$42, 30, 30))/1000000</f>
        <v>0.417717</v>
      </c>
      <c r="X280" s="56">
        <f>(30*0.1790888*245000/1000000)+(30*0.2374*100000/1000000)</f>
        <v>2.0285026799999999</v>
      </c>
      <c r="Y280" s="56"/>
      <c r="Z280" s="14"/>
      <c r="AA280" s="55"/>
      <c r="AB280" s="49">
        <f>(B280*141.293+C280*267.993+D280*115.016+E280*89.698+F280*40+G280*185+H280*0+I280*100+J280*300)/(141.293+267.993+115.016+89.698+0+40+185+100+300)</f>
        <v>13.246267169168686</v>
      </c>
      <c r="AC280" s="44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13.019250359712229</v>
      </c>
    </row>
    <row r="281" spans="1:29" ht="15.75" x14ac:dyDescent="0.25">
      <c r="A281" s="13">
        <v>49430</v>
      </c>
      <c r="B281" s="14">
        <f>CHOOSE(CONTROL!$C$42, 13.3038, 13.3038) * CHOOSE(CONTROL!$C$21, $C$9, 100%, $E$9)</f>
        <v>13.303800000000001</v>
      </c>
      <c r="C281" s="14">
        <f>CHOOSE(CONTROL!$C$42, 13.3119, 13.3119) * CHOOSE(CONTROL!$C$21, $C$9, 100%, $E$9)</f>
        <v>13.3119</v>
      </c>
      <c r="D281" s="14">
        <f>CHOOSE(CONTROL!$C$42, 13.5377, 13.5377) * CHOOSE(CONTROL!$C$21, $C$9, 100%, $E$9)</f>
        <v>13.537699999999999</v>
      </c>
      <c r="E281" s="14">
        <f>CHOOSE(CONTROL!$C$42, 13.5691, 13.5691) * CHOOSE(CONTROL!$C$21, $C$9, 100%, $E$9)</f>
        <v>13.569100000000001</v>
      </c>
      <c r="F281" s="14">
        <f>CHOOSE(CONTROL!$C$42, 13.3295, 13.3295)*CHOOSE(CONTROL!$C$21, $C$9, 100%, $E$9)</f>
        <v>13.329499999999999</v>
      </c>
      <c r="G281" s="14">
        <f>CHOOSE(CONTROL!$C$42, 13.3465, 13.3465)*CHOOSE(CONTROL!$C$21, $C$9, 100%, $E$9)</f>
        <v>13.346500000000001</v>
      </c>
      <c r="H281" s="14">
        <f>CHOOSE(CONTROL!$C$42, 13.5578, 13.5578) * CHOOSE(CONTROL!$C$21, $C$9, 100%, $E$9)</f>
        <v>13.5578</v>
      </c>
      <c r="I281" s="14">
        <f>CHOOSE(CONTROL!$C$42, 13.3771, 13.3771)* CHOOSE(CONTROL!$C$21, $C$9, 100%, $E$9)</f>
        <v>13.3771</v>
      </c>
      <c r="J281" s="14">
        <f>CHOOSE(CONTROL!$C$42, 13.3225, 13.3225)* CHOOSE(CONTROL!$C$21, $C$9, 100%, $E$9)</f>
        <v>13.3225</v>
      </c>
      <c r="K281" s="52">
        <f>CHOOSE(CONTROL!$C$42, 13.3732, 13.3732) * CHOOSE(CONTROL!$C$21, $C$9, 100%, $E$9)</f>
        <v>13.373200000000001</v>
      </c>
      <c r="L281" s="14">
        <f>CHOOSE(CONTROL!$C$42, 14.1448, 14.1448) * CHOOSE(CONTROL!$C$21, $C$9, 100%, $E$9)</f>
        <v>14.1448</v>
      </c>
      <c r="M281" s="14">
        <f>CHOOSE(CONTROL!$C$42, 13.0572, 13.0572) * CHOOSE(CONTROL!$C$21, $C$9, 100%, $E$9)</f>
        <v>13.0572</v>
      </c>
      <c r="N281" s="14">
        <f>CHOOSE(CONTROL!$C$42, 13.0738, 13.0738) * CHOOSE(CONTROL!$C$21, $C$9, 100%, $E$9)</f>
        <v>13.0738</v>
      </c>
      <c r="O281" s="14">
        <f>CHOOSE(CONTROL!$C$42, 13.2877, 13.2877) * CHOOSE(CONTROL!$C$21, $C$9, 100%, $E$9)</f>
        <v>13.287699999999999</v>
      </c>
      <c r="P281" s="14">
        <f>CHOOSE(CONTROL!$C$42, 13.1099, 13.1099) * CHOOSE(CONTROL!$C$21, $C$9, 100%, $E$9)</f>
        <v>13.1099</v>
      </c>
      <c r="Q281" s="14">
        <f>CHOOSE(CONTROL!$C$42, 13.8824, 13.8824) * CHOOSE(CONTROL!$C$21, $C$9, 100%, $E$9)</f>
        <v>13.882400000000001</v>
      </c>
      <c r="R281" s="14">
        <f>CHOOSE(CONTROL!$C$42, 14.5041, 14.5041) * CHOOSE(CONTROL!$C$21, $C$9, 100%, $E$9)</f>
        <v>14.504099999999999</v>
      </c>
      <c r="S281" s="14">
        <f>CHOOSE(CONTROL!$C$42, 12.773, 12.773) * CHOOSE(CONTROL!$C$21, $C$9, 100%, $E$9)</f>
        <v>12.773</v>
      </c>
      <c r="T28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56">
        <f>(1000*CHOOSE(CONTROL!$C$42, 695, 695)*CHOOSE(CONTROL!$C$42, 0.5599, 0.5599)*CHOOSE(CONTROL!$C$42, 31, 31))/1000000</f>
        <v>12.063045499999998</v>
      </c>
      <c r="V281" s="56">
        <f>(1000*CHOOSE(CONTROL!$C$42, 500, 500)*CHOOSE(CONTROL!$C$42, 0.275, 0.275)*CHOOSE(CONTROL!$C$42, 31, 31))/1000000</f>
        <v>4.2625000000000002</v>
      </c>
      <c r="W281" s="56">
        <f>(1000*CHOOSE(CONTROL!$C$42, 0.1146, 0.1146)*CHOOSE(CONTROL!$C$42, 121.5, 121.5)*CHOOSE(CONTROL!$C$42, 31, 31))/1000000</f>
        <v>0.43164089999999994</v>
      </c>
      <c r="X281" s="56">
        <f>(31*0.1790888*245000/1000000)+(31*0.2374*100000/1000000)</f>
        <v>2.0961194359999999</v>
      </c>
      <c r="Y281" s="56"/>
      <c r="Z281" s="14"/>
      <c r="AA281" s="55"/>
      <c r="AB281" s="49">
        <f>(B281*194.205+C281*267.466+D281*133.845+E281*53.484+F281*40+G281*185+H281*0+I281*100+J281*300)/(194.205+267.466+133.845+53.484+0+40+185+100+300)</f>
        <v>13.358375844034535</v>
      </c>
      <c r="AC281" s="44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13.133276978417268</v>
      </c>
    </row>
    <row r="282" spans="1:29" ht="15.75" x14ac:dyDescent="0.25">
      <c r="A282" s="33">
        <v>49461</v>
      </c>
      <c r="B282" s="14">
        <f>CHOOSE(CONTROL!$C$42, 13.6809, 13.6809) * CHOOSE(CONTROL!$C$21, $C$9, 100%, $E$9)</f>
        <v>13.680899999999999</v>
      </c>
      <c r="C282" s="14">
        <f>CHOOSE(CONTROL!$C$42, 13.6889, 13.6889) * CHOOSE(CONTROL!$C$21, $C$9, 100%, $E$9)</f>
        <v>13.6889</v>
      </c>
      <c r="D282" s="14">
        <f>CHOOSE(CONTROL!$C$42, 13.9147, 13.9147) * CHOOSE(CONTROL!$C$21, $C$9, 100%, $E$9)</f>
        <v>13.9147</v>
      </c>
      <c r="E282" s="14">
        <f>CHOOSE(CONTROL!$C$42, 13.9462, 13.9462) * CHOOSE(CONTROL!$C$21, $C$9, 100%, $E$9)</f>
        <v>13.946199999999999</v>
      </c>
      <c r="F282" s="14">
        <f>CHOOSE(CONTROL!$C$42, 13.707, 13.707)*CHOOSE(CONTROL!$C$21, $C$9, 100%, $E$9)</f>
        <v>13.707000000000001</v>
      </c>
      <c r="G282" s="14">
        <f>CHOOSE(CONTROL!$C$42, 13.7241, 13.7241)*CHOOSE(CONTROL!$C$21, $C$9, 100%, $E$9)</f>
        <v>13.7241</v>
      </c>
      <c r="H282" s="14">
        <f>CHOOSE(CONTROL!$C$42, 13.9348, 13.9348) * CHOOSE(CONTROL!$C$21, $C$9, 100%, $E$9)</f>
        <v>13.934799999999999</v>
      </c>
      <c r="I282" s="14">
        <f>CHOOSE(CONTROL!$C$42, 13.7553, 13.7553)* CHOOSE(CONTROL!$C$21, $C$9, 100%, $E$9)</f>
        <v>13.7553</v>
      </c>
      <c r="J282" s="14">
        <f>CHOOSE(CONTROL!$C$42, 13.7, 13.7)* CHOOSE(CONTROL!$C$21, $C$9, 100%, $E$9)</f>
        <v>13.7</v>
      </c>
      <c r="K282" s="52">
        <f>CHOOSE(CONTROL!$C$42, 13.7514, 13.7514) * CHOOSE(CONTROL!$C$21, $C$9, 100%, $E$9)</f>
        <v>13.7514</v>
      </c>
      <c r="L282" s="14">
        <f>CHOOSE(CONTROL!$C$42, 14.5218, 14.5218) * CHOOSE(CONTROL!$C$21, $C$9, 100%, $E$9)</f>
        <v>14.521800000000001</v>
      </c>
      <c r="M282" s="14">
        <f>CHOOSE(CONTROL!$C$42, 13.427, 13.427) * CHOOSE(CONTROL!$C$21, $C$9, 100%, $E$9)</f>
        <v>13.427</v>
      </c>
      <c r="N282" s="14">
        <f>CHOOSE(CONTROL!$C$42, 13.4437, 13.4437) * CHOOSE(CONTROL!$C$21, $C$9, 100%, $E$9)</f>
        <v>13.4437</v>
      </c>
      <c r="O282" s="14">
        <f>CHOOSE(CONTROL!$C$42, 13.657, 13.657) * CHOOSE(CONTROL!$C$21, $C$9, 100%, $E$9)</f>
        <v>13.657</v>
      </c>
      <c r="P282" s="14">
        <f>CHOOSE(CONTROL!$C$42, 13.4803, 13.4803) * CHOOSE(CONTROL!$C$21, $C$9, 100%, $E$9)</f>
        <v>13.4803</v>
      </c>
      <c r="Q282" s="14">
        <f>CHOOSE(CONTROL!$C$42, 14.2517, 14.2517) * CHOOSE(CONTROL!$C$21, $C$9, 100%, $E$9)</f>
        <v>14.2517</v>
      </c>
      <c r="R282" s="14">
        <f>CHOOSE(CONTROL!$C$42, 14.8743, 14.8743) * CHOOSE(CONTROL!$C$21, $C$9, 100%, $E$9)</f>
        <v>14.8743</v>
      </c>
      <c r="S282" s="14">
        <f>CHOOSE(CONTROL!$C$42, 13.1353, 13.1353) * CHOOSE(CONTROL!$C$21, $C$9, 100%, $E$9)</f>
        <v>13.135300000000001</v>
      </c>
      <c r="T28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56">
        <f>(1000*CHOOSE(CONTROL!$C$42, 695, 695)*CHOOSE(CONTROL!$C$42, 0.5599, 0.5599)*CHOOSE(CONTROL!$C$42, 30, 30))/1000000</f>
        <v>11.673914999999997</v>
      </c>
      <c r="V282" s="56">
        <f>(1000*CHOOSE(CONTROL!$C$42, 500, 500)*CHOOSE(CONTROL!$C$42, 0.275, 0.275)*CHOOSE(CONTROL!$C$42, 30, 30))/1000000</f>
        <v>4.125</v>
      </c>
      <c r="W282" s="56">
        <f>(1000*CHOOSE(CONTROL!$C$42, 0.1146, 0.1146)*CHOOSE(CONTROL!$C$42, 121.5, 121.5)*CHOOSE(CONTROL!$C$42, 30, 30))/1000000</f>
        <v>0.417717</v>
      </c>
      <c r="X282" s="56">
        <f>(30*0.1790888*245000/1000000)+(30*0.2374*100000/1000000)</f>
        <v>2.0285026799999999</v>
      </c>
      <c r="Y282" s="56"/>
      <c r="Z282" s="14"/>
      <c r="AA282" s="55"/>
      <c r="AB282" s="49">
        <f>(B282*194.205+C282*267.466+D282*133.845+E282*53.484+F282*40+G282*185+H282*0+I282*100+J282*300)/(194.205+267.466+133.845+53.484+0+40+185+100+300)</f>
        <v>13.735710042543172</v>
      </c>
      <c r="AC282" s="44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13.503046043165467</v>
      </c>
    </row>
    <row r="283" spans="1:29" ht="15.75" x14ac:dyDescent="0.25">
      <c r="A283" s="33">
        <v>49491</v>
      </c>
      <c r="B283" s="14">
        <f>CHOOSE(CONTROL!$C$42, 13.4187, 13.4187) * CHOOSE(CONTROL!$C$21, $C$9, 100%, $E$9)</f>
        <v>13.418699999999999</v>
      </c>
      <c r="C283" s="14">
        <f>CHOOSE(CONTROL!$C$42, 13.4267, 13.4267) * CHOOSE(CONTROL!$C$21, $C$9, 100%, $E$9)</f>
        <v>13.4267</v>
      </c>
      <c r="D283" s="14">
        <f>CHOOSE(CONTROL!$C$42, 13.6525, 13.6525) * CHOOSE(CONTROL!$C$21, $C$9, 100%, $E$9)</f>
        <v>13.6525</v>
      </c>
      <c r="E283" s="14">
        <f>CHOOSE(CONTROL!$C$42, 13.6839, 13.6839) * CHOOSE(CONTROL!$C$21, $C$9, 100%, $E$9)</f>
        <v>13.6839</v>
      </c>
      <c r="F283" s="14">
        <f>CHOOSE(CONTROL!$C$42, 13.4452, 13.4452)*CHOOSE(CONTROL!$C$21, $C$9, 100%, $E$9)</f>
        <v>13.4452</v>
      </c>
      <c r="G283" s="14">
        <f>CHOOSE(CONTROL!$C$42, 13.4624, 13.4624)*CHOOSE(CONTROL!$C$21, $C$9, 100%, $E$9)</f>
        <v>13.462400000000001</v>
      </c>
      <c r="H283" s="14">
        <f>CHOOSE(CONTROL!$C$42, 13.6726, 13.6726) * CHOOSE(CONTROL!$C$21, $C$9, 100%, $E$9)</f>
        <v>13.672599999999999</v>
      </c>
      <c r="I283" s="14">
        <f>CHOOSE(CONTROL!$C$42, 13.4922, 13.4922)* CHOOSE(CONTROL!$C$21, $C$9, 100%, $E$9)</f>
        <v>13.4922</v>
      </c>
      <c r="J283" s="14">
        <f>CHOOSE(CONTROL!$C$42, 13.4382, 13.4382)* CHOOSE(CONTROL!$C$21, $C$9, 100%, $E$9)</f>
        <v>13.4382</v>
      </c>
      <c r="K283" s="52">
        <f>CHOOSE(CONTROL!$C$42, 13.4883, 13.4883) * CHOOSE(CONTROL!$C$21, $C$9, 100%, $E$9)</f>
        <v>13.488300000000001</v>
      </c>
      <c r="L283" s="14">
        <f>CHOOSE(CONTROL!$C$42, 14.2596, 14.2596) * CHOOSE(CONTROL!$C$21, $C$9, 100%, $E$9)</f>
        <v>14.259600000000001</v>
      </c>
      <c r="M283" s="14">
        <f>CHOOSE(CONTROL!$C$42, 13.1706, 13.1706) * CHOOSE(CONTROL!$C$21, $C$9, 100%, $E$9)</f>
        <v>13.1706</v>
      </c>
      <c r="N283" s="14">
        <f>CHOOSE(CONTROL!$C$42, 13.1874, 13.1874) * CHOOSE(CONTROL!$C$21, $C$9, 100%, $E$9)</f>
        <v>13.1874</v>
      </c>
      <c r="O283" s="14">
        <f>CHOOSE(CONTROL!$C$42, 13.4001, 13.4001) * CHOOSE(CONTROL!$C$21, $C$9, 100%, $E$9)</f>
        <v>13.4001</v>
      </c>
      <c r="P283" s="14">
        <f>CHOOSE(CONTROL!$C$42, 13.2227, 13.2227) * CHOOSE(CONTROL!$C$21, $C$9, 100%, $E$9)</f>
        <v>13.2227</v>
      </c>
      <c r="Q283" s="14">
        <f>CHOOSE(CONTROL!$C$42, 13.9948, 13.9948) * CHOOSE(CONTROL!$C$21, $C$9, 100%, $E$9)</f>
        <v>13.9948</v>
      </c>
      <c r="R283" s="14">
        <f>CHOOSE(CONTROL!$C$42, 14.6168, 14.6168) * CHOOSE(CONTROL!$C$21, $C$9, 100%, $E$9)</f>
        <v>14.6168</v>
      </c>
      <c r="S283" s="14">
        <f>CHOOSE(CONTROL!$C$42, 12.8834, 12.8834) * CHOOSE(CONTROL!$C$21, $C$9, 100%, $E$9)</f>
        <v>12.8834</v>
      </c>
      <c r="T28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56">
        <f>(1000*CHOOSE(CONTROL!$C$42, 695, 695)*CHOOSE(CONTROL!$C$42, 0.5599, 0.5599)*CHOOSE(CONTROL!$C$42, 31, 31))/1000000</f>
        <v>12.063045499999998</v>
      </c>
      <c r="V283" s="56">
        <f>(1000*CHOOSE(CONTROL!$C$42, 500, 500)*CHOOSE(CONTROL!$C$42, 0.275, 0.275)*CHOOSE(CONTROL!$C$42, 31, 31))/1000000</f>
        <v>4.2625000000000002</v>
      </c>
      <c r="W283" s="56">
        <f>(1000*CHOOSE(CONTROL!$C$42, 0.1146, 0.1146)*CHOOSE(CONTROL!$C$42, 121.5, 121.5)*CHOOSE(CONTROL!$C$42, 31, 31))/1000000</f>
        <v>0.43164089999999994</v>
      </c>
      <c r="X283" s="56">
        <f>(31*0.1790888*245000/1000000)+(31*0.2374*100000/1000000)</f>
        <v>2.0961194359999999</v>
      </c>
      <c r="Y283" s="56"/>
      <c r="Z283" s="14"/>
      <c r="AA283" s="55"/>
      <c r="AB283" s="49">
        <f>(B283*194.205+C283*267.466+D283*133.845+E283*53.484+F283*40+G283*185+H283*0+I283*100+J283*300)/(194.205+267.466+133.845+53.484+0+40+185+100+300)</f>
        <v>13.473614557142858</v>
      </c>
      <c r="AC283" s="44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13.246356115107915</v>
      </c>
    </row>
    <row r="284" spans="1:29" ht="15.75" x14ac:dyDescent="0.25">
      <c r="A284" s="33">
        <v>49522</v>
      </c>
      <c r="B284" s="14">
        <f>CHOOSE(CONTROL!$C$42, 12.7564, 12.7564) * CHOOSE(CONTROL!$C$21, $C$9, 100%, $E$9)</f>
        <v>12.756399999999999</v>
      </c>
      <c r="C284" s="14">
        <f>CHOOSE(CONTROL!$C$42, 12.7645, 12.7645) * CHOOSE(CONTROL!$C$21, $C$9, 100%, $E$9)</f>
        <v>12.7645</v>
      </c>
      <c r="D284" s="14">
        <f>CHOOSE(CONTROL!$C$42, 12.9902, 12.9902) * CHOOSE(CONTROL!$C$21, $C$9, 100%, $E$9)</f>
        <v>12.9902</v>
      </c>
      <c r="E284" s="14">
        <f>CHOOSE(CONTROL!$C$42, 13.0217, 13.0217) * CHOOSE(CONTROL!$C$21, $C$9, 100%, $E$9)</f>
        <v>13.021699999999999</v>
      </c>
      <c r="F284" s="14">
        <f>CHOOSE(CONTROL!$C$42, 12.7832, 12.7832)*CHOOSE(CONTROL!$C$21, $C$9, 100%, $E$9)</f>
        <v>12.783200000000001</v>
      </c>
      <c r="G284" s="14">
        <f>CHOOSE(CONTROL!$C$42, 12.8005, 12.8005)*CHOOSE(CONTROL!$C$21, $C$9, 100%, $E$9)</f>
        <v>12.8005</v>
      </c>
      <c r="H284" s="14">
        <f>CHOOSE(CONTROL!$C$42, 13.0103, 13.0103) * CHOOSE(CONTROL!$C$21, $C$9, 100%, $E$9)</f>
        <v>13.010300000000001</v>
      </c>
      <c r="I284" s="14">
        <f>CHOOSE(CONTROL!$C$42, 12.8279, 12.8279)* CHOOSE(CONTROL!$C$21, $C$9, 100%, $E$9)</f>
        <v>12.8279</v>
      </c>
      <c r="J284" s="14">
        <f>CHOOSE(CONTROL!$C$42, 12.7762, 12.7762)* CHOOSE(CONTROL!$C$21, $C$9, 100%, $E$9)</f>
        <v>12.776199999999999</v>
      </c>
      <c r="K284" s="52">
        <f>CHOOSE(CONTROL!$C$42, 12.824, 12.824) * CHOOSE(CONTROL!$C$21, $C$9, 100%, $E$9)</f>
        <v>12.824</v>
      </c>
      <c r="L284" s="14">
        <f>CHOOSE(CONTROL!$C$42, 13.5973, 13.5973) * CHOOSE(CONTROL!$C$21, $C$9, 100%, $E$9)</f>
        <v>13.597300000000001</v>
      </c>
      <c r="M284" s="14">
        <f>CHOOSE(CONTROL!$C$42, 12.5222, 12.5222) * CHOOSE(CONTROL!$C$21, $C$9, 100%, $E$9)</f>
        <v>12.5222</v>
      </c>
      <c r="N284" s="14">
        <f>CHOOSE(CONTROL!$C$42, 12.5391, 12.5391) * CHOOSE(CONTROL!$C$21, $C$9, 100%, $E$9)</f>
        <v>12.539099999999999</v>
      </c>
      <c r="O284" s="14">
        <f>CHOOSE(CONTROL!$C$42, 12.7515, 12.7515) * CHOOSE(CONTROL!$C$21, $C$9, 100%, $E$9)</f>
        <v>12.7515</v>
      </c>
      <c r="P284" s="14">
        <f>CHOOSE(CONTROL!$C$42, 12.572, 12.572) * CHOOSE(CONTROL!$C$21, $C$9, 100%, $E$9)</f>
        <v>12.571999999999999</v>
      </c>
      <c r="Q284" s="14">
        <f>CHOOSE(CONTROL!$C$42, 13.3462, 13.3462) * CHOOSE(CONTROL!$C$21, $C$9, 100%, $E$9)</f>
        <v>13.3462</v>
      </c>
      <c r="R284" s="14">
        <f>CHOOSE(CONTROL!$C$42, 13.9665, 13.9665) * CHOOSE(CONTROL!$C$21, $C$9, 100%, $E$9)</f>
        <v>13.9665</v>
      </c>
      <c r="S284" s="14">
        <f>CHOOSE(CONTROL!$C$42, 12.247, 12.247) * CHOOSE(CONTROL!$C$21, $C$9, 100%, $E$9)</f>
        <v>12.247</v>
      </c>
      <c r="T28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56">
        <f>(1000*CHOOSE(CONTROL!$C$42, 695, 695)*CHOOSE(CONTROL!$C$42, 0.5599, 0.5599)*CHOOSE(CONTROL!$C$42, 31, 31))/1000000</f>
        <v>12.063045499999998</v>
      </c>
      <c r="V284" s="56">
        <f>(1000*CHOOSE(CONTROL!$C$42, 500, 500)*CHOOSE(CONTROL!$C$42, 0.275, 0.275)*CHOOSE(CONTROL!$C$42, 31, 31))/1000000</f>
        <v>4.2625000000000002</v>
      </c>
      <c r="W284" s="56">
        <f>(1000*CHOOSE(CONTROL!$C$42, 0.1146, 0.1146)*CHOOSE(CONTROL!$C$42, 121.5, 121.5)*CHOOSE(CONTROL!$C$42, 31, 31))/1000000</f>
        <v>0.43164089999999994</v>
      </c>
      <c r="X284" s="56">
        <f>(31*0.1790888*245000/1000000)+(31*0.2374*100000/1000000)</f>
        <v>2.0961194359999999</v>
      </c>
      <c r="Y284" s="56"/>
      <c r="Z284" s="14"/>
      <c r="AA284" s="55"/>
      <c r="AB284" s="49">
        <f>(B284*194.205+C284*267.466+D284*133.845+E284*53.484+F284*40+G284*185+H284*0+I284*100+J284*300)/(194.205+267.466+133.845+53.484+0+40+185+100+300)</f>
        <v>12.811320911145998</v>
      </c>
      <c r="AC284" s="44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12.597592086330934</v>
      </c>
    </row>
    <row r="285" spans="1:29" ht="15.75" x14ac:dyDescent="0.25">
      <c r="A285" s="33">
        <v>49553</v>
      </c>
      <c r="B285" s="14">
        <f>CHOOSE(CONTROL!$C$42, 11.9471, 11.9471) * CHOOSE(CONTROL!$C$21, $C$9, 100%, $E$9)</f>
        <v>11.947100000000001</v>
      </c>
      <c r="C285" s="14">
        <f>CHOOSE(CONTROL!$C$42, 11.9551, 11.9551) * CHOOSE(CONTROL!$C$21, $C$9, 100%, $E$9)</f>
        <v>11.9551</v>
      </c>
      <c r="D285" s="14">
        <f>CHOOSE(CONTROL!$C$42, 12.1809, 12.1809) * CHOOSE(CONTROL!$C$21, $C$9, 100%, $E$9)</f>
        <v>12.180899999999999</v>
      </c>
      <c r="E285" s="14">
        <f>CHOOSE(CONTROL!$C$42, 12.2124, 12.2124) * CHOOSE(CONTROL!$C$21, $C$9, 100%, $E$9)</f>
        <v>12.212400000000001</v>
      </c>
      <c r="F285" s="14">
        <f>CHOOSE(CONTROL!$C$42, 11.9739, 11.9739)*CHOOSE(CONTROL!$C$21, $C$9, 100%, $E$9)</f>
        <v>11.9739</v>
      </c>
      <c r="G285" s="14">
        <f>CHOOSE(CONTROL!$C$42, 11.9912, 11.9912)*CHOOSE(CONTROL!$C$21, $C$9, 100%, $E$9)</f>
        <v>11.991199999999999</v>
      </c>
      <c r="H285" s="14">
        <f>CHOOSE(CONTROL!$C$42, 12.201, 12.201) * CHOOSE(CONTROL!$C$21, $C$9, 100%, $E$9)</f>
        <v>12.201000000000001</v>
      </c>
      <c r="I285" s="14">
        <f>CHOOSE(CONTROL!$C$42, 12.016, 12.016)* CHOOSE(CONTROL!$C$21, $C$9, 100%, $E$9)</f>
        <v>12.016</v>
      </c>
      <c r="J285" s="14">
        <f>CHOOSE(CONTROL!$C$42, 11.9669, 11.9669)* CHOOSE(CONTROL!$C$21, $C$9, 100%, $E$9)</f>
        <v>11.966900000000001</v>
      </c>
      <c r="K285" s="52">
        <f>CHOOSE(CONTROL!$C$42, 12.0121, 12.0121) * CHOOSE(CONTROL!$C$21, $C$9, 100%, $E$9)</f>
        <v>12.0121</v>
      </c>
      <c r="L285" s="14">
        <f>CHOOSE(CONTROL!$C$42, 12.788, 12.788) * CHOOSE(CONTROL!$C$21, $C$9, 100%, $E$9)</f>
        <v>12.788</v>
      </c>
      <c r="M285" s="14">
        <f>CHOOSE(CONTROL!$C$42, 11.7294, 11.7294) * CHOOSE(CONTROL!$C$21, $C$9, 100%, $E$9)</f>
        <v>11.7294</v>
      </c>
      <c r="N285" s="14">
        <f>CHOOSE(CONTROL!$C$42, 11.7463, 11.7463) * CHOOSE(CONTROL!$C$21, $C$9, 100%, $E$9)</f>
        <v>11.7463</v>
      </c>
      <c r="O285" s="14">
        <f>CHOOSE(CONTROL!$C$42, 11.9587, 11.9587) * CHOOSE(CONTROL!$C$21, $C$9, 100%, $E$9)</f>
        <v>11.9587</v>
      </c>
      <c r="P285" s="14">
        <f>CHOOSE(CONTROL!$C$42, 11.7769, 11.7769) * CHOOSE(CONTROL!$C$21, $C$9, 100%, $E$9)</f>
        <v>11.776899999999999</v>
      </c>
      <c r="Q285" s="14">
        <f>CHOOSE(CONTROL!$C$42, 12.5534, 12.5534) * CHOOSE(CONTROL!$C$21, $C$9, 100%, $E$9)</f>
        <v>12.5534</v>
      </c>
      <c r="R285" s="14">
        <f>CHOOSE(CONTROL!$C$42, 13.1718, 13.1718) * CHOOSE(CONTROL!$C$21, $C$9, 100%, $E$9)</f>
        <v>13.171799999999999</v>
      </c>
      <c r="S285" s="14">
        <f>CHOOSE(CONTROL!$C$42, 11.4693, 11.4693) * CHOOSE(CONTROL!$C$21, $C$9, 100%, $E$9)</f>
        <v>11.4693</v>
      </c>
      <c r="T28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56">
        <f>(1000*CHOOSE(CONTROL!$C$42, 695, 695)*CHOOSE(CONTROL!$C$42, 0.5599, 0.5599)*CHOOSE(CONTROL!$C$42, 30, 30))/1000000</f>
        <v>11.673914999999997</v>
      </c>
      <c r="V285" s="56">
        <f>(1000*CHOOSE(CONTROL!$C$42, 500, 500)*CHOOSE(CONTROL!$C$42, 0.275, 0.275)*CHOOSE(CONTROL!$C$42, 30, 30))/1000000</f>
        <v>4.125</v>
      </c>
      <c r="W285" s="56">
        <f>(1000*CHOOSE(CONTROL!$C$42, 0.1146, 0.1146)*CHOOSE(CONTROL!$C$42, 121.5, 121.5)*CHOOSE(CONTROL!$C$42, 30, 30))/1000000</f>
        <v>0.417717</v>
      </c>
      <c r="X285" s="56">
        <f>(30*0.1790888*245000/1000000)+(30*0.2374*100000/1000000)</f>
        <v>2.0285026799999999</v>
      </c>
      <c r="Y285" s="56"/>
      <c r="Z285" s="14"/>
      <c r="AA285" s="55"/>
      <c r="AB285" s="49">
        <f>(B285*194.205+C285*267.466+D285*133.845+E285*53.484+F285*40+G285*185+H285*0+I285*100+J285*300)/(194.205+267.466+133.845+53.484+0+40+185+100+300)</f>
        <v>12.00179583532182</v>
      </c>
      <c r="AC285" s="44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11.804461151079137</v>
      </c>
    </row>
    <row r="286" spans="1:29" ht="15.75" x14ac:dyDescent="0.25">
      <c r="A286" s="33">
        <v>49583</v>
      </c>
      <c r="B286" s="14">
        <f>CHOOSE(CONTROL!$C$42, 11.703, 11.703) * CHOOSE(CONTROL!$C$21, $C$9, 100%, $E$9)</f>
        <v>11.702999999999999</v>
      </c>
      <c r="C286" s="14">
        <f>CHOOSE(CONTROL!$C$42, 11.7083, 11.7083) * CHOOSE(CONTROL!$C$21, $C$9, 100%, $E$9)</f>
        <v>11.708299999999999</v>
      </c>
      <c r="D286" s="14">
        <f>CHOOSE(CONTROL!$C$42, 11.9391, 11.9391) * CHOOSE(CONTROL!$C$21, $C$9, 100%, $E$9)</f>
        <v>11.9391</v>
      </c>
      <c r="E286" s="14">
        <f>CHOOSE(CONTROL!$C$42, 11.9682, 11.9682) * CHOOSE(CONTROL!$C$21, $C$9, 100%, $E$9)</f>
        <v>11.9682</v>
      </c>
      <c r="F286" s="14">
        <f>CHOOSE(CONTROL!$C$42, 11.7319, 11.7319)*CHOOSE(CONTROL!$C$21, $C$9, 100%, $E$9)</f>
        <v>11.7319</v>
      </c>
      <c r="G286" s="14">
        <f>CHOOSE(CONTROL!$C$42, 11.749, 11.749)*CHOOSE(CONTROL!$C$21, $C$9, 100%, $E$9)</f>
        <v>11.749000000000001</v>
      </c>
      <c r="H286" s="14">
        <f>CHOOSE(CONTROL!$C$42, 11.9587, 11.9587) * CHOOSE(CONTROL!$C$21, $C$9, 100%, $E$9)</f>
        <v>11.9587</v>
      </c>
      <c r="I286" s="14">
        <f>CHOOSE(CONTROL!$C$42, 11.7729, 11.7729)* CHOOSE(CONTROL!$C$21, $C$9, 100%, $E$9)</f>
        <v>11.7729</v>
      </c>
      <c r="J286" s="14">
        <f>CHOOSE(CONTROL!$C$42, 11.7249, 11.7249)* CHOOSE(CONTROL!$C$21, $C$9, 100%, $E$9)</f>
        <v>11.7249</v>
      </c>
      <c r="K286" s="52">
        <f>CHOOSE(CONTROL!$C$42, 11.7691, 11.7691) * CHOOSE(CONTROL!$C$21, $C$9, 100%, $E$9)</f>
        <v>11.7691</v>
      </c>
      <c r="L286" s="14">
        <f>CHOOSE(CONTROL!$C$42, 12.5457, 12.5457) * CHOOSE(CONTROL!$C$21, $C$9, 100%, $E$9)</f>
        <v>12.5457</v>
      </c>
      <c r="M286" s="14">
        <f>CHOOSE(CONTROL!$C$42, 11.4923, 11.4923) * CHOOSE(CONTROL!$C$21, $C$9, 100%, $E$9)</f>
        <v>11.4923</v>
      </c>
      <c r="N286" s="14">
        <f>CHOOSE(CONTROL!$C$42, 11.5091, 11.5091) * CHOOSE(CONTROL!$C$21, $C$9, 100%, $E$9)</f>
        <v>11.5091</v>
      </c>
      <c r="O286" s="14">
        <f>CHOOSE(CONTROL!$C$42, 11.7213, 11.7213) * CHOOSE(CONTROL!$C$21, $C$9, 100%, $E$9)</f>
        <v>11.721299999999999</v>
      </c>
      <c r="P286" s="14">
        <f>CHOOSE(CONTROL!$C$42, 11.5388, 11.5388) * CHOOSE(CONTROL!$C$21, $C$9, 100%, $E$9)</f>
        <v>11.5388</v>
      </c>
      <c r="Q286" s="14">
        <f>CHOOSE(CONTROL!$C$42, 12.316, 12.316) * CHOOSE(CONTROL!$C$21, $C$9, 100%, $E$9)</f>
        <v>12.316000000000001</v>
      </c>
      <c r="R286" s="14">
        <f>CHOOSE(CONTROL!$C$42, 12.9338, 12.9338) * CHOOSE(CONTROL!$C$21, $C$9, 100%, $E$9)</f>
        <v>12.9338</v>
      </c>
      <c r="S286" s="14">
        <f>CHOOSE(CONTROL!$C$42, 11.2365, 11.2365) * CHOOSE(CONTROL!$C$21, $C$9, 100%, $E$9)</f>
        <v>11.236499999999999</v>
      </c>
      <c r="T28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56">
        <f>(1000*CHOOSE(CONTROL!$C$42, 695, 695)*CHOOSE(CONTROL!$C$42, 0.5599, 0.5599)*CHOOSE(CONTROL!$C$42, 31, 31))/1000000</f>
        <v>12.063045499999998</v>
      </c>
      <c r="V286" s="56">
        <f>(1000*CHOOSE(CONTROL!$C$42, 500, 500)*CHOOSE(CONTROL!$C$42, 0.275, 0.275)*CHOOSE(CONTROL!$C$42, 31, 31))/1000000</f>
        <v>4.2625000000000002</v>
      </c>
      <c r="W286" s="56">
        <f>(1000*CHOOSE(CONTROL!$C$42, 0.1146, 0.1146)*CHOOSE(CONTROL!$C$42, 121.5, 121.5)*CHOOSE(CONTROL!$C$42, 31, 31))/1000000</f>
        <v>0.43164089999999994</v>
      </c>
      <c r="X286" s="56">
        <f>(31*0.1790888*245000/1000000)+(31*0.2374*100000/1000000)</f>
        <v>2.0961194359999999</v>
      </c>
      <c r="Y286" s="56"/>
      <c r="Z286" s="14"/>
      <c r="AA286" s="55"/>
      <c r="AB286" s="49">
        <f>(B286*131.881+C286*277.167+D286*79.08+E286*125.872+F286*40+G286*185+H286*0+I286*100+J286*300)/(131.881+277.167+79.08+125.872+0+40+185+100+300)</f>
        <v>11.764942717917675</v>
      </c>
      <c r="AC286" s="44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11.567110071942446</v>
      </c>
    </row>
    <row r="287" spans="1:29" ht="15.75" x14ac:dyDescent="0.25">
      <c r="A287" s="33">
        <v>49614</v>
      </c>
      <c r="B287" s="14">
        <f>CHOOSE(CONTROL!$C$42, 12.0106, 12.0106) * CHOOSE(CONTROL!$C$21, $C$9, 100%, $E$9)</f>
        <v>12.0106</v>
      </c>
      <c r="C287" s="14">
        <f>CHOOSE(CONTROL!$C$42, 12.0157, 12.0157) * CHOOSE(CONTROL!$C$21, $C$9, 100%, $E$9)</f>
        <v>12.015700000000001</v>
      </c>
      <c r="D287" s="14">
        <f>CHOOSE(CONTROL!$C$42, 12.0847, 12.0847) * CHOOSE(CONTROL!$C$21, $C$9, 100%, $E$9)</f>
        <v>12.0847</v>
      </c>
      <c r="E287" s="14">
        <f>CHOOSE(CONTROL!$C$42, 12.1188, 12.1188) * CHOOSE(CONTROL!$C$21, $C$9, 100%, $E$9)</f>
        <v>12.1188</v>
      </c>
      <c r="F287" s="14">
        <f>CHOOSE(CONTROL!$C$42, 12.0462, 12.0462)*CHOOSE(CONTROL!$C$21, $C$9, 100%, $E$9)</f>
        <v>12.046200000000001</v>
      </c>
      <c r="G287" s="14">
        <f>CHOOSE(CONTROL!$C$42, 12.0636, 12.0636)*CHOOSE(CONTROL!$C$21, $C$9, 100%, $E$9)</f>
        <v>12.063599999999999</v>
      </c>
      <c r="H287" s="14">
        <f>CHOOSE(CONTROL!$C$42, 12.108, 12.108) * CHOOSE(CONTROL!$C$21, $C$9, 100%, $E$9)</f>
        <v>12.108000000000001</v>
      </c>
      <c r="I287" s="14">
        <f>CHOOSE(CONTROL!$C$42, 12.0846, 12.0846)* CHOOSE(CONTROL!$C$21, $C$9, 100%, $E$9)</f>
        <v>12.0846</v>
      </c>
      <c r="J287" s="14">
        <f>CHOOSE(CONTROL!$C$42, 12.0392, 12.0392)* CHOOSE(CONTROL!$C$21, $C$9, 100%, $E$9)</f>
        <v>12.039199999999999</v>
      </c>
      <c r="K287" s="52">
        <f>CHOOSE(CONTROL!$C$42, 12.0807, 12.0807) * CHOOSE(CONTROL!$C$21, $C$9, 100%, $E$9)</f>
        <v>12.0807</v>
      </c>
      <c r="L287" s="14">
        <f>CHOOSE(CONTROL!$C$42, 12.695, 12.695) * CHOOSE(CONTROL!$C$21, $C$9, 100%, $E$9)</f>
        <v>12.695</v>
      </c>
      <c r="M287" s="14">
        <f>CHOOSE(CONTROL!$C$42, 11.8002, 11.8002) * CHOOSE(CONTROL!$C$21, $C$9, 100%, $E$9)</f>
        <v>11.8002</v>
      </c>
      <c r="N287" s="14">
        <f>CHOOSE(CONTROL!$C$42, 11.8173, 11.8173) * CHOOSE(CONTROL!$C$21, $C$9, 100%, $E$9)</f>
        <v>11.817299999999999</v>
      </c>
      <c r="O287" s="14">
        <f>CHOOSE(CONTROL!$C$42, 11.8676, 11.8676) * CHOOSE(CONTROL!$C$21, $C$9, 100%, $E$9)</f>
        <v>11.867599999999999</v>
      </c>
      <c r="P287" s="14">
        <f>CHOOSE(CONTROL!$C$42, 11.844, 11.844) * CHOOSE(CONTROL!$C$21, $C$9, 100%, $E$9)</f>
        <v>11.843999999999999</v>
      </c>
      <c r="Q287" s="14">
        <f>CHOOSE(CONTROL!$C$42, 12.4623, 12.4623) * CHOOSE(CONTROL!$C$21, $C$9, 100%, $E$9)</f>
        <v>12.462300000000001</v>
      </c>
      <c r="R287" s="14">
        <f>CHOOSE(CONTROL!$C$42, 13.0805, 13.0805) * CHOOSE(CONTROL!$C$21, $C$9, 100%, $E$9)</f>
        <v>13.080500000000001</v>
      </c>
      <c r="S287" s="14">
        <f>CHOOSE(CONTROL!$C$42, 11.5325, 11.5325) * CHOOSE(CONTROL!$C$21, $C$9, 100%, $E$9)</f>
        <v>11.532500000000001</v>
      </c>
      <c r="T28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56">
        <f>(1000*CHOOSE(CONTROL!$C$42, 695, 695)*CHOOSE(CONTROL!$C$42, 0.5599, 0.5599)*CHOOSE(CONTROL!$C$42, 30, 30))/1000000</f>
        <v>11.673914999999997</v>
      </c>
      <c r="V287" s="56">
        <f>(1000*CHOOSE(CONTROL!$C$42, 500, 500)*CHOOSE(CONTROL!$C$42, 0.275, 0.275)*CHOOSE(CONTROL!$C$42, 30, 30))/1000000</f>
        <v>4.125</v>
      </c>
      <c r="W287" s="56">
        <f>(1000*CHOOSE(CONTROL!$C$42, 0.1146, 0.1146)*CHOOSE(CONTROL!$C$42, 121.5, 121.5)*CHOOSE(CONTROL!$C$42, 30, 30))/1000000</f>
        <v>0.417717</v>
      </c>
      <c r="X287" s="56">
        <f>(30*0.1790888*100000/1000000)+(30*0.2374*100000/1000000)</f>
        <v>1.2494664</v>
      </c>
      <c r="Y287" s="56"/>
      <c r="Z287" s="14"/>
      <c r="AA287" s="55"/>
      <c r="AB287" s="49">
        <f>(B287*122.58+C287*297.941+D287*89.177+E287*40.302+F287*40+G287*160+H287*0+I287*100+J287*300)/(122.58+297.941+89.177+40.302+0+40+160+100+300)</f>
        <v>12.043967122782609</v>
      </c>
      <c r="AC287" s="44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11.838034532374099</v>
      </c>
    </row>
    <row r="288" spans="1:29" ht="15.75" x14ac:dyDescent="0.25">
      <c r="A288" s="33">
        <v>49644</v>
      </c>
      <c r="B288" s="14">
        <f>CHOOSE(CONTROL!$C$42, 12.8288, 12.8288) * CHOOSE(CONTROL!$C$21, $C$9, 100%, $E$9)</f>
        <v>12.828799999999999</v>
      </c>
      <c r="C288" s="14">
        <f>CHOOSE(CONTROL!$C$42, 12.8339, 12.8339) * CHOOSE(CONTROL!$C$21, $C$9, 100%, $E$9)</f>
        <v>12.8339</v>
      </c>
      <c r="D288" s="14">
        <f>CHOOSE(CONTROL!$C$42, 12.9029, 12.9029) * CHOOSE(CONTROL!$C$21, $C$9, 100%, $E$9)</f>
        <v>12.902900000000001</v>
      </c>
      <c r="E288" s="14">
        <f>CHOOSE(CONTROL!$C$42, 12.937, 12.937) * CHOOSE(CONTROL!$C$21, $C$9, 100%, $E$9)</f>
        <v>12.936999999999999</v>
      </c>
      <c r="F288" s="14">
        <f>CHOOSE(CONTROL!$C$42, 12.8667, 12.8667)*CHOOSE(CONTROL!$C$21, $C$9, 100%, $E$9)</f>
        <v>12.8667</v>
      </c>
      <c r="G288" s="14">
        <f>CHOOSE(CONTROL!$C$42, 12.8847, 12.8847)*CHOOSE(CONTROL!$C$21, $C$9, 100%, $E$9)</f>
        <v>12.8847</v>
      </c>
      <c r="H288" s="14">
        <f>CHOOSE(CONTROL!$C$42, 12.9262, 12.9262) * CHOOSE(CONTROL!$C$21, $C$9, 100%, $E$9)</f>
        <v>12.9262</v>
      </c>
      <c r="I288" s="14">
        <f>CHOOSE(CONTROL!$C$42, 12.9054, 12.9054)* CHOOSE(CONTROL!$C$21, $C$9, 100%, $E$9)</f>
        <v>12.9054</v>
      </c>
      <c r="J288" s="14">
        <f>CHOOSE(CONTROL!$C$42, 12.8597, 12.8597)* CHOOSE(CONTROL!$C$21, $C$9, 100%, $E$9)</f>
        <v>12.8597</v>
      </c>
      <c r="K288" s="52">
        <f>CHOOSE(CONTROL!$C$42, 12.9015, 12.9015) * CHOOSE(CONTROL!$C$21, $C$9, 100%, $E$9)</f>
        <v>12.9015</v>
      </c>
      <c r="L288" s="14">
        <f>CHOOSE(CONTROL!$C$42, 13.5132, 13.5132) * CHOOSE(CONTROL!$C$21, $C$9, 100%, $E$9)</f>
        <v>13.513199999999999</v>
      </c>
      <c r="M288" s="14">
        <f>CHOOSE(CONTROL!$C$42, 12.6039, 12.6039) * CHOOSE(CONTROL!$C$21, $C$9, 100%, $E$9)</f>
        <v>12.603899999999999</v>
      </c>
      <c r="N288" s="14">
        <f>CHOOSE(CONTROL!$C$42, 12.6215, 12.6215) * CHOOSE(CONTROL!$C$21, $C$9, 100%, $E$9)</f>
        <v>12.621499999999999</v>
      </c>
      <c r="O288" s="14">
        <f>CHOOSE(CONTROL!$C$42, 12.6691, 12.6691) * CHOOSE(CONTROL!$C$21, $C$9, 100%, $E$9)</f>
        <v>12.6691</v>
      </c>
      <c r="P288" s="14">
        <f>CHOOSE(CONTROL!$C$42, 12.6479, 12.6479) * CHOOSE(CONTROL!$C$21, $C$9, 100%, $E$9)</f>
        <v>12.6479</v>
      </c>
      <c r="Q288" s="14">
        <f>CHOOSE(CONTROL!$C$42, 13.2638, 13.2638) * CHOOSE(CONTROL!$C$21, $C$9, 100%, $E$9)</f>
        <v>13.2638</v>
      </c>
      <c r="R288" s="14">
        <f>CHOOSE(CONTROL!$C$42, 13.8839, 13.8839) * CHOOSE(CONTROL!$C$21, $C$9, 100%, $E$9)</f>
        <v>13.883900000000001</v>
      </c>
      <c r="S288" s="14">
        <f>CHOOSE(CONTROL!$C$42, 12.3187, 12.3187) * CHOOSE(CONTROL!$C$21, $C$9, 100%, $E$9)</f>
        <v>12.3187</v>
      </c>
      <c r="T28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56">
        <f>(1000*CHOOSE(CONTROL!$C$42, 695, 695)*CHOOSE(CONTROL!$C$42, 0.5599, 0.5599)*CHOOSE(CONTROL!$C$42, 31, 31))/1000000</f>
        <v>12.063045499999998</v>
      </c>
      <c r="V288" s="56">
        <f>(1000*CHOOSE(CONTROL!$C$42, 500, 500)*CHOOSE(CONTROL!$C$42, 0.275, 0.275)*CHOOSE(CONTROL!$C$42, 31, 31))/1000000</f>
        <v>4.2625000000000002</v>
      </c>
      <c r="W288" s="56">
        <f>(1000*CHOOSE(CONTROL!$C$42, 0.1146, 0.1146)*CHOOSE(CONTROL!$C$42, 121.5, 121.5)*CHOOSE(CONTROL!$C$42, 31, 31))/1000000</f>
        <v>0.43164089999999994</v>
      </c>
      <c r="X288" s="56">
        <f>(31*0.1790888*100000/1000000)+(31*0.2374*100000/1000000)</f>
        <v>1.2911152800000001</v>
      </c>
      <c r="Y288" s="56"/>
      <c r="Z288" s="14"/>
      <c r="AA288" s="55"/>
      <c r="AB288" s="49">
        <f>(B288*122.58+C288*297.941+D288*89.177+E288*40.302+F288*40+G288*160+H288*0+I288*100+J288*300)/(122.58+297.941+89.177+40.302+0+40+160+100+300)</f>
        <v>12.863476688</v>
      </c>
      <c r="AC288" s="44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12.640794964028778</v>
      </c>
    </row>
    <row r="289" spans="1:29" ht="15.75" x14ac:dyDescent="0.25">
      <c r="A289" s="33">
        <v>49675</v>
      </c>
      <c r="B289" s="14">
        <f>CHOOSE(CONTROL!$C$42, 13.8916, 13.8916) * CHOOSE(CONTROL!$C$21, $C$9, 100%, $E$9)</f>
        <v>13.8916</v>
      </c>
      <c r="C289" s="14">
        <f>CHOOSE(CONTROL!$C$42, 13.8966, 13.8966) * CHOOSE(CONTROL!$C$21, $C$9, 100%, $E$9)</f>
        <v>13.896599999999999</v>
      </c>
      <c r="D289" s="14">
        <f>CHOOSE(CONTROL!$C$42, 13.9761, 13.9761) * CHOOSE(CONTROL!$C$21, $C$9, 100%, $E$9)</f>
        <v>13.976100000000001</v>
      </c>
      <c r="E289" s="14">
        <f>CHOOSE(CONTROL!$C$42, 14.0102, 14.0102) * CHOOSE(CONTROL!$C$21, $C$9, 100%, $E$9)</f>
        <v>14.010199999999999</v>
      </c>
      <c r="F289" s="14">
        <f>CHOOSE(CONTROL!$C$42, 13.9146, 13.9146)*CHOOSE(CONTROL!$C$21, $C$9, 100%, $E$9)</f>
        <v>13.9146</v>
      </c>
      <c r="G289" s="14">
        <f>CHOOSE(CONTROL!$C$42, 13.9321, 13.9321)*CHOOSE(CONTROL!$C$21, $C$9, 100%, $E$9)</f>
        <v>13.9321</v>
      </c>
      <c r="H289" s="14">
        <f>CHOOSE(CONTROL!$C$42, 13.9994, 13.9994) * CHOOSE(CONTROL!$C$21, $C$9, 100%, $E$9)</f>
        <v>13.9994</v>
      </c>
      <c r="I289" s="14">
        <f>CHOOSE(CONTROL!$C$42, 13.9704, 13.9704)* CHOOSE(CONTROL!$C$21, $C$9, 100%, $E$9)</f>
        <v>13.9704</v>
      </c>
      <c r="J289" s="14">
        <f>CHOOSE(CONTROL!$C$42, 13.9076, 13.9076)* CHOOSE(CONTROL!$C$21, $C$9, 100%, $E$9)</f>
        <v>13.9076</v>
      </c>
      <c r="K289" s="52">
        <f>CHOOSE(CONTROL!$C$42, 13.9665, 13.9665) * CHOOSE(CONTROL!$C$21, $C$9, 100%, $E$9)</f>
        <v>13.9665</v>
      </c>
      <c r="L289" s="14">
        <f>CHOOSE(CONTROL!$C$42, 14.5864, 14.5864) * CHOOSE(CONTROL!$C$21, $C$9, 100%, $E$9)</f>
        <v>14.586399999999999</v>
      </c>
      <c r="M289" s="14">
        <f>CHOOSE(CONTROL!$C$42, 13.6303, 13.6303) * CHOOSE(CONTROL!$C$21, $C$9, 100%, $E$9)</f>
        <v>13.6303</v>
      </c>
      <c r="N289" s="14">
        <f>CHOOSE(CONTROL!$C$42, 13.6475, 13.6475) * CHOOSE(CONTROL!$C$21, $C$9, 100%, $E$9)</f>
        <v>13.647500000000001</v>
      </c>
      <c r="O289" s="14">
        <f>CHOOSE(CONTROL!$C$42, 13.7202, 13.7202) * CHOOSE(CONTROL!$C$21, $C$9, 100%, $E$9)</f>
        <v>13.7202</v>
      </c>
      <c r="P289" s="14">
        <f>CHOOSE(CONTROL!$C$42, 13.691, 13.691) * CHOOSE(CONTROL!$C$21, $C$9, 100%, $E$9)</f>
        <v>13.691000000000001</v>
      </c>
      <c r="Q289" s="14">
        <f>CHOOSE(CONTROL!$C$42, 14.3149, 14.3149) * CHOOSE(CONTROL!$C$21, $C$9, 100%, $E$9)</f>
        <v>14.3149</v>
      </c>
      <c r="R289" s="14">
        <f>CHOOSE(CONTROL!$C$42, 14.9377, 14.9377) * CHOOSE(CONTROL!$C$21, $C$9, 100%, $E$9)</f>
        <v>14.9377</v>
      </c>
      <c r="S289" s="14">
        <f>CHOOSE(CONTROL!$C$42, 13.3399, 13.3399) * CHOOSE(CONTROL!$C$21, $C$9, 100%, $E$9)</f>
        <v>13.3399</v>
      </c>
      <c r="T28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56">
        <f>(1000*CHOOSE(CONTROL!$C$42, 695, 695)*CHOOSE(CONTROL!$C$42, 0.5599, 0.5599)*CHOOSE(CONTROL!$C$42, 31, 31))/1000000</f>
        <v>12.063045499999998</v>
      </c>
      <c r="V289" s="56">
        <f>(1000*CHOOSE(CONTROL!$C$42, 500, 500)*CHOOSE(CONTROL!$C$42, 0.275, 0.275)*CHOOSE(CONTROL!$C$42, 31, 31))/1000000</f>
        <v>4.2625000000000002</v>
      </c>
      <c r="W289" s="56">
        <f>(1000*CHOOSE(CONTROL!$C$42, 0.1146, 0.1146)*CHOOSE(CONTROL!$C$42, 121.5, 121.5)*CHOOSE(CONTROL!$C$42, 31, 31))/1000000</f>
        <v>0.43164089999999994</v>
      </c>
      <c r="X289" s="56">
        <f>(31*0.1790888*100000/1000000)+(31*0.2374*100000/1000000)</f>
        <v>1.2911152800000001</v>
      </c>
      <c r="Y289" s="56"/>
      <c r="Z289" s="14"/>
      <c r="AA289" s="55"/>
      <c r="AB289" s="49">
        <f>(B289*122.58+C289*297.941+D289*89.177+E289*40.302+F289*40+G289*160+H289*0+I289*100+J289*300)/(122.58+297.941+89.177+40.302+0+40+160+100+300)</f>
        <v>13.921065198869565</v>
      </c>
      <c r="AC289" s="44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13.680769784172663</v>
      </c>
    </row>
    <row r="290" spans="1:29" ht="15.75" x14ac:dyDescent="0.25">
      <c r="A290" s="33">
        <v>49706</v>
      </c>
      <c r="B290" s="14">
        <f>CHOOSE(CONTROL!$C$42, 14.1387, 14.1387) * CHOOSE(CONTROL!$C$21, $C$9, 100%, $E$9)</f>
        <v>14.1387</v>
      </c>
      <c r="C290" s="14">
        <f>CHOOSE(CONTROL!$C$42, 14.1438, 14.1438) * CHOOSE(CONTROL!$C$21, $C$9, 100%, $E$9)</f>
        <v>14.143800000000001</v>
      </c>
      <c r="D290" s="14">
        <f>CHOOSE(CONTROL!$C$42, 14.2232, 14.2232) * CHOOSE(CONTROL!$C$21, $C$9, 100%, $E$9)</f>
        <v>14.2232</v>
      </c>
      <c r="E290" s="14">
        <f>CHOOSE(CONTROL!$C$42, 14.2573, 14.2573) * CHOOSE(CONTROL!$C$21, $C$9, 100%, $E$9)</f>
        <v>14.257300000000001</v>
      </c>
      <c r="F290" s="14">
        <f>CHOOSE(CONTROL!$C$42, 14.1615, 14.1615)*CHOOSE(CONTROL!$C$21, $C$9, 100%, $E$9)</f>
        <v>14.1615</v>
      </c>
      <c r="G290" s="14">
        <f>CHOOSE(CONTROL!$C$42, 14.1789, 14.1789)*CHOOSE(CONTROL!$C$21, $C$9, 100%, $E$9)</f>
        <v>14.178900000000001</v>
      </c>
      <c r="H290" s="14">
        <f>CHOOSE(CONTROL!$C$42, 14.2465, 14.2465) * CHOOSE(CONTROL!$C$21, $C$9, 100%, $E$9)</f>
        <v>14.246499999999999</v>
      </c>
      <c r="I290" s="14">
        <f>CHOOSE(CONTROL!$C$42, 14.2183, 14.2183)* CHOOSE(CONTROL!$C$21, $C$9, 100%, $E$9)</f>
        <v>14.218299999999999</v>
      </c>
      <c r="J290" s="14">
        <f>CHOOSE(CONTROL!$C$42, 14.1545, 14.1545)* CHOOSE(CONTROL!$C$21, $C$9, 100%, $E$9)</f>
        <v>14.154500000000001</v>
      </c>
      <c r="K290" s="52">
        <f>CHOOSE(CONTROL!$C$42, 14.2144, 14.2144) * CHOOSE(CONTROL!$C$21, $C$9, 100%, $E$9)</f>
        <v>14.214399999999999</v>
      </c>
      <c r="L290" s="14">
        <f>CHOOSE(CONTROL!$C$42, 14.8335, 14.8335) * CHOOSE(CONTROL!$C$21, $C$9, 100%, $E$9)</f>
        <v>14.833500000000001</v>
      </c>
      <c r="M290" s="14">
        <f>CHOOSE(CONTROL!$C$42, 13.8721, 13.8721) * CHOOSE(CONTROL!$C$21, $C$9, 100%, $E$9)</f>
        <v>13.8721</v>
      </c>
      <c r="N290" s="14">
        <f>CHOOSE(CONTROL!$C$42, 13.8892, 13.8892) * CHOOSE(CONTROL!$C$21, $C$9, 100%, $E$9)</f>
        <v>13.889200000000001</v>
      </c>
      <c r="O290" s="14">
        <f>CHOOSE(CONTROL!$C$42, 13.9623, 13.9623) * CHOOSE(CONTROL!$C$21, $C$9, 100%, $E$9)</f>
        <v>13.962300000000001</v>
      </c>
      <c r="P290" s="14">
        <f>CHOOSE(CONTROL!$C$42, 13.9338, 13.9338) * CHOOSE(CONTROL!$C$21, $C$9, 100%, $E$9)</f>
        <v>13.9338</v>
      </c>
      <c r="Q290" s="14">
        <f>CHOOSE(CONTROL!$C$42, 14.557, 14.557) * CHOOSE(CONTROL!$C$21, $C$9, 100%, $E$9)</f>
        <v>14.557</v>
      </c>
      <c r="R290" s="14">
        <f>CHOOSE(CONTROL!$C$42, 15.1804, 15.1804) * CHOOSE(CONTROL!$C$21, $C$9, 100%, $E$9)</f>
        <v>15.180400000000001</v>
      </c>
      <c r="S290" s="14">
        <f>CHOOSE(CONTROL!$C$42, 13.5773, 13.5773) * CHOOSE(CONTROL!$C$21, $C$9, 100%, $E$9)</f>
        <v>13.577299999999999</v>
      </c>
      <c r="T290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90" s="56">
        <f>(1000*CHOOSE(CONTROL!$C$42, 695, 695)*CHOOSE(CONTROL!$C$42, 0.5599, 0.5599)*CHOOSE(CONTROL!$C$42, 29, 29))/1000000</f>
        <v>11.284784499999999</v>
      </c>
      <c r="V290" s="56">
        <f>(1000*CHOOSE(CONTROL!$C$42, 500, 500)*CHOOSE(CONTROL!$C$42, 0.275, 0.275)*CHOOSE(CONTROL!$C$42, 29, 29))/1000000</f>
        <v>3.9874999999999998</v>
      </c>
      <c r="W290" s="56">
        <f>(1000*CHOOSE(CONTROL!$C$42, 0.1146, 0.1146)*CHOOSE(CONTROL!$C$42, 121.5, 121.5)*CHOOSE(CONTROL!$C$42, 29, 29))/1000000</f>
        <v>0.40379309999999996</v>
      </c>
      <c r="X290" s="56">
        <f>(29*0.1790888*100000/1000000)+(29*0.2374*100000/1000000)</f>
        <v>1.2078175199999999</v>
      </c>
      <c r="Y290" s="56"/>
      <c r="Z290" s="14"/>
      <c r="AA290" s="55"/>
      <c r="AB290" s="49">
        <f>(B290*122.58+C290*297.941+D290*89.177+E290*40.302+F290*40+G290*160+H290*0+I290*100+J290*300)/(122.58+297.941+89.177+40.302+0+40+160+100+300)</f>
        <v>14.168159802434783</v>
      </c>
      <c r="AC290" s="44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13.922843884892087</v>
      </c>
    </row>
    <row r="291" spans="1:29" ht="15.75" x14ac:dyDescent="0.25">
      <c r="A291" s="33">
        <v>49735</v>
      </c>
      <c r="B291" s="14">
        <f>CHOOSE(CONTROL!$C$42, 13.7376, 13.7376) * CHOOSE(CONTROL!$C$21, $C$9, 100%, $E$9)</f>
        <v>13.7376</v>
      </c>
      <c r="C291" s="14">
        <f>CHOOSE(CONTROL!$C$42, 13.7426, 13.7426) * CHOOSE(CONTROL!$C$21, $C$9, 100%, $E$9)</f>
        <v>13.742599999999999</v>
      </c>
      <c r="D291" s="14">
        <f>CHOOSE(CONTROL!$C$42, 13.822, 13.822) * CHOOSE(CONTROL!$C$21, $C$9, 100%, $E$9)</f>
        <v>13.821999999999999</v>
      </c>
      <c r="E291" s="14">
        <f>CHOOSE(CONTROL!$C$42, 13.8561, 13.8561) * CHOOSE(CONTROL!$C$21, $C$9, 100%, $E$9)</f>
        <v>13.8561</v>
      </c>
      <c r="F291" s="14">
        <f>CHOOSE(CONTROL!$C$42, 13.7596, 13.7596)*CHOOSE(CONTROL!$C$21, $C$9, 100%, $E$9)</f>
        <v>13.759600000000001</v>
      </c>
      <c r="G291" s="14">
        <f>CHOOSE(CONTROL!$C$42, 13.7769, 13.7769)*CHOOSE(CONTROL!$C$21, $C$9, 100%, $E$9)</f>
        <v>13.776899999999999</v>
      </c>
      <c r="H291" s="14">
        <f>CHOOSE(CONTROL!$C$42, 13.8453, 13.8453) * CHOOSE(CONTROL!$C$21, $C$9, 100%, $E$9)</f>
        <v>13.8453</v>
      </c>
      <c r="I291" s="14">
        <f>CHOOSE(CONTROL!$C$42, 13.8159, 13.8159)* CHOOSE(CONTROL!$C$21, $C$9, 100%, $E$9)</f>
        <v>13.815899999999999</v>
      </c>
      <c r="J291" s="14">
        <f>CHOOSE(CONTROL!$C$42, 13.7526, 13.7526)* CHOOSE(CONTROL!$C$21, $C$9, 100%, $E$9)</f>
        <v>13.752599999999999</v>
      </c>
      <c r="K291" s="52">
        <f>CHOOSE(CONTROL!$C$42, 13.812, 13.812) * CHOOSE(CONTROL!$C$21, $C$9, 100%, $E$9)</f>
        <v>13.811999999999999</v>
      </c>
      <c r="L291" s="14">
        <f>CHOOSE(CONTROL!$C$42, 14.4323, 14.4323) * CHOOSE(CONTROL!$C$21, $C$9, 100%, $E$9)</f>
        <v>14.4323</v>
      </c>
      <c r="M291" s="14">
        <f>CHOOSE(CONTROL!$C$42, 13.4785, 13.4785) * CHOOSE(CONTROL!$C$21, $C$9, 100%, $E$9)</f>
        <v>13.4785</v>
      </c>
      <c r="N291" s="14">
        <f>CHOOSE(CONTROL!$C$42, 13.4954, 13.4954) * CHOOSE(CONTROL!$C$21, $C$9, 100%, $E$9)</f>
        <v>13.4954</v>
      </c>
      <c r="O291" s="14">
        <f>CHOOSE(CONTROL!$C$42, 13.5694, 13.5694) * CHOOSE(CONTROL!$C$21, $C$9, 100%, $E$9)</f>
        <v>13.5694</v>
      </c>
      <c r="P291" s="14">
        <f>CHOOSE(CONTROL!$C$42, 13.5397, 13.5397) * CHOOSE(CONTROL!$C$21, $C$9, 100%, $E$9)</f>
        <v>13.5397</v>
      </c>
      <c r="Q291" s="14">
        <f>CHOOSE(CONTROL!$C$42, 14.1641, 14.1641) * CHOOSE(CONTROL!$C$21, $C$9, 100%, $E$9)</f>
        <v>14.164099999999999</v>
      </c>
      <c r="R291" s="14">
        <f>CHOOSE(CONTROL!$C$42, 14.7865, 14.7865) * CHOOSE(CONTROL!$C$21, $C$9, 100%, $E$9)</f>
        <v>14.7865</v>
      </c>
      <c r="S291" s="14">
        <f>CHOOSE(CONTROL!$C$42, 13.1919, 13.1919) * CHOOSE(CONTROL!$C$21, $C$9, 100%, $E$9)</f>
        <v>13.1919</v>
      </c>
      <c r="T29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56">
        <f>(1000*CHOOSE(CONTROL!$C$42, 695, 695)*CHOOSE(CONTROL!$C$42, 0.5599, 0.5599)*CHOOSE(CONTROL!$C$42, 31, 31))/1000000</f>
        <v>12.063045499999998</v>
      </c>
      <c r="V291" s="56">
        <f>(1000*CHOOSE(CONTROL!$C$42, 500, 500)*CHOOSE(CONTROL!$C$42, 0.275, 0.275)*CHOOSE(CONTROL!$C$42, 31, 31))/1000000</f>
        <v>4.2625000000000002</v>
      </c>
      <c r="W291" s="56">
        <f>(1000*CHOOSE(CONTROL!$C$42, 0.1146, 0.1146)*CHOOSE(CONTROL!$C$42, 121.5, 121.5)*CHOOSE(CONTROL!$C$42, 31, 31))/1000000</f>
        <v>0.43164089999999994</v>
      </c>
      <c r="X291" s="56">
        <f>(31*0.1790888*100000/1000000)+(31*0.2374*100000/1000000)</f>
        <v>1.2911152800000001</v>
      </c>
      <c r="Y291" s="56"/>
      <c r="Z291" s="14"/>
      <c r="AA291" s="55"/>
      <c r="AB291" s="49">
        <f>(B291*122.58+C291*297.941+D291*89.177+E291*40.302+F291*40+G291*160+H291*0+I291*100+J291*300)/(122.58+297.941+89.177+40.302+0+40+160+100+300)</f>
        <v>13.766547852869566</v>
      </c>
      <c r="AC291" s="44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13.529477697841726</v>
      </c>
    </row>
    <row r="292" spans="1:29" ht="15.75" x14ac:dyDescent="0.25">
      <c r="A292" s="33">
        <v>49766</v>
      </c>
      <c r="B292" s="14">
        <f>CHOOSE(CONTROL!$C$42, 13.6975, 13.6975) * CHOOSE(CONTROL!$C$21, $C$9, 100%, $E$9)</f>
        <v>13.6975</v>
      </c>
      <c r="C292" s="14">
        <f>CHOOSE(CONTROL!$C$42, 13.7019, 13.7019) * CHOOSE(CONTROL!$C$21, $C$9, 100%, $E$9)</f>
        <v>13.7019</v>
      </c>
      <c r="D292" s="14">
        <f>CHOOSE(CONTROL!$C$42, 13.9309, 13.9309) * CHOOSE(CONTROL!$C$21, $C$9, 100%, $E$9)</f>
        <v>13.930899999999999</v>
      </c>
      <c r="E292" s="14">
        <f>CHOOSE(CONTROL!$C$42, 13.963, 13.963) * CHOOSE(CONTROL!$C$21, $C$9, 100%, $E$9)</f>
        <v>13.962999999999999</v>
      </c>
      <c r="F292" s="14">
        <f>CHOOSE(CONTROL!$C$42, 13.7245, 13.7245)*CHOOSE(CONTROL!$C$21, $C$9, 100%, $E$9)</f>
        <v>13.724500000000001</v>
      </c>
      <c r="G292" s="14">
        <f>CHOOSE(CONTROL!$C$42, 13.7412, 13.7412)*CHOOSE(CONTROL!$C$21, $C$9, 100%, $E$9)</f>
        <v>13.741199999999999</v>
      </c>
      <c r="H292" s="14">
        <f>CHOOSE(CONTROL!$C$42, 13.9528, 13.9528) * CHOOSE(CONTROL!$C$21, $C$9, 100%, $E$9)</f>
        <v>13.9528</v>
      </c>
      <c r="I292" s="14">
        <f>CHOOSE(CONTROL!$C$42, 13.7733, 13.7733)* CHOOSE(CONTROL!$C$21, $C$9, 100%, $E$9)</f>
        <v>13.773300000000001</v>
      </c>
      <c r="J292" s="14">
        <f>CHOOSE(CONTROL!$C$42, 13.7175, 13.7175)* CHOOSE(CONTROL!$C$21, $C$9, 100%, $E$9)</f>
        <v>13.717499999999999</v>
      </c>
      <c r="K292" s="52">
        <f>CHOOSE(CONTROL!$C$42, 13.7694, 13.7694) * CHOOSE(CONTROL!$C$21, $C$9, 100%, $E$9)</f>
        <v>13.769399999999999</v>
      </c>
      <c r="L292" s="14">
        <f>CHOOSE(CONTROL!$C$42, 14.5398, 14.5398) * CHOOSE(CONTROL!$C$21, $C$9, 100%, $E$9)</f>
        <v>14.5398</v>
      </c>
      <c r="M292" s="14">
        <f>CHOOSE(CONTROL!$C$42, 13.4441, 13.4441) * CHOOSE(CONTROL!$C$21, $C$9, 100%, $E$9)</f>
        <v>13.444100000000001</v>
      </c>
      <c r="N292" s="14">
        <f>CHOOSE(CONTROL!$C$42, 13.4605, 13.4605) * CHOOSE(CONTROL!$C$21, $C$9, 100%, $E$9)</f>
        <v>13.4605</v>
      </c>
      <c r="O292" s="14">
        <f>CHOOSE(CONTROL!$C$42, 13.6746, 13.6746) * CHOOSE(CONTROL!$C$21, $C$9, 100%, $E$9)</f>
        <v>13.6746</v>
      </c>
      <c r="P292" s="14">
        <f>CHOOSE(CONTROL!$C$42, 13.498, 13.498) * CHOOSE(CONTROL!$C$21, $C$9, 100%, $E$9)</f>
        <v>13.497999999999999</v>
      </c>
      <c r="Q292" s="14">
        <f>CHOOSE(CONTROL!$C$42, 14.2693, 14.2693) * CHOOSE(CONTROL!$C$21, $C$9, 100%, $E$9)</f>
        <v>14.269299999999999</v>
      </c>
      <c r="R292" s="14">
        <f>CHOOSE(CONTROL!$C$42, 14.8919, 14.8919) * CHOOSE(CONTROL!$C$21, $C$9, 100%, $E$9)</f>
        <v>14.8919</v>
      </c>
      <c r="S292" s="14">
        <f>CHOOSE(CONTROL!$C$42, 13.1526, 13.1526) * CHOOSE(CONTROL!$C$21, $C$9, 100%, $E$9)</f>
        <v>13.1526</v>
      </c>
      <c r="T29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56">
        <f>(1000*CHOOSE(CONTROL!$C$42, 695, 695)*CHOOSE(CONTROL!$C$42, 0.5599, 0.5599)*CHOOSE(CONTROL!$C$42, 30, 30))/1000000</f>
        <v>11.673914999999997</v>
      </c>
      <c r="V292" s="56">
        <f>(1000*CHOOSE(CONTROL!$C$42, 500, 500)*CHOOSE(CONTROL!$C$42, 0.275, 0.275)*CHOOSE(CONTROL!$C$42, 30, 30))/1000000</f>
        <v>4.125</v>
      </c>
      <c r="W292" s="56">
        <f>(1000*CHOOSE(CONTROL!$C$42, 0.1146, 0.1146)*CHOOSE(CONTROL!$C$42, 121.5, 121.5)*CHOOSE(CONTROL!$C$42, 30, 30))/1000000</f>
        <v>0.417717</v>
      </c>
      <c r="X292" s="56">
        <f>(30*0.1790888*245000/1000000)+(30*0.2374*100000/1000000)</f>
        <v>2.0285026799999999</v>
      </c>
      <c r="Y292" s="56"/>
      <c r="Z292" s="14"/>
      <c r="AA292" s="55"/>
      <c r="AB292" s="49">
        <f>(B292*141.293+C292*267.993+D292*115.016+E292*89.698+F292*40+G292*185+H292*0+I292*100+J292*300)/(141.293+267.993+115.016+89.698+0+40+185+100+300)</f>
        <v>13.757696305569006</v>
      </c>
      <c r="AC292" s="44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13.5203035971223</v>
      </c>
    </row>
    <row r="293" spans="1:29" ht="15.75" x14ac:dyDescent="0.25">
      <c r="A293" s="33">
        <v>49796</v>
      </c>
      <c r="B293" s="14">
        <f>CHOOSE(CONTROL!$C$42, 13.8197, 13.8197) * CHOOSE(CONTROL!$C$21, $C$9, 100%, $E$9)</f>
        <v>13.819699999999999</v>
      </c>
      <c r="C293" s="14">
        <f>CHOOSE(CONTROL!$C$42, 13.8277, 13.8277) * CHOOSE(CONTROL!$C$21, $C$9, 100%, $E$9)</f>
        <v>13.8277</v>
      </c>
      <c r="D293" s="14">
        <f>CHOOSE(CONTROL!$C$42, 14.0535, 14.0535) * CHOOSE(CONTROL!$C$21, $C$9, 100%, $E$9)</f>
        <v>14.0535</v>
      </c>
      <c r="E293" s="14">
        <f>CHOOSE(CONTROL!$C$42, 14.0849, 14.0849) * CHOOSE(CONTROL!$C$21, $C$9, 100%, $E$9)</f>
        <v>14.084899999999999</v>
      </c>
      <c r="F293" s="14">
        <f>CHOOSE(CONTROL!$C$42, 13.8453, 13.8453)*CHOOSE(CONTROL!$C$21, $C$9, 100%, $E$9)</f>
        <v>13.8453</v>
      </c>
      <c r="G293" s="14">
        <f>CHOOSE(CONTROL!$C$42, 13.8623, 13.8623)*CHOOSE(CONTROL!$C$21, $C$9, 100%, $E$9)</f>
        <v>13.862299999999999</v>
      </c>
      <c r="H293" s="14">
        <f>CHOOSE(CONTROL!$C$42, 14.0736, 14.0736) * CHOOSE(CONTROL!$C$21, $C$9, 100%, $E$9)</f>
        <v>14.073600000000001</v>
      </c>
      <c r="I293" s="14">
        <f>CHOOSE(CONTROL!$C$42, 13.8945, 13.8945)* CHOOSE(CONTROL!$C$21, $C$9, 100%, $E$9)</f>
        <v>13.894500000000001</v>
      </c>
      <c r="J293" s="14">
        <f>CHOOSE(CONTROL!$C$42, 13.8383, 13.8383)* CHOOSE(CONTROL!$C$21, $C$9, 100%, $E$9)</f>
        <v>13.8383</v>
      </c>
      <c r="K293" s="52">
        <f>CHOOSE(CONTROL!$C$42, 13.8906, 13.8906) * CHOOSE(CONTROL!$C$21, $C$9, 100%, $E$9)</f>
        <v>13.890599999999999</v>
      </c>
      <c r="L293" s="14">
        <f>CHOOSE(CONTROL!$C$42, 14.6606, 14.6606) * CHOOSE(CONTROL!$C$21, $C$9, 100%, $E$9)</f>
        <v>14.660600000000001</v>
      </c>
      <c r="M293" s="14">
        <f>CHOOSE(CONTROL!$C$42, 13.5625, 13.5625) * CHOOSE(CONTROL!$C$21, $C$9, 100%, $E$9)</f>
        <v>13.5625</v>
      </c>
      <c r="N293" s="14">
        <f>CHOOSE(CONTROL!$C$42, 13.5791, 13.5791) * CHOOSE(CONTROL!$C$21, $C$9, 100%, $E$9)</f>
        <v>13.5791</v>
      </c>
      <c r="O293" s="14">
        <f>CHOOSE(CONTROL!$C$42, 13.7929, 13.7929) * CHOOSE(CONTROL!$C$21, $C$9, 100%, $E$9)</f>
        <v>13.792899999999999</v>
      </c>
      <c r="P293" s="14">
        <f>CHOOSE(CONTROL!$C$42, 13.6167, 13.6167) * CHOOSE(CONTROL!$C$21, $C$9, 100%, $E$9)</f>
        <v>13.6167</v>
      </c>
      <c r="Q293" s="14">
        <f>CHOOSE(CONTROL!$C$42, 14.3876, 14.3876) * CHOOSE(CONTROL!$C$21, $C$9, 100%, $E$9)</f>
        <v>14.387600000000001</v>
      </c>
      <c r="R293" s="14">
        <f>CHOOSE(CONTROL!$C$42, 15.0106, 15.0106) * CHOOSE(CONTROL!$C$21, $C$9, 100%, $E$9)</f>
        <v>15.0106</v>
      </c>
      <c r="S293" s="14">
        <f>CHOOSE(CONTROL!$C$42, 13.2687, 13.2687) * CHOOSE(CONTROL!$C$21, $C$9, 100%, $E$9)</f>
        <v>13.268700000000001</v>
      </c>
      <c r="T29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56">
        <f>(1000*CHOOSE(CONTROL!$C$42, 695, 695)*CHOOSE(CONTROL!$C$42, 0.5599, 0.5599)*CHOOSE(CONTROL!$C$42, 31, 31))/1000000</f>
        <v>12.063045499999998</v>
      </c>
      <c r="V293" s="56">
        <f>(1000*CHOOSE(CONTROL!$C$42, 500, 500)*CHOOSE(CONTROL!$C$42, 0.275, 0.275)*CHOOSE(CONTROL!$C$42, 31, 31))/1000000</f>
        <v>4.2625000000000002</v>
      </c>
      <c r="W293" s="56">
        <f>(1000*CHOOSE(CONTROL!$C$42, 0.1146, 0.1146)*CHOOSE(CONTROL!$C$42, 121.5, 121.5)*CHOOSE(CONTROL!$C$42, 31, 31))/1000000</f>
        <v>0.43164089999999994</v>
      </c>
      <c r="X293" s="56">
        <f>(31*0.1790888*245000/1000000)+(31*0.2374*100000/1000000)</f>
        <v>2.0961194359999999</v>
      </c>
      <c r="Y293" s="56"/>
      <c r="Z293" s="14"/>
      <c r="AA293" s="55"/>
      <c r="AB293" s="49">
        <f>(B293*194.205+C293*267.466+D293*133.845+E293*53.484+F293*40+G293*185+H293*0+I293*100+J293*300)/(194.205+267.466+133.845+53.484+0+40+185+100+300)</f>
        <v>13.874316676452118</v>
      </c>
      <c r="AC293" s="44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13.63876474820144</v>
      </c>
    </row>
    <row r="294" spans="1:29" ht="15.75" x14ac:dyDescent="0.25">
      <c r="A294" s="33">
        <v>49827</v>
      </c>
      <c r="B294" s="14">
        <f>CHOOSE(CONTROL!$C$42, 14.2113, 14.2113) * CHOOSE(CONTROL!$C$21, $C$9, 100%, $E$9)</f>
        <v>14.2113</v>
      </c>
      <c r="C294" s="14">
        <f>CHOOSE(CONTROL!$C$42, 14.2194, 14.2194) * CHOOSE(CONTROL!$C$21, $C$9, 100%, $E$9)</f>
        <v>14.2194</v>
      </c>
      <c r="D294" s="14">
        <f>CHOOSE(CONTROL!$C$42, 14.4451, 14.4451) * CHOOSE(CONTROL!$C$21, $C$9, 100%, $E$9)</f>
        <v>14.4451</v>
      </c>
      <c r="E294" s="14">
        <f>CHOOSE(CONTROL!$C$42, 14.4766, 14.4766) * CHOOSE(CONTROL!$C$21, $C$9, 100%, $E$9)</f>
        <v>14.476599999999999</v>
      </c>
      <c r="F294" s="14">
        <f>CHOOSE(CONTROL!$C$42, 14.2374, 14.2374)*CHOOSE(CONTROL!$C$21, $C$9, 100%, $E$9)</f>
        <v>14.237399999999999</v>
      </c>
      <c r="G294" s="14">
        <f>CHOOSE(CONTROL!$C$42, 14.2545, 14.2545)*CHOOSE(CONTROL!$C$21, $C$9, 100%, $E$9)</f>
        <v>14.2545</v>
      </c>
      <c r="H294" s="14">
        <f>CHOOSE(CONTROL!$C$42, 14.4652, 14.4652) * CHOOSE(CONTROL!$C$21, $C$9, 100%, $E$9)</f>
        <v>14.465199999999999</v>
      </c>
      <c r="I294" s="14">
        <f>CHOOSE(CONTROL!$C$42, 14.2874, 14.2874)* CHOOSE(CONTROL!$C$21, $C$9, 100%, $E$9)</f>
        <v>14.2874</v>
      </c>
      <c r="J294" s="14">
        <f>CHOOSE(CONTROL!$C$42, 14.2304, 14.2304)* CHOOSE(CONTROL!$C$21, $C$9, 100%, $E$9)</f>
        <v>14.230399999999999</v>
      </c>
      <c r="K294" s="52">
        <f>CHOOSE(CONTROL!$C$42, 14.2835, 14.2835) * CHOOSE(CONTROL!$C$21, $C$9, 100%, $E$9)</f>
        <v>14.2835</v>
      </c>
      <c r="L294" s="14">
        <f>CHOOSE(CONTROL!$C$42, 15.0522, 15.0522) * CHOOSE(CONTROL!$C$21, $C$9, 100%, $E$9)</f>
        <v>15.052199999999999</v>
      </c>
      <c r="M294" s="14">
        <f>CHOOSE(CONTROL!$C$42, 13.9466, 13.9466) * CHOOSE(CONTROL!$C$21, $C$9, 100%, $E$9)</f>
        <v>13.9466</v>
      </c>
      <c r="N294" s="14">
        <f>CHOOSE(CONTROL!$C$42, 13.9633, 13.9633) * CHOOSE(CONTROL!$C$21, $C$9, 100%, $E$9)</f>
        <v>13.9633</v>
      </c>
      <c r="O294" s="14">
        <f>CHOOSE(CONTROL!$C$42, 14.1766, 14.1766) * CHOOSE(CONTROL!$C$21, $C$9, 100%, $E$9)</f>
        <v>14.176600000000001</v>
      </c>
      <c r="P294" s="14">
        <f>CHOOSE(CONTROL!$C$42, 14.0015, 14.0015) * CHOOSE(CONTROL!$C$21, $C$9, 100%, $E$9)</f>
        <v>14.0015</v>
      </c>
      <c r="Q294" s="14">
        <f>CHOOSE(CONTROL!$C$42, 14.7713, 14.7713) * CHOOSE(CONTROL!$C$21, $C$9, 100%, $E$9)</f>
        <v>14.7713</v>
      </c>
      <c r="R294" s="14">
        <f>CHOOSE(CONTROL!$C$42, 15.3952, 15.3952) * CHOOSE(CONTROL!$C$21, $C$9, 100%, $E$9)</f>
        <v>15.395200000000001</v>
      </c>
      <c r="S294" s="14">
        <f>CHOOSE(CONTROL!$C$42, 13.645, 13.645) * CHOOSE(CONTROL!$C$21, $C$9, 100%, $E$9)</f>
        <v>13.645</v>
      </c>
      <c r="T29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56">
        <f>(1000*CHOOSE(CONTROL!$C$42, 695, 695)*CHOOSE(CONTROL!$C$42, 0.5599, 0.5599)*CHOOSE(CONTROL!$C$42, 30, 30))/1000000</f>
        <v>11.673914999999997</v>
      </c>
      <c r="V294" s="56">
        <f>(1000*CHOOSE(CONTROL!$C$42, 500, 500)*CHOOSE(CONTROL!$C$42, 0.275, 0.275)*CHOOSE(CONTROL!$C$42, 30, 30))/1000000</f>
        <v>4.125</v>
      </c>
      <c r="W294" s="56">
        <f>(1000*CHOOSE(CONTROL!$C$42, 0.1146, 0.1146)*CHOOSE(CONTROL!$C$42, 121.5, 121.5)*CHOOSE(CONTROL!$C$42, 30, 30))/1000000</f>
        <v>0.417717</v>
      </c>
      <c r="X294" s="56">
        <f>(30*0.1790888*245000/1000000)+(30*0.2374*100000/1000000)</f>
        <v>2.0285026799999999</v>
      </c>
      <c r="Y294" s="56"/>
      <c r="Z294" s="14"/>
      <c r="AA294" s="55"/>
      <c r="AB294" s="49">
        <f>(B294*194.205+C294*267.466+D294*133.845+E294*53.484+F294*40+G294*185+H294*0+I294*100+J294*300)/(194.205+267.466+133.845+53.484+0+40+185+100+300)</f>
        <v>14.266264474725274</v>
      </c>
      <c r="AC294" s="44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14.022876258992804</v>
      </c>
    </row>
    <row r="295" spans="1:29" ht="15.75" x14ac:dyDescent="0.25">
      <c r="A295" s="33">
        <v>49857</v>
      </c>
      <c r="B295" s="14">
        <f>CHOOSE(CONTROL!$C$42, 13.9389, 13.9389) * CHOOSE(CONTROL!$C$21, $C$9, 100%, $E$9)</f>
        <v>13.9389</v>
      </c>
      <c r="C295" s="14">
        <f>CHOOSE(CONTROL!$C$42, 13.9469, 13.9469) * CHOOSE(CONTROL!$C$21, $C$9, 100%, $E$9)</f>
        <v>13.946899999999999</v>
      </c>
      <c r="D295" s="14">
        <f>CHOOSE(CONTROL!$C$42, 14.1727, 14.1727) * CHOOSE(CONTROL!$C$21, $C$9, 100%, $E$9)</f>
        <v>14.172700000000001</v>
      </c>
      <c r="E295" s="14">
        <f>CHOOSE(CONTROL!$C$42, 14.2042, 14.2042) * CHOOSE(CONTROL!$C$21, $C$9, 100%, $E$9)</f>
        <v>14.2042</v>
      </c>
      <c r="F295" s="14">
        <f>CHOOSE(CONTROL!$C$42, 13.9655, 13.9655)*CHOOSE(CONTROL!$C$21, $C$9, 100%, $E$9)</f>
        <v>13.9655</v>
      </c>
      <c r="G295" s="14">
        <f>CHOOSE(CONTROL!$C$42, 13.9827, 13.9827)*CHOOSE(CONTROL!$C$21, $C$9, 100%, $E$9)</f>
        <v>13.982699999999999</v>
      </c>
      <c r="H295" s="14">
        <f>CHOOSE(CONTROL!$C$42, 14.1928, 14.1928) * CHOOSE(CONTROL!$C$21, $C$9, 100%, $E$9)</f>
        <v>14.1928</v>
      </c>
      <c r="I295" s="14">
        <f>CHOOSE(CONTROL!$C$42, 14.0141, 14.0141)* CHOOSE(CONTROL!$C$21, $C$9, 100%, $E$9)</f>
        <v>14.014099999999999</v>
      </c>
      <c r="J295" s="14">
        <f>CHOOSE(CONTROL!$C$42, 13.9585, 13.9585)* CHOOSE(CONTROL!$C$21, $C$9, 100%, $E$9)</f>
        <v>13.958500000000001</v>
      </c>
      <c r="K295" s="52">
        <f>CHOOSE(CONTROL!$C$42, 14.0102, 14.0102) * CHOOSE(CONTROL!$C$21, $C$9, 100%, $E$9)</f>
        <v>14.010199999999999</v>
      </c>
      <c r="L295" s="14">
        <f>CHOOSE(CONTROL!$C$42, 14.7798, 14.7798) * CHOOSE(CONTROL!$C$21, $C$9, 100%, $E$9)</f>
        <v>14.7798</v>
      </c>
      <c r="M295" s="14">
        <f>CHOOSE(CONTROL!$C$42, 13.6802, 13.6802) * CHOOSE(CONTROL!$C$21, $C$9, 100%, $E$9)</f>
        <v>13.680199999999999</v>
      </c>
      <c r="N295" s="14">
        <f>CHOOSE(CONTROL!$C$42, 13.697, 13.697) * CHOOSE(CONTROL!$C$21, $C$9, 100%, $E$9)</f>
        <v>13.696999999999999</v>
      </c>
      <c r="O295" s="14">
        <f>CHOOSE(CONTROL!$C$42, 13.9097, 13.9097) * CHOOSE(CONTROL!$C$21, $C$9, 100%, $E$9)</f>
        <v>13.909700000000001</v>
      </c>
      <c r="P295" s="14">
        <f>CHOOSE(CONTROL!$C$42, 13.7339, 13.7339) * CHOOSE(CONTROL!$C$21, $C$9, 100%, $E$9)</f>
        <v>13.7339</v>
      </c>
      <c r="Q295" s="14">
        <f>CHOOSE(CONTROL!$C$42, 14.5044, 14.5044) * CHOOSE(CONTROL!$C$21, $C$9, 100%, $E$9)</f>
        <v>14.5044</v>
      </c>
      <c r="R295" s="14">
        <f>CHOOSE(CONTROL!$C$42, 15.1277, 15.1277) * CHOOSE(CONTROL!$C$21, $C$9, 100%, $E$9)</f>
        <v>15.127700000000001</v>
      </c>
      <c r="S295" s="14">
        <f>CHOOSE(CONTROL!$C$42, 13.3833, 13.3833) * CHOOSE(CONTROL!$C$21, $C$9, 100%, $E$9)</f>
        <v>13.3833</v>
      </c>
      <c r="T29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56">
        <f>(1000*CHOOSE(CONTROL!$C$42, 695, 695)*CHOOSE(CONTROL!$C$42, 0.5599, 0.5599)*CHOOSE(CONTROL!$C$42, 31, 31))/1000000</f>
        <v>12.063045499999998</v>
      </c>
      <c r="V295" s="56">
        <f>(1000*CHOOSE(CONTROL!$C$42, 500, 500)*CHOOSE(CONTROL!$C$42, 0.275, 0.275)*CHOOSE(CONTROL!$C$42, 31, 31))/1000000</f>
        <v>4.2625000000000002</v>
      </c>
      <c r="W295" s="56">
        <f>(1000*CHOOSE(CONTROL!$C$42, 0.1146, 0.1146)*CHOOSE(CONTROL!$C$42, 121.5, 121.5)*CHOOSE(CONTROL!$C$42, 31, 31))/1000000</f>
        <v>0.43164089999999994</v>
      </c>
      <c r="X295" s="56">
        <f>(31*0.1790888*245000/1000000)+(31*0.2374*100000/1000000)</f>
        <v>2.0961194359999999</v>
      </c>
      <c r="Y295" s="56"/>
      <c r="Z295" s="14"/>
      <c r="AA295" s="55"/>
      <c r="AB295" s="49">
        <f>(B295*194.205+C295*267.466+D295*133.845+E295*53.484+F295*40+G295*185+H295*0+I295*100+J295*300)/(194.205+267.466+133.845+53.484+0+40+185+100+300)</f>
        <v>13.993993402040816</v>
      </c>
      <c r="AC295" s="44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13.75618633093525</v>
      </c>
    </row>
    <row r="296" spans="1:29" ht="15.75" x14ac:dyDescent="0.25">
      <c r="A296" s="33">
        <v>49888</v>
      </c>
      <c r="B296" s="14">
        <f>CHOOSE(CONTROL!$C$42, 13.251, 13.251) * CHOOSE(CONTROL!$C$21, $C$9, 100%, $E$9)</f>
        <v>13.250999999999999</v>
      </c>
      <c r="C296" s="14">
        <f>CHOOSE(CONTROL!$C$42, 13.259, 13.259) * CHOOSE(CONTROL!$C$21, $C$9, 100%, $E$9)</f>
        <v>13.259</v>
      </c>
      <c r="D296" s="14">
        <f>CHOOSE(CONTROL!$C$42, 13.4848, 13.4848) * CHOOSE(CONTROL!$C$21, $C$9, 100%, $E$9)</f>
        <v>13.4848</v>
      </c>
      <c r="E296" s="14">
        <f>CHOOSE(CONTROL!$C$42, 13.5163, 13.5163) * CHOOSE(CONTROL!$C$21, $C$9, 100%, $E$9)</f>
        <v>13.516299999999999</v>
      </c>
      <c r="F296" s="14">
        <f>CHOOSE(CONTROL!$C$42, 13.2778, 13.2778)*CHOOSE(CONTROL!$C$21, $C$9, 100%, $E$9)</f>
        <v>13.277799999999999</v>
      </c>
      <c r="G296" s="14">
        <f>CHOOSE(CONTROL!$C$42, 13.2951, 13.2951)*CHOOSE(CONTROL!$C$21, $C$9, 100%, $E$9)</f>
        <v>13.2951</v>
      </c>
      <c r="H296" s="14">
        <f>CHOOSE(CONTROL!$C$42, 13.5049, 13.5049) * CHOOSE(CONTROL!$C$21, $C$9, 100%, $E$9)</f>
        <v>13.504899999999999</v>
      </c>
      <c r="I296" s="14">
        <f>CHOOSE(CONTROL!$C$42, 13.324, 13.324)* CHOOSE(CONTROL!$C$21, $C$9, 100%, $E$9)</f>
        <v>13.324</v>
      </c>
      <c r="J296" s="14">
        <f>CHOOSE(CONTROL!$C$42, 13.2708, 13.2708)* CHOOSE(CONTROL!$C$21, $C$9, 100%, $E$9)</f>
        <v>13.270799999999999</v>
      </c>
      <c r="K296" s="52">
        <f>CHOOSE(CONTROL!$C$42, 13.3201, 13.3201) * CHOOSE(CONTROL!$C$21, $C$9, 100%, $E$9)</f>
        <v>13.3201</v>
      </c>
      <c r="L296" s="14">
        <f>CHOOSE(CONTROL!$C$42, 14.0919, 14.0919) * CHOOSE(CONTROL!$C$21, $C$9, 100%, $E$9)</f>
        <v>14.091900000000001</v>
      </c>
      <c r="M296" s="14">
        <f>CHOOSE(CONTROL!$C$42, 13.0066, 13.0066) * CHOOSE(CONTROL!$C$21, $C$9, 100%, $E$9)</f>
        <v>13.006600000000001</v>
      </c>
      <c r="N296" s="14">
        <f>CHOOSE(CONTROL!$C$42, 13.0235, 13.0235) * CHOOSE(CONTROL!$C$21, $C$9, 100%, $E$9)</f>
        <v>13.0235</v>
      </c>
      <c r="O296" s="14">
        <f>CHOOSE(CONTROL!$C$42, 13.2359, 13.2359) * CHOOSE(CONTROL!$C$21, $C$9, 100%, $E$9)</f>
        <v>13.235900000000001</v>
      </c>
      <c r="P296" s="14">
        <f>CHOOSE(CONTROL!$C$42, 13.058, 13.058) * CHOOSE(CONTROL!$C$21, $C$9, 100%, $E$9)</f>
        <v>13.058</v>
      </c>
      <c r="Q296" s="14">
        <f>CHOOSE(CONTROL!$C$42, 13.8306, 13.8306) * CHOOSE(CONTROL!$C$21, $C$9, 100%, $E$9)</f>
        <v>13.8306</v>
      </c>
      <c r="R296" s="14">
        <f>CHOOSE(CONTROL!$C$42, 14.4522, 14.4522) * CHOOSE(CONTROL!$C$21, $C$9, 100%, $E$9)</f>
        <v>14.452199999999999</v>
      </c>
      <c r="S296" s="14">
        <f>CHOOSE(CONTROL!$C$42, 12.7222, 12.7222) * CHOOSE(CONTROL!$C$21, $C$9, 100%, $E$9)</f>
        <v>12.722200000000001</v>
      </c>
      <c r="T29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56">
        <f>(1000*CHOOSE(CONTROL!$C$42, 695, 695)*CHOOSE(CONTROL!$C$42, 0.5599, 0.5599)*CHOOSE(CONTROL!$C$42, 31, 31))/1000000</f>
        <v>12.063045499999998</v>
      </c>
      <c r="V296" s="56">
        <f>(1000*CHOOSE(CONTROL!$C$42, 500, 500)*CHOOSE(CONTROL!$C$42, 0.275, 0.275)*CHOOSE(CONTROL!$C$42, 31, 31))/1000000</f>
        <v>4.2625000000000002</v>
      </c>
      <c r="W296" s="56">
        <f>(1000*CHOOSE(CONTROL!$C$42, 0.1146, 0.1146)*CHOOSE(CONTROL!$C$42, 121.5, 121.5)*CHOOSE(CONTROL!$C$42, 31, 31))/1000000</f>
        <v>0.43164089999999994</v>
      </c>
      <c r="X296" s="56">
        <f>(31*0.1790888*245000/1000000)+(31*0.2374*100000/1000000)</f>
        <v>2.0961194359999999</v>
      </c>
      <c r="Y296" s="56"/>
      <c r="Z296" s="14"/>
      <c r="AA296" s="55"/>
      <c r="AB296" s="49">
        <f>(B296*194.205+C296*267.466+D296*133.845+E296*53.484+F296*40+G296*185+H296*0+I296*100+J296*300)/(194.205+267.466+133.845+53.484+0+40+185+100+300)</f>
        <v>13.306017656357927</v>
      </c>
      <c r="AC296" s="44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13.082222302158273</v>
      </c>
    </row>
    <row r="297" spans="1:29" ht="15.75" x14ac:dyDescent="0.25">
      <c r="A297" s="33">
        <v>49919</v>
      </c>
      <c r="B297" s="14">
        <f>CHOOSE(CONTROL!$C$42, 12.4103, 12.4103) * CHOOSE(CONTROL!$C$21, $C$9, 100%, $E$9)</f>
        <v>12.410299999999999</v>
      </c>
      <c r="C297" s="14">
        <f>CHOOSE(CONTROL!$C$42, 12.4183, 12.4183) * CHOOSE(CONTROL!$C$21, $C$9, 100%, $E$9)</f>
        <v>12.4183</v>
      </c>
      <c r="D297" s="14">
        <f>CHOOSE(CONTROL!$C$42, 12.6441, 12.6441) * CHOOSE(CONTROL!$C$21, $C$9, 100%, $E$9)</f>
        <v>12.6441</v>
      </c>
      <c r="E297" s="14">
        <f>CHOOSE(CONTROL!$C$42, 12.6755, 12.6755) * CHOOSE(CONTROL!$C$21, $C$9, 100%, $E$9)</f>
        <v>12.6755</v>
      </c>
      <c r="F297" s="14">
        <f>CHOOSE(CONTROL!$C$42, 12.4371, 12.4371)*CHOOSE(CONTROL!$C$21, $C$9, 100%, $E$9)</f>
        <v>12.437099999999999</v>
      </c>
      <c r="G297" s="14">
        <f>CHOOSE(CONTROL!$C$42, 12.4543, 12.4543)*CHOOSE(CONTROL!$C$21, $C$9, 100%, $E$9)</f>
        <v>12.4543</v>
      </c>
      <c r="H297" s="14">
        <f>CHOOSE(CONTROL!$C$42, 12.6642, 12.6642) * CHOOSE(CONTROL!$C$21, $C$9, 100%, $E$9)</f>
        <v>12.664199999999999</v>
      </c>
      <c r="I297" s="14">
        <f>CHOOSE(CONTROL!$C$42, 12.4807, 12.4807)* CHOOSE(CONTROL!$C$21, $C$9, 100%, $E$9)</f>
        <v>12.480700000000001</v>
      </c>
      <c r="J297" s="14">
        <f>CHOOSE(CONTROL!$C$42, 12.4301, 12.4301)* CHOOSE(CONTROL!$C$21, $C$9, 100%, $E$9)</f>
        <v>12.430099999999999</v>
      </c>
      <c r="K297" s="52">
        <f>CHOOSE(CONTROL!$C$42, 12.4768, 12.4768) * CHOOSE(CONTROL!$C$21, $C$9, 100%, $E$9)</f>
        <v>12.476800000000001</v>
      </c>
      <c r="L297" s="14">
        <f>CHOOSE(CONTROL!$C$42, 13.2512, 13.2512) * CHOOSE(CONTROL!$C$21, $C$9, 100%, $E$9)</f>
        <v>13.251200000000001</v>
      </c>
      <c r="M297" s="14">
        <f>CHOOSE(CONTROL!$C$42, 12.1831, 12.1831) * CHOOSE(CONTROL!$C$21, $C$9, 100%, $E$9)</f>
        <v>12.1831</v>
      </c>
      <c r="N297" s="14">
        <f>CHOOSE(CONTROL!$C$42, 12.2, 12.2) * CHOOSE(CONTROL!$C$21, $C$9, 100%, $E$9)</f>
        <v>12.2</v>
      </c>
      <c r="O297" s="14">
        <f>CHOOSE(CONTROL!$C$42, 12.4124, 12.4124) * CHOOSE(CONTROL!$C$21, $C$9, 100%, $E$9)</f>
        <v>12.4124</v>
      </c>
      <c r="P297" s="14">
        <f>CHOOSE(CONTROL!$C$42, 12.2319, 12.2319) * CHOOSE(CONTROL!$C$21, $C$9, 100%, $E$9)</f>
        <v>12.2319</v>
      </c>
      <c r="Q297" s="14">
        <f>CHOOSE(CONTROL!$C$42, 13.0071, 13.0071) * CHOOSE(CONTROL!$C$21, $C$9, 100%, $E$9)</f>
        <v>13.007099999999999</v>
      </c>
      <c r="R297" s="14">
        <f>CHOOSE(CONTROL!$C$42, 13.6266, 13.6266) * CHOOSE(CONTROL!$C$21, $C$9, 100%, $E$9)</f>
        <v>13.6266</v>
      </c>
      <c r="S297" s="14">
        <f>CHOOSE(CONTROL!$C$42, 11.9144, 11.9144) * CHOOSE(CONTROL!$C$21, $C$9, 100%, $E$9)</f>
        <v>11.914400000000001</v>
      </c>
      <c r="T29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56">
        <f>(1000*CHOOSE(CONTROL!$C$42, 695, 695)*CHOOSE(CONTROL!$C$42, 0.5599, 0.5599)*CHOOSE(CONTROL!$C$42, 30, 30))/1000000</f>
        <v>11.673914999999997</v>
      </c>
      <c r="V297" s="56">
        <f>(1000*CHOOSE(CONTROL!$C$42, 500, 500)*CHOOSE(CONTROL!$C$42, 0.275, 0.275)*CHOOSE(CONTROL!$C$42, 30, 30))/1000000</f>
        <v>4.125</v>
      </c>
      <c r="W297" s="56">
        <f>(1000*CHOOSE(CONTROL!$C$42, 0.1146, 0.1146)*CHOOSE(CONTROL!$C$42, 121.5, 121.5)*CHOOSE(CONTROL!$C$42, 30, 30))/1000000</f>
        <v>0.417717</v>
      </c>
      <c r="X297" s="56">
        <f>(30*0.1790888*245000/1000000)+(30*0.2374*100000/1000000)</f>
        <v>2.0285026799999999</v>
      </c>
      <c r="Y297" s="56"/>
      <c r="Z297" s="14"/>
      <c r="AA297" s="55"/>
      <c r="AB297" s="49">
        <f>(B297*194.205+C297*267.466+D297*133.845+E297*53.484+F297*40+G297*185+H297*0+I297*100+J297*300)/(194.205+267.466+133.845+53.484+0+40+185+100+300)</f>
        <v>12.465094855416012</v>
      </c>
      <c r="AC297" s="44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12.258348201438848</v>
      </c>
    </row>
    <row r="298" spans="1:29" ht="15.75" x14ac:dyDescent="0.25">
      <c r="A298" s="33">
        <v>49949</v>
      </c>
      <c r="B298" s="14">
        <f>CHOOSE(CONTROL!$C$42, 12.1568, 12.1568) * CHOOSE(CONTROL!$C$21, $C$9, 100%, $E$9)</f>
        <v>12.1568</v>
      </c>
      <c r="C298" s="14">
        <f>CHOOSE(CONTROL!$C$42, 12.1621, 12.1621) * CHOOSE(CONTROL!$C$21, $C$9, 100%, $E$9)</f>
        <v>12.162100000000001</v>
      </c>
      <c r="D298" s="14">
        <f>CHOOSE(CONTROL!$C$42, 12.3928, 12.3928) * CHOOSE(CONTROL!$C$21, $C$9, 100%, $E$9)</f>
        <v>12.392799999999999</v>
      </c>
      <c r="E298" s="14">
        <f>CHOOSE(CONTROL!$C$42, 12.422, 12.422) * CHOOSE(CONTROL!$C$21, $C$9, 100%, $E$9)</f>
        <v>12.422000000000001</v>
      </c>
      <c r="F298" s="14">
        <f>CHOOSE(CONTROL!$C$42, 12.1856, 12.1856)*CHOOSE(CONTROL!$C$21, $C$9, 100%, $E$9)</f>
        <v>12.185600000000001</v>
      </c>
      <c r="G298" s="14">
        <f>CHOOSE(CONTROL!$C$42, 12.2027, 12.2027)*CHOOSE(CONTROL!$C$21, $C$9, 100%, $E$9)</f>
        <v>12.2027</v>
      </c>
      <c r="H298" s="14">
        <f>CHOOSE(CONTROL!$C$42, 12.4124, 12.4124) * CHOOSE(CONTROL!$C$21, $C$9, 100%, $E$9)</f>
        <v>12.4124</v>
      </c>
      <c r="I298" s="14">
        <f>CHOOSE(CONTROL!$C$42, 12.2281, 12.2281)* CHOOSE(CONTROL!$C$21, $C$9, 100%, $E$9)</f>
        <v>12.2281</v>
      </c>
      <c r="J298" s="14">
        <f>CHOOSE(CONTROL!$C$42, 12.1786, 12.1786)* CHOOSE(CONTROL!$C$21, $C$9, 100%, $E$9)</f>
        <v>12.178599999999999</v>
      </c>
      <c r="K298" s="52">
        <f>CHOOSE(CONTROL!$C$42, 12.2242, 12.2242) * CHOOSE(CONTROL!$C$21, $C$9, 100%, $E$9)</f>
        <v>12.2242</v>
      </c>
      <c r="L298" s="14">
        <f>CHOOSE(CONTROL!$C$42, 12.9994, 12.9994) * CHOOSE(CONTROL!$C$21, $C$9, 100%, $E$9)</f>
        <v>12.9994</v>
      </c>
      <c r="M298" s="14">
        <f>CHOOSE(CONTROL!$C$42, 11.9368, 11.9368) * CHOOSE(CONTROL!$C$21, $C$9, 100%, $E$9)</f>
        <v>11.9368</v>
      </c>
      <c r="N298" s="14">
        <f>CHOOSE(CONTROL!$C$42, 11.9535, 11.9535) * CHOOSE(CONTROL!$C$21, $C$9, 100%, $E$9)</f>
        <v>11.9535</v>
      </c>
      <c r="O298" s="14">
        <f>CHOOSE(CONTROL!$C$42, 12.1658, 12.1658) * CHOOSE(CONTROL!$C$21, $C$9, 100%, $E$9)</f>
        <v>12.165800000000001</v>
      </c>
      <c r="P298" s="14">
        <f>CHOOSE(CONTROL!$C$42, 11.9846, 11.9846) * CHOOSE(CONTROL!$C$21, $C$9, 100%, $E$9)</f>
        <v>11.9846</v>
      </c>
      <c r="Q298" s="14">
        <f>CHOOSE(CONTROL!$C$42, 12.7605, 12.7605) * CHOOSE(CONTROL!$C$21, $C$9, 100%, $E$9)</f>
        <v>12.7605</v>
      </c>
      <c r="R298" s="14">
        <f>CHOOSE(CONTROL!$C$42, 13.3794, 13.3794) * CHOOSE(CONTROL!$C$21, $C$9, 100%, $E$9)</f>
        <v>13.3794</v>
      </c>
      <c r="S298" s="14">
        <f>CHOOSE(CONTROL!$C$42, 11.6725, 11.6725) * CHOOSE(CONTROL!$C$21, $C$9, 100%, $E$9)</f>
        <v>11.672499999999999</v>
      </c>
      <c r="T29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56">
        <f>(1000*CHOOSE(CONTROL!$C$42, 695, 695)*CHOOSE(CONTROL!$C$42, 0.5599, 0.5599)*CHOOSE(CONTROL!$C$42, 31, 31))/1000000</f>
        <v>12.063045499999998</v>
      </c>
      <c r="V298" s="56">
        <f>(1000*CHOOSE(CONTROL!$C$42, 500, 500)*CHOOSE(CONTROL!$C$42, 0.275, 0.275)*CHOOSE(CONTROL!$C$42, 31, 31))/1000000</f>
        <v>4.2625000000000002</v>
      </c>
      <c r="W298" s="56">
        <f>(1000*CHOOSE(CONTROL!$C$42, 0.1146, 0.1146)*CHOOSE(CONTROL!$C$42, 121.5, 121.5)*CHOOSE(CONTROL!$C$42, 31, 31))/1000000</f>
        <v>0.43164089999999994</v>
      </c>
      <c r="X298" s="56">
        <f>(31*0.1790888*245000/1000000)+(31*0.2374*100000/1000000)</f>
        <v>2.0961194359999999</v>
      </c>
      <c r="Y298" s="56"/>
      <c r="Z298" s="14"/>
      <c r="AA298" s="55"/>
      <c r="AB298" s="49">
        <f>(B298*131.881+C298*277.167+D298*79.08+E298*125.872+F298*40+G298*185+H298*0+I298*100+J298*300)/(131.881+277.167+79.08+125.872+0+40+185+100+300)</f>
        <v>12.218806956820016</v>
      </c>
      <c r="AC298" s="44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12.011774100719427</v>
      </c>
    </row>
    <row r="299" spans="1:29" ht="15.75" x14ac:dyDescent="0.25">
      <c r="A299" s="33">
        <v>49980</v>
      </c>
      <c r="B299" s="14">
        <f>CHOOSE(CONTROL!$C$42, 12.4763, 12.4763) * CHOOSE(CONTROL!$C$21, $C$9, 100%, $E$9)</f>
        <v>12.4763</v>
      </c>
      <c r="C299" s="14">
        <f>CHOOSE(CONTROL!$C$42, 12.4814, 12.4814) * CHOOSE(CONTROL!$C$21, $C$9, 100%, $E$9)</f>
        <v>12.481400000000001</v>
      </c>
      <c r="D299" s="14">
        <f>CHOOSE(CONTROL!$C$42, 12.5504, 12.5504) * CHOOSE(CONTROL!$C$21, $C$9, 100%, $E$9)</f>
        <v>12.5504</v>
      </c>
      <c r="E299" s="14">
        <f>CHOOSE(CONTROL!$C$42, 12.5845, 12.5845) * CHOOSE(CONTROL!$C$21, $C$9, 100%, $E$9)</f>
        <v>12.5845</v>
      </c>
      <c r="F299" s="14">
        <f>CHOOSE(CONTROL!$C$42, 12.5119, 12.5119)*CHOOSE(CONTROL!$C$21, $C$9, 100%, $E$9)</f>
        <v>12.511900000000001</v>
      </c>
      <c r="G299" s="14">
        <f>CHOOSE(CONTROL!$C$42, 12.5293, 12.5293)*CHOOSE(CONTROL!$C$21, $C$9, 100%, $E$9)</f>
        <v>12.529299999999999</v>
      </c>
      <c r="H299" s="14">
        <f>CHOOSE(CONTROL!$C$42, 12.5737, 12.5737) * CHOOSE(CONTROL!$C$21, $C$9, 100%, $E$9)</f>
        <v>12.573700000000001</v>
      </c>
      <c r="I299" s="14">
        <f>CHOOSE(CONTROL!$C$42, 12.5517, 12.5517)* CHOOSE(CONTROL!$C$21, $C$9, 100%, $E$9)</f>
        <v>12.5517</v>
      </c>
      <c r="J299" s="14">
        <f>CHOOSE(CONTROL!$C$42, 12.5049, 12.5049)* CHOOSE(CONTROL!$C$21, $C$9, 100%, $E$9)</f>
        <v>12.504899999999999</v>
      </c>
      <c r="K299" s="52">
        <f>CHOOSE(CONTROL!$C$42, 12.5479, 12.5479) * CHOOSE(CONTROL!$C$21, $C$9, 100%, $E$9)</f>
        <v>12.5479</v>
      </c>
      <c r="L299" s="14">
        <f>CHOOSE(CONTROL!$C$42, 13.1607, 13.1607) * CHOOSE(CONTROL!$C$21, $C$9, 100%, $E$9)</f>
        <v>13.1607</v>
      </c>
      <c r="M299" s="14">
        <f>CHOOSE(CONTROL!$C$42, 12.2564, 12.2564) * CHOOSE(CONTROL!$C$21, $C$9, 100%, $E$9)</f>
        <v>12.256399999999999</v>
      </c>
      <c r="N299" s="14">
        <f>CHOOSE(CONTROL!$C$42, 12.2734, 12.2734) * CHOOSE(CONTROL!$C$21, $C$9, 100%, $E$9)</f>
        <v>12.273400000000001</v>
      </c>
      <c r="O299" s="14">
        <f>CHOOSE(CONTROL!$C$42, 12.3238, 12.3238) * CHOOSE(CONTROL!$C$21, $C$9, 100%, $E$9)</f>
        <v>12.3238</v>
      </c>
      <c r="P299" s="14">
        <f>CHOOSE(CONTROL!$C$42, 12.3016, 12.3016) * CHOOSE(CONTROL!$C$21, $C$9, 100%, $E$9)</f>
        <v>12.301600000000001</v>
      </c>
      <c r="Q299" s="14">
        <f>CHOOSE(CONTROL!$C$42, 12.9185, 12.9185) * CHOOSE(CONTROL!$C$21, $C$9, 100%, $E$9)</f>
        <v>12.9185</v>
      </c>
      <c r="R299" s="14">
        <f>CHOOSE(CONTROL!$C$42, 13.5378, 13.5378) * CHOOSE(CONTROL!$C$21, $C$9, 100%, $E$9)</f>
        <v>13.537800000000001</v>
      </c>
      <c r="S299" s="14">
        <f>CHOOSE(CONTROL!$C$42, 11.98, 11.98) * CHOOSE(CONTROL!$C$21, $C$9, 100%, $E$9)</f>
        <v>11.98</v>
      </c>
      <c r="T29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56">
        <f>(1000*CHOOSE(CONTROL!$C$42, 695, 695)*CHOOSE(CONTROL!$C$42, 0.5599, 0.5599)*CHOOSE(CONTROL!$C$42, 30, 30))/1000000</f>
        <v>11.673914999999997</v>
      </c>
      <c r="V299" s="56">
        <f>(1000*CHOOSE(CONTROL!$C$42, 500, 500)*CHOOSE(CONTROL!$C$42, 0.275, 0.275)*CHOOSE(CONTROL!$C$42, 30, 30))/1000000</f>
        <v>4.125</v>
      </c>
      <c r="W299" s="56">
        <f>(1000*CHOOSE(CONTROL!$C$42, 0.1146, 0.1146)*CHOOSE(CONTROL!$C$42, 121.5, 121.5)*CHOOSE(CONTROL!$C$42, 30, 30))/1000000</f>
        <v>0.417717</v>
      </c>
      <c r="X299" s="56">
        <f>(30*0.1790888*100000/1000000)+(30*0.2374*100000/1000000)</f>
        <v>1.2494664</v>
      </c>
      <c r="Y299" s="56"/>
      <c r="Z299" s="14"/>
      <c r="AA299" s="55"/>
      <c r="AB299" s="49">
        <f>(B299*122.58+C299*297.941+D299*89.177+E299*40.302+F299*40+G299*160+H299*0+I299*100+J299*300)/(122.58+297.941+89.177+40.302+0+40+160+100+300)</f>
        <v>12.509788861913043</v>
      </c>
      <c r="AC299" s="44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12.294430215827338</v>
      </c>
    </row>
    <row r="300" spans="1:29" ht="15.75" x14ac:dyDescent="0.25">
      <c r="A300" s="33">
        <v>50010</v>
      </c>
      <c r="B300" s="14">
        <f>CHOOSE(CONTROL!$C$42, 13.3263, 13.3263) * CHOOSE(CONTROL!$C$21, $C$9, 100%, $E$9)</f>
        <v>13.3263</v>
      </c>
      <c r="C300" s="14">
        <f>CHOOSE(CONTROL!$C$42, 13.3314, 13.3314) * CHOOSE(CONTROL!$C$21, $C$9, 100%, $E$9)</f>
        <v>13.3314</v>
      </c>
      <c r="D300" s="14">
        <f>CHOOSE(CONTROL!$C$42, 13.4004, 13.4004) * CHOOSE(CONTROL!$C$21, $C$9, 100%, $E$9)</f>
        <v>13.400399999999999</v>
      </c>
      <c r="E300" s="14">
        <f>CHOOSE(CONTROL!$C$42, 13.4345, 13.4345) * CHOOSE(CONTROL!$C$21, $C$9, 100%, $E$9)</f>
        <v>13.4345</v>
      </c>
      <c r="F300" s="14">
        <f>CHOOSE(CONTROL!$C$42, 13.3641, 13.3641)*CHOOSE(CONTROL!$C$21, $C$9, 100%, $E$9)</f>
        <v>13.364100000000001</v>
      </c>
      <c r="G300" s="14">
        <f>CHOOSE(CONTROL!$C$42, 13.3821, 13.3821)*CHOOSE(CONTROL!$C$21, $C$9, 100%, $E$9)</f>
        <v>13.382099999999999</v>
      </c>
      <c r="H300" s="14">
        <f>CHOOSE(CONTROL!$C$42, 13.4237, 13.4237) * CHOOSE(CONTROL!$C$21, $C$9, 100%, $E$9)</f>
        <v>13.4237</v>
      </c>
      <c r="I300" s="14">
        <f>CHOOSE(CONTROL!$C$42, 13.4044, 13.4044)* CHOOSE(CONTROL!$C$21, $C$9, 100%, $E$9)</f>
        <v>13.404400000000001</v>
      </c>
      <c r="J300" s="14">
        <f>CHOOSE(CONTROL!$C$42, 13.3571, 13.3571)* CHOOSE(CONTROL!$C$21, $C$9, 100%, $E$9)</f>
        <v>13.357100000000001</v>
      </c>
      <c r="K300" s="52">
        <f>CHOOSE(CONTROL!$C$42, 13.4005, 13.4005) * CHOOSE(CONTROL!$C$21, $C$9, 100%, $E$9)</f>
        <v>13.400499999999999</v>
      </c>
      <c r="L300" s="14">
        <f>CHOOSE(CONTROL!$C$42, 14.0107, 14.0107) * CHOOSE(CONTROL!$C$21, $C$9, 100%, $E$9)</f>
        <v>14.0107</v>
      </c>
      <c r="M300" s="14">
        <f>CHOOSE(CONTROL!$C$42, 13.0912, 13.0912) * CHOOSE(CONTROL!$C$21, $C$9, 100%, $E$9)</f>
        <v>13.091200000000001</v>
      </c>
      <c r="N300" s="14">
        <f>CHOOSE(CONTROL!$C$42, 13.1088, 13.1088) * CHOOSE(CONTROL!$C$21, $C$9, 100%, $E$9)</f>
        <v>13.1088</v>
      </c>
      <c r="O300" s="14">
        <f>CHOOSE(CONTROL!$C$42, 13.1563, 13.1563) * CHOOSE(CONTROL!$C$21, $C$9, 100%, $E$9)</f>
        <v>13.1563</v>
      </c>
      <c r="P300" s="14">
        <f>CHOOSE(CONTROL!$C$42, 13.1367, 13.1367) * CHOOSE(CONTROL!$C$21, $C$9, 100%, $E$9)</f>
        <v>13.136699999999999</v>
      </c>
      <c r="Q300" s="14">
        <f>CHOOSE(CONTROL!$C$42, 13.751, 13.751) * CHOOSE(CONTROL!$C$21, $C$9, 100%, $E$9)</f>
        <v>13.750999999999999</v>
      </c>
      <c r="R300" s="14">
        <f>CHOOSE(CONTROL!$C$42, 14.3724, 14.3724) * CHOOSE(CONTROL!$C$21, $C$9, 100%, $E$9)</f>
        <v>14.372400000000001</v>
      </c>
      <c r="S300" s="14">
        <f>CHOOSE(CONTROL!$C$42, 12.7967, 12.7967) * CHOOSE(CONTROL!$C$21, $C$9, 100%, $E$9)</f>
        <v>12.7967</v>
      </c>
      <c r="T30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56">
        <f>(1000*CHOOSE(CONTROL!$C$42, 695, 695)*CHOOSE(CONTROL!$C$42, 0.5599, 0.5599)*CHOOSE(CONTROL!$C$42, 31, 31))/1000000</f>
        <v>12.063045499999998</v>
      </c>
      <c r="V300" s="56">
        <f>(1000*CHOOSE(CONTROL!$C$42, 500, 500)*CHOOSE(CONTROL!$C$42, 0.275, 0.275)*CHOOSE(CONTROL!$C$42, 31, 31))/1000000</f>
        <v>4.2625000000000002</v>
      </c>
      <c r="W300" s="56">
        <f>(1000*CHOOSE(CONTROL!$C$42, 0.1146, 0.1146)*CHOOSE(CONTROL!$C$42, 121.5, 121.5)*CHOOSE(CONTROL!$C$42, 31, 31))/1000000</f>
        <v>0.43164089999999994</v>
      </c>
      <c r="X300" s="56">
        <f>(31*0.1790888*100000/1000000)+(31*0.2374*100000/1000000)</f>
        <v>1.2911152800000001</v>
      </c>
      <c r="Y300" s="56"/>
      <c r="Z300" s="14"/>
      <c r="AA300" s="55"/>
      <c r="AB300" s="49">
        <f>(B300*122.58+C300*297.941+D300*89.177+E300*40.302+F300*40+G300*160+H300*0+I300*100+J300*300)/(122.58+297.941+89.177+40.302+0+40+160+100+300)</f>
        <v>13.361063644521741</v>
      </c>
      <c r="AC300" s="44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13.128265467625898</v>
      </c>
    </row>
    <row r="301" spans="1:29" ht="15.75" x14ac:dyDescent="0.25">
      <c r="A301" s="33">
        <v>50041</v>
      </c>
      <c r="B301" s="14">
        <f>CHOOSE(CONTROL!$C$42, 14.4303, 14.4303) * CHOOSE(CONTROL!$C$21, $C$9, 100%, $E$9)</f>
        <v>14.430300000000001</v>
      </c>
      <c r="C301" s="14">
        <f>CHOOSE(CONTROL!$C$42, 14.4353, 14.4353) * CHOOSE(CONTROL!$C$21, $C$9, 100%, $E$9)</f>
        <v>14.4353</v>
      </c>
      <c r="D301" s="14">
        <f>CHOOSE(CONTROL!$C$42, 14.5148, 14.5148) * CHOOSE(CONTROL!$C$21, $C$9, 100%, $E$9)</f>
        <v>14.514799999999999</v>
      </c>
      <c r="E301" s="14">
        <f>CHOOSE(CONTROL!$C$42, 14.5489, 14.5489) * CHOOSE(CONTROL!$C$21, $C$9, 100%, $E$9)</f>
        <v>14.5489</v>
      </c>
      <c r="F301" s="14">
        <f>CHOOSE(CONTROL!$C$42, 14.4533, 14.4533)*CHOOSE(CONTROL!$C$21, $C$9, 100%, $E$9)</f>
        <v>14.4533</v>
      </c>
      <c r="G301" s="14">
        <f>CHOOSE(CONTROL!$C$42, 14.4708, 14.4708)*CHOOSE(CONTROL!$C$21, $C$9, 100%, $E$9)</f>
        <v>14.470800000000001</v>
      </c>
      <c r="H301" s="14">
        <f>CHOOSE(CONTROL!$C$42, 14.5381, 14.5381) * CHOOSE(CONTROL!$C$21, $C$9, 100%, $E$9)</f>
        <v>14.5381</v>
      </c>
      <c r="I301" s="14">
        <f>CHOOSE(CONTROL!$C$42, 14.5108, 14.5108)* CHOOSE(CONTROL!$C$21, $C$9, 100%, $E$9)</f>
        <v>14.5108</v>
      </c>
      <c r="J301" s="14">
        <f>CHOOSE(CONTROL!$C$42, 14.4463, 14.4463)* CHOOSE(CONTROL!$C$21, $C$9, 100%, $E$9)</f>
        <v>14.446300000000001</v>
      </c>
      <c r="K301" s="52">
        <f>CHOOSE(CONTROL!$C$42, 14.5069, 14.5069) * CHOOSE(CONTROL!$C$21, $C$9, 100%, $E$9)</f>
        <v>14.5069</v>
      </c>
      <c r="L301" s="14">
        <f>CHOOSE(CONTROL!$C$42, 15.1251, 15.1251) * CHOOSE(CONTROL!$C$21, $C$9, 100%, $E$9)</f>
        <v>15.1251</v>
      </c>
      <c r="M301" s="14">
        <f>CHOOSE(CONTROL!$C$42, 14.158, 14.158) * CHOOSE(CONTROL!$C$21, $C$9, 100%, $E$9)</f>
        <v>14.157999999999999</v>
      </c>
      <c r="N301" s="14">
        <f>CHOOSE(CONTROL!$C$42, 14.1752, 14.1752) * CHOOSE(CONTROL!$C$21, $C$9, 100%, $E$9)</f>
        <v>14.1752</v>
      </c>
      <c r="O301" s="14">
        <f>CHOOSE(CONTROL!$C$42, 14.2479, 14.2479) * CHOOSE(CONTROL!$C$21, $C$9, 100%, $E$9)</f>
        <v>14.2479</v>
      </c>
      <c r="P301" s="14">
        <f>CHOOSE(CONTROL!$C$42, 14.2203, 14.2203) * CHOOSE(CONTROL!$C$21, $C$9, 100%, $E$9)</f>
        <v>14.2203</v>
      </c>
      <c r="Q301" s="14">
        <f>CHOOSE(CONTROL!$C$42, 14.8426, 14.8426) * CHOOSE(CONTROL!$C$21, $C$9, 100%, $E$9)</f>
        <v>14.842599999999999</v>
      </c>
      <c r="R301" s="14">
        <f>CHOOSE(CONTROL!$C$42, 15.4667, 15.4667) * CHOOSE(CONTROL!$C$21, $C$9, 100%, $E$9)</f>
        <v>15.466699999999999</v>
      </c>
      <c r="S301" s="14">
        <f>CHOOSE(CONTROL!$C$42, 13.8575, 13.8575) * CHOOSE(CONTROL!$C$21, $C$9, 100%, $E$9)</f>
        <v>13.8575</v>
      </c>
      <c r="T30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56">
        <f>(1000*CHOOSE(CONTROL!$C$42, 695, 695)*CHOOSE(CONTROL!$C$42, 0.5599, 0.5599)*CHOOSE(CONTROL!$C$42, 31, 31))/1000000</f>
        <v>12.063045499999998</v>
      </c>
      <c r="V301" s="56">
        <f>(1000*CHOOSE(CONTROL!$C$42, 500, 500)*CHOOSE(CONTROL!$C$42, 0.275, 0.275)*CHOOSE(CONTROL!$C$42, 31, 31))/1000000</f>
        <v>4.2625000000000002</v>
      </c>
      <c r="W301" s="56">
        <f>(1000*CHOOSE(CONTROL!$C$42, 0.1146, 0.1146)*CHOOSE(CONTROL!$C$42, 121.5, 121.5)*CHOOSE(CONTROL!$C$42, 31, 31))/1000000</f>
        <v>0.43164089999999994</v>
      </c>
      <c r="X301" s="56">
        <f>(31*0.1790888*100000/1000000)+(31*0.2374*100000/1000000)</f>
        <v>1.2911152800000001</v>
      </c>
      <c r="Y301" s="56"/>
      <c r="Z301" s="14"/>
      <c r="AA301" s="55"/>
      <c r="AB301" s="49">
        <f>(B301*122.58+C301*297.941+D301*89.177+E301*40.302+F301*40+G301*160+H301*0+I301*100+J301*300)/(122.58+297.941+89.177+40.302+0+40+160+100+300)</f>
        <v>14.459913024956521</v>
      </c>
      <c r="AC301" s="44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14.2087</v>
      </c>
    </row>
    <row r="302" spans="1:29" ht="15.75" x14ac:dyDescent="0.25">
      <c r="A302" s="33">
        <v>50072</v>
      </c>
      <c r="B302" s="14">
        <f>CHOOSE(CONTROL!$C$42, 14.687, 14.687) * CHOOSE(CONTROL!$C$21, $C$9, 100%, $E$9)</f>
        <v>14.686999999999999</v>
      </c>
      <c r="C302" s="14">
        <f>CHOOSE(CONTROL!$C$42, 14.6921, 14.6921) * CHOOSE(CONTROL!$C$21, $C$9, 100%, $E$9)</f>
        <v>14.6921</v>
      </c>
      <c r="D302" s="14">
        <f>CHOOSE(CONTROL!$C$42, 14.7715, 14.7715) * CHOOSE(CONTROL!$C$21, $C$9, 100%, $E$9)</f>
        <v>14.7715</v>
      </c>
      <c r="E302" s="14">
        <f>CHOOSE(CONTROL!$C$42, 14.8056, 14.8056) * CHOOSE(CONTROL!$C$21, $C$9, 100%, $E$9)</f>
        <v>14.8056</v>
      </c>
      <c r="F302" s="14">
        <f>CHOOSE(CONTROL!$C$42, 14.7098, 14.7098)*CHOOSE(CONTROL!$C$21, $C$9, 100%, $E$9)</f>
        <v>14.7098</v>
      </c>
      <c r="G302" s="14">
        <f>CHOOSE(CONTROL!$C$42, 14.7272, 14.7272)*CHOOSE(CONTROL!$C$21, $C$9, 100%, $E$9)</f>
        <v>14.7272</v>
      </c>
      <c r="H302" s="14">
        <f>CHOOSE(CONTROL!$C$42, 14.7948, 14.7948) * CHOOSE(CONTROL!$C$21, $C$9, 100%, $E$9)</f>
        <v>14.7948</v>
      </c>
      <c r="I302" s="14">
        <f>CHOOSE(CONTROL!$C$42, 14.7683, 14.7683)* CHOOSE(CONTROL!$C$21, $C$9, 100%, $E$9)</f>
        <v>14.7683</v>
      </c>
      <c r="J302" s="14">
        <f>CHOOSE(CONTROL!$C$42, 14.7028, 14.7028)* CHOOSE(CONTROL!$C$21, $C$9, 100%, $E$9)</f>
        <v>14.7028</v>
      </c>
      <c r="K302" s="52">
        <f>CHOOSE(CONTROL!$C$42, 14.7644, 14.7644) * CHOOSE(CONTROL!$C$21, $C$9, 100%, $E$9)</f>
        <v>14.7644</v>
      </c>
      <c r="L302" s="14">
        <f>CHOOSE(CONTROL!$C$42, 15.3818, 15.3818) * CHOOSE(CONTROL!$C$21, $C$9, 100%, $E$9)</f>
        <v>15.3818</v>
      </c>
      <c r="M302" s="14">
        <f>CHOOSE(CONTROL!$C$42, 14.4092, 14.4092) * CHOOSE(CONTROL!$C$21, $C$9, 100%, $E$9)</f>
        <v>14.4092</v>
      </c>
      <c r="N302" s="14">
        <f>CHOOSE(CONTROL!$C$42, 14.4263, 14.4263) * CHOOSE(CONTROL!$C$21, $C$9, 100%, $E$9)</f>
        <v>14.426299999999999</v>
      </c>
      <c r="O302" s="14">
        <f>CHOOSE(CONTROL!$C$42, 14.4993, 14.4993) * CHOOSE(CONTROL!$C$21, $C$9, 100%, $E$9)</f>
        <v>14.4993</v>
      </c>
      <c r="P302" s="14">
        <f>CHOOSE(CONTROL!$C$42, 14.4725, 14.4725) * CHOOSE(CONTROL!$C$21, $C$9, 100%, $E$9)</f>
        <v>14.4725</v>
      </c>
      <c r="Q302" s="14">
        <f>CHOOSE(CONTROL!$C$42, 15.094, 15.094) * CHOOSE(CONTROL!$C$21, $C$9, 100%, $E$9)</f>
        <v>15.093999999999999</v>
      </c>
      <c r="R302" s="14">
        <f>CHOOSE(CONTROL!$C$42, 15.7188, 15.7188) * CHOOSE(CONTROL!$C$21, $C$9, 100%, $E$9)</f>
        <v>15.7188</v>
      </c>
      <c r="S302" s="14">
        <f>CHOOSE(CONTROL!$C$42, 14.1042, 14.1042) * CHOOSE(CONTROL!$C$21, $C$9, 100%, $E$9)</f>
        <v>14.104200000000001</v>
      </c>
      <c r="T30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56">
        <f>(1000*CHOOSE(CONTROL!$C$42, 695, 695)*CHOOSE(CONTROL!$C$42, 0.5599, 0.5599)*CHOOSE(CONTROL!$C$42, 28, 28))/1000000</f>
        <v>10.895653999999999</v>
      </c>
      <c r="V302" s="56">
        <f>(1000*CHOOSE(CONTROL!$C$42, 500, 500)*CHOOSE(CONTROL!$C$42, 0.275, 0.275)*CHOOSE(CONTROL!$C$42, 28, 28))/1000000</f>
        <v>3.85</v>
      </c>
      <c r="W302" s="56">
        <f>(1000*CHOOSE(CONTROL!$C$42, 0.1146, 0.1146)*CHOOSE(CONTROL!$C$42, 121.5, 121.5)*CHOOSE(CONTROL!$C$42, 28, 28))/1000000</f>
        <v>0.38986920000000003</v>
      </c>
      <c r="X302" s="56">
        <f>(28*0.1790888*100000/1000000)+(28*0.2374*100000/1000000)</f>
        <v>1.16616864</v>
      </c>
      <c r="Y302" s="56"/>
      <c r="Z302" s="14"/>
      <c r="AA302" s="55"/>
      <c r="AB302" s="49">
        <f>(B302*122.58+C302*297.941+D302*89.177+E302*40.302+F302*40+G302*160+H302*0+I302*100+J302*300)/(122.58+297.941+89.177+40.302+0+40+160+100+300)</f>
        <v>14.716607628521736</v>
      </c>
      <c r="AC302" s="44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14.460128776978415</v>
      </c>
    </row>
    <row r="303" spans="1:29" ht="15.75" x14ac:dyDescent="0.25">
      <c r="A303" s="33">
        <v>50100</v>
      </c>
      <c r="B303" s="14">
        <f>CHOOSE(CONTROL!$C$42, 14.2703, 14.2703) * CHOOSE(CONTROL!$C$21, $C$9, 100%, $E$9)</f>
        <v>14.270300000000001</v>
      </c>
      <c r="C303" s="14">
        <f>CHOOSE(CONTROL!$C$42, 14.2754, 14.2754) * CHOOSE(CONTROL!$C$21, $C$9, 100%, $E$9)</f>
        <v>14.275399999999999</v>
      </c>
      <c r="D303" s="14">
        <f>CHOOSE(CONTROL!$C$42, 14.3548, 14.3548) * CHOOSE(CONTROL!$C$21, $C$9, 100%, $E$9)</f>
        <v>14.354799999999999</v>
      </c>
      <c r="E303" s="14">
        <f>CHOOSE(CONTROL!$C$42, 14.3889, 14.3889) * CHOOSE(CONTROL!$C$21, $C$9, 100%, $E$9)</f>
        <v>14.3889</v>
      </c>
      <c r="F303" s="14">
        <f>CHOOSE(CONTROL!$C$42, 14.2923, 14.2923)*CHOOSE(CONTROL!$C$21, $C$9, 100%, $E$9)</f>
        <v>14.292299999999999</v>
      </c>
      <c r="G303" s="14">
        <f>CHOOSE(CONTROL!$C$42, 14.3096, 14.3096)*CHOOSE(CONTROL!$C$21, $C$9, 100%, $E$9)</f>
        <v>14.3096</v>
      </c>
      <c r="H303" s="14">
        <f>CHOOSE(CONTROL!$C$42, 14.3781, 14.3781) * CHOOSE(CONTROL!$C$21, $C$9, 100%, $E$9)</f>
        <v>14.3781</v>
      </c>
      <c r="I303" s="14">
        <f>CHOOSE(CONTROL!$C$42, 14.3503, 14.3503)* CHOOSE(CONTROL!$C$21, $C$9, 100%, $E$9)</f>
        <v>14.350300000000001</v>
      </c>
      <c r="J303" s="14">
        <f>CHOOSE(CONTROL!$C$42, 14.2853, 14.2853)* CHOOSE(CONTROL!$C$21, $C$9, 100%, $E$9)</f>
        <v>14.285299999999999</v>
      </c>
      <c r="K303" s="52">
        <f>CHOOSE(CONTROL!$C$42, 14.3464, 14.3464) * CHOOSE(CONTROL!$C$21, $C$9, 100%, $E$9)</f>
        <v>14.346399999999999</v>
      </c>
      <c r="L303" s="14">
        <f>CHOOSE(CONTROL!$C$42, 14.9651, 14.9651) * CHOOSE(CONTROL!$C$21, $C$9, 100%, $E$9)</f>
        <v>14.9651</v>
      </c>
      <c r="M303" s="14">
        <f>CHOOSE(CONTROL!$C$42, 14.0003, 14.0003) * CHOOSE(CONTROL!$C$21, $C$9, 100%, $E$9)</f>
        <v>14.000299999999999</v>
      </c>
      <c r="N303" s="14">
        <f>CHOOSE(CONTROL!$C$42, 14.0172, 14.0172) * CHOOSE(CONTROL!$C$21, $C$9, 100%, $E$9)</f>
        <v>14.017200000000001</v>
      </c>
      <c r="O303" s="14">
        <f>CHOOSE(CONTROL!$C$42, 14.0912, 14.0912) * CHOOSE(CONTROL!$C$21, $C$9, 100%, $E$9)</f>
        <v>14.091200000000001</v>
      </c>
      <c r="P303" s="14">
        <f>CHOOSE(CONTROL!$C$42, 14.0631, 14.0631) * CHOOSE(CONTROL!$C$21, $C$9, 100%, $E$9)</f>
        <v>14.0631</v>
      </c>
      <c r="Q303" s="14">
        <f>CHOOSE(CONTROL!$C$42, 14.6859, 14.6859) * CHOOSE(CONTROL!$C$21, $C$9, 100%, $E$9)</f>
        <v>14.6859</v>
      </c>
      <c r="R303" s="14">
        <f>CHOOSE(CONTROL!$C$42, 15.3096, 15.3096) * CHOOSE(CONTROL!$C$21, $C$9, 100%, $E$9)</f>
        <v>15.3096</v>
      </c>
      <c r="S303" s="14">
        <f>CHOOSE(CONTROL!$C$42, 13.7038, 13.7038) * CHOOSE(CONTROL!$C$21, $C$9, 100%, $E$9)</f>
        <v>13.703799999999999</v>
      </c>
      <c r="T30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56">
        <f>(1000*CHOOSE(CONTROL!$C$42, 695, 695)*CHOOSE(CONTROL!$C$42, 0.5599, 0.5599)*CHOOSE(CONTROL!$C$42, 31, 31))/1000000</f>
        <v>12.063045499999998</v>
      </c>
      <c r="V303" s="56">
        <f>(1000*CHOOSE(CONTROL!$C$42, 500, 500)*CHOOSE(CONTROL!$C$42, 0.275, 0.275)*CHOOSE(CONTROL!$C$42, 31, 31))/1000000</f>
        <v>4.2625000000000002</v>
      </c>
      <c r="W303" s="56">
        <f>(1000*CHOOSE(CONTROL!$C$42, 0.1146, 0.1146)*CHOOSE(CONTROL!$C$42, 121.5, 121.5)*CHOOSE(CONTROL!$C$42, 31, 31))/1000000</f>
        <v>0.43164089999999994</v>
      </c>
      <c r="X303" s="56">
        <f>(31*0.1790888*100000/1000000)+(31*0.2374*100000/1000000)</f>
        <v>1.2911152800000001</v>
      </c>
      <c r="Y303" s="56"/>
      <c r="Z303" s="14"/>
      <c r="AA303" s="55"/>
      <c r="AB303" s="49">
        <f>(B303*122.58+C303*297.941+D303*89.177+E303*40.302+F303*40+G303*160+H303*0+I303*100+J303*300)/(122.58+297.941+89.177+40.302+0+40+160+100+300)</f>
        <v>14.299432845913044</v>
      </c>
      <c r="AC303" s="44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14.051507913669063</v>
      </c>
    </row>
    <row r="304" spans="1:29" ht="15.75" x14ac:dyDescent="0.25">
      <c r="A304" s="33">
        <v>50131</v>
      </c>
      <c r="B304" s="14">
        <f>CHOOSE(CONTROL!$C$42, 14.2286, 14.2286) * CHOOSE(CONTROL!$C$21, $C$9, 100%, $E$9)</f>
        <v>14.2286</v>
      </c>
      <c r="C304" s="14">
        <f>CHOOSE(CONTROL!$C$42, 14.2331, 14.2331) * CHOOSE(CONTROL!$C$21, $C$9, 100%, $E$9)</f>
        <v>14.2331</v>
      </c>
      <c r="D304" s="14">
        <f>CHOOSE(CONTROL!$C$42, 14.462, 14.462) * CHOOSE(CONTROL!$C$21, $C$9, 100%, $E$9)</f>
        <v>14.462</v>
      </c>
      <c r="E304" s="14">
        <f>CHOOSE(CONTROL!$C$42, 14.4941, 14.4941) * CHOOSE(CONTROL!$C$21, $C$9, 100%, $E$9)</f>
        <v>14.4941</v>
      </c>
      <c r="F304" s="14">
        <f>CHOOSE(CONTROL!$C$42, 14.2556, 14.2556)*CHOOSE(CONTROL!$C$21, $C$9, 100%, $E$9)</f>
        <v>14.255599999999999</v>
      </c>
      <c r="G304" s="14">
        <f>CHOOSE(CONTROL!$C$42, 14.2723, 14.2723)*CHOOSE(CONTROL!$C$21, $C$9, 100%, $E$9)</f>
        <v>14.2723</v>
      </c>
      <c r="H304" s="14">
        <f>CHOOSE(CONTROL!$C$42, 14.4839, 14.4839) * CHOOSE(CONTROL!$C$21, $C$9, 100%, $E$9)</f>
        <v>14.4839</v>
      </c>
      <c r="I304" s="14">
        <f>CHOOSE(CONTROL!$C$42, 14.3061, 14.3061)* CHOOSE(CONTROL!$C$21, $C$9, 100%, $E$9)</f>
        <v>14.306100000000001</v>
      </c>
      <c r="J304" s="14">
        <f>CHOOSE(CONTROL!$C$42, 14.2486, 14.2486)* CHOOSE(CONTROL!$C$21, $C$9, 100%, $E$9)</f>
        <v>14.2486</v>
      </c>
      <c r="K304" s="52">
        <f>CHOOSE(CONTROL!$C$42, 14.3022, 14.3022) * CHOOSE(CONTROL!$C$21, $C$9, 100%, $E$9)</f>
        <v>14.302199999999999</v>
      </c>
      <c r="L304" s="14">
        <f>CHOOSE(CONTROL!$C$42, 15.0709, 15.0709) * CHOOSE(CONTROL!$C$21, $C$9, 100%, $E$9)</f>
        <v>15.0709</v>
      </c>
      <c r="M304" s="14">
        <f>CHOOSE(CONTROL!$C$42, 13.9643, 13.9643) * CHOOSE(CONTROL!$C$21, $C$9, 100%, $E$9)</f>
        <v>13.9643</v>
      </c>
      <c r="N304" s="14">
        <f>CHOOSE(CONTROL!$C$42, 13.9807, 13.9807) * CHOOSE(CONTROL!$C$21, $C$9, 100%, $E$9)</f>
        <v>13.980700000000001</v>
      </c>
      <c r="O304" s="14">
        <f>CHOOSE(CONTROL!$C$42, 14.1948, 14.1948) * CHOOSE(CONTROL!$C$21, $C$9, 100%, $E$9)</f>
        <v>14.194800000000001</v>
      </c>
      <c r="P304" s="14">
        <f>CHOOSE(CONTROL!$C$42, 14.0198, 14.0198) * CHOOSE(CONTROL!$C$21, $C$9, 100%, $E$9)</f>
        <v>14.0198</v>
      </c>
      <c r="Q304" s="14">
        <f>CHOOSE(CONTROL!$C$42, 14.7895, 14.7895) * CHOOSE(CONTROL!$C$21, $C$9, 100%, $E$9)</f>
        <v>14.7895</v>
      </c>
      <c r="R304" s="14">
        <f>CHOOSE(CONTROL!$C$42, 15.4135, 15.4135) * CHOOSE(CONTROL!$C$21, $C$9, 100%, $E$9)</f>
        <v>15.413500000000001</v>
      </c>
      <c r="S304" s="14">
        <f>CHOOSE(CONTROL!$C$42, 13.663, 13.663) * CHOOSE(CONTROL!$C$21, $C$9, 100%, $E$9)</f>
        <v>13.663</v>
      </c>
      <c r="T30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56">
        <f>(1000*CHOOSE(CONTROL!$C$42, 695, 695)*CHOOSE(CONTROL!$C$42, 0.5599, 0.5599)*CHOOSE(CONTROL!$C$42, 30, 30))/1000000</f>
        <v>11.673914999999997</v>
      </c>
      <c r="V304" s="56">
        <f>(1000*CHOOSE(CONTROL!$C$42, 500, 500)*CHOOSE(CONTROL!$C$42, 0.275, 0.275)*CHOOSE(CONTROL!$C$42, 30, 30))/1000000</f>
        <v>4.125</v>
      </c>
      <c r="W304" s="56">
        <f>(1000*CHOOSE(CONTROL!$C$42, 0.1146, 0.1146)*CHOOSE(CONTROL!$C$42, 121.5, 121.5)*CHOOSE(CONTROL!$C$42, 30, 30))/1000000</f>
        <v>0.417717</v>
      </c>
      <c r="X304" s="56">
        <f>(30*0.1790888*245000/1000000)+(30*0.2374*100000/1000000)</f>
        <v>2.0285026799999999</v>
      </c>
      <c r="Y304" s="56"/>
      <c r="Z304" s="14"/>
      <c r="AA304" s="55"/>
      <c r="AB304" s="49">
        <f>(B304*141.293+C304*267.993+D304*115.016+E304*89.698+F304*40+G304*185+H304*0+I304*100+J304*300)/(141.293+267.993+115.016+89.698+0+40+185+100+300)</f>
        <v>14.288955142776436</v>
      </c>
      <c r="AC304" s="44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14.04073381294964</v>
      </c>
    </row>
    <row r="305" spans="1:29" ht="15.75" x14ac:dyDescent="0.25">
      <c r="A305" s="33">
        <v>50161</v>
      </c>
      <c r="B305" s="14">
        <f>CHOOSE(CONTROL!$C$42, 14.3555, 14.3555) * CHOOSE(CONTROL!$C$21, $C$9, 100%, $E$9)</f>
        <v>14.355499999999999</v>
      </c>
      <c r="C305" s="14">
        <f>CHOOSE(CONTROL!$C$42, 14.3635, 14.3635) * CHOOSE(CONTROL!$C$21, $C$9, 100%, $E$9)</f>
        <v>14.3635</v>
      </c>
      <c r="D305" s="14">
        <f>CHOOSE(CONTROL!$C$42, 14.5893, 14.5893) * CHOOSE(CONTROL!$C$21, $C$9, 100%, $E$9)</f>
        <v>14.5893</v>
      </c>
      <c r="E305" s="14">
        <f>CHOOSE(CONTROL!$C$42, 14.6208, 14.6208) * CHOOSE(CONTROL!$C$21, $C$9, 100%, $E$9)</f>
        <v>14.620799999999999</v>
      </c>
      <c r="F305" s="14">
        <f>CHOOSE(CONTROL!$C$42, 14.3811, 14.3811)*CHOOSE(CONTROL!$C$21, $C$9, 100%, $E$9)</f>
        <v>14.3811</v>
      </c>
      <c r="G305" s="14">
        <f>CHOOSE(CONTROL!$C$42, 14.3981, 14.3981)*CHOOSE(CONTROL!$C$21, $C$9, 100%, $E$9)</f>
        <v>14.398099999999999</v>
      </c>
      <c r="H305" s="14">
        <f>CHOOSE(CONTROL!$C$42, 14.6094, 14.6094) * CHOOSE(CONTROL!$C$21, $C$9, 100%, $E$9)</f>
        <v>14.609400000000001</v>
      </c>
      <c r="I305" s="14">
        <f>CHOOSE(CONTROL!$C$42, 14.432, 14.432)* CHOOSE(CONTROL!$C$21, $C$9, 100%, $E$9)</f>
        <v>14.432</v>
      </c>
      <c r="J305" s="14">
        <f>CHOOSE(CONTROL!$C$42, 14.3741, 14.3741)* CHOOSE(CONTROL!$C$21, $C$9, 100%, $E$9)</f>
        <v>14.3741</v>
      </c>
      <c r="K305" s="52">
        <f>CHOOSE(CONTROL!$C$42, 14.4281, 14.4281) * CHOOSE(CONTROL!$C$21, $C$9, 100%, $E$9)</f>
        <v>14.428100000000001</v>
      </c>
      <c r="L305" s="14">
        <f>CHOOSE(CONTROL!$C$42, 15.1964, 15.1964) * CHOOSE(CONTROL!$C$21, $C$9, 100%, $E$9)</f>
        <v>15.196400000000001</v>
      </c>
      <c r="M305" s="14">
        <f>CHOOSE(CONTROL!$C$42, 14.0873, 14.0873) * CHOOSE(CONTROL!$C$21, $C$9, 100%, $E$9)</f>
        <v>14.087300000000001</v>
      </c>
      <c r="N305" s="14">
        <f>CHOOSE(CONTROL!$C$42, 14.1039, 14.1039) * CHOOSE(CONTROL!$C$21, $C$9, 100%, $E$9)</f>
        <v>14.103899999999999</v>
      </c>
      <c r="O305" s="14">
        <f>CHOOSE(CONTROL!$C$42, 14.3177, 14.3177) * CHOOSE(CONTROL!$C$21, $C$9, 100%, $E$9)</f>
        <v>14.3177</v>
      </c>
      <c r="P305" s="14">
        <f>CHOOSE(CONTROL!$C$42, 14.1431, 14.1431) * CHOOSE(CONTROL!$C$21, $C$9, 100%, $E$9)</f>
        <v>14.1431</v>
      </c>
      <c r="Q305" s="14">
        <f>CHOOSE(CONTROL!$C$42, 14.9124, 14.9124) * CHOOSE(CONTROL!$C$21, $C$9, 100%, $E$9)</f>
        <v>14.9124</v>
      </c>
      <c r="R305" s="14">
        <f>CHOOSE(CONTROL!$C$42, 15.5367, 15.5367) * CHOOSE(CONTROL!$C$21, $C$9, 100%, $E$9)</f>
        <v>15.5367</v>
      </c>
      <c r="S305" s="14">
        <f>CHOOSE(CONTROL!$C$42, 13.7836, 13.7836) * CHOOSE(CONTROL!$C$21, $C$9, 100%, $E$9)</f>
        <v>13.7836</v>
      </c>
      <c r="T30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56">
        <f>(1000*CHOOSE(CONTROL!$C$42, 695, 695)*CHOOSE(CONTROL!$C$42, 0.5599, 0.5599)*CHOOSE(CONTROL!$C$42, 31, 31))/1000000</f>
        <v>12.063045499999998</v>
      </c>
      <c r="V305" s="56">
        <f>(1000*CHOOSE(CONTROL!$C$42, 500, 500)*CHOOSE(CONTROL!$C$42, 0.275, 0.275)*CHOOSE(CONTROL!$C$42, 31, 31))/1000000</f>
        <v>4.2625000000000002</v>
      </c>
      <c r="W305" s="56">
        <f>(1000*CHOOSE(CONTROL!$C$42, 0.1146, 0.1146)*CHOOSE(CONTROL!$C$42, 121.5, 121.5)*CHOOSE(CONTROL!$C$42, 31, 31))/1000000</f>
        <v>0.43164089999999994</v>
      </c>
      <c r="X305" s="56">
        <f>(31*0.1790888*245000/1000000)+(31*0.2374*100000/1000000)</f>
        <v>2.0961194359999999</v>
      </c>
      <c r="Y305" s="56"/>
      <c r="Z305" s="14"/>
      <c r="AA305" s="55"/>
      <c r="AB305" s="49">
        <f>(B305*194.205+C305*267.466+D305*133.845+E305*53.484+F305*40+G305*185+H305*0+I305*100+J305*300)/(194.205+267.466+133.845+53.484+0+40+185+100+300)</f>
        <v>14.41025431255887</v>
      </c>
      <c r="AC305" s="44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14.163794964028776</v>
      </c>
    </row>
    <row r="306" spans="1:29" ht="15.75" x14ac:dyDescent="0.25">
      <c r="A306" s="33">
        <v>50192</v>
      </c>
      <c r="B306" s="14">
        <f>CHOOSE(CONTROL!$C$42, 14.7624, 14.7624) * CHOOSE(CONTROL!$C$21, $C$9, 100%, $E$9)</f>
        <v>14.7624</v>
      </c>
      <c r="C306" s="14">
        <f>CHOOSE(CONTROL!$C$42, 14.7704, 14.7704) * CHOOSE(CONTROL!$C$21, $C$9, 100%, $E$9)</f>
        <v>14.7704</v>
      </c>
      <c r="D306" s="14">
        <f>CHOOSE(CONTROL!$C$42, 14.9962, 14.9962) * CHOOSE(CONTROL!$C$21, $C$9, 100%, $E$9)</f>
        <v>14.9962</v>
      </c>
      <c r="E306" s="14">
        <f>CHOOSE(CONTROL!$C$42, 15.0276, 15.0276) * CHOOSE(CONTROL!$C$21, $C$9, 100%, $E$9)</f>
        <v>15.0276</v>
      </c>
      <c r="F306" s="14">
        <f>CHOOSE(CONTROL!$C$42, 14.7885, 14.7885)*CHOOSE(CONTROL!$C$21, $C$9, 100%, $E$9)</f>
        <v>14.788500000000001</v>
      </c>
      <c r="G306" s="14">
        <f>CHOOSE(CONTROL!$C$42, 14.8055, 14.8055)*CHOOSE(CONTROL!$C$21, $C$9, 100%, $E$9)</f>
        <v>14.8055</v>
      </c>
      <c r="H306" s="14">
        <f>CHOOSE(CONTROL!$C$42, 15.0163, 15.0163) * CHOOSE(CONTROL!$C$21, $C$9, 100%, $E$9)</f>
        <v>15.016299999999999</v>
      </c>
      <c r="I306" s="14">
        <f>CHOOSE(CONTROL!$C$42, 14.8401, 14.8401)* CHOOSE(CONTROL!$C$21, $C$9, 100%, $E$9)</f>
        <v>14.8401</v>
      </c>
      <c r="J306" s="14">
        <f>CHOOSE(CONTROL!$C$42, 14.7815, 14.7815)* CHOOSE(CONTROL!$C$21, $C$9, 100%, $E$9)</f>
        <v>14.781499999999999</v>
      </c>
      <c r="K306" s="52">
        <f>CHOOSE(CONTROL!$C$42, 14.8362, 14.8362) * CHOOSE(CONTROL!$C$21, $C$9, 100%, $E$9)</f>
        <v>14.8362</v>
      </c>
      <c r="L306" s="14">
        <f>CHOOSE(CONTROL!$C$42, 15.6033, 15.6033) * CHOOSE(CONTROL!$C$21, $C$9, 100%, $E$9)</f>
        <v>15.603300000000001</v>
      </c>
      <c r="M306" s="14">
        <f>CHOOSE(CONTROL!$C$42, 14.4863, 14.4863) * CHOOSE(CONTROL!$C$21, $C$9, 100%, $E$9)</f>
        <v>14.4863</v>
      </c>
      <c r="N306" s="14">
        <f>CHOOSE(CONTROL!$C$42, 14.503, 14.503) * CHOOSE(CONTROL!$C$21, $C$9, 100%, $E$9)</f>
        <v>14.503</v>
      </c>
      <c r="O306" s="14">
        <f>CHOOSE(CONTROL!$C$42, 14.7163, 14.7163) * CHOOSE(CONTROL!$C$21, $C$9, 100%, $E$9)</f>
        <v>14.7163</v>
      </c>
      <c r="P306" s="14">
        <f>CHOOSE(CONTROL!$C$42, 14.5429, 14.5429) * CHOOSE(CONTROL!$C$21, $C$9, 100%, $E$9)</f>
        <v>14.542899999999999</v>
      </c>
      <c r="Q306" s="14">
        <f>CHOOSE(CONTROL!$C$42, 15.311, 15.311) * CHOOSE(CONTROL!$C$21, $C$9, 100%, $E$9)</f>
        <v>15.311</v>
      </c>
      <c r="R306" s="14">
        <f>CHOOSE(CONTROL!$C$42, 15.9363, 15.9363) * CHOOSE(CONTROL!$C$21, $C$9, 100%, $E$9)</f>
        <v>15.936299999999999</v>
      </c>
      <c r="S306" s="14">
        <f>CHOOSE(CONTROL!$C$42, 14.1745, 14.1745) * CHOOSE(CONTROL!$C$21, $C$9, 100%, $E$9)</f>
        <v>14.1745</v>
      </c>
      <c r="T30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56">
        <f>(1000*CHOOSE(CONTROL!$C$42, 695, 695)*CHOOSE(CONTROL!$C$42, 0.5599, 0.5599)*CHOOSE(CONTROL!$C$42, 30, 30))/1000000</f>
        <v>11.673914999999997</v>
      </c>
      <c r="V306" s="56">
        <f>(1000*CHOOSE(CONTROL!$C$42, 500, 500)*CHOOSE(CONTROL!$C$42, 0.275, 0.275)*CHOOSE(CONTROL!$C$42, 30, 30))/1000000</f>
        <v>4.125</v>
      </c>
      <c r="W306" s="56">
        <f>(1000*CHOOSE(CONTROL!$C$42, 0.1146, 0.1146)*CHOOSE(CONTROL!$C$42, 121.5, 121.5)*CHOOSE(CONTROL!$C$42, 30, 30))/1000000</f>
        <v>0.417717</v>
      </c>
      <c r="X306" s="56">
        <f>(30*0.1790888*245000/1000000)+(30*0.2374*100000/1000000)</f>
        <v>2.0285026799999999</v>
      </c>
      <c r="Y306" s="56"/>
      <c r="Z306" s="14"/>
      <c r="AA306" s="55"/>
      <c r="AB306" s="49">
        <f>(B306*194.205+C306*267.466+D306*133.845+E306*53.484+F306*40+G306*185+H306*0+I306*100+J306*300)/(194.205+267.466+133.845+53.484+0+40+185+100+300)</f>
        <v>14.817450349921508</v>
      </c>
      <c r="AC306" s="44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14.562820863309355</v>
      </c>
    </row>
    <row r="307" spans="1:29" ht="15.75" x14ac:dyDescent="0.25">
      <c r="A307" s="33">
        <v>50222</v>
      </c>
      <c r="B307" s="14">
        <f>CHOOSE(CONTROL!$C$42, 14.4794, 14.4794) * CHOOSE(CONTROL!$C$21, $C$9, 100%, $E$9)</f>
        <v>14.4794</v>
      </c>
      <c r="C307" s="14">
        <f>CHOOSE(CONTROL!$C$42, 14.4874, 14.4874) * CHOOSE(CONTROL!$C$21, $C$9, 100%, $E$9)</f>
        <v>14.487399999999999</v>
      </c>
      <c r="D307" s="14">
        <f>CHOOSE(CONTROL!$C$42, 14.7132, 14.7132) * CHOOSE(CONTROL!$C$21, $C$9, 100%, $E$9)</f>
        <v>14.713200000000001</v>
      </c>
      <c r="E307" s="14">
        <f>CHOOSE(CONTROL!$C$42, 14.7447, 14.7447) * CHOOSE(CONTROL!$C$21, $C$9, 100%, $E$9)</f>
        <v>14.7447</v>
      </c>
      <c r="F307" s="14">
        <f>CHOOSE(CONTROL!$C$42, 14.5059, 14.5059)*CHOOSE(CONTROL!$C$21, $C$9, 100%, $E$9)</f>
        <v>14.5059</v>
      </c>
      <c r="G307" s="14">
        <f>CHOOSE(CONTROL!$C$42, 14.5231, 14.5231)*CHOOSE(CONTROL!$C$21, $C$9, 100%, $E$9)</f>
        <v>14.523099999999999</v>
      </c>
      <c r="H307" s="14">
        <f>CHOOSE(CONTROL!$C$42, 14.7333, 14.7333) * CHOOSE(CONTROL!$C$21, $C$9, 100%, $E$9)</f>
        <v>14.7333</v>
      </c>
      <c r="I307" s="14">
        <f>CHOOSE(CONTROL!$C$42, 14.5563, 14.5563)* CHOOSE(CONTROL!$C$21, $C$9, 100%, $E$9)</f>
        <v>14.5563</v>
      </c>
      <c r="J307" s="14">
        <f>CHOOSE(CONTROL!$C$42, 14.4989, 14.4989)* CHOOSE(CONTROL!$C$21, $C$9, 100%, $E$9)</f>
        <v>14.498900000000001</v>
      </c>
      <c r="K307" s="52">
        <f>CHOOSE(CONTROL!$C$42, 14.5524, 14.5524) * CHOOSE(CONTROL!$C$21, $C$9, 100%, $E$9)</f>
        <v>14.5524</v>
      </c>
      <c r="L307" s="14">
        <f>CHOOSE(CONTROL!$C$42, 15.3203, 15.3203) * CHOOSE(CONTROL!$C$21, $C$9, 100%, $E$9)</f>
        <v>15.3203</v>
      </c>
      <c r="M307" s="14">
        <f>CHOOSE(CONTROL!$C$42, 14.2096, 14.2096) * CHOOSE(CONTROL!$C$21, $C$9, 100%, $E$9)</f>
        <v>14.2096</v>
      </c>
      <c r="N307" s="14">
        <f>CHOOSE(CONTROL!$C$42, 14.2264, 14.2264) * CHOOSE(CONTROL!$C$21, $C$9, 100%, $E$9)</f>
        <v>14.2264</v>
      </c>
      <c r="O307" s="14">
        <f>CHOOSE(CONTROL!$C$42, 14.4391, 14.4391) * CHOOSE(CONTROL!$C$21, $C$9, 100%, $E$9)</f>
        <v>14.4391</v>
      </c>
      <c r="P307" s="14">
        <f>CHOOSE(CONTROL!$C$42, 14.2649, 14.2649) * CHOOSE(CONTROL!$C$21, $C$9, 100%, $E$9)</f>
        <v>14.264900000000001</v>
      </c>
      <c r="Q307" s="14">
        <f>CHOOSE(CONTROL!$C$42, 15.0338, 15.0338) * CHOOSE(CONTROL!$C$21, $C$9, 100%, $E$9)</f>
        <v>15.033799999999999</v>
      </c>
      <c r="R307" s="14">
        <f>CHOOSE(CONTROL!$C$42, 15.6584, 15.6584) * CHOOSE(CONTROL!$C$21, $C$9, 100%, $E$9)</f>
        <v>15.6584</v>
      </c>
      <c r="S307" s="14">
        <f>CHOOSE(CONTROL!$C$42, 13.9026, 13.9026) * CHOOSE(CONTROL!$C$21, $C$9, 100%, $E$9)</f>
        <v>13.9026</v>
      </c>
      <c r="T30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56">
        <f>(1000*CHOOSE(CONTROL!$C$42, 695, 695)*CHOOSE(CONTROL!$C$42, 0.5599, 0.5599)*CHOOSE(CONTROL!$C$42, 31, 31))/1000000</f>
        <v>12.063045499999998</v>
      </c>
      <c r="V307" s="56">
        <f>(1000*CHOOSE(CONTROL!$C$42, 500, 500)*CHOOSE(CONTROL!$C$42, 0.275, 0.275)*CHOOSE(CONTROL!$C$42, 31, 31))/1000000</f>
        <v>4.2625000000000002</v>
      </c>
      <c r="W307" s="56">
        <f>(1000*CHOOSE(CONTROL!$C$42, 0.1146, 0.1146)*CHOOSE(CONTROL!$C$42, 121.5, 121.5)*CHOOSE(CONTROL!$C$42, 31, 31))/1000000</f>
        <v>0.43164089999999994</v>
      </c>
      <c r="X307" s="56">
        <f>(31*0.1790888*245000/1000000)+(31*0.2374*100000/1000000)</f>
        <v>2.0961194359999999</v>
      </c>
      <c r="Y307" s="56"/>
      <c r="Z307" s="14"/>
      <c r="AA307" s="55"/>
      <c r="AB307" s="49">
        <f>(B307*194.205+C307*267.466+D307*133.845+E307*53.484+F307*40+G307*185+H307*0+I307*100+J307*300)/(194.205+267.466+133.845+53.484+0+40+185+100+300)</f>
        <v>14.534585631240191</v>
      </c>
      <c r="AC307" s="44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14.285816546762589</v>
      </c>
    </row>
    <row r="308" spans="1:29" ht="15.75" x14ac:dyDescent="0.25">
      <c r="A308" s="33">
        <v>50253</v>
      </c>
      <c r="B308" s="14">
        <f>CHOOSE(CONTROL!$C$42, 13.7648, 13.7648) * CHOOSE(CONTROL!$C$21, $C$9, 100%, $E$9)</f>
        <v>13.764799999999999</v>
      </c>
      <c r="C308" s="14">
        <f>CHOOSE(CONTROL!$C$42, 13.7728, 13.7728) * CHOOSE(CONTROL!$C$21, $C$9, 100%, $E$9)</f>
        <v>13.7728</v>
      </c>
      <c r="D308" s="14">
        <f>CHOOSE(CONTROL!$C$42, 13.9986, 13.9986) * CHOOSE(CONTROL!$C$21, $C$9, 100%, $E$9)</f>
        <v>13.9986</v>
      </c>
      <c r="E308" s="14">
        <f>CHOOSE(CONTROL!$C$42, 14.03, 14.03) * CHOOSE(CONTROL!$C$21, $C$9, 100%, $E$9)</f>
        <v>14.03</v>
      </c>
      <c r="F308" s="14">
        <f>CHOOSE(CONTROL!$C$42, 13.7916, 13.7916)*CHOOSE(CONTROL!$C$21, $C$9, 100%, $E$9)</f>
        <v>13.791600000000001</v>
      </c>
      <c r="G308" s="14">
        <f>CHOOSE(CONTROL!$C$42, 13.8088, 13.8088)*CHOOSE(CONTROL!$C$21, $C$9, 100%, $E$9)</f>
        <v>13.8088</v>
      </c>
      <c r="H308" s="14">
        <f>CHOOSE(CONTROL!$C$42, 14.0187, 14.0187) * CHOOSE(CONTROL!$C$21, $C$9, 100%, $E$9)</f>
        <v>14.018700000000001</v>
      </c>
      <c r="I308" s="14">
        <f>CHOOSE(CONTROL!$C$42, 13.8394, 13.8394)* CHOOSE(CONTROL!$C$21, $C$9, 100%, $E$9)</f>
        <v>13.839399999999999</v>
      </c>
      <c r="J308" s="14">
        <f>CHOOSE(CONTROL!$C$42, 13.7846, 13.7846)* CHOOSE(CONTROL!$C$21, $C$9, 100%, $E$9)</f>
        <v>13.784599999999999</v>
      </c>
      <c r="K308" s="52">
        <f>CHOOSE(CONTROL!$C$42, 13.8355, 13.8355) * CHOOSE(CONTROL!$C$21, $C$9, 100%, $E$9)</f>
        <v>13.8355</v>
      </c>
      <c r="L308" s="14">
        <f>CHOOSE(CONTROL!$C$42, 14.6057, 14.6057) * CHOOSE(CONTROL!$C$21, $C$9, 100%, $E$9)</f>
        <v>14.605700000000001</v>
      </c>
      <c r="M308" s="14">
        <f>CHOOSE(CONTROL!$C$42, 13.5098, 13.5098) * CHOOSE(CONTROL!$C$21, $C$9, 100%, $E$9)</f>
        <v>13.5098</v>
      </c>
      <c r="N308" s="14">
        <f>CHOOSE(CONTROL!$C$42, 13.5267, 13.5267) * CHOOSE(CONTROL!$C$21, $C$9, 100%, $E$9)</f>
        <v>13.5267</v>
      </c>
      <c r="O308" s="14">
        <f>CHOOSE(CONTROL!$C$42, 13.7391, 13.7391) * CHOOSE(CONTROL!$C$21, $C$9, 100%, $E$9)</f>
        <v>13.739100000000001</v>
      </c>
      <c r="P308" s="14">
        <f>CHOOSE(CONTROL!$C$42, 13.5627, 13.5627) * CHOOSE(CONTROL!$C$21, $C$9, 100%, $E$9)</f>
        <v>13.5627</v>
      </c>
      <c r="Q308" s="14">
        <f>CHOOSE(CONTROL!$C$42, 14.3338, 14.3338) * CHOOSE(CONTROL!$C$21, $C$9, 100%, $E$9)</f>
        <v>14.3338</v>
      </c>
      <c r="R308" s="14">
        <f>CHOOSE(CONTROL!$C$42, 14.9567, 14.9567) * CHOOSE(CONTROL!$C$21, $C$9, 100%, $E$9)</f>
        <v>14.9567</v>
      </c>
      <c r="S308" s="14">
        <f>CHOOSE(CONTROL!$C$42, 13.2159, 13.2159) * CHOOSE(CONTROL!$C$21, $C$9, 100%, $E$9)</f>
        <v>13.2159</v>
      </c>
      <c r="T30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56">
        <f>(1000*CHOOSE(CONTROL!$C$42, 695, 695)*CHOOSE(CONTROL!$C$42, 0.5599, 0.5599)*CHOOSE(CONTROL!$C$42, 31, 31))/1000000</f>
        <v>12.063045499999998</v>
      </c>
      <c r="V308" s="56">
        <f>(1000*CHOOSE(CONTROL!$C$42, 500, 500)*CHOOSE(CONTROL!$C$42, 0.275, 0.275)*CHOOSE(CONTROL!$C$42, 31, 31))/1000000</f>
        <v>4.2625000000000002</v>
      </c>
      <c r="W308" s="56">
        <f>(1000*CHOOSE(CONTROL!$C$42, 0.1146, 0.1146)*CHOOSE(CONTROL!$C$42, 121.5, 121.5)*CHOOSE(CONTROL!$C$42, 31, 31))/1000000</f>
        <v>0.43164089999999994</v>
      </c>
      <c r="X308" s="56">
        <f>(31*0.1790888*245000/1000000)+(31*0.2374*100000/1000000)</f>
        <v>2.0961194359999999</v>
      </c>
      <c r="Y308" s="56"/>
      <c r="Z308" s="14"/>
      <c r="AA308" s="55"/>
      <c r="AB308" s="49">
        <f>(B308*194.205+C308*267.466+D308*133.845+E308*53.484+F308*40+G308*185+H308*0+I308*100+J308*300)/(194.205+267.466+133.845+53.484+0+40+185+100+300)</f>
        <v>13.819924525745686</v>
      </c>
      <c r="AC308" s="44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13.585638129496402</v>
      </c>
    </row>
    <row r="309" spans="1:29" ht="15.75" x14ac:dyDescent="0.25">
      <c r="A309" s="33">
        <v>50284</v>
      </c>
      <c r="B309" s="14">
        <f>CHOOSE(CONTROL!$C$42, 12.8914, 12.8914) * CHOOSE(CONTROL!$C$21, $C$9, 100%, $E$9)</f>
        <v>12.891400000000001</v>
      </c>
      <c r="C309" s="14">
        <f>CHOOSE(CONTROL!$C$42, 12.8994, 12.8994) * CHOOSE(CONTROL!$C$21, $C$9, 100%, $E$9)</f>
        <v>12.8994</v>
      </c>
      <c r="D309" s="14">
        <f>CHOOSE(CONTROL!$C$42, 13.1252, 13.1252) * CHOOSE(CONTROL!$C$21, $C$9, 100%, $E$9)</f>
        <v>13.1252</v>
      </c>
      <c r="E309" s="14">
        <f>CHOOSE(CONTROL!$C$42, 13.1567, 13.1567) * CHOOSE(CONTROL!$C$21, $C$9, 100%, $E$9)</f>
        <v>13.156700000000001</v>
      </c>
      <c r="F309" s="14">
        <f>CHOOSE(CONTROL!$C$42, 12.9182, 12.9182)*CHOOSE(CONTROL!$C$21, $C$9, 100%, $E$9)</f>
        <v>12.918200000000001</v>
      </c>
      <c r="G309" s="14">
        <f>CHOOSE(CONTROL!$C$42, 12.9355, 12.9355)*CHOOSE(CONTROL!$C$21, $C$9, 100%, $E$9)</f>
        <v>12.935499999999999</v>
      </c>
      <c r="H309" s="14">
        <f>CHOOSE(CONTROL!$C$42, 13.1453, 13.1453) * CHOOSE(CONTROL!$C$21, $C$9, 100%, $E$9)</f>
        <v>13.145300000000001</v>
      </c>
      <c r="I309" s="14">
        <f>CHOOSE(CONTROL!$C$42, 12.9633, 12.9633)* CHOOSE(CONTROL!$C$21, $C$9, 100%, $E$9)</f>
        <v>12.9633</v>
      </c>
      <c r="J309" s="14">
        <f>CHOOSE(CONTROL!$C$42, 12.9112, 12.9112)* CHOOSE(CONTROL!$C$21, $C$9, 100%, $E$9)</f>
        <v>12.911199999999999</v>
      </c>
      <c r="K309" s="52">
        <f>CHOOSE(CONTROL!$C$42, 12.9594, 12.9594) * CHOOSE(CONTROL!$C$21, $C$9, 100%, $E$9)</f>
        <v>12.9594</v>
      </c>
      <c r="L309" s="14">
        <f>CHOOSE(CONTROL!$C$42, 13.7323, 13.7323) * CHOOSE(CONTROL!$C$21, $C$9, 100%, $E$9)</f>
        <v>13.7323</v>
      </c>
      <c r="M309" s="14">
        <f>CHOOSE(CONTROL!$C$42, 12.6544, 12.6544) * CHOOSE(CONTROL!$C$21, $C$9, 100%, $E$9)</f>
        <v>12.654400000000001</v>
      </c>
      <c r="N309" s="14">
        <f>CHOOSE(CONTROL!$C$42, 12.6713, 12.6713) * CHOOSE(CONTROL!$C$21, $C$9, 100%, $E$9)</f>
        <v>12.6713</v>
      </c>
      <c r="O309" s="14">
        <f>CHOOSE(CONTROL!$C$42, 12.8837, 12.8837) * CHOOSE(CONTROL!$C$21, $C$9, 100%, $E$9)</f>
        <v>12.883699999999999</v>
      </c>
      <c r="P309" s="14">
        <f>CHOOSE(CONTROL!$C$42, 12.7047, 12.7047) * CHOOSE(CONTROL!$C$21, $C$9, 100%, $E$9)</f>
        <v>12.704700000000001</v>
      </c>
      <c r="Q309" s="14">
        <f>CHOOSE(CONTROL!$C$42, 13.4784, 13.4784) * CHOOSE(CONTROL!$C$21, $C$9, 100%, $E$9)</f>
        <v>13.478400000000001</v>
      </c>
      <c r="R309" s="14">
        <f>CHOOSE(CONTROL!$C$42, 14.0991, 14.0991) * CHOOSE(CONTROL!$C$21, $C$9, 100%, $E$9)</f>
        <v>14.0991</v>
      </c>
      <c r="S309" s="14">
        <f>CHOOSE(CONTROL!$C$42, 12.3767, 12.3767) * CHOOSE(CONTROL!$C$21, $C$9, 100%, $E$9)</f>
        <v>12.3767</v>
      </c>
      <c r="T30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56">
        <f>(1000*CHOOSE(CONTROL!$C$42, 695, 695)*CHOOSE(CONTROL!$C$42, 0.5599, 0.5599)*CHOOSE(CONTROL!$C$42, 30, 30))/1000000</f>
        <v>11.673914999999997</v>
      </c>
      <c r="V309" s="56">
        <f>(1000*CHOOSE(CONTROL!$C$42, 500, 500)*CHOOSE(CONTROL!$C$42, 0.275, 0.275)*CHOOSE(CONTROL!$C$42, 30, 30))/1000000</f>
        <v>4.125</v>
      </c>
      <c r="W309" s="56">
        <f>(1000*CHOOSE(CONTROL!$C$42, 0.1146, 0.1146)*CHOOSE(CONTROL!$C$42, 121.5, 121.5)*CHOOSE(CONTROL!$C$42, 30, 30))/1000000</f>
        <v>0.417717</v>
      </c>
      <c r="X309" s="56">
        <f>(30*0.1790888*245000/1000000)+(30*0.2374*100000/1000000)</f>
        <v>2.0285026799999999</v>
      </c>
      <c r="Y309" s="56"/>
      <c r="Z309" s="14"/>
      <c r="AA309" s="55"/>
      <c r="AB309" s="49">
        <f>(B309*194.205+C309*267.466+D309*133.845+E309*53.484+F309*40+G309*185+H309*0+I309*100+J309*300)/(194.205+267.466+133.845+53.484+0+40+185+100+300)</f>
        <v>12.946331314128729</v>
      </c>
      <c r="AC309" s="44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12.729864028776978</v>
      </c>
    </row>
    <row r="310" spans="1:29" ht="15.75" x14ac:dyDescent="0.25">
      <c r="A310" s="33">
        <v>50314</v>
      </c>
      <c r="B310" s="14">
        <f>CHOOSE(CONTROL!$C$42, 12.6281, 12.6281) * CHOOSE(CONTROL!$C$21, $C$9, 100%, $E$9)</f>
        <v>12.6281</v>
      </c>
      <c r="C310" s="14">
        <f>CHOOSE(CONTROL!$C$42, 12.6334, 12.6334) * CHOOSE(CONTROL!$C$21, $C$9, 100%, $E$9)</f>
        <v>12.6334</v>
      </c>
      <c r="D310" s="14">
        <f>CHOOSE(CONTROL!$C$42, 12.8642, 12.8642) * CHOOSE(CONTROL!$C$21, $C$9, 100%, $E$9)</f>
        <v>12.8642</v>
      </c>
      <c r="E310" s="14">
        <f>CHOOSE(CONTROL!$C$42, 12.8933, 12.8933) * CHOOSE(CONTROL!$C$21, $C$9, 100%, $E$9)</f>
        <v>12.8933</v>
      </c>
      <c r="F310" s="14">
        <f>CHOOSE(CONTROL!$C$42, 12.657, 12.657)*CHOOSE(CONTROL!$C$21, $C$9, 100%, $E$9)</f>
        <v>12.657</v>
      </c>
      <c r="G310" s="14">
        <f>CHOOSE(CONTROL!$C$42, 12.6741, 12.6741)*CHOOSE(CONTROL!$C$21, $C$9, 100%, $E$9)</f>
        <v>12.674099999999999</v>
      </c>
      <c r="H310" s="14">
        <f>CHOOSE(CONTROL!$C$42, 12.8838, 12.8838) * CHOOSE(CONTROL!$C$21, $C$9, 100%, $E$9)</f>
        <v>12.883800000000001</v>
      </c>
      <c r="I310" s="14">
        <f>CHOOSE(CONTROL!$C$42, 12.701, 12.701)* CHOOSE(CONTROL!$C$21, $C$9, 100%, $E$9)</f>
        <v>12.701000000000001</v>
      </c>
      <c r="J310" s="14">
        <f>CHOOSE(CONTROL!$C$42, 12.65, 12.65)* CHOOSE(CONTROL!$C$21, $C$9, 100%, $E$9)</f>
        <v>12.65</v>
      </c>
      <c r="K310" s="52">
        <f>CHOOSE(CONTROL!$C$42, 12.6971, 12.6971) * CHOOSE(CONTROL!$C$21, $C$9, 100%, $E$9)</f>
        <v>12.697100000000001</v>
      </c>
      <c r="L310" s="14">
        <f>CHOOSE(CONTROL!$C$42, 13.4708, 13.4708) * CHOOSE(CONTROL!$C$21, $C$9, 100%, $E$9)</f>
        <v>13.470800000000001</v>
      </c>
      <c r="M310" s="14">
        <f>CHOOSE(CONTROL!$C$42, 12.3985, 12.3985) * CHOOSE(CONTROL!$C$21, $C$9, 100%, $E$9)</f>
        <v>12.3985</v>
      </c>
      <c r="N310" s="14">
        <f>CHOOSE(CONTROL!$C$42, 12.4153, 12.4153) * CHOOSE(CONTROL!$C$21, $C$9, 100%, $E$9)</f>
        <v>12.4153</v>
      </c>
      <c r="O310" s="14">
        <f>CHOOSE(CONTROL!$C$42, 12.6275, 12.6275) * CHOOSE(CONTROL!$C$21, $C$9, 100%, $E$9)</f>
        <v>12.6275</v>
      </c>
      <c r="P310" s="14">
        <f>CHOOSE(CONTROL!$C$42, 12.4477, 12.4477) * CHOOSE(CONTROL!$C$21, $C$9, 100%, $E$9)</f>
        <v>12.447699999999999</v>
      </c>
      <c r="Q310" s="14">
        <f>CHOOSE(CONTROL!$C$42, 13.2222, 13.2222) * CHOOSE(CONTROL!$C$21, $C$9, 100%, $E$9)</f>
        <v>13.222200000000001</v>
      </c>
      <c r="R310" s="14">
        <f>CHOOSE(CONTROL!$C$42, 13.8423, 13.8423) * CHOOSE(CONTROL!$C$21, $C$9, 100%, $E$9)</f>
        <v>13.8423</v>
      </c>
      <c r="S310" s="14">
        <f>CHOOSE(CONTROL!$C$42, 12.1254, 12.1254) * CHOOSE(CONTROL!$C$21, $C$9, 100%, $E$9)</f>
        <v>12.125400000000001</v>
      </c>
      <c r="T31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56">
        <f>(1000*CHOOSE(CONTROL!$C$42, 695, 695)*CHOOSE(CONTROL!$C$42, 0.5599, 0.5599)*CHOOSE(CONTROL!$C$42, 31, 31))/1000000</f>
        <v>12.063045499999998</v>
      </c>
      <c r="V310" s="56">
        <f>(1000*CHOOSE(CONTROL!$C$42, 500, 500)*CHOOSE(CONTROL!$C$42, 0.275, 0.275)*CHOOSE(CONTROL!$C$42, 31, 31))/1000000</f>
        <v>4.2625000000000002</v>
      </c>
      <c r="W310" s="56">
        <f>(1000*CHOOSE(CONTROL!$C$42, 0.1146, 0.1146)*CHOOSE(CONTROL!$C$42, 121.5, 121.5)*CHOOSE(CONTROL!$C$42, 31, 31))/1000000</f>
        <v>0.43164089999999994</v>
      </c>
      <c r="X310" s="56">
        <f>(31*0.1790888*245000/1000000)+(31*0.2374*100000/1000000)</f>
        <v>2.0961194359999999</v>
      </c>
      <c r="Y310" s="56"/>
      <c r="Z310" s="14"/>
      <c r="AA310" s="55"/>
      <c r="AB310" s="49">
        <f>(B310*131.881+C310*277.167+D310*79.08+E310*125.872+F310*40+G310*185+H310*0+I310*100+J310*300)/(131.881+277.167+79.08+125.872+0+40+185+100+300)</f>
        <v>12.690284848668279</v>
      </c>
      <c r="AC310" s="44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12.473698561151078</v>
      </c>
    </row>
    <row r="311" spans="1:29" ht="15.75" x14ac:dyDescent="0.25">
      <c r="A311" s="33">
        <v>50345</v>
      </c>
      <c r="B311" s="14">
        <f>CHOOSE(CONTROL!$C$42, 12.9601, 12.9601) * CHOOSE(CONTROL!$C$21, $C$9, 100%, $E$9)</f>
        <v>12.960100000000001</v>
      </c>
      <c r="C311" s="14">
        <f>CHOOSE(CONTROL!$C$42, 12.9652, 12.9652) * CHOOSE(CONTROL!$C$21, $C$9, 100%, $E$9)</f>
        <v>12.965199999999999</v>
      </c>
      <c r="D311" s="14">
        <f>CHOOSE(CONTROL!$C$42, 13.0342, 13.0342) * CHOOSE(CONTROL!$C$21, $C$9, 100%, $E$9)</f>
        <v>13.0342</v>
      </c>
      <c r="E311" s="14">
        <f>CHOOSE(CONTROL!$C$42, 13.0683, 13.0683) * CHOOSE(CONTROL!$C$21, $C$9, 100%, $E$9)</f>
        <v>13.068300000000001</v>
      </c>
      <c r="F311" s="14">
        <f>CHOOSE(CONTROL!$C$42, 12.9957, 12.9957)*CHOOSE(CONTROL!$C$21, $C$9, 100%, $E$9)</f>
        <v>12.995699999999999</v>
      </c>
      <c r="G311" s="14">
        <f>CHOOSE(CONTROL!$C$42, 13.0131, 13.0131)*CHOOSE(CONTROL!$C$21, $C$9, 100%, $E$9)</f>
        <v>13.0131</v>
      </c>
      <c r="H311" s="14">
        <f>CHOOSE(CONTROL!$C$42, 13.0575, 13.0575) * CHOOSE(CONTROL!$C$21, $C$9, 100%, $E$9)</f>
        <v>13.057499999999999</v>
      </c>
      <c r="I311" s="14">
        <f>CHOOSE(CONTROL!$C$42, 13.037, 13.037)* CHOOSE(CONTROL!$C$21, $C$9, 100%, $E$9)</f>
        <v>13.037000000000001</v>
      </c>
      <c r="J311" s="14">
        <f>CHOOSE(CONTROL!$C$42, 12.9887, 12.9887)* CHOOSE(CONTROL!$C$21, $C$9, 100%, $E$9)</f>
        <v>12.9887</v>
      </c>
      <c r="K311" s="52">
        <f>CHOOSE(CONTROL!$C$42, 13.0332, 13.0332) * CHOOSE(CONTROL!$C$21, $C$9, 100%, $E$9)</f>
        <v>13.033200000000001</v>
      </c>
      <c r="L311" s="14">
        <f>CHOOSE(CONTROL!$C$42, 13.6445, 13.6445) * CHOOSE(CONTROL!$C$21, $C$9, 100%, $E$9)</f>
        <v>13.644500000000001</v>
      </c>
      <c r="M311" s="14">
        <f>CHOOSE(CONTROL!$C$42, 12.7303, 12.7303) * CHOOSE(CONTROL!$C$21, $C$9, 100%, $E$9)</f>
        <v>12.7303</v>
      </c>
      <c r="N311" s="14">
        <f>CHOOSE(CONTROL!$C$42, 12.7473, 12.7473) * CHOOSE(CONTROL!$C$21, $C$9, 100%, $E$9)</f>
        <v>12.747299999999999</v>
      </c>
      <c r="O311" s="14">
        <f>CHOOSE(CONTROL!$C$42, 12.7977, 12.7977) * CHOOSE(CONTROL!$C$21, $C$9, 100%, $E$9)</f>
        <v>12.797700000000001</v>
      </c>
      <c r="P311" s="14">
        <f>CHOOSE(CONTROL!$C$42, 12.7769, 12.7769) * CHOOSE(CONTROL!$C$21, $C$9, 100%, $E$9)</f>
        <v>12.776899999999999</v>
      </c>
      <c r="Q311" s="14">
        <f>CHOOSE(CONTROL!$C$42, 13.3924, 13.3924) * CHOOSE(CONTROL!$C$21, $C$9, 100%, $E$9)</f>
        <v>13.3924</v>
      </c>
      <c r="R311" s="14">
        <f>CHOOSE(CONTROL!$C$42, 14.0128, 14.0128) * CHOOSE(CONTROL!$C$21, $C$9, 100%, $E$9)</f>
        <v>14.0128</v>
      </c>
      <c r="S311" s="14">
        <f>CHOOSE(CONTROL!$C$42, 12.4448, 12.4448) * CHOOSE(CONTROL!$C$21, $C$9, 100%, $E$9)</f>
        <v>12.444800000000001</v>
      </c>
      <c r="T31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56">
        <f>(1000*CHOOSE(CONTROL!$C$42, 695, 695)*CHOOSE(CONTROL!$C$42, 0.5599, 0.5599)*CHOOSE(CONTROL!$C$42, 30, 30))/1000000</f>
        <v>11.673914999999997</v>
      </c>
      <c r="V311" s="56">
        <f>(1000*CHOOSE(CONTROL!$C$42, 500, 500)*CHOOSE(CONTROL!$C$42, 0.275, 0.275)*CHOOSE(CONTROL!$C$42, 30, 30))/1000000</f>
        <v>4.125</v>
      </c>
      <c r="W311" s="56">
        <f>(1000*CHOOSE(CONTROL!$C$42, 0.1146, 0.1146)*CHOOSE(CONTROL!$C$42, 121.5, 121.5)*CHOOSE(CONTROL!$C$42, 30, 30))/1000000</f>
        <v>0.417717</v>
      </c>
      <c r="X311" s="56">
        <f>(30*0.1790888*100000/1000000)+(30*0.2374*100000/1000000)</f>
        <v>1.2494664</v>
      </c>
      <c r="Y311" s="56"/>
      <c r="Z311" s="14"/>
      <c r="AA311" s="55"/>
      <c r="AB311" s="49">
        <f>(B311*122.58+C311*297.941+D311*89.177+E311*40.302+F311*40+G311*160+H311*0+I311*100+J311*300)/(122.58+297.941+89.177+40.302+0+40+160+100+300)</f>
        <v>12.993719296695653</v>
      </c>
      <c r="AC311" s="44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12.768531654676261</v>
      </c>
    </row>
    <row r="312" spans="1:29" ht="15.75" x14ac:dyDescent="0.25">
      <c r="A312" s="33">
        <v>50375</v>
      </c>
      <c r="B312" s="14">
        <f>CHOOSE(CONTROL!$C$42, 13.8431, 13.8431) * CHOOSE(CONTROL!$C$21, $C$9, 100%, $E$9)</f>
        <v>13.8431</v>
      </c>
      <c r="C312" s="14">
        <f>CHOOSE(CONTROL!$C$42, 13.8482, 13.8482) * CHOOSE(CONTROL!$C$21, $C$9, 100%, $E$9)</f>
        <v>13.8482</v>
      </c>
      <c r="D312" s="14">
        <f>CHOOSE(CONTROL!$C$42, 13.9172, 13.9172) * CHOOSE(CONTROL!$C$21, $C$9, 100%, $E$9)</f>
        <v>13.917199999999999</v>
      </c>
      <c r="E312" s="14">
        <f>CHOOSE(CONTROL!$C$42, 13.9513, 13.9513) * CHOOSE(CONTROL!$C$21, $C$9, 100%, $E$9)</f>
        <v>13.9513</v>
      </c>
      <c r="F312" s="14">
        <f>CHOOSE(CONTROL!$C$42, 13.8809, 13.8809)*CHOOSE(CONTROL!$C$21, $C$9, 100%, $E$9)</f>
        <v>13.8809</v>
      </c>
      <c r="G312" s="14">
        <f>CHOOSE(CONTROL!$C$42, 13.8989, 13.8989)*CHOOSE(CONTROL!$C$21, $C$9, 100%, $E$9)</f>
        <v>13.898899999999999</v>
      </c>
      <c r="H312" s="14">
        <f>CHOOSE(CONTROL!$C$42, 13.9405, 13.9405) * CHOOSE(CONTROL!$C$21, $C$9, 100%, $E$9)</f>
        <v>13.9405</v>
      </c>
      <c r="I312" s="14">
        <f>CHOOSE(CONTROL!$C$42, 13.9228, 13.9228)* CHOOSE(CONTROL!$C$21, $C$9, 100%, $E$9)</f>
        <v>13.922800000000001</v>
      </c>
      <c r="J312" s="14">
        <f>CHOOSE(CONTROL!$C$42, 13.8739, 13.8739)* CHOOSE(CONTROL!$C$21, $C$9, 100%, $E$9)</f>
        <v>13.873900000000001</v>
      </c>
      <c r="K312" s="52">
        <f>CHOOSE(CONTROL!$C$42, 13.9189, 13.9189) * CHOOSE(CONTROL!$C$21, $C$9, 100%, $E$9)</f>
        <v>13.918900000000001</v>
      </c>
      <c r="L312" s="14">
        <f>CHOOSE(CONTROL!$C$42, 14.5275, 14.5275) * CHOOSE(CONTROL!$C$21, $C$9, 100%, $E$9)</f>
        <v>14.5275</v>
      </c>
      <c r="M312" s="14">
        <f>CHOOSE(CONTROL!$C$42, 13.5973, 13.5973) * CHOOSE(CONTROL!$C$21, $C$9, 100%, $E$9)</f>
        <v>13.597300000000001</v>
      </c>
      <c r="N312" s="14">
        <f>CHOOSE(CONTROL!$C$42, 13.615, 13.615) * CHOOSE(CONTROL!$C$21, $C$9, 100%, $E$9)</f>
        <v>13.615</v>
      </c>
      <c r="O312" s="14">
        <f>CHOOSE(CONTROL!$C$42, 13.6625, 13.6625) * CHOOSE(CONTROL!$C$21, $C$9, 100%, $E$9)</f>
        <v>13.6625</v>
      </c>
      <c r="P312" s="14">
        <f>CHOOSE(CONTROL!$C$42, 13.6444, 13.6444) * CHOOSE(CONTROL!$C$21, $C$9, 100%, $E$9)</f>
        <v>13.644399999999999</v>
      </c>
      <c r="Q312" s="14">
        <f>CHOOSE(CONTROL!$C$42, 14.2572, 14.2572) * CHOOSE(CONTROL!$C$21, $C$9, 100%, $E$9)</f>
        <v>14.257199999999999</v>
      </c>
      <c r="R312" s="14">
        <f>CHOOSE(CONTROL!$C$42, 14.8799, 14.8799) * CHOOSE(CONTROL!$C$21, $C$9, 100%, $E$9)</f>
        <v>14.879899999999999</v>
      </c>
      <c r="S312" s="14">
        <f>CHOOSE(CONTROL!$C$42, 13.2933, 13.2933) * CHOOSE(CONTROL!$C$21, $C$9, 100%, $E$9)</f>
        <v>13.2933</v>
      </c>
      <c r="T31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56">
        <f>(1000*CHOOSE(CONTROL!$C$42, 695, 695)*CHOOSE(CONTROL!$C$42, 0.5599, 0.5599)*CHOOSE(CONTROL!$C$42, 31, 31))/1000000</f>
        <v>12.063045499999998</v>
      </c>
      <c r="V312" s="56">
        <f>(1000*CHOOSE(CONTROL!$C$42, 500, 500)*CHOOSE(CONTROL!$C$42, 0.275, 0.275)*CHOOSE(CONTROL!$C$42, 31, 31))/1000000</f>
        <v>4.2625000000000002</v>
      </c>
      <c r="W312" s="56">
        <f>(1000*CHOOSE(CONTROL!$C$42, 0.1146, 0.1146)*CHOOSE(CONTROL!$C$42, 121.5, 121.5)*CHOOSE(CONTROL!$C$42, 31, 31))/1000000</f>
        <v>0.43164089999999994</v>
      </c>
      <c r="X312" s="56">
        <f>(31*0.1790888*100000/1000000)+(31*0.2374*100000/1000000)</f>
        <v>1.2911152800000001</v>
      </c>
      <c r="Y312" s="56"/>
      <c r="Z312" s="14"/>
      <c r="AA312" s="55"/>
      <c r="AB312" s="49">
        <f>(B312*122.58+C312*297.941+D312*89.177+E312*40.302+F312*40+G312*160+H312*0+I312*100+J312*300)/(122.58+297.941+89.177+40.302+0+40+160+100+300)</f>
        <v>13.878002774956522</v>
      </c>
      <c r="AC312" s="44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13.634646762589927</v>
      </c>
    </row>
    <row r="313" spans="1:29" ht="15.75" x14ac:dyDescent="0.25">
      <c r="A313" s="32">
        <v>50436</v>
      </c>
      <c r="B313" s="14">
        <f>CHOOSE(CONTROL!$C$42, 14.9899, 14.9899) * CHOOSE(CONTROL!$C$21, $C$9, 100%, $E$9)</f>
        <v>14.9899</v>
      </c>
      <c r="C313" s="14">
        <f>CHOOSE(CONTROL!$C$42, 14.995, 14.995) * CHOOSE(CONTROL!$C$21, $C$9, 100%, $E$9)</f>
        <v>14.994999999999999</v>
      </c>
      <c r="D313" s="14">
        <f>CHOOSE(CONTROL!$C$42, 15.0744, 15.0744) * CHOOSE(CONTROL!$C$21, $C$9, 100%, $E$9)</f>
        <v>15.074400000000001</v>
      </c>
      <c r="E313" s="14">
        <f>CHOOSE(CONTROL!$C$42, 15.1085, 15.1085) * CHOOSE(CONTROL!$C$21, $C$9, 100%, $E$9)</f>
        <v>15.108499999999999</v>
      </c>
      <c r="F313" s="14">
        <f>CHOOSE(CONTROL!$C$42, 15.0129, 15.0129)*CHOOSE(CONTROL!$C$21, $C$9, 100%, $E$9)</f>
        <v>15.0129</v>
      </c>
      <c r="G313" s="14">
        <f>CHOOSE(CONTROL!$C$42, 15.0304, 15.0304)*CHOOSE(CONTROL!$C$21, $C$9, 100%, $E$9)</f>
        <v>15.0304</v>
      </c>
      <c r="H313" s="14">
        <f>CHOOSE(CONTROL!$C$42, 15.0977, 15.0977) * CHOOSE(CONTROL!$C$21, $C$9, 100%, $E$9)</f>
        <v>15.0977</v>
      </c>
      <c r="I313" s="14">
        <f>CHOOSE(CONTROL!$C$42, 15.0721, 15.0721)* CHOOSE(CONTROL!$C$21, $C$9, 100%, $E$9)</f>
        <v>15.072100000000001</v>
      </c>
      <c r="J313" s="14">
        <f>CHOOSE(CONTROL!$C$42, 15.0059, 15.0059)* CHOOSE(CONTROL!$C$21, $C$9, 100%, $E$9)</f>
        <v>15.0059</v>
      </c>
      <c r="K313" s="52">
        <f>CHOOSE(CONTROL!$C$42, 15.0682, 15.0682) * CHOOSE(CONTROL!$C$21, $C$9, 100%, $E$9)</f>
        <v>15.068199999999999</v>
      </c>
      <c r="L313" s="14">
        <f>CHOOSE(CONTROL!$C$42, 15.6847, 15.6847) * CHOOSE(CONTROL!$C$21, $C$9, 100%, $E$9)</f>
        <v>15.684699999999999</v>
      </c>
      <c r="M313" s="14">
        <f>CHOOSE(CONTROL!$C$42, 14.7061, 14.7061) * CHOOSE(CONTROL!$C$21, $C$9, 100%, $E$9)</f>
        <v>14.706099999999999</v>
      </c>
      <c r="N313" s="14">
        <f>CHOOSE(CONTROL!$C$42, 14.7233, 14.7233) * CHOOSE(CONTROL!$C$21, $C$9, 100%, $E$9)</f>
        <v>14.7233</v>
      </c>
      <c r="O313" s="14">
        <f>CHOOSE(CONTROL!$C$42, 14.796, 14.796) * CHOOSE(CONTROL!$C$21, $C$9, 100%, $E$9)</f>
        <v>14.795999999999999</v>
      </c>
      <c r="P313" s="14">
        <f>CHOOSE(CONTROL!$C$42, 14.7701, 14.7701) * CHOOSE(CONTROL!$C$21, $C$9, 100%, $E$9)</f>
        <v>14.770099999999999</v>
      </c>
      <c r="Q313" s="14">
        <f>CHOOSE(CONTROL!$C$42, 15.3907, 15.3907) * CHOOSE(CONTROL!$C$21, $C$9, 100%, $E$9)</f>
        <v>15.390700000000001</v>
      </c>
      <c r="R313" s="14">
        <f>CHOOSE(CONTROL!$C$42, 16.0162, 16.0162) * CHOOSE(CONTROL!$C$21, $C$9, 100%, $E$9)</f>
        <v>16.016200000000001</v>
      </c>
      <c r="S313" s="14">
        <f>CHOOSE(CONTROL!$C$42, 14.3952, 14.3952) * CHOOSE(CONTROL!$C$21, $C$9, 100%, $E$9)</f>
        <v>14.395200000000001</v>
      </c>
      <c r="T31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56">
        <f>(1000*CHOOSE(CONTROL!$C$42, 695, 695)*CHOOSE(CONTROL!$C$42, 0.5599, 0.5599)*CHOOSE(CONTROL!$C$42, 31, 31))/1000000</f>
        <v>12.063045499999998</v>
      </c>
      <c r="V313" s="56">
        <f>(1000*CHOOSE(CONTROL!$C$42, 500, 500)*CHOOSE(CONTROL!$C$42, 0.275, 0.275)*CHOOSE(CONTROL!$C$42, 31, 31))/1000000</f>
        <v>4.2625000000000002</v>
      </c>
      <c r="W313" s="56">
        <f>(1000*CHOOSE(CONTROL!$C$42, 0.1146, 0.1146)*CHOOSE(CONTROL!$C$42, 121.5, 121.5)*CHOOSE(CONTROL!$C$42, 31, 31))/1000000</f>
        <v>0.43164089999999994</v>
      </c>
      <c r="X313" s="56">
        <f>(31*0.1790888*100000/1000000)+(31*0.2374*100000/1000000)</f>
        <v>1.2911152800000001</v>
      </c>
      <c r="Y313" s="56"/>
      <c r="Z313" s="14"/>
      <c r="AA313" s="55"/>
      <c r="AB313" s="49">
        <f>(B313*122.58+C313*297.941+D313*89.177+E313*40.302+F313*40+G313*160+H313*0+I313*100+J313*300)/(122.58+297.941+89.177+40.302+0+40+160+100+300)</f>
        <v>15.019686758956523</v>
      </c>
      <c r="AC313" s="44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14.757044604316546</v>
      </c>
    </row>
    <row r="314" spans="1:29" ht="15.75" x14ac:dyDescent="0.25">
      <c r="A314" s="32">
        <v>50464</v>
      </c>
      <c r="B314" s="14">
        <f>CHOOSE(CONTROL!$C$42, 15.2566, 15.2566) * CHOOSE(CONTROL!$C$21, $C$9, 100%, $E$9)</f>
        <v>15.256600000000001</v>
      </c>
      <c r="C314" s="14">
        <f>CHOOSE(CONTROL!$C$42, 15.2616, 15.2616) * CHOOSE(CONTROL!$C$21, $C$9, 100%, $E$9)</f>
        <v>15.2616</v>
      </c>
      <c r="D314" s="14">
        <f>CHOOSE(CONTROL!$C$42, 15.3411, 15.3411) * CHOOSE(CONTROL!$C$21, $C$9, 100%, $E$9)</f>
        <v>15.341100000000001</v>
      </c>
      <c r="E314" s="14">
        <f>CHOOSE(CONTROL!$C$42, 15.3752, 15.3752) * CHOOSE(CONTROL!$C$21, $C$9, 100%, $E$9)</f>
        <v>15.3752</v>
      </c>
      <c r="F314" s="14">
        <f>CHOOSE(CONTROL!$C$42, 15.2793, 15.2793)*CHOOSE(CONTROL!$C$21, $C$9, 100%, $E$9)</f>
        <v>15.279299999999999</v>
      </c>
      <c r="G314" s="14">
        <f>CHOOSE(CONTROL!$C$42, 15.2968, 15.2968)*CHOOSE(CONTROL!$C$21, $C$9, 100%, $E$9)</f>
        <v>15.296799999999999</v>
      </c>
      <c r="H314" s="14">
        <f>CHOOSE(CONTROL!$C$42, 15.3644, 15.3644) * CHOOSE(CONTROL!$C$21, $C$9, 100%, $E$9)</f>
        <v>15.3644</v>
      </c>
      <c r="I314" s="14">
        <f>CHOOSE(CONTROL!$C$42, 15.3396, 15.3396)* CHOOSE(CONTROL!$C$21, $C$9, 100%, $E$9)</f>
        <v>15.339600000000001</v>
      </c>
      <c r="J314" s="14">
        <f>CHOOSE(CONTROL!$C$42, 15.2723, 15.2723)* CHOOSE(CONTROL!$C$21, $C$9, 100%, $E$9)</f>
        <v>15.2723</v>
      </c>
      <c r="K314" s="52">
        <f>CHOOSE(CONTROL!$C$42, 15.3357, 15.3357) * CHOOSE(CONTROL!$C$21, $C$9, 100%, $E$9)</f>
        <v>15.335699999999999</v>
      </c>
      <c r="L314" s="14">
        <f>CHOOSE(CONTROL!$C$42, 15.9514, 15.9514) * CHOOSE(CONTROL!$C$21, $C$9, 100%, $E$9)</f>
        <v>15.9514</v>
      </c>
      <c r="M314" s="14">
        <f>CHOOSE(CONTROL!$C$42, 14.9671, 14.9671) * CHOOSE(CONTROL!$C$21, $C$9, 100%, $E$9)</f>
        <v>14.9671</v>
      </c>
      <c r="N314" s="14">
        <f>CHOOSE(CONTROL!$C$42, 14.9842, 14.9842) * CHOOSE(CONTROL!$C$21, $C$9, 100%, $E$9)</f>
        <v>14.9842</v>
      </c>
      <c r="O314" s="14">
        <f>CHOOSE(CONTROL!$C$42, 15.0572, 15.0572) * CHOOSE(CONTROL!$C$21, $C$9, 100%, $E$9)</f>
        <v>15.0572</v>
      </c>
      <c r="P314" s="14">
        <f>CHOOSE(CONTROL!$C$42, 15.0321, 15.0321) * CHOOSE(CONTROL!$C$21, $C$9, 100%, $E$9)</f>
        <v>15.0321</v>
      </c>
      <c r="Q314" s="14">
        <f>CHOOSE(CONTROL!$C$42, 15.6519, 15.6519) * CHOOSE(CONTROL!$C$21, $C$9, 100%, $E$9)</f>
        <v>15.651899999999999</v>
      </c>
      <c r="R314" s="14">
        <f>CHOOSE(CONTROL!$C$42, 16.2781, 16.2781) * CHOOSE(CONTROL!$C$21, $C$9, 100%, $E$9)</f>
        <v>16.278099999999998</v>
      </c>
      <c r="S314" s="14">
        <f>CHOOSE(CONTROL!$C$42, 14.6515, 14.6515) * CHOOSE(CONTROL!$C$21, $C$9, 100%, $E$9)</f>
        <v>14.6515</v>
      </c>
      <c r="T31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56">
        <f>(1000*CHOOSE(CONTROL!$C$42, 695, 695)*CHOOSE(CONTROL!$C$42, 0.5599, 0.5599)*CHOOSE(CONTROL!$C$42, 28, 28))/1000000</f>
        <v>10.895653999999999</v>
      </c>
      <c r="V314" s="56">
        <f>(1000*CHOOSE(CONTROL!$C$42, 500, 500)*CHOOSE(CONTROL!$C$42, 0.275, 0.275)*CHOOSE(CONTROL!$C$42, 28, 28))/1000000</f>
        <v>3.85</v>
      </c>
      <c r="W314" s="56">
        <f>(1000*CHOOSE(CONTROL!$C$42, 0.1146, 0.1146)*CHOOSE(CONTROL!$C$42, 121.5, 121.5)*CHOOSE(CONTROL!$C$42, 28, 28))/1000000</f>
        <v>0.38986920000000003</v>
      </c>
      <c r="X314" s="56">
        <f>(28*0.1790888*100000/1000000)+(28*0.2374*100000/1000000)</f>
        <v>1.16616864</v>
      </c>
      <c r="Y314" s="56"/>
      <c r="Z314" s="14"/>
      <c r="AA314" s="55"/>
      <c r="AB314" s="49">
        <f>(B314*122.58+C314*297.941+D314*89.177+E314*40.302+F314*40+G314*160+H314*0+I314*100+J314*300)/(122.58+297.941+89.177+40.302+0+40+160+100+300)</f>
        <v>15.286299981478258</v>
      </c>
      <c r="AC314" s="44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15.018273381294964</v>
      </c>
    </row>
    <row r="315" spans="1:29" ht="15.75" x14ac:dyDescent="0.25">
      <c r="A315" s="32">
        <v>50495</v>
      </c>
      <c r="B315" s="14">
        <f>CHOOSE(CONTROL!$C$42, 14.8237, 14.8237) * CHOOSE(CONTROL!$C$21, $C$9, 100%, $E$9)</f>
        <v>14.823700000000001</v>
      </c>
      <c r="C315" s="14">
        <f>CHOOSE(CONTROL!$C$42, 14.8288, 14.8288) * CHOOSE(CONTROL!$C$21, $C$9, 100%, $E$9)</f>
        <v>14.828799999999999</v>
      </c>
      <c r="D315" s="14">
        <f>CHOOSE(CONTROL!$C$42, 14.9082, 14.9082) * CHOOSE(CONTROL!$C$21, $C$9, 100%, $E$9)</f>
        <v>14.908200000000001</v>
      </c>
      <c r="E315" s="14">
        <f>CHOOSE(CONTROL!$C$42, 14.9423, 14.9423) * CHOOSE(CONTROL!$C$21, $C$9, 100%, $E$9)</f>
        <v>14.942299999999999</v>
      </c>
      <c r="F315" s="14">
        <f>CHOOSE(CONTROL!$C$42, 14.8457, 14.8457)*CHOOSE(CONTROL!$C$21, $C$9, 100%, $E$9)</f>
        <v>14.845700000000001</v>
      </c>
      <c r="G315" s="14">
        <f>CHOOSE(CONTROL!$C$42, 14.863, 14.863)*CHOOSE(CONTROL!$C$21, $C$9, 100%, $E$9)</f>
        <v>14.863</v>
      </c>
      <c r="H315" s="14">
        <f>CHOOSE(CONTROL!$C$42, 14.9315, 14.9315) * CHOOSE(CONTROL!$C$21, $C$9, 100%, $E$9)</f>
        <v>14.9315</v>
      </c>
      <c r="I315" s="14">
        <f>CHOOSE(CONTROL!$C$42, 14.9054, 14.9054)* CHOOSE(CONTROL!$C$21, $C$9, 100%, $E$9)</f>
        <v>14.9054</v>
      </c>
      <c r="J315" s="14">
        <f>CHOOSE(CONTROL!$C$42, 14.8387, 14.8387)* CHOOSE(CONTROL!$C$21, $C$9, 100%, $E$9)</f>
        <v>14.838699999999999</v>
      </c>
      <c r="K315" s="52">
        <f>CHOOSE(CONTROL!$C$42, 14.9015, 14.9015) * CHOOSE(CONTROL!$C$21, $C$9, 100%, $E$9)</f>
        <v>14.9015</v>
      </c>
      <c r="L315" s="14">
        <f>CHOOSE(CONTROL!$C$42, 15.5185, 15.5185) * CHOOSE(CONTROL!$C$21, $C$9, 100%, $E$9)</f>
        <v>15.5185</v>
      </c>
      <c r="M315" s="14">
        <f>CHOOSE(CONTROL!$C$42, 14.5424, 14.5424) * CHOOSE(CONTROL!$C$21, $C$9, 100%, $E$9)</f>
        <v>14.542400000000001</v>
      </c>
      <c r="N315" s="14">
        <f>CHOOSE(CONTROL!$C$42, 14.5593, 14.5593) * CHOOSE(CONTROL!$C$21, $C$9, 100%, $E$9)</f>
        <v>14.5593</v>
      </c>
      <c r="O315" s="14">
        <f>CHOOSE(CONTROL!$C$42, 14.6332, 14.6332) * CHOOSE(CONTROL!$C$21, $C$9, 100%, $E$9)</f>
        <v>14.6332</v>
      </c>
      <c r="P315" s="14">
        <f>CHOOSE(CONTROL!$C$42, 14.6068, 14.6068) * CHOOSE(CONTROL!$C$21, $C$9, 100%, $E$9)</f>
        <v>14.6068</v>
      </c>
      <c r="Q315" s="14">
        <f>CHOOSE(CONTROL!$C$42, 15.2279, 15.2279) * CHOOSE(CONTROL!$C$21, $C$9, 100%, $E$9)</f>
        <v>15.2279</v>
      </c>
      <c r="R315" s="14">
        <f>CHOOSE(CONTROL!$C$42, 15.853, 15.853) * CHOOSE(CONTROL!$C$21, $C$9, 100%, $E$9)</f>
        <v>15.853</v>
      </c>
      <c r="S315" s="14">
        <f>CHOOSE(CONTROL!$C$42, 14.2355, 14.2355) * CHOOSE(CONTROL!$C$21, $C$9, 100%, $E$9)</f>
        <v>14.2355</v>
      </c>
      <c r="T31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56">
        <f>(1000*CHOOSE(CONTROL!$C$42, 695, 695)*CHOOSE(CONTROL!$C$42, 0.5599, 0.5599)*CHOOSE(CONTROL!$C$42, 31, 31))/1000000</f>
        <v>12.063045499999998</v>
      </c>
      <c r="V315" s="56">
        <f>(1000*CHOOSE(CONTROL!$C$42, 500, 500)*CHOOSE(CONTROL!$C$42, 0.275, 0.275)*CHOOSE(CONTROL!$C$42, 31, 31))/1000000</f>
        <v>4.2625000000000002</v>
      </c>
      <c r="W315" s="56">
        <f>(1000*CHOOSE(CONTROL!$C$42, 0.1146, 0.1146)*CHOOSE(CONTROL!$C$42, 121.5, 121.5)*CHOOSE(CONTROL!$C$42, 31, 31))/1000000</f>
        <v>0.43164089999999994</v>
      </c>
      <c r="X315" s="56">
        <f>(31*0.1790888*100000/1000000)+(31*0.2374*100000/1000000)</f>
        <v>1.2911152800000001</v>
      </c>
      <c r="Y315" s="56"/>
      <c r="Z315" s="14"/>
      <c r="AA315" s="55"/>
      <c r="AB315" s="49">
        <f>(B315*122.58+C315*297.941+D315*89.177+E315*40.302+F315*40+G315*160+H315*0+I315*100+J315*300)/(122.58+297.941+89.177+40.302+0+40+160+100+300)</f>
        <v>14.852980672000001</v>
      </c>
      <c r="AC315" s="44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14.593792805755397</v>
      </c>
    </row>
    <row r="316" spans="1:29" ht="15.75" x14ac:dyDescent="0.25">
      <c r="A316" s="32">
        <v>50525</v>
      </c>
      <c r="B316" s="14">
        <f>CHOOSE(CONTROL!$C$42, 14.7803, 14.7803) * CHOOSE(CONTROL!$C$21, $C$9, 100%, $E$9)</f>
        <v>14.7803</v>
      </c>
      <c r="C316" s="14">
        <f>CHOOSE(CONTROL!$C$42, 14.7848, 14.7848) * CHOOSE(CONTROL!$C$21, $C$9, 100%, $E$9)</f>
        <v>14.784800000000001</v>
      </c>
      <c r="D316" s="14">
        <f>CHOOSE(CONTROL!$C$42, 15.0138, 15.0138) * CHOOSE(CONTROL!$C$21, $C$9, 100%, $E$9)</f>
        <v>15.0138</v>
      </c>
      <c r="E316" s="14">
        <f>CHOOSE(CONTROL!$C$42, 15.0459, 15.0459) * CHOOSE(CONTROL!$C$21, $C$9, 100%, $E$9)</f>
        <v>15.0459</v>
      </c>
      <c r="F316" s="14">
        <f>CHOOSE(CONTROL!$C$42, 14.8073, 14.8073)*CHOOSE(CONTROL!$C$21, $C$9, 100%, $E$9)</f>
        <v>14.8073</v>
      </c>
      <c r="G316" s="14">
        <f>CHOOSE(CONTROL!$C$42, 14.8241, 14.8241)*CHOOSE(CONTROL!$C$21, $C$9, 100%, $E$9)</f>
        <v>14.8241</v>
      </c>
      <c r="H316" s="14">
        <f>CHOOSE(CONTROL!$C$42, 15.0357, 15.0357) * CHOOSE(CONTROL!$C$21, $C$9, 100%, $E$9)</f>
        <v>15.0357</v>
      </c>
      <c r="I316" s="14">
        <f>CHOOSE(CONTROL!$C$42, 14.8596, 14.8596)* CHOOSE(CONTROL!$C$21, $C$9, 100%, $E$9)</f>
        <v>14.8596</v>
      </c>
      <c r="J316" s="14">
        <f>CHOOSE(CONTROL!$C$42, 14.8003, 14.8003)* CHOOSE(CONTROL!$C$21, $C$9, 100%, $E$9)</f>
        <v>14.8003</v>
      </c>
      <c r="K316" s="52">
        <f>CHOOSE(CONTROL!$C$42, 14.8557, 14.8557) * CHOOSE(CONTROL!$C$21, $C$9, 100%, $E$9)</f>
        <v>14.855700000000001</v>
      </c>
      <c r="L316" s="14">
        <f>CHOOSE(CONTROL!$C$42, 15.6227, 15.6227) * CHOOSE(CONTROL!$C$21, $C$9, 100%, $E$9)</f>
        <v>15.6227</v>
      </c>
      <c r="M316" s="14">
        <f>CHOOSE(CONTROL!$C$42, 14.5048, 14.5048) * CHOOSE(CONTROL!$C$21, $C$9, 100%, $E$9)</f>
        <v>14.504799999999999</v>
      </c>
      <c r="N316" s="14">
        <f>CHOOSE(CONTROL!$C$42, 14.5212, 14.5212) * CHOOSE(CONTROL!$C$21, $C$9, 100%, $E$9)</f>
        <v>14.5212</v>
      </c>
      <c r="O316" s="14">
        <f>CHOOSE(CONTROL!$C$42, 14.7353, 14.7353) * CHOOSE(CONTROL!$C$21, $C$9, 100%, $E$9)</f>
        <v>14.735300000000001</v>
      </c>
      <c r="P316" s="14">
        <f>CHOOSE(CONTROL!$C$42, 14.562, 14.562) * CHOOSE(CONTROL!$C$21, $C$9, 100%, $E$9)</f>
        <v>14.561999999999999</v>
      </c>
      <c r="Q316" s="14">
        <f>CHOOSE(CONTROL!$C$42, 15.33, 15.33) * CHOOSE(CONTROL!$C$21, $C$9, 100%, $E$9)</f>
        <v>15.33</v>
      </c>
      <c r="R316" s="14">
        <f>CHOOSE(CONTROL!$C$42, 15.9553, 15.9553) * CHOOSE(CONTROL!$C$21, $C$9, 100%, $E$9)</f>
        <v>15.955299999999999</v>
      </c>
      <c r="S316" s="14">
        <f>CHOOSE(CONTROL!$C$42, 14.1931, 14.1931) * CHOOSE(CONTROL!$C$21, $C$9, 100%, $E$9)</f>
        <v>14.193099999999999</v>
      </c>
      <c r="T31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56">
        <f>(1000*CHOOSE(CONTROL!$C$42, 695, 695)*CHOOSE(CONTROL!$C$42, 0.5599, 0.5599)*CHOOSE(CONTROL!$C$42, 30, 30))/1000000</f>
        <v>11.673914999999997</v>
      </c>
      <c r="V316" s="56">
        <f>(1000*CHOOSE(CONTROL!$C$42, 500, 500)*CHOOSE(CONTROL!$C$42, 0.275, 0.275)*CHOOSE(CONTROL!$C$42, 30, 30))/1000000</f>
        <v>4.125</v>
      </c>
      <c r="W316" s="56">
        <f>(1000*CHOOSE(CONTROL!$C$42, 0.1146, 0.1146)*CHOOSE(CONTROL!$C$42, 121.5, 121.5)*CHOOSE(CONTROL!$C$42, 30, 30))/1000000</f>
        <v>0.417717</v>
      </c>
      <c r="X316" s="56">
        <f>(30*0.1790888*245000/1000000)+(30*0.2374*100000/1000000)</f>
        <v>2.0285026799999999</v>
      </c>
      <c r="Y316" s="56"/>
      <c r="Z316" s="14"/>
      <c r="AA316" s="55"/>
      <c r="AB316" s="49">
        <f>(B316*141.293+C316*267.993+D316*115.016+E316*89.698+F316*40+G316*185+H316*0+I316*100+J316*300)/(141.293+267.993+115.016+89.698+0+40+185+100+300)</f>
        <v>14.840831875141241</v>
      </c>
      <c r="AC316" s="44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14.581478417266188</v>
      </c>
    </row>
    <row r="317" spans="1:29" ht="15.75" x14ac:dyDescent="0.25">
      <c r="A317" s="32">
        <v>50556</v>
      </c>
      <c r="B317" s="14">
        <f>CHOOSE(CONTROL!$C$42, 14.9121, 14.9121) * CHOOSE(CONTROL!$C$21, $C$9, 100%, $E$9)</f>
        <v>14.912100000000001</v>
      </c>
      <c r="C317" s="14">
        <f>CHOOSE(CONTROL!$C$42, 14.9201, 14.9201) * CHOOSE(CONTROL!$C$21, $C$9, 100%, $E$9)</f>
        <v>14.9201</v>
      </c>
      <c r="D317" s="14">
        <f>CHOOSE(CONTROL!$C$42, 15.1459, 15.1459) * CHOOSE(CONTROL!$C$21, $C$9, 100%, $E$9)</f>
        <v>15.145899999999999</v>
      </c>
      <c r="E317" s="14">
        <f>CHOOSE(CONTROL!$C$42, 15.1774, 15.1774) * CHOOSE(CONTROL!$C$21, $C$9, 100%, $E$9)</f>
        <v>15.1774</v>
      </c>
      <c r="F317" s="14">
        <f>CHOOSE(CONTROL!$C$42, 14.9378, 14.9378)*CHOOSE(CONTROL!$C$21, $C$9, 100%, $E$9)</f>
        <v>14.937799999999999</v>
      </c>
      <c r="G317" s="14">
        <f>CHOOSE(CONTROL!$C$42, 14.9547, 14.9547)*CHOOSE(CONTROL!$C$21, $C$9, 100%, $E$9)</f>
        <v>14.954700000000001</v>
      </c>
      <c r="H317" s="14">
        <f>CHOOSE(CONTROL!$C$42, 15.166, 15.166) * CHOOSE(CONTROL!$C$21, $C$9, 100%, $E$9)</f>
        <v>15.166</v>
      </c>
      <c r="I317" s="14">
        <f>CHOOSE(CONTROL!$C$42, 14.9903, 14.9903)* CHOOSE(CONTROL!$C$21, $C$9, 100%, $E$9)</f>
        <v>14.9903</v>
      </c>
      <c r="J317" s="14">
        <f>CHOOSE(CONTROL!$C$42, 14.9308, 14.9308)* CHOOSE(CONTROL!$C$21, $C$9, 100%, $E$9)</f>
        <v>14.9308</v>
      </c>
      <c r="K317" s="52">
        <f>CHOOSE(CONTROL!$C$42, 14.9865, 14.9865) * CHOOSE(CONTROL!$C$21, $C$9, 100%, $E$9)</f>
        <v>14.986499999999999</v>
      </c>
      <c r="L317" s="14">
        <f>CHOOSE(CONTROL!$C$42, 15.753, 15.753) * CHOOSE(CONTROL!$C$21, $C$9, 100%, $E$9)</f>
        <v>15.753</v>
      </c>
      <c r="M317" s="14">
        <f>CHOOSE(CONTROL!$C$42, 14.6325, 14.6325) * CHOOSE(CONTROL!$C$21, $C$9, 100%, $E$9)</f>
        <v>14.6325</v>
      </c>
      <c r="N317" s="14">
        <f>CHOOSE(CONTROL!$C$42, 14.6491, 14.6491) * CHOOSE(CONTROL!$C$21, $C$9, 100%, $E$9)</f>
        <v>14.649100000000001</v>
      </c>
      <c r="O317" s="14">
        <f>CHOOSE(CONTROL!$C$42, 14.863, 14.863) * CHOOSE(CONTROL!$C$21, $C$9, 100%, $E$9)</f>
        <v>14.863</v>
      </c>
      <c r="P317" s="14">
        <f>CHOOSE(CONTROL!$C$42, 14.69, 14.69) * CHOOSE(CONTROL!$C$21, $C$9, 100%, $E$9)</f>
        <v>14.69</v>
      </c>
      <c r="Q317" s="14">
        <f>CHOOSE(CONTROL!$C$42, 15.4577, 15.4577) * CHOOSE(CONTROL!$C$21, $C$9, 100%, $E$9)</f>
        <v>15.457700000000001</v>
      </c>
      <c r="R317" s="14">
        <f>CHOOSE(CONTROL!$C$42, 16.0833, 16.0833) * CHOOSE(CONTROL!$C$21, $C$9, 100%, $E$9)</f>
        <v>16.083300000000001</v>
      </c>
      <c r="S317" s="14">
        <f>CHOOSE(CONTROL!$C$42, 14.3184, 14.3184) * CHOOSE(CONTROL!$C$21, $C$9, 100%, $E$9)</f>
        <v>14.3184</v>
      </c>
      <c r="T31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56">
        <f>(1000*CHOOSE(CONTROL!$C$42, 695, 695)*CHOOSE(CONTROL!$C$42, 0.5599, 0.5599)*CHOOSE(CONTROL!$C$42, 31, 31))/1000000</f>
        <v>12.063045499999998</v>
      </c>
      <c r="V317" s="56">
        <f>(1000*CHOOSE(CONTROL!$C$42, 500, 500)*CHOOSE(CONTROL!$C$42, 0.275, 0.275)*CHOOSE(CONTROL!$C$42, 31, 31))/1000000</f>
        <v>4.2625000000000002</v>
      </c>
      <c r="W317" s="56">
        <f>(1000*CHOOSE(CONTROL!$C$42, 0.1146, 0.1146)*CHOOSE(CONTROL!$C$42, 121.5, 121.5)*CHOOSE(CONTROL!$C$42, 31, 31))/1000000</f>
        <v>0.43164089999999994</v>
      </c>
      <c r="X317" s="56">
        <f>(31*0.1790888*245000/1000000)+(31*0.2374*100000/1000000)</f>
        <v>2.0961194359999999</v>
      </c>
      <c r="Y317" s="56"/>
      <c r="Z317" s="14"/>
      <c r="AA317" s="55"/>
      <c r="AB317" s="49">
        <f>(B317*194.205+C317*267.466+D317*133.845+E317*53.484+F317*40+G317*185+H317*0+I317*100+J317*300)/(194.205+267.466+133.845+53.484+0+40+185+100+300)</f>
        <v>14.967014438147565</v>
      </c>
      <c r="AC317" s="44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14.709267625899281</v>
      </c>
    </row>
    <row r="318" spans="1:29" ht="15.75" x14ac:dyDescent="0.25">
      <c r="A318" s="32">
        <v>50586</v>
      </c>
      <c r="B318" s="14">
        <f>CHOOSE(CONTROL!$C$42, 15.3348, 15.3348) * CHOOSE(CONTROL!$C$21, $C$9, 100%, $E$9)</f>
        <v>15.3348</v>
      </c>
      <c r="C318" s="14">
        <f>CHOOSE(CONTROL!$C$42, 15.3428, 15.3428) * CHOOSE(CONTROL!$C$21, $C$9, 100%, $E$9)</f>
        <v>15.3428</v>
      </c>
      <c r="D318" s="14">
        <f>CHOOSE(CONTROL!$C$42, 15.5686, 15.5686) * CHOOSE(CONTROL!$C$21, $C$9, 100%, $E$9)</f>
        <v>15.5686</v>
      </c>
      <c r="E318" s="14">
        <f>CHOOSE(CONTROL!$C$42, 15.6, 15.6) * CHOOSE(CONTROL!$C$21, $C$9, 100%, $E$9)</f>
        <v>15.6</v>
      </c>
      <c r="F318" s="14">
        <f>CHOOSE(CONTROL!$C$42, 15.3609, 15.3609)*CHOOSE(CONTROL!$C$21, $C$9, 100%, $E$9)</f>
        <v>15.360900000000001</v>
      </c>
      <c r="G318" s="14">
        <f>CHOOSE(CONTROL!$C$42, 15.3779, 15.3779)*CHOOSE(CONTROL!$C$21, $C$9, 100%, $E$9)</f>
        <v>15.3779</v>
      </c>
      <c r="H318" s="14">
        <f>CHOOSE(CONTROL!$C$42, 15.5887, 15.5887) * CHOOSE(CONTROL!$C$21, $C$9, 100%, $E$9)</f>
        <v>15.588699999999999</v>
      </c>
      <c r="I318" s="14">
        <f>CHOOSE(CONTROL!$C$42, 15.4143, 15.4143)* CHOOSE(CONTROL!$C$21, $C$9, 100%, $E$9)</f>
        <v>15.414300000000001</v>
      </c>
      <c r="J318" s="14">
        <f>CHOOSE(CONTROL!$C$42, 15.3539, 15.3539)* CHOOSE(CONTROL!$C$21, $C$9, 100%, $E$9)</f>
        <v>15.353899999999999</v>
      </c>
      <c r="K318" s="52">
        <f>CHOOSE(CONTROL!$C$42, 15.4104, 15.4104) * CHOOSE(CONTROL!$C$21, $C$9, 100%, $E$9)</f>
        <v>15.410399999999999</v>
      </c>
      <c r="L318" s="14">
        <f>CHOOSE(CONTROL!$C$42, 16.1757, 16.1757) * CHOOSE(CONTROL!$C$21, $C$9, 100%, $E$9)</f>
        <v>16.175699999999999</v>
      </c>
      <c r="M318" s="14">
        <f>CHOOSE(CONTROL!$C$42, 15.047, 15.047) * CHOOSE(CONTROL!$C$21, $C$9, 100%, $E$9)</f>
        <v>15.047000000000001</v>
      </c>
      <c r="N318" s="14">
        <f>CHOOSE(CONTROL!$C$42, 15.0637, 15.0637) * CHOOSE(CONTROL!$C$21, $C$9, 100%, $E$9)</f>
        <v>15.063700000000001</v>
      </c>
      <c r="O318" s="14">
        <f>CHOOSE(CONTROL!$C$42, 15.277, 15.277) * CHOOSE(CONTROL!$C$21, $C$9, 100%, $E$9)</f>
        <v>15.276999999999999</v>
      </c>
      <c r="P318" s="14">
        <f>CHOOSE(CONTROL!$C$42, 15.1053, 15.1053) * CHOOSE(CONTROL!$C$21, $C$9, 100%, $E$9)</f>
        <v>15.1053</v>
      </c>
      <c r="Q318" s="14">
        <f>CHOOSE(CONTROL!$C$42, 15.8717, 15.8717) * CHOOSE(CONTROL!$C$21, $C$9, 100%, $E$9)</f>
        <v>15.871700000000001</v>
      </c>
      <c r="R318" s="14">
        <f>CHOOSE(CONTROL!$C$42, 16.4983, 16.4983) * CHOOSE(CONTROL!$C$21, $C$9, 100%, $E$9)</f>
        <v>16.4983</v>
      </c>
      <c r="S318" s="14">
        <f>CHOOSE(CONTROL!$C$42, 14.7245, 14.7245) * CHOOSE(CONTROL!$C$21, $C$9, 100%, $E$9)</f>
        <v>14.724500000000001</v>
      </c>
      <c r="T31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56">
        <f>(1000*CHOOSE(CONTROL!$C$42, 695, 695)*CHOOSE(CONTROL!$C$42, 0.5599, 0.5599)*CHOOSE(CONTROL!$C$42, 30, 30))/1000000</f>
        <v>11.673914999999997</v>
      </c>
      <c r="V318" s="56">
        <f>(1000*CHOOSE(CONTROL!$C$42, 500, 500)*CHOOSE(CONTROL!$C$42, 0.275, 0.275)*CHOOSE(CONTROL!$C$42, 30, 30))/1000000</f>
        <v>4.125</v>
      </c>
      <c r="W318" s="56">
        <f>(1000*CHOOSE(CONTROL!$C$42, 0.1146, 0.1146)*CHOOSE(CONTROL!$C$42, 121.5, 121.5)*CHOOSE(CONTROL!$C$42, 30, 30))/1000000</f>
        <v>0.417717</v>
      </c>
      <c r="X318" s="56">
        <f>(30*0.1790888*245000/1000000)+(30*0.2374*100000/1000000)</f>
        <v>2.0285026799999999</v>
      </c>
      <c r="Y318" s="56"/>
      <c r="Z318" s="14"/>
      <c r="AA318" s="55"/>
      <c r="AB318" s="49">
        <f>(B318*194.205+C318*267.466+D318*133.845+E318*53.484+F318*40+G318*185+H318*0+I318*100+J318*300)/(194.205+267.466+133.845+53.484+0+40+185+100+300)</f>
        <v>15.389991637205652</v>
      </c>
      <c r="AC318" s="44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15.123765467625899</v>
      </c>
    </row>
    <row r="319" spans="1:29" ht="15.75" x14ac:dyDescent="0.25">
      <c r="A319" s="32">
        <v>50617</v>
      </c>
      <c r="B319" s="14">
        <f>CHOOSE(CONTROL!$C$42, 15.0408, 15.0408) * CHOOSE(CONTROL!$C$21, $C$9, 100%, $E$9)</f>
        <v>15.040800000000001</v>
      </c>
      <c r="C319" s="14">
        <f>CHOOSE(CONTROL!$C$42, 15.0488, 15.0488) * CHOOSE(CONTROL!$C$21, $C$9, 100%, $E$9)</f>
        <v>15.0488</v>
      </c>
      <c r="D319" s="14">
        <f>CHOOSE(CONTROL!$C$42, 15.2746, 15.2746) * CHOOSE(CONTROL!$C$21, $C$9, 100%, $E$9)</f>
        <v>15.2746</v>
      </c>
      <c r="E319" s="14">
        <f>CHOOSE(CONTROL!$C$42, 15.3061, 15.3061) * CHOOSE(CONTROL!$C$21, $C$9, 100%, $E$9)</f>
        <v>15.306100000000001</v>
      </c>
      <c r="F319" s="14">
        <f>CHOOSE(CONTROL!$C$42, 15.0674, 15.0674)*CHOOSE(CONTROL!$C$21, $C$9, 100%, $E$9)</f>
        <v>15.067399999999999</v>
      </c>
      <c r="G319" s="14">
        <f>CHOOSE(CONTROL!$C$42, 15.0846, 15.0846)*CHOOSE(CONTROL!$C$21, $C$9, 100%, $E$9)</f>
        <v>15.0846</v>
      </c>
      <c r="H319" s="14">
        <f>CHOOSE(CONTROL!$C$42, 15.2947, 15.2947) * CHOOSE(CONTROL!$C$21, $C$9, 100%, $E$9)</f>
        <v>15.294700000000001</v>
      </c>
      <c r="I319" s="14">
        <f>CHOOSE(CONTROL!$C$42, 15.1194, 15.1194)* CHOOSE(CONTROL!$C$21, $C$9, 100%, $E$9)</f>
        <v>15.119400000000001</v>
      </c>
      <c r="J319" s="14">
        <f>CHOOSE(CONTROL!$C$42, 15.0604, 15.0604)* CHOOSE(CONTROL!$C$21, $C$9, 100%, $E$9)</f>
        <v>15.0604</v>
      </c>
      <c r="K319" s="52">
        <f>CHOOSE(CONTROL!$C$42, 15.1156, 15.1156) * CHOOSE(CONTROL!$C$21, $C$9, 100%, $E$9)</f>
        <v>15.115600000000001</v>
      </c>
      <c r="L319" s="14">
        <f>CHOOSE(CONTROL!$C$42, 15.8817, 15.8817) * CHOOSE(CONTROL!$C$21, $C$9, 100%, $E$9)</f>
        <v>15.8817</v>
      </c>
      <c r="M319" s="14">
        <f>CHOOSE(CONTROL!$C$42, 14.7595, 14.7595) * CHOOSE(CONTROL!$C$21, $C$9, 100%, $E$9)</f>
        <v>14.759499999999999</v>
      </c>
      <c r="N319" s="14">
        <f>CHOOSE(CONTROL!$C$42, 14.7763, 14.7763) * CHOOSE(CONTROL!$C$21, $C$9, 100%, $E$9)</f>
        <v>14.776300000000001</v>
      </c>
      <c r="O319" s="14">
        <f>CHOOSE(CONTROL!$C$42, 14.989, 14.989) * CHOOSE(CONTROL!$C$21, $C$9, 100%, $E$9)</f>
        <v>14.989000000000001</v>
      </c>
      <c r="P319" s="14">
        <f>CHOOSE(CONTROL!$C$42, 14.8165, 14.8165) * CHOOSE(CONTROL!$C$21, $C$9, 100%, $E$9)</f>
        <v>14.8165</v>
      </c>
      <c r="Q319" s="14">
        <f>CHOOSE(CONTROL!$C$42, 15.5837, 15.5837) * CHOOSE(CONTROL!$C$21, $C$9, 100%, $E$9)</f>
        <v>15.5837</v>
      </c>
      <c r="R319" s="14">
        <f>CHOOSE(CONTROL!$C$42, 16.2097, 16.2097) * CHOOSE(CONTROL!$C$21, $C$9, 100%, $E$9)</f>
        <v>16.209700000000002</v>
      </c>
      <c r="S319" s="14">
        <f>CHOOSE(CONTROL!$C$42, 14.4421, 14.4421) * CHOOSE(CONTROL!$C$21, $C$9, 100%, $E$9)</f>
        <v>14.4421</v>
      </c>
      <c r="T31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56">
        <f>(1000*CHOOSE(CONTROL!$C$42, 695, 695)*CHOOSE(CONTROL!$C$42, 0.5599, 0.5599)*CHOOSE(CONTROL!$C$42, 31, 31))/1000000</f>
        <v>12.063045499999998</v>
      </c>
      <c r="V319" s="56">
        <f>(1000*CHOOSE(CONTROL!$C$42, 500, 500)*CHOOSE(CONTROL!$C$42, 0.275, 0.275)*CHOOSE(CONTROL!$C$42, 31, 31))/1000000</f>
        <v>4.2625000000000002</v>
      </c>
      <c r="W319" s="56">
        <f>(1000*CHOOSE(CONTROL!$C$42, 0.1146, 0.1146)*CHOOSE(CONTROL!$C$42, 121.5, 121.5)*CHOOSE(CONTROL!$C$42, 31, 31))/1000000</f>
        <v>0.43164089999999994</v>
      </c>
      <c r="X319" s="56">
        <f>(31*0.1790888*245000/1000000)+(31*0.2374*100000/1000000)</f>
        <v>2.0961194359999999</v>
      </c>
      <c r="Y319" s="56"/>
      <c r="Z319" s="14"/>
      <c r="AA319" s="55"/>
      <c r="AB319" s="49">
        <f>(B319*194.205+C319*267.466+D319*133.845+E319*53.484+F319*40+G319*185+H319*0+I319*100+J319*300)/(194.205+267.466+133.845+53.484+0+40+185+100+300)</f>
        <v>15.096160278021978</v>
      </c>
      <c r="AC319" s="44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14.835961151079134</v>
      </c>
    </row>
    <row r="320" spans="1:29" ht="15.75" x14ac:dyDescent="0.25">
      <c r="A320" s="32">
        <v>50648</v>
      </c>
      <c r="B320" s="14">
        <f>CHOOSE(CONTROL!$C$42, 14.2984, 14.2984) * CHOOSE(CONTROL!$C$21, $C$9, 100%, $E$9)</f>
        <v>14.298400000000001</v>
      </c>
      <c r="C320" s="14">
        <f>CHOOSE(CONTROL!$C$42, 14.3065, 14.3065) * CHOOSE(CONTROL!$C$21, $C$9, 100%, $E$9)</f>
        <v>14.3065</v>
      </c>
      <c r="D320" s="14">
        <f>CHOOSE(CONTROL!$C$42, 14.5323, 14.5323) * CHOOSE(CONTROL!$C$21, $C$9, 100%, $E$9)</f>
        <v>14.532299999999999</v>
      </c>
      <c r="E320" s="14">
        <f>CHOOSE(CONTROL!$C$42, 14.5637, 14.5637) * CHOOSE(CONTROL!$C$21, $C$9, 100%, $E$9)</f>
        <v>14.563700000000001</v>
      </c>
      <c r="F320" s="14">
        <f>CHOOSE(CONTROL!$C$42, 14.3253, 14.3253)*CHOOSE(CONTROL!$C$21, $C$9, 100%, $E$9)</f>
        <v>14.3253</v>
      </c>
      <c r="G320" s="14">
        <f>CHOOSE(CONTROL!$C$42, 14.3425, 14.3425)*CHOOSE(CONTROL!$C$21, $C$9, 100%, $E$9)</f>
        <v>14.342499999999999</v>
      </c>
      <c r="H320" s="14">
        <f>CHOOSE(CONTROL!$C$42, 14.5524, 14.5524) * CHOOSE(CONTROL!$C$21, $C$9, 100%, $E$9)</f>
        <v>14.5524</v>
      </c>
      <c r="I320" s="14">
        <f>CHOOSE(CONTROL!$C$42, 14.3748, 14.3748)* CHOOSE(CONTROL!$C$21, $C$9, 100%, $E$9)</f>
        <v>14.3748</v>
      </c>
      <c r="J320" s="14">
        <f>CHOOSE(CONTROL!$C$42, 14.3183, 14.3183)* CHOOSE(CONTROL!$C$21, $C$9, 100%, $E$9)</f>
        <v>14.318300000000001</v>
      </c>
      <c r="K320" s="52">
        <f>CHOOSE(CONTROL!$C$42, 14.3709, 14.3709) * CHOOSE(CONTROL!$C$21, $C$9, 100%, $E$9)</f>
        <v>14.370900000000001</v>
      </c>
      <c r="L320" s="14">
        <f>CHOOSE(CONTROL!$C$42, 15.1394, 15.1394) * CHOOSE(CONTROL!$C$21, $C$9, 100%, $E$9)</f>
        <v>15.1394</v>
      </c>
      <c r="M320" s="14">
        <f>CHOOSE(CONTROL!$C$42, 14.0326, 14.0326) * CHOOSE(CONTROL!$C$21, $C$9, 100%, $E$9)</f>
        <v>14.0326</v>
      </c>
      <c r="N320" s="14">
        <f>CHOOSE(CONTROL!$C$42, 14.0495, 14.0495) * CHOOSE(CONTROL!$C$21, $C$9, 100%, $E$9)</f>
        <v>14.0495</v>
      </c>
      <c r="O320" s="14">
        <f>CHOOSE(CONTROL!$C$42, 14.2619, 14.2619) * CHOOSE(CONTROL!$C$21, $C$9, 100%, $E$9)</f>
        <v>14.261900000000001</v>
      </c>
      <c r="P320" s="14">
        <f>CHOOSE(CONTROL!$C$42, 14.0871, 14.0871) * CHOOSE(CONTROL!$C$21, $C$9, 100%, $E$9)</f>
        <v>14.0871</v>
      </c>
      <c r="Q320" s="14">
        <f>CHOOSE(CONTROL!$C$42, 14.8566, 14.8566) * CHOOSE(CONTROL!$C$21, $C$9, 100%, $E$9)</f>
        <v>14.8566</v>
      </c>
      <c r="R320" s="14">
        <f>CHOOSE(CONTROL!$C$42, 15.4807, 15.4807) * CHOOSE(CONTROL!$C$21, $C$9, 100%, $E$9)</f>
        <v>15.480700000000001</v>
      </c>
      <c r="S320" s="14">
        <f>CHOOSE(CONTROL!$C$42, 13.7287, 13.7287) * CHOOSE(CONTROL!$C$21, $C$9, 100%, $E$9)</f>
        <v>13.7287</v>
      </c>
      <c r="T32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56">
        <f>(1000*CHOOSE(CONTROL!$C$42, 695, 695)*CHOOSE(CONTROL!$C$42, 0.5599, 0.5599)*CHOOSE(CONTROL!$C$42, 31, 31))/1000000</f>
        <v>12.063045499999998</v>
      </c>
      <c r="V320" s="56">
        <f>(1000*CHOOSE(CONTROL!$C$42, 500, 500)*CHOOSE(CONTROL!$C$42, 0.275, 0.275)*CHOOSE(CONTROL!$C$42, 31, 31))/1000000</f>
        <v>4.2625000000000002</v>
      </c>
      <c r="W320" s="56">
        <f>(1000*CHOOSE(CONTROL!$C$42, 0.1146, 0.1146)*CHOOSE(CONTROL!$C$42, 121.5, 121.5)*CHOOSE(CONTROL!$C$42, 31, 31))/1000000</f>
        <v>0.43164089999999994</v>
      </c>
      <c r="X320" s="56">
        <f>(31*0.1790888*245000/1000000)+(31*0.2374*100000/1000000)</f>
        <v>2.0961194359999999</v>
      </c>
      <c r="Y320" s="56"/>
      <c r="Z320" s="14"/>
      <c r="AA320" s="55"/>
      <c r="AB320" s="49">
        <f>(B320*194.205+C320*267.466+D320*133.845+E320*53.484+F320*40+G320*185+H320*0+I320*100+J320*300)/(194.205+267.466+133.845+53.484+0+40+185+100+300)</f>
        <v>14.353742720015699</v>
      </c>
      <c r="AC320" s="44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14.108668345323741</v>
      </c>
    </row>
    <row r="321" spans="1:29" ht="15.75" x14ac:dyDescent="0.25">
      <c r="A321" s="32">
        <v>50678</v>
      </c>
      <c r="B321" s="14">
        <f>CHOOSE(CONTROL!$C$42, 13.3912, 13.3912) * CHOOSE(CONTROL!$C$21, $C$9, 100%, $E$9)</f>
        <v>13.3912</v>
      </c>
      <c r="C321" s="14">
        <f>CHOOSE(CONTROL!$C$42, 13.3992, 13.3992) * CHOOSE(CONTROL!$C$21, $C$9, 100%, $E$9)</f>
        <v>13.3992</v>
      </c>
      <c r="D321" s="14">
        <f>CHOOSE(CONTROL!$C$42, 13.625, 13.625) * CHOOSE(CONTROL!$C$21, $C$9, 100%, $E$9)</f>
        <v>13.625</v>
      </c>
      <c r="E321" s="14">
        <f>CHOOSE(CONTROL!$C$42, 13.6565, 13.6565) * CHOOSE(CONTROL!$C$21, $C$9, 100%, $E$9)</f>
        <v>13.656499999999999</v>
      </c>
      <c r="F321" s="14">
        <f>CHOOSE(CONTROL!$C$42, 13.418, 13.418)*CHOOSE(CONTROL!$C$21, $C$9, 100%, $E$9)</f>
        <v>13.417999999999999</v>
      </c>
      <c r="G321" s="14">
        <f>CHOOSE(CONTROL!$C$42, 13.4353, 13.4353)*CHOOSE(CONTROL!$C$21, $C$9, 100%, $E$9)</f>
        <v>13.4353</v>
      </c>
      <c r="H321" s="14">
        <f>CHOOSE(CONTROL!$C$42, 13.6451, 13.6451) * CHOOSE(CONTROL!$C$21, $C$9, 100%, $E$9)</f>
        <v>13.645099999999999</v>
      </c>
      <c r="I321" s="14">
        <f>CHOOSE(CONTROL!$C$42, 13.4647, 13.4647)* CHOOSE(CONTROL!$C$21, $C$9, 100%, $E$9)</f>
        <v>13.464700000000001</v>
      </c>
      <c r="J321" s="14">
        <f>CHOOSE(CONTROL!$C$42, 13.411, 13.411)* CHOOSE(CONTROL!$C$21, $C$9, 100%, $E$9)</f>
        <v>13.411</v>
      </c>
      <c r="K321" s="52">
        <f>CHOOSE(CONTROL!$C$42, 13.4608, 13.4608) * CHOOSE(CONTROL!$C$21, $C$9, 100%, $E$9)</f>
        <v>13.460800000000001</v>
      </c>
      <c r="L321" s="14">
        <f>CHOOSE(CONTROL!$C$42, 14.2321, 14.2321) * CHOOSE(CONTROL!$C$21, $C$9, 100%, $E$9)</f>
        <v>14.232100000000001</v>
      </c>
      <c r="M321" s="14">
        <f>CHOOSE(CONTROL!$C$42, 13.1439, 13.1439) * CHOOSE(CONTROL!$C$21, $C$9, 100%, $E$9)</f>
        <v>13.1439</v>
      </c>
      <c r="N321" s="14">
        <f>CHOOSE(CONTROL!$C$42, 13.1608, 13.1608) * CHOOSE(CONTROL!$C$21, $C$9, 100%, $E$9)</f>
        <v>13.1608</v>
      </c>
      <c r="O321" s="14">
        <f>CHOOSE(CONTROL!$C$42, 13.3732, 13.3732) * CHOOSE(CONTROL!$C$21, $C$9, 100%, $E$9)</f>
        <v>13.373200000000001</v>
      </c>
      <c r="P321" s="14">
        <f>CHOOSE(CONTROL!$C$42, 13.1957, 13.1957) * CHOOSE(CONTROL!$C$21, $C$9, 100%, $E$9)</f>
        <v>13.1957</v>
      </c>
      <c r="Q321" s="14">
        <f>CHOOSE(CONTROL!$C$42, 13.9679, 13.9679) * CHOOSE(CONTROL!$C$21, $C$9, 100%, $E$9)</f>
        <v>13.9679</v>
      </c>
      <c r="R321" s="14">
        <f>CHOOSE(CONTROL!$C$42, 14.5898, 14.5898) * CHOOSE(CONTROL!$C$21, $C$9, 100%, $E$9)</f>
        <v>14.5898</v>
      </c>
      <c r="S321" s="14">
        <f>CHOOSE(CONTROL!$C$42, 12.857, 12.857) * CHOOSE(CONTROL!$C$21, $C$9, 100%, $E$9)</f>
        <v>12.856999999999999</v>
      </c>
      <c r="T32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56">
        <f>(1000*CHOOSE(CONTROL!$C$42, 695, 695)*CHOOSE(CONTROL!$C$42, 0.5599, 0.5599)*CHOOSE(CONTROL!$C$42, 30, 30))/1000000</f>
        <v>11.673914999999997</v>
      </c>
      <c r="V321" s="56">
        <f>(1000*CHOOSE(CONTROL!$C$42, 500, 500)*CHOOSE(CONTROL!$C$42, 0.275, 0.275)*CHOOSE(CONTROL!$C$42, 30, 30))/1000000</f>
        <v>4.125</v>
      </c>
      <c r="W321" s="56">
        <f>(1000*CHOOSE(CONTROL!$C$42, 0.1146, 0.1146)*CHOOSE(CONTROL!$C$42, 121.5, 121.5)*CHOOSE(CONTROL!$C$42, 30, 30))/1000000</f>
        <v>0.417717</v>
      </c>
      <c r="X321" s="56">
        <f>(30*0.1790888*245000/1000000)+(30*0.2374*100000/1000000)</f>
        <v>2.0285026799999999</v>
      </c>
      <c r="Y321" s="56"/>
      <c r="Z321" s="14"/>
      <c r="AA321" s="55"/>
      <c r="AB321" s="49">
        <f>(B321*194.205+C321*267.466+D321*133.845+E321*53.484+F321*40+G321*185+H321*0+I321*100+J321*300)/(194.205+267.466+133.845+53.484+0+40+185+100+300)</f>
        <v>13.446256902825745</v>
      </c>
      <c r="AC321" s="44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13.219579856115109</v>
      </c>
    </row>
    <row r="322" spans="1:29" ht="15.75" x14ac:dyDescent="0.25">
      <c r="A322" s="32">
        <v>50709</v>
      </c>
      <c r="B322" s="14">
        <f>CHOOSE(CONTROL!$C$42, 13.1178, 13.1178) * CHOOSE(CONTROL!$C$21, $C$9, 100%, $E$9)</f>
        <v>13.117800000000001</v>
      </c>
      <c r="C322" s="14">
        <f>CHOOSE(CONTROL!$C$42, 13.1231, 13.1231) * CHOOSE(CONTROL!$C$21, $C$9, 100%, $E$9)</f>
        <v>13.123100000000001</v>
      </c>
      <c r="D322" s="14">
        <f>CHOOSE(CONTROL!$C$42, 13.3539, 13.3539) * CHOOSE(CONTROL!$C$21, $C$9, 100%, $E$9)</f>
        <v>13.353899999999999</v>
      </c>
      <c r="E322" s="14">
        <f>CHOOSE(CONTROL!$C$42, 13.383, 13.383) * CHOOSE(CONTROL!$C$21, $C$9, 100%, $E$9)</f>
        <v>13.382999999999999</v>
      </c>
      <c r="F322" s="14">
        <f>CHOOSE(CONTROL!$C$42, 13.1467, 13.1467)*CHOOSE(CONTROL!$C$21, $C$9, 100%, $E$9)</f>
        <v>13.146699999999999</v>
      </c>
      <c r="G322" s="14">
        <f>CHOOSE(CONTROL!$C$42, 13.1638, 13.1638)*CHOOSE(CONTROL!$C$21, $C$9, 100%, $E$9)</f>
        <v>13.1638</v>
      </c>
      <c r="H322" s="14">
        <f>CHOOSE(CONTROL!$C$42, 13.3735, 13.3735) * CHOOSE(CONTROL!$C$21, $C$9, 100%, $E$9)</f>
        <v>13.3735</v>
      </c>
      <c r="I322" s="14">
        <f>CHOOSE(CONTROL!$C$42, 13.1922, 13.1922)* CHOOSE(CONTROL!$C$21, $C$9, 100%, $E$9)</f>
        <v>13.1922</v>
      </c>
      <c r="J322" s="14">
        <f>CHOOSE(CONTROL!$C$42, 13.1397, 13.1397)* CHOOSE(CONTROL!$C$21, $C$9, 100%, $E$9)</f>
        <v>13.139699999999999</v>
      </c>
      <c r="K322" s="52">
        <f>CHOOSE(CONTROL!$C$42, 13.1883, 13.1883) * CHOOSE(CONTROL!$C$21, $C$9, 100%, $E$9)</f>
        <v>13.1883</v>
      </c>
      <c r="L322" s="14">
        <f>CHOOSE(CONTROL!$C$42, 13.9605, 13.9605) * CHOOSE(CONTROL!$C$21, $C$9, 100%, $E$9)</f>
        <v>13.9605</v>
      </c>
      <c r="M322" s="14">
        <f>CHOOSE(CONTROL!$C$42, 12.8781, 12.8781) * CHOOSE(CONTROL!$C$21, $C$9, 100%, $E$9)</f>
        <v>12.8781</v>
      </c>
      <c r="N322" s="14">
        <f>CHOOSE(CONTROL!$C$42, 12.8949, 12.8949) * CHOOSE(CONTROL!$C$21, $C$9, 100%, $E$9)</f>
        <v>12.8949</v>
      </c>
      <c r="O322" s="14">
        <f>CHOOSE(CONTROL!$C$42, 13.1071, 13.1071) * CHOOSE(CONTROL!$C$21, $C$9, 100%, $E$9)</f>
        <v>13.107100000000001</v>
      </c>
      <c r="P322" s="14">
        <f>CHOOSE(CONTROL!$C$42, 12.9288, 12.9288) * CHOOSE(CONTROL!$C$21, $C$9, 100%, $E$9)</f>
        <v>12.928800000000001</v>
      </c>
      <c r="Q322" s="14">
        <f>CHOOSE(CONTROL!$C$42, 13.7018, 13.7018) * CHOOSE(CONTROL!$C$21, $C$9, 100%, $E$9)</f>
        <v>13.7018</v>
      </c>
      <c r="R322" s="14">
        <f>CHOOSE(CONTROL!$C$42, 14.3231, 14.3231) * CHOOSE(CONTROL!$C$21, $C$9, 100%, $E$9)</f>
        <v>14.3231</v>
      </c>
      <c r="S322" s="14">
        <f>CHOOSE(CONTROL!$C$42, 12.5959, 12.5959) * CHOOSE(CONTROL!$C$21, $C$9, 100%, $E$9)</f>
        <v>12.5959</v>
      </c>
      <c r="T32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56">
        <f>(1000*CHOOSE(CONTROL!$C$42, 695, 695)*CHOOSE(CONTROL!$C$42, 0.5599, 0.5599)*CHOOSE(CONTROL!$C$42, 31, 31))/1000000</f>
        <v>12.063045499999998</v>
      </c>
      <c r="V322" s="56">
        <f>(1000*CHOOSE(CONTROL!$C$42, 500, 500)*CHOOSE(CONTROL!$C$42, 0.275, 0.275)*CHOOSE(CONTROL!$C$42, 31, 31))/1000000</f>
        <v>4.2625000000000002</v>
      </c>
      <c r="W322" s="56">
        <f>(1000*CHOOSE(CONTROL!$C$42, 0.1146, 0.1146)*CHOOSE(CONTROL!$C$42, 121.5, 121.5)*CHOOSE(CONTROL!$C$42, 31, 31))/1000000</f>
        <v>0.43164089999999994</v>
      </c>
      <c r="X322" s="56">
        <f>(31*0.1790888*245000/1000000)+(31*0.2374*100000/1000000)</f>
        <v>2.0961194359999999</v>
      </c>
      <c r="Y322" s="56"/>
      <c r="Z322" s="14"/>
      <c r="AA322" s="55"/>
      <c r="AB322" s="49">
        <f>(B322*131.881+C322*277.167+D322*79.08+E322*125.872+F322*40+G322*185+H322*0+I322*100+J322*300)/(131.881+277.167+79.08+125.872+0+40+185+100+300)</f>
        <v>13.180105914043583</v>
      </c>
      <c r="AC322" s="44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12.953514388489211</v>
      </c>
    </row>
    <row r="323" spans="1:29" ht="15.75" x14ac:dyDescent="0.25">
      <c r="A323" s="32">
        <v>50739</v>
      </c>
      <c r="B323" s="14">
        <f>CHOOSE(CONTROL!$C$42, 13.4627, 13.4627) * CHOOSE(CONTROL!$C$21, $C$9, 100%, $E$9)</f>
        <v>13.4627</v>
      </c>
      <c r="C323" s="14">
        <f>CHOOSE(CONTROL!$C$42, 13.4678, 13.4678) * CHOOSE(CONTROL!$C$21, $C$9, 100%, $E$9)</f>
        <v>13.4678</v>
      </c>
      <c r="D323" s="14">
        <f>CHOOSE(CONTROL!$C$42, 13.5368, 13.5368) * CHOOSE(CONTROL!$C$21, $C$9, 100%, $E$9)</f>
        <v>13.536799999999999</v>
      </c>
      <c r="E323" s="14">
        <f>CHOOSE(CONTROL!$C$42, 13.5709, 13.5709) * CHOOSE(CONTROL!$C$21, $C$9, 100%, $E$9)</f>
        <v>13.5709</v>
      </c>
      <c r="F323" s="14">
        <f>CHOOSE(CONTROL!$C$42, 13.4983, 13.4983)*CHOOSE(CONTROL!$C$21, $C$9, 100%, $E$9)</f>
        <v>13.4983</v>
      </c>
      <c r="G323" s="14">
        <f>CHOOSE(CONTROL!$C$42, 13.5157, 13.5157)*CHOOSE(CONTROL!$C$21, $C$9, 100%, $E$9)</f>
        <v>13.515700000000001</v>
      </c>
      <c r="H323" s="14">
        <f>CHOOSE(CONTROL!$C$42, 13.5601, 13.5601) * CHOOSE(CONTROL!$C$21, $C$9, 100%, $E$9)</f>
        <v>13.5601</v>
      </c>
      <c r="I323" s="14">
        <f>CHOOSE(CONTROL!$C$42, 13.5412, 13.5412)* CHOOSE(CONTROL!$C$21, $C$9, 100%, $E$9)</f>
        <v>13.5412</v>
      </c>
      <c r="J323" s="14">
        <f>CHOOSE(CONTROL!$C$42, 13.4913, 13.4913)* CHOOSE(CONTROL!$C$21, $C$9, 100%, $E$9)</f>
        <v>13.491300000000001</v>
      </c>
      <c r="K323" s="52">
        <f>CHOOSE(CONTROL!$C$42, 13.5373, 13.5373) * CHOOSE(CONTROL!$C$21, $C$9, 100%, $E$9)</f>
        <v>13.5373</v>
      </c>
      <c r="L323" s="14">
        <f>CHOOSE(CONTROL!$C$42, 14.1471, 14.1471) * CHOOSE(CONTROL!$C$21, $C$9, 100%, $E$9)</f>
        <v>14.1471</v>
      </c>
      <c r="M323" s="14">
        <f>CHOOSE(CONTROL!$C$42, 13.2225, 13.2225) * CHOOSE(CONTROL!$C$21, $C$9, 100%, $E$9)</f>
        <v>13.2225</v>
      </c>
      <c r="N323" s="14">
        <f>CHOOSE(CONTROL!$C$42, 13.2396, 13.2396) * CHOOSE(CONTROL!$C$21, $C$9, 100%, $E$9)</f>
        <v>13.239599999999999</v>
      </c>
      <c r="O323" s="14">
        <f>CHOOSE(CONTROL!$C$42, 13.2899, 13.2899) * CHOOSE(CONTROL!$C$21, $C$9, 100%, $E$9)</f>
        <v>13.289899999999999</v>
      </c>
      <c r="P323" s="14">
        <f>CHOOSE(CONTROL!$C$42, 13.2707, 13.2707) * CHOOSE(CONTROL!$C$21, $C$9, 100%, $E$9)</f>
        <v>13.2707</v>
      </c>
      <c r="Q323" s="14">
        <f>CHOOSE(CONTROL!$C$42, 13.8846, 13.8846) * CHOOSE(CONTROL!$C$21, $C$9, 100%, $E$9)</f>
        <v>13.884600000000001</v>
      </c>
      <c r="R323" s="14">
        <f>CHOOSE(CONTROL!$C$42, 14.5063, 14.5063) * CHOOSE(CONTROL!$C$21, $C$9, 100%, $E$9)</f>
        <v>14.5063</v>
      </c>
      <c r="S323" s="14">
        <f>CHOOSE(CONTROL!$C$42, 12.9278, 12.9278) * CHOOSE(CONTROL!$C$21, $C$9, 100%, $E$9)</f>
        <v>12.9278</v>
      </c>
      <c r="T32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56">
        <f>(1000*CHOOSE(CONTROL!$C$42, 695, 695)*CHOOSE(CONTROL!$C$42, 0.5599, 0.5599)*CHOOSE(CONTROL!$C$42, 30, 30))/1000000</f>
        <v>11.673914999999997</v>
      </c>
      <c r="V323" s="56">
        <f>(1000*CHOOSE(CONTROL!$C$42, 500, 500)*CHOOSE(CONTROL!$C$42, 0.275, 0.275)*CHOOSE(CONTROL!$C$42, 30, 30))/1000000</f>
        <v>4.125</v>
      </c>
      <c r="W323" s="56">
        <f>(1000*CHOOSE(CONTROL!$C$42, 0.1146, 0.1146)*CHOOSE(CONTROL!$C$42, 121.5, 121.5)*CHOOSE(CONTROL!$C$42, 30, 30))/1000000</f>
        <v>0.417717</v>
      </c>
      <c r="X323" s="56">
        <f>(30*0.1790888*100000/1000000)+(30*0.2374*100000/1000000)</f>
        <v>1.2494664</v>
      </c>
      <c r="Y323" s="56"/>
      <c r="Z323" s="14"/>
      <c r="AA323" s="55"/>
      <c r="AB323" s="49">
        <f>(B323*122.58+C323*297.941+D323*89.177+E323*40.302+F323*40+G323*160+H323*0+I323*100+J323*300)/(122.58+297.941+89.177+40.302+0+40+160+100+300)</f>
        <v>13.496458427130435</v>
      </c>
      <c r="AC323" s="44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13.26096762589928</v>
      </c>
    </row>
    <row r="324" spans="1:29" ht="15.75" x14ac:dyDescent="0.25">
      <c r="A324" s="32">
        <v>50770</v>
      </c>
      <c r="B324" s="14">
        <f>CHOOSE(CONTROL!$C$42, 14.3799, 14.3799) * CHOOSE(CONTROL!$C$21, $C$9, 100%, $E$9)</f>
        <v>14.379899999999999</v>
      </c>
      <c r="C324" s="14">
        <f>CHOOSE(CONTROL!$C$42, 14.385, 14.385) * CHOOSE(CONTROL!$C$21, $C$9, 100%, $E$9)</f>
        <v>14.385</v>
      </c>
      <c r="D324" s="14">
        <f>CHOOSE(CONTROL!$C$42, 14.454, 14.454) * CHOOSE(CONTROL!$C$21, $C$9, 100%, $E$9)</f>
        <v>14.454000000000001</v>
      </c>
      <c r="E324" s="14">
        <f>CHOOSE(CONTROL!$C$42, 14.4881, 14.4881) * CHOOSE(CONTROL!$C$21, $C$9, 100%, $E$9)</f>
        <v>14.488099999999999</v>
      </c>
      <c r="F324" s="14">
        <f>CHOOSE(CONTROL!$C$42, 14.4177, 14.4177)*CHOOSE(CONTROL!$C$21, $C$9, 100%, $E$9)</f>
        <v>14.4177</v>
      </c>
      <c r="G324" s="14">
        <f>CHOOSE(CONTROL!$C$42, 14.4357, 14.4357)*CHOOSE(CONTROL!$C$21, $C$9, 100%, $E$9)</f>
        <v>14.435700000000001</v>
      </c>
      <c r="H324" s="14">
        <f>CHOOSE(CONTROL!$C$42, 14.4773, 14.4773) * CHOOSE(CONTROL!$C$21, $C$9, 100%, $E$9)</f>
        <v>14.4773</v>
      </c>
      <c r="I324" s="14">
        <f>CHOOSE(CONTROL!$C$42, 14.4613, 14.4613)* CHOOSE(CONTROL!$C$21, $C$9, 100%, $E$9)</f>
        <v>14.4613</v>
      </c>
      <c r="J324" s="14">
        <f>CHOOSE(CONTROL!$C$42, 14.4107, 14.4107)* CHOOSE(CONTROL!$C$21, $C$9, 100%, $E$9)</f>
        <v>14.4107</v>
      </c>
      <c r="K324" s="52">
        <f>CHOOSE(CONTROL!$C$42, 14.4574, 14.4574) * CHOOSE(CONTROL!$C$21, $C$9, 100%, $E$9)</f>
        <v>14.4574</v>
      </c>
      <c r="L324" s="14">
        <f>CHOOSE(CONTROL!$C$42, 15.0643, 15.0643) * CHOOSE(CONTROL!$C$21, $C$9, 100%, $E$9)</f>
        <v>15.064299999999999</v>
      </c>
      <c r="M324" s="14">
        <f>CHOOSE(CONTROL!$C$42, 14.1232, 14.1232) * CHOOSE(CONTROL!$C$21, $C$9, 100%, $E$9)</f>
        <v>14.123200000000001</v>
      </c>
      <c r="N324" s="14">
        <f>CHOOSE(CONTROL!$C$42, 14.1408, 14.1408) * CHOOSE(CONTROL!$C$21, $C$9, 100%, $E$9)</f>
        <v>14.1408</v>
      </c>
      <c r="O324" s="14">
        <f>CHOOSE(CONTROL!$C$42, 14.1884, 14.1884) * CHOOSE(CONTROL!$C$21, $C$9, 100%, $E$9)</f>
        <v>14.1884</v>
      </c>
      <c r="P324" s="14">
        <f>CHOOSE(CONTROL!$C$42, 14.1718, 14.1718) * CHOOSE(CONTROL!$C$21, $C$9, 100%, $E$9)</f>
        <v>14.171799999999999</v>
      </c>
      <c r="Q324" s="14">
        <f>CHOOSE(CONTROL!$C$42, 14.7831, 14.7831) * CHOOSE(CONTROL!$C$21, $C$9, 100%, $E$9)</f>
        <v>14.783099999999999</v>
      </c>
      <c r="R324" s="14">
        <f>CHOOSE(CONTROL!$C$42, 15.407, 15.407) * CHOOSE(CONTROL!$C$21, $C$9, 100%, $E$9)</f>
        <v>15.407</v>
      </c>
      <c r="S324" s="14">
        <f>CHOOSE(CONTROL!$C$42, 13.8091, 13.8091) * CHOOSE(CONTROL!$C$21, $C$9, 100%, $E$9)</f>
        <v>13.809100000000001</v>
      </c>
      <c r="T32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56">
        <f>(1000*CHOOSE(CONTROL!$C$42, 695, 695)*CHOOSE(CONTROL!$C$42, 0.5599, 0.5599)*CHOOSE(CONTROL!$C$42, 31, 31))/1000000</f>
        <v>12.063045499999998</v>
      </c>
      <c r="V324" s="56">
        <f>(1000*CHOOSE(CONTROL!$C$42, 500, 500)*CHOOSE(CONTROL!$C$42, 0.275, 0.275)*CHOOSE(CONTROL!$C$42, 31, 31))/1000000</f>
        <v>4.2625000000000002</v>
      </c>
      <c r="W324" s="56">
        <f>(1000*CHOOSE(CONTROL!$C$42, 0.1146, 0.1146)*CHOOSE(CONTROL!$C$42, 121.5, 121.5)*CHOOSE(CONTROL!$C$42, 31, 31))/1000000</f>
        <v>0.43164089999999994</v>
      </c>
      <c r="X324" s="56">
        <f>(31*0.1790888*100000/1000000)+(31*0.2374*100000/1000000)</f>
        <v>1.2911152800000001</v>
      </c>
      <c r="Y324" s="56"/>
      <c r="Z324" s="14"/>
      <c r="AA324" s="55"/>
      <c r="AB324" s="49">
        <f>(B324*122.58+C324*297.941+D324*89.177+E324*40.302+F324*40+G324*160+H324*0+I324*100+J324*300)/(122.58+297.941+89.177+40.302+0+40+160+100+300)</f>
        <v>14.414950601043479</v>
      </c>
      <c r="AC324" s="44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14.160756834532375</v>
      </c>
    </row>
    <row r="325" spans="1:29" ht="15.75" x14ac:dyDescent="0.25">
      <c r="A325" s="32">
        <v>50801</v>
      </c>
      <c r="B325" s="14">
        <f>CHOOSE(CONTROL!$C$42, 15.5712, 15.5712) * CHOOSE(CONTROL!$C$21, $C$9, 100%, $E$9)</f>
        <v>15.571199999999999</v>
      </c>
      <c r="C325" s="14">
        <f>CHOOSE(CONTROL!$C$42, 15.5763, 15.5763) * CHOOSE(CONTROL!$C$21, $C$9, 100%, $E$9)</f>
        <v>15.5763</v>
      </c>
      <c r="D325" s="14">
        <f>CHOOSE(CONTROL!$C$42, 15.6557, 15.6557) * CHOOSE(CONTROL!$C$21, $C$9, 100%, $E$9)</f>
        <v>15.6557</v>
      </c>
      <c r="E325" s="14">
        <f>CHOOSE(CONTROL!$C$42, 15.6898, 15.6898) * CHOOSE(CONTROL!$C$21, $C$9, 100%, $E$9)</f>
        <v>15.6898</v>
      </c>
      <c r="F325" s="14">
        <f>CHOOSE(CONTROL!$C$42, 15.5942, 15.5942)*CHOOSE(CONTROL!$C$21, $C$9, 100%, $E$9)</f>
        <v>15.594200000000001</v>
      </c>
      <c r="G325" s="14">
        <f>CHOOSE(CONTROL!$C$42, 15.6118, 15.6118)*CHOOSE(CONTROL!$C$21, $C$9, 100%, $E$9)</f>
        <v>15.611800000000001</v>
      </c>
      <c r="H325" s="14">
        <f>CHOOSE(CONTROL!$C$42, 15.679, 15.679) * CHOOSE(CONTROL!$C$21, $C$9, 100%, $E$9)</f>
        <v>15.679</v>
      </c>
      <c r="I325" s="14">
        <f>CHOOSE(CONTROL!$C$42, 15.6553, 15.6553)* CHOOSE(CONTROL!$C$21, $C$9, 100%, $E$9)</f>
        <v>15.6553</v>
      </c>
      <c r="J325" s="14">
        <f>CHOOSE(CONTROL!$C$42, 15.5872, 15.5872)* CHOOSE(CONTROL!$C$21, $C$9, 100%, $E$9)</f>
        <v>15.587199999999999</v>
      </c>
      <c r="K325" s="52">
        <f>CHOOSE(CONTROL!$C$42, 15.6514, 15.6514) * CHOOSE(CONTROL!$C$21, $C$9, 100%, $E$9)</f>
        <v>15.651400000000001</v>
      </c>
      <c r="L325" s="14">
        <f>CHOOSE(CONTROL!$C$42, 16.266, 16.266) * CHOOSE(CONTROL!$C$21, $C$9, 100%, $E$9)</f>
        <v>16.265999999999998</v>
      </c>
      <c r="M325" s="14">
        <f>CHOOSE(CONTROL!$C$42, 15.2756, 15.2756) * CHOOSE(CONTROL!$C$21, $C$9, 100%, $E$9)</f>
        <v>15.275600000000001</v>
      </c>
      <c r="N325" s="14">
        <f>CHOOSE(CONTROL!$C$42, 15.2927, 15.2927) * CHOOSE(CONTROL!$C$21, $C$9, 100%, $E$9)</f>
        <v>15.2927</v>
      </c>
      <c r="O325" s="14">
        <f>CHOOSE(CONTROL!$C$42, 15.3655, 15.3655) * CHOOSE(CONTROL!$C$21, $C$9, 100%, $E$9)</f>
        <v>15.365500000000001</v>
      </c>
      <c r="P325" s="14">
        <f>CHOOSE(CONTROL!$C$42, 15.3413, 15.3413) * CHOOSE(CONTROL!$C$21, $C$9, 100%, $E$9)</f>
        <v>15.3413</v>
      </c>
      <c r="Q325" s="14">
        <f>CHOOSE(CONTROL!$C$42, 15.9602, 15.9602) * CHOOSE(CONTROL!$C$21, $C$9, 100%, $E$9)</f>
        <v>15.9602</v>
      </c>
      <c r="R325" s="14">
        <f>CHOOSE(CONTROL!$C$42, 16.5871, 16.5871) * CHOOSE(CONTROL!$C$21, $C$9, 100%, $E$9)</f>
        <v>16.5871</v>
      </c>
      <c r="S325" s="14">
        <f>CHOOSE(CONTROL!$C$42, 14.9538, 14.9538) * CHOOSE(CONTROL!$C$21, $C$9, 100%, $E$9)</f>
        <v>14.953799999999999</v>
      </c>
      <c r="T32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56">
        <f>(1000*CHOOSE(CONTROL!$C$42, 695, 695)*CHOOSE(CONTROL!$C$42, 0.5599, 0.5599)*CHOOSE(CONTROL!$C$42, 31, 31))/1000000</f>
        <v>12.063045499999998</v>
      </c>
      <c r="V325" s="56">
        <f>(1000*CHOOSE(CONTROL!$C$42, 500, 500)*CHOOSE(CONTROL!$C$42, 0.275, 0.275)*CHOOSE(CONTROL!$C$42, 31, 31))/1000000</f>
        <v>4.2625000000000002</v>
      </c>
      <c r="W325" s="56">
        <f>(1000*CHOOSE(CONTROL!$C$42, 0.1146, 0.1146)*CHOOSE(CONTROL!$C$42, 121.5, 121.5)*CHOOSE(CONTROL!$C$42, 31, 31))/1000000</f>
        <v>0.43164089999999994</v>
      </c>
      <c r="X325" s="56">
        <f>(31*0.1790888*100000/1000000)+(31*0.2374*100000/1000000)</f>
        <v>1.2911152800000001</v>
      </c>
      <c r="Y325" s="56"/>
      <c r="Z325" s="14"/>
      <c r="AA325" s="55"/>
      <c r="AB325" s="49">
        <f>(B325*122.58+C325*297.941+D325*89.177+E325*40.302+F325*40+G325*160+H325*0+I325*100+J325*300)/(122.58+297.941+89.177+40.302+0+40+160+100+300)</f>
        <v>15.601165889391305</v>
      </c>
      <c r="AC325" s="44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15.326783453237409</v>
      </c>
    </row>
    <row r="326" spans="1:29" ht="15.75" x14ac:dyDescent="0.25">
      <c r="A326" s="32">
        <v>50829</v>
      </c>
      <c r="B326" s="14">
        <f>CHOOSE(CONTROL!$C$42, 15.8482, 15.8482) * CHOOSE(CONTROL!$C$21, $C$9, 100%, $E$9)</f>
        <v>15.8482</v>
      </c>
      <c r="C326" s="14">
        <f>CHOOSE(CONTROL!$C$42, 15.8533, 15.8533) * CHOOSE(CONTROL!$C$21, $C$9, 100%, $E$9)</f>
        <v>15.853300000000001</v>
      </c>
      <c r="D326" s="14">
        <f>CHOOSE(CONTROL!$C$42, 15.9327, 15.9327) * CHOOSE(CONTROL!$C$21, $C$9, 100%, $E$9)</f>
        <v>15.932700000000001</v>
      </c>
      <c r="E326" s="14">
        <f>CHOOSE(CONTROL!$C$42, 15.9668, 15.9668) * CHOOSE(CONTROL!$C$21, $C$9, 100%, $E$9)</f>
        <v>15.966799999999999</v>
      </c>
      <c r="F326" s="14">
        <f>CHOOSE(CONTROL!$C$42, 15.871, 15.871)*CHOOSE(CONTROL!$C$21, $C$9, 100%, $E$9)</f>
        <v>15.871</v>
      </c>
      <c r="G326" s="14">
        <f>CHOOSE(CONTROL!$C$42, 15.8885, 15.8885)*CHOOSE(CONTROL!$C$21, $C$9, 100%, $E$9)</f>
        <v>15.888500000000001</v>
      </c>
      <c r="H326" s="14">
        <f>CHOOSE(CONTROL!$C$42, 15.956, 15.956) * CHOOSE(CONTROL!$C$21, $C$9, 100%, $E$9)</f>
        <v>15.956</v>
      </c>
      <c r="I326" s="14">
        <f>CHOOSE(CONTROL!$C$42, 15.9332, 15.9332)* CHOOSE(CONTROL!$C$21, $C$9, 100%, $E$9)</f>
        <v>15.933199999999999</v>
      </c>
      <c r="J326" s="14">
        <f>CHOOSE(CONTROL!$C$42, 15.864, 15.864)* CHOOSE(CONTROL!$C$21, $C$9, 100%, $E$9)</f>
        <v>15.864000000000001</v>
      </c>
      <c r="K326" s="52">
        <f>CHOOSE(CONTROL!$C$42, 15.9293, 15.9293) * CHOOSE(CONTROL!$C$21, $C$9, 100%, $E$9)</f>
        <v>15.9293</v>
      </c>
      <c r="L326" s="14">
        <f>CHOOSE(CONTROL!$C$42, 16.543, 16.543) * CHOOSE(CONTROL!$C$21, $C$9, 100%, $E$9)</f>
        <v>16.542999999999999</v>
      </c>
      <c r="M326" s="14">
        <f>CHOOSE(CONTROL!$C$42, 15.5467, 15.5467) * CHOOSE(CONTROL!$C$21, $C$9, 100%, $E$9)</f>
        <v>15.5467</v>
      </c>
      <c r="N326" s="14">
        <f>CHOOSE(CONTROL!$C$42, 15.5638, 15.5638) * CHOOSE(CONTROL!$C$21, $C$9, 100%, $E$9)</f>
        <v>15.563800000000001</v>
      </c>
      <c r="O326" s="14">
        <f>CHOOSE(CONTROL!$C$42, 15.6368, 15.6368) * CHOOSE(CONTROL!$C$21, $C$9, 100%, $E$9)</f>
        <v>15.636799999999999</v>
      </c>
      <c r="P326" s="14">
        <f>CHOOSE(CONTROL!$C$42, 15.6135, 15.6135) * CHOOSE(CONTROL!$C$21, $C$9, 100%, $E$9)</f>
        <v>15.6135</v>
      </c>
      <c r="Q326" s="14">
        <f>CHOOSE(CONTROL!$C$42, 16.2315, 16.2315) * CHOOSE(CONTROL!$C$21, $C$9, 100%, $E$9)</f>
        <v>16.2315</v>
      </c>
      <c r="R326" s="14">
        <f>CHOOSE(CONTROL!$C$42, 16.8591, 16.8591) * CHOOSE(CONTROL!$C$21, $C$9, 100%, $E$9)</f>
        <v>16.859100000000002</v>
      </c>
      <c r="S326" s="14">
        <f>CHOOSE(CONTROL!$C$42, 15.22, 15.22) * CHOOSE(CONTROL!$C$21, $C$9, 100%, $E$9)</f>
        <v>15.22</v>
      </c>
      <c r="T32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26" s="56">
        <f>(1000*CHOOSE(CONTROL!$C$42, 695, 695)*CHOOSE(CONTROL!$C$42, 0.5599, 0.5599)*CHOOSE(CONTROL!$C$42, 28, 28))/1000000</f>
        <v>10.895653999999999</v>
      </c>
      <c r="V326" s="56">
        <f>(1000*CHOOSE(CONTROL!$C$42, 500, 500)*CHOOSE(CONTROL!$C$42, 0.275, 0.275)*CHOOSE(CONTROL!$C$42, 28, 28))/1000000</f>
        <v>3.85</v>
      </c>
      <c r="W326" s="56">
        <f>(1000*CHOOSE(CONTROL!$C$42, 0.1146, 0.1146)*CHOOSE(CONTROL!$C$42, 121.5, 121.5)*CHOOSE(CONTROL!$C$42, 28, 28))/1000000</f>
        <v>0.38986920000000003</v>
      </c>
      <c r="X326" s="56">
        <f>(28*0.1790888*100000/1000000)+(28*0.2374*100000/1000000)</f>
        <v>1.16616864</v>
      </c>
      <c r="Y326" s="56"/>
      <c r="Z326" s="14"/>
      <c r="AA326" s="55"/>
      <c r="AB326" s="49">
        <f>(B326*122.58+C326*297.941+D326*89.177+E326*40.302+F326*40+G326*160+H326*0+I326*100+J326*300)/(122.58+297.941+89.177+40.302+0+40+160+100+300)</f>
        <v>15.878143280695651</v>
      </c>
      <c r="AC326" s="44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15.598132374100718</v>
      </c>
    </row>
    <row r="327" spans="1:29" ht="15.75" x14ac:dyDescent="0.25">
      <c r="A327" s="32">
        <v>50860</v>
      </c>
      <c r="B327" s="14">
        <f>CHOOSE(CONTROL!$C$42, 15.3986, 15.3986) * CHOOSE(CONTROL!$C$21, $C$9, 100%, $E$9)</f>
        <v>15.3986</v>
      </c>
      <c r="C327" s="14">
        <f>CHOOSE(CONTROL!$C$42, 15.4036, 15.4036) * CHOOSE(CONTROL!$C$21, $C$9, 100%, $E$9)</f>
        <v>15.403600000000001</v>
      </c>
      <c r="D327" s="14">
        <f>CHOOSE(CONTROL!$C$42, 15.4831, 15.4831) * CHOOSE(CONTROL!$C$21, $C$9, 100%, $E$9)</f>
        <v>15.4831</v>
      </c>
      <c r="E327" s="14">
        <f>CHOOSE(CONTROL!$C$42, 15.5172, 15.5172) * CHOOSE(CONTROL!$C$21, $C$9, 100%, $E$9)</f>
        <v>15.517200000000001</v>
      </c>
      <c r="F327" s="14">
        <f>CHOOSE(CONTROL!$C$42, 15.4206, 15.4206)*CHOOSE(CONTROL!$C$21, $C$9, 100%, $E$9)</f>
        <v>15.4206</v>
      </c>
      <c r="G327" s="14">
        <f>CHOOSE(CONTROL!$C$42, 15.4379, 15.4379)*CHOOSE(CONTROL!$C$21, $C$9, 100%, $E$9)</f>
        <v>15.437900000000001</v>
      </c>
      <c r="H327" s="14">
        <f>CHOOSE(CONTROL!$C$42, 15.5064, 15.5064) * CHOOSE(CONTROL!$C$21, $C$9, 100%, $E$9)</f>
        <v>15.506399999999999</v>
      </c>
      <c r="I327" s="14">
        <f>CHOOSE(CONTROL!$C$42, 15.4821, 15.4821)* CHOOSE(CONTROL!$C$21, $C$9, 100%, $E$9)</f>
        <v>15.482100000000001</v>
      </c>
      <c r="J327" s="14">
        <f>CHOOSE(CONTROL!$C$42, 15.4136, 15.4136)* CHOOSE(CONTROL!$C$21, $C$9, 100%, $E$9)</f>
        <v>15.413600000000001</v>
      </c>
      <c r="K327" s="52">
        <f>CHOOSE(CONTROL!$C$42, 15.4782, 15.4782) * CHOOSE(CONTROL!$C$21, $C$9, 100%, $E$9)</f>
        <v>15.478199999999999</v>
      </c>
      <c r="L327" s="14">
        <f>CHOOSE(CONTROL!$C$42, 16.0934, 16.0934) * CHOOSE(CONTROL!$C$21, $C$9, 100%, $E$9)</f>
        <v>16.093399999999999</v>
      </c>
      <c r="M327" s="14">
        <f>CHOOSE(CONTROL!$C$42, 15.1055, 15.1055) * CHOOSE(CONTROL!$C$21, $C$9, 100%, $E$9)</f>
        <v>15.105499999999999</v>
      </c>
      <c r="N327" s="14">
        <f>CHOOSE(CONTROL!$C$42, 15.1224, 15.1224) * CHOOSE(CONTROL!$C$21, $C$9, 100%, $E$9)</f>
        <v>15.122400000000001</v>
      </c>
      <c r="O327" s="14">
        <f>CHOOSE(CONTROL!$C$42, 15.1963, 15.1963) * CHOOSE(CONTROL!$C$21, $C$9, 100%, $E$9)</f>
        <v>15.196300000000001</v>
      </c>
      <c r="P327" s="14">
        <f>CHOOSE(CONTROL!$C$42, 15.1717, 15.1717) * CHOOSE(CONTROL!$C$21, $C$9, 100%, $E$9)</f>
        <v>15.1717</v>
      </c>
      <c r="Q327" s="14">
        <f>CHOOSE(CONTROL!$C$42, 15.791, 15.791) * CHOOSE(CONTROL!$C$21, $C$9, 100%, $E$9)</f>
        <v>15.791</v>
      </c>
      <c r="R327" s="14">
        <f>CHOOSE(CONTROL!$C$42, 16.4175, 16.4175) * CHOOSE(CONTROL!$C$21, $C$9, 100%, $E$9)</f>
        <v>16.4175</v>
      </c>
      <c r="S327" s="14">
        <f>CHOOSE(CONTROL!$C$42, 14.7879, 14.7879) * CHOOSE(CONTROL!$C$21, $C$9, 100%, $E$9)</f>
        <v>14.7879</v>
      </c>
      <c r="T32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56">
        <f>(1000*CHOOSE(CONTROL!$C$42, 695, 695)*CHOOSE(CONTROL!$C$42, 0.5599, 0.5599)*CHOOSE(CONTROL!$C$42, 31, 31))/1000000</f>
        <v>12.063045499999998</v>
      </c>
      <c r="V327" s="56">
        <f>(1000*CHOOSE(CONTROL!$C$42, 500, 500)*CHOOSE(CONTROL!$C$42, 0.275, 0.275)*CHOOSE(CONTROL!$C$42, 31, 31))/1000000</f>
        <v>4.2625000000000002</v>
      </c>
      <c r="W327" s="56">
        <f>(1000*CHOOSE(CONTROL!$C$42, 0.1146, 0.1146)*CHOOSE(CONTROL!$C$42, 121.5, 121.5)*CHOOSE(CONTROL!$C$42, 31, 31))/1000000</f>
        <v>0.43164089999999994</v>
      </c>
      <c r="X327" s="56">
        <f>(31*0.1790888*100000/1000000)+(31*0.2374*100000/1000000)</f>
        <v>1.2911152800000001</v>
      </c>
      <c r="Y327" s="56"/>
      <c r="Z327" s="14"/>
      <c r="AA327" s="55"/>
      <c r="AB327" s="49">
        <f>(B327*122.58+C327*297.941+D327*89.177+E327*40.302+F327*40+G327*160+H327*0+I327*100+J327*300)/(122.58+297.941+89.177+40.302+0+40+160+100+300)</f>
        <v>15.428011285826088</v>
      </c>
      <c r="AC327" s="44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15.15715179856115</v>
      </c>
    </row>
    <row r="328" spans="1:29" ht="15.75" x14ac:dyDescent="0.25">
      <c r="A328" s="32">
        <v>50890</v>
      </c>
      <c r="B328" s="14">
        <f>CHOOSE(CONTROL!$C$42, 15.3535, 15.3535) * CHOOSE(CONTROL!$C$21, $C$9, 100%, $E$9)</f>
        <v>15.3535</v>
      </c>
      <c r="C328" s="14">
        <f>CHOOSE(CONTROL!$C$42, 15.358, 15.358) * CHOOSE(CONTROL!$C$21, $C$9, 100%, $E$9)</f>
        <v>15.358000000000001</v>
      </c>
      <c r="D328" s="14">
        <f>CHOOSE(CONTROL!$C$42, 15.5869, 15.5869) * CHOOSE(CONTROL!$C$21, $C$9, 100%, $E$9)</f>
        <v>15.5869</v>
      </c>
      <c r="E328" s="14">
        <f>CHOOSE(CONTROL!$C$42, 15.619, 15.619) * CHOOSE(CONTROL!$C$21, $C$9, 100%, $E$9)</f>
        <v>15.619</v>
      </c>
      <c r="F328" s="14">
        <f>CHOOSE(CONTROL!$C$42, 15.3805, 15.3805)*CHOOSE(CONTROL!$C$21, $C$9, 100%, $E$9)</f>
        <v>15.3805</v>
      </c>
      <c r="G328" s="14">
        <f>CHOOSE(CONTROL!$C$42, 15.3972, 15.3972)*CHOOSE(CONTROL!$C$21, $C$9, 100%, $E$9)</f>
        <v>15.3972</v>
      </c>
      <c r="H328" s="14">
        <f>CHOOSE(CONTROL!$C$42, 15.6088, 15.6088) * CHOOSE(CONTROL!$C$21, $C$9, 100%, $E$9)</f>
        <v>15.6088</v>
      </c>
      <c r="I328" s="14">
        <f>CHOOSE(CONTROL!$C$42, 15.4345, 15.4345)* CHOOSE(CONTROL!$C$21, $C$9, 100%, $E$9)</f>
        <v>15.4345</v>
      </c>
      <c r="J328" s="14">
        <f>CHOOSE(CONTROL!$C$42, 15.3735, 15.3735)* CHOOSE(CONTROL!$C$21, $C$9, 100%, $E$9)</f>
        <v>15.3735</v>
      </c>
      <c r="K328" s="52">
        <f>CHOOSE(CONTROL!$C$42, 15.4306, 15.4306) * CHOOSE(CONTROL!$C$21, $C$9, 100%, $E$9)</f>
        <v>15.4306</v>
      </c>
      <c r="L328" s="14">
        <f>CHOOSE(CONTROL!$C$42, 16.1958, 16.1958) * CHOOSE(CONTROL!$C$21, $C$9, 100%, $E$9)</f>
        <v>16.195799999999998</v>
      </c>
      <c r="M328" s="14">
        <f>CHOOSE(CONTROL!$C$42, 15.0662, 15.0662) * CHOOSE(CONTROL!$C$21, $C$9, 100%, $E$9)</f>
        <v>15.0662</v>
      </c>
      <c r="N328" s="14">
        <f>CHOOSE(CONTROL!$C$42, 15.0826, 15.0826) * CHOOSE(CONTROL!$C$21, $C$9, 100%, $E$9)</f>
        <v>15.082599999999999</v>
      </c>
      <c r="O328" s="14">
        <f>CHOOSE(CONTROL!$C$42, 15.2967, 15.2967) * CHOOSE(CONTROL!$C$21, $C$9, 100%, $E$9)</f>
        <v>15.2967</v>
      </c>
      <c r="P328" s="14">
        <f>CHOOSE(CONTROL!$C$42, 15.1251, 15.1251) * CHOOSE(CONTROL!$C$21, $C$9, 100%, $E$9)</f>
        <v>15.1251</v>
      </c>
      <c r="Q328" s="14">
        <f>CHOOSE(CONTROL!$C$42, 15.8914, 15.8914) * CHOOSE(CONTROL!$C$21, $C$9, 100%, $E$9)</f>
        <v>15.891400000000001</v>
      </c>
      <c r="R328" s="14">
        <f>CHOOSE(CONTROL!$C$42, 16.5181, 16.5181) * CHOOSE(CONTROL!$C$21, $C$9, 100%, $E$9)</f>
        <v>16.5181</v>
      </c>
      <c r="S328" s="14">
        <f>CHOOSE(CONTROL!$C$42, 14.7439, 14.7439) * CHOOSE(CONTROL!$C$21, $C$9, 100%, $E$9)</f>
        <v>14.7439</v>
      </c>
      <c r="T32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56">
        <f>(1000*CHOOSE(CONTROL!$C$42, 695, 695)*CHOOSE(CONTROL!$C$42, 0.5599, 0.5599)*CHOOSE(CONTROL!$C$42, 30, 30))/1000000</f>
        <v>11.673914999999997</v>
      </c>
      <c r="V328" s="56">
        <f>(1000*CHOOSE(CONTROL!$C$42, 500, 500)*CHOOSE(CONTROL!$C$42, 0.275, 0.275)*CHOOSE(CONTROL!$C$42, 30, 30))/1000000</f>
        <v>4.125</v>
      </c>
      <c r="W328" s="56">
        <f>(1000*CHOOSE(CONTROL!$C$42, 0.1146, 0.1146)*CHOOSE(CONTROL!$C$42, 121.5, 121.5)*CHOOSE(CONTROL!$C$42, 30, 30))/1000000</f>
        <v>0.417717</v>
      </c>
      <c r="X328" s="56">
        <f>(30*0.1790888*245000/1000000)+(30*0.2374*100000/1000000)</f>
        <v>2.0285026799999999</v>
      </c>
      <c r="Y328" s="56"/>
      <c r="Z328" s="14"/>
      <c r="AA328" s="55"/>
      <c r="AB328" s="49">
        <f>(B328*141.293+C328*267.993+D328*115.016+E328*89.698+F328*40+G328*185+H328*0+I328*100+J328*300)/(141.293+267.993+115.016+89.698+0+40+185+100+300)</f>
        <v>15.414137628652139</v>
      </c>
      <c r="AC328" s="44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15.143123021582733</v>
      </c>
    </row>
    <row r="329" spans="1:29" ht="15.75" x14ac:dyDescent="0.25">
      <c r="A329" s="32">
        <v>50921</v>
      </c>
      <c r="B329" s="14">
        <f>CHOOSE(CONTROL!$C$42, 15.4903, 15.4903) * CHOOSE(CONTROL!$C$21, $C$9, 100%, $E$9)</f>
        <v>15.4903</v>
      </c>
      <c r="C329" s="14">
        <f>CHOOSE(CONTROL!$C$42, 15.4983, 15.4983) * CHOOSE(CONTROL!$C$21, $C$9, 100%, $E$9)</f>
        <v>15.4983</v>
      </c>
      <c r="D329" s="14">
        <f>CHOOSE(CONTROL!$C$42, 15.7241, 15.7241) * CHOOSE(CONTROL!$C$21, $C$9, 100%, $E$9)</f>
        <v>15.7241</v>
      </c>
      <c r="E329" s="14">
        <f>CHOOSE(CONTROL!$C$42, 15.7556, 15.7556) * CHOOSE(CONTROL!$C$21, $C$9, 100%, $E$9)</f>
        <v>15.755599999999999</v>
      </c>
      <c r="F329" s="14">
        <f>CHOOSE(CONTROL!$C$42, 15.516, 15.516)*CHOOSE(CONTROL!$C$21, $C$9, 100%, $E$9)</f>
        <v>15.516</v>
      </c>
      <c r="G329" s="14">
        <f>CHOOSE(CONTROL!$C$42, 15.5329, 15.5329)*CHOOSE(CONTROL!$C$21, $C$9, 100%, $E$9)</f>
        <v>15.5329</v>
      </c>
      <c r="H329" s="14">
        <f>CHOOSE(CONTROL!$C$42, 15.7442, 15.7442) * CHOOSE(CONTROL!$C$21, $C$9, 100%, $E$9)</f>
        <v>15.744199999999999</v>
      </c>
      <c r="I329" s="14">
        <f>CHOOSE(CONTROL!$C$42, 15.5704, 15.5704)* CHOOSE(CONTROL!$C$21, $C$9, 100%, $E$9)</f>
        <v>15.570399999999999</v>
      </c>
      <c r="J329" s="14">
        <f>CHOOSE(CONTROL!$C$42, 15.509, 15.509)* CHOOSE(CONTROL!$C$21, $C$9, 100%, $E$9)</f>
        <v>15.509</v>
      </c>
      <c r="K329" s="52">
        <f>CHOOSE(CONTROL!$C$42, 15.5665, 15.5665) * CHOOSE(CONTROL!$C$21, $C$9, 100%, $E$9)</f>
        <v>15.5665</v>
      </c>
      <c r="L329" s="14">
        <f>CHOOSE(CONTROL!$C$42, 16.3312, 16.3312) * CHOOSE(CONTROL!$C$21, $C$9, 100%, $E$9)</f>
        <v>16.331199999999999</v>
      </c>
      <c r="M329" s="14">
        <f>CHOOSE(CONTROL!$C$42, 15.1989, 15.1989) * CHOOSE(CONTROL!$C$21, $C$9, 100%, $E$9)</f>
        <v>15.1989</v>
      </c>
      <c r="N329" s="14">
        <f>CHOOSE(CONTROL!$C$42, 15.2155, 15.2155) * CHOOSE(CONTROL!$C$21, $C$9, 100%, $E$9)</f>
        <v>15.2155</v>
      </c>
      <c r="O329" s="14">
        <f>CHOOSE(CONTROL!$C$42, 15.4293, 15.4293) * CHOOSE(CONTROL!$C$21, $C$9, 100%, $E$9)</f>
        <v>15.4293</v>
      </c>
      <c r="P329" s="14">
        <f>CHOOSE(CONTROL!$C$42, 15.2581, 15.2581) * CHOOSE(CONTROL!$C$21, $C$9, 100%, $E$9)</f>
        <v>15.258100000000001</v>
      </c>
      <c r="Q329" s="14">
        <f>CHOOSE(CONTROL!$C$42, 16.024, 16.024) * CHOOSE(CONTROL!$C$21, $C$9, 100%, $E$9)</f>
        <v>16.024000000000001</v>
      </c>
      <c r="R329" s="14">
        <f>CHOOSE(CONTROL!$C$42, 16.6511, 16.6511) * CHOOSE(CONTROL!$C$21, $C$9, 100%, $E$9)</f>
        <v>16.6511</v>
      </c>
      <c r="S329" s="14">
        <f>CHOOSE(CONTROL!$C$42, 14.874, 14.874) * CHOOSE(CONTROL!$C$21, $C$9, 100%, $E$9)</f>
        <v>14.874000000000001</v>
      </c>
      <c r="T32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56">
        <f>(1000*CHOOSE(CONTROL!$C$42, 695, 695)*CHOOSE(CONTROL!$C$42, 0.5599, 0.5599)*CHOOSE(CONTROL!$C$42, 31, 31))/1000000</f>
        <v>12.063045499999998</v>
      </c>
      <c r="V329" s="56">
        <f>(1000*CHOOSE(CONTROL!$C$42, 500, 500)*CHOOSE(CONTROL!$C$42, 0.275, 0.275)*CHOOSE(CONTROL!$C$42, 31, 31))/1000000</f>
        <v>4.2625000000000002</v>
      </c>
      <c r="W329" s="56">
        <f>(1000*CHOOSE(CONTROL!$C$42, 0.1146, 0.1146)*CHOOSE(CONTROL!$C$42, 121.5, 121.5)*CHOOSE(CONTROL!$C$42, 31, 31))/1000000</f>
        <v>0.43164089999999994</v>
      </c>
      <c r="X329" s="56">
        <f>(31*0.1790888*245000/1000000)+(31*0.2374*100000/1000000)</f>
        <v>2.0961194359999999</v>
      </c>
      <c r="Y329" s="56"/>
      <c r="Z329" s="14"/>
      <c r="AA329" s="55"/>
      <c r="AB329" s="49">
        <f>(B329*194.205+C329*267.466+D329*133.845+E329*53.484+F329*40+G329*185+H329*0+I329*100+J329*300)/(194.205+267.466+133.845+53.484+0+40+185+100+300)</f>
        <v>15.545363574725274</v>
      </c>
      <c r="AC329" s="44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15.27588417266187</v>
      </c>
    </row>
    <row r="330" spans="1:29" ht="15.75" x14ac:dyDescent="0.25">
      <c r="A330" s="32">
        <v>50951</v>
      </c>
      <c r="B330" s="14">
        <f>CHOOSE(CONTROL!$C$42, 15.9294, 15.9294) * CHOOSE(CONTROL!$C$21, $C$9, 100%, $E$9)</f>
        <v>15.929399999999999</v>
      </c>
      <c r="C330" s="14">
        <f>CHOOSE(CONTROL!$C$42, 15.9374, 15.9374) * CHOOSE(CONTROL!$C$21, $C$9, 100%, $E$9)</f>
        <v>15.9374</v>
      </c>
      <c r="D330" s="14">
        <f>CHOOSE(CONTROL!$C$42, 16.1632, 16.1632) * CHOOSE(CONTROL!$C$21, $C$9, 100%, $E$9)</f>
        <v>16.1632</v>
      </c>
      <c r="E330" s="14">
        <f>CHOOSE(CONTROL!$C$42, 16.1947, 16.1947) * CHOOSE(CONTROL!$C$21, $C$9, 100%, $E$9)</f>
        <v>16.194700000000001</v>
      </c>
      <c r="F330" s="14">
        <f>CHOOSE(CONTROL!$C$42, 15.9555, 15.9555)*CHOOSE(CONTROL!$C$21, $C$9, 100%, $E$9)</f>
        <v>15.955500000000001</v>
      </c>
      <c r="G330" s="14">
        <f>CHOOSE(CONTROL!$C$42, 15.9726, 15.9726)*CHOOSE(CONTROL!$C$21, $C$9, 100%, $E$9)</f>
        <v>15.9726</v>
      </c>
      <c r="H330" s="14">
        <f>CHOOSE(CONTROL!$C$42, 16.1833, 16.1833) * CHOOSE(CONTROL!$C$21, $C$9, 100%, $E$9)</f>
        <v>16.183299999999999</v>
      </c>
      <c r="I330" s="14">
        <f>CHOOSE(CONTROL!$C$42, 16.0108, 16.0108)* CHOOSE(CONTROL!$C$21, $C$9, 100%, $E$9)</f>
        <v>16.0108</v>
      </c>
      <c r="J330" s="14">
        <f>CHOOSE(CONTROL!$C$42, 15.9485, 15.9485)* CHOOSE(CONTROL!$C$21, $C$9, 100%, $E$9)</f>
        <v>15.948499999999999</v>
      </c>
      <c r="K330" s="52">
        <f>CHOOSE(CONTROL!$C$42, 16.0069, 16.0069) * CHOOSE(CONTROL!$C$21, $C$9, 100%, $E$9)</f>
        <v>16.006900000000002</v>
      </c>
      <c r="L330" s="14">
        <f>CHOOSE(CONTROL!$C$42, 16.7703, 16.7703) * CHOOSE(CONTROL!$C$21, $C$9, 100%, $E$9)</f>
        <v>16.770299999999999</v>
      </c>
      <c r="M330" s="14">
        <f>CHOOSE(CONTROL!$C$42, 15.6294, 15.6294) * CHOOSE(CONTROL!$C$21, $C$9, 100%, $E$9)</f>
        <v>15.6294</v>
      </c>
      <c r="N330" s="14">
        <f>CHOOSE(CONTROL!$C$42, 15.6461, 15.6461) * CHOOSE(CONTROL!$C$21, $C$9, 100%, $E$9)</f>
        <v>15.646100000000001</v>
      </c>
      <c r="O330" s="14">
        <f>CHOOSE(CONTROL!$C$42, 15.8594, 15.8594) * CHOOSE(CONTROL!$C$21, $C$9, 100%, $E$9)</f>
        <v>15.859400000000001</v>
      </c>
      <c r="P330" s="14">
        <f>CHOOSE(CONTROL!$C$42, 15.6895, 15.6895) * CHOOSE(CONTROL!$C$21, $C$9, 100%, $E$9)</f>
        <v>15.689500000000001</v>
      </c>
      <c r="Q330" s="14">
        <f>CHOOSE(CONTROL!$C$42, 16.4541, 16.4541) * CHOOSE(CONTROL!$C$21, $C$9, 100%, $E$9)</f>
        <v>16.4541</v>
      </c>
      <c r="R330" s="14">
        <f>CHOOSE(CONTROL!$C$42, 17.0822, 17.0822) * CHOOSE(CONTROL!$C$21, $C$9, 100%, $E$9)</f>
        <v>17.0822</v>
      </c>
      <c r="S330" s="14">
        <f>CHOOSE(CONTROL!$C$42, 15.2959, 15.2959) * CHOOSE(CONTROL!$C$21, $C$9, 100%, $E$9)</f>
        <v>15.2959</v>
      </c>
      <c r="T33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56">
        <f>(1000*CHOOSE(CONTROL!$C$42, 695, 695)*CHOOSE(CONTROL!$C$42, 0.5599, 0.5599)*CHOOSE(CONTROL!$C$42, 30, 30))/1000000</f>
        <v>11.673914999999997</v>
      </c>
      <c r="V330" s="56">
        <f>(1000*CHOOSE(CONTROL!$C$42, 500, 500)*CHOOSE(CONTROL!$C$42, 0.275, 0.275)*CHOOSE(CONTROL!$C$42, 30, 30))/1000000</f>
        <v>4.125</v>
      </c>
      <c r="W330" s="56">
        <f>(1000*CHOOSE(CONTROL!$C$42, 0.1146, 0.1146)*CHOOSE(CONTROL!$C$42, 121.5, 121.5)*CHOOSE(CONTROL!$C$42, 30, 30))/1000000</f>
        <v>0.417717</v>
      </c>
      <c r="X330" s="56">
        <f>(30*0.1790888*245000/1000000)+(30*0.2374*100000/1000000)</f>
        <v>2.0285026799999999</v>
      </c>
      <c r="Y330" s="56"/>
      <c r="Z330" s="14"/>
      <c r="AA330" s="55"/>
      <c r="AB330" s="49">
        <f>(B330*194.205+C330*267.466+D330*133.845+E330*53.484+F330*40+G330*185+H330*0+I330*100+J330*300)/(194.205+267.466+133.845+53.484+0+40+185+100+300)</f>
        <v>15.984759493092623</v>
      </c>
      <c r="AC330" s="44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15.706424460431657</v>
      </c>
    </row>
    <row r="331" spans="1:29" ht="15.75" x14ac:dyDescent="0.25">
      <c r="A331" s="32">
        <v>50982</v>
      </c>
      <c r="B331" s="14">
        <f>CHOOSE(CONTROL!$C$42, 15.624, 15.624) * CHOOSE(CONTROL!$C$21, $C$9, 100%, $E$9)</f>
        <v>15.624000000000001</v>
      </c>
      <c r="C331" s="14">
        <f>CHOOSE(CONTROL!$C$42, 15.632, 15.632) * CHOOSE(CONTROL!$C$21, $C$9, 100%, $E$9)</f>
        <v>15.632</v>
      </c>
      <c r="D331" s="14">
        <f>CHOOSE(CONTROL!$C$42, 15.8578, 15.8578) * CHOOSE(CONTROL!$C$21, $C$9, 100%, $E$9)</f>
        <v>15.857799999999999</v>
      </c>
      <c r="E331" s="14">
        <f>CHOOSE(CONTROL!$C$42, 15.8893, 15.8893) * CHOOSE(CONTROL!$C$21, $C$9, 100%, $E$9)</f>
        <v>15.8893</v>
      </c>
      <c r="F331" s="14">
        <f>CHOOSE(CONTROL!$C$42, 15.6506, 15.6506)*CHOOSE(CONTROL!$C$21, $C$9, 100%, $E$9)</f>
        <v>15.650600000000001</v>
      </c>
      <c r="G331" s="14">
        <f>CHOOSE(CONTROL!$C$42, 15.6678, 15.6678)*CHOOSE(CONTROL!$C$21, $C$9, 100%, $E$9)</f>
        <v>15.6678</v>
      </c>
      <c r="H331" s="14">
        <f>CHOOSE(CONTROL!$C$42, 15.8779, 15.8779) * CHOOSE(CONTROL!$C$21, $C$9, 100%, $E$9)</f>
        <v>15.8779</v>
      </c>
      <c r="I331" s="14">
        <f>CHOOSE(CONTROL!$C$42, 15.7045, 15.7045)* CHOOSE(CONTROL!$C$21, $C$9, 100%, $E$9)</f>
        <v>15.704499999999999</v>
      </c>
      <c r="J331" s="14">
        <f>CHOOSE(CONTROL!$C$42, 15.6436, 15.6436)* CHOOSE(CONTROL!$C$21, $C$9, 100%, $E$9)</f>
        <v>15.643599999999999</v>
      </c>
      <c r="K331" s="52">
        <f>CHOOSE(CONTROL!$C$42, 15.7006, 15.7006) * CHOOSE(CONTROL!$C$21, $C$9, 100%, $E$9)</f>
        <v>15.7006</v>
      </c>
      <c r="L331" s="14">
        <f>CHOOSE(CONTROL!$C$42, 16.4649, 16.4649) * CHOOSE(CONTROL!$C$21, $C$9, 100%, $E$9)</f>
        <v>16.4649</v>
      </c>
      <c r="M331" s="14">
        <f>CHOOSE(CONTROL!$C$42, 15.3308, 15.3308) * CHOOSE(CONTROL!$C$21, $C$9, 100%, $E$9)</f>
        <v>15.3308</v>
      </c>
      <c r="N331" s="14">
        <f>CHOOSE(CONTROL!$C$42, 15.3476, 15.3476) * CHOOSE(CONTROL!$C$21, $C$9, 100%, $E$9)</f>
        <v>15.3476</v>
      </c>
      <c r="O331" s="14">
        <f>CHOOSE(CONTROL!$C$42, 15.5603, 15.5603) * CHOOSE(CONTROL!$C$21, $C$9, 100%, $E$9)</f>
        <v>15.5603</v>
      </c>
      <c r="P331" s="14">
        <f>CHOOSE(CONTROL!$C$42, 15.3895, 15.3895) * CHOOSE(CONTROL!$C$21, $C$9, 100%, $E$9)</f>
        <v>15.3895</v>
      </c>
      <c r="Q331" s="14">
        <f>CHOOSE(CONTROL!$C$42, 16.155, 16.155) * CHOOSE(CONTROL!$C$21, $C$9, 100%, $E$9)</f>
        <v>16.155000000000001</v>
      </c>
      <c r="R331" s="14">
        <f>CHOOSE(CONTROL!$C$42, 16.7824, 16.7824) * CHOOSE(CONTROL!$C$21, $C$9, 100%, $E$9)</f>
        <v>16.782399999999999</v>
      </c>
      <c r="S331" s="14">
        <f>CHOOSE(CONTROL!$C$42, 15.0025, 15.0025) * CHOOSE(CONTROL!$C$21, $C$9, 100%, $E$9)</f>
        <v>15.0025</v>
      </c>
      <c r="T33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56">
        <f>(1000*CHOOSE(CONTROL!$C$42, 695, 695)*CHOOSE(CONTROL!$C$42, 0.5599, 0.5599)*CHOOSE(CONTROL!$C$42, 31, 31))/1000000</f>
        <v>12.063045499999998</v>
      </c>
      <c r="V331" s="56">
        <f>(1000*CHOOSE(CONTROL!$C$42, 500, 500)*CHOOSE(CONTROL!$C$42, 0.275, 0.275)*CHOOSE(CONTROL!$C$42, 31, 31))/1000000</f>
        <v>4.2625000000000002</v>
      </c>
      <c r="W331" s="56">
        <f>(1000*CHOOSE(CONTROL!$C$42, 0.1146, 0.1146)*CHOOSE(CONTROL!$C$42, 121.5, 121.5)*CHOOSE(CONTROL!$C$42, 31, 31))/1000000</f>
        <v>0.43164089999999994</v>
      </c>
      <c r="X331" s="56">
        <f>(31*0.1790888*245000/1000000)+(31*0.2374*100000/1000000)</f>
        <v>2.0961194359999999</v>
      </c>
      <c r="Y331" s="56"/>
      <c r="Z331" s="14"/>
      <c r="AA331" s="55"/>
      <c r="AB331" s="49">
        <f>(B331*194.205+C331*267.466+D331*133.845+E331*53.484+F331*40+G331*185+H331*0+I331*100+J331*300)/(194.205+267.466+133.845+53.484+0+40+185+100+300)</f>
        <v>15.679509414599686</v>
      </c>
      <c r="AC331" s="44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15.407505755395684</v>
      </c>
    </row>
    <row r="332" spans="1:29" ht="15.75" x14ac:dyDescent="0.25">
      <c r="A332" s="32">
        <v>51013</v>
      </c>
      <c r="B332" s="14">
        <f>CHOOSE(CONTROL!$C$42, 14.8529, 14.8529) * CHOOSE(CONTROL!$C$21, $C$9, 100%, $E$9)</f>
        <v>14.8529</v>
      </c>
      <c r="C332" s="14">
        <f>CHOOSE(CONTROL!$C$42, 14.8609, 14.8609) * CHOOSE(CONTROL!$C$21, $C$9, 100%, $E$9)</f>
        <v>14.860900000000001</v>
      </c>
      <c r="D332" s="14">
        <f>CHOOSE(CONTROL!$C$42, 15.0867, 15.0867) * CHOOSE(CONTROL!$C$21, $C$9, 100%, $E$9)</f>
        <v>15.0867</v>
      </c>
      <c r="E332" s="14">
        <f>CHOOSE(CONTROL!$C$42, 15.1181, 15.1181) * CHOOSE(CONTROL!$C$21, $C$9, 100%, $E$9)</f>
        <v>15.1181</v>
      </c>
      <c r="F332" s="14">
        <f>CHOOSE(CONTROL!$C$42, 14.8797, 14.8797)*CHOOSE(CONTROL!$C$21, $C$9, 100%, $E$9)</f>
        <v>14.8797</v>
      </c>
      <c r="G332" s="14">
        <f>CHOOSE(CONTROL!$C$42, 14.8969, 14.8969)*CHOOSE(CONTROL!$C$21, $C$9, 100%, $E$9)</f>
        <v>14.8969</v>
      </c>
      <c r="H332" s="14">
        <f>CHOOSE(CONTROL!$C$42, 15.1068, 15.1068) * CHOOSE(CONTROL!$C$21, $C$9, 100%, $E$9)</f>
        <v>15.1068</v>
      </c>
      <c r="I332" s="14">
        <f>CHOOSE(CONTROL!$C$42, 14.9309, 14.9309)* CHOOSE(CONTROL!$C$21, $C$9, 100%, $E$9)</f>
        <v>14.930899999999999</v>
      </c>
      <c r="J332" s="14">
        <f>CHOOSE(CONTROL!$C$42, 14.8727, 14.8727)* CHOOSE(CONTROL!$C$21, $C$9, 100%, $E$9)</f>
        <v>14.8727</v>
      </c>
      <c r="K332" s="52">
        <f>CHOOSE(CONTROL!$C$42, 14.927, 14.927) * CHOOSE(CONTROL!$C$21, $C$9, 100%, $E$9)</f>
        <v>14.927</v>
      </c>
      <c r="L332" s="14">
        <f>CHOOSE(CONTROL!$C$42, 15.6938, 15.6938) * CHOOSE(CONTROL!$C$21, $C$9, 100%, $E$9)</f>
        <v>15.6938</v>
      </c>
      <c r="M332" s="14">
        <f>CHOOSE(CONTROL!$C$42, 14.5756, 14.5756) * CHOOSE(CONTROL!$C$21, $C$9, 100%, $E$9)</f>
        <v>14.5756</v>
      </c>
      <c r="N332" s="14">
        <f>CHOOSE(CONTROL!$C$42, 14.5925, 14.5925) * CHOOSE(CONTROL!$C$21, $C$9, 100%, $E$9)</f>
        <v>14.592499999999999</v>
      </c>
      <c r="O332" s="14">
        <f>CHOOSE(CONTROL!$C$42, 14.8049, 14.8049) * CHOOSE(CONTROL!$C$21, $C$9, 100%, $E$9)</f>
        <v>14.8049</v>
      </c>
      <c r="P332" s="14">
        <f>CHOOSE(CONTROL!$C$42, 14.6318, 14.6318) * CHOOSE(CONTROL!$C$21, $C$9, 100%, $E$9)</f>
        <v>14.6318</v>
      </c>
      <c r="Q332" s="14">
        <f>CHOOSE(CONTROL!$C$42, 15.3996, 15.3996) * CHOOSE(CONTROL!$C$21, $C$9, 100%, $E$9)</f>
        <v>15.3996</v>
      </c>
      <c r="R332" s="14">
        <f>CHOOSE(CONTROL!$C$42, 16.0251, 16.0251) * CHOOSE(CONTROL!$C$21, $C$9, 100%, $E$9)</f>
        <v>16.025099999999998</v>
      </c>
      <c r="S332" s="14">
        <f>CHOOSE(CONTROL!$C$42, 14.2615, 14.2615) * CHOOSE(CONTROL!$C$21, $C$9, 100%, $E$9)</f>
        <v>14.2615</v>
      </c>
      <c r="T33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56">
        <f>(1000*CHOOSE(CONTROL!$C$42, 695, 695)*CHOOSE(CONTROL!$C$42, 0.5599, 0.5599)*CHOOSE(CONTROL!$C$42, 31, 31))/1000000</f>
        <v>12.063045499999998</v>
      </c>
      <c r="V332" s="56">
        <f>(1000*CHOOSE(CONTROL!$C$42, 500, 500)*CHOOSE(CONTROL!$C$42, 0.275, 0.275)*CHOOSE(CONTROL!$C$42, 31, 31))/1000000</f>
        <v>4.2625000000000002</v>
      </c>
      <c r="W332" s="56">
        <f>(1000*CHOOSE(CONTROL!$C$42, 0.1146, 0.1146)*CHOOSE(CONTROL!$C$42, 121.5, 121.5)*CHOOSE(CONTROL!$C$42, 31, 31))/1000000</f>
        <v>0.43164089999999994</v>
      </c>
      <c r="X332" s="56">
        <f>(31*0.1790888*245000/1000000)+(31*0.2374*100000/1000000)</f>
        <v>2.0961194359999999</v>
      </c>
      <c r="Y332" s="56"/>
      <c r="Z332" s="14"/>
      <c r="AA332" s="55"/>
      <c r="AB332" s="49">
        <f>(B332*194.205+C332*267.466+D332*133.845+E332*53.484+F332*40+G332*185+H332*0+I332*100+J332*300)/(194.205+267.466+133.845+53.484+0+40+185+100+300)</f>
        <v>14.908291401726846</v>
      </c>
      <c r="AC332" s="44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14.651912949640288</v>
      </c>
    </row>
    <row r="333" spans="1:29" ht="15.75" x14ac:dyDescent="0.25">
      <c r="A333" s="32">
        <v>51043</v>
      </c>
      <c r="B333" s="14">
        <f>CHOOSE(CONTROL!$C$42, 13.9104, 13.9104) * CHOOSE(CONTROL!$C$21, $C$9, 100%, $E$9)</f>
        <v>13.910399999999999</v>
      </c>
      <c r="C333" s="14">
        <f>CHOOSE(CONTROL!$C$42, 13.9184, 13.9184) * CHOOSE(CONTROL!$C$21, $C$9, 100%, $E$9)</f>
        <v>13.9184</v>
      </c>
      <c r="D333" s="14">
        <f>CHOOSE(CONTROL!$C$42, 14.1442, 14.1442) * CHOOSE(CONTROL!$C$21, $C$9, 100%, $E$9)</f>
        <v>14.1442</v>
      </c>
      <c r="E333" s="14">
        <f>CHOOSE(CONTROL!$C$42, 14.1757, 14.1757) * CHOOSE(CONTROL!$C$21, $C$9, 100%, $E$9)</f>
        <v>14.175700000000001</v>
      </c>
      <c r="F333" s="14">
        <f>CHOOSE(CONTROL!$C$42, 13.9372, 13.9372)*CHOOSE(CONTROL!$C$21, $C$9, 100%, $E$9)</f>
        <v>13.937200000000001</v>
      </c>
      <c r="G333" s="14">
        <f>CHOOSE(CONTROL!$C$42, 13.9545, 13.9545)*CHOOSE(CONTROL!$C$21, $C$9, 100%, $E$9)</f>
        <v>13.954499999999999</v>
      </c>
      <c r="H333" s="14">
        <f>CHOOSE(CONTROL!$C$42, 14.1643, 14.1643) * CHOOSE(CONTROL!$C$21, $C$9, 100%, $E$9)</f>
        <v>14.164300000000001</v>
      </c>
      <c r="I333" s="14">
        <f>CHOOSE(CONTROL!$C$42, 13.9855, 13.9855)* CHOOSE(CONTROL!$C$21, $C$9, 100%, $E$9)</f>
        <v>13.9855</v>
      </c>
      <c r="J333" s="14">
        <f>CHOOSE(CONTROL!$C$42, 13.9302, 13.9302)* CHOOSE(CONTROL!$C$21, $C$9, 100%, $E$9)</f>
        <v>13.930199999999999</v>
      </c>
      <c r="K333" s="52">
        <f>CHOOSE(CONTROL!$C$42, 13.9816, 13.9816) * CHOOSE(CONTROL!$C$21, $C$9, 100%, $E$9)</f>
        <v>13.9816</v>
      </c>
      <c r="L333" s="14">
        <f>CHOOSE(CONTROL!$C$42, 14.7513, 14.7513) * CHOOSE(CONTROL!$C$21, $C$9, 100%, $E$9)</f>
        <v>14.751300000000001</v>
      </c>
      <c r="M333" s="14">
        <f>CHOOSE(CONTROL!$C$42, 13.6525, 13.6525) * CHOOSE(CONTROL!$C$21, $C$9, 100%, $E$9)</f>
        <v>13.6525</v>
      </c>
      <c r="N333" s="14">
        <f>CHOOSE(CONTROL!$C$42, 13.6694, 13.6694) * CHOOSE(CONTROL!$C$21, $C$9, 100%, $E$9)</f>
        <v>13.6694</v>
      </c>
      <c r="O333" s="14">
        <f>CHOOSE(CONTROL!$C$42, 13.8818, 13.8818) * CHOOSE(CONTROL!$C$21, $C$9, 100%, $E$9)</f>
        <v>13.8818</v>
      </c>
      <c r="P333" s="14">
        <f>CHOOSE(CONTROL!$C$42, 13.7059, 13.7059) * CHOOSE(CONTROL!$C$21, $C$9, 100%, $E$9)</f>
        <v>13.7059</v>
      </c>
      <c r="Q333" s="14">
        <f>CHOOSE(CONTROL!$C$42, 14.4765, 14.4765) * CHOOSE(CONTROL!$C$21, $C$9, 100%, $E$9)</f>
        <v>14.4765</v>
      </c>
      <c r="R333" s="14">
        <f>CHOOSE(CONTROL!$C$42, 15.0997, 15.0997) * CHOOSE(CONTROL!$C$21, $C$9, 100%, $E$9)</f>
        <v>15.0997</v>
      </c>
      <c r="S333" s="14">
        <f>CHOOSE(CONTROL!$C$42, 13.3559, 13.3559) * CHOOSE(CONTROL!$C$21, $C$9, 100%, $E$9)</f>
        <v>13.3559</v>
      </c>
      <c r="T33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56">
        <f>(1000*CHOOSE(CONTROL!$C$42, 695, 695)*CHOOSE(CONTROL!$C$42, 0.5599, 0.5599)*CHOOSE(CONTROL!$C$42, 30, 30))/1000000</f>
        <v>11.673914999999997</v>
      </c>
      <c r="V333" s="56">
        <f>(1000*CHOOSE(CONTROL!$C$42, 500, 500)*CHOOSE(CONTROL!$C$42, 0.275, 0.275)*CHOOSE(CONTROL!$C$42, 30, 30))/1000000</f>
        <v>4.125</v>
      </c>
      <c r="W333" s="56">
        <f>(1000*CHOOSE(CONTROL!$C$42, 0.1146, 0.1146)*CHOOSE(CONTROL!$C$42, 121.5, 121.5)*CHOOSE(CONTROL!$C$42, 30, 30))/1000000</f>
        <v>0.417717</v>
      </c>
      <c r="X333" s="56">
        <f>(30*0.1790888*245000/1000000)+(30*0.2374*100000/1000000)</f>
        <v>2.0285026799999999</v>
      </c>
      <c r="Y333" s="56"/>
      <c r="Z333" s="14"/>
      <c r="AA333" s="55"/>
      <c r="AB333" s="49">
        <f>(B333*194.205+C333*267.466+D333*133.845+E333*53.484+F333*40+G333*185+H333*0+I333*100+J333*300)/(194.205+267.466+133.845+53.484+0+40+185+100+300)</f>
        <v>13.965582491522762</v>
      </c>
      <c r="AC333" s="44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13.728410071942445</v>
      </c>
    </row>
    <row r="334" spans="1:29" ht="15.75" x14ac:dyDescent="0.25">
      <c r="A334" s="32">
        <v>51074</v>
      </c>
      <c r="B334" s="14">
        <f>CHOOSE(CONTROL!$C$42, 13.6265, 13.6265) * CHOOSE(CONTROL!$C$21, $C$9, 100%, $E$9)</f>
        <v>13.6265</v>
      </c>
      <c r="C334" s="14">
        <f>CHOOSE(CONTROL!$C$42, 13.6318, 13.6318) * CHOOSE(CONTROL!$C$21, $C$9, 100%, $E$9)</f>
        <v>13.6318</v>
      </c>
      <c r="D334" s="14">
        <f>CHOOSE(CONTROL!$C$42, 13.8625, 13.8625) * CHOOSE(CONTROL!$C$21, $C$9, 100%, $E$9)</f>
        <v>13.862500000000001</v>
      </c>
      <c r="E334" s="14">
        <f>CHOOSE(CONTROL!$C$42, 13.8917, 13.8917) * CHOOSE(CONTROL!$C$21, $C$9, 100%, $E$9)</f>
        <v>13.8917</v>
      </c>
      <c r="F334" s="14">
        <f>CHOOSE(CONTROL!$C$42, 13.6553, 13.6553)*CHOOSE(CONTROL!$C$21, $C$9, 100%, $E$9)</f>
        <v>13.6553</v>
      </c>
      <c r="G334" s="14">
        <f>CHOOSE(CONTROL!$C$42, 13.6724, 13.6724)*CHOOSE(CONTROL!$C$21, $C$9, 100%, $E$9)</f>
        <v>13.6724</v>
      </c>
      <c r="H334" s="14">
        <f>CHOOSE(CONTROL!$C$42, 13.8821, 13.8821) * CHOOSE(CONTROL!$C$21, $C$9, 100%, $E$9)</f>
        <v>13.882099999999999</v>
      </c>
      <c r="I334" s="14">
        <f>CHOOSE(CONTROL!$C$42, 13.7024, 13.7024)* CHOOSE(CONTROL!$C$21, $C$9, 100%, $E$9)</f>
        <v>13.702400000000001</v>
      </c>
      <c r="J334" s="14">
        <f>CHOOSE(CONTROL!$C$42, 13.6483, 13.6483)* CHOOSE(CONTROL!$C$21, $C$9, 100%, $E$9)</f>
        <v>13.648300000000001</v>
      </c>
      <c r="K334" s="52">
        <f>CHOOSE(CONTROL!$C$42, 13.6985, 13.6985) * CHOOSE(CONTROL!$C$21, $C$9, 100%, $E$9)</f>
        <v>13.698499999999999</v>
      </c>
      <c r="L334" s="14">
        <f>CHOOSE(CONTROL!$C$42, 14.4691, 14.4691) * CHOOSE(CONTROL!$C$21, $C$9, 100%, $E$9)</f>
        <v>14.469099999999999</v>
      </c>
      <c r="M334" s="14">
        <f>CHOOSE(CONTROL!$C$42, 13.3764, 13.3764) * CHOOSE(CONTROL!$C$21, $C$9, 100%, $E$9)</f>
        <v>13.3764</v>
      </c>
      <c r="N334" s="14">
        <f>CHOOSE(CONTROL!$C$42, 13.3931, 13.3931) * CHOOSE(CONTROL!$C$21, $C$9, 100%, $E$9)</f>
        <v>13.3931</v>
      </c>
      <c r="O334" s="14">
        <f>CHOOSE(CONTROL!$C$42, 13.6054, 13.6054) * CHOOSE(CONTROL!$C$21, $C$9, 100%, $E$9)</f>
        <v>13.605399999999999</v>
      </c>
      <c r="P334" s="14">
        <f>CHOOSE(CONTROL!$C$42, 13.4286, 13.4286) * CHOOSE(CONTROL!$C$21, $C$9, 100%, $E$9)</f>
        <v>13.428599999999999</v>
      </c>
      <c r="Q334" s="14">
        <f>CHOOSE(CONTROL!$C$42, 14.2001, 14.2001) * CHOOSE(CONTROL!$C$21, $C$9, 100%, $E$9)</f>
        <v>14.200100000000001</v>
      </c>
      <c r="R334" s="14">
        <f>CHOOSE(CONTROL!$C$42, 14.8226, 14.8226) * CHOOSE(CONTROL!$C$21, $C$9, 100%, $E$9)</f>
        <v>14.8226</v>
      </c>
      <c r="S334" s="14">
        <f>CHOOSE(CONTROL!$C$42, 13.0847, 13.0847) * CHOOSE(CONTROL!$C$21, $C$9, 100%, $E$9)</f>
        <v>13.0847</v>
      </c>
      <c r="T33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56">
        <f>(1000*CHOOSE(CONTROL!$C$42, 695, 695)*CHOOSE(CONTROL!$C$42, 0.5599, 0.5599)*CHOOSE(CONTROL!$C$42, 31, 31))/1000000</f>
        <v>12.063045499999998</v>
      </c>
      <c r="V334" s="56">
        <f>(1000*CHOOSE(CONTROL!$C$42, 500, 500)*CHOOSE(CONTROL!$C$42, 0.275, 0.275)*CHOOSE(CONTROL!$C$42, 31, 31))/1000000</f>
        <v>4.2625000000000002</v>
      </c>
      <c r="W334" s="56">
        <f>(1000*CHOOSE(CONTROL!$C$42, 0.1146, 0.1146)*CHOOSE(CONTROL!$C$42, 121.5, 121.5)*CHOOSE(CONTROL!$C$42, 31, 31))/1000000</f>
        <v>0.43164089999999994</v>
      </c>
      <c r="X334" s="56">
        <f>(31*0.1790888*245000/1000000)+(31*0.2374*100000/1000000)</f>
        <v>2.0961194359999999</v>
      </c>
      <c r="Y334" s="56"/>
      <c r="Z334" s="14"/>
      <c r="AA334" s="55"/>
      <c r="AB334" s="49">
        <f>(B334*131.881+C334*277.167+D334*79.08+E334*125.872+F334*40+G334*185+H334*0+I334*100+J334*300)/(131.881+277.167+79.08+125.872+0+40+185+100+300)</f>
        <v>13.688878223970946</v>
      </c>
      <c r="AC334" s="44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13.452007194244604</v>
      </c>
    </row>
    <row r="335" spans="1:29" ht="15.75" x14ac:dyDescent="0.25">
      <c r="A335" s="32">
        <v>51104</v>
      </c>
      <c r="B335" s="14">
        <f>CHOOSE(CONTROL!$C$42, 13.9848, 13.9848) * CHOOSE(CONTROL!$C$21, $C$9, 100%, $E$9)</f>
        <v>13.9848</v>
      </c>
      <c r="C335" s="14">
        <f>CHOOSE(CONTROL!$C$42, 13.9898, 13.9898) * CHOOSE(CONTROL!$C$21, $C$9, 100%, $E$9)</f>
        <v>13.989800000000001</v>
      </c>
      <c r="D335" s="14">
        <f>CHOOSE(CONTROL!$C$42, 14.0588, 14.0588) * CHOOSE(CONTROL!$C$21, $C$9, 100%, $E$9)</f>
        <v>14.0588</v>
      </c>
      <c r="E335" s="14">
        <f>CHOOSE(CONTROL!$C$42, 14.0929, 14.0929) * CHOOSE(CONTROL!$C$21, $C$9, 100%, $E$9)</f>
        <v>14.0929</v>
      </c>
      <c r="F335" s="14">
        <f>CHOOSE(CONTROL!$C$42, 14.0203, 14.0203)*CHOOSE(CONTROL!$C$21, $C$9, 100%, $E$9)</f>
        <v>14.020300000000001</v>
      </c>
      <c r="G335" s="14">
        <f>CHOOSE(CONTROL!$C$42, 14.0377, 14.0377)*CHOOSE(CONTROL!$C$21, $C$9, 100%, $E$9)</f>
        <v>14.037699999999999</v>
      </c>
      <c r="H335" s="14">
        <f>CHOOSE(CONTROL!$C$42, 14.0821, 14.0821) * CHOOSE(CONTROL!$C$21, $C$9, 100%, $E$9)</f>
        <v>14.082100000000001</v>
      </c>
      <c r="I335" s="14">
        <f>CHOOSE(CONTROL!$C$42, 14.0649, 14.0649)* CHOOSE(CONTROL!$C$21, $C$9, 100%, $E$9)</f>
        <v>14.0649</v>
      </c>
      <c r="J335" s="14">
        <f>CHOOSE(CONTROL!$C$42, 14.0133, 14.0133)* CHOOSE(CONTROL!$C$21, $C$9, 100%, $E$9)</f>
        <v>14.013299999999999</v>
      </c>
      <c r="K335" s="52">
        <f>CHOOSE(CONTROL!$C$42, 14.061, 14.061) * CHOOSE(CONTROL!$C$21, $C$9, 100%, $E$9)</f>
        <v>14.061</v>
      </c>
      <c r="L335" s="14">
        <f>CHOOSE(CONTROL!$C$42, 14.6691, 14.6691) * CHOOSE(CONTROL!$C$21, $C$9, 100%, $E$9)</f>
        <v>14.6691</v>
      </c>
      <c r="M335" s="14">
        <f>CHOOSE(CONTROL!$C$42, 13.7339, 13.7339) * CHOOSE(CONTROL!$C$21, $C$9, 100%, $E$9)</f>
        <v>13.7339</v>
      </c>
      <c r="N335" s="14">
        <f>CHOOSE(CONTROL!$C$42, 13.751, 13.751) * CHOOSE(CONTROL!$C$21, $C$9, 100%, $E$9)</f>
        <v>13.750999999999999</v>
      </c>
      <c r="O335" s="14">
        <f>CHOOSE(CONTROL!$C$42, 13.8013, 13.8013) * CHOOSE(CONTROL!$C$21, $C$9, 100%, $E$9)</f>
        <v>13.801299999999999</v>
      </c>
      <c r="P335" s="14">
        <f>CHOOSE(CONTROL!$C$42, 13.7836, 13.7836) * CHOOSE(CONTROL!$C$21, $C$9, 100%, $E$9)</f>
        <v>13.7836</v>
      </c>
      <c r="Q335" s="14">
        <f>CHOOSE(CONTROL!$C$42, 14.396, 14.396) * CHOOSE(CONTROL!$C$21, $C$9, 100%, $E$9)</f>
        <v>14.396000000000001</v>
      </c>
      <c r="R335" s="14">
        <f>CHOOSE(CONTROL!$C$42, 15.019, 15.019) * CHOOSE(CONTROL!$C$21, $C$9, 100%, $E$9)</f>
        <v>15.019</v>
      </c>
      <c r="S335" s="14">
        <f>CHOOSE(CONTROL!$C$42, 13.4294, 13.4294) * CHOOSE(CONTROL!$C$21, $C$9, 100%, $E$9)</f>
        <v>13.429399999999999</v>
      </c>
      <c r="T33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56">
        <f>(1000*CHOOSE(CONTROL!$C$42, 695, 695)*CHOOSE(CONTROL!$C$42, 0.5599, 0.5599)*CHOOSE(CONTROL!$C$42, 30, 30))/1000000</f>
        <v>11.673914999999997</v>
      </c>
      <c r="V335" s="56">
        <f>(1000*CHOOSE(CONTROL!$C$42, 500, 500)*CHOOSE(CONTROL!$C$42, 0.275, 0.275)*CHOOSE(CONTROL!$C$42, 30, 30))/1000000</f>
        <v>4.125</v>
      </c>
      <c r="W335" s="56">
        <f>(1000*CHOOSE(CONTROL!$C$42, 0.1146, 0.1146)*CHOOSE(CONTROL!$C$42, 121.5, 121.5)*CHOOSE(CONTROL!$C$42, 30, 30))/1000000</f>
        <v>0.417717</v>
      </c>
      <c r="X335" s="56">
        <f>(30*0.1790888*100000/1000000)+(30*0.2374*100000/1000000)</f>
        <v>1.2494664</v>
      </c>
      <c r="Y335" s="56"/>
      <c r="Z335" s="14"/>
      <c r="AA335" s="55"/>
      <c r="AB335" s="49">
        <f>(B335*122.58+C335*297.941+D335*89.177+E335*40.302+F335*40+G335*160+H335*0+I335*100+J335*300)/(122.58+297.941+89.177+40.302+0+40+160+100+300)</f>
        <v>14.018616912347827</v>
      </c>
      <c r="AC335" s="44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13.772583453237409</v>
      </c>
    </row>
    <row r="336" spans="1:29" ht="15.75" x14ac:dyDescent="0.25">
      <c r="A336" s="32">
        <v>51135</v>
      </c>
      <c r="B336" s="14">
        <f>CHOOSE(CONTROL!$C$42, 14.9376, 14.9376) * CHOOSE(CONTROL!$C$21, $C$9, 100%, $E$9)</f>
        <v>14.9376</v>
      </c>
      <c r="C336" s="14">
        <f>CHOOSE(CONTROL!$C$42, 14.9426, 14.9426) * CHOOSE(CONTROL!$C$21, $C$9, 100%, $E$9)</f>
        <v>14.942600000000001</v>
      </c>
      <c r="D336" s="14">
        <f>CHOOSE(CONTROL!$C$42, 15.0117, 15.0117) * CHOOSE(CONTROL!$C$21, $C$9, 100%, $E$9)</f>
        <v>15.011699999999999</v>
      </c>
      <c r="E336" s="14">
        <f>CHOOSE(CONTROL!$C$42, 15.0458, 15.0458) * CHOOSE(CONTROL!$C$21, $C$9, 100%, $E$9)</f>
        <v>15.0458</v>
      </c>
      <c r="F336" s="14">
        <f>CHOOSE(CONTROL!$C$42, 14.9754, 14.9754)*CHOOSE(CONTROL!$C$21, $C$9, 100%, $E$9)</f>
        <v>14.9754</v>
      </c>
      <c r="G336" s="14">
        <f>CHOOSE(CONTROL!$C$42, 14.9934, 14.9934)*CHOOSE(CONTROL!$C$21, $C$9, 100%, $E$9)</f>
        <v>14.993399999999999</v>
      </c>
      <c r="H336" s="14">
        <f>CHOOSE(CONTROL!$C$42, 15.035, 15.035) * CHOOSE(CONTROL!$C$21, $C$9, 100%, $E$9)</f>
        <v>15.035</v>
      </c>
      <c r="I336" s="14">
        <f>CHOOSE(CONTROL!$C$42, 15.0207, 15.0207)* CHOOSE(CONTROL!$C$21, $C$9, 100%, $E$9)</f>
        <v>15.0207</v>
      </c>
      <c r="J336" s="14">
        <f>CHOOSE(CONTROL!$C$42, 14.9684, 14.9684)* CHOOSE(CONTROL!$C$21, $C$9, 100%, $E$9)</f>
        <v>14.968400000000001</v>
      </c>
      <c r="K336" s="52">
        <f>CHOOSE(CONTROL!$C$42, 15.0168, 15.0168) * CHOOSE(CONTROL!$C$21, $C$9, 100%, $E$9)</f>
        <v>15.0168</v>
      </c>
      <c r="L336" s="14">
        <f>CHOOSE(CONTROL!$C$42, 15.622, 15.622) * CHOOSE(CONTROL!$C$21, $C$9, 100%, $E$9)</f>
        <v>15.622</v>
      </c>
      <c r="M336" s="14">
        <f>CHOOSE(CONTROL!$C$42, 14.6694, 14.6694) * CHOOSE(CONTROL!$C$21, $C$9, 100%, $E$9)</f>
        <v>14.6694</v>
      </c>
      <c r="N336" s="14">
        <f>CHOOSE(CONTROL!$C$42, 14.687, 14.687) * CHOOSE(CONTROL!$C$21, $C$9, 100%, $E$9)</f>
        <v>14.686999999999999</v>
      </c>
      <c r="O336" s="14">
        <f>CHOOSE(CONTROL!$C$42, 14.7346, 14.7346) * CHOOSE(CONTROL!$C$21, $C$9, 100%, $E$9)</f>
        <v>14.7346</v>
      </c>
      <c r="P336" s="14">
        <f>CHOOSE(CONTROL!$C$42, 14.7198, 14.7198) * CHOOSE(CONTROL!$C$21, $C$9, 100%, $E$9)</f>
        <v>14.719799999999999</v>
      </c>
      <c r="Q336" s="14">
        <f>CHOOSE(CONTROL!$C$42, 15.3293, 15.3293) * CHOOSE(CONTROL!$C$21, $C$9, 100%, $E$9)</f>
        <v>15.3293</v>
      </c>
      <c r="R336" s="14">
        <f>CHOOSE(CONTROL!$C$42, 15.9546, 15.9546) * CHOOSE(CONTROL!$C$21, $C$9, 100%, $E$9)</f>
        <v>15.954599999999999</v>
      </c>
      <c r="S336" s="14">
        <f>CHOOSE(CONTROL!$C$42, 14.345, 14.345) * CHOOSE(CONTROL!$C$21, $C$9, 100%, $E$9)</f>
        <v>14.345000000000001</v>
      </c>
      <c r="T33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56">
        <f>(1000*CHOOSE(CONTROL!$C$42, 695, 695)*CHOOSE(CONTROL!$C$42, 0.5599, 0.5599)*CHOOSE(CONTROL!$C$42, 31, 31))/1000000</f>
        <v>12.063045499999998</v>
      </c>
      <c r="V336" s="56">
        <f>(1000*CHOOSE(CONTROL!$C$42, 500, 500)*CHOOSE(CONTROL!$C$42, 0.275, 0.275)*CHOOSE(CONTROL!$C$42, 31, 31))/1000000</f>
        <v>4.2625000000000002</v>
      </c>
      <c r="W336" s="56">
        <f>(1000*CHOOSE(CONTROL!$C$42, 0.1146, 0.1146)*CHOOSE(CONTROL!$C$42, 121.5, 121.5)*CHOOSE(CONTROL!$C$42, 31, 31))/1000000</f>
        <v>0.43164089999999994</v>
      </c>
      <c r="X336" s="56">
        <f>(31*0.1790888*100000/1000000)+(31*0.2374*100000/1000000)</f>
        <v>1.2911152800000001</v>
      </c>
      <c r="Y336" s="56"/>
      <c r="Z336" s="14"/>
      <c r="AA336" s="55"/>
      <c r="AB336" s="49">
        <f>(B336*122.58+C336*297.941+D336*89.177+E336*40.302+F336*40+G336*160+H336*0+I336*100+J336*300)/(122.58+297.941+89.177+40.302+0+40+160+100+300)</f>
        <v>14.97277251921739</v>
      </c>
      <c r="AC336" s="44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14.707215827338128</v>
      </c>
    </row>
    <row r="337" spans="1:29" ht="15.75" x14ac:dyDescent="0.25">
      <c r="A337" s="32">
        <v>51166</v>
      </c>
      <c r="B337" s="14">
        <f>CHOOSE(CONTROL!$C$42, 16.1751, 16.1751) * CHOOSE(CONTROL!$C$21, $C$9, 100%, $E$9)</f>
        <v>16.1751</v>
      </c>
      <c r="C337" s="14">
        <f>CHOOSE(CONTROL!$C$42, 16.1802, 16.1802) * CHOOSE(CONTROL!$C$21, $C$9, 100%, $E$9)</f>
        <v>16.180199999999999</v>
      </c>
      <c r="D337" s="14">
        <f>CHOOSE(CONTROL!$C$42, 16.2596, 16.2596) * CHOOSE(CONTROL!$C$21, $C$9, 100%, $E$9)</f>
        <v>16.259599999999999</v>
      </c>
      <c r="E337" s="14">
        <f>CHOOSE(CONTROL!$C$42, 16.2937, 16.2937) * CHOOSE(CONTROL!$C$21, $C$9, 100%, $E$9)</f>
        <v>16.293700000000001</v>
      </c>
      <c r="F337" s="14">
        <f>CHOOSE(CONTROL!$C$42, 16.1981, 16.1981)*CHOOSE(CONTROL!$C$21, $C$9, 100%, $E$9)</f>
        <v>16.1981</v>
      </c>
      <c r="G337" s="14">
        <f>CHOOSE(CONTROL!$C$42, 16.2157, 16.2157)*CHOOSE(CONTROL!$C$21, $C$9, 100%, $E$9)</f>
        <v>16.215699999999998</v>
      </c>
      <c r="H337" s="14">
        <f>CHOOSE(CONTROL!$C$42, 16.2829, 16.2829) * CHOOSE(CONTROL!$C$21, $C$9, 100%, $E$9)</f>
        <v>16.282900000000001</v>
      </c>
      <c r="I337" s="14">
        <f>CHOOSE(CONTROL!$C$42, 16.2611, 16.2611)* CHOOSE(CONTROL!$C$21, $C$9, 100%, $E$9)</f>
        <v>16.261099999999999</v>
      </c>
      <c r="J337" s="14">
        <f>CHOOSE(CONTROL!$C$42, 16.1911, 16.1911)* CHOOSE(CONTROL!$C$21, $C$9, 100%, $E$9)</f>
        <v>16.191099999999999</v>
      </c>
      <c r="K337" s="52">
        <f>CHOOSE(CONTROL!$C$42, 16.2572, 16.2572) * CHOOSE(CONTROL!$C$21, $C$9, 100%, $E$9)</f>
        <v>16.257200000000001</v>
      </c>
      <c r="L337" s="14">
        <f>CHOOSE(CONTROL!$C$42, 16.8699, 16.8699) * CHOOSE(CONTROL!$C$21, $C$9, 100%, $E$9)</f>
        <v>16.869900000000001</v>
      </c>
      <c r="M337" s="14">
        <f>CHOOSE(CONTROL!$C$42, 15.8671, 15.8671) * CHOOSE(CONTROL!$C$21, $C$9, 100%, $E$9)</f>
        <v>15.867100000000001</v>
      </c>
      <c r="N337" s="14">
        <f>CHOOSE(CONTROL!$C$42, 15.8843, 15.8843) * CHOOSE(CONTROL!$C$21, $C$9, 100%, $E$9)</f>
        <v>15.8843</v>
      </c>
      <c r="O337" s="14">
        <f>CHOOSE(CONTROL!$C$42, 15.957, 15.957) * CHOOSE(CONTROL!$C$21, $C$9, 100%, $E$9)</f>
        <v>15.957000000000001</v>
      </c>
      <c r="P337" s="14">
        <f>CHOOSE(CONTROL!$C$42, 15.9346, 15.9346) * CHOOSE(CONTROL!$C$21, $C$9, 100%, $E$9)</f>
        <v>15.9346</v>
      </c>
      <c r="Q337" s="14">
        <f>CHOOSE(CONTROL!$C$42, 16.5517, 16.5517) * CHOOSE(CONTROL!$C$21, $C$9, 100%, $E$9)</f>
        <v>16.5517</v>
      </c>
      <c r="R337" s="14">
        <f>CHOOSE(CONTROL!$C$42, 17.1801, 17.1801) * CHOOSE(CONTROL!$C$21, $C$9, 100%, $E$9)</f>
        <v>17.180099999999999</v>
      </c>
      <c r="S337" s="14">
        <f>CHOOSE(CONTROL!$C$42, 15.5341, 15.5341) * CHOOSE(CONTROL!$C$21, $C$9, 100%, $E$9)</f>
        <v>15.5341</v>
      </c>
      <c r="T33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56">
        <f>(1000*CHOOSE(CONTROL!$C$42, 695, 695)*CHOOSE(CONTROL!$C$42, 0.5599, 0.5599)*CHOOSE(CONTROL!$C$42, 31, 31))/1000000</f>
        <v>12.063045499999998</v>
      </c>
      <c r="V337" s="56">
        <f>(1000*CHOOSE(CONTROL!$C$42, 500, 500)*CHOOSE(CONTROL!$C$42, 0.275, 0.275)*CHOOSE(CONTROL!$C$42, 31, 31))/1000000</f>
        <v>4.2625000000000002</v>
      </c>
      <c r="W337" s="56">
        <f>(1000*CHOOSE(CONTROL!$C$42, 0.1146, 0.1146)*CHOOSE(CONTROL!$C$42, 121.5, 121.5)*CHOOSE(CONTROL!$C$42, 31, 31))/1000000</f>
        <v>0.43164089999999994</v>
      </c>
      <c r="X337" s="56">
        <f>(31*0.1790888*100000/1000000)+(31*0.2374*100000/1000000)</f>
        <v>1.2911152800000001</v>
      </c>
      <c r="Y337" s="56"/>
      <c r="Z337" s="14"/>
      <c r="AA337" s="55"/>
      <c r="AB337" s="49">
        <f>(B337*122.58+C337*297.941+D337*89.177+E337*40.302+F337*40+G337*160+H337*0+I337*100+J337*300)/(122.58+297.941+89.177+40.302+0+40+160+100+300)</f>
        <v>16.205231106782605</v>
      </c>
      <c r="AC337" s="44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15.918548201438849</v>
      </c>
    </row>
    <row r="338" spans="1:29" ht="15.75" x14ac:dyDescent="0.25">
      <c r="A338" s="32">
        <v>51194</v>
      </c>
      <c r="B338" s="14">
        <f>CHOOSE(CONTROL!$C$42, 16.4629, 16.4629) * CHOOSE(CONTROL!$C$21, $C$9, 100%, $E$9)</f>
        <v>16.462900000000001</v>
      </c>
      <c r="C338" s="14">
        <f>CHOOSE(CONTROL!$C$42, 16.468, 16.468) * CHOOSE(CONTROL!$C$21, $C$9, 100%, $E$9)</f>
        <v>16.468</v>
      </c>
      <c r="D338" s="14">
        <f>CHOOSE(CONTROL!$C$42, 16.5474, 16.5474) * CHOOSE(CONTROL!$C$21, $C$9, 100%, $E$9)</f>
        <v>16.5474</v>
      </c>
      <c r="E338" s="14">
        <f>CHOOSE(CONTROL!$C$42, 16.5815, 16.5815) * CHOOSE(CONTROL!$C$21, $C$9, 100%, $E$9)</f>
        <v>16.581499999999998</v>
      </c>
      <c r="F338" s="14">
        <f>CHOOSE(CONTROL!$C$42, 16.4857, 16.4857)*CHOOSE(CONTROL!$C$21, $C$9, 100%, $E$9)</f>
        <v>16.485700000000001</v>
      </c>
      <c r="G338" s="14">
        <f>CHOOSE(CONTROL!$C$42, 16.5031, 16.5031)*CHOOSE(CONTROL!$C$21, $C$9, 100%, $E$9)</f>
        <v>16.5031</v>
      </c>
      <c r="H338" s="14">
        <f>CHOOSE(CONTROL!$C$42, 16.5707, 16.5707) * CHOOSE(CONTROL!$C$21, $C$9, 100%, $E$9)</f>
        <v>16.570699999999999</v>
      </c>
      <c r="I338" s="14">
        <f>CHOOSE(CONTROL!$C$42, 16.5497, 16.5497)* CHOOSE(CONTROL!$C$21, $C$9, 100%, $E$9)</f>
        <v>16.549700000000001</v>
      </c>
      <c r="J338" s="14">
        <f>CHOOSE(CONTROL!$C$42, 16.4787, 16.4787)* CHOOSE(CONTROL!$C$21, $C$9, 100%, $E$9)</f>
        <v>16.4787</v>
      </c>
      <c r="K338" s="52">
        <f>CHOOSE(CONTROL!$C$42, 16.5458, 16.5458) * CHOOSE(CONTROL!$C$21, $C$9, 100%, $E$9)</f>
        <v>16.5458</v>
      </c>
      <c r="L338" s="14">
        <f>CHOOSE(CONTROL!$C$42, 17.1577, 17.1577) * CHOOSE(CONTROL!$C$21, $C$9, 100%, $E$9)</f>
        <v>17.157699999999998</v>
      </c>
      <c r="M338" s="14">
        <f>CHOOSE(CONTROL!$C$42, 16.1487, 16.1487) * CHOOSE(CONTROL!$C$21, $C$9, 100%, $E$9)</f>
        <v>16.148700000000002</v>
      </c>
      <c r="N338" s="14">
        <f>CHOOSE(CONTROL!$C$42, 16.1658, 16.1658) * CHOOSE(CONTROL!$C$21, $C$9, 100%, $E$9)</f>
        <v>16.165800000000001</v>
      </c>
      <c r="O338" s="14">
        <f>CHOOSE(CONTROL!$C$42, 16.2388, 16.2388) * CHOOSE(CONTROL!$C$21, $C$9, 100%, $E$9)</f>
        <v>16.238800000000001</v>
      </c>
      <c r="P338" s="14">
        <f>CHOOSE(CONTROL!$C$42, 16.2174, 16.2174) * CHOOSE(CONTROL!$C$21, $C$9, 100%, $E$9)</f>
        <v>16.217400000000001</v>
      </c>
      <c r="Q338" s="14">
        <f>CHOOSE(CONTROL!$C$42, 16.8335, 16.8335) * CHOOSE(CONTROL!$C$21, $C$9, 100%, $E$9)</f>
        <v>16.833500000000001</v>
      </c>
      <c r="R338" s="14">
        <f>CHOOSE(CONTROL!$C$42, 17.4626, 17.4626) * CHOOSE(CONTROL!$C$21, $C$9, 100%, $E$9)</f>
        <v>17.462599999999998</v>
      </c>
      <c r="S338" s="14">
        <f>CHOOSE(CONTROL!$C$42, 15.8106, 15.8106) * CHOOSE(CONTROL!$C$21, $C$9, 100%, $E$9)</f>
        <v>15.810600000000001</v>
      </c>
      <c r="T338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38" s="56">
        <f>(1000*CHOOSE(CONTROL!$C$42, 695, 695)*CHOOSE(CONTROL!$C$42, 0.5599, 0.5599)*CHOOSE(CONTROL!$C$42, 29, 29))/1000000</f>
        <v>11.284784499999999</v>
      </c>
      <c r="V338" s="56">
        <f>(1000*CHOOSE(CONTROL!$C$42, 500, 500)*CHOOSE(CONTROL!$C$42, 0.275, 0.275)*CHOOSE(CONTROL!$C$42, 29, 29))/1000000</f>
        <v>3.9874999999999998</v>
      </c>
      <c r="W338" s="56">
        <f>(1000*CHOOSE(CONTROL!$C$42, 0.1146, 0.1146)*CHOOSE(CONTROL!$C$42, 121.5, 121.5)*CHOOSE(CONTROL!$C$42, 29, 29))/1000000</f>
        <v>0.40379309999999996</v>
      </c>
      <c r="X338" s="56">
        <f>(29*0.1790888*100000/1000000)+(29*0.2374*100000/1000000)</f>
        <v>1.2078175199999999</v>
      </c>
      <c r="Y338" s="56"/>
      <c r="Z338" s="14"/>
      <c r="AA338" s="55"/>
      <c r="AB338" s="49">
        <f>(B338*122.58+C338*297.941+D338*89.177+E338*40.302+F338*40+G338*160+H338*0+I338*100+J338*300)/(122.58+297.941+89.177+40.302+0+40+160+100+300)</f>
        <v>16.492985889391306</v>
      </c>
      <c r="AC338" s="44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16.200405755395686</v>
      </c>
    </row>
    <row r="339" spans="1:29" ht="15.75" x14ac:dyDescent="0.25">
      <c r="A339" s="32">
        <v>51226</v>
      </c>
      <c r="B339" s="14">
        <f>CHOOSE(CONTROL!$C$42, 15.9958, 15.9958) * CHOOSE(CONTROL!$C$21, $C$9, 100%, $E$9)</f>
        <v>15.995799999999999</v>
      </c>
      <c r="C339" s="14">
        <f>CHOOSE(CONTROL!$C$42, 16.0008, 16.0008) * CHOOSE(CONTROL!$C$21, $C$9, 100%, $E$9)</f>
        <v>16.000800000000002</v>
      </c>
      <c r="D339" s="14">
        <f>CHOOSE(CONTROL!$C$42, 16.0803, 16.0803) * CHOOSE(CONTROL!$C$21, $C$9, 100%, $E$9)</f>
        <v>16.080300000000001</v>
      </c>
      <c r="E339" s="14">
        <f>CHOOSE(CONTROL!$C$42, 16.1144, 16.1144) * CHOOSE(CONTROL!$C$21, $C$9, 100%, $E$9)</f>
        <v>16.1144</v>
      </c>
      <c r="F339" s="14">
        <f>CHOOSE(CONTROL!$C$42, 16.0178, 16.0178)*CHOOSE(CONTROL!$C$21, $C$9, 100%, $E$9)</f>
        <v>16.017800000000001</v>
      </c>
      <c r="G339" s="14">
        <f>CHOOSE(CONTROL!$C$42, 16.0351, 16.0351)*CHOOSE(CONTROL!$C$21, $C$9, 100%, $E$9)</f>
        <v>16.0351</v>
      </c>
      <c r="H339" s="14">
        <f>CHOOSE(CONTROL!$C$42, 16.1036, 16.1036) * CHOOSE(CONTROL!$C$21, $C$9, 100%, $E$9)</f>
        <v>16.1036</v>
      </c>
      <c r="I339" s="14">
        <f>CHOOSE(CONTROL!$C$42, 16.0812, 16.0812)* CHOOSE(CONTROL!$C$21, $C$9, 100%, $E$9)</f>
        <v>16.081199999999999</v>
      </c>
      <c r="J339" s="14">
        <f>CHOOSE(CONTROL!$C$42, 16.0108, 16.0108)* CHOOSE(CONTROL!$C$21, $C$9, 100%, $E$9)</f>
        <v>16.0108</v>
      </c>
      <c r="K339" s="52">
        <f>CHOOSE(CONTROL!$C$42, 16.0773, 16.0773) * CHOOSE(CONTROL!$C$21, $C$9, 100%, $E$9)</f>
        <v>16.077300000000001</v>
      </c>
      <c r="L339" s="14">
        <f>CHOOSE(CONTROL!$C$42, 16.6906, 16.6906) * CHOOSE(CONTROL!$C$21, $C$9, 100%, $E$9)</f>
        <v>16.6906</v>
      </c>
      <c r="M339" s="14">
        <f>CHOOSE(CONTROL!$C$42, 15.6905, 15.6905) * CHOOSE(CONTROL!$C$21, $C$9, 100%, $E$9)</f>
        <v>15.6905</v>
      </c>
      <c r="N339" s="14">
        <f>CHOOSE(CONTROL!$C$42, 15.7074, 15.7074) * CHOOSE(CONTROL!$C$21, $C$9, 100%, $E$9)</f>
        <v>15.7074</v>
      </c>
      <c r="O339" s="14">
        <f>CHOOSE(CONTROL!$C$42, 15.7813, 15.7813) * CHOOSE(CONTROL!$C$21, $C$9, 100%, $E$9)</f>
        <v>15.7813</v>
      </c>
      <c r="P339" s="14">
        <f>CHOOSE(CONTROL!$C$42, 15.7584, 15.7584) * CHOOSE(CONTROL!$C$21, $C$9, 100%, $E$9)</f>
        <v>15.7584</v>
      </c>
      <c r="Q339" s="14">
        <f>CHOOSE(CONTROL!$C$42, 16.376, 16.376) * CHOOSE(CONTROL!$C$21, $C$9, 100%, $E$9)</f>
        <v>16.376000000000001</v>
      </c>
      <c r="R339" s="14">
        <f>CHOOSE(CONTROL!$C$42, 17.0039, 17.0039) * CHOOSE(CONTROL!$C$21, $C$9, 100%, $E$9)</f>
        <v>17.003900000000002</v>
      </c>
      <c r="S339" s="14">
        <f>CHOOSE(CONTROL!$C$42, 15.3618, 15.3618) * CHOOSE(CONTROL!$C$21, $C$9, 100%, $E$9)</f>
        <v>15.361800000000001</v>
      </c>
      <c r="T33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56">
        <f>(1000*CHOOSE(CONTROL!$C$42, 695, 695)*CHOOSE(CONTROL!$C$42, 0.5599, 0.5599)*CHOOSE(CONTROL!$C$42, 31, 31))/1000000</f>
        <v>12.063045499999998</v>
      </c>
      <c r="V339" s="56">
        <f>(1000*CHOOSE(CONTROL!$C$42, 500, 500)*CHOOSE(CONTROL!$C$42, 0.275, 0.275)*CHOOSE(CONTROL!$C$42, 31, 31))/1000000</f>
        <v>4.2625000000000002</v>
      </c>
      <c r="W339" s="56">
        <f>(1000*CHOOSE(CONTROL!$C$42, 0.1146, 0.1146)*CHOOSE(CONTROL!$C$42, 121.5, 121.5)*CHOOSE(CONTROL!$C$42, 31, 31))/1000000</f>
        <v>0.43164089999999994</v>
      </c>
      <c r="X339" s="56">
        <f>(31*0.1790888*100000/1000000)+(31*0.2374*100000/1000000)</f>
        <v>1.2911152800000001</v>
      </c>
      <c r="Y339" s="56"/>
      <c r="Z339" s="14"/>
      <c r="AA339" s="55"/>
      <c r="AB339" s="49">
        <f>(B339*122.58+C339*297.941+D339*89.177+E339*40.302+F339*40+G339*160+H339*0+I339*100+J339*300)/(122.58+297.941+89.177+40.302+0+40+160+100+300)</f>
        <v>16.025376503217394</v>
      </c>
      <c r="AC339" s="44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15.742396402877699</v>
      </c>
    </row>
    <row r="340" spans="1:29" ht="15.75" x14ac:dyDescent="0.25">
      <c r="A340" s="32">
        <v>51256</v>
      </c>
      <c r="B340" s="14">
        <f>CHOOSE(CONTROL!$C$42, 15.9489, 15.9489) * CHOOSE(CONTROL!$C$21, $C$9, 100%, $E$9)</f>
        <v>15.9489</v>
      </c>
      <c r="C340" s="14">
        <f>CHOOSE(CONTROL!$C$42, 15.9534, 15.9534) * CHOOSE(CONTROL!$C$21, $C$9, 100%, $E$9)</f>
        <v>15.9534</v>
      </c>
      <c r="D340" s="14">
        <f>CHOOSE(CONTROL!$C$42, 16.1823, 16.1823) * CHOOSE(CONTROL!$C$21, $C$9, 100%, $E$9)</f>
        <v>16.182300000000001</v>
      </c>
      <c r="E340" s="14">
        <f>CHOOSE(CONTROL!$C$42, 16.2144, 16.2144) * CHOOSE(CONTROL!$C$21, $C$9, 100%, $E$9)</f>
        <v>16.214400000000001</v>
      </c>
      <c r="F340" s="14">
        <f>CHOOSE(CONTROL!$C$42, 15.9759, 15.9759)*CHOOSE(CONTROL!$C$21, $C$9, 100%, $E$9)</f>
        <v>15.975899999999999</v>
      </c>
      <c r="G340" s="14">
        <f>CHOOSE(CONTROL!$C$42, 15.9926, 15.9926)*CHOOSE(CONTROL!$C$21, $C$9, 100%, $E$9)</f>
        <v>15.992599999999999</v>
      </c>
      <c r="H340" s="14">
        <f>CHOOSE(CONTROL!$C$42, 16.2042, 16.2042) * CHOOSE(CONTROL!$C$21, $C$9, 100%, $E$9)</f>
        <v>16.2042</v>
      </c>
      <c r="I340" s="14">
        <f>CHOOSE(CONTROL!$C$42, 16.0318, 16.0318)* CHOOSE(CONTROL!$C$21, $C$9, 100%, $E$9)</f>
        <v>16.0318</v>
      </c>
      <c r="J340" s="14">
        <f>CHOOSE(CONTROL!$C$42, 15.9689, 15.9689)* CHOOSE(CONTROL!$C$21, $C$9, 100%, $E$9)</f>
        <v>15.9689</v>
      </c>
      <c r="K340" s="52">
        <f>CHOOSE(CONTROL!$C$42, 16.0279, 16.0279) * CHOOSE(CONTROL!$C$21, $C$9, 100%, $E$9)</f>
        <v>16.027899999999999</v>
      </c>
      <c r="L340" s="14">
        <f>CHOOSE(CONTROL!$C$42, 16.7912, 16.7912) * CHOOSE(CONTROL!$C$21, $C$9, 100%, $E$9)</f>
        <v>16.7912</v>
      </c>
      <c r="M340" s="14">
        <f>CHOOSE(CONTROL!$C$42, 15.6494, 15.6494) * CHOOSE(CONTROL!$C$21, $C$9, 100%, $E$9)</f>
        <v>15.6494</v>
      </c>
      <c r="N340" s="14">
        <f>CHOOSE(CONTROL!$C$42, 15.6658, 15.6658) * CHOOSE(CONTROL!$C$21, $C$9, 100%, $E$9)</f>
        <v>15.665800000000001</v>
      </c>
      <c r="O340" s="14">
        <f>CHOOSE(CONTROL!$C$42, 15.8799, 15.8799) * CHOOSE(CONTROL!$C$21, $C$9, 100%, $E$9)</f>
        <v>15.879899999999999</v>
      </c>
      <c r="P340" s="14">
        <f>CHOOSE(CONTROL!$C$42, 15.7101, 15.7101) * CHOOSE(CONTROL!$C$21, $C$9, 100%, $E$9)</f>
        <v>15.710100000000001</v>
      </c>
      <c r="Q340" s="14">
        <f>CHOOSE(CONTROL!$C$42, 16.4746, 16.4746) * CHOOSE(CONTROL!$C$21, $C$9, 100%, $E$9)</f>
        <v>16.474599999999999</v>
      </c>
      <c r="R340" s="14">
        <f>CHOOSE(CONTROL!$C$42, 17.1028, 17.1028) * CHOOSE(CONTROL!$C$21, $C$9, 100%, $E$9)</f>
        <v>17.102799999999998</v>
      </c>
      <c r="S340" s="14">
        <f>CHOOSE(CONTROL!$C$42, 15.316, 15.316) * CHOOSE(CONTROL!$C$21, $C$9, 100%, $E$9)</f>
        <v>15.316000000000001</v>
      </c>
      <c r="T34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56">
        <f>(1000*CHOOSE(CONTROL!$C$42, 695, 695)*CHOOSE(CONTROL!$C$42, 0.5599, 0.5599)*CHOOSE(CONTROL!$C$42, 30, 30))/1000000</f>
        <v>11.673914999999997</v>
      </c>
      <c r="V340" s="56">
        <f>(1000*CHOOSE(CONTROL!$C$42, 500, 500)*CHOOSE(CONTROL!$C$42, 0.275, 0.275)*CHOOSE(CONTROL!$C$42, 30, 30))/1000000</f>
        <v>4.125</v>
      </c>
      <c r="W340" s="56">
        <f>(1000*CHOOSE(CONTROL!$C$42, 0.1146, 0.1146)*CHOOSE(CONTROL!$C$42, 121.5, 121.5)*CHOOSE(CONTROL!$C$42, 30, 30))/1000000</f>
        <v>0.417717</v>
      </c>
      <c r="X340" s="56">
        <f>(30*0.1790888*245000/1000000)+(30*0.2374*100000/1000000)</f>
        <v>2.0285026799999999</v>
      </c>
      <c r="Y340" s="56"/>
      <c r="Z340" s="14"/>
      <c r="AA340" s="55"/>
      <c r="AB340" s="49">
        <f>(B340*141.293+C340*267.993+D340*115.016+E340*89.698+F340*40+G340*185+H340*0+I340*100+J340*300)/(141.293+267.993+115.016+89.698+0+40+185+100+300)</f>
        <v>16.009690978127523</v>
      </c>
      <c r="AC340" s="44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15.726582014388489</v>
      </c>
    </row>
    <row r="341" spans="1:29" ht="15.75" x14ac:dyDescent="0.25">
      <c r="A341" s="32">
        <v>51287</v>
      </c>
      <c r="B341" s="14">
        <f>CHOOSE(CONTROL!$C$42, 16.091, 16.091) * CHOOSE(CONTROL!$C$21, $C$9, 100%, $E$9)</f>
        <v>16.091000000000001</v>
      </c>
      <c r="C341" s="14">
        <f>CHOOSE(CONTROL!$C$42, 16.099, 16.099) * CHOOSE(CONTROL!$C$21, $C$9, 100%, $E$9)</f>
        <v>16.099</v>
      </c>
      <c r="D341" s="14">
        <f>CHOOSE(CONTROL!$C$42, 16.3248, 16.3248) * CHOOSE(CONTROL!$C$21, $C$9, 100%, $E$9)</f>
        <v>16.3248</v>
      </c>
      <c r="E341" s="14">
        <f>CHOOSE(CONTROL!$C$42, 16.3563, 16.3563) * CHOOSE(CONTROL!$C$21, $C$9, 100%, $E$9)</f>
        <v>16.356300000000001</v>
      </c>
      <c r="F341" s="14">
        <f>CHOOSE(CONTROL!$C$42, 16.1166, 16.1166)*CHOOSE(CONTROL!$C$21, $C$9, 100%, $E$9)</f>
        <v>16.116599999999998</v>
      </c>
      <c r="G341" s="14">
        <f>CHOOSE(CONTROL!$C$42, 16.1336, 16.1336)*CHOOSE(CONTROL!$C$21, $C$9, 100%, $E$9)</f>
        <v>16.133600000000001</v>
      </c>
      <c r="H341" s="14">
        <f>CHOOSE(CONTROL!$C$42, 16.3449, 16.3449) * CHOOSE(CONTROL!$C$21, $C$9, 100%, $E$9)</f>
        <v>16.344899999999999</v>
      </c>
      <c r="I341" s="14">
        <f>CHOOSE(CONTROL!$C$42, 16.1729, 16.1729)* CHOOSE(CONTROL!$C$21, $C$9, 100%, $E$9)</f>
        <v>16.172899999999998</v>
      </c>
      <c r="J341" s="14">
        <f>CHOOSE(CONTROL!$C$42, 16.1096, 16.1096)* CHOOSE(CONTROL!$C$21, $C$9, 100%, $E$9)</f>
        <v>16.1096</v>
      </c>
      <c r="K341" s="52">
        <f>CHOOSE(CONTROL!$C$42, 16.169, 16.169) * CHOOSE(CONTROL!$C$21, $C$9, 100%, $E$9)</f>
        <v>16.169</v>
      </c>
      <c r="L341" s="14">
        <f>CHOOSE(CONTROL!$C$42, 16.9319, 16.9319) * CHOOSE(CONTROL!$C$21, $C$9, 100%, $E$9)</f>
        <v>16.931899999999999</v>
      </c>
      <c r="M341" s="14">
        <f>CHOOSE(CONTROL!$C$42, 15.7873, 15.7873) * CHOOSE(CONTROL!$C$21, $C$9, 100%, $E$9)</f>
        <v>15.7873</v>
      </c>
      <c r="N341" s="14">
        <f>CHOOSE(CONTROL!$C$42, 15.8039, 15.8039) * CHOOSE(CONTROL!$C$21, $C$9, 100%, $E$9)</f>
        <v>15.803900000000001</v>
      </c>
      <c r="O341" s="14">
        <f>CHOOSE(CONTROL!$C$42, 16.0177, 16.0177) * CHOOSE(CONTROL!$C$21, $C$9, 100%, $E$9)</f>
        <v>16.017700000000001</v>
      </c>
      <c r="P341" s="14">
        <f>CHOOSE(CONTROL!$C$42, 15.8483, 15.8483) * CHOOSE(CONTROL!$C$21, $C$9, 100%, $E$9)</f>
        <v>15.8483</v>
      </c>
      <c r="Q341" s="14">
        <f>CHOOSE(CONTROL!$C$42, 16.6124, 16.6124) * CHOOSE(CONTROL!$C$21, $C$9, 100%, $E$9)</f>
        <v>16.612400000000001</v>
      </c>
      <c r="R341" s="14">
        <f>CHOOSE(CONTROL!$C$42, 17.2409, 17.2409) * CHOOSE(CONTROL!$C$21, $C$9, 100%, $E$9)</f>
        <v>17.2409</v>
      </c>
      <c r="S341" s="14">
        <f>CHOOSE(CONTROL!$C$42, 15.4512, 15.4512) * CHOOSE(CONTROL!$C$21, $C$9, 100%, $E$9)</f>
        <v>15.4512</v>
      </c>
      <c r="T34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56">
        <f>(1000*CHOOSE(CONTROL!$C$42, 695, 695)*CHOOSE(CONTROL!$C$42, 0.5599, 0.5599)*CHOOSE(CONTROL!$C$42, 31, 31))/1000000</f>
        <v>12.063045499999998</v>
      </c>
      <c r="V341" s="56">
        <f>(1000*CHOOSE(CONTROL!$C$42, 500, 500)*CHOOSE(CONTROL!$C$42, 0.275, 0.275)*CHOOSE(CONTROL!$C$42, 31, 31))/1000000</f>
        <v>4.2625000000000002</v>
      </c>
      <c r="W341" s="56">
        <f>(1000*CHOOSE(CONTROL!$C$42, 0.1146, 0.1146)*CHOOSE(CONTROL!$C$42, 121.5, 121.5)*CHOOSE(CONTROL!$C$42, 31, 31))/1000000</f>
        <v>0.43164089999999994</v>
      </c>
      <c r="X341" s="56">
        <f>(31*0.1790888*245000/1000000)+(31*0.2374*100000/1000000)</f>
        <v>2.0961194359999999</v>
      </c>
      <c r="Y341" s="56"/>
      <c r="Z341" s="14"/>
      <c r="AA341" s="55"/>
      <c r="AB341" s="49">
        <f>(B341*194.205+C341*267.466+D341*133.845+E341*53.484+F341*40+G341*185+H341*0+I341*100+J341*300)/(194.205+267.466+133.845+53.484+0+40+185+100+300)</f>
        <v>16.146178174411304</v>
      </c>
      <c r="AC341" s="44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15.864543165467627</v>
      </c>
    </row>
    <row r="342" spans="1:29" ht="15.75" x14ac:dyDescent="0.25">
      <c r="A342" s="32">
        <v>51317</v>
      </c>
      <c r="B342" s="14">
        <f>CHOOSE(CONTROL!$C$42, 16.5471, 16.5471) * CHOOSE(CONTROL!$C$21, $C$9, 100%, $E$9)</f>
        <v>16.5471</v>
      </c>
      <c r="C342" s="14">
        <f>CHOOSE(CONTROL!$C$42, 16.5551, 16.5551) * CHOOSE(CONTROL!$C$21, $C$9, 100%, $E$9)</f>
        <v>16.555099999999999</v>
      </c>
      <c r="D342" s="14">
        <f>CHOOSE(CONTROL!$C$42, 16.7809, 16.7809) * CHOOSE(CONTROL!$C$21, $C$9, 100%, $E$9)</f>
        <v>16.780899999999999</v>
      </c>
      <c r="E342" s="14">
        <f>CHOOSE(CONTROL!$C$42, 16.8124, 16.8124) * CHOOSE(CONTROL!$C$21, $C$9, 100%, $E$9)</f>
        <v>16.8124</v>
      </c>
      <c r="F342" s="14">
        <f>CHOOSE(CONTROL!$C$42, 16.5732, 16.5732)*CHOOSE(CONTROL!$C$21, $C$9, 100%, $E$9)</f>
        <v>16.5732</v>
      </c>
      <c r="G342" s="14">
        <f>CHOOSE(CONTROL!$C$42, 16.5903, 16.5903)*CHOOSE(CONTROL!$C$21, $C$9, 100%, $E$9)</f>
        <v>16.590299999999999</v>
      </c>
      <c r="H342" s="14">
        <f>CHOOSE(CONTROL!$C$42, 16.801, 16.801) * CHOOSE(CONTROL!$C$21, $C$9, 100%, $E$9)</f>
        <v>16.800999999999998</v>
      </c>
      <c r="I342" s="14">
        <f>CHOOSE(CONTROL!$C$42, 16.6304, 16.6304)* CHOOSE(CONTROL!$C$21, $C$9, 100%, $E$9)</f>
        <v>16.630400000000002</v>
      </c>
      <c r="J342" s="14">
        <f>CHOOSE(CONTROL!$C$42, 16.5662, 16.5662)* CHOOSE(CONTROL!$C$21, $C$9, 100%, $E$9)</f>
        <v>16.566199999999998</v>
      </c>
      <c r="K342" s="52">
        <f>CHOOSE(CONTROL!$C$42, 16.6266, 16.6266) * CHOOSE(CONTROL!$C$21, $C$9, 100%, $E$9)</f>
        <v>16.6266</v>
      </c>
      <c r="L342" s="14">
        <f>CHOOSE(CONTROL!$C$42, 17.388, 17.388) * CHOOSE(CONTROL!$C$21, $C$9, 100%, $E$9)</f>
        <v>17.388000000000002</v>
      </c>
      <c r="M342" s="14">
        <f>CHOOSE(CONTROL!$C$42, 16.2344, 16.2344) * CHOOSE(CONTROL!$C$21, $C$9, 100%, $E$9)</f>
        <v>16.234400000000001</v>
      </c>
      <c r="N342" s="14">
        <f>CHOOSE(CONTROL!$C$42, 16.2512, 16.2512) * CHOOSE(CONTROL!$C$21, $C$9, 100%, $E$9)</f>
        <v>16.251200000000001</v>
      </c>
      <c r="O342" s="14">
        <f>CHOOSE(CONTROL!$C$42, 16.4644, 16.4644) * CHOOSE(CONTROL!$C$21, $C$9, 100%, $E$9)</f>
        <v>16.464400000000001</v>
      </c>
      <c r="P342" s="14">
        <f>CHOOSE(CONTROL!$C$42, 16.2964, 16.2964) * CHOOSE(CONTROL!$C$21, $C$9, 100%, $E$9)</f>
        <v>16.296399999999998</v>
      </c>
      <c r="Q342" s="14">
        <f>CHOOSE(CONTROL!$C$42, 17.0591, 17.0591) * CHOOSE(CONTROL!$C$21, $C$9, 100%, $E$9)</f>
        <v>17.059100000000001</v>
      </c>
      <c r="R342" s="14">
        <f>CHOOSE(CONTROL!$C$42, 17.6888, 17.6888) * CHOOSE(CONTROL!$C$21, $C$9, 100%, $E$9)</f>
        <v>17.688800000000001</v>
      </c>
      <c r="S342" s="14">
        <f>CHOOSE(CONTROL!$C$42, 15.8895, 15.8895) * CHOOSE(CONTROL!$C$21, $C$9, 100%, $E$9)</f>
        <v>15.8895</v>
      </c>
      <c r="T34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56">
        <f>(1000*CHOOSE(CONTROL!$C$42, 695, 695)*CHOOSE(CONTROL!$C$42, 0.5599, 0.5599)*CHOOSE(CONTROL!$C$42, 30, 30))/1000000</f>
        <v>11.673914999999997</v>
      </c>
      <c r="V342" s="56">
        <f>(1000*CHOOSE(CONTROL!$C$42, 500, 500)*CHOOSE(CONTROL!$C$42, 0.275, 0.275)*CHOOSE(CONTROL!$C$42, 30, 30))/1000000</f>
        <v>4.125</v>
      </c>
      <c r="W342" s="56">
        <f>(1000*CHOOSE(CONTROL!$C$42, 0.1146, 0.1146)*CHOOSE(CONTROL!$C$42, 121.5, 121.5)*CHOOSE(CONTROL!$C$42, 30, 30))/1000000</f>
        <v>0.417717</v>
      </c>
      <c r="X342" s="56">
        <f>(30*0.1790888*245000/1000000)+(30*0.2374*100000/1000000)</f>
        <v>2.0285026799999999</v>
      </c>
      <c r="Y342" s="56"/>
      <c r="Z342" s="14"/>
      <c r="AA342" s="55"/>
      <c r="AB342" s="49">
        <f>(B342*194.205+C342*267.466+D342*133.845+E342*53.484+F342*40+G342*185+H342*0+I342*100+J342*300)/(194.205+267.466+133.845+53.484+0+40+185+100+300)</f>
        <v>16.602608629670332</v>
      </c>
      <c r="AC342" s="44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16.311720863309354</v>
      </c>
    </row>
    <row r="343" spans="1:29" ht="15.75" x14ac:dyDescent="0.25">
      <c r="A343" s="32">
        <v>51348</v>
      </c>
      <c r="B343" s="14">
        <f>CHOOSE(CONTROL!$C$42, 16.2299, 16.2299) * CHOOSE(CONTROL!$C$21, $C$9, 100%, $E$9)</f>
        <v>16.229900000000001</v>
      </c>
      <c r="C343" s="14">
        <f>CHOOSE(CONTROL!$C$42, 16.2379, 16.2379) * CHOOSE(CONTROL!$C$21, $C$9, 100%, $E$9)</f>
        <v>16.2379</v>
      </c>
      <c r="D343" s="14">
        <f>CHOOSE(CONTROL!$C$42, 16.4637, 16.4637) * CHOOSE(CONTROL!$C$21, $C$9, 100%, $E$9)</f>
        <v>16.463699999999999</v>
      </c>
      <c r="E343" s="14">
        <f>CHOOSE(CONTROL!$C$42, 16.4951, 16.4951) * CHOOSE(CONTROL!$C$21, $C$9, 100%, $E$9)</f>
        <v>16.495100000000001</v>
      </c>
      <c r="F343" s="14">
        <f>CHOOSE(CONTROL!$C$42, 16.2564, 16.2564)*CHOOSE(CONTROL!$C$21, $C$9, 100%, $E$9)</f>
        <v>16.256399999999999</v>
      </c>
      <c r="G343" s="14">
        <f>CHOOSE(CONTROL!$C$42, 16.2736, 16.2736)*CHOOSE(CONTROL!$C$21, $C$9, 100%, $E$9)</f>
        <v>16.273599999999998</v>
      </c>
      <c r="H343" s="14">
        <f>CHOOSE(CONTROL!$C$42, 16.4838, 16.4838) * CHOOSE(CONTROL!$C$21, $C$9, 100%, $E$9)</f>
        <v>16.483799999999999</v>
      </c>
      <c r="I343" s="14">
        <f>CHOOSE(CONTROL!$C$42, 16.3122, 16.3122)* CHOOSE(CONTROL!$C$21, $C$9, 100%, $E$9)</f>
        <v>16.312200000000001</v>
      </c>
      <c r="J343" s="14">
        <f>CHOOSE(CONTROL!$C$42, 16.2494, 16.2494)* CHOOSE(CONTROL!$C$21, $C$9, 100%, $E$9)</f>
        <v>16.249400000000001</v>
      </c>
      <c r="K343" s="52">
        <f>CHOOSE(CONTROL!$C$42, 16.3083, 16.3083) * CHOOSE(CONTROL!$C$21, $C$9, 100%, $E$9)</f>
        <v>16.308299999999999</v>
      </c>
      <c r="L343" s="14">
        <f>CHOOSE(CONTROL!$C$42, 17.0708, 17.0708) * CHOOSE(CONTROL!$C$21, $C$9, 100%, $E$9)</f>
        <v>17.070799999999998</v>
      </c>
      <c r="M343" s="14">
        <f>CHOOSE(CONTROL!$C$42, 15.9242, 15.9242) * CHOOSE(CONTROL!$C$21, $C$9, 100%, $E$9)</f>
        <v>15.924200000000001</v>
      </c>
      <c r="N343" s="14">
        <f>CHOOSE(CONTROL!$C$42, 15.941, 15.941) * CHOOSE(CONTROL!$C$21, $C$9, 100%, $E$9)</f>
        <v>15.941000000000001</v>
      </c>
      <c r="O343" s="14">
        <f>CHOOSE(CONTROL!$C$42, 16.1537, 16.1537) * CHOOSE(CONTROL!$C$21, $C$9, 100%, $E$9)</f>
        <v>16.153700000000001</v>
      </c>
      <c r="P343" s="14">
        <f>CHOOSE(CONTROL!$C$42, 15.9847, 15.9847) * CHOOSE(CONTROL!$C$21, $C$9, 100%, $E$9)</f>
        <v>15.9847</v>
      </c>
      <c r="Q343" s="14">
        <f>CHOOSE(CONTROL!$C$42, 16.7484, 16.7484) * CHOOSE(CONTROL!$C$21, $C$9, 100%, $E$9)</f>
        <v>16.7484</v>
      </c>
      <c r="R343" s="14">
        <f>CHOOSE(CONTROL!$C$42, 17.3773, 17.3773) * CHOOSE(CONTROL!$C$21, $C$9, 100%, $E$9)</f>
        <v>17.377300000000002</v>
      </c>
      <c r="S343" s="14">
        <f>CHOOSE(CONTROL!$C$42, 15.5846, 15.5846) * CHOOSE(CONTROL!$C$21, $C$9, 100%, $E$9)</f>
        <v>15.5846</v>
      </c>
      <c r="T34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56">
        <f>(1000*CHOOSE(CONTROL!$C$42, 695, 695)*CHOOSE(CONTROL!$C$42, 0.5599, 0.5599)*CHOOSE(CONTROL!$C$42, 31, 31))/1000000</f>
        <v>12.063045499999998</v>
      </c>
      <c r="V343" s="56">
        <f>(1000*CHOOSE(CONTROL!$C$42, 500, 500)*CHOOSE(CONTROL!$C$42, 0.275, 0.275)*CHOOSE(CONTROL!$C$42, 31, 31))/1000000</f>
        <v>4.2625000000000002</v>
      </c>
      <c r="W343" s="56">
        <f>(1000*CHOOSE(CONTROL!$C$42, 0.1146, 0.1146)*CHOOSE(CONTROL!$C$42, 121.5, 121.5)*CHOOSE(CONTROL!$C$42, 31, 31))/1000000</f>
        <v>0.43164089999999994</v>
      </c>
      <c r="X343" s="56">
        <f>(31*0.1790888*245000/1000000)+(31*0.2374*100000/1000000)</f>
        <v>2.0961194359999999</v>
      </c>
      <c r="Y343" s="56"/>
      <c r="Z343" s="14"/>
      <c r="AA343" s="55"/>
      <c r="AB343" s="49">
        <f>(B343*194.205+C343*267.466+D343*133.845+E343*53.484+F343*40+G343*185+H343*0+I343*100+J343*300)/(194.205+267.466+133.845+53.484+0+40+185+100+300)</f>
        <v>16.285505294976453</v>
      </c>
      <c r="AC343" s="44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16.00116474820144</v>
      </c>
    </row>
    <row r="344" spans="1:29" ht="15.75" x14ac:dyDescent="0.25">
      <c r="A344" s="32">
        <v>51379</v>
      </c>
      <c r="B344" s="14">
        <f>CHOOSE(CONTROL!$C$42, 15.4288, 15.4288) * CHOOSE(CONTROL!$C$21, $C$9, 100%, $E$9)</f>
        <v>15.428800000000001</v>
      </c>
      <c r="C344" s="14">
        <f>CHOOSE(CONTROL!$C$42, 15.4368, 15.4368) * CHOOSE(CONTROL!$C$21, $C$9, 100%, $E$9)</f>
        <v>15.4368</v>
      </c>
      <c r="D344" s="14">
        <f>CHOOSE(CONTROL!$C$42, 15.6626, 15.6626) * CHOOSE(CONTROL!$C$21, $C$9, 100%, $E$9)</f>
        <v>15.662599999999999</v>
      </c>
      <c r="E344" s="14">
        <f>CHOOSE(CONTROL!$C$42, 15.6941, 15.6941) * CHOOSE(CONTROL!$C$21, $C$9, 100%, $E$9)</f>
        <v>15.694100000000001</v>
      </c>
      <c r="F344" s="14">
        <f>CHOOSE(CONTROL!$C$42, 15.4556, 15.4556)*CHOOSE(CONTROL!$C$21, $C$9, 100%, $E$9)</f>
        <v>15.4556</v>
      </c>
      <c r="G344" s="14">
        <f>CHOOSE(CONTROL!$C$42, 15.4729, 15.4729)*CHOOSE(CONTROL!$C$21, $C$9, 100%, $E$9)</f>
        <v>15.472899999999999</v>
      </c>
      <c r="H344" s="14">
        <f>CHOOSE(CONTROL!$C$42, 15.6827, 15.6827) * CHOOSE(CONTROL!$C$21, $C$9, 100%, $E$9)</f>
        <v>15.682700000000001</v>
      </c>
      <c r="I344" s="14">
        <f>CHOOSE(CONTROL!$C$42, 15.5086, 15.5086)* CHOOSE(CONTROL!$C$21, $C$9, 100%, $E$9)</f>
        <v>15.508599999999999</v>
      </c>
      <c r="J344" s="14">
        <f>CHOOSE(CONTROL!$C$42, 15.4486, 15.4486)* CHOOSE(CONTROL!$C$21, $C$9, 100%, $E$9)</f>
        <v>15.448600000000001</v>
      </c>
      <c r="K344" s="52">
        <f>CHOOSE(CONTROL!$C$42, 15.5047, 15.5047) * CHOOSE(CONTROL!$C$21, $C$9, 100%, $E$9)</f>
        <v>15.5047</v>
      </c>
      <c r="L344" s="14">
        <f>CHOOSE(CONTROL!$C$42, 16.2697, 16.2697) * CHOOSE(CONTROL!$C$21, $C$9, 100%, $E$9)</f>
        <v>16.2697</v>
      </c>
      <c r="M344" s="14">
        <f>CHOOSE(CONTROL!$C$42, 15.1397, 15.1397) * CHOOSE(CONTROL!$C$21, $C$9, 100%, $E$9)</f>
        <v>15.139699999999999</v>
      </c>
      <c r="N344" s="14">
        <f>CHOOSE(CONTROL!$C$42, 15.1567, 15.1567) * CHOOSE(CONTROL!$C$21, $C$9, 100%, $E$9)</f>
        <v>15.156700000000001</v>
      </c>
      <c r="O344" s="14">
        <f>CHOOSE(CONTROL!$C$42, 15.3691, 15.3691) * CHOOSE(CONTROL!$C$21, $C$9, 100%, $E$9)</f>
        <v>15.3691</v>
      </c>
      <c r="P344" s="14">
        <f>CHOOSE(CONTROL!$C$42, 15.1977, 15.1977) * CHOOSE(CONTROL!$C$21, $C$9, 100%, $E$9)</f>
        <v>15.197699999999999</v>
      </c>
      <c r="Q344" s="14">
        <f>CHOOSE(CONTROL!$C$42, 15.9638, 15.9638) * CHOOSE(CONTROL!$C$21, $C$9, 100%, $E$9)</f>
        <v>15.963800000000001</v>
      </c>
      <c r="R344" s="14">
        <f>CHOOSE(CONTROL!$C$42, 16.5907, 16.5907) * CHOOSE(CONTROL!$C$21, $C$9, 100%, $E$9)</f>
        <v>16.590699999999998</v>
      </c>
      <c r="S344" s="14">
        <f>CHOOSE(CONTROL!$C$42, 14.8149, 14.8149) * CHOOSE(CONTROL!$C$21, $C$9, 100%, $E$9)</f>
        <v>14.8149</v>
      </c>
      <c r="T34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56">
        <f>(1000*CHOOSE(CONTROL!$C$42, 695, 695)*CHOOSE(CONTROL!$C$42, 0.5599, 0.5599)*CHOOSE(CONTROL!$C$42, 31, 31))/1000000</f>
        <v>12.063045499999998</v>
      </c>
      <c r="V344" s="56">
        <f>(1000*CHOOSE(CONTROL!$C$42, 500, 500)*CHOOSE(CONTROL!$C$42, 0.275, 0.275)*CHOOSE(CONTROL!$C$42, 31, 31))/1000000</f>
        <v>4.2625000000000002</v>
      </c>
      <c r="W344" s="56">
        <f>(1000*CHOOSE(CONTROL!$C$42, 0.1146, 0.1146)*CHOOSE(CONTROL!$C$42, 121.5, 121.5)*CHOOSE(CONTROL!$C$42, 31, 31))/1000000</f>
        <v>0.43164089999999994</v>
      </c>
      <c r="X344" s="56">
        <f>(31*0.1790888*245000/1000000)+(31*0.2374*100000/1000000)</f>
        <v>2.0961194359999999</v>
      </c>
      <c r="Y344" s="56"/>
      <c r="Z344" s="14"/>
      <c r="AA344" s="55"/>
      <c r="AB344" s="49">
        <f>(B344*194.205+C344*267.466+D344*133.845+E344*53.484+F344*40+G344*185+H344*0+I344*100+J344*300)/(194.205+267.466+133.845+53.484+0+40+185+100+300)</f>
        <v>15.484351408320251</v>
      </c>
      <c r="AC344" s="44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15.216323021582735</v>
      </c>
    </row>
    <row r="345" spans="1:29" ht="15.75" x14ac:dyDescent="0.25">
      <c r="A345" s="32">
        <v>51409</v>
      </c>
      <c r="B345" s="14">
        <f>CHOOSE(CONTROL!$C$42, 14.4498, 14.4498) * CHOOSE(CONTROL!$C$21, $C$9, 100%, $E$9)</f>
        <v>14.4498</v>
      </c>
      <c r="C345" s="14">
        <f>CHOOSE(CONTROL!$C$42, 14.4578, 14.4578) * CHOOSE(CONTROL!$C$21, $C$9, 100%, $E$9)</f>
        <v>14.457800000000001</v>
      </c>
      <c r="D345" s="14">
        <f>CHOOSE(CONTROL!$C$42, 14.6836, 14.6836) * CHOOSE(CONTROL!$C$21, $C$9, 100%, $E$9)</f>
        <v>14.6836</v>
      </c>
      <c r="E345" s="14">
        <f>CHOOSE(CONTROL!$C$42, 14.715, 14.715) * CHOOSE(CONTROL!$C$21, $C$9, 100%, $E$9)</f>
        <v>14.715</v>
      </c>
      <c r="F345" s="14">
        <f>CHOOSE(CONTROL!$C$42, 14.4766, 14.4766)*CHOOSE(CONTROL!$C$21, $C$9, 100%, $E$9)</f>
        <v>14.476599999999999</v>
      </c>
      <c r="G345" s="14">
        <f>CHOOSE(CONTROL!$C$42, 14.4938, 14.4938)*CHOOSE(CONTROL!$C$21, $C$9, 100%, $E$9)</f>
        <v>14.4938</v>
      </c>
      <c r="H345" s="14">
        <f>CHOOSE(CONTROL!$C$42, 14.7037, 14.7037) * CHOOSE(CONTROL!$C$21, $C$9, 100%, $E$9)</f>
        <v>14.7037</v>
      </c>
      <c r="I345" s="14">
        <f>CHOOSE(CONTROL!$C$42, 14.5266, 14.5266)* CHOOSE(CONTROL!$C$21, $C$9, 100%, $E$9)</f>
        <v>14.5266</v>
      </c>
      <c r="J345" s="14">
        <f>CHOOSE(CONTROL!$C$42, 14.4696, 14.4696)* CHOOSE(CONTROL!$C$21, $C$9, 100%, $E$9)</f>
        <v>14.4696</v>
      </c>
      <c r="K345" s="52">
        <f>CHOOSE(CONTROL!$C$42, 14.5227, 14.5227) * CHOOSE(CONTROL!$C$21, $C$9, 100%, $E$9)</f>
        <v>14.5227</v>
      </c>
      <c r="L345" s="14">
        <f>CHOOSE(CONTROL!$C$42, 15.2907, 15.2907) * CHOOSE(CONTROL!$C$21, $C$9, 100%, $E$9)</f>
        <v>15.290699999999999</v>
      </c>
      <c r="M345" s="14">
        <f>CHOOSE(CONTROL!$C$42, 14.1808, 14.1808) * CHOOSE(CONTROL!$C$21, $C$9, 100%, $E$9)</f>
        <v>14.1808</v>
      </c>
      <c r="N345" s="14">
        <f>CHOOSE(CONTROL!$C$42, 14.1977, 14.1977) * CHOOSE(CONTROL!$C$21, $C$9, 100%, $E$9)</f>
        <v>14.197699999999999</v>
      </c>
      <c r="O345" s="14">
        <f>CHOOSE(CONTROL!$C$42, 14.4101, 14.4101) * CHOOSE(CONTROL!$C$21, $C$9, 100%, $E$9)</f>
        <v>14.4101</v>
      </c>
      <c r="P345" s="14">
        <f>CHOOSE(CONTROL!$C$42, 14.2358, 14.2358) * CHOOSE(CONTROL!$C$21, $C$9, 100%, $E$9)</f>
        <v>14.235799999999999</v>
      </c>
      <c r="Q345" s="14">
        <f>CHOOSE(CONTROL!$C$42, 15.0048, 15.0048) * CHOOSE(CONTROL!$C$21, $C$9, 100%, $E$9)</f>
        <v>15.004799999999999</v>
      </c>
      <c r="R345" s="14">
        <f>CHOOSE(CONTROL!$C$42, 15.6293, 15.6293) * CHOOSE(CONTROL!$C$21, $C$9, 100%, $E$9)</f>
        <v>15.629300000000001</v>
      </c>
      <c r="S345" s="14">
        <f>CHOOSE(CONTROL!$C$42, 13.8741, 13.8741) * CHOOSE(CONTROL!$C$21, $C$9, 100%, $E$9)</f>
        <v>13.8741</v>
      </c>
      <c r="T34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56">
        <f>(1000*CHOOSE(CONTROL!$C$42, 695, 695)*CHOOSE(CONTROL!$C$42, 0.5599, 0.5599)*CHOOSE(CONTROL!$C$42, 30, 30))/1000000</f>
        <v>11.673914999999997</v>
      </c>
      <c r="V345" s="56">
        <f>(1000*CHOOSE(CONTROL!$C$42, 500, 500)*CHOOSE(CONTROL!$C$42, 0.275, 0.275)*CHOOSE(CONTROL!$C$42, 30, 30))/1000000</f>
        <v>4.125</v>
      </c>
      <c r="W345" s="56">
        <f>(1000*CHOOSE(CONTROL!$C$42, 0.1146, 0.1146)*CHOOSE(CONTROL!$C$42, 121.5, 121.5)*CHOOSE(CONTROL!$C$42, 30, 30))/1000000</f>
        <v>0.417717</v>
      </c>
      <c r="X345" s="56">
        <f>(30*0.1790888*245000/1000000)+(30*0.2374*100000/1000000)</f>
        <v>2.0285026799999999</v>
      </c>
      <c r="Y345" s="56"/>
      <c r="Z345" s="14"/>
      <c r="AA345" s="55"/>
      <c r="AB345" s="49">
        <f>(B345*194.205+C345*267.466+D345*133.845+E345*53.484+F345*40+G345*185+H345*0+I345*100+J345*300)/(194.205+267.466+133.845+53.484+0+40+185+100+300)</f>
        <v>14.505097210204084</v>
      </c>
      <c r="AC345" s="44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14.256940287769785</v>
      </c>
    </row>
    <row r="346" spans="1:29" ht="15.75" x14ac:dyDescent="0.25">
      <c r="A346" s="32">
        <v>51440</v>
      </c>
      <c r="B346" s="14">
        <f>CHOOSE(CONTROL!$C$42, 14.1549, 14.1549) * CHOOSE(CONTROL!$C$21, $C$9, 100%, $E$9)</f>
        <v>14.1549</v>
      </c>
      <c r="C346" s="14">
        <f>CHOOSE(CONTROL!$C$42, 14.1602, 14.1602) * CHOOSE(CONTROL!$C$21, $C$9, 100%, $E$9)</f>
        <v>14.1602</v>
      </c>
      <c r="D346" s="14">
        <f>CHOOSE(CONTROL!$C$42, 14.3909, 14.3909) * CHOOSE(CONTROL!$C$21, $C$9, 100%, $E$9)</f>
        <v>14.3909</v>
      </c>
      <c r="E346" s="14">
        <f>CHOOSE(CONTROL!$C$42, 14.4201, 14.4201) * CHOOSE(CONTROL!$C$21, $C$9, 100%, $E$9)</f>
        <v>14.4201</v>
      </c>
      <c r="F346" s="14">
        <f>CHOOSE(CONTROL!$C$42, 14.1837, 14.1837)*CHOOSE(CONTROL!$C$21, $C$9, 100%, $E$9)</f>
        <v>14.1837</v>
      </c>
      <c r="G346" s="14">
        <f>CHOOSE(CONTROL!$C$42, 14.2008, 14.2008)*CHOOSE(CONTROL!$C$21, $C$9, 100%, $E$9)</f>
        <v>14.200799999999999</v>
      </c>
      <c r="H346" s="14">
        <f>CHOOSE(CONTROL!$C$42, 14.4105, 14.4105) * CHOOSE(CONTROL!$C$21, $C$9, 100%, $E$9)</f>
        <v>14.410500000000001</v>
      </c>
      <c r="I346" s="14">
        <f>CHOOSE(CONTROL!$C$42, 14.2325, 14.2325)* CHOOSE(CONTROL!$C$21, $C$9, 100%, $E$9)</f>
        <v>14.2325</v>
      </c>
      <c r="J346" s="14">
        <f>CHOOSE(CONTROL!$C$42, 14.1767, 14.1767)* CHOOSE(CONTROL!$C$21, $C$9, 100%, $E$9)</f>
        <v>14.1767</v>
      </c>
      <c r="K346" s="52">
        <f>CHOOSE(CONTROL!$C$42, 14.2286, 14.2286) * CHOOSE(CONTROL!$C$21, $C$9, 100%, $E$9)</f>
        <v>14.2286</v>
      </c>
      <c r="L346" s="14">
        <f>CHOOSE(CONTROL!$C$42, 14.9975, 14.9975) * CHOOSE(CONTROL!$C$21, $C$9, 100%, $E$9)</f>
        <v>14.9975</v>
      </c>
      <c r="M346" s="14">
        <f>CHOOSE(CONTROL!$C$42, 13.8939, 13.8939) * CHOOSE(CONTROL!$C$21, $C$9, 100%, $E$9)</f>
        <v>13.8939</v>
      </c>
      <c r="N346" s="14">
        <f>CHOOSE(CONTROL!$C$42, 13.9107, 13.9107) * CHOOSE(CONTROL!$C$21, $C$9, 100%, $E$9)</f>
        <v>13.9107</v>
      </c>
      <c r="O346" s="14">
        <f>CHOOSE(CONTROL!$C$42, 14.123, 14.123) * CHOOSE(CONTROL!$C$21, $C$9, 100%, $E$9)</f>
        <v>14.122999999999999</v>
      </c>
      <c r="P346" s="14">
        <f>CHOOSE(CONTROL!$C$42, 13.9478, 13.9478) * CHOOSE(CONTROL!$C$21, $C$9, 100%, $E$9)</f>
        <v>13.947800000000001</v>
      </c>
      <c r="Q346" s="14">
        <f>CHOOSE(CONTROL!$C$42, 14.7177, 14.7177) * CHOOSE(CONTROL!$C$21, $C$9, 100%, $E$9)</f>
        <v>14.717700000000001</v>
      </c>
      <c r="R346" s="14">
        <f>CHOOSE(CONTROL!$C$42, 15.3415, 15.3415) * CHOOSE(CONTROL!$C$21, $C$9, 100%, $E$9)</f>
        <v>15.3415</v>
      </c>
      <c r="S346" s="14">
        <f>CHOOSE(CONTROL!$C$42, 13.5925, 13.5925) * CHOOSE(CONTROL!$C$21, $C$9, 100%, $E$9)</f>
        <v>13.592499999999999</v>
      </c>
      <c r="T34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56">
        <f>(1000*CHOOSE(CONTROL!$C$42, 695, 695)*CHOOSE(CONTROL!$C$42, 0.5599, 0.5599)*CHOOSE(CONTROL!$C$42, 31, 31))/1000000</f>
        <v>12.063045499999998</v>
      </c>
      <c r="V346" s="56">
        <f>(1000*CHOOSE(CONTROL!$C$42, 500, 500)*CHOOSE(CONTROL!$C$42, 0.275, 0.275)*CHOOSE(CONTROL!$C$42, 31, 31))/1000000</f>
        <v>4.2625000000000002</v>
      </c>
      <c r="W346" s="56">
        <f>(1000*CHOOSE(CONTROL!$C$42, 0.1146, 0.1146)*CHOOSE(CONTROL!$C$42, 121.5, 121.5)*CHOOSE(CONTROL!$C$42, 31, 31))/1000000</f>
        <v>0.43164089999999994</v>
      </c>
      <c r="X346" s="56">
        <f>(31*0.1790888*245000/1000000)+(31*0.2374*100000/1000000)</f>
        <v>2.0961194359999999</v>
      </c>
      <c r="Y346" s="56"/>
      <c r="Z346" s="14"/>
      <c r="AA346" s="55"/>
      <c r="AB346" s="49">
        <f>(B346*131.881+C346*277.167+D346*79.08+E346*125.872+F346*40+G346*185+H346*0+I346*100+J346*300)/(131.881+277.167+79.08+125.872+0+40+185+100+300)</f>
        <v>14.217415431396288</v>
      </c>
      <c r="AC346" s="44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13.969802877697843</v>
      </c>
    </row>
    <row r="347" spans="1:29" ht="15.75" x14ac:dyDescent="0.25">
      <c r="A347" s="32">
        <v>51470</v>
      </c>
      <c r="B347" s="14">
        <f>CHOOSE(CONTROL!$C$42, 14.5271, 14.5271) * CHOOSE(CONTROL!$C$21, $C$9, 100%, $E$9)</f>
        <v>14.527100000000001</v>
      </c>
      <c r="C347" s="14">
        <f>CHOOSE(CONTROL!$C$42, 14.5321, 14.5321) * CHOOSE(CONTROL!$C$21, $C$9, 100%, $E$9)</f>
        <v>14.5321</v>
      </c>
      <c r="D347" s="14">
        <f>CHOOSE(CONTROL!$C$42, 14.6012, 14.6012) * CHOOSE(CONTROL!$C$21, $C$9, 100%, $E$9)</f>
        <v>14.6012</v>
      </c>
      <c r="E347" s="14">
        <f>CHOOSE(CONTROL!$C$42, 14.6353, 14.6353) * CHOOSE(CONTROL!$C$21, $C$9, 100%, $E$9)</f>
        <v>14.635300000000001</v>
      </c>
      <c r="F347" s="14">
        <f>CHOOSE(CONTROL!$C$42, 14.5627, 14.5627)*CHOOSE(CONTROL!$C$21, $C$9, 100%, $E$9)</f>
        <v>14.5627</v>
      </c>
      <c r="G347" s="14">
        <f>CHOOSE(CONTROL!$C$42, 14.5801, 14.5801)*CHOOSE(CONTROL!$C$21, $C$9, 100%, $E$9)</f>
        <v>14.5801</v>
      </c>
      <c r="H347" s="14">
        <f>CHOOSE(CONTROL!$C$42, 14.6245, 14.6245) * CHOOSE(CONTROL!$C$21, $C$9, 100%, $E$9)</f>
        <v>14.624499999999999</v>
      </c>
      <c r="I347" s="14">
        <f>CHOOSE(CONTROL!$C$42, 14.6089, 14.6089)* CHOOSE(CONTROL!$C$21, $C$9, 100%, $E$9)</f>
        <v>14.6089</v>
      </c>
      <c r="J347" s="14">
        <f>CHOOSE(CONTROL!$C$42, 14.5557, 14.5557)* CHOOSE(CONTROL!$C$21, $C$9, 100%, $E$9)</f>
        <v>14.5557</v>
      </c>
      <c r="K347" s="52">
        <f>CHOOSE(CONTROL!$C$42, 14.605, 14.605) * CHOOSE(CONTROL!$C$21, $C$9, 100%, $E$9)</f>
        <v>14.605</v>
      </c>
      <c r="L347" s="14">
        <f>CHOOSE(CONTROL!$C$42, 15.2115, 15.2115) * CHOOSE(CONTROL!$C$21, $C$9, 100%, $E$9)</f>
        <v>15.211499999999999</v>
      </c>
      <c r="M347" s="14">
        <f>CHOOSE(CONTROL!$C$42, 14.2651, 14.2651) * CHOOSE(CONTROL!$C$21, $C$9, 100%, $E$9)</f>
        <v>14.2651</v>
      </c>
      <c r="N347" s="14">
        <f>CHOOSE(CONTROL!$C$42, 14.2822, 14.2822) * CHOOSE(CONTROL!$C$21, $C$9, 100%, $E$9)</f>
        <v>14.2822</v>
      </c>
      <c r="O347" s="14">
        <f>CHOOSE(CONTROL!$C$42, 14.3325, 14.3325) * CHOOSE(CONTROL!$C$21, $C$9, 100%, $E$9)</f>
        <v>14.3325</v>
      </c>
      <c r="P347" s="14">
        <f>CHOOSE(CONTROL!$C$42, 14.3164, 14.3164) * CHOOSE(CONTROL!$C$21, $C$9, 100%, $E$9)</f>
        <v>14.3164</v>
      </c>
      <c r="Q347" s="14">
        <f>CHOOSE(CONTROL!$C$42, 14.9272, 14.9272) * CHOOSE(CONTROL!$C$21, $C$9, 100%, $E$9)</f>
        <v>14.927199999999999</v>
      </c>
      <c r="R347" s="14">
        <f>CHOOSE(CONTROL!$C$42, 15.5515, 15.5515) * CHOOSE(CONTROL!$C$21, $C$9, 100%, $E$9)</f>
        <v>15.551500000000001</v>
      </c>
      <c r="S347" s="14">
        <f>CHOOSE(CONTROL!$C$42, 13.9505, 13.9505) * CHOOSE(CONTROL!$C$21, $C$9, 100%, $E$9)</f>
        <v>13.9505</v>
      </c>
      <c r="T34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56">
        <f>(1000*CHOOSE(CONTROL!$C$42, 695, 695)*CHOOSE(CONTROL!$C$42, 0.5599, 0.5599)*CHOOSE(CONTROL!$C$42, 30, 30))/1000000</f>
        <v>11.673914999999997</v>
      </c>
      <c r="V347" s="56">
        <f>(1000*CHOOSE(CONTROL!$C$42, 500, 500)*CHOOSE(CONTROL!$C$42, 0.275, 0.275)*CHOOSE(CONTROL!$C$42, 30, 30))/1000000</f>
        <v>4.125</v>
      </c>
      <c r="W347" s="56">
        <f>(1000*CHOOSE(CONTROL!$C$42, 0.1146, 0.1146)*CHOOSE(CONTROL!$C$42, 121.5, 121.5)*CHOOSE(CONTROL!$C$42, 30, 30))/1000000</f>
        <v>0.417717</v>
      </c>
      <c r="X347" s="56">
        <f>(30*0.1790888*100000/1000000)+(30*0.2374*100000/1000000)</f>
        <v>1.2494664</v>
      </c>
      <c r="Y347" s="56"/>
      <c r="Z347" s="14"/>
      <c r="AA347" s="55"/>
      <c r="AB347" s="49">
        <f>(B347*122.58+C347*297.941+D347*89.177+E347*40.302+F347*40+G347*160+H347*0+I347*100+J347*300)/(122.58+297.941+89.177+40.302+0+40+160+100+300)</f>
        <v>14.561119475739131</v>
      </c>
      <c r="AC347" s="44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14.304013669064746</v>
      </c>
    </row>
    <row r="348" spans="1:29" ht="15.75" x14ac:dyDescent="0.25">
      <c r="A348" s="32">
        <v>51501</v>
      </c>
      <c r="B348" s="14">
        <f>CHOOSE(CONTROL!$C$42, 15.5169, 15.5169) * CHOOSE(CONTROL!$C$21, $C$9, 100%, $E$9)</f>
        <v>15.5169</v>
      </c>
      <c r="C348" s="14">
        <f>CHOOSE(CONTROL!$C$42, 15.5219, 15.5219) * CHOOSE(CONTROL!$C$21, $C$9, 100%, $E$9)</f>
        <v>15.5219</v>
      </c>
      <c r="D348" s="14">
        <f>CHOOSE(CONTROL!$C$42, 15.591, 15.591) * CHOOSE(CONTROL!$C$21, $C$9, 100%, $E$9)</f>
        <v>15.590999999999999</v>
      </c>
      <c r="E348" s="14">
        <f>CHOOSE(CONTROL!$C$42, 15.6251, 15.6251) * CHOOSE(CONTROL!$C$21, $C$9, 100%, $E$9)</f>
        <v>15.6251</v>
      </c>
      <c r="F348" s="14">
        <f>CHOOSE(CONTROL!$C$42, 15.5547, 15.5547)*CHOOSE(CONTROL!$C$21, $C$9, 100%, $E$9)</f>
        <v>15.5547</v>
      </c>
      <c r="G348" s="14">
        <f>CHOOSE(CONTROL!$C$42, 15.5727, 15.5727)*CHOOSE(CONTROL!$C$21, $C$9, 100%, $E$9)</f>
        <v>15.572699999999999</v>
      </c>
      <c r="H348" s="14">
        <f>CHOOSE(CONTROL!$C$42, 15.6143, 15.6143) * CHOOSE(CONTROL!$C$21, $C$9, 100%, $E$9)</f>
        <v>15.6143</v>
      </c>
      <c r="I348" s="14">
        <f>CHOOSE(CONTROL!$C$42, 15.6018, 15.6018)* CHOOSE(CONTROL!$C$21, $C$9, 100%, $E$9)</f>
        <v>15.601800000000001</v>
      </c>
      <c r="J348" s="14">
        <f>CHOOSE(CONTROL!$C$42, 15.5477, 15.5477)* CHOOSE(CONTROL!$C$21, $C$9, 100%, $E$9)</f>
        <v>15.547700000000001</v>
      </c>
      <c r="K348" s="52">
        <f>CHOOSE(CONTROL!$C$42, 15.5979, 15.5979) * CHOOSE(CONTROL!$C$21, $C$9, 100%, $E$9)</f>
        <v>15.597899999999999</v>
      </c>
      <c r="L348" s="14">
        <f>CHOOSE(CONTROL!$C$42, 16.2013, 16.2013) * CHOOSE(CONTROL!$C$21, $C$9, 100%, $E$9)</f>
        <v>16.2013</v>
      </c>
      <c r="M348" s="14">
        <f>CHOOSE(CONTROL!$C$42, 15.2368, 15.2368) * CHOOSE(CONTROL!$C$21, $C$9, 100%, $E$9)</f>
        <v>15.236800000000001</v>
      </c>
      <c r="N348" s="14">
        <f>CHOOSE(CONTROL!$C$42, 15.2545, 15.2545) * CHOOSE(CONTROL!$C$21, $C$9, 100%, $E$9)</f>
        <v>15.2545</v>
      </c>
      <c r="O348" s="14">
        <f>CHOOSE(CONTROL!$C$42, 15.302, 15.302) * CHOOSE(CONTROL!$C$21, $C$9, 100%, $E$9)</f>
        <v>15.302</v>
      </c>
      <c r="P348" s="14">
        <f>CHOOSE(CONTROL!$C$42, 15.2889, 15.2889) * CHOOSE(CONTROL!$C$21, $C$9, 100%, $E$9)</f>
        <v>15.2889</v>
      </c>
      <c r="Q348" s="14">
        <f>CHOOSE(CONTROL!$C$42, 15.8967, 15.8967) * CHOOSE(CONTROL!$C$21, $C$9, 100%, $E$9)</f>
        <v>15.896699999999999</v>
      </c>
      <c r="R348" s="14">
        <f>CHOOSE(CONTROL!$C$42, 16.5235, 16.5235) * CHOOSE(CONTROL!$C$21, $C$9, 100%, $E$9)</f>
        <v>16.523499999999999</v>
      </c>
      <c r="S348" s="14">
        <f>CHOOSE(CONTROL!$C$42, 14.9016, 14.9016) * CHOOSE(CONTROL!$C$21, $C$9, 100%, $E$9)</f>
        <v>14.9016</v>
      </c>
      <c r="T34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56">
        <f>(1000*CHOOSE(CONTROL!$C$42, 695, 695)*CHOOSE(CONTROL!$C$42, 0.5599, 0.5599)*CHOOSE(CONTROL!$C$42, 31, 31))/1000000</f>
        <v>12.063045499999998</v>
      </c>
      <c r="V348" s="56">
        <f>(1000*CHOOSE(CONTROL!$C$42, 500, 500)*CHOOSE(CONTROL!$C$42, 0.275, 0.275)*CHOOSE(CONTROL!$C$42, 31, 31))/1000000</f>
        <v>4.2625000000000002</v>
      </c>
      <c r="W348" s="56">
        <f>(1000*CHOOSE(CONTROL!$C$42, 0.1146, 0.1146)*CHOOSE(CONTROL!$C$42, 121.5, 121.5)*CHOOSE(CONTROL!$C$42, 31, 31))/1000000</f>
        <v>0.43164089999999994</v>
      </c>
      <c r="X348" s="56">
        <f>(31*0.1790888*100000/1000000)+(31*0.2374*100000/1000000)</f>
        <v>1.2911152800000001</v>
      </c>
      <c r="Y348" s="56"/>
      <c r="Z348" s="14"/>
      <c r="AA348" s="55"/>
      <c r="AB348" s="49">
        <f>(B348*122.58+C348*297.941+D348*89.177+E348*40.302+F348*40+G348*160+H348*0+I348*100+J348*300)/(122.58+297.941+89.177+40.302+0+40+160+100+300)</f>
        <v>15.55222904095652</v>
      </c>
      <c r="AC348" s="44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15.274866187050359</v>
      </c>
    </row>
    <row r="349" spans="1:29" ht="15.75" x14ac:dyDescent="0.25">
      <c r="A349" s="32">
        <v>51532</v>
      </c>
      <c r="B349" s="14">
        <f>CHOOSE(CONTROL!$C$42, 16.8024, 16.8024) * CHOOSE(CONTROL!$C$21, $C$9, 100%, $E$9)</f>
        <v>16.802399999999999</v>
      </c>
      <c r="C349" s="14">
        <f>CHOOSE(CONTROL!$C$42, 16.8075, 16.8075) * CHOOSE(CONTROL!$C$21, $C$9, 100%, $E$9)</f>
        <v>16.807500000000001</v>
      </c>
      <c r="D349" s="14">
        <f>CHOOSE(CONTROL!$C$42, 16.8869, 16.8869) * CHOOSE(CONTROL!$C$21, $C$9, 100%, $E$9)</f>
        <v>16.886900000000001</v>
      </c>
      <c r="E349" s="14">
        <f>CHOOSE(CONTROL!$C$42, 16.921, 16.921) * CHOOSE(CONTROL!$C$21, $C$9, 100%, $E$9)</f>
        <v>16.920999999999999</v>
      </c>
      <c r="F349" s="14">
        <f>CHOOSE(CONTROL!$C$42, 16.8255, 16.8255)*CHOOSE(CONTROL!$C$21, $C$9, 100%, $E$9)</f>
        <v>16.825500000000002</v>
      </c>
      <c r="G349" s="14">
        <f>CHOOSE(CONTROL!$C$42, 16.843, 16.843)*CHOOSE(CONTROL!$C$21, $C$9, 100%, $E$9)</f>
        <v>16.843</v>
      </c>
      <c r="H349" s="14">
        <f>CHOOSE(CONTROL!$C$42, 16.9102, 16.9102) * CHOOSE(CONTROL!$C$21, $C$9, 100%, $E$9)</f>
        <v>16.9102</v>
      </c>
      <c r="I349" s="14">
        <f>CHOOSE(CONTROL!$C$42, 16.8904, 16.8904)* CHOOSE(CONTROL!$C$21, $C$9, 100%, $E$9)</f>
        <v>16.8904</v>
      </c>
      <c r="J349" s="14">
        <f>CHOOSE(CONTROL!$C$42, 16.8185, 16.8185)* CHOOSE(CONTROL!$C$21, $C$9, 100%, $E$9)</f>
        <v>16.8185</v>
      </c>
      <c r="K349" s="52">
        <f>CHOOSE(CONTROL!$C$42, 16.8865, 16.8865) * CHOOSE(CONTROL!$C$21, $C$9, 100%, $E$9)</f>
        <v>16.886500000000002</v>
      </c>
      <c r="L349" s="14">
        <f>CHOOSE(CONTROL!$C$42, 17.4972, 17.4972) * CHOOSE(CONTROL!$C$21, $C$9, 100%, $E$9)</f>
        <v>17.497199999999999</v>
      </c>
      <c r="M349" s="14">
        <f>CHOOSE(CONTROL!$C$42, 16.4816, 16.4816) * CHOOSE(CONTROL!$C$21, $C$9, 100%, $E$9)</f>
        <v>16.4816</v>
      </c>
      <c r="N349" s="14">
        <f>CHOOSE(CONTROL!$C$42, 16.4987, 16.4987) * CHOOSE(CONTROL!$C$21, $C$9, 100%, $E$9)</f>
        <v>16.498699999999999</v>
      </c>
      <c r="O349" s="14">
        <f>CHOOSE(CONTROL!$C$42, 16.5714, 16.5714) * CHOOSE(CONTROL!$C$21, $C$9, 100%, $E$9)</f>
        <v>16.571400000000001</v>
      </c>
      <c r="P349" s="14">
        <f>CHOOSE(CONTROL!$C$42, 16.551, 16.551) * CHOOSE(CONTROL!$C$21, $C$9, 100%, $E$9)</f>
        <v>16.550999999999998</v>
      </c>
      <c r="Q349" s="14">
        <f>CHOOSE(CONTROL!$C$42, 17.1661, 17.1661) * CHOOSE(CONTROL!$C$21, $C$9, 100%, $E$9)</f>
        <v>17.1661</v>
      </c>
      <c r="R349" s="14">
        <f>CHOOSE(CONTROL!$C$42, 17.7961, 17.7961) * CHOOSE(CONTROL!$C$21, $C$9, 100%, $E$9)</f>
        <v>17.796099999999999</v>
      </c>
      <c r="S349" s="14">
        <f>CHOOSE(CONTROL!$C$42, 16.1369, 16.1369) * CHOOSE(CONTROL!$C$21, $C$9, 100%, $E$9)</f>
        <v>16.136900000000001</v>
      </c>
      <c r="T34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56">
        <f>(1000*CHOOSE(CONTROL!$C$42, 695, 695)*CHOOSE(CONTROL!$C$42, 0.5599, 0.5599)*CHOOSE(CONTROL!$C$42, 31, 31))/1000000</f>
        <v>12.063045499999998</v>
      </c>
      <c r="V349" s="56">
        <f>(1000*CHOOSE(CONTROL!$C$42, 500, 500)*CHOOSE(CONTROL!$C$42, 0.275, 0.275)*CHOOSE(CONTROL!$C$42, 31, 31))/1000000</f>
        <v>4.2625000000000002</v>
      </c>
      <c r="W349" s="56">
        <f>(1000*CHOOSE(CONTROL!$C$42, 0.1146, 0.1146)*CHOOSE(CONTROL!$C$42, 121.5, 121.5)*CHOOSE(CONTROL!$C$42, 31, 31))/1000000</f>
        <v>0.43164089999999994</v>
      </c>
      <c r="X349" s="56">
        <f>(31*0.1790888*100000/1000000)+(31*0.2374*100000/1000000)</f>
        <v>1.2911152800000001</v>
      </c>
      <c r="Y349" s="56"/>
      <c r="Z349" s="14"/>
      <c r="AA349" s="55"/>
      <c r="AB349" s="49">
        <f>(B349*122.58+C349*297.941+D349*89.177+E349*40.302+F349*40+G349*160+H349*0+I349*100+J349*300)/(122.58+297.941+89.177+40.302+0+40+160+100+300)</f>
        <v>16.832734585043475</v>
      </c>
      <c r="AC349" s="44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16.533270503597123</v>
      </c>
    </row>
    <row r="350" spans="1:29" ht="15.75" x14ac:dyDescent="0.25">
      <c r="A350" s="32">
        <v>51560</v>
      </c>
      <c r="B350" s="14">
        <f>CHOOSE(CONTROL!$C$42, 17.1014, 17.1014) * CHOOSE(CONTROL!$C$21, $C$9, 100%, $E$9)</f>
        <v>17.101400000000002</v>
      </c>
      <c r="C350" s="14">
        <f>CHOOSE(CONTROL!$C$42, 17.1064, 17.1064) * CHOOSE(CONTROL!$C$21, $C$9, 100%, $E$9)</f>
        <v>17.106400000000001</v>
      </c>
      <c r="D350" s="14">
        <f>CHOOSE(CONTROL!$C$42, 17.1859, 17.1859) * CHOOSE(CONTROL!$C$21, $C$9, 100%, $E$9)</f>
        <v>17.1859</v>
      </c>
      <c r="E350" s="14">
        <f>CHOOSE(CONTROL!$C$42, 17.22, 17.22) * CHOOSE(CONTROL!$C$21, $C$9, 100%, $E$9)</f>
        <v>17.22</v>
      </c>
      <c r="F350" s="14">
        <f>CHOOSE(CONTROL!$C$42, 17.1242, 17.1242)*CHOOSE(CONTROL!$C$21, $C$9, 100%, $E$9)</f>
        <v>17.124199999999998</v>
      </c>
      <c r="G350" s="14">
        <f>CHOOSE(CONTROL!$C$42, 17.1416, 17.1416)*CHOOSE(CONTROL!$C$21, $C$9, 100%, $E$9)</f>
        <v>17.1416</v>
      </c>
      <c r="H350" s="14">
        <f>CHOOSE(CONTROL!$C$42, 17.2092, 17.2092) * CHOOSE(CONTROL!$C$21, $C$9, 100%, $E$9)</f>
        <v>17.209199999999999</v>
      </c>
      <c r="I350" s="14">
        <f>CHOOSE(CONTROL!$C$42, 17.1902, 17.1902)* CHOOSE(CONTROL!$C$21, $C$9, 100%, $E$9)</f>
        <v>17.190200000000001</v>
      </c>
      <c r="J350" s="14">
        <f>CHOOSE(CONTROL!$C$42, 17.1172, 17.1172)* CHOOSE(CONTROL!$C$21, $C$9, 100%, $E$9)</f>
        <v>17.1172</v>
      </c>
      <c r="K350" s="52">
        <f>CHOOSE(CONTROL!$C$42, 17.1863, 17.1863) * CHOOSE(CONTROL!$C$21, $C$9, 100%, $E$9)</f>
        <v>17.186299999999999</v>
      </c>
      <c r="L350" s="14">
        <f>CHOOSE(CONTROL!$C$42, 17.7962, 17.7962) * CHOOSE(CONTROL!$C$21, $C$9, 100%, $E$9)</f>
        <v>17.796199999999999</v>
      </c>
      <c r="M350" s="14">
        <f>CHOOSE(CONTROL!$C$42, 16.7741, 16.7741) * CHOOSE(CONTROL!$C$21, $C$9, 100%, $E$9)</f>
        <v>16.774100000000001</v>
      </c>
      <c r="N350" s="14">
        <f>CHOOSE(CONTROL!$C$42, 16.7912, 16.7912) * CHOOSE(CONTROL!$C$21, $C$9, 100%, $E$9)</f>
        <v>16.7912</v>
      </c>
      <c r="O350" s="14">
        <f>CHOOSE(CONTROL!$C$42, 16.8643, 16.8643) * CHOOSE(CONTROL!$C$21, $C$9, 100%, $E$9)</f>
        <v>16.8643</v>
      </c>
      <c r="P350" s="14">
        <f>CHOOSE(CONTROL!$C$42, 16.8447, 16.8447) * CHOOSE(CONTROL!$C$21, $C$9, 100%, $E$9)</f>
        <v>16.8447</v>
      </c>
      <c r="Q350" s="14">
        <f>CHOOSE(CONTROL!$C$42, 17.459, 17.459) * CHOOSE(CONTROL!$C$21, $C$9, 100%, $E$9)</f>
        <v>17.459</v>
      </c>
      <c r="R350" s="14">
        <f>CHOOSE(CONTROL!$C$42, 18.0896, 18.0896) * CHOOSE(CONTROL!$C$21, $C$9, 100%, $E$9)</f>
        <v>18.089600000000001</v>
      </c>
      <c r="S350" s="14">
        <f>CHOOSE(CONTROL!$C$42, 16.4242, 16.4242) * CHOOSE(CONTROL!$C$21, $C$9, 100%, $E$9)</f>
        <v>16.424199999999999</v>
      </c>
      <c r="T35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56">
        <f>(1000*CHOOSE(CONTROL!$C$42, 695, 695)*CHOOSE(CONTROL!$C$42, 0.5599, 0.5599)*CHOOSE(CONTROL!$C$42, 28, 28))/1000000</f>
        <v>10.895653999999999</v>
      </c>
      <c r="V350" s="56">
        <f>(1000*CHOOSE(CONTROL!$C$42, 500, 500)*CHOOSE(CONTROL!$C$42, 0.275, 0.275)*CHOOSE(CONTROL!$C$42, 28, 28))/1000000</f>
        <v>3.85</v>
      </c>
      <c r="W350" s="56">
        <f>(1000*CHOOSE(CONTROL!$C$42, 0.1146, 0.1146)*CHOOSE(CONTROL!$C$42, 121.5, 121.5)*CHOOSE(CONTROL!$C$42, 28, 28))/1000000</f>
        <v>0.38986920000000003</v>
      </c>
      <c r="X350" s="56">
        <f>(28*0.1790888*100000/1000000)+(28*0.2374*100000/1000000)</f>
        <v>1.16616864</v>
      </c>
      <c r="Y350" s="56"/>
      <c r="Z350" s="14"/>
      <c r="AA350" s="55"/>
      <c r="AB350" s="49">
        <f>(B350*122.58+C350*297.941+D350*89.177+E350*40.302+F350*40+G350*160+H350*0+I350*100+J350*300)/(122.58+297.941+89.177+40.302+0+40+160+100+300)</f>
        <v>17.131633894521737</v>
      </c>
      <c r="AC350" s="44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16.826124460431654</v>
      </c>
    </row>
    <row r="351" spans="1:29" ht="15.75" x14ac:dyDescent="0.25">
      <c r="A351" s="32">
        <v>51591</v>
      </c>
      <c r="B351" s="14">
        <f>CHOOSE(CONTROL!$C$42, 16.6161, 16.6161) * CHOOSE(CONTROL!$C$21, $C$9, 100%, $E$9)</f>
        <v>16.616099999999999</v>
      </c>
      <c r="C351" s="14">
        <f>CHOOSE(CONTROL!$C$42, 16.6212, 16.6212) * CHOOSE(CONTROL!$C$21, $C$9, 100%, $E$9)</f>
        <v>16.621200000000002</v>
      </c>
      <c r="D351" s="14">
        <f>CHOOSE(CONTROL!$C$42, 16.7006, 16.7006) * CHOOSE(CONTROL!$C$21, $C$9, 100%, $E$9)</f>
        <v>16.700600000000001</v>
      </c>
      <c r="E351" s="14">
        <f>CHOOSE(CONTROL!$C$42, 16.7347, 16.7347) * CHOOSE(CONTROL!$C$21, $C$9, 100%, $E$9)</f>
        <v>16.7347</v>
      </c>
      <c r="F351" s="14">
        <f>CHOOSE(CONTROL!$C$42, 16.6382, 16.6382)*CHOOSE(CONTROL!$C$21, $C$9, 100%, $E$9)</f>
        <v>16.638200000000001</v>
      </c>
      <c r="G351" s="14">
        <f>CHOOSE(CONTROL!$C$42, 16.6554, 16.6554)*CHOOSE(CONTROL!$C$21, $C$9, 100%, $E$9)</f>
        <v>16.6554</v>
      </c>
      <c r="H351" s="14">
        <f>CHOOSE(CONTROL!$C$42, 16.7239, 16.7239) * CHOOSE(CONTROL!$C$21, $C$9, 100%, $E$9)</f>
        <v>16.7239</v>
      </c>
      <c r="I351" s="14">
        <f>CHOOSE(CONTROL!$C$42, 16.7035, 16.7035)* CHOOSE(CONTROL!$C$21, $C$9, 100%, $E$9)</f>
        <v>16.703499999999998</v>
      </c>
      <c r="J351" s="14">
        <f>CHOOSE(CONTROL!$C$42, 16.6312, 16.6312)* CHOOSE(CONTROL!$C$21, $C$9, 100%, $E$9)</f>
        <v>16.6312</v>
      </c>
      <c r="K351" s="52">
        <f>CHOOSE(CONTROL!$C$42, 16.6996, 16.6996) * CHOOSE(CONTROL!$C$21, $C$9, 100%, $E$9)</f>
        <v>16.6996</v>
      </c>
      <c r="L351" s="14">
        <f>CHOOSE(CONTROL!$C$42, 17.3109, 17.3109) * CHOOSE(CONTROL!$C$21, $C$9, 100%, $E$9)</f>
        <v>17.3109</v>
      </c>
      <c r="M351" s="14">
        <f>CHOOSE(CONTROL!$C$42, 16.2981, 16.2981) * CHOOSE(CONTROL!$C$21, $C$9, 100%, $E$9)</f>
        <v>16.298100000000002</v>
      </c>
      <c r="N351" s="14">
        <f>CHOOSE(CONTROL!$C$42, 16.315, 16.315) * CHOOSE(CONTROL!$C$21, $C$9, 100%, $E$9)</f>
        <v>16.315000000000001</v>
      </c>
      <c r="O351" s="14">
        <f>CHOOSE(CONTROL!$C$42, 16.389, 16.389) * CHOOSE(CONTROL!$C$21, $C$9, 100%, $E$9)</f>
        <v>16.388999999999999</v>
      </c>
      <c r="P351" s="14">
        <f>CHOOSE(CONTROL!$C$42, 16.3679, 16.3679) * CHOOSE(CONTROL!$C$21, $C$9, 100%, $E$9)</f>
        <v>16.367899999999999</v>
      </c>
      <c r="Q351" s="14">
        <f>CHOOSE(CONTROL!$C$42, 16.9837, 16.9837) * CHOOSE(CONTROL!$C$21, $C$9, 100%, $E$9)</f>
        <v>16.983699999999999</v>
      </c>
      <c r="R351" s="14">
        <f>CHOOSE(CONTROL!$C$42, 17.6131, 17.6131) * CHOOSE(CONTROL!$C$21, $C$9, 100%, $E$9)</f>
        <v>17.613099999999999</v>
      </c>
      <c r="S351" s="14">
        <f>CHOOSE(CONTROL!$C$42, 15.9579, 15.9579) * CHOOSE(CONTROL!$C$21, $C$9, 100%, $E$9)</f>
        <v>15.9579</v>
      </c>
      <c r="T35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56">
        <f>(1000*CHOOSE(CONTROL!$C$42, 695, 695)*CHOOSE(CONTROL!$C$42, 0.5599, 0.5599)*CHOOSE(CONTROL!$C$42, 31, 31))/1000000</f>
        <v>12.063045499999998</v>
      </c>
      <c r="V351" s="56">
        <f>(1000*CHOOSE(CONTROL!$C$42, 500, 500)*CHOOSE(CONTROL!$C$42, 0.275, 0.275)*CHOOSE(CONTROL!$C$42, 31, 31))/1000000</f>
        <v>4.2625000000000002</v>
      </c>
      <c r="W351" s="56">
        <f>(1000*CHOOSE(CONTROL!$C$42, 0.1146, 0.1146)*CHOOSE(CONTROL!$C$42, 121.5, 121.5)*CHOOSE(CONTROL!$C$42, 31, 31))/1000000</f>
        <v>0.43164089999999994</v>
      </c>
      <c r="X351" s="56">
        <f>(31*0.1790888*100000/1000000)+(31*0.2374*100000/1000000)</f>
        <v>1.2911152800000001</v>
      </c>
      <c r="Y351" s="56"/>
      <c r="Z351" s="14"/>
      <c r="AA351" s="55"/>
      <c r="AB351" s="49">
        <f>(B351*122.58+C351*297.941+D351*89.177+E351*40.302+F351*40+G351*160+H351*0+I351*100+J351*300)/(122.58+297.941+89.177+40.302+0+40+160+100+300)</f>
        <v>16.645905889391305</v>
      </c>
      <c r="AC351" s="44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16.350315107913669</v>
      </c>
    </row>
    <row r="352" spans="1:29" ht="15.75" x14ac:dyDescent="0.25">
      <c r="A352" s="32">
        <v>51621</v>
      </c>
      <c r="B352" s="14">
        <f>CHOOSE(CONTROL!$C$42, 16.5674, 16.5674) * CHOOSE(CONTROL!$C$21, $C$9, 100%, $E$9)</f>
        <v>16.567399999999999</v>
      </c>
      <c r="C352" s="14">
        <f>CHOOSE(CONTROL!$C$42, 16.5719, 16.5719) * CHOOSE(CONTROL!$C$21, $C$9, 100%, $E$9)</f>
        <v>16.571899999999999</v>
      </c>
      <c r="D352" s="14">
        <f>CHOOSE(CONTROL!$C$42, 16.8008, 16.8008) * CHOOSE(CONTROL!$C$21, $C$9, 100%, $E$9)</f>
        <v>16.800799999999999</v>
      </c>
      <c r="E352" s="14">
        <f>CHOOSE(CONTROL!$C$42, 16.8329, 16.8329) * CHOOSE(CONTROL!$C$21, $C$9, 100%, $E$9)</f>
        <v>16.832899999999999</v>
      </c>
      <c r="F352" s="14">
        <f>CHOOSE(CONTROL!$C$42, 16.5944, 16.5944)*CHOOSE(CONTROL!$C$21, $C$9, 100%, $E$9)</f>
        <v>16.5944</v>
      </c>
      <c r="G352" s="14">
        <f>CHOOSE(CONTROL!$C$42, 16.6111, 16.6111)*CHOOSE(CONTROL!$C$21, $C$9, 100%, $E$9)</f>
        <v>16.6111</v>
      </c>
      <c r="H352" s="14">
        <f>CHOOSE(CONTROL!$C$42, 16.8227, 16.8227) * CHOOSE(CONTROL!$C$21, $C$9, 100%, $E$9)</f>
        <v>16.822700000000001</v>
      </c>
      <c r="I352" s="14">
        <f>CHOOSE(CONTROL!$C$42, 16.6522, 16.6522)* CHOOSE(CONTROL!$C$21, $C$9, 100%, $E$9)</f>
        <v>16.652200000000001</v>
      </c>
      <c r="J352" s="14">
        <f>CHOOSE(CONTROL!$C$42, 16.5874, 16.5874)* CHOOSE(CONTROL!$C$21, $C$9, 100%, $E$9)</f>
        <v>16.587399999999999</v>
      </c>
      <c r="K352" s="52">
        <f>CHOOSE(CONTROL!$C$42, 16.6484, 16.6484) * CHOOSE(CONTROL!$C$21, $C$9, 100%, $E$9)</f>
        <v>16.648399999999999</v>
      </c>
      <c r="L352" s="14">
        <f>CHOOSE(CONTROL!$C$42, 17.4097, 17.4097) * CHOOSE(CONTROL!$C$21, $C$9, 100%, $E$9)</f>
        <v>17.409700000000001</v>
      </c>
      <c r="M352" s="14">
        <f>CHOOSE(CONTROL!$C$42, 16.2552, 16.2552) * CHOOSE(CONTROL!$C$21, $C$9, 100%, $E$9)</f>
        <v>16.255199999999999</v>
      </c>
      <c r="N352" s="14">
        <f>CHOOSE(CONTROL!$C$42, 16.2716, 16.2716) * CHOOSE(CONTROL!$C$21, $C$9, 100%, $E$9)</f>
        <v>16.271599999999999</v>
      </c>
      <c r="O352" s="14">
        <f>CHOOSE(CONTROL!$C$42, 16.4857, 16.4857) * CHOOSE(CONTROL!$C$21, $C$9, 100%, $E$9)</f>
        <v>16.485700000000001</v>
      </c>
      <c r="P352" s="14">
        <f>CHOOSE(CONTROL!$C$42, 16.3178, 16.3178) * CHOOSE(CONTROL!$C$21, $C$9, 100%, $E$9)</f>
        <v>16.317799999999998</v>
      </c>
      <c r="Q352" s="14">
        <f>CHOOSE(CONTROL!$C$42, 17.0804, 17.0804) * CHOOSE(CONTROL!$C$21, $C$9, 100%, $E$9)</f>
        <v>17.080400000000001</v>
      </c>
      <c r="R352" s="14">
        <f>CHOOSE(CONTROL!$C$42, 17.7101, 17.7101) * CHOOSE(CONTROL!$C$21, $C$9, 100%, $E$9)</f>
        <v>17.710100000000001</v>
      </c>
      <c r="S352" s="14">
        <f>CHOOSE(CONTROL!$C$42, 15.9103, 15.9103) * CHOOSE(CONTROL!$C$21, $C$9, 100%, $E$9)</f>
        <v>15.910299999999999</v>
      </c>
      <c r="T35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56">
        <f>(1000*CHOOSE(CONTROL!$C$42, 695, 695)*CHOOSE(CONTROL!$C$42, 0.5599, 0.5599)*CHOOSE(CONTROL!$C$42, 30, 30))/1000000</f>
        <v>11.673914999999997</v>
      </c>
      <c r="V352" s="56">
        <f>(1000*CHOOSE(CONTROL!$C$42, 500, 500)*CHOOSE(CONTROL!$C$42, 0.275, 0.275)*CHOOSE(CONTROL!$C$42, 30, 30))/1000000</f>
        <v>4.125</v>
      </c>
      <c r="W352" s="56">
        <f>(1000*CHOOSE(CONTROL!$C$42, 0.1146, 0.1146)*CHOOSE(CONTROL!$C$42, 121.5, 121.5)*CHOOSE(CONTROL!$C$42, 30, 30))/1000000</f>
        <v>0.417717</v>
      </c>
      <c r="X352" s="56">
        <f>(30*0.1790888*245000/1000000)+(30*0.2374*100000/1000000)</f>
        <v>2.0285026799999999</v>
      </c>
      <c r="Y352" s="56"/>
      <c r="Z352" s="14"/>
      <c r="AA352" s="55"/>
      <c r="AB352" s="49">
        <f>(B352*141.293+C352*267.993+D352*115.016+E352*89.698+F352*40+G352*185+H352*0+I352*100+J352*300)/(141.293+267.993+115.016+89.698+0+40+185+100+300)</f>
        <v>16.628344327602903</v>
      </c>
      <c r="AC352" s="44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16.332655395683449</v>
      </c>
    </row>
    <row r="353" spans="1:29" ht="15.75" x14ac:dyDescent="0.25">
      <c r="A353" s="32">
        <v>51652</v>
      </c>
      <c r="B353" s="14">
        <f>CHOOSE(CONTROL!$C$42, 16.7149, 16.7149) * CHOOSE(CONTROL!$C$21, $C$9, 100%, $E$9)</f>
        <v>16.7149</v>
      </c>
      <c r="C353" s="14">
        <f>CHOOSE(CONTROL!$C$42, 16.723, 16.723) * CHOOSE(CONTROL!$C$21, $C$9, 100%, $E$9)</f>
        <v>16.722999999999999</v>
      </c>
      <c r="D353" s="14">
        <f>CHOOSE(CONTROL!$C$42, 16.9488, 16.9488) * CHOOSE(CONTROL!$C$21, $C$9, 100%, $E$9)</f>
        <v>16.948799999999999</v>
      </c>
      <c r="E353" s="14">
        <f>CHOOSE(CONTROL!$C$42, 16.9802, 16.9802) * CHOOSE(CONTROL!$C$21, $C$9, 100%, $E$9)</f>
        <v>16.9802</v>
      </c>
      <c r="F353" s="14">
        <f>CHOOSE(CONTROL!$C$42, 16.7406, 16.7406)*CHOOSE(CONTROL!$C$21, $C$9, 100%, $E$9)</f>
        <v>16.740600000000001</v>
      </c>
      <c r="G353" s="14">
        <f>CHOOSE(CONTROL!$C$42, 16.7576, 16.7576)*CHOOSE(CONTROL!$C$21, $C$9, 100%, $E$9)</f>
        <v>16.7576</v>
      </c>
      <c r="H353" s="14">
        <f>CHOOSE(CONTROL!$C$42, 16.9689, 16.9689) * CHOOSE(CONTROL!$C$21, $C$9, 100%, $E$9)</f>
        <v>16.968900000000001</v>
      </c>
      <c r="I353" s="14">
        <f>CHOOSE(CONTROL!$C$42, 16.7988, 16.7988)* CHOOSE(CONTROL!$C$21, $C$9, 100%, $E$9)</f>
        <v>16.7988</v>
      </c>
      <c r="J353" s="14">
        <f>CHOOSE(CONTROL!$C$42, 16.7336, 16.7336)* CHOOSE(CONTROL!$C$21, $C$9, 100%, $E$9)</f>
        <v>16.733599999999999</v>
      </c>
      <c r="K353" s="52">
        <f>CHOOSE(CONTROL!$C$42, 16.7949, 16.7949) * CHOOSE(CONTROL!$C$21, $C$9, 100%, $E$9)</f>
        <v>16.794899999999998</v>
      </c>
      <c r="L353" s="14">
        <f>CHOOSE(CONTROL!$C$42, 17.5559, 17.5559) * CHOOSE(CONTROL!$C$21, $C$9, 100%, $E$9)</f>
        <v>17.555900000000001</v>
      </c>
      <c r="M353" s="14">
        <f>CHOOSE(CONTROL!$C$42, 16.3984, 16.3984) * CHOOSE(CONTROL!$C$21, $C$9, 100%, $E$9)</f>
        <v>16.398399999999999</v>
      </c>
      <c r="N353" s="14">
        <f>CHOOSE(CONTROL!$C$42, 16.4151, 16.4151) * CHOOSE(CONTROL!$C$21, $C$9, 100%, $E$9)</f>
        <v>16.415099999999999</v>
      </c>
      <c r="O353" s="14">
        <f>CHOOSE(CONTROL!$C$42, 16.6289, 16.6289) * CHOOSE(CONTROL!$C$21, $C$9, 100%, $E$9)</f>
        <v>16.628900000000002</v>
      </c>
      <c r="P353" s="14">
        <f>CHOOSE(CONTROL!$C$42, 16.4614, 16.4614) * CHOOSE(CONTROL!$C$21, $C$9, 100%, $E$9)</f>
        <v>16.461400000000001</v>
      </c>
      <c r="Q353" s="14">
        <f>CHOOSE(CONTROL!$C$42, 17.2236, 17.2236) * CHOOSE(CONTROL!$C$21, $C$9, 100%, $E$9)</f>
        <v>17.223600000000001</v>
      </c>
      <c r="R353" s="14">
        <f>CHOOSE(CONTROL!$C$42, 17.8536, 17.8536) * CHOOSE(CONTROL!$C$21, $C$9, 100%, $E$9)</f>
        <v>17.8536</v>
      </c>
      <c r="S353" s="14">
        <f>CHOOSE(CONTROL!$C$42, 16.0508, 16.0508) * CHOOSE(CONTROL!$C$21, $C$9, 100%, $E$9)</f>
        <v>16.050799999999999</v>
      </c>
      <c r="T35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56">
        <f>(1000*CHOOSE(CONTROL!$C$42, 695, 695)*CHOOSE(CONTROL!$C$42, 0.5599, 0.5599)*CHOOSE(CONTROL!$C$42, 31, 31))/1000000</f>
        <v>12.063045499999998</v>
      </c>
      <c r="V353" s="56">
        <f>(1000*CHOOSE(CONTROL!$C$42, 500, 500)*CHOOSE(CONTROL!$C$42, 0.275, 0.275)*CHOOSE(CONTROL!$C$42, 31, 31))/1000000</f>
        <v>4.2625000000000002</v>
      </c>
      <c r="W353" s="56">
        <f>(1000*CHOOSE(CONTROL!$C$42, 0.1146, 0.1146)*CHOOSE(CONTROL!$C$42, 121.5, 121.5)*CHOOSE(CONTROL!$C$42, 31, 31))/1000000</f>
        <v>0.43164089999999994</v>
      </c>
      <c r="X353" s="56">
        <f>(31*0.1790888*245000/1000000)+(31*0.2374*100000/1000000)</f>
        <v>2.0961194359999999</v>
      </c>
      <c r="Y353" s="56"/>
      <c r="Z353" s="14"/>
      <c r="AA353" s="55"/>
      <c r="AB353" s="49">
        <f>(B353*194.205+C353*267.466+D353*133.845+E353*53.484+F353*40+G353*185+H353*0+I353*100+J353*300)/(194.205+267.466+133.845+53.484+0+40+185+100+300)</f>
        <v>16.770307869152276</v>
      </c>
      <c r="AC353" s="44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16.475982014388489</v>
      </c>
    </row>
    <row r="354" spans="1:29" ht="15.75" x14ac:dyDescent="0.25">
      <c r="A354" s="32">
        <v>51682</v>
      </c>
      <c r="B354" s="14">
        <f>CHOOSE(CONTROL!$C$42, 17.1888, 17.1888) * CHOOSE(CONTROL!$C$21, $C$9, 100%, $E$9)</f>
        <v>17.188800000000001</v>
      </c>
      <c r="C354" s="14">
        <f>CHOOSE(CONTROL!$C$42, 17.1968, 17.1968) * CHOOSE(CONTROL!$C$21, $C$9, 100%, $E$9)</f>
        <v>17.1968</v>
      </c>
      <c r="D354" s="14">
        <f>CHOOSE(CONTROL!$C$42, 17.4226, 17.4226) * CHOOSE(CONTROL!$C$21, $C$9, 100%, $E$9)</f>
        <v>17.422599999999999</v>
      </c>
      <c r="E354" s="14">
        <f>CHOOSE(CONTROL!$C$42, 17.454, 17.454) * CHOOSE(CONTROL!$C$21, $C$9, 100%, $E$9)</f>
        <v>17.454000000000001</v>
      </c>
      <c r="F354" s="14">
        <f>CHOOSE(CONTROL!$C$42, 17.2149, 17.2149)*CHOOSE(CONTROL!$C$21, $C$9, 100%, $E$9)</f>
        <v>17.2149</v>
      </c>
      <c r="G354" s="14">
        <f>CHOOSE(CONTROL!$C$42, 17.2319, 17.2319)*CHOOSE(CONTROL!$C$21, $C$9, 100%, $E$9)</f>
        <v>17.2319</v>
      </c>
      <c r="H354" s="14">
        <f>CHOOSE(CONTROL!$C$42, 17.4427, 17.4427) * CHOOSE(CONTROL!$C$21, $C$9, 100%, $E$9)</f>
        <v>17.442699999999999</v>
      </c>
      <c r="I354" s="14">
        <f>CHOOSE(CONTROL!$C$42, 17.2741, 17.2741)* CHOOSE(CONTROL!$C$21, $C$9, 100%, $E$9)</f>
        <v>17.274100000000001</v>
      </c>
      <c r="J354" s="14">
        <f>CHOOSE(CONTROL!$C$42, 17.2079, 17.2079)* CHOOSE(CONTROL!$C$21, $C$9, 100%, $E$9)</f>
        <v>17.207899999999999</v>
      </c>
      <c r="K354" s="52">
        <f>CHOOSE(CONTROL!$C$42, 17.2702, 17.2702) * CHOOSE(CONTROL!$C$21, $C$9, 100%, $E$9)</f>
        <v>17.270199999999999</v>
      </c>
      <c r="L354" s="14">
        <f>CHOOSE(CONTROL!$C$42, 18.0297, 18.0297) * CHOOSE(CONTROL!$C$21, $C$9, 100%, $E$9)</f>
        <v>18.029699999999998</v>
      </c>
      <c r="M354" s="14">
        <f>CHOOSE(CONTROL!$C$42, 16.863, 16.863) * CHOOSE(CONTROL!$C$21, $C$9, 100%, $E$9)</f>
        <v>16.863</v>
      </c>
      <c r="N354" s="14">
        <f>CHOOSE(CONTROL!$C$42, 16.8797, 16.8797) * CHOOSE(CONTROL!$C$21, $C$9, 100%, $E$9)</f>
        <v>16.8797</v>
      </c>
      <c r="O354" s="14">
        <f>CHOOSE(CONTROL!$C$42, 17.093, 17.093) * CHOOSE(CONTROL!$C$21, $C$9, 100%, $E$9)</f>
        <v>17.093</v>
      </c>
      <c r="P354" s="14">
        <f>CHOOSE(CONTROL!$C$42, 16.9269, 16.9269) * CHOOSE(CONTROL!$C$21, $C$9, 100%, $E$9)</f>
        <v>16.9269</v>
      </c>
      <c r="Q354" s="14">
        <f>CHOOSE(CONTROL!$C$42, 17.6877, 17.6877) * CHOOSE(CONTROL!$C$21, $C$9, 100%, $E$9)</f>
        <v>17.6877</v>
      </c>
      <c r="R354" s="14">
        <f>CHOOSE(CONTROL!$C$42, 18.3189, 18.3189) * CHOOSE(CONTROL!$C$21, $C$9, 100%, $E$9)</f>
        <v>18.318899999999999</v>
      </c>
      <c r="S354" s="14">
        <f>CHOOSE(CONTROL!$C$42, 16.506, 16.506) * CHOOSE(CONTROL!$C$21, $C$9, 100%, $E$9)</f>
        <v>16.506</v>
      </c>
      <c r="T35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56">
        <f>(1000*CHOOSE(CONTROL!$C$42, 695, 695)*CHOOSE(CONTROL!$C$42, 0.5599, 0.5599)*CHOOSE(CONTROL!$C$42, 30, 30))/1000000</f>
        <v>11.673914999999997</v>
      </c>
      <c r="V354" s="56">
        <f>(1000*CHOOSE(CONTROL!$C$42, 500, 500)*CHOOSE(CONTROL!$C$42, 0.275, 0.275)*CHOOSE(CONTROL!$C$42, 30, 30))/1000000</f>
        <v>4.125</v>
      </c>
      <c r="W354" s="56">
        <f>(1000*CHOOSE(CONTROL!$C$42, 0.1146, 0.1146)*CHOOSE(CONTROL!$C$42, 121.5, 121.5)*CHOOSE(CONTROL!$C$42, 30, 30))/1000000</f>
        <v>0.417717</v>
      </c>
      <c r="X354" s="56">
        <f>(30*0.1790888*245000/1000000)+(30*0.2374*100000/1000000)</f>
        <v>2.0285026799999999</v>
      </c>
      <c r="Y354" s="56"/>
      <c r="Z354" s="14"/>
      <c r="AA354" s="55"/>
      <c r="AB354" s="49">
        <f>(B354*194.205+C354*267.466+D354*133.845+E354*53.484+F354*40+G354*185+H354*0+I354*100+J354*300)/(194.205+267.466+133.845+53.484+0+40+185+100+300)</f>
        <v>17.244446896232336</v>
      </c>
      <c r="AC354" s="44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16.940571223021582</v>
      </c>
    </row>
    <row r="355" spans="1:29" ht="15.75" x14ac:dyDescent="0.25">
      <c r="A355" s="32">
        <v>51713</v>
      </c>
      <c r="B355" s="14">
        <f>CHOOSE(CONTROL!$C$42, 16.8592, 16.8592) * CHOOSE(CONTROL!$C$21, $C$9, 100%, $E$9)</f>
        <v>16.859200000000001</v>
      </c>
      <c r="C355" s="14">
        <f>CHOOSE(CONTROL!$C$42, 16.8672, 16.8672) * CHOOSE(CONTROL!$C$21, $C$9, 100%, $E$9)</f>
        <v>16.8672</v>
      </c>
      <c r="D355" s="14">
        <f>CHOOSE(CONTROL!$C$42, 17.093, 17.093) * CHOOSE(CONTROL!$C$21, $C$9, 100%, $E$9)</f>
        <v>17.093</v>
      </c>
      <c r="E355" s="14">
        <f>CHOOSE(CONTROL!$C$42, 17.1245, 17.1245) * CHOOSE(CONTROL!$C$21, $C$9, 100%, $E$9)</f>
        <v>17.124500000000001</v>
      </c>
      <c r="F355" s="14">
        <f>CHOOSE(CONTROL!$C$42, 16.8858, 16.8858)*CHOOSE(CONTROL!$C$21, $C$9, 100%, $E$9)</f>
        <v>16.8858</v>
      </c>
      <c r="G355" s="14">
        <f>CHOOSE(CONTROL!$C$42, 16.903, 16.903)*CHOOSE(CONTROL!$C$21, $C$9, 100%, $E$9)</f>
        <v>16.902999999999999</v>
      </c>
      <c r="H355" s="14">
        <f>CHOOSE(CONTROL!$C$42, 17.1131, 17.1131) * CHOOSE(CONTROL!$C$21, $C$9, 100%, $E$9)</f>
        <v>17.113099999999999</v>
      </c>
      <c r="I355" s="14">
        <f>CHOOSE(CONTROL!$C$42, 16.9436, 16.9436)* CHOOSE(CONTROL!$C$21, $C$9, 100%, $E$9)</f>
        <v>16.9436</v>
      </c>
      <c r="J355" s="14">
        <f>CHOOSE(CONTROL!$C$42, 16.8788, 16.8788)* CHOOSE(CONTROL!$C$21, $C$9, 100%, $E$9)</f>
        <v>16.878799999999998</v>
      </c>
      <c r="K355" s="52">
        <f>CHOOSE(CONTROL!$C$42, 16.9397, 16.9397) * CHOOSE(CONTROL!$C$21, $C$9, 100%, $E$9)</f>
        <v>16.939699999999998</v>
      </c>
      <c r="L355" s="14">
        <f>CHOOSE(CONTROL!$C$42, 17.7001, 17.7001) * CHOOSE(CONTROL!$C$21, $C$9, 100%, $E$9)</f>
        <v>17.700099999999999</v>
      </c>
      <c r="M355" s="14">
        <f>CHOOSE(CONTROL!$C$42, 16.5406, 16.5406) * CHOOSE(CONTROL!$C$21, $C$9, 100%, $E$9)</f>
        <v>16.540600000000001</v>
      </c>
      <c r="N355" s="14">
        <f>CHOOSE(CONTROL!$C$42, 16.5575, 16.5575) * CHOOSE(CONTROL!$C$21, $C$9, 100%, $E$9)</f>
        <v>16.557500000000001</v>
      </c>
      <c r="O355" s="14">
        <f>CHOOSE(CONTROL!$C$42, 16.7702, 16.7702) * CHOOSE(CONTROL!$C$21, $C$9, 100%, $E$9)</f>
        <v>16.770199999999999</v>
      </c>
      <c r="P355" s="14">
        <f>CHOOSE(CONTROL!$C$42, 16.6031, 16.6031) * CHOOSE(CONTROL!$C$21, $C$9, 100%, $E$9)</f>
        <v>16.603100000000001</v>
      </c>
      <c r="Q355" s="14">
        <f>CHOOSE(CONTROL!$C$42, 17.3649, 17.3649) * CHOOSE(CONTROL!$C$21, $C$9, 100%, $E$9)</f>
        <v>17.364899999999999</v>
      </c>
      <c r="R355" s="14">
        <f>CHOOSE(CONTROL!$C$42, 17.9953, 17.9953) * CHOOSE(CONTROL!$C$21, $C$9, 100%, $E$9)</f>
        <v>17.9953</v>
      </c>
      <c r="S355" s="14">
        <f>CHOOSE(CONTROL!$C$42, 16.1894, 16.1894) * CHOOSE(CONTROL!$C$21, $C$9, 100%, $E$9)</f>
        <v>16.189399999999999</v>
      </c>
      <c r="T35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56">
        <f>(1000*CHOOSE(CONTROL!$C$42, 695, 695)*CHOOSE(CONTROL!$C$42, 0.5599, 0.5599)*CHOOSE(CONTROL!$C$42, 31, 31))/1000000</f>
        <v>12.063045499999998</v>
      </c>
      <c r="V355" s="56">
        <f>(1000*CHOOSE(CONTROL!$C$42, 500, 500)*CHOOSE(CONTROL!$C$42, 0.275, 0.275)*CHOOSE(CONTROL!$C$42, 31, 31))/1000000</f>
        <v>4.2625000000000002</v>
      </c>
      <c r="W355" s="56">
        <f>(1000*CHOOSE(CONTROL!$C$42, 0.1146, 0.1146)*CHOOSE(CONTROL!$C$42, 121.5, 121.5)*CHOOSE(CONTROL!$C$42, 31, 31))/1000000</f>
        <v>0.43164089999999994</v>
      </c>
      <c r="X355" s="56">
        <f>(31*0.1790888*245000/1000000)+(31*0.2374*100000/1000000)</f>
        <v>2.0961194359999999</v>
      </c>
      <c r="Y355" s="56"/>
      <c r="Z355" s="14"/>
      <c r="AA355" s="55"/>
      <c r="AB355" s="49">
        <f>(B355*194.205+C355*267.466+D355*133.845+E355*53.484+F355*40+G355*185+H355*0+I355*100+J355*300)/(194.205+267.466+133.845+53.484+0+40+185+100+300)</f>
        <v>16.915015537048667</v>
      </c>
      <c r="AC355" s="44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16.6179035971223</v>
      </c>
    </row>
    <row r="356" spans="1:29" ht="15.75" x14ac:dyDescent="0.25">
      <c r="A356" s="32">
        <v>51744</v>
      </c>
      <c r="B356" s="14">
        <f>CHOOSE(CONTROL!$C$42, 16.027, 16.027) * CHOOSE(CONTROL!$C$21, $C$9, 100%, $E$9)</f>
        <v>16.027000000000001</v>
      </c>
      <c r="C356" s="14">
        <f>CHOOSE(CONTROL!$C$42, 16.0351, 16.0351) * CHOOSE(CONTROL!$C$21, $C$9, 100%, $E$9)</f>
        <v>16.0351</v>
      </c>
      <c r="D356" s="14">
        <f>CHOOSE(CONTROL!$C$42, 16.2609, 16.2609) * CHOOSE(CONTROL!$C$21, $C$9, 100%, $E$9)</f>
        <v>16.260899999999999</v>
      </c>
      <c r="E356" s="14">
        <f>CHOOSE(CONTROL!$C$42, 16.2923, 16.2923) * CHOOSE(CONTROL!$C$21, $C$9, 100%, $E$9)</f>
        <v>16.292300000000001</v>
      </c>
      <c r="F356" s="14">
        <f>CHOOSE(CONTROL!$C$42, 16.0539, 16.0539)*CHOOSE(CONTROL!$C$21, $C$9, 100%, $E$9)</f>
        <v>16.053899999999999</v>
      </c>
      <c r="G356" s="14">
        <f>CHOOSE(CONTROL!$C$42, 16.0711, 16.0711)*CHOOSE(CONTROL!$C$21, $C$9, 100%, $E$9)</f>
        <v>16.071100000000001</v>
      </c>
      <c r="H356" s="14">
        <f>CHOOSE(CONTROL!$C$42, 16.281, 16.281) * CHOOSE(CONTROL!$C$21, $C$9, 100%, $E$9)</f>
        <v>16.280999999999999</v>
      </c>
      <c r="I356" s="14">
        <f>CHOOSE(CONTROL!$C$42, 16.1088, 16.1088)* CHOOSE(CONTROL!$C$21, $C$9, 100%, $E$9)</f>
        <v>16.108799999999999</v>
      </c>
      <c r="J356" s="14">
        <f>CHOOSE(CONTROL!$C$42, 16.0469, 16.0469)* CHOOSE(CONTROL!$C$21, $C$9, 100%, $E$9)</f>
        <v>16.046900000000001</v>
      </c>
      <c r="K356" s="52">
        <f>CHOOSE(CONTROL!$C$42, 16.1049, 16.1049) * CHOOSE(CONTROL!$C$21, $C$9, 100%, $E$9)</f>
        <v>16.104900000000001</v>
      </c>
      <c r="L356" s="14">
        <f>CHOOSE(CONTROL!$C$42, 16.868, 16.868) * CHOOSE(CONTROL!$C$21, $C$9, 100%, $E$9)</f>
        <v>16.867999999999999</v>
      </c>
      <c r="M356" s="14">
        <f>CHOOSE(CONTROL!$C$42, 15.7258, 15.7258) * CHOOSE(CONTROL!$C$21, $C$9, 100%, $E$9)</f>
        <v>15.7258</v>
      </c>
      <c r="N356" s="14">
        <f>CHOOSE(CONTROL!$C$42, 15.7427, 15.7427) * CHOOSE(CONTROL!$C$21, $C$9, 100%, $E$9)</f>
        <v>15.742699999999999</v>
      </c>
      <c r="O356" s="14">
        <f>CHOOSE(CONTROL!$C$42, 15.9551, 15.9551) * CHOOSE(CONTROL!$C$21, $C$9, 100%, $E$9)</f>
        <v>15.9551</v>
      </c>
      <c r="P356" s="14">
        <f>CHOOSE(CONTROL!$C$42, 15.7855, 15.7855) * CHOOSE(CONTROL!$C$21, $C$9, 100%, $E$9)</f>
        <v>15.785500000000001</v>
      </c>
      <c r="Q356" s="14">
        <f>CHOOSE(CONTROL!$C$42, 16.5498, 16.5498) * CHOOSE(CONTROL!$C$21, $C$9, 100%, $E$9)</f>
        <v>16.549800000000001</v>
      </c>
      <c r="R356" s="14">
        <f>CHOOSE(CONTROL!$C$42, 17.1781, 17.1781) * CHOOSE(CONTROL!$C$21, $C$9, 100%, $E$9)</f>
        <v>17.178100000000001</v>
      </c>
      <c r="S356" s="14">
        <f>CHOOSE(CONTROL!$C$42, 15.3898, 15.3898) * CHOOSE(CONTROL!$C$21, $C$9, 100%, $E$9)</f>
        <v>15.389799999999999</v>
      </c>
      <c r="T35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56">
        <f>(1000*CHOOSE(CONTROL!$C$42, 695, 695)*CHOOSE(CONTROL!$C$42, 0.5599, 0.5599)*CHOOSE(CONTROL!$C$42, 31, 31))/1000000</f>
        <v>12.063045499999998</v>
      </c>
      <c r="V356" s="56">
        <f>(1000*CHOOSE(CONTROL!$C$42, 500, 500)*CHOOSE(CONTROL!$C$42, 0.275, 0.275)*CHOOSE(CONTROL!$C$42, 31, 31))/1000000</f>
        <v>4.2625000000000002</v>
      </c>
      <c r="W356" s="56">
        <f>(1000*CHOOSE(CONTROL!$C$42, 0.1146, 0.1146)*CHOOSE(CONTROL!$C$42, 121.5, 121.5)*CHOOSE(CONTROL!$C$42, 31, 31))/1000000</f>
        <v>0.43164089999999994</v>
      </c>
      <c r="X356" s="56">
        <f>(31*0.1790888*245000/1000000)+(31*0.2374*100000/1000000)</f>
        <v>2.0961194359999999</v>
      </c>
      <c r="Y356" s="56"/>
      <c r="Z356" s="14"/>
      <c r="AA356" s="55"/>
      <c r="AB356" s="49">
        <f>(B356*194.205+C356*267.466+D356*133.845+E356*53.484+F356*40+G356*185+H356*0+I356*100+J356*300)/(194.205+267.466+133.845+53.484+0+40+185+100+300)</f>
        <v>16.082766581868135</v>
      </c>
      <c r="AC356" s="44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15.802616546762586</v>
      </c>
    </row>
    <row r="357" spans="1:29" ht="15.75" x14ac:dyDescent="0.25">
      <c r="A357" s="32">
        <v>51774</v>
      </c>
      <c r="B357" s="14">
        <f>CHOOSE(CONTROL!$C$42, 15.0101, 15.0101) * CHOOSE(CONTROL!$C$21, $C$9, 100%, $E$9)</f>
        <v>15.0101</v>
      </c>
      <c r="C357" s="14">
        <f>CHOOSE(CONTROL!$C$42, 15.0181, 15.0181) * CHOOSE(CONTROL!$C$21, $C$9, 100%, $E$9)</f>
        <v>15.0181</v>
      </c>
      <c r="D357" s="14">
        <f>CHOOSE(CONTROL!$C$42, 15.2439, 15.2439) * CHOOSE(CONTROL!$C$21, $C$9, 100%, $E$9)</f>
        <v>15.2439</v>
      </c>
      <c r="E357" s="14">
        <f>CHOOSE(CONTROL!$C$42, 15.2753, 15.2753) * CHOOSE(CONTROL!$C$21, $C$9, 100%, $E$9)</f>
        <v>15.2753</v>
      </c>
      <c r="F357" s="14">
        <f>CHOOSE(CONTROL!$C$42, 15.0369, 15.0369)*CHOOSE(CONTROL!$C$21, $C$9, 100%, $E$9)</f>
        <v>15.036899999999999</v>
      </c>
      <c r="G357" s="14">
        <f>CHOOSE(CONTROL!$C$42, 15.0541, 15.0541)*CHOOSE(CONTROL!$C$21, $C$9, 100%, $E$9)</f>
        <v>15.0541</v>
      </c>
      <c r="H357" s="14">
        <f>CHOOSE(CONTROL!$C$42, 15.264, 15.264) * CHOOSE(CONTROL!$C$21, $C$9, 100%, $E$9)</f>
        <v>15.263999999999999</v>
      </c>
      <c r="I357" s="14">
        <f>CHOOSE(CONTROL!$C$42, 15.0886, 15.0886)* CHOOSE(CONTROL!$C$21, $C$9, 100%, $E$9)</f>
        <v>15.0886</v>
      </c>
      <c r="J357" s="14">
        <f>CHOOSE(CONTROL!$C$42, 15.0299, 15.0299)* CHOOSE(CONTROL!$C$21, $C$9, 100%, $E$9)</f>
        <v>15.0299</v>
      </c>
      <c r="K357" s="52">
        <f>CHOOSE(CONTROL!$C$42, 15.0847, 15.0847) * CHOOSE(CONTROL!$C$21, $C$9, 100%, $E$9)</f>
        <v>15.0847</v>
      </c>
      <c r="L357" s="14">
        <f>CHOOSE(CONTROL!$C$42, 15.851, 15.851) * CHOOSE(CONTROL!$C$21, $C$9, 100%, $E$9)</f>
        <v>15.851000000000001</v>
      </c>
      <c r="M357" s="14">
        <f>CHOOSE(CONTROL!$C$42, 14.7296, 14.7296) * CHOOSE(CONTROL!$C$21, $C$9, 100%, $E$9)</f>
        <v>14.7296</v>
      </c>
      <c r="N357" s="14">
        <f>CHOOSE(CONTROL!$C$42, 14.7465, 14.7465) * CHOOSE(CONTROL!$C$21, $C$9, 100%, $E$9)</f>
        <v>14.746499999999999</v>
      </c>
      <c r="O357" s="14">
        <f>CHOOSE(CONTROL!$C$42, 14.9589, 14.9589) * CHOOSE(CONTROL!$C$21, $C$9, 100%, $E$9)</f>
        <v>14.9589</v>
      </c>
      <c r="P357" s="14">
        <f>CHOOSE(CONTROL!$C$42, 14.7863, 14.7863) * CHOOSE(CONTROL!$C$21, $C$9, 100%, $E$9)</f>
        <v>14.786300000000001</v>
      </c>
      <c r="Q357" s="14">
        <f>CHOOSE(CONTROL!$C$42, 15.5536, 15.5536) * CHOOSE(CONTROL!$C$21, $C$9, 100%, $E$9)</f>
        <v>15.553599999999999</v>
      </c>
      <c r="R357" s="14">
        <f>CHOOSE(CONTROL!$C$42, 16.1795, 16.1795) * CHOOSE(CONTROL!$C$21, $C$9, 100%, $E$9)</f>
        <v>16.179500000000001</v>
      </c>
      <c r="S357" s="14">
        <f>CHOOSE(CONTROL!$C$42, 14.4125, 14.4125) * CHOOSE(CONTROL!$C$21, $C$9, 100%, $E$9)</f>
        <v>14.4125</v>
      </c>
      <c r="T35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56">
        <f>(1000*CHOOSE(CONTROL!$C$42, 695, 695)*CHOOSE(CONTROL!$C$42, 0.5599, 0.5599)*CHOOSE(CONTROL!$C$42, 30, 30))/1000000</f>
        <v>11.673914999999997</v>
      </c>
      <c r="V357" s="56">
        <f>(1000*CHOOSE(CONTROL!$C$42, 500, 500)*CHOOSE(CONTROL!$C$42, 0.275, 0.275)*CHOOSE(CONTROL!$C$42, 30, 30))/1000000</f>
        <v>4.125</v>
      </c>
      <c r="W357" s="56">
        <f>(1000*CHOOSE(CONTROL!$C$42, 0.1146, 0.1146)*CHOOSE(CONTROL!$C$42, 121.5, 121.5)*CHOOSE(CONTROL!$C$42, 30, 30))/1000000</f>
        <v>0.417717</v>
      </c>
      <c r="X357" s="56">
        <f>(30*0.1790888*245000/1000000)+(30*0.2374*100000/1000000)</f>
        <v>2.0285026799999999</v>
      </c>
      <c r="Y357" s="56"/>
      <c r="Z357" s="14"/>
      <c r="AA357" s="55"/>
      <c r="AB357" s="49">
        <f>(B357*194.205+C357*267.466+D357*133.845+E357*53.484+F357*40+G357*185+H357*0+I357*100+J357*300)/(194.205+267.466+133.845+53.484+0+40+185+100+300)</f>
        <v>15.065530648194663</v>
      </c>
      <c r="AC357" s="44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14.805984892086332</v>
      </c>
    </row>
    <row r="358" spans="1:29" ht="15.75" x14ac:dyDescent="0.25">
      <c r="A358" s="32">
        <v>51805</v>
      </c>
      <c r="B358" s="14">
        <f>CHOOSE(CONTROL!$C$42, 14.7038, 14.7038) * CHOOSE(CONTROL!$C$21, $C$9, 100%, $E$9)</f>
        <v>14.703799999999999</v>
      </c>
      <c r="C358" s="14">
        <f>CHOOSE(CONTROL!$C$42, 14.7091, 14.7091) * CHOOSE(CONTROL!$C$21, $C$9, 100%, $E$9)</f>
        <v>14.709099999999999</v>
      </c>
      <c r="D358" s="14">
        <f>CHOOSE(CONTROL!$C$42, 14.9398, 14.9398) * CHOOSE(CONTROL!$C$21, $C$9, 100%, $E$9)</f>
        <v>14.9398</v>
      </c>
      <c r="E358" s="14">
        <f>CHOOSE(CONTROL!$C$42, 14.969, 14.969) * CHOOSE(CONTROL!$C$21, $C$9, 100%, $E$9)</f>
        <v>14.968999999999999</v>
      </c>
      <c r="F358" s="14">
        <f>CHOOSE(CONTROL!$C$42, 14.7326, 14.7326)*CHOOSE(CONTROL!$C$21, $C$9, 100%, $E$9)</f>
        <v>14.7326</v>
      </c>
      <c r="G358" s="14">
        <f>CHOOSE(CONTROL!$C$42, 14.7497, 14.7497)*CHOOSE(CONTROL!$C$21, $C$9, 100%, $E$9)</f>
        <v>14.749700000000001</v>
      </c>
      <c r="H358" s="14">
        <f>CHOOSE(CONTROL!$C$42, 14.9594, 14.9594) * CHOOSE(CONTROL!$C$21, $C$9, 100%, $E$9)</f>
        <v>14.9594</v>
      </c>
      <c r="I358" s="14">
        <f>CHOOSE(CONTROL!$C$42, 14.7831, 14.7831)* CHOOSE(CONTROL!$C$21, $C$9, 100%, $E$9)</f>
        <v>14.783099999999999</v>
      </c>
      <c r="J358" s="14">
        <f>CHOOSE(CONTROL!$C$42, 14.7256, 14.7256)* CHOOSE(CONTROL!$C$21, $C$9, 100%, $E$9)</f>
        <v>14.7256</v>
      </c>
      <c r="K358" s="52">
        <f>CHOOSE(CONTROL!$C$42, 14.7792, 14.7792) * CHOOSE(CONTROL!$C$21, $C$9, 100%, $E$9)</f>
        <v>14.779199999999999</v>
      </c>
      <c r="L358" s="14">
        <f>CHOOSE(CONTROL!$C$42, 15.5464, 15.5464) * CHOOSE(CONTROL!$C$21, $C$9, 100%, $E$9)</f>
        <v>15.5464</v>
      </c>
      <c r="M358" s="14">
        <f>CHOOSE(CONTROL!$C$42, 14.4316, 14.4316) * CHOOSE(CONTROL!$C$21, $C$9, 100%, $E$9)</f>
        <v>14.4316</v>
      </c>
      <c r="N358" s="14">
        <f>CHOOSE(CONTROL!$C$42, 14.4484, 14.4484) * CHOOSE(CONTROL!$C$21, $C$9, 100%, $E$9)</f>
        <v>14.448399999999999</v>
      </c>
      <c r="O358" s="14">
        <f>CHOOSE(CONTROL!$C$42, 14.6606, 14.6606) * CHOOSE(CONTROL!$C$21, $C$9, 100%, $E$9)</f>
        <v>14.660600000000001</v>
      </c>
      <c r="P358" s="14">
        <f>CHOOSE(CONTROL!$C$42, 14.4871, 14.4871) * CHOOSE(CONTROL!$C$21, $C$9, 100%, $E$9)</f>
        <v>14.4871</v>
      </c>
      <c r="Q358" s="14">
        <f>CHOOSE(CONTROL!$C$42, 15.2553, 15.2553) * CHOOSE(CONTROL!$C$21, $C$9, 100%, $E$9)</f>
        <v>15.2553</v>
      </c>
      <c r="R358" s="14">
        <f>CHOOSE(CONTROL!$C$42, 15.8805, 15.8805) * CHOOSE(CONTROL!$C$21, $C$9, 100%, $E$9)</f>
        <v>15.8805</v>
      </c>
      <c r="S358" s="14">
        <f>CHOOSE(CONTROL!$C$42, 14.1199, 14.1199) * CHOOSE(CONTROL!$C$21, $C$9, 100%, $E$9)</f>
        <v>14.119899999999999</v>
      </c>
      <c r="T35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56">
        <f>(1000*CHOOSE(CONTROL!$C$42, 695, 695)*CHOOSE(CONTROL!$C$42, 0.5599, 0.5599)*CHOOSE(CONTROL!$C$42, 31, 31))/1000000</f>
        <v>12.063045499999998</v>
      </c>
      <c r="V358" s="56">
        <f>(1000*CHOOSE(CONTROL!$C$42, 500, 500)*CHOOSE(CONTROL!$C$42, 0.275, 0.275)*CHOOSE(CONTROL!$C$42, 31, 31))/1000000</f>
        <v>4.2625000000000002</v>
      </c>
      <c r="W358" s="56">
        <f>(1000*CHOOSE(CONTROL!$C$42, 0.1146, 0.1146)*CHOOSE(CONTROL!$C$42, 121.5, 121.5)*CHOOSE(CONTROL!$C$42, 31, 31))/1000000</f>
        <v>0.43164089999999994</v>
      </c>
      <c r="X358" s="56">
        <f>(31*0.1790888*245000/1000000)+(31*0.2374*100000/1000000)</f>
        <v>2.0961194359999999</v>
      </c>
      <c r="Y358" s="56"/>
      <c r="Z358" s="14"/>
      <c r="AA358" s="55"/>
      <c r="AB358" s="49">
        <f>(B358*131.881+C358*277.167+D358*79.08+E358*125.872+F358*40+G358*185+H358*0+I358*100+J358*300)/(131.881+277.167+79.08+125.872+0+40+185+100+300)</f>
        <v>14.76645263882163</v>
      </c>
      <c r="AC358" s="44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14.507705035971222</v>
      </c>
    </row>
    <row r="359" spans="1:29" ht="15.75" x14ac:dyDescent="0.25">
      <c r="A359" s="32">
        <v>51835</v>
      </c>
      <c r="B359" s="14">
        <f>CHOOSE(CONTROL!$C$42, 15.0905, 15.0905) * CHOOSE(CONTROL!$C$21, $C$9, 100%, $E$9)</f>
        <v>15.0905</v>
      </c>
      <c r="C359" s="14">
        <f>CHOOSE(CONTROL!$C$42, 15.0955, 15.0955) * CHOOSE(CONTROL!$C$21, $C$9, 100%, $E$9)</f>
        <v>15.095499999999999</v>
      </c>
      <c r="D359" s="14">
        <f>CHOOSE(CONTROL!$C$42, 15.1645, 15.1645) * CHOOSE(CONTROL!$C$21, $C$9, 100%, $E$9)</f>
        <v>15.1645</v>
      </c>
      <c r="E359" s="14">
        <f>CHOOSE(CONTROL!$C$42, 15.1986, 15.1986) * CHOOSE(CONTROL!$C$21, $C$9, 100%, $E$9)</f>
        <v>15.198600000000001</v>
      </c>
      <c r="F359" s="14">
        <f>CHOOSE(CONTROL!$C$42, 15.126, 15.126)*CHOOSE(CONTROL!$C$21, $C$9, 100%, $E$9)</f>
        <v>15.125999999999999</v>
      </c>
      <c r="G359" s="14">
        <f>CHOOSE(CONTROL!$C$42, 15.1434, 15.1434)*CHOOSE(CONTROL!$C$21, $C$9, 100%, $E$9)</f>
        <v>15.1434</v>
      </c>
      <c r="H359" s="14">
        <f>CHOOSE(CONTROL!$C$42, 15.1878, 15.1878) * CHOOSE(CONTROL!$C$21, $C$9, 100%, $E$9)</f>
        <v>15.187799999999999</v>
      </c>
      <c r="I359" s="14">
        <f>CHOOSE(CONTROL!$C$42, 15.174, 15.174)* CHOOSE(CONTROL!$C$21, $C$9, 100%, $E$9)</f>
        <v>15.173999999999999</v>
      </c>
      <c r="J359" s="14">
        <f>CHOOSE(CONTROL!$C$42, 15.119, 15.119)* CHOOSE(CONTROL!$C$21, $C$9, 100%, $E$9)</f>
        <v>15.119</v>
      </c>
      <c r="K359" s="52">
        <f>CHOOSE(CONTROL!$C$42, 15.1702, 15.1702) * CHOOSE(CONTROL!$C$21, $C$9, 100%, $E$9)</f>
        <v>15.170199999999999</v>
      </c>
      <c r="L359" s="14">
        <f>CHOOSE(CONTROL!$C$42, 15.7748, 15.7748) * CHOOSE(CONTROL!$C$21, $C$9, 100%, $E$9)</f>
        <v>15.774800000000001</v>
      </c>
      <c r="M359" s="14">
        <f>CHOOSE(CONTROL!$C$42, 14.817, 14.817) * CHOOSE(CONTROL!$C$21, $C$9, 100%, $E$9)</f>
        <v>14.817</v>
      </c>
      <c r="N359" s="14">
        <f>CHOOSE(CONTROL!$C$42, 14.834, 14.834) * CHOOSE(CONTROL!$C$21, $C$9, 100%, $E$9)</f>
        <v>14.834</v>
      </c>
      <c r="O359" s="14">
        <f>CHOOSE(CONTROL!$C$42, 14.8843, 14.8843) * CHOOSE(CONTROL!$C$21, $C$9, 100%, $E$9)</f>
        <v>14.8843</v>
      </c>
      <c r="P359" s="14">
        <f>CHOOSE(CONTROL!$C$42, 14.87, 14.87) * CHOOSE(CONTROL!$C$21, $C$9, 100%, $E$9)</f>
        <v>14.87</v>
      </c>
      <c r="Q359" s="14">
        <f>CHOOSE(CONTROL!$C$42, 15.479, 15.479) * CHOOSE(CONTROL!$C$21, $C$9, 100%, $E$9)</f>
        <v>15.478999999999999</v>
      </c>
      <c r="R359" s="14">
        <f>CHOOSE(CONTROL!$C$42, 16.1047, 16.1047) * CHOOSE(CONTROL!$C$21, $C$9, 100%, $E$9)</f>
        <v>16.104700000000001</v>
      </c>
      <c r="S359" s="14">
        <f>CHOOSE(CONTROL!$C$42, 14.4919, 14.4919) * CHOOSE(CONTROL!$C$21, $C$9, 100%, $E$9)</f>
        <v>14.491899999999999</v>
      </c>
      <c r="T35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56">
        <f>(1000*CHOOSE(CONTROL!$C$42, 695, 695)*CHOOSE(CONTROL!$C$42, 0.5599, 0.5599)*CHOOSE(CONTROL!$C$42, 30, 30))/1000000</f>
        <v>11.673914999999997</v>
      </c>
      <c r="V359" s="56">
        <f>(1000*CHOOSE(CONTROL!$C$42, 500, 500)*CHOOSE(CONTROL!$C$42, 0.275, 0.275)*CHOOSE(CONTROL!$C$42, 30, 30))/1000000</f>
        <v>4.125</v>
      </c>
      <c r="W359" s="56">
        <f>(1000*CHOOSE(CONTROL!$C$42, 0.1146, 0.1146)*CHOOSE(CONTROL!$C$42, 121.5, 121.5)*CHOOSE(CONTROL!$C$42, 30, 30))/1000000</f>
        <v>0.417717</v>
      </c>
      <c r="X359" s="56">
        <f>(30*0.1790888*100000/1000000)+(30*0.2374*100000/1000000)</f>
        <v>1.2494664</v>
      </c>
      <c r="Y359" s="56"/>
      <c r="Z359" s="14"/>
      <c r="AA359" s="55"/>
      <c r="AB359" s="49">
        <f>(B359*122.58+C359*297.941+D359*89.177+E359*40.302+F359*40+G359*160+H359*0+I359*100+J359*300)/(122.58+297.941+89.177+40.302+0+40+160+100+300)</f>
        <v>15.124612564521737</v>
      </c>
      <c r="AC359" s="44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14.856107194244606</v>
      </c>
    </row>
    <row r="360" spans="1:29" ht="15.75" x14ac:dyDescent="0.25">
      <c r="A360" s="32">
        <v>51866</v>
      </c>
      <c r="B360" s="14">
        <f>CHOOSE(CONTROL!$C$42, 16.1187, 16.1187) * CHOOSE(CONTROL!$C$21, $C$9, 100%, $E$9)</f>
        <v>16.1187</v>
      </c>
      <c r="C360" s="14">
        <f>CHOOSE(CONTROL!$C$42, 16.1237, 16.1237) * CHOOSE(CONTROL!$C$21, $C$9, 100%, $E$9)</f>
        <v>16.123699999999999</v>
      </c>
      <c r="D360" s="14">
        <f>CHOOSE(CONTROL!$C$42, 16.1927, 16.1927) * CHOOSE(CONTROL!$C$21, $C$9, 100%, $E$9)</f>
        <v>16.192699999999999</v>
      </c>
      <c r="E360" s="14">
        <f>CHOOSE(CONTROL!$C$42, 16.2268, 16.2268) * CHOOSE(CONTROL!$C$21, $C$9, 100%, $E$9)</f>
        <v>16.226800000000001</v>
      </c>
      <c r="F360" s="14">
        <f>CHOOSE(CONTROL!$C$42, 16.1565, 16.1565)*CHOOSE(CONTROL!$C$21, $C$9, 100%, $E$9)</f>
        <v>16.156500000000001</v>
      </c>
      <c r="G360" s="14">
        <f>CHOOSE(CONTROL!$C$42, 16.1745, 16.1745)*CHOOSE(CONTROL!$C$21, $C$9, 100%, $E$9)</f>
        <v>16.174499999999998</v>
      </c>
      <c r="H360" s="14">
        <f>CHOOSE(CONTROL!$C$42, 16.216, 16.216) * CHOOSE(CONTROL!$C$21, $C$9, 100%, $E$9)</f>
        <v>16.216000000000001</v>
      </c>
      <c r="I360" s="14">
        <f>CHOOSE(CONTROL!$C$42, 16.2055, 16.2055)* CHOOSE(CONTROL!$C$21, $C$9, 100%, $E$9)</f>
        <v>16.205500000000001</v>
      </c>
      <c r="J360" s="14">
        <f>CHOOSE(CONTROL!$C$42, 16.1495, 16.1495)* CHOOSE(CONTROL!$C$21, $C$9, 100%, $E$9)</f>
        <v>16.1495</v>
      </c>
      <c r="K360" s="52">
        <f>CHOOSE(CONTROL!$C$42, 16.2016, 16.2016) * CHOOSE(CONTROL!$C$21, $C$9, 100%, $E$9)</f>
        <v>16.201599999999999</v>
      </c>
      <c r="L360" s="14">
        <f>CHOOSE(CONTROL!$C$42, 16.803, 16.803) * CHOOSE(CONTROL!$C$21, $C$9, 100%, $E$9)</f>
        <v>16.803000000000001</v>
      </c>
      <c r="M360" s="14">
        <f>CHOOSE(CONTROL!$C$42, 15.8263, 15.8263) * CHOOSE(CONTROL!$C$21, $C$9, 100%, $E$9)</f>
        <v>15.8263</v>
      </c>
      <c r="N360" s="14">
        <f>CHOOSE(CONTROL!$C$42, 15.8439, 15.8439) * CHOOSE(CONTROL!$C$21, $C$9, 100%, $E$9)</f>
        <v>15.8439</v>
      </c>
      <c r="O360" s="14">
        <f>CHOOSE(CONTROL!$C$42, 15.8915, 15.8915) * CHOOSE(CONTROL!$C$21, $C$9, 100%, $E$9)</f>
        <v>15.891500000000001</v>
      </c>
      <c r="P360" s="14">
        <f>CHOOSE(CONTROL!$C$42, 15.8802, 15.8802) * CHOOSE(CONTROL!$C$21, $C$9, 100%, $E$9)</f>
        <v>15.8802</v>
      </c>
      <c r="Q360" s="14">
        <f>CHOOSE(CONTROL!$C$42, 16.4862, 16.4862) * CHOOSE(CONTROL!$C$21, $C$9, 100%, $E$9)</f>
        <v>16.4862</v>
      </c>
      <c r="R360" s="14">
        <f>CHOOSE(CONTROL!$C$42, 17.1144, 17.1144) * CHOOSE(CONTROL!$C$21, $C$9, 100%, $E$9)</f>
        <v>17.1144</v>
      </c>
      <c r="S360" s="14">
        <f>CHOOSE(CONTROL!$C$42, 15.4799, 15.4799) * CHOOSE(CONTROL!$C$21, $C$9, 100%, $E$9)</f>
        <v>15.479900000000001</v>
      </c>
      <c r="T36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56">
        <f>(1000*CHOOSE(CONTROL!$C$42, 695, 695)*CHOOSE(CONTROL!$C$42, 0.5599, 0.5599)*CHOOSE(CONTROL!$C$42, 31, 31))/1000000</f>
        <v>12.063045499999998</v>
      </c>
      <c r="V360" s="56">
        <f>(1000*CHOOSE(CONTROL!$C$42, 500, 500)*CHOOSE(CONTROL!$C$42, 0.275, 0.275)*CHOOSE(CONTROL!$C$42, 31, 31))/1000000</f>
        <v>4.2625000000000002</v>
      </c>
      <c r="W360" s="56">
        <f>(1000*CHOOSE(CONTROL!$C$42, 0.1146, 0.1146)*CHOOSE(CONTROL!$C$42, 121.5, 121.5)*CHOOSE(CONTROL!$C$42, 31, 31))/1000000</f>
        <v>0.43164089999999994</v>
      </c>
      <c r="X360" s="56">
        <f>(31*0.1790888*100000/1000000)+(31*0.2374*100000/1000000)</f>
        <v>1.2911152800000001</v>
      </c>
      <c r="Y360" s="56"/>
      <c r="Z360" s="14"/>
      <c r="AA360" s="55"/>
      <c r="AB360" s="49">
        <f>(B360*122.58+C360*297.941+D360*89.177+E360*40.302+F360*40+G360*160+H360*0+I360*100+J360*300)/(122.58+297.941+89.177+40.302+0+40+160+100+300)</f>
        <v>16.154182999304346</v>
      </c>
      <c r="AC360" s="44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15.864619424460434</v>
      </c>
    </row>
    <row r="361" spans="1:29" ht="15.75" x14ac:dyDescent="0.25">
      <c r="A361" s="32">
        <v>51897</v>
      </c>
      <c r="B361" s="14">
        <f>CHOOSE(CONTROL!$C$42, 17.4541, 17.4541) * CHOOSE(CONTROL!$C$21, $C$9, 100%, $E$9)</f>
        <v>17.4541</v>
      </c>
      <c r="C361" s="14">
        <f>CHOOSE(CONTROL!$C$42, 17.4592, 17.4592) * CHOOSE(CONTROL!$C$21, $C$9, 100%, $E$9)</f>
        <v>17.459199999999999</v>
      </c>
      <c r="D361" s="14">
        <f>CHOOSE(CONTROL!$C$42, 17.5386, 17.5386) * CHOOSE(CONTROL!$C$21, $C$9, 100%, $E$9)</f>
        <v>17.538599999999999</v>
      </c>
      <c r="E361" s="14">
        <f>CHOOSE(CONTROL!$C$42, 17.5727, 17.5727) * CHOOSE(CONTROL!$C$21, $C$9, 100%, $E$9)</f>
        <v>17.572700000000001</v>
      </c>
      <c r="F361" s="14">
        <f>CHOOSE(CONTROL!$C$42, 17.4771, 17.4771)*CHOOSE(CONTROL!$C$21, $C$9, 100%, $E$9)</f>
        <v>17.4771</v>
      </c>
      <c r="G361" s="14">
        <f>CHOOSE(CONTROL!$C$42, 17.4947, 17.4947)*CHOOSE(CONTROL!$C$21, $C$9, 100%, $E$9)</f>
        <v>17.494700000000002</v>
      </c>
      <c r="H361" s="14">
        <f>CHOOSE(CONTROL!$C$42, 17.5619, 17.5619) * CHOOSE(CONTROL!$C$21, $C$9, 100%, $E$9)</f>
        <v>17.561900000000001</v>
      </c>
      <c r="I361" s="14">
        <f>CHOOSE(CONTROL!$C$42, 17.5441, 17.5441)* CHOOSE(CONTROL!$C$21, $C$9, 100%, $E$9)</f>
        <v>17.5441</v>
      </c>
      <c r="J361" s="14">
        <f>CHOOSE(CONTROL!$C$42, 17.4701, 17.4701)* CHOOSE(CONTROL!$C$21, $C$9, 100%, $E$9)</f>
        <v>17.470099999999999</v>
      </c>
      <c r="K361" s="52">
        <f>CHOOSE(CONTROL!$C$42, 17.5402, 17.5402) * CHOOSE(CONTROL!$C$21, $C$9, 100%, $E$9)</f>
        <v>17.540199999999999</v>
      </c>
      <c r="L361" s="14">
        <f>CHOOSE(CONTROL!$C$42, 18.1489, 18.1489) * CHOOSE(CONTROL!$C$21, $C$9, 100%, $E$9)</f>
        <v>18.148900000000001</v>
      </c>
      <c r="M361" s="14">
        <f>CHOOSE(CONTROL!$C$42, 17.1199, 17.1199) * CHOOSE(CONTROL!$C$21, $C$9, 100%, $E$9)</f>
        <v>17.119900000000001</v>
      </c>
      <c r="N361" s="14">
        <f>CHOOSE(CONTROL!$C$42, 17.137, 17.137) * CHOOSE(CONTROL!$C$21, $C$9, 100%, $E$9)</f>
        <v>17.137</v>
      </c>
      <c r="O361" s="14">
        <f>CHOOSE(CONTROL!$C$42, 17.2098, 17.2098) * CHOOSE(CONTROL!$C$21, $C$9, 100%, $E$9)</f>
        <v>17.209800000000001</v>
      </c>
      <c r="P361" s="14">
        <f>CHOOSE(CONTROL!$C$42, 17.1913, 17.1913) * CHOOSE(CONTROL!$C$21, $C$9, 100%, $E$9)</f>
        <v>17.191299999999998</v>
      </c>
      <c r="Q361" s="14">
        <f>CHOOSE(CONTROL!$C$42, 17.8045, 17.8045) * CHOOSE(CONTROL!$C$21, $C$9, 100%, $E$9)</f>
        <v>17.804500000000001</v>
      </c>
      <c r="R361" s="14">
        <f>CHOOSE(CONTROL!$C$42, 18.436, 18.436) * CHOOSE(CONTROL!$C$21, $C$9, 100%, $E$9)</f>
        <v>18.436</v>
      </c>
      <c r="S361" s="14">
        <f>CHOOSE(CONTROL!$C$42, 16.7631, 16.7631) * CHOOSE(CONTROL!$C$21, $C$9, 100%, $E$9)</f>
        <v>16.763100000000001</v>
      </c>
      <c r="T36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56">
        <f>(1000*CHOOSE(CONTROL!$C$42, 695, 695)*CHOOSE(CONTROL!$C$42, 0.5599, 0.5599)*CHOOSE(CONTROL!$C$42, 31, 31))/1000000</f>
        <v>12.063045499999998</v>
      </c>
      <c r="V361" s="56">
        <f>(1000*CHOOSE(CONTROL!$C$42, 500, 500)*CHOOSE(CONTROL!$C$42, 0.275, 0.275)*CHOOSE(CONTROL!$C$42, 31, 31))/1000000</f>
        <v>4.2625000000000002</v>
      </c>
      <c r="W361" s="56">
        <f>(1000*CHOOSE(CONTROL!$C$42, 0.1146, 0.1146)*CHOOSE(CONTROL!$C$42, 121.5, 121.5)*CHOOSE(CONTROL!$C$42, 31, 31))/1000000</f>
        <v>0.43164089999999994</v>
      </c>
      <c r="X361" s="56">
        <f>(31*0.1790888*100000/1000000)+(31*0.2374*100000/1000000)</f>
        <v>1.2911152800000001</v>
      </c>
      <c r="Y361" s="56"/>
      <c r="Z361" s="14"/>
      <c r="AA361" s="55"/>
      <c r="AB361" s="49">
        <f>(B361*122.58+C361*297.941+D361*89.177+E361*40.302+F361*40+G361*160+H361*0+I361*100+J361*300)/(122.58+297.941+89.177+40.302+0+40+160+100+300)</f>
        <v>17.484578932869567</v>
      </c>
      <c r="AC361" s="44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17.171903597122302</v>
      </c>
    </row>
    <row r="362" spans="1:29" ht="15.75" x14ac:dyDescent="0.25">
      <c r="A362" s="32">
        <v>51925</v>
      </c>
      <c r="B362" s="14">
        <f>CHOOSE(CONTROL!$C$42, 17.7647, 17.7647) * CHOOSE(CONTROL!$C$21, $C$9, 100%, $E$9)</f>
        <v>17.764700000000001</v>
      </c>
      <c r="C362" s="14">
        <f>CHOOSE(CONTROL!$C$42, 17.7697, 17.7697) * CHOOSE(CONTROL!$C$21, $C$9, 100%, $E$9)</f>
        <v>17.7697</v>
      </c>
      <c r="D362" s="14">
        <f>CHOOSE(CONTROL!$C$42, 17.8491, 17.8491) * CHOOSE(CONTROL!$C$21, $C$9, 100%, $E$9)</f>
        <v>17.8491</v>
      </c>
      <c r="E362" s="14">
        <f>CHOOSE(CONTROL!$C$42, 17.8832, 17.8832) * CHOOSE(CONTROL!$C$21, $C$9, 100%, $E$9)</f>
        <v>17.883199999999999</v>
      </c>
      <c r="F362" s="14">
        <f>CHOOSE(CONTROL!$C$42, 17.7874, 17.7874)*CHOOSE(CONTROL!$C$21, $C$9, 100%, $E$9)</f>
        <v>17.787400000000002</v>
      </c>
      <c r="G362" s="14">
        <f>CHOOSE(CONTROL!$C$42, 17.8049, 17.8049)*CHOOSE(CONTROL!$C$21, $C$9, 100%, $E$9)</f>
        <v>17.8049</v>
      </c>
      <c r="H362" s="14">
        <f>CHOOSE(CONTROL!$C$42, 17.8724, 17.8724) * CHOOSE(CONTROL!$C$21, $C$9, 100%, $E$9)</f>
        <v>17.872399999999999</v>
      </c>
      <c r="I362" s="14">
        <f>CHOOSE(CONTROL!$C$42, 17.8556, 17.8556)* CHOOSE(CONTROL!$C$21, $C$9, 100%, $E$9)</f>
        <v>17.855599999999999</v>
      </c>
      <c r="J362" s="14">
        <f>CHOOSE(CONTROL!$C$42, 17.7804, 17.7804)* CHOOSE(CONTROL!$C$21, $C$9, 100%, $E$9)</f>
        <v>17.7804</v>
      </c>
      <c r="K362" s="52">
        <f>CHOOSE(CONTROL!$C$42, 17.8517, 17.8517) * CHOOSE(CONTROL!$C$21, $C$9, 100%, $E$9)</f>
        <v>17.851700000000001</v>
      </c>
      <c r="L362" s="14">
        <f>CHOOSE(CONTROL!$C$42, 18.4594, 18.4594) * CHOOSE(CONTROL!$C$21, $C$9, 100%, $E$9)</f>
        <v>18.459399999999999</v>
      </c>
      <c r="M362" s="14">
        <f>CHOOSE(CONTROL!$C$42, 17.4238, 17.4238) * CHOOSE(CONTROL!$C$21, $C$9, 100%, $E$9)</f>
        <v>17.4238</v>
      </c>
      <c r="N362" s="14">
        <f>CHOOSE(CONTROL!$C$42, 17.4409, 17.4409) * CHOOSE(CONTROL!$C$21, $C$9, 100%, $E$9)</f>
        <v>17.440899999999999</v>
      </c>
      <c r="O362" s="14">
        <f>CHOOSE(CONTROL!$C$42, 17.5139, 17.5139) * CHOOSE(CONTROL!$C$21, $C$9, 100%, $E$9)</f>
        <v>17.5139</v>
      </c>
      <c r="P362" s="14">
        <f>CHOOSE(CONTROL!$C$42, 17.4964, 17.4964) * CHOOSE(CONTROL!$C$21, $C$9, 100%, $E$9)</f>
        <v>17.496400000000001</v>
      </c>
      <c r="Q362" s="14">
        <f>CHOOSE(CONTROL!$C$42, 18.1086, 18.1086) * CHOOSE(CONTROL!$C$21, $C$9, 100%, $E$9)</f>
        <v>18.108599999999999</v>
      </c>
      <c r="R362" s="14">
        <f>CHOOSE(CONTROL!$C$42, 18.7409, 18.7409) * CHOOSE(CONTROL!$C$21, $C$9, 100%, $E$9)</f>
        <v>18.7409</v>
      </c>
      <c r="S362" s="14">
        <f>CHOOSE(CONTROL!$C$42, 17.0615, 17.0615) * CHOOSE(CONTROL!$C$21, $C$9, 100%, $E$9)</f>
        <v>17.061499999999999</v>
      </c>
      <c r="T36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56">
        <f>(1000*CHOOSE(CONTROL!$C$42, 695, 695)*CHOOSE(CONTROL!$C$42, 0.5599, 0.5599)*CHOOSE(CONTROL!$C$42, 28, 28))/1000000</f>
        <v>10.895653999999999</v>
      </c>
      <c r="V362" s="56">
        <f>(1000*CHOOSE(CONTROL!$C$42, 500, 500)*CHOOSE(CONTROL!$C$42, 0.275, 0.275)*CHOOSE(CONTROL!$C$42, 28, 28))/1000000</f>
        <v>3.85</v>
      </c>
      <c r="W362" s="56">
        <f>(1000*CHOOSE(CONTROL!$C$42, 0.1146, 0.1146)*CHOOSE(CONTROL!$C$42, 121.5, 121.5)*CHOOSE(CONTROL!$C$42, 28, 28))/1000000</f>
        <v>0.38986920000000003</v>
      </c>
      <c r="X362" s="56">
        <f>(28*0.1790888*100000/1000000)+(28*0.2374*100000/1000000)</f>
        <v>1.16616864</v>
      </c>
      <c r="Y362" s="56"/>
      <c r="Z362" s="14"/>
      <c r="AA362" s="55"/>
      <c r="AB362" s="49">
        <f>(B362*122.58+C362*297.941+D362*89.177+E362*40.302+F362*40+G362*160+H362*0+I362*100+J362*300)/(122.58+297.941+89.177+40.302+0+40+160+100+300)</f>
        <v>17.795075678956522</v>
      </c>
      <c r="AC362" s="44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17.47606690647482</v>
      </c>
    </row>
    <row r="363" spans="1:29" ht="15.75" x14ac:dyDescent="0.25">
      <c r="A363" s="32">
        <v>51956</v>
      </c>
      <c r="B363" s="14">
        <f>CHOOSE(CONTROL!$C$42, 17.2606, 17.2606) * CHOOSE(CONTROL!$C$21, $C$9, 100%, $E$9)</f>
        <v>17.2606</v>
      </c>
      <c r="C363" s="14">
        <f>CHOOSE(CONTROL!$C$42, 17.2656, 17.2656) * CHOOSE(CONTROL!$C$21, $C$9, 100%, $E$9)</f>
        <v>17.265599999999999</v>
      </c>
      <c r="D363" s="14">
        <f>CHOOSE(CONTROL!$C$42, 17.3451, 17.3451) * CHOOSE(CONTROL!$C$21, $C$9, 100%, $E$9)</f>
        <v>17.345099999999999</v>
      </c>
      <c r="E363" s="14">
        <f>CHOOSE(CONTROL!$C$42, 17.3792, 17.3792) * CHOOSE(CONTROL!$C$21, $C$9, 100%, $E$9)</f>
        <v>17.379200000000001</v>
      </c>
      <c r="F363" s="14">
        <f>CHOOSE(CONTROL!$C$42, 17.2826, 17.2826)*CHOOSE(CONTROL!$C$21, $C$9, 100%, $E$9)</f>
        <v>17.282599999999999</v>
      </c>
      <c r="G363" s="14">
        <f>CHOOSE(CONTROL!$C$42, 17.2999, 17.2999)*CHOOSE(CONTROL!$C$21, $C$9, 100%, $E$9)</f>
        <v>17.299900000000001</v>
      </c>
      <c r="H363" s="14">
        <f>CHOOSE(CONTROL!$C$42, 17.3684, 17.3684) * CHOOSE(CONTROL!$C$21, $C$9, 100%, $E$9)</f>
        <v>17.368400000000001</v>
      </c>
      <c r="I363" s="14">
        <f>CHOOSE(CONTROL!$C$42, 17.3499, 17.3499)* CHOOSE(CONTROL!$C$21, $C$9, 100%, $E$9)</f>
        <v>17.349900000000002</v>
      </c>
      <c r="J363" s="14">
        <f>CHOOSE(CONTROL!$C$42, 17.2756, 17.2756)* CHOOSE(CONTROL!$C$21, $C$9, 100%, $E$9)</f>
        <v>17.275600000000001</v>
      </c>
      <c r="K363" s="52">
        <f>CHOOSE(CONTROL!$C$42, 17.346, 17.346) * CHOOSE(CONTROL!$C$21, $C$9, 100%, $E$9)</f>
        <v>17.346</v>
      </c>
      <c r="L363" s="14">
        <f>CHOOSE(CONTROL!$C$42, 17.9554, 17.9554) * CHOOSE(CONTROL!$C$21, $C$9, 100%, $E$9)</f>
        <v>17.955400000000001</v>
      </c>
      <c r="M363" s="14">
        <f>CHOOSE(CONTROL!$C$42, 16.9293, 16.9293) * CHOOSE(CONTROL!$C$21, $C$9, 100%, $E$9)</f>
        <v>16.929300000000001</v>
      </c>
      <c r="N363" s="14">
        <f>CHOOSE(CONTROL!$C$42, 16.9463, 16.9463) * CHOOSE(CONTROL!$C$21, $C$9, 100%, $E$9)</f>
        <v>16.946300000000001</v>
      </c>
      <c r="O363" s="14">
        <f>CHOOSE(CONTROL!$C$42, 17.0202, 17.0202) * CHOOSE(CONTROL!$C$21, $C$9, 100%, $E$9)</f>
        <v>17.020199999999999</v>
      </c>
      <c r="P363" s="14">
        <f>CHOOSE(CONTROL!$C$42, 17.0011, 17.0011) * CHOOSE(CONTROL!$C$21, $C$9, 100%, $E$9)</f>
        <v>17.001100000000001</v>
      </c>
      <c r="Q363" s="14">
        <f>CHOOSE(CONTROL!$C$42, 17.6149, 17.6149) * CHOOSE(CONTROL!$C$21, $C$9, 100%, $E$9)</f>
        <v>17.614899999999999</v>
      </c>
      <c r="R363" s="14">
        <f>CHOOSE(CONTROL!$C$42, 18.2459, 18.2459) * CHOOSE(CONTROL!$C$21, $C$9, 100%, $E$9)</f>
        <v>18.245899999999999</v>
      </c>
      <c r="S363" s="14">
        <f>CHOOSE(CONTROL!$C$42, 16.5771, 16.5771) * CHOOSE(CONTROL!$C$21, $C$9, 100%, $E$9)</f>
        <v>16.577100000000002</v>
      </c>
      <c r="T36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56">
        <f>(1000*CHOOSE(CONTROL!$C$42, 695, 695)*CHOOSE(CONTROL!$C$42, 0.5599, 0.5599)*CHOOSE(CONTROL!$C$42, 31, 31))/1000000</f>
        <v>12.063045499999998</v>
      </c>
      <c r="V363" s="56">
        <f>(1000*CHOOSE(CONTROL!$C$42, 500, 500)*CHOOSE(CONTROL!$C$42, 0.275, 0.275)*CHOOSE(CONTROL!$C$42, 31, 31))/1000000</f>
        <v>4.2625000000000002</v>
      </c>
      <c r="W363" s="56">
        <f>(1000*CHOOSE(CONTROL!$C$42, 0.1146, 0.1146)*CHOOSE(CONTROL!$C$42, 121.5, 121.5)*CHOOSE(CONTROL!$C$42, 31, 31))/1000000</f>
        <v>0.43164089999999994</v>
      </c>
      <c r="X363" s="56">
        <f>(31*0.1790888*100000/1000000)+(31*0.2374*100000/1000000)</f>
        <v>1.2911152800000001</v>
      </c>
      <c r="Y363" s="56"/>
      <c r="Z363" s="14"/>
      <c r="AA363" s="55"/>
      <c r="AB363" s="49">
        <f>(B363*122.58+C363*297.941+D363*89.177+E363*40.302+F363*40+G363*160+H363*0+I363*100+J363*300)/(122.58+297.941+89.177+40.302+0+40+160+100+300)</f>
        <v>17.290515633652173</v>
      </c>
      <c r="AC363" s="44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16.981808633093525</v>
      </c>
    </row>
    <row r="364" spans="1:29" ht="15.75" x14ac:dyDescent="0.25">
      <c r="A364" s="32">
        <v>51986</v>
      </c>
      <c r="B364" s="14">
        <f>CHOOSE(CONTROL!$C$42, 17.2099, 17.2099) * CHOOSE(CONTROL!$C$21, $C$9, 100%, $E$9)</f>
        <v>17.209900000000001</v>
      </c>
      <c r="C364" s="14">
        <f>CHOOSE(CONTROL!$C$42, 17.2144, 17.2144) * CHOOSE(CONTROL!$C$21, $C$9, 100%, $E$9)</f>
        <v>17.214400000000001</v>
      </c>
      <c r="D364" s="14">
        <f>CHOOSE(CONTROL!$C$42, 17.4433, 17.4433) * CHOOSE(CONTROL!$C$21, $C$9, 100%, $E$9)</f>
        <v>17.443300000000001</v>
      </c>
      <c r="E364" s="14">
        <f>CHOOSE(CONTROL!$C$42, 17.4755, 17.4755) * CHOOSE(CONTROL!$C$21, $C$9, 100%, $E$9)</f>
        <v>17.4755</v>
      </c>
      <c r="F364" s="14">
        <f>CHOOSE(CONTROL!$C$42, 17.2369, 17.2369)*CHOOSE(CONTROL!$C$21, $C$9, 100%, $E$9)</f>
        <v>17.236899999999999</v>
      </c>
      <c r="G364" s="14">
        <f>CHOOSE(CONTROL!$C$42, 17.2537, 17.2537)*CHOOSE(CONTROL!$C$21, $C$9, 100%, $E$9)</f>
        <v>17.253699999999998</v>
      </c>
      <c r="H364" s="14">
        <f>CHOOSE(CONTROL!$C$42, 17.4652, 17.4652) * CHOOSE(CONTROL!$C$21, $C$9, 100%, $E$9)</f>
        <v>17.465199999999999</v>
      </c>
      <c r="I364" s="14">
        <f>CHOOSE(CONTROL!$C$42, 17.2968, 17.2968)* CHOOSE(CONTROL!$C$21, $C$9, 100%, $E$9)</f>
        <v>17.296800000000001</v>
      </c>
      <c r="J364" s="14">
        <f>CHOOSE(CONTROL!$C$42, 17.2299, 17.2299)* CHOOSE(CONTROL!$C$21, $C$9, 100%, $E$9)</f>
        <v>17.229900000000001</v>
      </c>
      <c r="K364" s="52">
        <f>CHOOSE(CONTROL!$C$42, 17.2929, 17.2929) * CHOOSE(CONTROL!$C$21, $C$9, 100%, $E$9)</f>
        <v>17.292899999999999</v>
      </c>
      <c r="L364" s="14">
        <f>CHOOSE(CONTROL!$C$42, 18.0522, 18.0522) * CHOOSE(CONTROL!$C$21, $C$9, 100%, $E$9)</f>
        <v>18.052199999999999</v>
      </c>
      <c r="M364" s="14">
        <f>CHOOSE(CONTROL!$C$42, 16.8846, 16.8846) * CHOOSE(CONTROL!$C$21, $C$9, 100%, $E$9)</f>
        <v>16.884599999999999</v>
      </c>
      <c r="N364" s="14">
        <f>CHOOSE(CONTROL!$C$42, 16.901, 16.901) * CHOOSE(CONTROL!$C$21, $C$9, 100%, $E$9)</f>
        <v>16.901</v>
      </c>
      <c r="O364" s="14">
        <f>CHOOSE(CONTROL!$C$42, 17.1151, 17.1151) * CHOOSE(CONTROL!$C$21, $C$9, 100%, $E$9)</f>
        <v>17.115100000000002</v>
      </c>
      <c r="P364" s="14">
        <f>CHOOSE(CONTROL!$C$42, 16.9491, 16.9491) * CHOOSE(CONTROL!$C$21, $C$9, 100%, $E$9)</f>
        <v>16.949100000000001</v>
      </c>
      <c r="Q364" s="14">
        <f>CHOOSE(CONTROL!$C$42, 17.7098, 17.7098) * CHOOSE(CONTROL!$C$21, $C$9, 100%, $E$9)</f>
        <v>17.709800000000001</v>
      </c>
      <c r="R364" s="14">
        <f>CHOOSE(CONTROL!$C$42, 18.3411, 18.3411) * CHOOSE(CONTROL!$C$21, $C$9, 100%, $E$9)</f>
        <v>18.341100000000001</v>
      </c>
      <c r="S364" s="14">
        <f>CHOOSE(CONTROL!$C$42, 16.5277, 16.5277) * CHOOSE(CONTROL!$C$21, $C$9, 100%, $E$9)</f>
        <v>16.527699999999999</v>
      </c>
      <c r="T36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56">
        <f>(1000*CHOOSE(CONTROL!$C$42, 695, 695)*CHOOSE(CONTROL!$C$42, 0.5599, 0.5599)*CHOOSE(CONTROL!$C$42, 30, 30))/1000000</f>
        <v>11.673914999999997</v>
      </c>
      <c r="V364" s="56">
        <f>(1000*CHOOSE(CONTROL!$C$42, 500, 500)*CHOOSE(CONTROL!$C$42, 0.275, 0.275)*CHOOSE(CONTROL!$C$42, 30, 30))/1000000</f>
        <v>4.125</v>
      </c>
      <c r="W364" s="56">
        <f>(1000*CHOOSE(CONTROL!$C$42, 0.1146, 0.1146)*CHOOSE(CONTROL!$C$42, 121.5, 121.5)*CHOOSE(CONTROL!$C$42, 30, 30))/1000000</f>
        <v>0.417717</v>
      </c>
      <c r="X364" s="56">
        <f>(30*0.1790888*245000/1000000)+(30*0.2374*100000/1000000)</f>
        <v>2.0285026799999999</v>
      </c>
      <c r="Y364" s="56"/>
      <c r="Z364" s="14"/>
      <c r="AA364" s="55"/>
      <c r="AB364" s="49">
        <f>(B364*141.293+C364*267.993+D364*115.016+E364*89.698+F364*40+G364*185+H364*0+I364*100+J364*300)/(141.293+267.993+115.016+89.698+0+40+185+100+300)</f>
        <v>17.271035990072644</v>
      </c>
      <c r="AC364" s="44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16.962328776978421</v>
      </c>
    </row>
    <row r="365" spans="1:29" ht="15.75" x14ac:dyDescent="0.25">
      <c r="A365" s="32">
        <v>52017</v>
      </c>
      <c r="B365" s="14">
        <f>CHOOSE(CONTROL!$C$42, 17.3631, 17.3631) * CHOOSE(CONTROL!$C$21, $C$9, 100%, $E$9)</f>
        <v>17.363099999999999</v>
      </c>
      <c r="C365" s="14">
        <f>CHOOSE(CONTROL!$C$42, 17.3712, 17.3712) * CHOOSE(CONTROL!$C$21, $C$9, 100%, $E$9)</f>
        <v>17.371200000000002</v>
      </c>
      <c r="D365" s="14">
        <f>CHOOSE(CONTROL!$C$42, 17.5969, 17.5969) * CHOOSE(CONTROL!$C$21, $C$9, 100%, $E$9)</f>
        <v>17.596900000000002</v>
      </c>
      <c r="E365" s="14">
        <f>CHOOSE(CONTROL!$C$42, 17.6284, 17.6284) * CHOOSE(CONTROL!$C$21, $C$9, 100%, $E$9)</f>
        <v>17.628399999999999</v>
      </c>
      <c r="F365" s="14">
        <f>CHOOSE(CONTROL!$C$42, 17.3888, 17.3888)*CHOOSE(CONTROL!$C$21, $C$9, 100%, $E$9)</f>
        <v>17.3888</v>
      </c>
      <c r="G365" s="14">
        <f>CHOOSE(CONTROL!$C$42, 17.4058, 17.4058)*CHOOSE(CONTROL!$C$21, $C$9, 100%, $E$9)</f>
        <v>17.405799999999999</v>
      </c>
      <c r="H365" s="14">
        <f>CHOOSE(CONTROL!$C$42, 17.617, 17.617) * CHOOSE(CONTROL!$C$21, $C$9, 100%, $E$9)</f>
        <v>17.617000000000001</v>
      </c>
      <c r="I365" s="14">
        <f>CHOOSE(CONTROL!$C$42, 17.449, 17.449)* CHOOSE(CONTROL!$C$21, $C$9, 100%, $E$9)</f>
        <v>17.449000000000002</v>
      </c>
      <c r="J365" s="14">
        <f>CHOOSE(CONTROL!$C$42, 17.3818, 17.3818)* CHOOSE(CONTROL!$C$21, $C$9, 100%, $E$9)</f>
        <v>17.381799999999998</v>
      </c>
      <c r="K365" s="52">
        <f>CHOOSE(CONTROL!$C$42, 17.4452, 17.4452) * CHOOSE(CONTROL!$C$21, $C$9, 100%, $E$9)</f>
        <v>17.4452</v>
      </c>
      <c r="L365" s="14">
        <f>CHOOSE(CONTROL!$C$42, 18.204, 18.204) * CHOOSE(CONTROL!$C$21, $C$9, 100%, $E$9)</f>
        <v>18.204000000000001</v>
      </c>
      <c r="M365" s="14">
        <f>CHOOSE(CONTROL!$C$42, 17.0333, 17.0333) * CHOOSE(CONTROL!$C$21, $C$9, 100%, $E$9)</f>
        <v>17.033300000000001</v>
      </c>
      <c r="N365" s="14">
        <f>CHOOSE(CONTROL!$C$42, 17.05, 17.05) * CHOOSE(CONTROL!$C$21, $C$9, 100%, $E$9)</f>
        <v>17.05</v>
      </c>
      <c r="O365" s="14">
        <f>CHOOSE(CONTROL!$C$42, 17.2638, 17.2638) * CHOOSE(CONTROL!$C$21, $C$9, 100%, $E$9)</f>
        <v>17.2638</v>
      </c>
      <c r="P365" s="14">
        <f>CHOOSE(CONTROL!$C$42, 17.0982, 17.0982) * CHOOSE(CONTROL!$C$21, $C$9, 100%, $E$9)</f>
        <v>17.098199999999999</v>
      </c>
      <c r="Q365" s="14">
        <f>CHOOSE(CONTROL!$C$42, 17.8585, 17.8585) * CHOOSE(CONTROL!$C$21, $C$9, 100%, $E$9)</f>
        <v>17.858499999999999</v>
      </c>
      <c r="R365" s="14">
        <f>CHOOSE(CONTROL!$C$42, 18.4901, 18.4901) * CHOOSE(CONTROL!$C$21, $C$9, 100%, $E$9)</f>
        <v>18.490100000000002</v>
      </c>
      <c r="S365" s="14">
        <f>CHOOSE(CONTROL!$C$42, 16.6736, 16.6736) * CHOOSE(CONTROL!$C$21, $C$9, 100%, $E$9)</f>
        <v>16.6736</v>
      </c>
      <c r="T36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56">
        <f>(1000*CHOOSE(CONTROL!$C$42, 695, 695)*CHOOSE(CONTROL!$C$42, 0.5599, 0.5599)*CHOOSE(CONTROL!$C$42, 31, 31))/1000000</f>
        <v>12.063045499999998</v>
      </c>
      <c r="V365" s="56">
        <f>(1000*CHOOSE(CONTROL!$C$42, 500, 500)*CHOOSE(CONTROL!$C$42, 0.275, 0.275)*CHOOSE(CONTROL!$C$42, 31, 31))/1000000</f>
        <v>4.2625000000000002</v>
      </c>
      <c r="W365" s="56">
        <f>(1000*CHOOSE(CONTROL!$C$42, 0.1146, 0.1146)*CHOOSE(CONTROL!$C$42, 121.5, 121.5)*CHOOSE(CONTROL!$C$42, 31, 31))/1000000</f>
        <v>0.43164089999999994</v>
      </c>
      <c r="X365" s="56">
        <f>(31*0.1790888*245000/1000000)+(31*0.2374*100000/1000000)</f>
        <v>2.0961194359999999</v>
      </c>
      <c r="Y365" s="56"/>
      <c r="Z365" s="14"/>
      <c r="AA365" s="55"/>
      <c r="AB365" s="49">
        <f>(B365*194.205+C365*267.466+D365*133.845+E365*53.484+F365*40+G365*185+H365*0+I365*100+J365*300)/(194.205+267.466+133.845+53.484+0+40+185+100+300)</f>
        <v>17.418654349136581</v>
      </c>
      <c r="AC365" s="44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17.111155395683454</v>
      </c>
    </row>
    <row r="366" spans="1:29" ht="15.75" x14ac:dyDescent="0.25">
      <c r="A366" s="32">
        <v>52047</v>
      </c>
      <c r="B366" s="14">
        <f>CHOOSE(CONTROL!$C$42, 17.8553, 17.8553) * CHOOSE(CONTROL!$C$21, $C$9, 100%, $E$9)</f>
        <v>17.8553</v>
      </c>
      <c r="C366" s="14">
        <f>CHOOSE(CONTROL!$C$42, 17.8633, 17.8633) * CHOOSE(CONTROL!$C$21, $C$9, 100%, $E$9)</f>
        <v>17.863299999999999</v>
      </c>
      <c r="D366" s="14">
        <f>CHOOSE(CONTROL!$C$42, 18.0891, 18.0891) * CHOOSE(CONTROL!$C$21, $C$9, 100%, $E$9)</f>
        <v>18.089099999999998</v>
      </c>
      <c r="E366" s="14">
        <f>CHOOSE(CONTROL!$C$42, 18.1206, 18.1206) * CHOOSE(CONTROL!$C$21, $C$9, 100%, $E$9)</f>
        <v>18.1206</v>
      </c>
      <c r="F366" s="14">
        <f>CHOOSE(CONTROL!$C$42, 17.8814, 17.8814)*CHOOSE(CONTROL!$C$21, $C$9, 100%, $E$9)</f>
        <v>17.881399999999999</v>
      </c>
      <c r="G366" s="14">
        <f>CHOOSE(CONTROL!$C$42, 17.8985, 17.8985)*CHOOSE(CONTROL!$C$21, $C$9, 100%, $E$9)</f>
        <v>17.898499999999999</v>
      </c>
      <c r="H366" s="14">
        <f>CHOOSE(CONTROL!$C$42, 18.1092, 18.1092) * CHOOSE(CONTROL!$C$21, $C$9, 100%, $E$9)</f>
        <v>18.109200000000001</v>
      </c>
      <c r="I366" s="14">
        <f>CHOOSE(CONTROL!$C$42, 17.9428, 17.9428)* CHOOSE(CONTROL!$C$21, $C$9, 100%, $E$9)</f>
        <v>17.942799999999998</v>
      </c>
      <c r="J366" s="14">
        <f>CHOOSE(CONTROL!$C$42, 17.8744, 17.8744)* CHOOSE(CONTROL!$C$21, $C$9, 100%, $E$9)</f>
        <v>17.874400000000001</v>
      </c>
      <c r="K366" s="52">
        <f>CHOOSE(CONTROL!$C$42, 17.9389, 17.9389) * CHOOSE(CONTROL!$C$21, $C$9, 100%, $E$9)</f>
        <v>17.9389</v>
      </c>
      <c r="L366" s="14">
        <f>CHOOSE(CONTROL!$C$42, 18.6962, 18.6962) * CHOOSE(CONTROL!$C$21, $C$9, 100%, $E$9)</f>
        <v>18.696200000000001</v>
      </c>
      <c r="M366" s="14">
        <f>CHOOSE(CONTROL!$C$42, 17.5159, 17.5159) * CHOOSE(CONTROL!$C$21, $C$9, 100%, $E$9)</f>
        <v>17.515899999999998</v>
      </c>
      <c r="N366" s="14">
        <f>CHOOSE(CONTROL!$C$42, 17.5326, 17.5326) * CHOOSE(CONTROL!$C$21, $C$9, 100%, $E$9)</f>
        <v>17.532599999999999</v>
      </c>
      <c r="O366" s="14">
        <f>CHOOSE(CONTROL!$C$42, 17.7459, 17.7459) * CHOOSE(CONTROL!$C$21, $C$9, 100%, $E$9)</f>
        <v>17.745899999999999</v>
      </c>
      <c r="P366" s="14">
        <f>CHOOSE(CONTROL!$C$42, 17.5818, 17.5818) * CHOOSE(CONTROL!$C$21, $C$9, 100%, $E$9)</f>
        <v>17.581800000000001</v>
      </c>
      <c r="Q366" s="14">
        <f>CHOOSE(CONTROL!$C$42, 18.3406, 18.3406) * CHOOSE(CONTROL!$C$21, $C$9, 100%, $E$9)</f>
        <v>18.340599999999998</v>
      </c>
      <c r="R366" s="14">
        <f>CHOOSE(CONTROL!$C$42, 18.9734, 18.9734) * CHOOSE(CONTROL!$C$21, $C$9, 100%, $E$9)</f>
        <v>18.973400000000002</v>
      </c>
      <c r="S366" s="14">
        <f>CHOOSE(CONTROL!$C$42, 17.1465, 17.1465) * CHOOSE(CONTROL!$C$21, $C$9, 100%, $E$9)</f>
        <v>17.1465</v>
      </c>
      <c r="T36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56">
        <f>(1000*CHOOSE(CONTROL!$C$42, 695, 695)*CHOOSE(CONTROL!$C$42, 0.5599, 0.5599)*CHOOSE(CONTROL!$C$42, 30, 30))/1000000</f>
        <v>11.673914999999997</v>
      </c>
      <c r="V366" s="56">
        <f>(1000*CHOOSE(CONTROL!$C$42, 500, 500)*CHOOSE(CONTROL!$C$42, 0.275, 0.275)*CHOOSE(CONTROL!$C$42, 30, 30))/1000000</f>
        <v>4.125</v>
      </c>
      <c r="W366" s="56">
        <f>(1000*CHOOSE(CONTROL!$C$42, 0.1146, 0.1146)*CHOOSE(CONTROL!$C$42, 121.5, 121.5)*CHOOSE(CONTROL!$C$42, 30, 30))/1000000</f>
        <v>0.417717</v>
      </c>
      <c r="X366" s="56">
        <f>(30*0.1790888*245000/1000000)+(30*0.2374*100000/1000000)</f>
        <v>2.0285026799999999</v>
      </c>
      <c r="Y366" s="56"/>
      <c r="Z366" s="14"/>
      <c r="AA366" s="55"/>
      <c r="AB366" s="49">
        <f>(B366*194.205+C366*267.466+D366*133.845+E366*53.484+F366*40+G366*185+H366*0+I366*100+J366*300)/(194.205+267.466+133.845+53.484+0+40+185+100+300)</f>
        <v>17.911138299999998</v>
      </c>
      <c r="AC366" s="44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17.593758992805753</v>
      </c>
    </row>
    <row r="367" spans="1:29" ht="15.75" x14ac:dyDescent="0.25">
      <c r="A367" s="32">
        <v>52078</v>
      </c>
      <c r="B367" s="14">
        <f>CHOOSE(CONTROL!$C$42, 17.513, 17.513) * CHOOSE(CONTROL!$C$21, $C$9, 100%, $E$9)</f>
        <v>17.513000000000002</v>
      </c>
      <c r="C367" s="14">
        <f>CHOOSE(CONTROL!$C$42, 17.521, 17.521) * CHOOSE(CONTROL!$C$21, $C$9, 100%, $E$9)</f>
        <v>17.521000000000001</v>
      </c>
      <c r="D367" s="14">
        <f>CHOOSE(CONTROL!$C$42, 17.7468, 17.7468) * CHOOSE(CONTROL!$C$21, $C$9, 100%, $E$9)</f>
        <v>17.7468</v>
      </c>
      <c r="E367" s="14">
        <f>CHOOSE(CONTROL!$C$42, 17.7783, 17.7783) * CHOOSE(CONTROL!$C$21, $C$9, 100%, $E$9)</f>
        <v>17.778300000000002</v>
      </c>
      <c r="F367" s="14">
        <f>CHOOSE(CONTROL!$C$42, 17.5396, 17.5396)*CHOOSE(CONTROL!$C$21, $C$9, 100%, $E$9)</f>
        <v>17.5396</v>
      </c>
      <c r="G367" s="14">
        <f>CHOOSE(CONTROL!$C$42, 17.5568, 17.5568)*CHOOSE(CONTROL!$C$21, $C$9, 100%, $E$9)</f>
        <v>17.556799999999999</v>
      </c>
      <c r="H367" s="14">
        <f>CHOOSE(CONTROL!$C$42, 17.7669, 17.7669) * CHOOSE(CONTROL!$C$21, $C$9, 100%, $E$9)</f>
        <v>17.7669</v>
      </c>
      <c r="I367" s="14">
        <f>CHOOSE(CONTROL!$C$42, 17.5994, 17.5994)* CHOOSE(CONTROL!$C$21, $C$9, 100%, $E$9)</f>
        <v>17.599399999999999</v>
      </c>
      <c r="J367" s="14">
        <f>CHOOSE(CONTROL!$C$42, 17.5326, 17.5326)* CHOOSE(CONTROL!$C$21, $C$9, 100%, $E$9)</f>
        <v>17.532599999999999</v>
      </c>
      <c r="K367" s="52">
        <f>CHOOSE(CONTROL!$C$42, 17.5955, 17.5955) * CHOOSE(CONTROL!$C$21, $C$9, 100%, $E$9)</f>
        <v>17.595500000000001</v>
      </c>
      <c r="L367" s="14">
        <f>CHOOSE(CONTROL!$C$42, 18.3539, 18.3539) * CHOOSE(CONTROL!$C$21, $C$9, 100%, $E$9)</f>
        <v>18.353899999999999</v>
      </c>
      <c r="M367" s="14">
        <f>CHOOSE(CONTROL!$C$42, 17.181, 17.181) * CHOOSE(CONTROL!$C$21, $C$9, 100%, $E$9)</f>
        <v>17.181000000000001</v>
      </c>
      <c r="N367" s="14">
        <f>CHOOSE(CONTROL!$C$42, 17.1979, 17.1979) * CHOOSE(CONTROL!$C$21, $C$9, 100%, $E$9)</f>
        <v>17.197900000000001</v>
      </c>
      <c r="O367" s="14">
        <f>CHOOSE(CONTROL!$C$42, 17.4106, 17.4106) * CHOOSE(CONTROL!$C$21, $C$9, 100%, $E$9)</f>
        <v>17.410599999999999</v>
      </c>
      <c r="P367" s="14">
        <f>CHOOSE(CONTROL!$C$42, 17.2455, 17.2455) * CHOOSE(CONTROL!$C$21, $C$9, 100%, $E$9)</f>
        <v>17.2455</v>
      </c>
      <c r="Q367" s="14">
        <f>CHOOSE(CONTROL!$C$42, 18.0053, 18.0053) * CHOOSE(CONTROL!$C$21, $C$9, 100%, $E$9)</f>
        <v>18.005299999999998</v>
      </c>
      <c r="R367" s="14">
        <f>CHOOSE(CONTROL!$C$42, 18.6373, 18.6373) * CHOOSE(CONTROL!$C$21, $C$9, 100%, $E$9)</f>
        <v>18.6373</v>
      </c>
      <c r="S367" s="14">
        <f>CHOOSE(CONTROL!$C$42, 16.8176, 16.8176) * CHOOSE(CONTROL!$C$21, $C$9, 100%, $E$9)</f>
        <v>16.817599999999999</v>
      </c>
      <c r="T36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56">
        <f>(1000*CHOOSE(CONTROL!$C$42, 695, 695)*CHOOSE(CONTROL!$C$42, 0.5599, 0.5599)*CHOOSE(CONTROL!$C$42, 31, 31))/1000000</f>
        <v>12.063045499999998</v>
      </c>
      <c r="V367" s="56">
        <f>(1000*CHOOSE(CONTROL!$C$42, 500, 500)*CHOOSE(CONTROL!$C$42, 0.275, 0.275)*CHOOSE(CONTROL!$C$42, 31, 31))/1000000</f>
        <v>4.2625000000000002</v>
      </c>
      <c r="W367" s="56">
        <f>(1000*CHOOSE(CONTROL!$C$42, 0.1146, 0.1146)*CHOOSE(CONTROL!$C$42, 121.5, 121.5)*CHOOSE(CONTROL!$C$42, 31, 31))/1000000</f>
        <v>0.43164089999999994</v>
      </c>
      <c r="X367" s="56">
        <f>(31*0.1790888*245000/1000000)+(31*0.2374*100000/1000000)</f>
        <v>2.0961194359999999</v>
      </c>
      <c r="Y367" s="56"/>
      <c r="Z367" s="14"/>
      <c r="AA367" s="55"/>
      <c r="AB367" s="49">
        <f>(B367*194.205+C367*267.466+D367*133.845+E367*53.484+F367*40+G367*185+H367*0+I367*100+J367*300)/(194.205+267.466+133.845+53.484+0+40+185+100+300)</f>
        <v>17.568972522919935</v>
      </c>
      <c r="AC367" s="44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17.258591366906476</v>
      </c>
    </row>
    <row r="368" spans="1:29" ht="15.75" x14ac:dyDescent="0.25">
      <c r="A368" s="32">
        <v>52109</v>
      </c>
      <c r="B368" s="14">
        <f>CHOOSE(CONTROL!$C$42, 16.6485, 16.6485) * CHOOSE(CONTROL!$C$21, $C$9, 100%, $E$9)</f>
        <v>16.648499999999999</v>
      </c>
      <c r="C368" s="14">
        <f>CHOOSE(CONTROL!$C$42, 16.6566, 16.6566) * CHOOSE(CONTROL!$C$21, $C$9, 100%, $E$9)</f>
        <v>16.656600000000001</v>
      </c>
      <c r="D368" s="14">
        <f>CHOOSE(CONTROL!$C$42, 16.8823, 16.8823) * CHOOSE(CONTROL!$C$21, $C$9, 100%, $E$9)</f>
        <v>16.882300000000001</v>
      </c>
      <c r="E368" s="14">
        <f>CHOOSE(CONTROL!$C$42, 16.9138, 16.9138) * CHOOSE(CONTROL!$C$21, $C$9, 100%, $E$9)</f>
        <v>16.913799999999998</v>
      </c>
      <c r="F368" s="14">
        <f>CHOOSE(CONTROL!$C$42, 16.6753, 16.6753)*CHOOSE(CONTROL!$C$21, $C$9, 100%, $E$9)</f>
        <v>16.6753</v>
      </c>
      <c r="G368" s="14">
        <f>CHOOSE(CONTROL!$C$42, 16.6926, 16.6926)*CHOOSE(CONTROL!$C$21, $C$9, 100%, $E$9)</f>
        <v>16.692599999999999</v>
      </c>
      <c r="H368" s="14">
        <f>CHOOSE(CONTROL!$C$42, 16.9024, 16.9024) * CHOOSE(CONTROL!$C$21, $C$9, 100%, $E$9)</f>
        <v>16.9024</v>
      </c>
      <c r="I368" s="14">
        <f>CHOOSE(CONTROL!$C$42, 16.7322, 16.7322)* CHOOSE(CONTROL!$C$21, $C$9, 100%, $E$9)</f>
        <v>16.732199999999999</v>
      </c>
      <c r="J368" s="14">
        <f>CHOOSE(CONTROL!$C$42, 16.6683, 16.6683)* CHOOSE(CONTROL!$C$21, $C$9, 100%, $E$9)</f>
        <v>16.668299999999999</v>
      </c>
      <c r="K368" s="52">
        <f>CHOOSE(CONTROL!$C$42, 16.7283, 16.7283) * CHOOSE(CONTROL!$C$21, $C$9, 100%, $E$9)</f>
        <v>16.728300000000001</v>
      </c>
      <c r="L368" s="14">
        <f>CHOOSE(CONTROL!$C$42, 17.4894, 17.4894) * CHOOSE(CONTROL!$C$21, $C$9, 100%, $E$9)</f>
        <v>17.4894</v>
      </c>
      <c r="M368" s="14">
        <f>CHOOSE(CONTROL!$C$42, 16.3345, 16.3345) * CHOOSE(CONTROL!$C$21, $C$9, 100%, $E$9)</f>
        <v>16.334499999999998</v>
      </c>
      <c r="N368" s="14">
        <f>CHOOSE(CONTROL!$C$42, 16.3514, 16.3514) * CHOOSE(CONTROL!$C$21, $C$9, 100%, $E$9)</f>
        <v>16.351400000000002</v>
      </c>
      <c r="O368" s="14">
        <f>CHOOSE(CONTROL!$C$42, 16.5638, 16.5638) * CHOOSE(CONTROL!$C$21, $C$9, 100%, $E$9)</f>
        <v>16.563800000000001</v>
      </c>
      <c r="P368" s="14">
        <f>CHOOSE(CONTROL!$C$42, 16.3961, 16.3961) * CHOOSE(CONTROL!$C$21, $C$9, 100%, $E$9)</f>
        <v>16.396100000000001</v>
      </c>
      <c r="Q368" s="14">
        <f>CHOOSE(CONTROL!$C$42, 17.1585, 17.1585) * CHOOSE(CONTROL!$C$21, $C$9, 100%, $E$9)</f>
        <v>17.1585</v>
      </c>
      <c r="R368" s="14">
        <f>CHOOSE(CONTROL!$C$42, 17.7884, 17.7884) * CHOOSE(CONTROL!$C$21, $C$9, 100%, $E$9)</f>
        <v>17.788399999999999</v>
      </c>
      <c r="S368" s="14">
        <f>CHOOSE(CONTROL!$C$42, 15.9869, 15.9869) * CHOOSE(CONTROL!$C$21, $C$9, 100%, $E$9)</f>
        <v>15.9869</v>
      </c>
      <c r="T36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56">
        <f>(1000*CHOOSE(CONTROL!$C$42, 695, 695)*CHOOSE(CONTROL!$C$42, 0.5599, 0.5599)*CHOOSE(CONTROL!$C$42, 31, 31))/1000000</f>
        <v>12.063045499999998</v>
      </c>
      <c r="V368" s="56">
        <f>(1000*CHOOSE(CONTROL!$C$42, 500, 500)*CHOOSE(CONTROL!$C$42, 0.275, 0.275)*CHOOSE(CONTROL!$C$42, 31, 31))/1000000</f>
        <v>4.2625000000000002</v>
      </c>
      <c r="W368" s="56">
        <f>(1000*CHOOSE(CONTROL!$C$42, 0.1146, 0.1146)*CHOOSE(CONTROL!$C$42, 121.5, 121.5)*CHOOSE(CONTROL!$C$42, 31, 31))/1000000</f>
        <v>0.43164089999999994</v>
      </c>
      <c r="X368" s="56">
        <f>(31*0.1790888*245000/1000000)+(31*0.2374*100000/1000000)</f>
        <v>2.0961194359999999</v>
      </c>
      <c r="Y368" s="56"/>
      <c r="Z368" s="14"/>
      <c r="AA368" s="55"/>
      <c r="AB368" s="49">
        <f>(B368*194.205+C368*267.466+D368*133.845+E368*53.484+F368*40+G368*185+H368*0+I368*100+J368*300)/(194.205+267.466+133.845+53.484+0+40+185+100+300)</f>
        <v>16.704378524960752</v>
      </c>
      <c r="AC368" s="44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16.411589928057555</v>
      </c>
    </row>
    <row r="369" spans="1:29" ht="15.75" x14ac:dyDescent="0.25">
      <c r="A369" s="32">
        <v>52139</v>
      </c>
      <c r="B369" s="14">
        <f>CHOOSE(CONTROL!$C$42, 15.5921, 15.5921) * CHOOSE(CONTROL!$C$21, $C$9, 100%, $E$9)</f>
        <v>15.5921</v>
      </c>
      <c r="C369" s="14">
        <f>CHOOSE(CONTROL!$C$42, 15.6001, 15.6001) * CHOOSE(CONTROL!$C$21, $C$9, 100%, $E$9)</f>
        <v>15.600099999999999</v>
      </c>
      <c r="D369" s="14">
        <f>CHOOSE(CONTROL!$C$42, 15.8259, 15.8259) * CHOOSE(CONTROL!$C$21, $C$9, 100%, $E$9)</f>
        <v>15.825900000000001</v>
      </c>
      <c r="E369" s="14">
        <f>CHOOSE(CONTROL!$C$42, 15.8574, 15.8574) * CHOOSE(CONTROL!$C$21, $C$9, 100%, $E$9)</f>
        <v>15.8574</v>
      </c>
      <c r="F369" s="14">
        <f>CHOOSE(CONTROL!$C$42, 15.6189, 15.6189)*CHOOSE(CONTROL!$C$21, $C$9, 100%, $E$9)</f>
        <v>15.6189</v>
      </c>
      <c r="G369" s="14">
        <f>CHOOSE(CONTROL!$C$42, 15.6362, 15.6362)*CHOOSE(CONTROL!$C$21, $C$9, 100%, $E$9)</f>
        <v>15.636200000000001</v>
      </c>
      <c r="H369" s="14">
        <f>CHOOSE(CONTROL!$C$42, 15.846, 15.846) * CHOOSE(CONTROL!$C$21, $C$9, 100%, $E$9)</f>
        <v>15.846</v>
      </c>
      <c r="I369" s="14">
        <f>CHOOSE(CONTROL!$C$42, 15.6725, 15.6725)* CHOOSE(CONTROL!$C$21, $C$9, 100%, $E$9)</f>
        <v>15.672499999999999</v>
      </c>
      <c r="J369" s="14">
        <f>CHOOSE(CONTROL!$C$42, 15.6119, 15.6119)* CHOOSE(CONTROL!$C$21, $C$9, 100%, $E$9)</f>
        <v>15.6119</v>
      </c>
      <c r="K369" s="52">
        <f>CHOOSE(CONTROL!$C$42, 15.6686, 15.6686) * CHOOSE(CONTROL!$C$21, $C$9, 100%, $E$9)</f>
        <v>15.6686</v>
      </c>
      <c r="L369" s="14">
        <f>CHOOSE(CONTROL!$C$42, 16.433, 16.433) * CHOOSE(CONTROL!$C$21, $C$9, 100%, $E$9)</f>
        <v>16.433</v>
      </c>
      <c r="M369" s="14">
        <f>CHOOSE(CONTROL!$C$42, 15.2997, 15.2997) * CHOOSE(CONTROL!$C$21, $C$9, 100%, $E$9)</f>
        <v>15.2997</v>
      </c>
      <c r="N369" s="14">
        <f>CHOOSE(CONTROL!$C$42, 15.3166, 15.3166) * CHOOSE(CONTROL!$C$21, $C$9, 100%, $E$9)</f>
        <v>15.316599999999999</v>
      </c>
      <c r="O369" s="14">
        <f>CHOOSE(CONTROL!$C$42, 15.529, 15.529) * CHOOSE(CONTROL!$C$21, $C$9, 100%, $E$9)</f>
        <v>15.529</v>
      </c>
      <c r="P369" s="14">
        <f>CHOOSE(CONTROL!$C$42, 15.3581, 15.3581) * CHOOSE(CONTROL!$C$21, $C$9, 100%, $E$9)</f>
        <v>15.3581</v>
      </c>
      <c r="Q369" s="14">
        <f>CHOOSE(CONTROL!$C$42, 16.1237, 16.1237) * CHOOSE(CONTROL!$C$21, $C$9, 100%, $E$9)</f>
        <v>16.123699999999999</v>
      </c>
      <c r="R369" s="14">
        <f>CHOOSE(CONTROL!$C$42, 16.751, 16.751) * CHOOSE(CONTROL!$C$21, $C$9, 100%, $E$9)</f>
        <v>16.751000000000001</v>
      </c>
      <c r="S369" s="14">
        <f>CHOOSE(CONTROL!$C$42, 14.9718, 14.9718) * CHOOSE(CONTROL!$C$21, $C$9, 100%, $E$9)</f>
        <v>14.9718</v>
      </c>
      <c r="T36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56">
        <f>(1000*CHOOSE(CONTROL!$C$42, 695, 695)*CHOOSE(CONTROL!$C$42, 0.5599, 0.5599)*CHOOSE(CONTROL!$C$42, 30, 30))/1000000</f>
        <v>11.673914999999997</v>
      </c>
      <c r="V369" s="56">
        <f>(1000*CHOOSE(CONTROL!$C$42, 500, 500)*CHOOSE(CONTROL!$C$42, 0.275, 0.275)*CHOOSE(CONTROL!$C$42, 30, 30))/1000000</f>
        <v>4.125</v>
      </c>
      <c r="W369" s="56">
        <f>(1000*CHOOSE(CONTROL!$C$42, 0.1146, 0.1146)*CHOOSE(CONTROL!$C$42, 121.5, 121.5)*CHOOSE(CONTROL!$C$42, 30, 30))/1000000</f>
        <v>0.417717</v>
      </c>
      <c r="X369" s="56">
        <f>(30*0.1790888*245000/1000000)+(30*0.2374*100000/1000000)</f>
        <v>2.0285026799999999</v>
      </c>
      <c r="Y369" s="56"/>
      <c r="Z369" s="14"/>
      <c r="AA369" s="55"/>
      <c r="AB369" s="49">
        <f>(B369*194.205+C369*267.466+D369*133.845+E369*53.484+F369*40+G369*185+H369*0+I369*100+J369*300)/(194.205+267.466+133.845+53.484+0+40+185+100+300)</f>
        <v>15.647698504081633</v>
      </c>
      <c r="AC369" s="44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15.376329496402876</v>
      </c>
    </row>
    <row r="370" spans="1:29" ht="15.75" x14ac:dyDescent="0.25">
      <c r="A370" s="32">
        <v>52170</v>
      </c>
      <c r="B370" s="14">
        <f>CHOOSE(CONTROL!$C$42, 15.274, 15.274) * CHOOSE(CONTROL!$C$21, $C$9, 100%, $E$9)</f>
        <v>15.273999999999999</v>
      </c>
      <c r="C370" s="14">
        <f>CHOOSE(CONTROL!$C$42, 15.2793, 15.2793) * CHOOSE(CONTROL!$C$21, $C$9, 100%, $E$9)</f>
        <v>15.279299999999999</v>
      </c>
      <c r="D370" s="14">
        <f>CHOOSE(CONTROL!$C$42, 15.5101, 15.5101) * CHOOSE(CONTROL!$C$21, $C$9, 100%, $E$9)</f>
        <v>15.5101</v>
      </c>
      <c r="E370" s="14">
        <f>CHOOSE(CONTROL!$C$42, 15.5392, 15.5392) * CHOOSE(CONTROL!$C$21, $C$9, 100%, $E$9)</f>
        <v>15.539199999999999</v>
      </c>
      <c r="F370" s="14">
        <f>CHOOSE(CONTROL!$C$42, 15.3028, 15.3028)*CHOOSE(CONTROL!$C$21, $C$9, 100%, $E$9)</f>
        <v>15.3028</v>
      </c>
      <c r="G370" s="14">
        <f>CHOOSE(CONTROL!$C$42, 15.32, 15.32)*CHOOSE(CONTROL!$C$21, $C$9, 100%, $E$9)</f>
        <v>15.32</v>
      </c>
      <c r="H370" s="14">
        <f>CHOOSE(CONTROL!$C$42, 15.5297, 15.5297) * CHOOSE(CONTROL!$C$21, $C$9, 100%, $E$9)</f>
        <v>15.5297</v>
      </c>
      <c r="I370" s="14">
        <f>CHOOSE(CONTROL!$C$42, 15.3551, 15.3551)* CHOOSE(CONTROL!$C$21, $C$9, 100%, $E$9)</f>
        <v>15.3551</v>
      </c>
      <c r="J370" s="14">
        <f>CHOOSE(CONTROL!$C$42, 15.2958, 15.2958)* CHOOSE(CONTROL!$C$21, $C$9, 100%, $E$9)</f>
        <v>15.2958</v>
      </c>
      <c r="K370" s="52">
        <f>CHOOSE(CONTROL!$C$42, 15.3512, 15.3512) * CHOOSE(CONTROL!$C$21, $C$9, 100%, $E$9)</f>
        <v>15.3512</v>
      </c>
      <c r="L370" s="14">
        <f>CHOOSE(CONTROL!$C$42, 16.1167, 16.1167) * CHOOSE(CONTROL!$C$21, $C$9, 100%, $E$9)</f>
        <v>16.116700000000002</v>
      </c>
      <c r="M370" s="14">
        <f>CHOOSE(CONTROL!$C$42, 14.9901, 14.9901) * CHOOSE(CONTROL!$C$21, $C$9, 100%, $E$9)</f>
        <v>14.9901</v>
      </c>
      <c r="N370" s="14">
        <f>CHOOSE(CONTROL!$C$42, 15.0069, 15.0069) * CHOOSE(CONTROL!$C$21, $C$9, 100%, $E$9)</f>
        <v>15.0069</v>
      </c>
      <c r="O370" s="14">
        <f>CHOOSE(CONTROL!$C$42, 15.2192, 15.2192) * CHOOSE(CONTROL!$C$21, $C$9, 100%, $E$9)</f>
        <v>15.219200000000001</v>
      </c>
      <c r="P370" s="14">
        <f>CHOOSE(CONTROL!$C$42, 15.0473, 15.0473) * CHOOSE(CONTROL!$C$21, $C$9, 100%, $E$9)</f>
        <v>15.0473</v>
      </c>
      <c r="Q370" s="14">
        <f>CHOOSE(CONTROL!$C$42, 15.8139, 15.8139) * CHOOSE(CONTROL!$C$21, $C$9, 100%, $E$9)</f>
        <v>15.8139</v>
      </c>
      <c r="R370" s="14">
        <f>CHOOSE(CONTROL!$C$42, 16.4404, 16.4404) * CHOOSE(CONTROL!$C$21, $C$9, 100%, $E$9)</f>
        <v>16.4404</v>
      </c>
      <c r="S370" s="14">
        <f>CHOOSE(CONTROL!$C$42, 14.6678, 14.6678) * CHOOSE(CONTROL!$C$21, $C$9, 100%, $E$9)</f>
        <v>14.6678</v>
      </c>
      <c r="T37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56">
        <f>(1000*CHOOSE(CONTROL!$C$42, 695, 695)*CHOOSE(CONTROL!$C$42, 0.5599, 0.5599)*CHOOSE(CONTROL!$C$42, 31, 31))/1000000</f>
        <v>12.063045499999998</v>
      </c>
      <c r="V370" s="56">
        <f>(1000*CHOOSE(CONTROL!$C$42, 500, 500)*CHOOSE(CONTROL!$C$42, 0.275, 0.275)*CHOOSE(CONTROL!$C$42, 31, 31))/1000000</f>
        <v>4.2625000000000002</v>
      </c>
      <c r="W370" s="56">
        <f>(1000*CHOOSE(CONTROL!$C$42, 0.1146, 0.1146)*CHOOSE(CONTROL!$C$42, 121.5, 121.5)*CHOOSE(CONTROL!$C$42, 31, 31))/1000000</f>
        <v>0.43164089999999994</v>
      </c>
      <c r="X370" s="56">
        <f>(31*0.1790888*245000/1000000)+(31*0.2374*100000/1000000)</f>
        <v>2.0961194359999999</v>
      </c>
      <c r="Y370" s="56"/>
      <c r="Z370" s="14"/>
      <c r="AA370" s="55"/>
      <c r="AB370" s="49">
        <f>(B370*131.881+C370*277.167+D370*79.08+E370*125.872+F370*40+G370*185+H370*0+I370*100+J370*300)/(131.881+277.167+79.08+125.872+0+40+185+100+300)</f>
        <v>15.336819231234868</v>
      </c>
      <c r="AC370" s="44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15.066477697841725</v>
      </c>
    </row>
    <row r="371" spans="1:29" ht="15.75" x14ac:dyDescent="0.25">
      <c r="A371" s="32">
        <v>52200</v>
      </c>
      <c r="B371" s="14">
        <f>CHOOSE(CONTROL!$C$42, 15.6757, 15.6757) * CHOOSE(CONTROL!$C$21, $C$9, 100%, $E$9)</f>
        <v>15.675700000000001</v>
      </c>
      <c r="C371" s="14">
        <f>CHOOSE(CONTROL!$C$42, 15.6808, 15.6808) * CHOOSE(CONTROL!$C$21, $C$9, 100%, $E$9)</f>
        <v>15.6808</v>
      </c>
      <c r="D371" s="14">
        <f>CHOOSE(CONTROL!$C$42, 15.7498, 15.7498) * CHOOSE(CONTROL!$C$21, $C$9, 100%, $E$9)</f>
        <v>15.7498</v>
      </c>
      <c r="E371" s="14">
        <f>CHOOSE(CONTROL!$C$42, 15.7839, 15.7839) * CHOOSE(CONTROL!$C$21, $C$9, 100%, $E$9)</f>
        <v>15.783899999999999</v>
      </c>
      <c r="F371" s="14">
        <f>CHOOSE(CONTROL!$C$42, 15.7113, 15.7113)*CHOOSE(CONTROL!$C$21, $C$9, 100%, $E$9)</f>
        <v>15.7113</v>
      </c>
      <c r="G371" s="14">
        <f>CHOOSE(CONTROL!$C$42, 15.7287, 15.7287)*CHOOSE(CONTROL!$C$21, $C$9, 100%, $E$9)</f>
        <v>15.7287</v>
      </c>
      <c r="H371" s="14">
        <f>CHOOSE(CONTROL!$C$42, 15.7731, 15.7731) * CHOOSE(CONTROL!$C$21, $C$9, 100%, $E$9)</f>
        <v>15.773099999999999</v>
      </c>
      <c r="I371" s="14">
        <f>CHOOSE(CONTROL!$C$42, 15.7611, 15.7611)* CHOOSE(CONTROL!$C$21, $C$9, 100%, $E$9)</f>
        <v>15.761100000000001</v>
      </c>
      <c r="J371" s="14">
        <f>CHOOSE(CONTROL!$C$42, 15.7043, 15.7043)* CHOOSE(CONTROL!$C$21, $C$9, 100%, $E$9)</f>
        <v>15.7043</v>
      </c>
      <c r="K371" s="52">
        <f>CHOOSE(CONTROL!$C$42, 15.7572, 15.7572) * CHOOSE(CONTROL!$C$21, $C$9, 100%, $E$9)</f>
        <v>15.757199999999999</v>
      </c>
      <c r="L371" s="14">
        <f>CHOOSE(CONTROL!$C$42, 16.3601, 16.3601) * CHOOSE(CONTROL!$C$21, $C$9, 100%, $E$9)</f>
        <v>16.360099999999999</v>
      </c>
      <c r="M371" s="14">
        <f>CHOOSE(CONTROL!$C$42, 15.3902, 15.3902) * CHOOSE(CONTROL!$C$21, $C$9, 100%, $E$9)</f>
        <v>15.3902</v>
      </c>
      <c r="N371" s="14">
        <f>CHOOSE(CONTROL!$C$42, 15.4072, 15.4072) * CHOOSE(CONTROL!$C$21, $C$9, 100%, $E$9)</f>
        <v>15.4072</v>
      </c>
      <c r="O371" s="14">
        <f>CHOOSE(CONTROL!$C$42, 15.4576, 15.4576) * CHOOSE(CONTROL!$C$21, $C$9, 100%, $E$9)</f>
        <v>15.457599999999999</v>
      </c>
      <c r="P371" s="14">
        <f>CHOOSE(CONTROL!$C$42, 15.445, 15.445) * CHOOSE(CONTROL!$C$21, $C$9, 100%, $E$9)</f>
        <v>15.445</v>
      </c>
      <c r="Q371" s="14">
        <f>CHOOSE(CONTROL!$C$42, 16.0523, 16.0523) * CHOOSE(CONTROL!$C$21, $C$9, 100%, $E$9)</f>
        <v>16.052299999999999</v>
      </c>
      <c r="R371" s="14">
        <f>CHOOSE(CONTROL!$C$42, 16.6794, 16.6794) * CHOOSE(CONTROL!$C$21, $C$9, 100%, $E$9)</f>
        <v>16.679400000000001</v>
      </c>
      <c r="S371" s="14">
        <f>CHOOSE(CONTROL!$C$42, 15.0542, 15.0542) * CHOOSE(CONTROL!$C$21, $C$9, 100%, $E$9)</f>
        <v>15.0542</v>
      </c>
      <c r="T37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56">
        <f>(1000*CHOOSE(CONTROL!$C$42, 695, 695)*CHOOSE(CONTROL!$C$42, 0.5599, 0.5599)*CHOOSE(CONTROL!$C$42, 30, 30))/1000000</f>
        <v>11.673914999999997</v>
      </c>
      <c r="V371" s="56">
        <f>(1000*CHOOSE(CONTROL!$C$42, 500, 500)*CHOOSE(CONTROL!$C$42, 0.275, 0.275)*CHOOSE(CONTROL!$C$42, 30, 30))/1000000</f>
        <v>4.125</v>
      </c>
      <c r="W371" s="56">
        <f>(1000*CHOOSE(CONTROL!$C$42, 0.1146, 0.1146)*CHOOSE(CONTROL!$C$42, 121.5, 121.5)*CHOOSE(CONTROL!$C$42, 30, 30))/1000000</f>
        <v>0.417717</v>
      </c>
      <c r="X371" s="56">
        <f>(30*0.1790888*100000/1000000)+(30*0.2374*100000/1000000)</f>
        <v>1.2494664</v>
      </c>
      <c r="Y371" s="56"/>
      <c r="Z371" s="14"/>
      <c r="AA371" s="55"/>
      <c r="AB371" s="49">
        <f>(B371*122.58+C371*297.941+D371*89.177+E371*40.302+F371*40+G371*160+H371*0+I371*100+J371*300)/(122.58+297.941+89.177+40.302+0+40+160+100+300)</f>
        <v>15.710058427130434</v>
      </c>
      <c r="AC371" s="44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15.429611510791366</v>
      </c>
    </row>
    <row r="372" spans="1:29" ht="15.75" x14ac:dyDescent="0.25">
      <c r="A372" s="32">
        <v>52231</v>
      </c>
      <c r="B372" s="14">
        <f>CHOOSE(CONTROL!$C$42, 16.7438, 16.7438) * CHOOSE(CONTROL!$C$21, $C$9, 100%, $E$9)</f>
        <v>16.7438</v>
      </c>
      <c r="C372" s="14">
        <f>CHOOSE(CONTROL!$C$42, 16.7489, 16.7489) * CHOOSE(CONTROL!$C$21, $C$9, 100%, $E$9)</f>
        <v>16.748899999999999</v>
      </c>
      <c r="D372" s="14">
        <f>CHOOSE(CONTROL!$C$42, 16.8179, 16.8179) * CHOOSE(CONTROL!$C$21, $C$9, 100%, $E$9)</f>
        <v>16.817900000000002</v>
      </c>
      <c r="E372" s="14">
        <f>CHOOSE(CONTROL!$C$42, 16.852, 16.852) * CHOOSE(CONTROL!$C$21, $C$9, 100%, $E$9)</f>
        <v>16.852</v>
      </c>
      <c r="F372" s="14">
        <f>CHOOSE(CONTROL!$C$42, 16.7816, 16.7816)*CHOOSE(CONTROL!$C$21, $C$9, 100%, $E$9)</f>
        <v>16.781600000000001</v>
      </c>
      <c r="G372" s="14">
        <f>CHOOSE(CONTROL!$C$42, 16.7996, 16.7996)*CHOOSE(CONTROL!$C$21, $C$9, 100%, $E$9)</f>
        <v>16.799600000000002</v>
      </c>
      <c r="H372" s="14">
        <f>CHOOSE(CONTROL!$C$42, 16.8412, 16.8412) * CHOOSE(CONTROL!$C$21, $C$9, 100%, $E$9)</f>
        <v>16.841200000000001</v>
      </c>
      <c r="I372" s="14">
        <f>CHOOSE(CONTROL!$C$42, 16.8326, 16.8326)* CHOOSE(CONTROL!$C$21, $C$9, 100%, $E$9)</f>
        <v>16.832599999999999</v>
      </c>
      <c r="J372" s="14">
        <f>CHOOSE(CONTROL!$C$42, 16.7746, 16.7746)* CHOOSE(CONTROL!$C$21, $C$9, 100%, $E$9)</f>
        <v>16.7746</v>
      </c>
      <c r="K372" s="52">
        <f>CHOOSE(CONTROL!$C$42, 16.8287, 16.8287) * CHOOSE(CONTROL!$C$21, $C$9, 100%, $E$9)</f>
        <v>16.828700000000001</v>
      </c>
      <c r="L372" s="14">
        <f>CHOOSE(CONTROL!$C$42, 17.4282, 17.4282) * CHOOSE(CONTROL!$C$21, $C$9, 100%, $E$9)</f>
        <v>17.4282</v>
      </c>
      <c r="M372" s="14">
        <f>CHOOSE(CONTROL!$C$42, 16.4386, 16.4386) * CHOOSE(CONTROL!$C$21, $C$9, 100%, $E$9)</f>
        <v>16.438600000000001</v>
      </c>
      <c r="N372" s="14">
        <f>CHOOSE(CONTROL!$C$42, 16.4562, 16.4562) * CHOOSE(CONTROL!$C$21, $C$9, 100%, $E$9)</f>
        <v>16.456199999999999</v>
      </c>
      <c r="O372" s="14">
        <f>CHOOSE(CONTROL!$C$42, 16.5038, 16.5038) * CHOOSE(CONTROL!$C$21, $C$9, 100%, $E$9)</f>
        <v>16.503799999999998</v>
      </c>
      <c r="P372" s="14">
        <f>CHOOSE(CONTROL!$C$42, 16.4944, 16.4944) * CHOOSE(CONTROL!$C$21, $C$9, 100%, $E$9)</f>
        <v>16.494399999999999</v>
      </c>
      <c r="Q372" s="14">
        <f>CHOOSE(CONTROL!$C$42, 17.0985, 17.0985) * CHOOSE(CONTROL!$C$21, $C$9, 100%, $E$9)</f>
        <v>17.098500000000001</v>
      </c>
      <c r="R372" s="14">
        <f>CHOOSE(CONTROL!$C$42, 17.7283, 17.7283) * CHOOSE(CONTROL!$C$21, $C$9, 100%, $E$9)</f>
        <v>17.728300000000001</v>
      </c>
      <c r="S372" s="14">
        <f>CHOOSE(CONTROL!$C$42, 16.0806, 16.0806) * CHOOSE(CONTROL!$C$21, $C$9, 100%, $E$9)</f>
        <v>16.0806</v>
      </c>
      <c r="T37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56">
        <f>(1000*CHOOSE(CONTROL!$C$42, 695, 695)*CHOOSE(CONTROL!$C$42, 0.5599, 0.5599)*CHOOSE(CONTROL!$C$42, 31, 31))/1000000</f>
        <v>12.063045499999998</v>
      </c>
      <c r="V372" s="56">
        <f>(1000*CHOOSE(CONTROL!$C$42, 500, 500)*CHOOSE(CONTROL!$C$42, 0.275, 0.275)*CHOOSE(CONTROL!$C$42, 31, 31))/1000000</f>
        <v>4.2625000000000002</v>
      </c>
      <c r="W372" s="56">
        <f>(1000*CHOOSE(CONTROL!$C$42, 0.1146, 0.1146)*CHOOSE(CONTROL!$C$42, 121.5, 121.5)*CHOOSE(CONTROL!$C$42, 31, 31))/1000000</f>
        <v>0.43164089999999994</v>
      </c>
      <c r="X372" s="56">
        <f>(31*0.1790888*100000/1000000)+(31*0.2374*100000/1000000)</f>
        <v>1.2911152800000001</v>
      </c>
      <c r="Y372" s="56"/>
      <c r="Z372" s="14"/>
      <c r="AA372" s="55"/>
      <c r="AB372" s="49">
        <f>(B372*122.58+C372*297.941+D372*89.177+E372*40.302+F372*40+G372*160+H372*0+I372*100+J372*300)/(122.58+297.941+89.177+40.302+0+40+160+100+300)</f>
        <v>16.779494079304346</v>
      </c>
      <c r="AC372" s="44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16.477192805755394</v>
      </c>
    </row>
    <row r="373" spans="1:29" ht="15.75" x14ac:dyDescent="0.25">
      <c r="A373" s="32">
        <v>52262</v>
      </c>
      <c r="B373" s="14">
        <f>CHOOSE(CONTROL!$C$42, 18.1311, 18.1311) * CHOOSE(CONTROL!$C$21, $C$9, 100%, $E$9)</f>
        <v>18.1311</v>
      </c>
      <c r="C373" s="14">
        <f>CHOOSE(CONTROL!$C$42, 18.1361, 18.1361) * CHOOSE(CONTROL!$C$21, $C$9, 100%, $E$9)</f>
        <v>18.136099999999999</v>
      </c>
      <c r="D373" s="14">
        <f>CHOOSE(CONTROL!$C$42, 18.2156, 18.2156) * CHOOSE(CONTROL!$C$21, $C$9, 100%, $E$9)</f>
        <v>18.215599999999998</v>
      </c>
      <c r="E373" s="14">
        <f>CHOOSE(CONTROL!$C$42, 18.2497, 18.2497) * CHOOSE(CONTROL!$C$21, $C$9, 100%, $E$9)</f>
        <v>18.249700000000001</v>
      </c>
      <c r="F373" s="14">
        <f>CHOOSE(CONTROL!$C$42, 18.1541, 18.1541)*CHOOSE(CONTROL!$C$21, $C$9, 100%, $E$9)</f>
        <v>18.1541</v>
      </c>
      <c r="G373" s="14">
        <f>CHOOSE(CONTROL!$C$42, 18.1716, 18.1716)*CHOOSE(CONTROL!$C$21, $C$9, 100%, $E$9)</f>
        <v>18.171600000000002</v>
      </c>
      <c r="H373" s="14">
        <f>CHOOSE(CONTROL!$C$42, 18.2389, 18.2389) * CHOOSE(CONTROL!$C$21, $C$9, 100%, $E$9)</f>
        <v>18.238900000000001</v>
      </c>
      <c r="I373" s="14">
        <f>CHOOSE(CONTROL!$C$42, 18.2231, 18.2231)* CHOOSE(CONTROL!$C$21, $C$9, 100%, $E$9)</f>
        <v>18.223099999999999</v>
      </c>
      <c r="J373" s="14">
        <f>CHOOSE(CONTROL!$C$42, 18.1471, 18.1471)* CHOOSE(CONTROL!$C$21, $C$9, 100%, $E$9)</f>
        <v>18.147099999999998</v>
      </c>
      <c r="K373" s="52">
        <f>CHOOSE(CONTROL!$C$42, 18.2193, 18.2193) * CHOOSE(CONTROL!$C$21, $C$9, 100%, $E$9)</f>
        <v>18.2193</v>
      </c>
      <c r="L373" s="14">
        <f>CHOOSE(CONTROL!$C$42, 18.8259, 18.8259) * CHOOSE(CONTROL!$C$21, $C$9, 100%, $E$9)</f>
        <v>18.825900000000001</v>
      </c>
      <c r="M373" s="14">
        <f>CHOOSE(CONTROL!$C$42, 17.783, 17.783) * CHOOSE(CONTROL!$C$21, $C$9, 100%, $E$9)</f>
        <v>17.783000000000001</v>
      </c>
      <c r="N373" s="14">
        <f>CHOOSE(CONTROL!$C$42, 17.8001, 17.8001) * CHOOSE(CONTROL!$C$21, $C$9, 100%, $E$9)</f>
        <v>17.8001</v>
      </c>
      <c r="O373" s="14">
        <f>CHOOSE(CONTROL!$C$42, 17.8729, 17.8729) * CHOOSE(CONTROL!$C$21, $C$9, 100%, $E$9)</f>
        <v>17.872900000000001</v>
      </c>
      <c r="P373" s="14">
        <f>CHOOSE(CONTROL!$C$42, 17.8564, 17.8564) * CHOOSE(CONTROL!$C$21, $C$9, 100%, $E$9)</f>
        <v>17.856400000000001</v>
      </c>
      <c r="Q373" s="14">
        <f>CHOOSE(CONTROL!$C$42, 18.4676, 18.4676) * CHOOSE(CONTROL!$C$21, $C$9, 100%, $E$9)</f>
        <v>18.467600000000001</v>
      </c>
      <c r="R373" s="14">
        <f>CHOOSE(CONTROL!$C$42, 19.1007, 19.1007) * CHOOSE(CONTROL!$C$21, $C$9, 100%, $E$9)</f>
        <v>19.1007</v>
      </c>
      <c r="S373" s="14">
        <f>CHOOSE(CONTROL!$C$42, 17.4136, 17.4136) * CHOOSE(CONTROL!$C$21, $C$9, 100%, $E$9)</f>
        <v>17.413599999999999</v>
      </c>
      <c r="T37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56">
        <f>(1000*CHOOSE(CONTROL!$C$42, 695, 695)*CHOOSE(CONTROL!$C$42, 0.5599, 0.5599)*CHOOSE(CONTROL!$C$42, 31, 31))/1000000</f>
        <v>12.063045499999998</v>
      </c>
      <c r="V373" s="56">
        <f>(1000*CHOOSE(CONTROL!$C$42, 500, 500)*CHOOSE(CONTROL!$C$42, 0.275, 0.275)*CHOOSE(CONTROL!$C$42, 31, 31))/1000000</f>
        <v>4.2625000000000002</v>
      </c>
      <c r="W373" s="56">
        <f>(1000*CHOOSE(CONTROL!$C$42, 0.1146, 0.1146)*CHOOSE(CONTROL!$C$42, 121.5, 121.5)*CHOOSE(CONTROL!$C$42, 31, 31))/1000000</f>
        <v>0.43164089999999994</v>
      </c>
      <c r="X373" s="56">
        <f>(31*0.1790888*100000/1000000)+(31*0.2374*100000/1000000)</f>
        <v>1.2911152800000001</v>
      </c>
      <c r="Y373" s="56"/>
      <c r="Z373" s="14"/>
      <c r="AA373" s="55"/>
      <c r="AB373" s="49">
        <f>(B373*122.58+C373*297.941+D373*89.177+E373*40.302+F373*40+G373*160+H373*0+I373*100+J373*300)/(122.58+297.941+89.177+40.302+0+40+160+100+300)</f>
        <v>18.161713024956519</v>
      </c>
      <c r="AC373" s="44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17.835291366906475</v>
      </c>
    </row>
    <row r="374" spans="1:29" ht="15.75" x14ac:dyDescent="0.25">
      <c r="A374" s="32">
        <v>52290</v>
      </c>
      <c r="B374" s="14">
        <f>CHOOSE(CONTROL!$C$42, 18.4537, 18.4537) * CHOOSE(CONTROL!$C$21, $C$9, 100%, $E$9)</f>
        <v>18.453700000000001</v>
      </c>
      <c r="C374" s="14">
        <f>CHOOSE(CONTROL!$C$42, 18.4587, 18.4587) * CHOOSE(CONTROL!$C$21, $C$9, 100%, $E$9)</f>
        <v>18.4587</v>
      </c>
      <c r="D374" s="14">
        <f>CHOOSE(CONTROL!$C$42, 18.5381, 18.5381) * CHOOSE(CONTROL!$C$21, $C$9, 100%, $E$9)</f>
        <v>18.5381</v>
      </c>
      <c r="E374" s="14">
        <f>CHOOSE(CONTROL!$C$42, 18.5723, 18.5723) * CHOOSE(CONTROL!$C$21, $C$9, 100%, $E$9)</f>
        <v>18.572299999999998</v>
      </c>
      <c r="F374" s="14">
        <f>CHOOSE(CONTROL!$C$42, 18.4764, 18.4764)*CHOOSE(CONTROL!$C$21, $C$9, 100%, $E$9)</f>
        <v>18.476400000000002</v>
      </c>
      <c r="G374" s="14">
        <f>CHOOSE(CONTROL!$C$42, 18.4939, 18.4939)*CHOOSE(CONTROL!$C$21, $C$9, 100%, $E$9)</f>
        <v>18.4939</v>
      </c>
      <c r="H374" s="14">
        <f>CHOOSE(CONTROL!$C$42, 18.5615, 18.5615) * CHOOSE(CONTROL!$C$21, $C$9, 100%, $E$9)</f>
        <v>18.561499999999999</v>
      </c>
      <c r="I374" s="14">
        <f>CHOOSE(CONTROL!$C$42, 18.5467, 18.5467)* CHOOSE(CONTROL!$C$21, $C$9, 100%, $E$9)</f>
        <v>18.546700000000001</v>
      </c>
      <c r="J374" s="14">
        <f>CHOOSE(CONTROL!$C$42, 18.4694, 18.4694)* CHOOSE(CONTROL!$C$21, $C$9, 100%, $E$9)</f>
        <v>18.4694</v>
      </c>
      <c r="K374" s="52">
        <f>CHOOSE(CONTROL!$C$42, 18.5429, 18.5429) * CHOOSE(CONTROL!$C$21, $C$9, 100%, $E$9)</f>
        <v>18.542899999999999</v>
      </c>
      <c r="L374" s="14">
        <f>CHOOSE(CONTROL!$C$42, 19.1485, 19.1485) * CHOOSE(CONTROL!$C$21, $C$9, 100%, $E$9)</f>
        <v>19.148499999999999</v>
      </c>
      <c r="M374" s="14">
        <f>CHOOSE(CONTROL!$C$42, 18.0987, 18.0987) * CHOOSE(CONTROL!$C$21, $C$9, 100%, $E$9)</f>
        <v>18.098700000000001</v>
      </c>
      <c r="N374" s="14">
        <f>CHOOSE(CONTROL!$C$42, 18.1158, 18.1158) * CHOOSE(CONTROL!$C$21, $C$9, 100%, $E$9)</f>
        <v>18.1158</v>
      </c>
      <c r="O374" s="14">
        <f>CHOOSE(CONTROL!$C$42, 18.1888, 18.1888) * CHOOSE(CONTROL!$C$21, $C$9, 100%, $E$9)</f>
        <v>18.188800000000001</v>
      </c>
      <c r="P374" s="14">
        <f>CHOOSE(CONTROL!$C$42, 18.1733, 18.1733) * CHOOSE(CONTROL!$C$21, $C$9, 100%, $E$9)</f>
        <v>18.173300000000001</v>
      </c>
      <c r="Q374" s="14">
        <f>CHOOSE(CONTROL!$C$42, 18.7835, 18.7835) * CHOOSE(CONTROL!$C$21, $C$9, 100%, $E$9)</f>
        <v>18.7835</v>
      </c>
      <c r="R374" s="14">
        <f>CHOOSE(CONTROL!$C$42, 19.4175, 19.4175) * CHOOSE(CONTROL!$C$21, $C$9, 100%, $E$9)</f>
        <v>19.4175</v>
      </c>
      <c r="S374" s="14">
        <f>CHOOSE(CONTROL!$C$42, 17.7236, 17.7236) * CHOOSE(CONTROL!$C$21, $C$9, 100%, $E$9)</f>
        <v>17.723600000000001</v>
      </c>
      <c r="T37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74" s="56">
        <f>(1000*CHOOSE(CONTROL!$C$42, 695, 695)*CHOOSE(CONTROL!$C$42, 0.5599, 0.5599)*CHOOSE(CONTROL!$C$42, 28, 28))/1000000</f>
        <v>10.895653999999999</v>
      </c>
      <c r="V374" s="56">
        <f>(1000*CHOOSE(CONTROL!$C$42, 500, 500)*CHOOSE(CONTROL!$C$42, 0.275, 0.275)*CHOOSE(CONTROL!$C$42, 28, 28))/1000000</f>
        <v>3.85</v>
      </c>
      <c r="W374" s="56">
        <f>(1000*CHOOSE(CONTROL!$C$42, 0.1146, 0.1146)*CHOOSE(CONTROL!$C$42, 121.5, 121.5)*CHOOSE(CONTROL!$C$42, 28, 28))/1000000</f>
        <v>0.38986920000000003</v>
      </c>
      <c r="X374" s="56">
        <f>(28*0.1790888*100000/1000000)+(28*0.2374*100000/1000000)</f>
        <v>1.16616864</v>
      </c>
      <c r="Y374" s="56"/>
      <c r="Z374" s="14"/>
      <c r="AA374" s="55"/>
      <c r="AB374" s="49">
        <f>(B374*122.58+C374*297.941+D374*89.177+E374*40.302+F374*40+G374*160+H374*0+I374*100+J374*300)/(122.58+297.941+89.177+40.302+0+40+160+100+300)</f>
        <v>18.484261792173911</v>
      </c>
      <c r="AC374" s="44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18.151254676258993</v>
      </c>
    </row>
    <row r="375" spans="1:29" ht="15.75" x14ac:dyDescent="0.25">
      <c r="A375" s="32">
        <v>52321</v>
      </c>
      <c r="B375" s="14">
        <f>CHOOSE(CONTROL!$C$42, 17.93, 17.93) * CHOOSE(CONTROL!$C$21, $C$9, 100%, $E$9)</f>
        <v>17.93</v>
      </c>
      <c r="C375" s="14">
        <f>CHOOSE(CONTROL!$C$42, 17.9351, 17.9351) * CHOOSE(CONTROL!$C$21, $C$9, 100%, $E$9)</f>
        <v>17.935099999999998</v>
      </c>
      <c r="D375" s="14">
        <f>CHOOSE(CONTROL!$C$42, 18.0145, 18.0145) * CHOOSE(CONTROL!$C$21, $C$9, 100%, $E$9)</f>
        <v>18.014500000000002</v>
      </c>
      <c r="E375" s="14">
        <f>CHOOSE(CONTROL!$C$42, 18.0486, 18.0486) * CHOOSE(CONTROL!$C$21, $C$9, 100%, $E$9)</f>
        <v>18.0486</v>
      </c>
      <c r="F375" s="14">
        <f>CHOOSE(CONTROL!$C$42, 17.9521, 17.9521)*CHOOSE(CONTROL!$C$21, $C$9, 100%, $E$9)</f>
        <v>17.952100000000002</v>
      </c>
      <c r="G375" s="14">
        <f>CHOOSE(CONTROL!$C$42, 17.9693, 17.9693)*CHOOSE(CONTROL!$C$21, $C$9, 100%, $E$9)</f>
        <v>17.9693</v>
      </c>
      <c r="H375" s="14">
        <f>CHOOSE(CONTROL!$C$42, 18.0378, 18.0378) * CHOOSE(CONTROL!$C$21, $C$9, 100%, $E$9)</f>
        <v>18.037800000000001</v>
      </c>
      <c r="I375" s="14">
        <f>CHOOSE(CONTROL!$C$42, 18.0215, 18.0215)* CHOOSE(CONTROL!$C$21, $C$9, 100%, $E$9)</f>
        <v>18.0215</v>
      </c>
      <c r="J375" s="14">
        <f>CHOOSE(CONTROL!$C$42, 17.9451, 17.9451)* CHOOSE(CONTROL!$C$21, $C$9, 100%, $E$9)</f>
        <v>17.9451</v>
      </c>
      <c r="K375" s="52">
        <f>CHOOSE(CONTROL!$C$42, 18.0176, 18.0176) * CHOOSE(CONTROL!$C$21, $C$9, 100%, $E$9)</f>
        <v>18.017600000000002</v>
      </c>
      <c r="L375" s="14">
        <f>CHOOSE(CONTROL!$C$42, 18.6248, 18.6248) * CHOOSE(CONTROL!$C$21, $C$9, 100%, $E$9)</f>
        <v>18.6248</v>
      </c>
      <c r="M375" s="14">
        <f>CHOOSE(CONTROL!$C$42, 17.5851, 17.5851) * CHOOSE(CONTROL!$C$21, $C$9, 100%, $E$9)</f>
        <v>17.585100000000001</v>
      </c>
      <c r="N375" s="14">
        <f>CHOOSE(CONTROL!$C$42, 17.602, 17.602) * CHOOSE(CONTROL!$C$21, $C$9, 100%, $E$9)</f>
        <v>17.602</v>
      </c>
      <c r="O375" s="14">
        <f>CHOOSE(CONTROL!$C$42, 17.6759, 17.6759) * CHOOSE(CONTROL!$C$21, $C$9, 100%, $E$9)</f>
        <v>17.675899999999999</v>
      </c>
      <c r="P375" s="14">
        <f>CHOOSE(CONTROL!$C$42, 17.6589, 17.6589) * CHOOSE(CONTROL!$C$21, $C$9, 100%, $E$9)</f>
        <v>17.658899999999999</v>
      </c>
      <c r="Q375" s="14">
        <f>CHOOSE(CONTROL!$C$42, 18.2706, 18.2706) * CHOOSE(CONTROL!$C$21, $C$9, 100%, $E$9)</f>
        <v>18.270600000000002</v>
      </c>
      <c r="R375" s="14">
        <f>CHOOSE(CONTROL!$C$42, 18.9033, 18.9033) * CHOOSE(CONTROL!$C$21, $C$9, 100%, $E$9)</f>
        <v>18.903300000000002</v>
      </c>
      <c r="S375" s="14">
        <f>CHOOSE(CONTROL!$C$42, 17.2204, 17.2204) * CHOOSE(CONTROL!$C$21, $C$9, 100%, $E$9)</f>
        <v>17.220400000000001</v>
      </c>
      <c r="T37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56">
        <f>(1000*CHOOSE(CONTROL!$C$42, 695, 695)*CHOOSE(CONTROL!$C$42, 0.5599, 0.5599)*CHOOSE(CONTROL!$C$42, 31, 31))/1000000</f>
        <v>12.063045499999998</v>
      </c>
      <c r="V375" s="56">
        <f>(1000*CHOOSE(CONTROL!$C$42, 500, 500)*CHOOSE(CONTROL!$C$42, 0.275, 0.275)*CHOOSE(CONTROL!$C$42, 31, 31))/1000000</f>
        <v>4.2625000000000002</v>
      </c>
      <c r="W375" s="56">
        <f>(1000*CHOOSE(CONTROL!$C$42, 0.1146, 0.1146)*CHOOSE(CONTROL!$C$42, 121.5, 121.5)*CHOOSE(CONTROL!$C$42, 31, 31))/1000000</f>
        <v>0.43164089999999994</v>
      </c>
      <c r="X375" s="56">
        <f>(31*0.1790888*100000/1000000)+(31*0.2374*100000/1000000)</f>
        <v>1.2911152800000001</v>
      </c>
      <c r="Y375" s="56"/>
      <c r="Z375" s="14"/>
      <c r="AA375" s="55"/>
      <c r="AB375" s="49">
        <f>(B375*122.58+C375*297.941+D375*89.177+E375*40.302+F375*40+G375*160+H375*0+I375*100+J375*300)/(122.58+297.941+89.177+40.302+0+40+160+100+300)</f>
        <v>17.960162411130433</v>
      </c>
      <c r="AC375" s="44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17.637845323741004</v>
      </c>
    </row>
    <row r="376" spans="1:29" ht="15.75" x14ac:dyDescent="0.25">
      <c r="A376" s="32">
        <v>52351</v>
      </c>
      <c r="B376" s="14">
        <f>CHOOSE(CONTROL!$C$42, 17.8774, 17.8774) * CHOOSE(CONTROL!$C$21, $C$9, 100%, $E$9)</f>
        <v>17.877400000000002</v>
      </c>
      <c r="C376" s="14">
        <f>CHOOSE(CONTROL!$C$42, 17.8819, 17.8819) * CHOOSE(CONTROL!$C$21, $C$9, 100%, $E$9)</f>
        <v>17.881900000000002</v>
      </c>
      <c r="D376" s="14">
        <f>CHOOSE(CONTROL!$C$42, 18.1108, 18.1108) * CHOOSE(CONTROL!$C$21, $C$9, 100%, $E$9)</f>
        <v>18.110800000000001</v>
      </c>
      <c r="E376" s="14">
        <f>CHOOSE(CONTROL!$C$42, 18.1429, 18.1429) * CHOOSE(CONTROL!$C$21, $C$9, 100%, $E$9)</f>
        <v>18.142900000000001</v>
      </c>
      <c r="F376" s="14">
        <f>CHOOSE(CONTROL!$C$42, 17.9044, 17.9044)*CHOOSE(CONTROL!$C$21, $C$9, 100%, $E$9)</f>
        <v>17.904399999999999</v>
      </c>
      <c r="G376" s="14">
        <f>CHOOSE(CONTROL!$C$42, 17.9211, 17.9211)*CHOOSE(CONTROL!$C$21, $C$9, 100%, $E$9)</f>
        <v>17.921099999999999</v>
      </c>
      <c r="H376" s="14">
        <f>CHOOSE(CONTROL!$C$42, 18.1327, 18.1327) * CHOOSE(CONTROL!$C$21, $C$9, 100%, $E$9)</f>
        <v>18.1327</v>
      </c>
      <c r="I376" s="14">
        <f>CHOOSE(CONTROL!$C$42, 17.9663, 17.9663)* CHOOSE(CONTROL!$C$21, $C$9, 100%, $E$9)</f>
        <v>17.9663</v>
      </c>
      <c r="J376" s="14">
        <f>CHOOSE(CONTROL!$C$42, 17.8974, 17.8974)* CHOOSE(CONTROL!$C$21, $C$9, 100%, $E$9)</f>
        <v>17.897400000000001</v>
      </c>
      <c r="K376" s="52">
        <f>CHOOSE(CONTROL!$C$42, 17.9624, 17.9624) * CHOOSE(CONTROL!$C$21, $C$9, 100%, $E$9)</f>
        <v>17.962399999999999</v>
      </c>
      <c r="L376" s="14">
        <f>CHOOSE(CONTROL!$C$42, 18.7197, 18.7197) * CHOOSE(CONTROL!$C$21, $C$9, 100%, $E$9)</f>
        <v>18.7197</v>
      </c>
      <c r="M376" s="14">
        <f>CHOOSE(CONTROL!$C$42, 17.5384, 17.5384) * CHOOSE(CONTROL!$C$21, $C$9, 100%, $E$9)</f>
        <v>17.538399999999999</v>
      </c>
      <c r="N376" s="14">
        <f>CHOOSE(CONTROL!$C$42, 17.5547, 17.5547) * CHOOSE(CONTROL!$C$21, $C$9, 100%, $E$9)</f>
        <v>17.5547</v>
      </c>
      <c r="O376" s="14">
        <f>CHOOSE(CONTROL!$C$42, 17.7688, 17.7688) * CHOOSE(CONTROL!$C$21, $C$9, 100%, $E$9)</f>
        <v>17.768799999999999</v>
      </c>
      <c r="P376" s="14">
        <f>CHOOSE(CONTROL!$C$42, 17.6048, 17.6048) * CHOOSE(CONTROL!$C$21, $C$9, 100%, $E$9)</f>
        <v>17.604800000000001</v>
      </c>
      <c r="Q376" s="14">
        <f>CHOOSE(CONTROL!$C$42, 18.3635, 18.3635) * CHOOSE(CONTROL!$C$21, $C$9, 100%, $E$9)</f>
        <v>18.363499999999998</v>
      </c>
      <c r="R376" s="14">
        <f>CHOOSE(CONTROL!$C$42, 18.9965, 18.9965) * CHOOSE(CONTROL!$C$21, $C$9, 100%, $E$9)</f>
        <v>18.996500000000001</v>
      </c>
      <c r="S376" s="14">
        <f>CHOOSE(CONTROL!$C$42, 17.1691, 17.1691) * CHOOSE(CONTROL!$C$21, $C$9, 100%, $E$9)</f>
        <v>17.1691</v>
      </c>
      <c r="T37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56">
        <f>(1000*CHOOSE(CONTROL!$C$42, 695, 695)*CHOOSE(CONTROL!$C$42, 0.5599, 0.5599)*CHOOSE(CONTROL!$C$42, 30, 30))/1000000</f>
        <v>11.673914999999997</v>
      </c>
      <c r="V376" s="56">
        <f>(1000*CHOOSE(CONTROL!$C$42, 500, 500)*CHOOSE(CONTROL!$C$42, 0.275, 0.275)*CHOOSE(CONTROL!$C$42, 30, 30))/1000000</f>
        <v>4.125</v>
      </c>
      <c r="W376" s="56">
        <f>(1000*CHOOSE(CONTROL!$C$42, 0.1146, 0.1146)*CHOOSE(CONTROL!$C$42, 121.5, 121.5)*CHOOSE(CONTROL!$C$42, 30, 30))/1000000</f>
        <v>0.417717</v>
      </c>
      <c r="X376" s="56">
        <f>(30*0.1790888*245000/1000000)+(30*0.2374*100000/1000000)</f>
        <v>2.0285026799999999</v>
      </c>
      <c r="Y376" s="56"/>
      <c r="Z376" s="14"/>
      <c r="AA376" s="55"/>
      <c r="AB376" s="49">
        <f>(B376*141.293+C376*267.993+D376*115.016+E376*89.698+F376*40+G376*185+H376*0+I376*100+J376*300)/(141.293+267.993+115.016+89.698+0+40+185+100+300)</f>
        <v>17.938675239628733</v>
      </c>
      <c r="AC376" s="44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17.616351079136688</v>
      </c>
    </row>
    <row r="377" spans="1:29" ht="15.75" x14ac:dyDescent="0.25">
      <c r="A377" s="32">
        <v>52382</v>
      </c>
      <c r="B377" s="14">
        <f>CHOOSE(CONTROL!$C$42, 18.0365, 18.0365) * CHOOSE(CONTROL!$C$21, $C$9, 100%, $E$9)</f>
        <v>18.0365</v>
      </c>
      <c r="C377" s="14">
        <f>CHOOSE(CONTROL!$C$42, 18.0445, 18.0445) * CHOOSE(CONTROL!$C$21, $C$9, 100%, $E$9)</f>
        <v>18.044499999999999</v>
      </c>
      <c r="D377" s="14">
        <f>CHOOSE(CONTROL!$C$42, 18.2703, 18.2703) * CHOOSE(CONTROL!$C$21, $C$9, 100%, $E$9)</f>
        <v>18.270299999999999</v>
      </c>
      <c r="E377" s="14">
        <f>CHOOSE(CONTROL!$C$42, 18.3017, 18.3017) * CHOOSE(CONTROL!$C$21, $C$9, 100%, $E$9)</f>
        <v>18.3017</v>
      </c>
      <c r="F377" s="14">
        <f>CHOOSE(CONTROL!$C$42, 18.0621, 18.0621)*CHOOSE(CONTROL!$C$21, $C$9, 100%, $E$9)</f>
        <v>18.062100000000001</v>
      </c>
      <c r="G377" s="14">
        <f>CHOOSE(CONTROL!$C$42, 18.0791, 18.0791)*CHOOSE(CONTROL!$C$21, $C$9, 100%, $E$9)</f>
        <v>18.0791</v>
      </c>
      <c r="H377" s="14">
        <f>CHOOSE(CONTROL!$C$42, 18.2904, 18.2904) * CHOOSE(CONTROL!$C$21, $C$9, 100%, $E$9)</f>
        <v>18.290400000000002</v>
      </c>
      <c r="I377" s="14">
        <f>CHOOSE(CONTROL!$C$42, 18.1245, 18.1245)* CHOOSE(CONTROL!$C$21, $C$9, 100%, $E$9)</f>
        <v>18.124500000000001</v>
      </c>
      <c r="J377" s="14">
        <f>CHOOSE(CONTROL!$C$42, 18.0551, 18.0551)* CHOOSE(CONTROL!$C$21, $C$9, 100%, $E$9)</f>
        <v>18.055099999999999</v>
      </c>
      <c r="K377" s="52">
        <f>CHOOSE(CONTROL!$C$42, 18.1206, 18.1206) * CHOOSE(CONTROL!$C$21, $C$9, 100%, $E$9)</f>
        <v>18.1206</v>
      </c>
      <c r="L377" s="14">
        <f>CHOOSE(CONTROL!$C$42, 18.8774, 18.8774) * CHOOSE(CONTROL!$C$21, $C$9, 100%, $E$9)</f>
        <v>18.877400000000002</v>
      </c>
      <c r="M377" s="14">
        <f>CHOOSE(CONTROL!$C$42, 17.6929, 17.6929) * CHOOSE(CONTROL!$C$21, $C$9, 100%, $E$9)</f>
        <v>17.692900000000002</v>
      </c>
      <c r="N377" s="14">
        <f>CHOOSE(CONTROL!$C$42, 17.7095, 17.7095) * CHOOSE(CONTROL!$C$21, $C$9, 100%, $E$9)</f>
        <v>17.709499999999998</v>
      </c>
      <c r="O377" s="14">
        <f>CHOOSE(CONTROL!$C$42, 17.9233, 17.9233) * CHOOSE(CONTROL!$C$21, $C$9, 100%, $E$9)</f>
        <v>17.923300000000001</v>
      </c>
      <c r="P377" s="14">
        <f>CHOOSE(CONTROL!$C$42, 17.7598, 17.7598) * CHOOSE(CONTROL!$C$21, $C$9, 100%, $E$9)</f>
        <v>17.759799999999998</v>
      </c>
      <c r="Q377" s="14">
        <f>CHOOSE(CONTROL!$C$42, 18.518, 18.518) * CHOOSE(CONTROL!$C$21, $C$9, 100%, $E$9)</f>
        <v>18.518000000000001</v>
      </c>
      <c r="R377" s="14">
        <f>CHOOSE(CONTROL!$C$42, 19.1513, 19.1513) * CHOOSE(CONTROL!$C$21, $C$9, 100%, $E$9)</f>
        <v>19.151299999999999</v>
      </c>
      <c r="S377" s="14">
        <f>CHOOSE(CONTROL!$C$42, 17.3206, 17.3206) * CHOOSE(CONTROL!$C$21, $C$9, 100%, $E$9)</f>
        <v>17.320599999999999</v>
      </c>
      <c r="T37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56">
        <f>(1000*CHOOSE(CONTROL!$C$42, 695, 695)*CHOOSE(CONTROL!$C$42, 0.5599, 0.5599)*CHOOSE(CONTROL!$C$42, 31, 31))/1000000</f>
        <v>12.063045499999998</v>
      </c>
      <c r="V377" s="56">
        <f>(1000*CHOOSE(CONTROL!$C$42, 500, 500)*CHOOSE(CONTROL!$C$42, 0.275, 0.275)*CHOOSE(CONTROL!$C$42, 31, 31))/1000000</f>
        <v>4.2625000000000002</v>
      </c>
      <c r="W377" s="56">
        <f>(1000*CHOOSE(CONTROL!$C$42, 0.1146, 0.1146)*CHOOSE(CONTROL!$C$42, 121.5, 121.5)*CHOOSE(CONTROL!$C$42, 31, 31))/1000000</f>
        <v>0.43164089999999994</v>
      </c>
      <c r="X377" s="56">
        <f>(31*0.1790888*245000/1000000)+(31*0.2374*100000/1000000)</f>
        <v>2.0961194359999999</v>
      </c>
      <c r="Y377" s="56"/>
      <c r="Z377" s="14"/>
      <c r="AA377" s="55"/>
      <c r="AB377" s="49">
        <f>(B377*194.205+C377*267.466+D377*133.845+E377*53.484+F377*40+G377*185+H377*0+I377*100+J377*300)/(194.205+267.466+133.845+53.484+0+40+185+100+300)</f>
        <v>18.092152783202511</v>
      </c>
      <c r="AC377" s="44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17.770992086330935</v>
      </c>
    </row>
    <row r="378" spans="1:29" ht="15.75" x14ac:dyDescent="0.25">
      <c r="A378" s="32">
        <v>52412</v>
      </c>
      <c r="B378" s="14">
        <f>CHOOSE(CONTROL!$C$42, 18.5478, 18.5478) * CHOOSE(CONTROL!$C$21, $C$9, 100%, $E$9)</f>
        <v>18.547799999999999</v>
      </c>
      <c r="C378" s="14">
        <f>CHOOSE(CONTROL!$C$42, 18.5558, 18.5558) * CHOOSE(CONTROL!$C$21, $C$9, 100%, $E$9)</f>
        <v>18.555800000000001</v>
      </c>
      <c r="D378" s="14">
        <f>CHOOSE(CONTROL!$C$42, 18.7816, 18.7816) * CHOOSE(CONTROL!$C$21, $C$9, 100%, $E$9)</f>
        <v>18.781600000000001</v>
      </c>
      <c r="E378" s="14">
        <f>CHOOSE(CONTROL!$C$42, 18.813, 18.813) * CHOOSE(CONTROL!$C$21, $C$9, 100%, $E$9)</f>
        <v>18.812999999999999</v>
      </c>
      <c r="F378" s="14">
        <f>CHOOSE(CONTROL!$C$42, 18.5739, 18.5739)*CHOOSE(CONTROL!$C$21, $C$9, 100%, $E$9)</f>
        <v>18.573899999999998</v>
      </c>
      <c r="G378" s="14">
        <f>CHOOSE(CONTROL!$C$42, 18.5909, 18.5909)*CHOOSE(CONTROL!$C$21, $C$9, 100%, $E$9)</f>
        <v>18.590900000000001</v>
      </c>
      <c r="H378" s="14">
        <f>CHOOSE(CONTROL!$C$42, 18.8017, 18.8017) * CHOOSE(CONTROL!$C$21, $C$9, 100%, $E$9)</f>
        <v>18.8017</v>
      </c>
      <c r="I378" s="14">
        <f>CHOOSE(CONTROL!$C$42, 18.6374, 18.6374)* CHOOSE(CONTROL!$C$21, $C$9, 100%, $E$9)</f>
        <v>18.6374</v>
      </c>
      <c r="J378" s="14">
        <f>CHOOSE(CONTROL!$C$42, 18.5669, 18.5669)* CHOOSE(CONTROL!$C$21, $C$9, 100%, $E$9)</f>
        <v>18.5669</v>
      </c>
      <c r="K378" s="52">
        <f>CHOOSE(CONTROL!$C$42, 18.6335, 18.6335) * CHOOSE(CONTROL!$C$21, $C$9, 100%, $E$9)</f>
        <v>18.633500000000002</v>
      </c>
      <c r="L378" s="14">
        <f>CHOOSE(CONTROL!$C$42, 19.3887, 19.3887) * CHOOSE(CONTROL!$C$21, $C$9, 100%, $E$9)</f>
        <v>19.3887</v>
      </c>
      <c r="M378" s="14">
        <f>CHOOSE(CONTROL!$C$42, 18.1941, 18.1941) * CHOOSE(CONTROL!$C$21, $C$9, 100%, $E$9)</f>
        <v>18.194099999999999</v>
      </c>
      <c r="N378" s="14">
        <f>CHOOSE(CONTROL!$C$42, 18.2109, 18.2109) * CHOOSE(CONTROL!$C$21, $C$9, 100%, $E$9)</f>
        <v>18.210899999999999</v>
      </c>
      <c r="O378" s="14">
        <f>CHOOSE(CONTROL!$C$42, 18.4241, 18.4241) * CHOOSE(CONTROL!$C$21, $C$9, 100%, $E$9)</f>
        <v>18.424099999999999</v>
      </c>
      <c r="P378" s="14">
        <f>CHOOSE(CONTROL!$C$42, 18.2621, 18.2621) * CHOOSE(CONTROL!$C$21, $C$9, 100%, $E$9)</f>
        <v>18.2621</v>
      </c>
      <c r="Q378" s="14">
        <f>CHOOSE(CONTROL!$C$42, 19.0188, 19.0188) * CHOOSE(CONTROL!$C$21, $C$9, 100%, $E$9)</f>
        <v>19.018799999999999</v>
      </c>
      <c r="R378" s="14">
        <f>CHOOSE(CONTROL!$C$42, 19.6534, 19.6534) * CHOOSE(CONTROL!$C$21, $C$9, 100%, $E$9)</f>
        <v>19.653400000000001</v>
      </c>
      <c r="S378" s="14">
        <f>CHOOSE(CONTROL!$C$42, 17.8119, 17.8119) * CHOOSE(CONTROL!$C$21, $C$9, 100%, $E$9)</f>
        <v>17.811900000000001</v>
      </c>
      <c r="T37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56">
        <f>(1000*CHOOSE(CONTROL!$C$42, 695, 695)*CHOOSE(CONTROL!$C$42, 0.5599, 0.5599)*CHOOSE(CONTROL!$C$42, 30, 30))/1000000</f>
        <v>11.673914999999997</v>
      </c>
      <c r="V378" s="56">
        <f>(1000*CHOOSE(CONTROL!$C$42, 500, 500)*CHOOSE(CONTROL!$C$42, 0.275, 0.275)*CHOOSE(CONTROL!$C$42, 30, 30))/1000000</f>
        <v>4.125</v>
      </c>
      <c r="W378" s="56">
        <f>(1000*CHOOSE(CONTROL!$C$42, 0.1146, 0.1146)*CHOOSE(CONTROL!$C$42, 121.5, 121.5)*CHOOSE(CONTROL!$C$42, 30, 30))/1000000</f>
        <v>0.417717</v>
      </c>
      <c r="X378" s="56">
        <f>(30*0.1790888*245000/1000000)+(30*0.2374*100000/1000000)</f>
        <v>2.0285026799999999</v>
      </c>
      <c r="Y378" s="56"/>
      <c r="Z378" s="14"/>
      <c r="AA378" s="55"/>
      <c r="AB378" s="49">
        <f>(B378*194.205+C378*267.466+D378*133.845+E378*53.484+F378*40+G378*185+H378*0+I378*100+J378*300)/(194.205+267.466+133.845+53.484+0+40+185+100+300)</f>
        <v>18.603784415855575</v>
      </c>
      <c r="AC378" s="44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18.27228417266187</v>
      </c>
    </row>
    <row r="379" spans="1:29" ht="15.75" x14ac:dyDescent="0.25">
      <c r="A379" s="32">
        <v>52443</v>
      </c>
      <c r="B379" s="14">
        <f>CHOOSE(CONTROL!$C$42, 18.1922, 18.1922) * CHOOSE(CONTROL!$C$21, $C$9, 100%, $E$9)</f>
        <v>18.1922</v>
      </c>
      <c r="C379" s="14">
        <f>CHOOSE(CONTROL!$C$42, 18.2002, 18.2002) * CHOOSE(CONTROL!$C$21, $C$9, 100%, $E$9)</f>
        <v>18.200199999999999</v>
      </c>
      <c r="D379" s="14">
        <f>CHOOSE(CONTROL!$C$42, 18.426, 18.426) * CHOOSE(CONTROL!$C$21, $C$9, 100%, $E$9)</f>
        <v>18.425999999999998</v>
      </c>
      <c r="E379" s="14">
        <f>CHOOSE(CONTROL!$C$42, 18.4574, 18.4574) * CHOOSE(CONTROL!$C$21, $C$9, 100%, $E$9)</f>
        <v>18.4574</v>
      </c>
      <c r="F379" s="14">
        <f>CHOOSE(CONTROL!$C$42, 18.2187, 18.2187)*CHOOSE(CONTROL!$C$21, $C$9, 100%, $E$9)</f>
        <v>18.218699999999998</v>
      </c>
      <c r="G379" s="14">
        <f>CHOOSE(CONTROL!$C$42, 18.2359, 18.2359)*CHOOSE(CONTROL!$C$21, $C$9, 100%, $E$9)</f>
        <v>18.235900000000001</v>
      </c>
      <c r="H379" s="14">
        <f>CHOOSE(CONTROL!$C$42, 18.4461, 18.4461) * CHOOSE(CONTROL!$C$21, $C$9, 100%, $E$9)</f>
        <v>18.446100000000001</v>
      </c>
      <c r="I379" s="14">
        <f>CHOOSE(CONTROL!$C$42, 18.2807, 18.2807)* CHOOSE(CONTROL!$C$21, $C$9, 100%, $E$9)</f>
        <v>18.2807</v>
      </c>
      <c r="J379" s="14">
        <f>CHOOSE(CONTROL!$C$42, 18.2117, 18.2117)* CHOOSE(CONTROL!$C$21, $C$9, 100%, $E$9)</f>
        <v>18.2117</v>
      </c>
      <c r="K379" s="52">
        <f>CHOOSE(CONTROL!$C$42, 18.2768, 18.2768) * CHOOSE(CONTROL!$C$21, $C$9, 100%, $E$9)</f>
        <v>18.276800000000001</v>
      </c>
      <c r="L379" s="14">
        <f>CHOOSE(CONTROL!$C$42, 19.0331, 19.0331) * CHOOSE(CONTROL!$C$21, $C$9, 100%, $E$9)</f>
        <v>19.033100000000001</v>
      </c>
      <c r="M379" s="14">
        <f>CHOOSE(CONTROL!$C$42, 17.8463, 17.8463) * CHOOSE(CONTROL!$C$21, $C$9, 100%, $E$9)</f>
        <v>17.846299999999999</v>
      </c>
      <c r="N379" s="14">
        <f>CHOOSE(CONTROL!$C$42, 17.8631, 17.8631) * CHOOSE(CONTROL!$C$21, $C$9, 100%, $E$9)</f>
        <v>17.863099999999999</v>
      </c>
      <c r="O379" s="14">
        <f>CHOOSE(CONTROL!$C$42, 18.0758, 18.0758) * CHOOSE(CONTROL!$C$21, $C$9, 100%, $E$9)</f>
        <v>18.075800000000001</v>
      </c>
      <c r="P379" s="14">
        <f>CHOOSE(CONTROL!$C$42, 17.9127, 17.9127) * CHOOSE(CONTROL!$C$21, $C$9, 100%, $E$9)</f>
        <v>17.912700000000001</v>
      </c>
      <c r="Q379" s="14">
        <f>CHOOSE(CONTROL!$C$42, 18.6705, 18.6705) * CHOOSE(CONTROL!$C$21, $C$9, 100%, $E$9)</f>
        <v>18.670500000000001</v>
      </c>
      <c r="R379" s="14">
        <f>CHOOSE(CONTROL!$C$42, 19.3042, 19.3042) * CHOOSE(CONTROL!$C$21, $C$9, 100%, $E$9)</f>
        <v>19.304200000000002</v>
      </c>
      <c r="S379" s="14">
        <f>CHOOSE(CONTROL!$C$42, 17.4702, 17.4702) * CHOOSE(CONTROL!$C$21, $C$9, 100%, $E$9)</f>
        <v>17.470199999999998</v>
      </c>
      <c r="T37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56">
        <f>(1000*CHOOSE(CONTROL!$C$42, 695, 695)*CHOOSE(CONTROL!$C$42, 0.5599, 0.5599)*CHOOSE(CONTROL!$C$42, 31, 31))/1000000</f>
        <v>12.063045499999998</v>
      </c>
      <c r="V379" s="56">
        <f>(1000*CHOOSE(CONTROL!$C$42, 500, 500)*CHOOSE(CONTROL!$C$42, 0.275, 0.275)*CHOOSE(CONTROL!$C$42, 31, 31))/1000000</f>
        <v>4.2625000000000002</v>
      </c>
      <c r="W379" s="56">
        <f>(1000*CHOOSE(CONTROL!$C$42, 0.1146, 0.1146)*CHOOSE(CONTROL!$C$42, 121.5, 121.5)*CHOOSE(CONTROL!$C$42, 31, 31))/1000000</f>
        <v>0.43164089999999994</v>
      </c>
      <c r="X379" s="56">
        <f>(31*0.1790888*245000/1000000)+(31*0.2374*100000/1000000)</f>
        <v>2.0961194359999999</v>
      </c>
      <c r="Y379" s="56"/>
      <c r="Z379" s="14"/>
      <c r="AA379" s="55"/>
      <c r="AB379" s="49">
        <f>(B379*194.205+C379*267.466+D379*133.845+E379*53.484+F379*40+G379*185+H379*0+I379*100+J379*300)/(194.205+267.466+133.845+53.484+0+40+185+100+300)</f>
        <v>18.248291951177396</v>
      </c>
      <c r="AC379" s="44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17.924113669064752</v>
      </c>
    </row>
    <row r="380" spans="1:29" ht="15.75" x14ac:dyDescent="0.25">
      <c r="A380" s="32">
        <v>52474</v>
      </c>
      <c r="B380" s="14">
        <f>CHOOSE(CONTROL!$C$42, 17.2941, 17.2941) * CHOOSE(CONTROL!$C$21, $C$9, 100%, $E$9)</f>
        <v>17.2941</v>
      </c>
      <c r="C380" s="14">
        <f>CHOOSE(CONTROL!$C$42, 17.3022, 17.3022) * CHOOSE(CONTROL!$C$21, $C$9, 100%, $E$9)</f>
        <v>17.302199999999999</v>
      </c>
      <c r="D380" s="14">
        <f>CHOOSE(CONTROL!$C$42, 17.5279, 17.5279) * CHOOSE(CONTROL!$C$21, $C$9, 100%, $E$9)</f>
        <v>17.527899999999999</v>
      </c>
      <c r="E380" s="14">
        <f>CHOOSE(CONTROL!$C$42, 17.5594, 17.5594) * CHOOSE(CONTROL!$C$21, $C$9, 100%, $E$9)</f>
        <v>17.5594</v>
      </c>
      <c r="F380" s="14">
        <f>CHOOSE(CONTROL!$C$42, 17.3209, 17.3209)*CHOOSE(CONTROL!$C$21, $C$9, 100%, $E$9)</f>
        <v>17.320900000000002</v>
      </c>
      <c r="G380" s="14">
        <f>CHOOSE(CONTROL!$C$42, 17.3382, 17.3382)*CHOOSE(CONTROL!$C$21, $C$9, 100%, $E$9)</f>
        <v>17.338200000000001</v>
      </c>
      <c r="H380" s="14">
        <f>CHOOSE(CONTROL!$C$42, 17.548, 17.548) * CHOOSE(CONTROL!$C$21, $C$9, 100%, $E$9)</f>
        <v>17.547999999999998</v>
      </c>
      <c r="I380" s="14">
        <f>CHOOSE(CONTROL!$C$42, 17.3798, 17.3798)* CHOOSE(CONTROL!$C$21, $C$9, 100%, $E$9)</f>
        <v>17.379799999999999</v>
      </c>
      <c r="J380" s="14">
        <f>CHOOSE(CONTROL!$C$42, 17.3139, 17.3139)* CHOOSE(CONTROL!$C$21, $C$9, 100%, $E$9)</f>
        <v>17.3139</v>
      </c>
      <c r="K380" s="52">
        <f>CHOOSE(CONTROL!$C$42, 17.3759, 17.3759) * CHOOSE(CONTROL!$C$21, $C$9, 100%, $E$9)</f>
        <v>17.375900000000001</v>
      </c>
      <c r="L380" s="14">
        <f>CHOOSE(CONTROL!$C$42, 18.135, 18.135) * CHOOSE(CONTROL!$C$21, $C$9, 100%, $E$9)</f>
        <v>18.135000000000002</v>
      </c>
      <c r="M380" s="14">
        <f>CHOOSE(CONTROL!$C$42, 16.9669, 16.9669) * CHOOSE(CONTROL!$C$21, $C$9, 100%, $E$9)</f>
        <v>16.966899999999999</v>
      </c>
      <c r="N380" s="14">
        <f>CHOOSE(CONTROL!$C$42, 16.9838, 16.9838) * CHOOSE(CONTROL!$C$21, $C$9, 100%, $E$9)</f>
        <v>16.983799999999999</v>
      </c>
      <c r="O380" s="14">
        <f>CHOOSE(CONTROL!$C$42, 17.1962, 17.1962) * CHOOSE(CONTROL!$C$21, $C$9, 100%, $E$9)</f>
        <v>17.196200000000001</v>
      </c>
      <c r="P380" s="14">
        <f>CHOOSE(CONTROL!$C$42, 17.0304, 17.0304) * CHOOSE(CONTROL!$C$21, $C$9, 100%, $E$9)</f>
        <v>17.0304</v>
      </c>
      <c r="Q380" s="14">
        <f>CHOOSE(CONTROL!$C$42, 17.7909, 17.7909) * CHOOSE(CONTROL!$C$21, $C$9, 100%, $E$9)</f>
        <v>17.790900000000001</v>
      </c>
      <c r="R380" s="14">
        <f>CHOOSE(CONTROL!$C$42, 18.4224, 18.4224) * CHOOSE(CONTROL!$C$21, $C$9, 100%, $E$9)</f>
        <v>18.4224</v>
      </c>
      <c r="S380" s="14">
        <f>CHOOSE(CONTROL!$C$42, 16.6073, 16.6073) * CHOOSE(CONTROL!$C$21, $C$9, 100%, $E$9)</f>
        <v>16.607299999999999</v>
      </c>
      <c r="T38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56">
        <f>(1000*CHOOSE(CONTROL!$C$42, 695, 695)*CHOOSE(CONTROL!$C$42, 0.5599, 0.5599)*CHOOSE(CONTROL!$C$42, 31, 31))/1000000</f>
        <v>12.063045499999998</v>
      </c>
      <c r="V380" s="56">
        <f>(1000*CHOOSE(CONTROL!$C$42, 500, 500)*CHOOSE(CONTROL!$C$42, 0.275, 0.275)*CHOOSE(CONTROL!$C$42, 31, 31))/1000000</f>
        <v>4.2625000000000002</v>
      </c>
      <c r="W380" s="56">
        <f>(1000*CHOOSE(CONTROL!$C$42, 0.1146, 0.1146)*CHOOSE(CONTROL!$C$42, 121.5, 121.5)*CHOOSE(CONTROL!$C$42, 31, 31))/1000000</f>
        <v>0.43164089999999994</v>
      </c>
      <c r="X380" s="56">
        <f>(31*0.1790888*245000/1000000)+(31*0.2374*100000/1000000)</f>
        <v>2.0961194359999999</v>
      </c>
      <c r="Y380" s="56"/>
      <c r="Z380" s="14"/>
      <c r="AA380" s="55"/>
      <c r="AB380" s="49">
        <f>(B380*194.205+C380*267.466+D380*133.845+E380*53.484+F380*40+G380*185+H380*0+I380*100+J380*300)/(194.205+267.466+133.845+53.484+0+40+185+100+300)</f>
        <v>17.350135510832022</v>
      </c>
      <c r="AC380" s="44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17.044263309352516</v>
      </c>
    </row>
    <row r="381" spans="1:29" ht="15.75" x14ac:dyDescent="0.25">
      <c r="A381" s="32">
        <v>52504</v>
      </c>
      <c r="B381" s="14">
        <f>CHOOSE(CONTROL!$C$42, 16.1967, 16.1967) * CHOOSE(CONTROL!$C$21, $C$9, 100%, $E$9)</f>
        <v>16.1967</v>
      </c>
      <c r="C381" s="14">
        <f>CHOOSE(CONTROL!$C$42, 16.2047, 16.2047) * CHOOSE(CONTROL!$C$21, $C$9, 100%, $E$9)</f>
        <v>16.204699999999999</v>
      </c>
      <c r="D381" s="14">
        <f>CHOOSE(CONTROL!$C$42, 16.4305, 16.4305) * CHOOSE(CONTROL!$C$21, $C$9, 100%, $E$9)</f>
        <v>16.430499999999999</v>
      </c>
      <c r="E381" s="14">
        <f>CHOOSE(CONTROL!$C$42, 16.462, 16.462) * CHOOSE(CONTROL!$C$21, $C$9, 100%, $E$9)</f>
        <v>16.462</v>
      </c>
      <c r="F381" s="14">
        <f>CHOOSE(CONTROL!$C$42, 16.2235, 16.2235)*CHOOSE(CONTROL!$C$21, $C$9, 100%, $E$9)</f>
        <v>16.223500000000001</v>
      </c>
      <c r="G381" s="14">
        <f>CHOOSE(CONTROL!$C$42, 16.2408, 16.2408)*CHOOSE(CONTROL!$C$21, $C$9, 100%, $E$9)</f>
        <v>16.2408</v>
      </c>
      <c r="H381" s="14">
        <f>CHOOSE(CONTROL!$C$42, 16.4506, 16.4506) * CHOOSE(CONTROL!$C$21, $C$9, 100%, $E$9)</f>
        <v>16.450600000000001</v>
      </c>
      <c r="I381" s="14">
        <f>CHOOSE(CONTROL!$C$42, 16.279, 16.279)* CHOOSE(CONTROL!$C$21, $C$9, 100%, $E$9)</f>
        <v>16.279</v>
      </c>
      <c r="J381" s="14">
        <f>CHOOSE(CONTROL!$C$42, 16.2165, 16.2165)* CHOOSE(CONTROL!$C$21, $C$9, 100%, $E$9)</f>
        <v>16.2165</v>
      </c>
      <c r="K381" s="52">
        <f>CHOOSE(CONTROL!$C$42, 16.2751, 16.2751) * CHOOSE(CONTROL!$C$21, $C$9, 100%, $E$9)</f>
        <v>16.275099999999998</v>
      </c>
      <c r="L381" s="14">
        <f>CHOOSE(CONTROL!$C$42, 17.0376, 17.0376) * CHOOSE(CONTROL!$C$21, $C$9, 100%, $E$9)</f>
        <v>17.037600000000001</v>
      </c>
      <c r="M381" s="14">
        <f>CHOOSE(CONTROL!$C$42, 15.8919, 15.8919) * CHOOSE(CONTROL!$C$21, $C$9, 100%, $E$9)</f>
        <v>15.8919</v>
      </c>
      <c r="N381" s="14">
        <f>CHOOSE(CONTROL!$C$42, 15.9089, 15.9089) * CHOOSE(CONTROL!$C$21, $C$9, 100%, $E$9)</f>
        <v>15.908899999999999</v>
      </c>
      <c r="O381" s="14">
        <f>CHOOSE(CONTROL!$C$42, 16.1212, 16.1212) * CHOOSE(CONTROL!$C$21, $C$9, 100%, $E$9)</f>
        <v>16.121200000000002</v>
      </c>
      <c r="P381" s="14">
        <f>CHOOSE(CONTROL!$C$42, 15.9522, 15.9522) * CHOOSE(CONTROL!$C$21, $C$9, 100%, $E$9)</f>
        <v>15.952199999999999</v>
      </c>
      <c r="Q381" s="14">
        <f>CHOOSE(CONTROL!$C$42, 16.7159, 16.7159) * CHOOSE(CONTROL!$C$21, $C$9, 100%, $E$9)</f>
        <v>16.715900000000001</v>
      </c>
      <c r="R381" s="14">
        <f>CHOOSE(CONTROL!$C$42, 17.3447, 17.3447) * CHOOSE(CONTROL!$C$21, $C$9, 100%, $E$9)</f>
        <v>17.3447</v>
      </c>
      <c r="S381" s="14">
        <f>CHOOSE(CONTROL!$C$42, 15.5528, 15.5528) * CHOOSE(CONTROL!$C$21, $C$9, 100%, $E$9)</f>
        <v>15.5528</v>
      </c>
      <c r="T38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56">
        <f>(1000*CHOOSE(CONTROL!$C$42, 695, 695)*CHOOSE(CONTROL!$C$42, 0.5599, 0.5599)*CHOOSE(CONTROL!$C$42, 30, 30))/1000000</f>
        <v>11.673914999999997</v>
      </c>
      <c r="V381" s="56">
        <f>(1000*CHOOSE(CONTROL!$C$42, 500, 500)*CHOOSE(CONTROL!$C$42, 0.275, 0.275)*CHOOSE(CONTROL!$C$42, 30, 30))/1000000</f>
        <v>4.125</v>
      </c>
      <c r="W381" s="56">
        <f>(1000*CHOOSE(CONTROL!$C$42, 0.1146, 0.1146)*CHOOSE(CONTROL!$C$42, 121.5, 121.5)*CHOOSE(CONTROL!$C$42, 30, 30))/1000000</f>
        <v>0.417717</v>
      </c>
      <c r="X381" s="56">
        <f>(30*0.1790888*245000/1000000)+(30*0.2374*100000/1000000)</f>
        <v>2.0285026799999999</v>
      </c>
      <c r="Y381" s="56"/>
      <c r="Z381" s="14"/>
      <c r="AA381" s="55"/>
      <c r="AB381" s="49">
        <f>(B381*194.205+C381*267.466+D381*133.845+E381*53.484+F381*40+G381*185+H381*0+I381*100+J381*300)/(194.205+267.466+133.845+53.484+0+40+185+100+300)</f>
        <v>16.252447640659337</v>
      </c>
      <c r="AC381" s="44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15.968825899280574</v>
      </c>
    </row>
    <row r="382" spans="1:29" ht="15.75" x14ac:dyDescent="0.25">
      <c r="A382" s="32">
        <v>52535</v>
      </c>
      <c r="B382" s="14">
        <f>CHOOSE(CONTROL!$C$42, 15.8663, 15.8663) * CHOOSE(CONTROL!$C$21, $C$9, 100%, $E$9)</f>
        <v>15.866300000000001</v>
      </c>
      <c r="C382" s="14">
        <f>CHOOSE(CONTROL!$C$42, 15.8716, 15.8716) * CHOOSE(CONTROL!$C$21, $C$9, 100%, $E$9)</f>
        <v>15.871600000000001</v>
      </c>
      <c r="D382" s="14">
        <f>CHOOSE(CONTROL!$C$42, 16.1024, 16.1024) * CHOOSE(CONTROL!$C$21, $C$9, 100%, $E$9)</f>
        <v>16.102399999999999</v>
      </c>
      <c r="E382" s="14">
        <f>CHOOSE(CONTROL!$C$42, 16.1315, 16.1315) * CHOOSE(CONTROL!$C$21, $C$9, 100%, $E$9)</f>
        <v>16.131499999999999</v>
      </c>
      <c r="F382" s="14">
        <f>CHOOSE(CONTROL!$C$42, 15.8952, 15.8952)*CHOOSE(CONTROL!$C$21, $C$9, 100%, $E$9)</f>
        <v>15.895200000000001</v>
      </c>
      <c r="G382" s="14">
        <f>CHOOSE(CONTROL!$C$42, 15.9123, 15.9123)*CHOOSE(CONTROL!$C$21, $C$9, 100%, $E$9)</f>
        <v>15.9123</v>
      </c>
      <c r="H382" s="14">
        <f>CHOOSE(CONTROL!$C$42, 16.122, 16.122) * CHOOSE(CONTROL!$C$21, $C$9, 100%, $E$9)</f>
        <v>16.122</v>
      </c>
      <c r="I382" s="14">
        <f>CHOOSE(CONTROL!$C$42, 15.9493, 15.9493)* CHOOSE(CONTROL!$C$21, $C$9, 100%, $E$9)</f>
        <v>15.949299999999999</v>
      </c>
      <c r="J382" s="14">
        <f>CHOOSE(CONTROL!$C$42, 15.8882, 15.8882)* CHOOSE(CONTROL!$C$21, $C$9, 100%, $E$9)</f>
        <v>15.888199999999999</v>
      </c>
      <c r="K382" s="52">
        <f>CHOOSE(CONTROL!$C$42, 15.9454, 15.9454) * CHOOSE(CONTROL!$C$21, $C$9, 100%, $E$9)</f>
        <v>15.945399999999999</v>
      </c>
      <c r="L382" s="14">
        <f>CHOOSE(CONTROL!$C$42, 16.709, 16.709) * CHOOSE(CONTROL!$C$21, $C$9, 100%, $E$9)</f>
        <v>16.709</v>
      </c>
      <c r="M382" s="14">
        <f>CHOOSE(CONTROL!$C$42, 15.5703, 15.5703) * CHOOSE(CONTROL!$C$21, $C$9, 100%, $E$9)</f>
        <v>15.5703</v>
      </c>
      <c r="N382" s="14">
        <f>CHOOSE(CONTROL!$C$42, 15.5871, 15.5871) * CHOOSE(CONTROL!$C$21, $C$9, 100%, $E$9)</f>
        <v>15.5871</v>
      </c>
      <c r="O382" s="14">
        <f>CHOOSE(CONTROL!$C$42, 15.7994, 15.7994) * CHOOSE(CONTROL!$C$21, $C$9, 100%, $E$9)</f>
        <v>15.7994</v>
      </c>
      <c r="P382" s="14">
        <f>CHOOSE(CONTROL!$C$42, 15.6293, 15.6293) * CHOOSE(CONTROL!$C$21, $C$9, 100%, $E$9)</f>
        <v>15.629300000000001</v>
      </c>
      <c r="Q382" s="14">
        <f>CHOOSE(CONTROL!$C$42, 16.3941, 16.3941) * CHOOSE(CONTROL!$C$21, $C$9, 100%, $E$9)</f>
        <v>16.394100000000002</v>
      </c>
      <c r="R382" s="14">
        <f>CHOOSE(CONTROL!$C$42, 17.022, 17.022) * CHOOSE(CONTROL!$C$21, $C$9, 100%, $E$9)</f>
        <v>17.021999999999998</v>
      </c>
      <c r="S382" s="14">
        <f>CHOOSE(CONTROL!$C$42, 15.237, 15.237) * CHOOSE(CONTROL!$C$21, $C$9, 100%, $E$9)</f>
        <v>15.237</v>
      </c>
      <c r="T38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56">
        <f>(1000*CHOOSE(CONTROL!$C$42, 695, 695)*CHOOSE(CONTROL!$C$42, 0.5599, 0.5599)*CHOOSE(CONTROL!$C$42, 31, 31))/1000000</f>
        <v>12.063045499999998</v>
      </c>
      <c r="V382" s="56">
        <f>(1000*CHOOSE(CONTROL!$C$42, 500, 500)*CHOOSE(CONTROL!$C$42, 0.275, 0.275)*CHOOSE(CONTROL!$C$42, 31, 31))/1000000</f>
        <v>4.2625000000000002</v>
      </c>
      <c r="W382" s="56">
        <f>(1000*CHOOSE(CONTROL!$C$42, 0.1146, 0.1146)*CHOOSE(CONTROL!$C$42, 121.5, 121.5)*CHOOSE(CONTROL!$C$42, 31, 31))/1000000</f>
        <v>0.43164089999999994</v>
      </c>
      <c r="X382" s="56">
        <f>(31*0.1790888*245000/1000000)+(31*0.2374*100000/1000000)</f>
        <v>2.0961194359999999</v>
      </c>
      <c r="Y382" s="56"/>
      <c r="Z382" s="14"/>
      <c r="AA382" s="55"/>
      <c r="AB382" s="49">
        <f>(B382*131.881+C382*277.167+D382*79.08+E382*125.872+F382*40+G382*185+H382*0+I382*100+J382*300)/(131.881+277.167+79.08+125.872+0+40+185+100+300)</f>
        <v>15.929300022195319</v>
      </c>
      <c r="AC382" s="44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15.646936690647481</v>
      </c>
    </row>
    <row r="383" spans="1:29" ht="15.75" x14ac:dyDescent="0.25">
      <c r="A383" s="32">
        <v>52565</v>
      </c>
      <c r="B383" s="14">
        <f>CHOOSE(CONTROL!$C$42, 16.2836, 16.2836) * CHOOSE(CONTROL!$C$21, $C$9, 100%, $E$9)</f>
        <v>16.2836</v>
      </c>
      <c r="C383" s="14">
        <f>CHOOSE(CONTROL!$C$42, 16.2887, 16.2887) * CHOOSE(CONTROL!$C$21, $C$9, 100%, $E$9)</f>
        <v>16.288699999999999</v>
      </c>
      <c r="D383" s="14">
        <f>CHOOSE(CONTROL!$C$42, 16.3577, 16.3577) * CHOOSE(CONTROL!$C$21, $C$9, 100%, $E$9)</f>
        <v>16.357700000000001</v>
      </c>
      <c r="E383" s="14">
        <f>CHOOSE(CONTROL!$C$42, 16.3918, 16.3918) * CHOOSE(CONTROL!$C$21, $C$9, 100%, $E$9)</f>
        <v>16.3918</v>
      </c>
      <c r="F383" s="14">
        <f>CHOOSE(CONTROL!$C$42, 16.3192, 16.3192)*CHOOSE(CONTROL!$C$21, $C$9, 100%, $E$9)</f>
        <v>16.319199999999999</v>
      </c>
      <c r="G383" s="14">
        <f>CHOOSE(CONTROL!$C$42, 16.3366, 16.3366)*CHOOSE(CONTROL!$C$21, $C$9, 100%, $E$9)</f>
        <v>16.336600000000001</v>
      </c>
      <c r="H383" s="14">
        <f>CHOOSE(CONTROL!$C$42, 16.381, 16.381) * CHOOSE(CONTROL!$C$21, $C$9, 100%, $E$9)</f>
        <v>16.381</v>
      </c>
      <c r="I383" s="14">
        <f>CHOOSE(CONTROL!$C$42, 16.371, 16.371)* CHOOSE(CONTROL!$C$21, $C$9, 100%, $E$9)</f>
        <v>16.370999999999999</v>
      </c>
      <c r="J383" s="14">
        <f>CHOOSE(CONTROL!$C$42, 16.3122, 16.3122)* CHOOSE(CONTROL!$C$21, $C$9, 100%, $E$9)</f>
        <v>16.312200000000001</v>
      </c>
      <c r="K383" s="52">
        <f>CHOOSE(CONTROL!$C$42, 16.3671, 16.3671) * CHOOSE(CONTROL!$C$21, $C$9, 100%, $E$9)</f>
        <v>16.367100000000001</v>
      </c>
      <c r="L383" s="14">
        <f>CHOOSE(CONTROL!$C$42, 16.968, 16.968) * CHOOSE(CONTROL!$C$21, $C$9, 100%, $E$9)</f>
        <v>16.968</v>
      </c>
      <c r="M383" s="14">
        <f>CHOOSE(CONTROL!$C$42, 15.9857, 15.9857) * CHOOSE(CONTROL!$C$21, $C$9, 100%, $E$9)</f>
        <v>15.9857</v>
      </c>
      <c r="N383" s="14">
        <f>CHOOSE(CONTROL!$C$42, 16.0027, 16.0027) * CHOOSE(CONTROL!$C$21, $C$9, 100%, $E$9)</f>
        <v>16.002700000000001</v>
      </c>
      <c r="O383" s="14">
        <f>CHOOSE(CONTROL!$C$42, 16.0531, 16.0531) * CHOOSE(CONTROL!$C$21, $C$9, 100%, $E$9)</f>
        <v>16.053100000000001</v>
      </c>
      <c r="P383" s="14">
        <f>CHOOSE(CONTROL!$C$42, 16.0423, 16.0423) * CHOOSE(CONTROL!$C$21, $C$9, 100%, $E$9)</f>
        <v>16.042300000000001</v>
      </c>
      <c r="Q383" s="14">
        <f>CHOOSE(CONTROL!$C$42, 16.6478, 16.6478) * CHOOSE(CONTROL!$C$21, $C$9, 100%, $E$9)</f>
        <v>16.6478</v>
      </c>
      <c r="R383" s="14">
        <f>CHOOSE(CONTROL!$C$42, 17.2764, 17.2764) * CHOOSE(CONTROL!$C$21, $C$9, 100%, $E$9)</f>
        <v>17.276399999999999</v>
      </c>
      <c r="S383" s="14">
        <f>CHOOSE(CONTROL!$C$42, 15.6384, 15.6384) * CHOOSE(CONTROL!$C$21, $C$9, 100%, $E$9)</f>
        <v>15.638400000000001</v>
      </c>
      <c r="T38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56">
        <f>(1000*CHOOSE(CONTROL!$C$42, 695, 695)*CHOOSE(CONTROL!$C$42, 0.5599, 0.5599)*CHOOSE(CONTROL!$C$42, 30, 30))/1000000</f>
        <v>11.673914999999997</v>
      </c>
      <c r="V383" s="56">
        <f>(1000*CHOOSE(CONTROL!$C$42, 500, 500)*CHOOSE(CONTROL!$C$42, 0.275, 0.275)*CHOOSE(CONTROL!$C$42, 30, 30))/1000000</f>
        <v>4.125</v>
      </c>
      <c r="W383" s="56">
        <f>(1000*CHOOSE(CONTROL!$C$42, 0.1146, 0.1146)*CHOOSE(CONTROL!$C$42, 121.5, 121.5)*CHOOSE(CONTROL!$C$42, 30, 30))/1000000</f>
        <v>0.417717</v>
      </c>
      <c r="X383" s="56">
        <f>(30*0.1790888*100000/1000000)+(30*0.2374*100000/1000000)</f>
        <v>1.2494664</v>
      </c>
      <c r="Y383" s="56"/>
      <c r="Z383" s="14"/>
      <c r="AA383" s="55"/>
      <c r="AB383" s="49">
        <f>(B383*122.58+C383*297.941+D383*89.177+E383*40.302+F383*40+G383*160+H383*0+I383*100+J383*300)/(122.58+297.941+89.177+40.302+0+40+160+100+300)</f>
        <v>16.318132340173914</v>
      </c>
      <c r="AC383" s="44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16.02537050359712</v>
      </c>
    </row>
    <row r="384" spans="1:29" ht="15.75" x14ac:dyDescent="0.25">
      <c r="A384" s="32">
        <v>52596</v>
      </c>
      <c r="B384" s="14">
        <f>CHOOSE(CONTROL!$C$42, 17.3932, 17.3932) * CHOOSE(CONTROL!$C$21, $C$9, 100%, $E$9)</f>
        <v>17.3932</v>
      </c>
      <c r="C384" s="14">
        <f>CHOOSE(CONTROL!$C$42, 17.3983, 17.3983) * CHOOSE(CONTROL!$C$21, $C$9, 100%, $E$9)</f>
        <v>17.398299999999999</v>
      </c>
      <c r="D384" s="14">
        <f>CHOOSE(CONTROL!$C$42, 17.4673, 17.4673) * CHOOSE(CONTROL!$C$21, $C$9, 100%, $E$9)</f>
        <v>17.467300000000002</v>
      </c>
      <c r="E384" s="14">
        <f>CHOOSE(CONTROL!$C$42, 17.5014, 17.5014) * CHOOSE(CONTROL!$C$21, $C$9, 100%, $E$9)</f>
        <v>17.5014</v>
      </c>
      <c r="F384" s="14">
        <f>CHOOSE(CONTROL!$C$42, 17.431, 17.431)*CHOOSE(CONTROL!$C$21, $C$9, 100%, $E$9)</f>
        <v>17.431000000000001</v>
      </c>
      <c r="G384" s="14">
        <f>CHOOSE(CONTROL!$C$42, 17.449, 17.449)*CHOOSE(CONTROL!$C$21, $C$9, 100%, $E$9)</f>
        <v>17.449000000000002</v>
      </c>
      <c r="H384" s="14">
        <f>CHOOSE(CONTROL!$C$42, 17.4906, 17.4906) * CHOOSE(CONTROL!$C$21, $C$9, 100%, $E$9)</f>
        <v>17.490600000000001</v>
      </c>
      <c r="I384" s="14">
        <f>CHOOSE(CONTROL!$C$42, 17.484, 17.484)* CHOOSE(CONTROL!$C$21, $C$9, 100%, $E$9)</f>
        <v>17.484000000000002</v>
      </c>
      <c r="J384" s="14">
        <f>CHOOSE(CONTROL!$C$42, 17.424, 17.424)* CHOOSE(CONTROL!$C$21, $C$9, 100%, $E$9)</f>
        <v>17.423999999999999</v>
      </c>
      <c r="K384" s="52">
        <f>CHOOSE(CONTROL!$C$42, 17.4801, 17.4801) * CHOOSE(CONTROL!$C$21, $C$9, 100%, $E$9)</f>
        <v>17.4801</v>
      </c>
      <c r="L384" s="14">
        <f>CHOOSE(CONTROL!$C$42, 18.0776, 18.0776) * CHOOSE(CONTROL!$C$21, $C$9, 100%, $E$9)</f>
        <v>18.0776</v>
      </c>
      <c r="M384" s="14">
        <f>CHOOSE(CONTROL!$C$42, 17.0747, 17.0747) * CHOOSE(CONTROL!$C$21, $C$9, 100%, $E$9)</f>
        <v>17.0747</v>
      </c>
      <c r="N384" s="14">
        <f>CHOOSE(CONTROL!$C$42, 17.0923, 17.0923) * CHOOSE(CONTROL!$C$21, $C$9, 100%, $E$9)</f>
        <v>17.092300000000002</v>
      </c>
      <c r="O384" s="14">
        <f>CHOOSE(CONTROL!$C$42, 17.1399, 17.1399) * CHOOSE(CONTROL!$C$21, $C$9, 100%, $E$9)</f>
        <v>17.139900000000001</v>
      </c>
      <c r="P384" s="14">
        <f>CHOOSE(CONTROL!$C$42, 17.1324, 17.1324) * CHOOSE(CONTROL!$C$21, $C$9, 100%, $E$9)</f>
        <v>17.132400000000001</v>
      </c>
      <c r="Q384" s="14">
        <f>CHOOSE(CONTROL!$C$42, 17.7346, 17.7346) * CHOOSE(CONTROL!$C$21, $C$9, 100%, $E$9)</f>
        <v>17.7346</v>
      </c>
      <c r="R384" s="14">
        <f>CHOOSE(CONTROL!$C$42, 18.3659, 18.3659) * CHOOSE(CONTROL!$C$21, $C$9, 100%, $E$9)</f>
        <v>18.3659</v>
      </c>
      <c r="S384" s="14">
        <f>CHOOSE(CONTROL!$C$42, 16.7046, 16.7046) * CHOOSE(CONTROL!$C$21, $C$9, 100%, $E$9)</f>
        <v>16.704599999999999</v>
      </c>
      <c r="T38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56">
        <f>(1000*CHOOSE(CONTROL!$C$42, 695, 695)*CHOOSE(CONTROL!$C$42, 0.5599, 0.5599)*CHOOSE(CONTROL!$C$42, 31, 31))/1000000</f>
        <v>12.063045499999998</v>
      </c>
      <c r="V384" s="56">
        <f>(1000*CHOOSE(CONTROL!$C$42, 500, 500)*CHOOSE(CONTROL!$C$42, 0.275, 0.275)*CHOOSE(CONTROL!$C$42, 31, 31))/1000000</f>
        <v>4.2625000000000002</v>
      </c>
      <c r="W384" s="56">
        <f>(1000*CHOOSE(CONTROL!$C$42, 0.1146, 0.1146)*CHOOSE(CONTROL!$C$42, 121.5, 121.5)*CHOOSE(CONTROL!$C$42, 31, 31))/1000000</f>
        <v>0.43164089999999994</v>
      </c>
      <c r="X384" s="56">
        <f>(31*0.1790888*100000/1000000)+(31*0.2374*100000/1000000)</f>
        <v>1.2911152800000001</v>
      </c>
      <c r="Y384" s="56"/>
      <c r="Z384" s="14"/>
      <c r="AA384" s="55"/>
      <c r="AB384" s="49">
        <f>(B384*122.58+C384*297.941+D384*89.177+E384*40.302+F384*40+G384*160+H384*0+I384*100+J384*300)/(122.58+297.941+89.177+40.302+0+40+160+100+300)</f>
        <v>17.429067992347825</v>
      </c>
      <c r="AC384" s="44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17.11356618705036</v>
      </c>
    </row>
    <row r="385" spans="1:29" ht="15.75" x14ac:dyDescent="0.25">
      <c r="A385" s="32">
        <v>52627</v>
      </c>
      <c r="B385" s="14">
        <f>CHOOSE(CONTROL!$C$42, 18.8343, 18.8343) * CHOOSE(CONTROL!$C$21, $C$9, 100%, $E$9)</f>
        <v>18.834299999999999</v>
      </c>
      <c r="C385" s="14">
        <f>CHOOSE(CONTROL!$C$42, 18.8394, 18.8394) * CHOOSE(CONTROL!$C$21, $C$9, 100%, $E$9)</f>
        <v>18.839400000000001</v>
      </c>
      <c r="D385" s="14">
        <f>CHOOSE(CONTROL!$C$42, 18.9188, 18.9188) * CHOOSE(CONTROL!$C$21, $C$9, 100%, $E$9)</f>
        <v>18.918800000000001</v>
      </c>
      <c r="E385" s="14">
        <f>CHOOSE(CONTROL!$C$42, 18.9529, 18.9529) * CHOOSE(CONTROL!$C$21, $C$9, 100%, $E$9)</f>
        <v>18.9529</v>
      </c>
      <c r="F385" s="14">
        <f>CHOOSE(CONTROL!$C$42, 18.8573, 18.8573)*CHOOSE(CONTROL!$C$21, $C$9, 100%, $E$9)</f>
        <v>18.857299999999999</v>
      </c>
      <c r="G385" s="14">
        <f>CHOOSE(CONTROL!$C$42, 18.8748, 18.8748)*CHOOSE(CONTROL!$C$21, $C$9, 100%, $E$9)</f>
        <v>18.8748</v>
      </c>
      <c r="H385" s="14">
        <f>CHOOSE(CONTROL!$C$42, 18.9421, 18.9421) * CHOOSE(CONTROL!$C$21, $C$9, 100%, $E$9)</f>
        <v>18.9421</v>
      </c>
      <c r="I385" s="14">
        <f>CHOOSE(CONTROL!$C$42, 18.9286, 18.9286)* CHOOSE(CONTROL!$C$21, $C$9, 100%, $E$9)</f>
        <v>18.928599999999999</v>
      </c>
      <c r="J385" s="14">
        <f>CHOOSE(CONTROL!$C$42, 18.8503, 18.8503)* CHOOSE(CONTROL!$C$21, $C$9, 100%, $E$9)</f>
        <v>18.850300000000001</v>
      </c>
      <c r="K385" s="52">
        <f>CHOOSE(CONTROL!$C$42, 18.9247, 18.9247) * CHOOSE(CONTROL!$C$21, $C$9, 100%, $E$9)</f>
        <v>18.924700000000001</v>
      </c>
      <c r="L385" s="14">
        <f>CHOOSE(CONTROL!$C$42, 19.5291, 19.5291) * CHOOSE(CONTROL!$C$21, $C$9, 100%, $E$9)</f>
        <v>19.5291</v>
      </c>
      <c r="M385" s="14">
        <f>CHOOSE(CONTROL!$C$42, 18.4718, 18.4718) * CHOOSE(CONTROL!$C$21, $C$9, 100%, $E$9)</f>
        <v>18.471800000000002</v>
      </c>
      <c r="N385" s="14">
        <f>CHOOSE(CONTROL!$C$42, 18.489, 18.489) * CHOOSE(CONTROL!$C$21, $C$9, 100%, $E$9)</f>
        <v>18.489000000000001</v>
      </c>
      <c r="O385" s="14">
        <f>CHOOSE(CONTROL!$C$42, 18.5617, 18.5617) * CHOOSE(CONTROL!$C$21, $C$9, 100%, $E$9)</f>
        <v>18.561699999999998</v>
      </c>
      <c r="P385" s="14">
        <f>CHOOSE(CONTROL!$C$42, 18.5473, 18.5473) * CHOOSE(CONTROL!$C$21, $C$9, 100%, $E$9)</f>
        <v>18.5473</v>
      </c>
      <c r="Q385" s="14">
        <f>CHOOSE(CONTROL!$C$42, 19.1564, 19.1564) * CHOOSE(CONTROL!$C$21, $C$9, 100%, $E$9)</f>
        <v>19.156400000000001</v>
      </c>
      <c r="R385" s="14">
        <f>CHOOSE(CONTROL!$C$42, 19.7913, 19.7913) * CHOOSE(CONTROL!$C$21, $C$9, 100%, $E$9)</f>
        <v>19.7913</v>
      </c>
      <c r="S385" s="14">
        <f>CHOOSE(CONTROL!$C$42, 18.0893, 18.0893) * CHOOSE(CONTROL!$C$21, $C$9, 100%, $E$9)</f>
        <v>18.089300000000001</v>
      </c>
      <c r="T38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56">
        <f>(1000*CHOOSE(CONTROL!$C$42, 695, 695)*CHOOSE(CONTROL!$C$42, 0.5599, 0.5599)*CHOOSE(CONTROL!$C$42, 31, 31))/1000000</f>
        <v>12.063045499999998</v>
      </c>
      <c r="V385" s="56">
        <f>(1000*CHOOSE(CONTROL!$C$42, 500, 500)*CHOOSE(CONTROL!$C$42, 0.275, 0.275)*CHOOSE(CONTROL!$C$42, 31, 31))/1000000</f>
        <v>4.2625000000000002</v>
      </c>
      <c r="W385" s="56">
        <f>(1000*CHOOSE(CONTROL!$C$42, 0.1146, 0.1146)*CHOOSE(CONTROL!$C$42, 121.5, 121.5)*CHOOSE(CONTROL!$C$42, 31, 31))/1000000</f>
        <v>0.43164089999999994</v>
      </c>
      <c r="X385" s="56">
        <f>(31*0.1790888*100000/1000000)+(31*0.2374*100000/1000000)</f>
        <v>1.2911152800000001</v>
      </c>
      <c r="Y385" s="56"/>
      <c r="Z385" s="14"/>
      <c r="AA385" s="55"/>
      <c r="AB385" s="49">
        <f>(B385*122.58+C385*297.941+D385*89.177+E385*40.302+F385*40+G385*160+H385*0+I385*100+J385*300)/(122.58+297.941+89.177+40.302+0+40+160+100+300)</f>
        <v>18.865138932869563</v>
      </c>
      <c r="AC385" s="44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18.52439928057554</v>
      </c>
    </row>
    <row r="386" spans="1:29" ht="15.75" x14ac:dyDescent="0.25">
      <c r="A386" s="32">
        <v>52655</v>
      </c>
      <c r="B386" s="14">
        <f>CHOOSE(CONTROL!$C$42, 19.1694, 19.1694) * CHOOSE(CONTROL!$C$21, $C$9, 100%, $E$9)</f>
        <v>19.1694</v>
      </c>
      <c r="C386" s="14">
        <f>CHOOSE(CONTROL!$C$42, 19.1745, 19.1745) * CHOOSE(CONTROL!$C$21, $C$9, 100%, $E$9)</f>
        <v>19.174499999999998</v>
      </c>
      <c r="D386" s="14">
        <f>CHOOSE(CONTROL!$C$42, 19.2539, 19.2539) * CHOOSE(CONTROL!$C$21, $C$9, 100%, $E$9)</f>
        <v>19.253900000000002</v>
      </c>
      <c r="E386" s="14">
        <f>CHOOSE(CONTROL!$C$42, 19.288, 19.288) * CHOOSE(CONTROL!$C$21, $C$9, 100%, $E$9)</f>
        <v>19.288</v>
      </c>
      <c r="F386" s="14">
        <f>CHOOSE(CONTROL!$C$42, 19.1922, 19.1922)*CHOOSE(CONTROL!$C$21, $C$9, 100%, $E$9)</f>
        <v>19.1922</v>
      </c>
      <c r="G386" s="14">
        <f>CHOOSE(CONTROL!$C$42, 19.2097, 19.2097)*CHOOSE(CONTROL!$C$21, $C$9, 100%, $E$9)</f>
        <v>19.209700000000002</v>
      </c>
      <c r="H386" s="14">
        <f>CHOOSE(CONTROL!$C$42, 19.2772, 19.2772) * CHOOSE(CONTROL!$C$21, $C$9, 100%, $E$9)</f>
        <v>19.277200000000001</v>
      </c>
      <c r="I386" s="14">
        <f>CHOOSE(CONTROL!$C$42, 19.2647, 19.2647)* CHOOSE(CONTROL!$C$21, $C$9, 100%, $E$9)</f>
        <v>19.264700000000001</v>
      </c>
      <c r="J386" s="14">
        <f>CHOOSE(CONTROL!$C$42, 19.1852, 19.1852)* CHOOSE(CONTROL!$C$21, $C$9, 100%, $E$9)</f>
        <v>19.185199999999998</v>
      </c>
      <c r="K386" s="52">
        <f>CHOOSE(CONTROL!$C$42, 19.2608, 19.2608) * CHOOSE(CONTROL!$C$21, $C$9, 100%, $E$9)</f>
        <v>19.2608</v>
      </c>
      <c r="L386" s="14">
        <f>CHOOSE(CONTROL!$C$42, 19.8642, 19.8642) * CHOOSE(CONTROL!$C$21, $C$9, 100%, $E$9)</f>
        <v>19.8642</v>
      </c>
      <c r="M386" s="14">
        <f>CHOOSE(CONTROL!$C$42, 18.7998, 18.7998) * CHOOSE(CONTROL!$C$21, $C$9, 100%, $E$9)</f>
        <v>18.799800000000001</v>
      </c>
      <c r="N386" s="14">
        <f>CHOOSE(CONTROL!$C$42, 18.8169, 18.8169) * CHOOSE(CONTROL!$C$21, $C$9, 100%, $E$9)</f>
        <v>18.8169</v>
      </c>
      <c r="O386" s="14">
        <f>CHOOSE(CONTROL!$C$42, 18.8899, 18.8899) * CHOOSE(CONTROL!$C$21, $C$9, 100%, $E$9)</f>
        <v>18.889900000000001</v>
      </c>
      <c r="P386" s="14">
        <f>CHOOSE(CONTROL!$C$42, 18.8766, 18.8766) * CHOOSE(CONTROL!$C$21, $C$9, 100%, $E$9)</f>
        <v>18.8766</v>
      </c>
      <c r="Q386" s="14">
        <f>CHOOSE(CONTROL!$C$42, 19.4846, 19.4846) * CHOOSE(CONTROL!$C$21, $C$9, 100%, $E$9)</f>
        <v>19.4846</v>
      </c>
      <c r="R386" s="14">
        <f>CHOOSE(CONTROL!$C$42, 20.1203, 20.1203) * CHOOSE(CONTROL!$C$21, $C$9, 100%, $E$9)</f>
        <v>20.1203</v>
      </c>
      <c r="S386" s="14">
        <f>CHOOSE(CONTROL!$C$42, 18.4113, 18.4113) * CHOOSE(CONTROL!$C$21, $C$9, 100%, $E$9)</f>
        <v>18.411300000000001</v>
      </c>
      <c r="T386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6" s="56">
        <f>(1000*CHOOSE(CONTROL!$C$42, 695, 695)*CHOOSE(CONTROL!$C$42, 0.5599, 0.5599)*CHOOSE(CONTROL!$C$42, 29, 29))/1000000</f>
        <v>11.284784499999999</v>
      </c>
      <c r="V386" s="56">
        <f>(1000*CHOOSE(CONTROL!$C$42, 500, 500)*CHOOSE(CONTROL!$C$42, 0.275, 0.275)*CHOOSE(CONTROL!$C$42, 29, 29))/1000000</f>
        <v>3.9874999999999998</v>
      </c>
      <c r="W386" s="56">
        <f>(1000*CHOOSE(CONTROL!$C$42, 0.1146, 0.1146)*CHOOSE(CONTROL!$C$42, 121.5, 121.5)*CHOOSE(CONTROL!$C$42, 29, 29))/1000000</f>
        <v>0.40379309999999996</v>
      </c>
      <c r="X386" s="56">
        <f>(29*0.1790888*100000/1000000)+(29*0.2374*100000/1000000)</f>
        <v>1.2078175199999999</v>
      </c>
      <c r="Y386" s="56"/>
      <c r="Z386" s="14"/>
      <c r="AA386" s="55"/>
      <c r="AB386" s="49">
        <f>(B386*122.58+C386*297.941+D386*89.177+E386*40.302+F386*40+G386*160+H386*0+I386*100+J386*300)/(122.58+297.941+89.177+40.302+0+40+160+100+300)</f>
        <v>19.20023893286956</v>
      </c>
      <c r="AC386" s="44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18.852671223021584</v>
      </c>
    </row>
    <row r="387" spans="1:29" ht="15.75" x14ac:dyDescent="0.25">
      <c r="A387" s="32">
        <v>52687</v>
      </c>
      <c r="B387" s="14">
        <f>CHOOSE(CONTROL!$C$42, 18.6254, 18.6254) * CHOOSE(CONTROL!$C$21, $C$9, 100%, $E$9)</f>
        <v>18.625399999999999</v>
      </c>
      <c r="C387" s="14">
        <f>CHOOSE(CONTROL!$C$42, 18.6305, 18.6305) * CHOOSE(CONTROL!$C$21, $C$9, 100%, $E$9)</f>
        <v>18.630500000000001</v>
      </c>
      <c r="D387" s="14">
        <f>CHOOSE(CONTROL!$C$42, 18.7099, 18.7099) * CHOOSE(CONTROL!$C$21, $C$9, 100%, $E$9)</f>
        <v>18.709900000000001</v>
      </c>
      <c r="E387" s="14">
        <f>CHOOSE(CONTROL!$C$42, 18.744, 18.744) * CHOOSE(CONTROL!$C$21, $C$9, 100%, $E$9)</f>
        <v>18.744</v>
      </c>
      <c r="F387" s="14">
        <f>CHOOSE(CONTROL!$C$42, 18.6475, 18.6475)*CHOOSE(CONTROL!$C$21, $C$9, 100%, $E$9)</f>
        <v>18.647500000000001</v>
      </c>
      <c r="G387" s="14">
        <f>CHOOSE(CONTROL!$C$42, 18.6648, 18.6648)*CHOOSE(CONTROL!$C$21, $C$9, 100%, $E$9)</f>
        <v>18.6648</v>
      </c>
      <c r="H387" s="14">
        <f>CHOOSE(CONTROL!$C$42, 18.7332, 18.7332) * CHOOSE(CONTROL!$C$21, $C$9, 100%, $E$9)</f>
        <v>18.7332</v>
      </c>
      <c r="I387" s="14">
        <f>CHOOSE(CONTROL!$C$42, 18.7191, 18.7191)* CHOOSE(CONTROL!$C$21, $C$9, 100%, $E$9)</f>
        <v>18.719100000000001</v>
      </c>
      <c r="J387" s="14">
        <f>CHOOSE(CONTROL!$C$42, 18.6405, 18.6405)* CHOOSE(CONTROL!$C$21, $C$9, 100%, $E$9)</f>
        <v>18.640499999999999</v>
      </c>
      <c r="K387" s="52">
        <f>CHOOSE(CONTROL!$C$42, 18.7152, 18.7152) * CHOOSE(CONTROL!$C$21, $C$9, 100%, $E$9)</f>
        <v>18.715199999999999</v>
      </c>
      <c r="L387" s="14">
        <f>CHOOSE(CONTROL!$C$42, 19.3202, 19.3202) * CHOOSE(CONTROL!$C$21, $C$9, 100%, $E$9)</f>
        <v>19.3202</v>
      </c>
      <c r="M387" s="14">
        <f>CHOOSE(CONTROL!$C$42, 18.2663, 18.2663) * CHOOSE(CONTROL!$C$21, $C$9, 100%, $E$9)</f>
        <v>18.266300000000001</v>
      </c>
      <c r="N387" s="14">
        <f>CHOOSE(CONTROL!$C$42, 18.2832, 18.2832) * CHOOSE(CONTROL!$C$21, $C$9, 100%, $E$9)</f>
        <v>18.283200000000001</v>
      </c>
      <c r="O387" s="14">
        <f>CHOOSE(CONTROL!$C$42, 18.3571, 18.3571) * CHOOSE(CONTROL!$C$21, $C$9, 100%, $E$9)</f>
        <v>18.357099999999999</v>
      </c>
      <c r="P387" s="14">
        <f>CHOOSE(CONTROL!$C$42, 18.3421, 18.3421) * CHOOSE(CONTROL!$C$21, $C$9, 100%, $E$9)</f>
        <v>18.342099999999999</v>
      </c>
      <c r="Q387" s="14">
        <f>CHOOSE(CONTROL!$C$42, 18.9518, 18.9518) * CHOOSE(CONTROL!$C$21, $C$9, 100%, $E$9)</f>
        <v>18.951799999999999</v>
      </c>
      <c r="R387" s="14">
        <f>CHOOSE(CONTROL!$C$42, 19.5862, 19.5862) * CHOOSE(CONTROL!$C$21, $C$9, 100%, $E$9)</f>
        <v>19.586200000000002</v>
      </c>
      <c r="S387" s="14">
        <f>CHOOSE(CONTROL!$C$42, 17.8887, 17.8887) * CHOOSE(CONTROL!$C$21, $C$9, 100%, $E$9)</f>
        <v>17.8887</v>
      </c>
      <c r="T38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56">
        <f>(1000*CHOOSE(CONTROL!$C$42, 695, 695)*CHOOSE(CONTROL!$C$42, 0.5599, 0.5599)*CHOOSE(CONTROL!$C$42, 31, 31))/1000000</f>
        <v>12.063045499999998</v>
      </c>
      <c r="V387" s="56">
        <f>(1000*CHOOSE(CONTROL!$C$42, 500, 500)*CHOOSE(CONTROL!$C$42, 0.275, 0.275)*CHOOSE(CONTROL!$C$42, 31, 31))/1000000</f>
        <v>4.2625000000000002</v>
      </c>
      <c r="W387" s="56">
        <f>(1000*CHOOSE(CONTROL!$C$42, 0.1146, 0.1146)*CHOOSE(CONTROL!$C$42, 121.5, 121.5)*CHOOSE(CONTROL!$C$42, 31, 31))/1000000</f>
        <v>0.43164089999999994</v>
      </c>
      <c r="X387" s="56">
        <f>(31*0.1790888*100000/1000000)+(31*0.2374*100000/1000000)</f>
        <v>1.2911152800000001</v>
      </c>
      <c r="Y387" s="56"/>
      <c r="Z387" s="14"/>
      <c r="AA387" s="55"/>
      <c r="AB387" s="49">
        <f>(B387*122.58+C387*297.941+D387*89.177+E387*40.302+F387*40+G387*160+H387*0+I387*100+J387*300)/(122.58+297.941+89.177+40.302+0+40+160+100+300)</f>
        <v>18.65576762852174</v>
      </c>
      <c r="AC387" s="44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18.319333093525181</v>
      </c>
    </row>
    <row r="388" spans="1:29" ht="15.75" x14ac:dyDescent="0.25">
      <c r="A388" s="32">
        <v>52717</v>
      </c>
      <c r="B388" s="14">
        <f>CHOOSE(CONTROL!$C$42, 18.5707, 18.5707) * CHOOSE(CONTROL!$C$21, $C$9, 100%, $E$9)</f>
        <v>18.570699999999999</v>
      </c>
      <c r="C388" s="14">
        <f>CHOOSE(CONTROL!$C$42, 18.5752, 18.5752) * CHOOSE(CONTROL!$C$21, $C$9, 100%, $E$9)</f>
        <v>18.575199999999999</v>
      </c>
      <c r="D388" s="14">
        <f>CHOOSE(CONTROL!$C$42, 18.8041, 18.8041) * CHOOSE(CONTROL!$C$21, $C$9, 100%, $E$9)</f>
        <v>18.804099999999998</v>
      </c>
      <c r="E388" s="14">
        <f>CHOOSE(CONTROL!$C$42, 18.8362, 18.8362) * CHOOSE(CONTROL!$C$21, $C$9, 100%, $E$9)</f>
        <v>18.836200000000002</v>
      </c>
      <c r="F388" s="14">
        <f>CHOOSE(CONTROL!$C$42, 18.5977, 18.5977)*CHOOSE(CONTROL!$C$21, $C$9, 100%, $E$9)</f>
        <v>18.5977</v>
      </c>
      <c r="G388" s="14">
        <f>CHOOSE(CONTROL!$C$42, 18.6144, 18.6144)*CHOOSE(CONTROL!$C$21, $C$9, 100%, $E$9)</f>
        <v>18.6144</v>
      </c>
      <c r="H388" s="14">
        <f>CHOOSE(CONTROL!$C$42, 18.826, 18.826) * CHOOSE(CONTROL!$C$21, $C$9, 100%, $E$9)</f>
        <v>18.826000000000001</v>
      </c>
      <c r="I388" s="14">
        <f>CHOOSE(CONTROL!$C$42, 18.6618, 18.6618)* CHOOSE(CONTROL!$C$21, $C$9, 100%, $E$9)</f>
        <v>18.661799999999999</v>
      </c>
      <c r="J388" s="14">
        <f>CHOOSE(CONTROL!$C$42, 18.5907, 18.5907)* CHOOSE(CONTROL!$C$21, $C$9, 100%, $E$9)</f>
        <v>18.590699999999998</v>
      </c>
      <c r="K388" s="52">
        <f>CHOOSE(CONTROL!$C$42, 18.6579, 18.6579) * CHOOSE(CONTROL!$C$21, $C$9, 100%, $E$9)</f>
        <v>18.657900000000001</v>
      </c>
      <c r="L388" s="14">
        <f>CHOOSE(CONTROL!$C$42, 19.413, 19.413) * CHOOSE(CONTROL!$C$21, $C$9, 100%, $E$9)</f>
        <v>19.413</v>
      </c>
      <c r="M388" s="14">
        <f>CHOOSE(CONTROL!$C$42, 18.2175, 18.2175) * CHOOSE(CONTROL!$C$21, $C$9, 100%, $E$9)</f>
        <v>18.217500000000001</v>
      </c>
      <c r="N388" s="14">
        <f>CHOOSE(CONTROL!$C$42, 18.2339, 18.2339) * CHOOSE(CONTROL!$C$21, $C$9, 100%, $E$9)</f>
        <v>18.233899999999998</v>
      </c>
      <c r="O388" s="14">
        <f>CHOOSE(CONTROL!$C$42, 18.448, 18.448) * CHOOSE(CONTROL!$C$21, $C$9, 100%, $E$9)</f>
        <v>18.448</v>
      </c>
      <c r="P388" s="14">
        <f>CHOOSE(CONTROL!$C$42, 18.2861, 18.2861) * CHOOSE(CONTROL!$C$21, $C$9, 100%, $E$9)</f>
        <v>18.286100000000001</v>
      </c>
      <c r="Q388" s="14">
        <f>CHOOSE(CONTROL!$C$42, 19.0427, 19.0427) * CHOOSE(CONTROL!$C$21, $C$9, 100%, $E$9)</f>
        <v>19.0427</v>
      </c>
      <c r="R388" s="14">
        <f>CHOOSE(CONTROL!$C$42, 19.6773, 19.6773) * CHOOSE(CONTROL!$C$21, $C$9, 100%, $E$9)</f>
        <v>19.677299999999999</v>
      </c>
      <c r="S388" s="14">
        <f>CHOOSE(CONTROL!$C$42, 17.8353, 17.8353) * CHOOSE(CONTROL!$C$21, $C$9, 100%, $E$9)</f>
        <v>17.8353</v>
      </c>
      <c r="T38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56">
        <f>(1000*CHOOSE(CONTROL!$C$42, 695, 695)*CHOOSE(CONTROL!$C$42, 0.5599, 0.5599)*CHOOSE(CONTROL!$C$42, 30, 30))/1000000</f>
        <v>11.673914999999997</v>
      </c>
      <c r="V388" s="56">
        <f>(1000*CHOOSE(CONTROL!$C$42, 500, 500)*CHOOSE(CONTROL!$C$42, 0.275, 0.275)*CHOOSE(CONTROL!$C$42, 30, 30))/1000000</f>
        <v>4.125</v>
      </c>
      <c r="W388" s="56">
        <f>(1000*CHOOSE(CONTROL!$C$42, 0.1146, 0.1146)*CHOOSE(CONTROL!$C$42, 121.5, 121.5)*CHOOSE(CONTROL!$C$42, 30, 30))/1000000</f>
        <v>0.417717</v>
      </c>
      <c r="X388" s="56">
        <f>(30*0.1790888*245000/1000000)+(30*0.2374*100000/1000000)</f>
        <v>2.0285026799999999</v>
      </c>
      <c r="Y388" s="56"/>
      <c r="Z388" s="14"/>
      <c r="AA388" s="55"/>
      <c r="AB388" s="49">
        <f>(B388*141.293+C388*267.993+D388*115.016+E388*89.698+F388*40+G388*185+H388*0+I388*100+J388*300)/(141.293+267.993+115.016+89.698+0+40+185+100+300)</f>
        <v>18.632152802179174</v>
      </c>
      <c r="AC388" s="44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18.295818705035973</v>
      </c>
    </row>
    <row r="389" spans="1:29" ht="15.75" x14ac:dyDescent="0.25">
      <c r="A389" s="32">
        <v>52748</v>
      </c>
      <c r="B389" s="14">
        <f>CHOOSE(CONTROL!$C$42, 18.7359, 18.7359) * CHOOSE(CONTROL!$C$21, $C$9, 100%, $E$9)</f>
        <v>18.735900000000001</v>
      </c>
      <c r="C389" s="14">
        <f>CHOOSE(CONTROL!$C$42, 18.744, 18.744) * CHOOSE(CONTROL!$C$21, $C$9, 100%, $E$9)</f>
        <v>18.744</v>
      </c>
      <c r="D389" s="14">
        <f>CHOOSE(CONTROL!$C$42, 18.9697, 18.9697) * CHOOSE(CONTROL!$C$21, $C$9, 100%, $E$9)</f>
        <v>18.9697</v>
      </c>
      <c r="E389" s="14">
        <f>CHOOSE(CONTROL!$C$42, 19.0012, 19.0012) * CHOOSE(CONTROL!$C$21, $C$9, 100%, $E$9)</f>
        <v>19.001200000000001</v>
      </c>
      <c r="F389" s="14">
        <f>CHOOSE(CONTROL!$C$42, 18.7616, 18.7616)*CHOOSE(CONTROL!$C$21, $C$9, 100%, $E$9)</f>
        <v>18.761600000000001</v>
      </c>
      <c r="G389" s="14">
        <f>CHOOSE(CONTROL!$C$42, 18.7786, 18.7786)*CHOOSE(CONTROL!$C$21, $C$9, 100%, $E$9)</f>
        <v>18.778600000000001</v>
      </c>
      <c r="H389" s="14">
        <f>CHOOSE(CONTROL!$C$42, 18.9898, 18.9898) * CHOOSE(CONTROL!$C$21, $C$9, 100%, $E$9)</f>
        <v>18.989799999999999</v>
      </c>
      <c r="I389" s="14">
        <f>CHOOSE(CONTROL!$C$42, 18.8261, 18.8261)* CHOOSE(CONTROL!$C$21, $C$9, 100%, $E$9)</f>
        <v>18.8261</v>
      </c>
      <c r="J389" s="14">
        <f>CHOOSE(CONTROL!$C$42, 18.7546, 18.7546)* CHOOSE(CONTROL!$C$21, $C$9, 100%, $E$9)</f>
        <v>18.7546</v>
      </c>
      <c r="K389" s="52">
        <f>CHOOSE(CONTROL!$C$42, 18.8223, 18.8223) * CHOOSE(CONTROL!$C$21, $C$9, 100%, $E$9)</f>
        <v>18.822299999999998</v>
      </c>
      <c r="L389" s="14">
        <f>CHOOSE(CONTROL!$C$42, 19.5768, 19.5768) * CHOOSE(CONTROL!$C$21, $C$9, 100%, $E$9)</f>
        <v>19.576799999999999</v>
      </c>
      <c r="M389" s="14">
        <f>CHOOSE(CONTROL!$C$42, 18.378, 18.378) * CHOOSE(CONTROL!$C$21, $C$9, 100%, $E$9)</f>
        <v>18.378</v>
      </c>
      <c r="N389" s="14">
        <f>CHOOSE(CONTROL!$C$42, 18.3946, 18.3946) * CHOOSE(CONTROL!$C$21, $C$9, 100%, $E$9)</f>
        <v>18.394600000000001</v>
      </c>
      <c r="O389" s="14">
        <f>CHOOSE(CONTROL!$C$42, 18.6084, 18.6084) * CHOOSE(CONTROL!$C$21, $C$9, 100%, $E$9)</f>
        <v>18.6084</v>
      </c>
      <c r="P389" s="14">
        <f>CHOOSE(CONTROL!$C$42, 18.447, 18.447) * CHOOSE(CONTROL!$C$21, $C$9, 100%, $E$9)</f>
        <v>18.446999999999999</v>
      </c>
      <c r="Q389" s="14">
        <f>CHOOSE(CONTROL!$C$42, 19.2031, 19.2031) * CHOOSE(CONTROL!$C$21, $C$9, 100%, $E$9)</f>
        <v>19.203099999999999</v>
      </c>
      <c r="R389" s="14">
        <f>CHOOSE(CONTROL!$C$42, 19.8382, 19.8382) * CHOOSE(CONTROL!$C$21, $C$9, 100%, $E$9)</f>
        <v>19.838200000000001</v>
      </c>
      <c r="S389" s="14">
        <f>CHOOSE(CONTROL!$C$42, 17.9927, 17.9927) * CHOOSE(CONTROL!$C$21, $C$9, 100%, $E$9)</f>
        <v>17.992699999999999</v>
      </c>
      <c r="T38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56">
        <f>(1000*CHOOSE(CONTROL!$C$42, 695, 695)*CHOOSE(CONTROL!$C$42, 0.5599, 0.5599)*CHOOSE(CONTROL!$C$42, 31, 31))/1000000</f>
        <v>12.063045499999998</v>
      </c>
      <c r="V389" s="56">
        <f>(1000*CHOOSE(CONTROL!$C$42, 500, 500)*CHOOSE(CONTROL!$C$42, 0.275, 0.275)*CHOOSE(CONTROL!$C$42, 31, 31))/1000000</f>
        <v>4.2625000000000002</v>
      </c>
      <c r="W389" s="56">
        <f>(1000*CHOOSE(CONTROL!$C$42, 0.1146, 0.1146)*CHOOSE(CONTROL!$C$42, 121.5, 121.5)*CHOOSE(CONTROL!$C$42, 31, 31))/1000000</f>
        <v>0.43164089999999994</v>
      </c>
      <c r="X389" s="56">
        <f>(31*0.1790888*245000/1000000)+(31*0.2374*100000/1000000)</f>
        <v>2.0961194359999999</v>
      </c>
      <c r="Y389" s="56"/>
      <c r="Z389" s="14"/>
      <c r="AA389" s="55"/>
      <c r="AB389" s="49">
        <f>(B389*194.205+C389*267.466+D389*133.845+E389*53.484+F389*40+G389*185+H389*0+I389*100+J389*300)/(194.205+267.466+133.845+53.484+0+40+185+100+300)</f>
        <v>18.791791868759812</v>
      </c>
      <c r="AC389" s="44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18.456394244604315</v>
      </c>
    </row>
    <row r="390" spans="1:29" ht="15.75" x14ac:dyDescent="0.25">
      <c r="A390" s="32">
        <v>52778</v>
      </c>
      <c r="B390" s="14">
        <f>CHOOSE(CONTROL!$C$42, 19.2671, 19.2671) * CHOOSE(CONTROL!$C$21, $C$9, 100%, $E$9)</f>
        <v>19.267099999999999</v>
      </c>
      <c r="C390" s="14">
        <f>CHOOSE(CONTROL!$C$42, 19.2751, 19.2751) * CHOOSE(CONTROL!$C$21, $C$9, 100%, $E$9)</f>
        <v>19.275099999999998</v>
      </c>
      <c r="D390" s="14">
        <f>CHOOSE(CONTROL!$C$42, 19.5009, 19.5009) * CHOOSE(CONTROL!$C$21, $C$9, 100%, $E$9)</f>
        <v>19.500900000000001</v>
      </c>
      <c r="E390" s="14">
        <f>CHOOSE(CONTROL!$C$42, 19.5323, 19.5323) * CHOOSE(CONTROL!$C$21, $C$9, 100%, $E$9)</f>
        <v>19.532299999999999</v>
      </c>
      <c r="F390" s="14">
        <f>CHOOSE(CONTROL!$C$42, 19.2932, 19.2932)*CHOOSE(CONTROL!$C$21, $C$9, 100%, $E$9)</f>
        <v>19.293199999999999</v>
      </c>
      <c r="G390" s="14">
        <f>CHOOSE(CONTROL!$C$42, 19.3102, 19.3102)*CHOOSE(CONTROL!$C$21, $C$9, 100%, $E$9)</f>
        <v>19.310199999999998</v>
      </c>
      <c r="H390" s="14">
        <f>CHOOSE(CONTROL!$C$42, 19.521, 19.521) * CHOOSE(CONTROL!$C$21, $C$9, 100%, $E$9)</f>
        <v>19.521000000000001</v>
      </c>
      <c r="I390" s="14">
        <f>CHOOSE(CONTROL!$C$42, 19.3589, 19.3589)* CHOOSE(CONTROL!$C$21, $C$9, 100%, $E$9)</f>
        <v>19.358899999999998</v>
      </c>
      <c r="J390" s="14">
        <f>CHOOSE(CONTROL!$C$42, 19.2862, 19.2862)* CHOOSE(CONTROL!$C$21, $C$9, 100%, $E$9)</f>
        <v>19.286200000000001</v>
      </c>
      <c r="K390" s="52">
        <f>CHOOSE(CONTROL!$C$42, 19.3551, 19.3551) * CHOOSE(CONTROL!$C$21, $C$9, 100%, $E$9)</f>
        <v>19.3551</v>
      </c>
      <c r="L390" s="14">
        <f>CHOOSE(CONTROL!$C$42, 20.108, 20.108) * CHOOSE(CONTROL!$C$21, $C$9, 100%, $E$9)</f>
        <v>20.108000000000001</v>
      </c>
      <c r="M390" s="14">
        <f>CHOOSE(CONTROL!$C$42, 18.8987, 18.8987) * CHOOSE(CONTROL!$C$21, $C$9, 100%, $E$9)</f>
        <v>18.898700000000002</v>
      </c>
      <c r="N390" s="14">
        <f>CHOOSE(CONTROL!$C$42, 18.9154, 18.9154) * CHOOSE(CONTROL!$C$21, $C$9, 100%, $E$9)</f>
        <v>18.915400000000002</v>
      </c>
      <c r="O390" s="14">
        <f>CHOOSE(CONTROL!$C$42, 19.1287, 19.1287) * CHOOSE(CONTROL!$C$21, $C$9, 100%, $E$9)</f>
        <v>19.128699999999998</v>
      </c>
      <c r="P390" s="14">
        <f>CHOOSE(CONTROL!$C$42, 18.9688, 18.9688) * CHOOSE(CONTROL!$C$21, $C$9, 100%, $E$9)</f>
        <v>18.968800000000002</v>
      </c>
      <c r="Q390" s="14">
        <f>CHOOSE(CONTROL!$C$42, 19.7234, 19.7234) * CHOOSE(CONTROL!$C$21, $C$9, 100%, $E$9)</f>
        <v>19.723400000000002</v>
      </c>
      <c r="R390" s="14">
        <f>CHOOSE(CONTROL!$C$42, 20.3597, 20.3597) * CHOOSE(CONTROL!$C$21, $C$9, 100%, $E$9)</f>
        <v>20.3597</v>
      </c>
      <c r="S390" s="14">
        <f>CHOOSE(CONTROL!$C$42, 18.5031, 18.5031) * CHOOSE(CONTROL!$C$21, $C$9, 100%, $E$9)</f>
        <v>18.5031</v>
      </c>
      <c r="T39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56">
        <f>(1000*CHOOSE(CONTROL!$C$42, 695, 695)*CHOOSE(CONTROL!$C$42, 0.5599, 0.5599)*CHOOSE(CONTROL!$C$42, 30, 30))/1000000</f>
        <v>11.673914999999997</v>
      </c>
      <c r="V390" s="56">
        <f>(1000*CHOOSE(CONTROL!$C$42, 500, 500)*CHOOSE(CONTROL!$C$42, 0.275, 0.275)*CHOOSE(CONTROL!$C$42, 30, 30))/1000000</f>
        <v>4.125</v>
      </c>
      <c r="W390" s="56">
        <f>(1000*CHOOSE(CONTROL!$C$42, 0.1146, 0.1146)*CHOOSE(CONTROL!$C$42, 121.5, 121.5)*CHOOSE(CONTROL!$C$42, 30, 30))/1000000</f>
        <v>0.417717</v>
      </c>
      <c r="X390" s="56">
        <f>(30*0.1790888*245000/1000000)+(30*0.2374*100000/1000000)</f>
        <v>2.0285026799999999</v>
      </c>
      <c r="Y390" s="56"/>
      <c r="Z390" s="14"/>
      <c r="AA390" s="55"/>
      <c r="AB390" s="49">
        <f>(B390*194.205+C390*267.466+D390*133.845+E390*53.484+F390*40+G390*185+H390*0+I390*100+J390*300)/(194.205+267.466+133.845+53.484+0+40+185+100+300)</f>
        <v>19.32325710031397</v>
      </c>
      <c r="AC390" s="44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18.977163309352516</v>
      </c>
    </row>
    <row r="391" spans="1:29" ht="15.75" x14ac:dyDescent="0.25">
      <c r="A391" s="32">
        <v>52809</v>
      </c>
      <c r="B391" s="14">
        <f>CHOOSE(CONTROL!$C$42, 18.8977, 18.8977) * CHOOSE(CONTROL!$C$21, $C$9, 100%, $E$9)</f>
        <v>18.8977</v>
      </c>
      <c r="C391" s="14">
        <f>CHOOSE(CONTROL!$C$42, 18.9057, 18.9057) * CHOOSE(CONTROL!$C$21, $C$9, 100%, $E$9)</f>
        <v>18.9057</v>
      </c>
      <c r="D391" s="14">
        <f>CHOOSE(CONTROL!$C$42, 19.1315, 19.1315) * CHOOSE(CONTROL!$C$21, $C$9, 100%, $E$9)</f>
        <v>19.131499999999999</v>
      </c>
      <c r="E391" s="14">
        <f>CHOOSE(CONTROL!$C$42, 19.1629, 19.1629) * CHOOSE(CONTROL!$C$21, $C$9, 100%, $E$9)</f>
        <v>19.1629</v>
      </c>
      <c r="F391" s="14">
        <f>CHOOSE(CONTROL!$C$42, 18.9242, 18.9242)*CHOOSE(CONTROL!$C$21, $C$9, 100%, $E$9)</f>
        <v>18.924199999999999</v>
      </c>
      <c r="G391" s="14">
        <f>CHOOSE(CONTROL!$C$42, 18.9414, 18.9414)*CHOOSE(CONTROL!$C$21, $C$9, 100%, $E$9)</f>
        <v>18.941400000000002</v>
      </c>
      <c r="H391" s="14">
        <f>CHOOSE(CONTROL!$C$42, 19.1516, 19.1516) * CHOOSE(CONTROL!$C$21, $C$9, 100%, $E$9)</f>
        <v>19.151599999999998</v>
      </c>
      <c r="I391" s="14">
        <f>CHOOSE(CONTROL!$C$42, 18.9884, 18.9884)* CHOOSE(CONTROL!$C$21, $C$9, 100%, $E$9)</f>
        <v>18.988399999999999</v>
      </c>
      <c r="J391" s="14">
        <f>CHOOSE(CONTROL!$C$42, 18.9172, 18.9172)* CHOOSE(CONTROL!$C$21, $C$9, 100%, $E$9)</f>
        <v>18.917200000000001</v>
      </c>
      <c r="K391" s="52">
        <f>CHOOSE(CONTROL!$C$42, 18.9845, 18.9845) * CHOOSE(CONTROL!$C$21, $C$9, 100%, $E$9)</f>
        <v>18.984500000000001</v>
      </c>
      <c r="L391" s="14">
        <f>CHOOSE(CONTROL!$C$42, 19.7386, 19.7386) * CHOOSE(CONTROL!$C$21, $C$9, 100%, $E$9)</f>
        <v>19.738600000000002</v>
      </c>
      <c r="M391" s="14">
        <f>CHOOSE(CONTROL!$C$42, 18.5373, 18.5373) * CHOOSE(CONTROL!$C$21, $C$9, 100%, $E$9)</f>
        <v>18.537299999999998</v>
      </c>
      <c r="N391" s="14">
        <f>CHOOSE(CONTROL!$C$42, 18.5542, 18.5542) * CHOOSE(CONTROL!$C$21, $C$9, 100%, $E$9)</f>
        <v>18.554200000000002</v>
      </c>
      <c r="O391" s="14">
        <f>CHOOSE(CONTROL!$C$42, 18.7669, 18.7669) * CHOOSE(CONTROL!$C$21, $C$9, 100%, $E$9)</f>
        <v>18.7669</v>
      </c>
      <c r="P391" s="14">
        <f>CHOOSE(CONTROL!$C$42, 18.6059, 18.6059) * CHOOSE(CONTROL!$C$21, $C$9, 100%, $E$9)</f>
        <v>18.605899999999998</v>
      </c>
      <c r="Q391" s="14">
        <f>CHOOSE(CONTROL!$C$42, 19.3616, 19.3616) * CHOOSE(CONTROL!$C$21, $C$9, 100%, $E$9)</f>
        <v>19.361599999999999</v>
      </c>
      <c r="R391" s="14">
        <f>CHOOSE(CONTROL!$C$42, 19.997, 19.997) * CHOOSE(CONTROL!$C$21, $C$9, 100%, $E$9)</f>
        <v>19.997</v>
      </c>
      <c r="S391" s="14">
        <f>CHOOSE(CONTROL!$C$42, 18.1481, 18.1481) * CHOOSE(CONTROL!$C$21, $C$9, 100%, $E$9)</f>
        <v>18.148099999999999</v>
      </c>
      <c r="T39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56">
        <f>(1000*CHOOSE(CONTROL!$C$42, 695, 695)*CHOOSE(CONTROL!$C$42, 0.5599, 0.5599)*CHOOSE(CONTROL!$C$42, 31, 31))/1000000</f>
        <v>12.063045499999998</v>
      </c>
      <c r="V391" s="56">
        <f>(1000*CHOOSE(CONTROL!$C$42, 500, 500)*CHOOSE(CONTROL!$C$42, 0.275, 0.275)*CHOOSE(CONTROL!$C$42, 31, 31))/1000000</f>
        <v>4.2625000000000002</v>
      </c>
      <c r="W391" s="56">
        <f>(1000*CHOOSE(CONTROL!$C$42, 0.1146, 0.1146)*CHOOSE(CONTROL!$C$42, 121.5, 121.5)*CHOOSE(CONTROL!$C$42, 31, 31))/1000000</f>
        <v>0.43164089999999994</v>
      </c>
      <c r="X391" s="56">
        <f>(31*0.1790888*245000/1000000)+(31*0.2374*100000/1000000)</f>
        <v>2.0961194359999999</v>
      </c>
      <c r="Y391" s="56"/>
      <c r="Z391" s="14"/>
      <c r="AA391" s="55"/>
      <c r="AB391" s="49">
        <f>(B391*194.205+C391*267.466+D391*133.845+E391*53.484+F391*40+G391*185+H391*0+I391*100+J391*300)/(194.205+267.466+133.845+53.484+0+40+185+100+300)</f>
        <v>18.953964635635796</v>
      </c>
      <c r="AC391" s="44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18.615481294964027</v>
      </c>
    </row>
    <row r="392" spans="1:29" ht="15.75" x14ac:dyDescent="0.25">
      <c r="A392" s="32">
        <v>52840</v>
      </c>
      <c r="B392" s="14">
        <f>CHOOSE(CONTROL!$C$42, 17.9648, 17.9648) * CHOOSE(CONTROL!$C$21, $C$9, 100%, $E$9)</f>
        <v>17.9648</v>
      </c>
      <c r="C392" s="14">
        <f>CHOOSE(CONTROL!$C$42, 17.9728, 17.9728) * CHOOSE(CONTROL!$C$21, $C$9, 100%, $E$9)</f>
        <v>17.972799999999999</v>
      </c>
      <c r="D392" s="14">
        <f>CHOOSE(CONTROL!$C$42, 18.1986, 18.1986) * CHOOSE(CONTROL!$C$21, $C$9, 100%, $E$9)</f>
        <v>18.198599999999999</v>
      </c>
      <c r="E392" s="14">
        <f>CHOOSE(CONTROL!$C$42, 18.2301, 18.2301) * CHOOSE(CONTROL!$C$21, $C$9, 100%, $E$9)</f>
        <v>18.2301</v>
      </c>
      <c r="F392" s="14">
        <f>CHOOSE(CONTROL!$C$42, 17.9916, 17.9916)*CHOOSE(CONTROL!$C$21, $C$9, 100%, $E$9)</f>
        <v>17.991599999999998</v>
      </c>
      <c r="G392" s="14">
        <f>CHOOSE(CONTROL!$C$42, 18.0089, 18.0089)*CHOOSE(CONTROL!$C$21, $C$9, 100%, $E$9)</f>
        <v>18.008900000000001</v>
      </c>
      <c r="H392" s="14">
        <f>CHOOSE(CONTROL!$C$42, 18.2187, 18.2187) * CHOOSE(CONTROL!$C$21, $C$9, 100%, $E$9)</f>
        <v>18.218699999999998</v>
      </c>
      <c r="I392" s="14">
        <f>CHOOSE(CONTROL!$C$42, 18.0526, 18.0526)* CHOOSE(CONTROL!$C$21, $C$9, 100%, $E$9)</f>
        <v>18.052600000000002</v>
      </c>
      <c r="J392" s="14">
        <f>CHOOSE(CONTROL!$C$42, 17.9846, 17.9846)* CHOOSE(CONTROL!$C$21, $C$9, 100%, $E$9)</f>
        <v>17.9846</v>
      </c>
      <c r="K392" s="52">
        <f>CHOOSE(CONTROL!$C$42, 18.0487, 18.0487) * CHOOSE(CONTROL!$C$21, $C$9, 100%, $E$9)</f>
        <v>18.0487</v>
      </c>
      <c r="L392" s="14">
        <f>CHOOSE(CONTROL!$C$42, 18.8057, 18.8057) * CHOOSE(CONTROL!$C$21, $C$9, 100%, $E$9)</f>
        <v>18.805700000000002</v>
      </c>
      <c r="M392" s="14">
        <f>CHOOSE(CONTROL!$C$42, 17.6238, 17.6238) * CHOOSE(CONTROL!$C$21, $C$9, 100%, $E$9)</f>
        <v>17.623799999999999</v>
      </c>
      <c r="N392" s="14">
        <f>CHOOSE(CONTROL!$C$42, 17.6407, 17.6407) * CHOOSE(CONTROL!$C$21, $C$9, 100%, $E$9)</f>
        <v>17.640699999999999</v>
      </c>
      <c r="O392" s="14">
        <f>CHOOSE(CONTROL!$C$42, 17.8531, 17.8531) * CHOOSE(CONTROL!$C$21, $C$9, 100%, $E$9)</f>
        <v>17.853100000000001</v>
      </c>
      <c r="P392" s="14">
        <f>CHOOSE(CONTROL!$C$42, 17.6893, 17.6893) * CHOOSE(CONTROL!$C$21, $C$9, 100%, $E$9)</f>
        <v>17.689299999999999</v>
      </c>
      <c r="Q392" s="14">
        <f>CHOOSE(CONTROL!$C$42, 18.4478, 18.4478) * CHOOSE(CONTROL!$C$21, $C$9, 100%, $E$9)</f>
        <v>18.447800000000001</v>
      </c>
      <c r="R392" s="14">
        <f>CHOOSE(CONTROL!$C$42, 19.0809, 19.0809) * CHOOSE(CONTROL!$C$21, $C$9, 100%, $E$9)</f>
        <v>19.0809</v>
      </c>
      <c r="S392" s="14">
        <f>CHOOSE(CONTROL!$C$42, 17.2517, 17.2517) * CHOOSE(CONTROL!$C$21, $C$9, 100%, $E$9)</f>
        <v>17.2517</v>
      </c>
      <c r="T39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56">
        <f>(1000*CHOOSE(CONTROL!$C$42, 695, 695)*CHOOSE(CONTROL!$C$42, 0.5599, 0.5599)*CHOOSE(CONTROL!$C$42, 31, 31))/1000000</f>
        <v>12.063045499999998</v>
      </c>
      <c r="V392" s="56">
        <f>(1000*CHOOSE(CONTROL!$C$42, 500, 500)*CHOOSE(CONTROL!$C$42, 0.275, 0.275)*CHOOSE(CONTROL!$C$42, 31, 31))/1000000</f>
        <v>4.2625000000000002</v>
      </c>
      <c r="W392" s="56">
        <f>(1000*CHOOSE(CONTROL!$C$42, 0.1146, 0.1146)*CHOOSE(CONTROL!$C$42, 121.5, 121.5)*CHOOSE(CONTROL!$C$42, 31, 31))/1000000</f>
        <v>0.43164089999999994</v>
      </c>
      <c r="X392" s="56">
        <f>(31*0.1790888*245000/1000000)+(31*0.2374*100000/1000000)</f>
        <v>2.0961194359999999</v>
      </c>
      <c r="Y392" s="56"/>
      <c r="Z392" s="14"/>
      <c r="AA392" s="55"/>
      <c r="AB392" s="49">
        <f>(B392*194.205+C392*267.466+D392*133.845+E392*53.484+F392*40+G392*185+H392*0+I392*100+J392*300)/(194.205+267.466+133.845+53.484+0+40+185+100+300)</f>
        <v>18.020979351805341</v>
      </c>
      <c r="AC392" s="44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17.701451079136689</v>
      </c>
    </row>
    <row r="393" spans="1:29" ht="15.75" x14ac:dyDescent="0.25">
      <c r="A393" s="32">
        <v>52870</v>
      </c>
      <c r="B393" s="14">
        <f>CHOOSE(CONTROL!$C$42, 16.8248, 16.8248) * CHOOSE(CONTROL!$C$21, $C$9, 100%, $E$9)</f>
        <v>16.8248</v>
      </c>
      <c r="C393" s="14">
        <f>CHOOSE(CONTROL!$C$42, 16.8328, 16.8328) * CHOOSE(CONTROL!$C$21, $C$9, 100%, $E$9)</f>
        <v>16.832799999999999</v>
      </c>
      <c r="D393" s="14">
        <f>CHOOSE(CONTROL!$C$42, 17.0586, 17.0586) * CHOOSE(CONTROL!$C$21, $C$9, 100%, $E$9)</f>
        <v>17.058599999999998</v>
      </c>
      <c r="E393" s="14">
        <f>CHOOSE(CONTROL!$C$42, 17.0901, 17.0901) * CHOOSE(CONTROL!$C$21, $C$9, 100%, $E$9)</f>
        <v>17.0901</v>
      </c>
      <c r="F393" s="14">
        <f>CHOOSE(CONTROL!$C$42, 16.8516, 16.8516)*CHOOSE(CONTROL!$C$21, $C$9, 100%, $E$9)</f>
        <v>16.851600000000001</v>
      </c>
      <c r="G393" s="14">
        <f>CHOOSE(CONTROL!$C$42, 16.8689, 16.8689)*CHOOSE(CONTROL!$C$21, $C$9, 100%, $E$9)</f>
        <v>16.8689</v>
      </c>
      <c r="H393" s="14">
        <f>CHOOSE(CONTROL!$C$42, 17.0787, 17.0787) * CHOOSE(CONTROL!$C$21, $C$9, 100%, $E$9)</f>
        <v>17.078700000000001</v>
      </c>
      <c r="I393" s="14">
        <f>CHOOSE(CONTROL!$C$42, 16.909, 16.909)* CHOOSE(CONTROL!$C$21, $C$9, 100%, $E$9)</f>
        <v>16.908999999999999</v>
      </c>
      <c r="J393" s="14">
        <f>CHOOSE(CONTROL!$C$42, 16.8446, 16.8446)* CHOOSE(CONTROL!$C$21, $C$9, 100%, $E$9)</f>
        <v>16.8446</v>
      </c>
      <c r="K393" s="52">
        <f>CHOOSE(CONTROL!$C$42, 16.9051, 16.9051) * CHOOSE(CONTROL!$C$21, $C$9, 100%, $E$9)</f>
        <v>16.905100000000001</v>
      </c>
      <c r="L393" s="14">
        <f>CHOOSE(CONTROL!$C$42, 17.6657, 17.6657) * CHOOSE(CONTROL!$C$21, $C$9, 100%, $E$9)</f>
        <v>17.665700000000001</v>
      </c>
      <c r="M393" s="14">
        <f>CHOOSE(CONTROL!$C$42, 16.5071, 16.5071) * CHOOSE(CONTROL!$C$21, $C$9, 100%, $E$9)</f>
        <v>16.507100000000001</v>
      </c>
      <c r="N393" s="14">
        <f>CHOOSE(CONTROL!$C$42, 16.5241, 16.5241) * CHOOSE(CONTROL!$C$21, $C$9, 100%, $E$9)</f>
        <v>16.524100000000001</v>
      </c>
      <c r="O393" s="14">
        <f>CHOOSE(CONTROL!$C$42, 16.7365, 16.7365) * CHOOSE(CONTROL!$C$21, $C$9, 100%, $E$9)</f>
        <v>16.736499999999999</v>
      </c>
      <c r="P393" s="14">
        <f>CHOOSE(CONTROL!$C$42, 16.5693, 16.5693) * CHOOSE(CONTROL!$C$21, $C$9, 100%, $E$9)</f>
        <v>16.569299999999998</v>
      </c>
      <c r="Q393" s="14">
        <f>CHOOSE(CONTROL!$C$42, 17.3312, 17.3312) * CHOOSE(CONTROL!$C$21, $C$9, 100%, $E$9)</f>
        <v>17.331199999999999</v>
      </c>
      <c r="R393" s="14">
        <f>CHOOSE(CONTROL!$C$42, 17.9615, 17.9615) * CHOOSE(CONTROL!$C$21, $C$9, 100%, $E$9)</f>
        <v>17.961500000000001</v>
      </c>
      <c r="S393" s="14">
        <f>CHOOSE(CONTROL!$C$42, 16.1563, 16.1563) * CHOOSE(CONTROL!$C$21, $C$9, 100%, $E$9)</f>
        <v>16.156300000000002</v>
      </c>
      <c r="T39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56">
        <f>(1000*CHOOSE(CONTROL!$C$42, 695, 695)*CHOOSE(CONTROL!$C$42, 0.5599, 0.5599)*CHOOSE(CONTROL!$C$42, 30, 30))/1000000</f>
        <v>11.673914999999997</v>
      </c>
      <c r="V393" s="56">
        <f>(1000*CHOOSE(CONTROL!$C$42, 500, 500)*CHOOSE(CONTROL!$C$42, 0.275, 0.275)*CHOOSE(CONTROL!$C$42, 30, 30))/1000000</f>
        <v>4.125</v>
      </c>
      <c r="W393" s="56">
        <f>(1000*CHOOSE(CONTROL!$C$42, 0.1146, 0.1146)*CHOOSE(CONTROL!$C$42, 121.5, 121.5)*CHOOSE(CONTROL!$C$42, 30, 30))/1000000</f>
        <v>0.417717</v>
      </c>
      <c r="X393" s="56">
        <f>(30*0.1790888*245000/1000000)+(30*0.2374*100000/1000000)</f>
        <v>2.0285026799999999</v>
      </c>
      <c r="Y393" s="56"/>
      <c r="Z393" s="14"/>
      <c r="AA393" s="55"/>
      <c r="AB393" s="49">
        <f>(B393*194.205+C393*267.466+D393*133.845+E393*53.484+F393*40+G393*185+H393*0+I393*100+J393*300)/(194.205+267.466+133.845+53.484+0+40+185+100+300)</f>
        <v>16.880696777237048</v>
      </c>
      <c r="AC393" s="44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16.584327338129498</v>
      </c>
    </row>
    <row r="394" spans="1:29" ht="15.75" x14ac:dyDescent="0.25">
      <c r="A394" s="32">
        <v>52901</v>
      </c>
      <c r="B394" s="14">
        <f>CHOOSE(CONTROL!$C$42, 16.4816, 16.4816) * CHOOSE(CONTROL!$C$21, $C$9, 100%, $E$9)</f>
        <v>16.4816</v>
      </c>
      <c r="C394" s="14">
        <f>CHOOSE(CONTROL!$C$42, 16.487, 16.487) * CHOOSE(CONTROL!$C$21, $C$9, 100%, $E$9)</f>
        <v>16.486999999999998</v>
      </c>
      <c r="D394" s="14">
        <f>CHOOSE(CONTROL!$C$42, 16.7177, 16.7177) * CHOOSE(CONTROL!$C$21, $C$9, 100%, $E$9)</f>
        <v>16.717700000000001</v>
      </c>
      <c r="E394" s="14">
        <f>CHOOSE(CONTROL!$C$42, 16.7468, 16.7468) * CHOOSE(CONTROL!$C$21, $C$9, 100%, $E$9)</f>
        <v>16.7468</v>
      </c>
      <c r="F394" s="14">
        <f>CHOOSE(CONTROL!$C$42, 16.5105, 16.5105)*CHOOSE(CONTROL!$C$21, $C$9, 100%, $E$9)</f>
        <v>16.5105</v>
      </c>
      <c r="G394" s="14">
        <f>CHOOSE(CONTROL!$C$42, 16.5276, 16.5276)*CHOOSE(CONTROL!$C$21, $C$9, 100%, $E$9)</f>
        <v>16.5276</v>
      </c>
      <c r="H394" s="14">
        <f>CHOOSE(CONTROL!$C$42, 16.7373, 16.7373) * CHOOSE(CONTROL!$C$21, $C$9, 100%, $E$9)</f>
        <v>16.737300000000001</v>
      </c>
      <c r="I394" s="14">
        <f>CHOOSE(CONTROL!$C$42, 16.5666, 16.5666)* CHOOSE(CONTROL!$C$21, $C$9, 100%, $E$9)</f>
        <v>16.566600000000001</v>
      </c>
      <c r="J394" s="14">
        <f>CHOOSE(CONTROL!$C$42, 16.5035, 16.5035)* CHOOSE(CONTROL!$C$21, $C$9, 100%, $E$9)</f>
        <v>16.503499999999999</v>
      </c>
      <c r="K394" s="52">
        <f>CHOOSE(CONTROL!$C$42, 16.5627, 16.5627) * CHOOSE(CONTROL!$C$21, $C$9, 100%, $E$9)</f>
        <v>16.5627</v>
      </c>
      <c r="L394" s="14">
        <f>CHOOSE(CONTROL!$C$42, 17.3243, 17.3243) * CHOOSE(CONTROL!$C$21, $C$9, 100%, $E$9)</f>
        <v>17.324300000000001</v>
      </c>
      <c r="M394" s="14">
        <f>CHOOSE(CONTROL!$C$42, 16.1731, 16.1731) * CHOOSE(CONTROL!$C$21, $C$9, 100%, $E$9)</f>
        <v>16.173100000000002</v>
      </c>
      <c r="N394" s="14">
        <f>CHOOSE(CONTROL!$C$42, 16.1898, 16.1898) * CHOOSE(CONTROL!$C$21, $C$9, 100%, $E$9)</f>
        <v>16.189800000000002</v>
      </c>
      <c r="O394" s="14">
        <f>CHOOSE(CONTROL!$C$42, 16.4021, 16.4021) * CHOOSE(CONTROL!$C$21, $C$9, 100%, $E$9)</f>
        <v>16.402100000000001</v>
      </c>
      <c r="P394" s="14">
        <f>CHOOSE(CONTROL!$C$42, 16.2339, 16.2339) * CHOOSE(CONTROL!$C$21, $C$9, 100%, $E$9)</f>
        <v>16.233899999999998</v>
      </c>
      <c r="Q394" s="14">
        <f>CHOOSE(CONTROL!$C$42, 16.9968, 16.9968) * CHOOSE(CONTROL!$C$21, $C$9, 100%, $E$9)</f>
        <v>16.9968</v>
      </c>
      <c r="R394" s="14">
        <f>CHOOSE(CONTROL!$C$42, 17.6263, 17.6263) * CHOOSE(CONTROL!$C$21, $C$9, 100%, $E$9)</f>
        <v>17.626300000000001</v>
      </c>
      <c r="S394" s="14">
        <f>CHOOSE(CONTROL!$C$42, 15.8283, 15.8283) * CHOOSE(CONTROL!$C$21, $C$9, 100%, $E$9)</f>
        <v>15.8283</v>
      </c>
      <c r="T39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56">
        <f>(1000*CHOOSE(CONTROL!$C$42, 695, 695)*CHOOSE(CONTROL!$C$42, 0.5599, 0.5599)*CHOOSE(CONTROL!$C$42, 31, 31))/1000000</f>
        <v>12.063045499999998</v>
      </c>
      <c r="V394" s="56">
        <f>(1000*CHOOSE(CONTROL!$C$42, 500, 500)*CHOOSE(CONTROL!$C$42, 0.275, 0.275)*CHOOSE(CONTROL!$C$42, 31, 31))/1000000</f>
        <v>4.2625000000000002</v>
      </c>
      <c r="W394" s="56">
        <f>(1000*CHOOSE(CONTROL!$C$42, 0.1146, 0.1146)*CHOOSE(CONTROL!$C$42, 121.5, 121.5)*CHOOSE(CONTROL!$C$42, 31, 31))/1000000</f>
        <v>0.43164089999999994</v>
      </c>
      <c r="X394" s="56">
        <f>(31*0.1790888*245000/1000000)+(31*0.2374*100000/1000000)</f>
        <v>2.0961194359999999</v>
      </c>
      <c r="Y394" s="56"/>
      <c r="Z394" s="14"/>
      <c r="AA394" s="55"/>
      <c r="AB394" s="49">
        <f>(B394*131.881+C394*277.167+D394*79.08+E394*125.872+F394*40+G394*185+H394*0+I394*100+J394*300)/(131.881+277.167+79.08+125.872+0+40+185+100+300)</f>
        <v>16.544783812913639</v>
      </c>
      <c r="AC394" s="44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16.249944604316546</v>
      </c>
    </row>
    <row r="395" spans="1:29" ht="15.75" x14ac:dyDescent="0.25">
      <c r="A395" s="32">
        <v>52931</v>
      </c>
      <c r="B395" s="14">
        <f>CHOOSE(CONTROL!$C$42, 16.9152, 16.9152) * CHOOSE(CONTROL!$C$21, $C$9, 100%, $E$9)</f>
        <v>16.915199999999999</v>
      </c>
      <c r="C395" s="14">
        <f>CHOOSE(CONTROL!$C$42, 16.9202, 16.9202) * CHOOSE(CONTROL!$C$21, $C$9, 100%, $E$9)</f>
        <v>16.920200000000001</v>
      </c>
      <c r="D395" s="14">
        <f>CHOOSE(CONTROL!$C$42, 16.9893, 16.9893) * CHOOSE(CONTROL!$C$21, $C$9, 100%, $E$9)</f>
        <v>16.9893</v>
      </c>
      <c r="E395" s="14">
        <f>CHOOSE(CONTROL!$C$42, 17.0234, 17.0234) * CHOOSE(CONTROL!$C$21, $C$9, 100%, $E$9)</f>
        <v>17.023399999999999</v>
      </c>
      <c r="F395" s="14">
        <f>CHOOSE(CONTROL!$C$42, 16.9508, 16.9508)*CHOOSE(CONTROL!$C$21, $C$9, 100%, $E$9)</f>
        <v>16.950800000000001</v>
      </c>
      <c r="G395" s="14">
        <f>CHOOSE(CONTROL!$C$42, 16.9682, 16.9682)*CHOOSE(CONTROL!$C$21, $C$9, 100%, $E$9)</f>
        <v>16.9682</v>
      </c>
      <c r="H395" s="14">
        <f>CHOOSE(CONTROL!$C$42, 17.0126, 17.0126) * CHOOSE(CONTROL!$C$21, $C$9, 100%, $E$9)</f>
        <v>17.012599999999999</v>
      </c>
      <c r="I395" s="14">
        <f>CHOOSE(CONTROL!$C$42, 17.0045, 17.0045)* CHOOSE(CONTROL!$C$21, $C$9, 100%, $E$9)</f>
        <v>17.0045</v>
      </c>
      <c r="J395" s="14">
        <f>CHOOSE(CONTROL!$C$42, 16.9438, 16.9438)* CHOOSE(CONTROL!$C$21, $C$9, 100%, $E$9)</f>
        <v>16.9438</v>
      </c>
      <c r="K395" s="52">
        <f>CHOOSE(CONTROL!$C$42, 17.0006, 17.0006) * CHOOSE(CONTROL!$C$21, $C$9, 100%, $E$9)</f>
        <v>17.000599999999999</v>
      </c>
      <c r="L395" s="14">
        <f>CHOOSE(CONTROL!$C$42, 17.5996, 17.5996) * CHOOSE(CONTROL!$C$21, $C$9, 100%, $E$9)</f>
        <v>17.599599999999999</v>
      </c>
      <c r="M395" s="14">
        <f>CHOOSE(CONTROL!$C$42, 16.6043, 16.6043) * CHOOSE(CONTROL!$C$21, $C$9, 100%, $E$9)</f>
        <v>16.604299999999999</v>
      </c>
      <c r="N395" s="14">
        <f>CHOOSE(CONTROL!$C$42, 16.6213, 16.6213) * CHOOSE(CONTROL!$C$21, $C$9, 100%, $E$9)</f>
        <v>16.621300000000002</v>
      </c>
      <c r="O395" s="14">
        <f>CHOOSE(CONTROL!$C$42, 16.6717, 16.6717) * CHOOSE(CONTROL!$C$21, $C$9, 100%, $E$9)</f>
        <v>16.671700000000001</v>
      </c>
      <c r="P395" s="14">
        <f>CHOOSE(CONTROL!$C$42, 16.6628, 16.6628) * CHOOSE(CONTROL!$C$21, $C$9, 100%, $E$9)</f>
        <v>16.662800000000001</v>
      </c>
      <c r="Q395" s="14">
        <f>CHOOSE(CONTROL!$C$42, 17.2664, 17.2664) * CHOOSE(CONTROL!$C$21, $C$9, 100%, $E$9)</f>
        <v>17.266400000000001</v>
      </c>
      <c r="R395" s="14">
        <f>CHOOSE(CONTROL!$C$42, 17.8965, 17.8965) * CHOOSE(CONTROL!$C$21, $C$9, 100%, $E$9)</f>
        <v>17.8965</v>
      </c>
      <c r="S395" s="14">
        <f>CHOOSE(CONTROL!$C$42, 16.2452, 16.2452) * CHOOSE(CONTROL!$C$21, $C$9, 100%, $E$9)</f>
        <v>16.245200000000001</v>
      </c>
      <c r="T39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56">
        <f>(1000*CHOOSE(CONTROL!$C$42, 695, 695)*CHOOSE(CONTROL!$C$42, 0.5599, 0.5599)*CHOOSE(CONTROL!$C$42, 30, 30))/1000000</f>
        <v>11.673914999999997</v>
      </c>
      <c r="V395" s="56">
        <f>(1000*CHOOSE(CONTROL!$C$42, 500, 500)*CHOOSE(CONTROL!$C$42, 0.275, 0.275)*CHOOSE(CONTROL!$C$42, 30, 30))/1000000</f>
        <v>4.125</v>
      </c>
      <c r="W395" s="56">
        <f>(1000*CHOOSE(CONTROL!$C$42, 0.1146, 0.1146)*CHOOSE(CONTROL!$C$42, 121.5, 121.5)*CHOOSE(CONTROL!$C$42, 30, 30))/1000000</f>
        <v>0.417717</v>
      </c>
      <c r="X395" s="56">
        <f>(30*0.1790888*100000/1000000)+(30*0.2374*100000/1000000)</f>
        <v>1.2494664</v>
      </c>
      <c r="Y395" s="56"/>
      <c r="Z395" s="14"/>
      <c r="AA395" s="55"/>
      <c r="AB395" s="49">
        <f>(B395*122.58+C395*297.941+D395*89.177+E395*40.302+F395*40+G395*160+H395*0+I395*100+J395*300)/(122.58+297.941+89.177+40.302+0+40+160+100+300)</f>
        <v>16.949871649652174</v>
      </c>
      <c r="AC395" s="44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16.644243884892088</v>
      </c>
    </row>
    <row r="396" spans="1:29" ht="15.75" x14ac:dyDescent="0.25">
      <c r="A396" s="32">
        <v>52962</v>
      </c>
      <c r="B396" s="14">
        <f>CHOOSE(CONTROL!$C$42, 18.0678, 18.0678) * CHOOSE(CONTROL!$C$21, $C$9, 100%, $E$9)</f>
        <v>18.067799999999998</v>
      </c>
      <c r="C396" s="14">
        <f>CHOOSE(CONTROL!$C$42, 18.0729, 18.0729) * CHOOSE(CONTROL!$C$21, $C$9, 100%, $E$9)</f>
        <v>18.072900000000001</v>
      </c>
      <c r="D396" s="14">
        <f>CHOOSE(CONTROL!$C$42, 18.1419, 18.1419) * CHOOSE(CONTROL!$C$21, $C$9, 100%, $E$9)</f>
        <v>18.1419</v>
      </c>
      <c r="E396" s="14">
        <f>CHOOSE(CONTROL!$C$42, 18.176, 18.176) * CHOOSE(CONTROL!$C$21, $C$9, 100%, $E$9)</f>
        <v>18.175999999999998</v>
      </c>
      <c r="F396" s="14">
        <f>CHOOSE(CONTROL!$C$42, 18.1056, 18.1056)*CHOOSE(CONTROL!$C$21, $C$9, 100%, $E$9)</f>
        <v>18.105599999999999</v>
      </c>
      <c r="G396" s="14">
        <f>CHOOSE(CONTROL!$C$42, 18.1236, 18.1236)*CHOOSE(CONTROL!$C$21, $C$9, 100%, $E$9)</f>
        <v>18.1236</v>
      </c>
      <c r="H396" s="14">
        <f>CHOOSE(CONTROL!$C$42, 18.1652, 18.1652) * CHOOSE(CONTROL!$C$21, $C$9, 100%, $E$9)</f>
        <v>18.165199999999999</v>
      </c>
      <c r="I396" s="14">
        <f>CHOOSE(CONTROL!$C$42, 18.1607, 18.1607)* CHOOSE(CONTROL!$C$21, $C$9, 100%, $E$9)</f>
        <v>18.160699999999999</v>
      </c>
      <c r="J396" s="14">
        <f>CHOOSE(CONTROL!$C$42, 18.0986, 18.0986)* CHOOSE(CONTROL!$C$21, $C$9, 100%, $E$9)</f>
        <v>18.098600000000001</v>
      </c>
      <c r="K396" s="52">
        <f>CHOOSE(CONTROL!$C$42, 18.1568, 18.1568) * CHOOSE(CONTROL!$C$21, $C$9, 100%, $E$9)</f>
        <v>18.1568</v>
      </c>
      <c r="L396" s="14">
        <f>CHOOSE(CONTROL!$C$42, 18.7522, 18.7522) * CHOOSE(CONTROL!$C$21, $C$9, 100%, $E$9)</f>
        <v>18.752199999999998</v>
      </c>
      <c r="M396" s="14">
        <f>CHOOSE(CONTROL!$C$42, 17.7355, 17.7355) * CHOOSE(CONTROL!$C$21, $C$9, 100%, $E$9)</f>
        <v>17.735499999999998</v>
      </c>
      <c r="N396" s="14">
        <f>CHOOSE(CONTROL!$C$42, 17.7531, 17.7531) * CHOOSE(CONTROL!$C$21, $C$9, 100%, $E$9)</f>
        <v>17.7531</v>
      </c>
      <c r="O396" s="14">
        <f>CHOOSE(CONTROL!$C$42, 17.8007, 17.8007) * CHOOSE(CONTROL!$C$21, $C$9, 100%, $E$9)</f>
        <v>17.800699999999999</v>
      </c>
      <c r="P396" s="14">
        <f>CHOOSE(CONTROL!$C$42, 17.7952, 17.7952) * CHOOSE(CONTROL!$C$21, $C$9, 100%, $E$9)</f>
        <v>17.795200000000001</v>
      </c>
      <c r="Q396" s="14">
        <f>CHOOSE(CONTROL!$C$42, 18.3954, 18.3954) * CHOOSE(CONTROL!$C$21, $C$9, 100%, $E$9)</f>
        <v>18.395399999999999</v>
      </c>
      <c r="R396" s="14">
        <f>CHOOSE(CONTROL!$C$42, 19.0284, 19.0284) * CHOOSE(CONTROL!$C$21, $C$9, 100%, $E$9)</f>
        <v>19.028400000000001</v>
      </c>
      <c r="S396" s="14">
        <f>CHOOSE(CONTROL!$C$42, 17.3528, 17.3528) * CHOOSE(CONTROL!$C$21, $C$9, 100%, $E$9)</f>
        <v>17.352799999999998</v>
      </c>
      <c r="T39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56">
        <f>(1000*CHOOSE(CONTROL!$C$42, 695, 695)*CHOOSE(CONTROL!$C$42, 0.5599, 0.5599)*CHOOSE(CONTROL!$C$42, 31, 31))/1000000</f>
        <v>12.063045499999998</v>
      </c>
      <c r="V396" s="56">
        <f>(1000*CHOOSE(CONTROL!$C$42, 500, 500)*CHOOSE(CONTROL!$C$42, 0.275, 0.275)*CHOOSE(CONTROL!$C$42, 31, 31))/1000000</f>
        <v>4.2625000000000002</v>
      </c>
      <c r="W396" s="56">
        <f>(1000*CHOOSE(CONTROL!$C$42, 0.1146, 0.1146)*CHOOSE(CONTROL!$C$42, 121.5, 121.5)*CHOOSE(CONTROL!$C$42, 31, 31))/1000000</f>
        <v>0.43164089999999994</v>
      </c>
      <c r="X396" s="56">
        <f>(31*0.1790888*100000/1000000)+(31*0.2374*100000/1000000)</f>
        <v>1.2911152800000001</v>
      </c>
      <c r="Y396" s="56"/>
      <c r="Z396" s="14"/>
      <c r="AA396" s="55"/>
      <c r="AB396" s="49">
        <f>(B396*122.58+C396*297.941+D396*89.177+E396*40.302+F396*40+G396*160+H396*0+I396*100+J396*300)/(122.58+297.941+89.177+40.302+0+40+160+100+300)</f>
        <v>18.103850601043479</v>
      </c>
      <c r="AC396" s="44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17.774653956834534</v>
      </c>
    </row>
    <row r="397" spans="1:29" ht="15.75" x14ac:dyDescent="0.25">
      <c r="A397" s="32">
        <v>52993</v>
      </c>
      <c r="B397" s="14">
        <f>CHOOSE(CONTROL!$C$42, 19.5648, 19.5648) * CHOOSE(CONTROL!$C$21, $C$9, 100%, $E$9)</f>
        <v>19.564800000000002</v>
      </c>
      <c r="C397" s="14">
        <f>CHOOSE(CONTROL!$C$42, 19.5699, 19.5699) * CHOOSE(CONTROL!$C$21, $C$9, 100%, $E$9)</f>
        <v>19.569900000000001</v>
      </c>
      <c r="D397" s="14">
        <f>CHOOSE(CONTROL!$C$42, 19.6493, 19.6493) * CHOOSE(CONTROL!$C$21, $C$9, 100%, $E$9)</f>
        <v>19.6493</v>
      </c>
      <c r="E397" s="14">
        <f>CHOOSE(CONTROL!$C$42, 19.6834, 19.6834) * CHOOSE(CONTROL!$C$21, $C$9, 100%, $E$9)</f>
        <v>19.683399999999999</v>
      </c>
      <c r="F397" s="14">
        <f>CHOOSE(CONTROL!$C$42, 19.5878, 19.5878)*CHOOSE(CONTROL!$C$21, $C$9, 100%, $E$9)</f>
        <v>19.587800000000001</v>
      </c>
      <c r="G397" s="14">
        <f>CHOOSE(CONTROL!$C$42, 19.6054, 19.6054)*CHOOSE(CONTROL!$C$21, $C$9, 100%, $E$9)</f>
        <v>19.605399999999999</v>
      </c>
      <c r="H397" s="14">
        <f>CHOOSE(CONTROL!$C$42, 19.6726, 19.6726) * CHOOSE(CONTROL!$C$21, $C$9, 100%, $E$9)</f>
        <v>19.672599999999999</v>
      </c>
      <c r="I397" s="14">
        <f>CHOOSE(CONTROL!$C$42, 19.6614, 19.6614)* CHOOSE(CONTROL!$C$21, $C$9, 100%, $E$9)</f>
        <v>19.6614</v>
      </c>
      <c r="J397" s="14">
        <f>CHOOSE(CONTROL!$C$42, 19.5808, 19.5808)* CHOOSE(CONTROL!$C$21, $C$9, 100%, $E$9)</f>
        <v>19.5808</v>
      </c>
      <c r="K397" s="52">
        <f>CHOOSE(CONTROL!$C$42, 19.6575, 19.6575) * CHOOSE(CONTROL!$C$21, $C$9, 100%, $E$9)</f>
        <v>19.657499999999999</v>
      </c>
      <c r="L397" s="14">
        <f>CHOOSE(CONTROL!$C$42, 20.2596, 20.2596) * CHOOSE(CONTROL!$C$21, $C$9, 100%, $E$9)</f>
        <v>20.259599999999999</v>
      </c>
      <c r="M397" s="14">
        <f>CHOOSE(CONTROL!$C$42, 19.1873, 19.1873) * CHOOSE(CONTROL!$C$21, $C$9, 100%, $E$9)</f>
        <v>19.1873</v>
      </c>
      <c r="N397" s="14">
        <f>CHOOSE(CONTROL!$C$42, 19.2045, 19.2045) * CHOOSE(CONTROL!$C$21, $C$9, 100%, $E$9)</f>
        <v>19.204499999999999</v>
      </c>
      <c r="O397" s="14">
        <f>CHOOSE(CONTROL!$C$42, 19.2772, 19.2772) * CHOOSE(CONTROL!$C$21, $C$9, 100%, $E$9)</f>
        <v>19.277200000000001</v>
      </c>
      <c r="P397" s="14">
        <f>CHOOSE(CONTROL!$C$42, 19.2651, 19.2651) * CHOOSE(CONTROL!$C$21, $C$9, 100%, $E$9)</f>
        <v>19.2651</v>
      </c>
      <c r="Q397" s="14">
        <f>CHOOSE(CONTROL!$C$42, 19.8719, 19.8719) * CHOOSE(CONTROL!$C$21, $C$9, 100%, $E$9)</f>
        <v>19.8719</v>
      </c>
      <c r="R397" s="14">
        <f>CHOOSE(CONTROL!$C$42, 20.5086, 20.5086) * CHOOSE(CONTROL!$C$21, $C$9, 100%, $E$9)</f>
        <v>20.508600000000001</v>
      </c>
      <c r="S397" s="14">
        <f>CHOOSE(CONTROL!$C$42, 18.7913, 18.7913) * CHOOSE(CONTROL!$C$21, $C$9, 100%, $E$9)</f>
        <v>18.7913</v>
      </c>
      <c r="T39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56">
        <f>(1000*CHOOSE(CONTROL!$C$42, 695, 695)*CHOOSE(CONTROL!$C$42, 0.5599, 0.5599)*CHOOSE(CONTROL!$C$42, 31, 31))/1000000</f>
        <v>12.063045499999998</v>
      </c>
      <c r="V397" s="56">
        <f>(1000*CHOOSE(CONTROL!$C$42, 500, 500)*CHOOSE(CONTROL!$C$42, 0.275, 0.275)*CHOOSE(CONTROL!$C$42, 31, 31))/1000000</f>
        <v>4.2625000000000002</v>
      </c>
      <c r="W397" s="56">
        <f>(1000*CHOOSE(CONTROL!$C$42, 0.1146, 0.1146)*CHOOSE(CONTROL!$C$42, 121.5, 121.5)*CHOOSE(CONTROL!$C$42, 31, 31))/1000000</f>
        <v>0.43164089999999994</v>
      </c>
      <c r="X397" s="56">
        <f>(31*0.1790888*100000/1000000)+(31*0.2374*100000/1000000)</f>
        <v>1.2911152800000001</v>
      </c>
      <c r="Y397" s="56"/>
      <c r="Z397" s="14"/>
      <c r="AA397" s="55"/>
      <c r="AB397" s="49">
        <f>(B397*122.58+C397*297.941+D397*89.177+E397*40.302+F397*40+G397*160+H397*0+I397*100+J397*300)/(122.58+297.941+89.177+40.302+0+40+160+100+300)</f>
        <v>19.595852845913043</v>
      </c>
      <c r="AC397" s="44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19.240230215827339</v>
      </c>
    </row>
    <row r="398" spans="1:29" ht="15.75" x14ac:dyDescent="0.25">
      <c r="A398" s="32">
        <v>53021</v>
      </c>
      <c r="B398" s="14">
        <f>CHOOSE(CONTROL!$C$42, 19.9129, 19.9129) * CHOOSE(CONTROL!$C$21, $C$9, 100%, $E$9)</f>
        <v>19.9129</v>
      </c>
      <c r="C398" s="14">
        <f>CHOOSE(CONTROL!$C$42, 19.918, 19.918) * CHOOSE(CONTROL!$C$21, $C$9, 100%, $E$9)</f>
        <v>19.917999999999999</v>
      </c>
      <c r="D398" s="14">
        <f>CHOOSE(CONTROL!$C$42, 19.9974, 19.9974) * CHOOSE(CONTROL!$C$21, $C$9, 100%, $E$9)</f>
        <v>19.997399999999999</v>
      </c>
      <c r="E398" s="14">
        <f>CHOOSE(CONTROL!$C$42, 20.0315, 20.0315) * CHOOSE(CONTROL!$C$21, $C$9, 100%, $E$9)</f>
        <v>20.031500000000001</v>
      </c>
      <c r="F398" s="14">
        <f>CHOOSE(CONTROL!$C$42, 19.9357, 19.9357)*CHOOSE(CONTROL!$C$21, $C$9, 100%, $E$9)</f>
        <v>19.935700000000001</v>
      </c>
      <c r="G398" s="14">
        <f>CHOOSE(CONTROL!$C$42, 19.9532, 19.9532)*CHOOSE(CONTROL!$C$21, $C$9, 100%, $E$9)</f>
        <v>19.953199999999999</v>
      </c>
      <c r="H398" s="14">
        <f>CHOOSE(CONTROL!$C$42, 20.0207, 20.0207) * CHOOSE(CONTROL!$C$21, $C$9, 100%, $E$9)</f>
        <v>20.020700000000001</v>
      </c>
      <c r="I398" s="14">
        <f>CHOOSE(CONTROL!$C$42, 20.0106, 20.0106)* CHOOSE(CONTROL!$C$21, $C$9, 100%, $E$9)</f>
        <v>20.0106</v>
      </c>
      <c r="J398" s="14">
        <f>CHOOSE(CONTROL!$C$42, 19.9287, 19.9287)* CHOOSE(CONTROL!$C$21, $C$9, 100%, $E$9)</f>
        <v>19.928699999999999</v>
      </c>
      <c r="K398" s="52">
        <f>CHOOSE(CONTROL!$C$42, 20.0067, 20.0067) * CHOOSE(CONTROL!$C$21, $C$9, 100%, $E$9)</f>
        <v>20.006699999999999</v>
      </c>
      <c r="L398" s="14">
        <f>CHOOSE(CONTROL!$C$42, 20.6077, 20.6077) * CHOOSE(CONTROL!$C$21, $C$9, 100%, $E$9)</f>
        <v>20.607700000000001</v>
      </c>
      <c r="M398" s="14">
        <f>CHOOSE(CONTROL!$C$42, 19.5281, 19.5281) * CHOOSE(CONTROL!$C$21, $C$9, 100%, $E$9)</f>
        <v>19.528099999999998</v>
      </c>
      <c r="N398" s="14">
        <f>CHOOSE(CONTROL!$C$42, 19.5452, 19.5452) * CHOOSE(CONTROL!$C$21, $C$9, 100%, $E$9)</f>
        <v>19.545200000000001</v>
      </c>
      <c r="O398" s="14">
        <f>CHOOSE(CONTROL!$C$42, 19.6182, 19.6182) * CHOOSE(CONTROL!$C$21, $C$9, 100%, $E$9)</f>
        <v>19.618200000000002</v>
      </c>
      <c r="P398" s="14">
        <f>CHOOSE(CONTROL!$C$42, 19.6071, 19.6071) * CHOOSE(CONTROL!$C$21, $C$9, 100%, $E$9)</f>
        <v>19.607099999999999</v>
      </c>
      <c r="Q398" s="14">
        <f>CHOOSE(CONTROL!$C$42, 20.2129, 20.2129) * CHOOSE(CONTROL!$C$21, $C$9, 100%, $E$9)</f>
        <v>20.212900000000001</v>
      </c>
      <c r="R398" s="14">
        <f>CHOOSE(CONTROL!$C$42, 20.8504, 20.8504) * CHOOSE(CONTROL!$C$21, $C$9, 100%, $E$9)</f>
        <v>20.8504</v>
      </c>
      <c r="S398" s="14">
        <f>CHOOSE(CONTROL!$C$42, 19.1258, 19.1258) * CHOOSE(CONTROL!$C$21, $C$9, 100%, $E$9)</f>
        <v>19.125800000000002</v>
      </c>
      <c r="T39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56">
        <f>(1000*CHOOSE(CONTROL!$C$42, 695, 695)*CHOOSE(CONTROL!$C$42, 0.5599, 0.5599)*CHOOSE(CONTROL!$C$42, 28, 28))/1000000</f>
        <v>10.895653999999999</v>
      </c>
      <c r="V398" s="56">
        <f>(1000*CHOOSE(CONTROL!$C$42, 500, 500)*CHOOSE(CONTROL!$C$42, 0.275, 0.275)*CHOOSE(CONTROL!$C$42, 28, 28))/1000000</f>
        <v>3.85</v>
      </c>
      <c r="W398" s="56">
        <f>(1000*CHOOSE(CONTROL!$C$42, 0.1146, 0.1146)*CHOOSE(CONTROL!$C$42, 121.5, 121.5)*CHOOSE(CONTROL!$C$42, 28, 28))/1000000</f>
        <v>0.38986920000000003</v>
      </c>
      <c r="X398" s="56">
        <f>(28*0.1790888*100000/1000000)+(28*0.2374*100000/1000000)</f>
        <v>1.16616864</v>
      </c>
      <c r="Y398" s="56"/>
      <c r="Z398" s="14"/>
      <c r="AA398" s="55"/>
      <c r="AB398" s="49">
        <f>(B398*122.58+C398*297.941+D398*89.177+E398*40.302+F398*40+G398*160+H398*0+I398*100+J398*300)/(122.58+297.941+89.177+40.302+0+40+160+100+300)</f>
        <v>19.943947628521737</v>
      </c>
      <c r="AC398" s="44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19.581287769784172</v>
      </c>
    </row>
    <row r="399" spans="1:29" ht="15.75" x14ac:dyDescent="0.25">
      <c r="A399" s="32">
        <v>53052</v>
      </c>
      <c r="B399" s="14">
        <f>CHOOSE(CONTROL!$C$42, 19.3479, 19.3479) * CHOOSE(CONTROL!$C$21, $C$9, 100%, $E$9)</f>
        <v>19.347899999999999</v>
      </c>
      <c r="C399" s="14">
        <f>CHOOSE(CONTROL!$C$42, 19.3529, 19.3529) * CHOOSE(CONTROL!$C$21, $C$9, 100%, $E$9)</f>
        <v>19.352900000000002</v>
      </c>
      <c r="D399" s="14">
        <f>CHOOSE(CONTROL!$C$42, 19.4324, 19.4324) * CHOOSE(CONTROL!$C$21, $C$9, 100%, $E$9)</f>
        <v>19.432400000000001</v>
      </c>
      <c r="E399" s="14">
        <f>CHOOSE(CONTROL!$C$42, 19.4665, 19.4665) * CHOOSE(CONTROL!$C$21, $C$9, 100%, $E$9)</f>
        <v>19.4665</v>
      </c>
      <c r="F399" s="14">
        <f>CHOOSE(CONTROL!$C$42, 19.3699, 19.3699)*CHOOSE(CONTROL!$C$21, $C$9, 100%, $E$9)</f>
        <v>19.369900000000001</v>
      </c>
      <c r="G399" s="14">
        <f>CHOOSE(CONTROL!$C$42, 19.3872, 19.3872)*CHOOSE(CONTROL!$C$21, $C$9, 100%, $E$9)</f>
        <v>19.3872</v>
      </c>
      <c r="H399" s="14">
        <f>CHOOSE(CONTROL!$C$42, 19.4557, 19.4557) * CHOOSE(CONTROL!$C$21, $C$9, 100%, $E$9)</f>
        <v>19.4557</v>
      </c>
      <c r="I399" s="14">
        <f>CHOOSE(CONTROL!$C$42, 19.4437, 19.4437)* CHOOSE(CONTROL!$C$21, $C$9, 100%, $E$9)</f>
        <v>19.4437</v>
      </c>
      <c r="J399" s="14">
        <f>CHOOSE(CONTROL!$C$42, 19.3629, 19.3629)* CHOOSE(CONTROL!$C$21, $C$9, 100%, $E$9)</f>
        <v>19.3629</v>
      </c>
      <c r="K399" s="52">
        <f>CHOOSE(CONTROL!$C$42, 19.4399, 19.4399) * CHOOSE(CONTROL!$C$21, $C$9, 100%, $E$9)</f>
        <v>19.439900000000002</v>
      </c>
      <c r="L399" s="14">
        <f>CHOOSE(CONTROL!$C$42, 20.0427, 20.0427) * CHOOSE(CONTROL!$C$21, $C$9, 100%, $E$9)</f>
        <v>20.0427</v>
      </c>
      <c r="M399" s="14">
        <f>CHOOSE(CONTROL!$C$42, 18.9739, 18.9739) * CHOOSE(CONTROL!$C$21, $C$9, 100%, $E$9)</f>
        <v>18.9739</v>
      </c>
      <c r="N399" s="14">
        <f>CHOOSE(CONTROL!$C$42, 18.9908, 18.9908) * CHOOSE(CONTROL!$C$21, $C$9, 100%, $E$9)</f>
        <v>18.9908</v>
      </c>
      <c r="O399" s="14">
        <f>CHOOSE(CONTROL!$C$42, 19.0647, 19.0647) * CHOOSE(CONTROL!$C$21, $C$9, 100%, $E$9)</f>
        <v>19.064699999999998</v>
      </c>
      <c r="P399" s="14">
        <f>CHOOSE(CONTROL!$C$42, 19.0519, 19.0519) * CHOOSE(CONTROL!$C$21, $C$9, 100%, $E$9)</f>
        <v>19.0519</v>
      </c>
      <c r="Q399" s="14">
        <f>CHOOSE(CONTROL!$C$42, 19.6594, 19.6594) * CHOOSE(CONTROL!$C$21, $C$9, 100%, $E$9)</f>
        <v>19.659400000000002</v>
      </c>
      <c r="R399" s="14">
        <f>CHOOSE(CONTROL!$C$42, 20.2956, 20.2956) * CHOOSE(CONTROL!$C$21, $C$9, 100%, $E$9)</f>
        <v>20.2956</v>
      </c>
      <c r="S399" s="14">
        <f>CHOOSE(CONTROL!$C$42, 18.5828, 18.5828) * CHOOSE(CONTROL!$C$21, $C$9, 100%, $E$9)</f>
        <v>18.582799999999999</v>
      </c>
      <c r="T39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56">
        <f>(1000*CHOOSE(CONTROL!$C$42, 695, 695)*CHOOSE(CONTROL!$C$42, 0.5599, 0.5599)*CHOOSE(CONTROL!$C$42, 31, 31))/1000000</f>
        <v>12.063045499999998</v>
      </c>
      <c r="V399" s="56">
        <f>(1000*CHOOSE(CONTROL!$C$42, 500, 500)*CHOOSE(CONTROL!$C$42, 0.275, 0.275)*CHOOSE(CONTROL!$C$42, 31, 31))/1000000</f>
        <v>4.2625000000000002</v>
      </c>
      <c r="W399" s="56">
        <f>(1000*CHOOSE(CONTROL!$C$42, 0.1146, 0.1146)*CHOOSE(CONTROL!$C$42, 121.5, 121.5)*CHOOSE(CONTROL!$C$42, 31, 31))/1000000</f>
        <v>0.43164089999999994</v>
      </c>
      <c r="X399" s="56">
        <f>(31*0.1790888*100000/1000000)+(31*0.2374*100000/1000000)</f>
        <v>1.2911152800000001</v>
      </c>
      <c r="Y399" s="56"/>
      <c r="Z399" s="14"/>
      <c r="AA399" s="55"/>
      <c r="AB399" s="49">
        <f>(B399*122.58+C399*297.941+D399*89.177+E399*40.302+F399*40+G399*160+H399*0+I399*100+J399*300)/(122.58+297.941+89.177+40.302+0+40+160+100+300)</f>
        <v>19.378380851043477</v>
      </c>
      <c r="AC399" s="44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19.027249640287771</v>
      </c>
    </row>
    <row r="400" spans="1:29" ht="15.75" x14ac:dyDescent="0.25">
      <c r="A400" s="32">
        <v>53082</v>
      </c>
      <c r="B400" s="14">
        <f>CHOOSE(CONTROL!$C$42, 19.291, 19.291) * CHOOSE(CONTROL!$C$21, $C$9, 100%, $E$9)</f>
        <v>19.291</v>
      </c>
      <c r="C400" s="14">
        <f>CHOOSE(CONTROL!$C$42, 19.2955, 19.2955) * CHOOSE(CONTROL!$C$21, $C$9, 100%, $E$9)</f>
        <v>19.295500000000001</v>
      </c>
      <c r="D400" s="14">
        <f>CHOOSE(CONTROL!$C$42, 19.5244, 19.5244) * CHOOSE(CONTROL!$C$21, $C$9, 100%, $E$9)</f>
        <v>19.5244</v>
      </c>
      <c r="E400" s="14">
        <f>CHOOSE(CONTROL!$C$42, 19.5565, 19.5565) * CHOOSE(CONTROL!$C$21, $C$9, 100%, $E$9)</f>
        <v>19.5565</v>
      </c>
      <c r="F400" s="14">
        <f>CHOOSE(CONTROL!$C$42, 19.318, 19.318)*CHOOSE(CONTROL!$C$21, $C$9, 100%, $E$9)</f>
        <v>19.318000000000001</v>
      </c>
      <c r="G400" s="14">
        <f>CHOOSE(CONTROL!$C$42, 19.3347, 19.3347)*CHOOSE(CONTROL!$C$21, $C$9, 100%, $E$9)</f>
        <v>19.334700000000002</v>
      </c>
      <c r="H400" s="14">
        <f>CHOOSE(CONTROL!$C$42, 19.5463, 19.5463) * CHOOSE(CONTROL!$C$21, $C$9, 100%, $E$9)</f>
        <v>19.546299999999999</v>
      </c>
      <c r="I400" s="14">
        <f>CHOOSE(CONTROL!$C$42, 19.3843, 19.3843)* CHOOSE(CONTROL!$C$21, $C$9, 100%, $E$9)</f>
        <v>19.3843</v>
      </c>
      <c r="J400" s="14">
        <f>CHOOSE(CONTROL!$C$42, 19.311, 19.311)* CHOOSE(CONTROL!$C$21, $C$9, 100%, $E$9)</f>
        <v>19.311</v>
      </c>
      <c r="K400" s="52">
        <f>CHOOSE(CONTROL!$C$42, 19.3804, 19.3804) * CHOOSE(CONTROL!$C$21, $C$9, 100%, $E$9)</f>
        <v>19.380400000000002</v>
      </c>
      <c r="L400" s="14">
        <f>CHOOSE(CONTROL!$C$42, 20.1333, 20.1333) * CHOOSE(CONTROL!$C$21, $C$9, 100%, $E$9)</f>
        <v>20.133299999999998</v>
      </c>
      <c r="M400" s="14">
        <f>CHOOSE(CONTROL!$C$42, 18.923, 18.923) * CHOOSE(CONTROL!$C$21, $C$9, 100%, $E$9)</f>
        <v>18.922999999999998</v>
      </c>
      <c r="N400" s="14">
        <f>CHOOSE(CONTROL!$C$42, 18.9394, 18.9394) * CHOOSE(CONTROL!$C$21, $C$9, 100%, $E$9)</f>
        <v>18.939399999999999</v>
      </c>
      <c r="O400" s="14">
        <f>CHOOSE(CONTROL!$C$42, 19.1535, 19.1535) * CHOOSE(CONTROL!$C$21, $C$9, 100%, $E$9)</f>
        <v>19.153500000000001</v>
      </c>
      <c r="P400" s="14">
        <f>CHOOSE(CONTROL!$C$42, 18.9937, 18.9937) * CHOOSE(CONTROL!$C$21, $C$9, 100%, $E$9)</f>
        <v>18.9937</v>
      </c>
      <c r="Q400" s="14">
        <f>CHOOSE(CONTROL!$C$42, 19.7482, 19.7482) * CHOOSE(CONTROL!$C$21, $C$9, 100%, $E$9)</f>
        <v>19.748200000000001</v>
      </c>
      <c r="R400" s="14">
        <f>CHOOSE(CONTROL!$C$42, 20.3846, 20.3846) * CHOOSE(CONTROL!$C$21, $C$9, 100%, $E$9)</f>
        <v>20.384599999999999</v>
      </c>
      <c r="S400" s="14">
        <f>CHOOSE(CONTROL!$C$42, 18.5274, 18.5274) * CHOOSE(CONTROL!$C$21, $C$9, 100%, $E$9)</f>
        <v>18.5274</v>
      </c>
      <c r="T40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56">
        <f>(1000*CHOOSE(CONTROL!$C$42, 695, 695)*CHOOSE(CONTROL!$C$42, 0.5599, 0.5599)*CHOOSE(CONTROL!$C$42, 30, 30))/1000000</f>
        <v>11.673914999999997</v>
      </c>
      <c r="V400" s="56">
        <f>(1000*CHOOSE(CONTROL!$C$42, 500, 500)*CHOOSE(CONTROL!$C$42, 0.275, 0.275)*CHOOSE(CONTROL!$C$42, 30, 30))/1000000</f>
        <v>4.125</v>
      </c>
      <c r="W400" s="56">
        <f>(1000*CHOOSE(CONTROL!$C$42, 0.1146, 0.1146)*CHOOSE(CONTROL!$C$42, 121.5, 121.5)*CHOOSE(CONTROL!$C$42, 30, 30))/1000000</f>
        <v>0.417717</v>
      </c>
      <c r="X400" s="56">
        <f>(30*0.1790888*245000/1000000)+(30*0.2374*100000/1000000)</f>
        <v>2.0285026799999999</v>
      </c>
      <c r="Y400" s="56"/>
      <c r="Z400" s="14"/>
      <c r="AA400" s="55"/>
      <c r="AB400" s="49">
        <f>(B400*141.293+C400*267.993+D400*115.016+E400*89.698+F400*40+G400*185+H400*0+I400*100+J400*300)/(141.293+267.993+115.016+89.698+0+40+185+100+300)</f>
        <v>19.35263036472962</v>
      </c>
      <c r="AC400" s="44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19.001620863309352</v>
      </c>
    </row>
    <row r="401" spans="1:29" ht="15.75" x14ac:dyDescent="0.25">
      <c r="A401" s="32">
        <v>53113</v>
      </c>
      <c r="B401" s="14">
        <f>CHOOSE(CONTROL!$C$42, 19.4625, 19.4625) * CHOOSE(CONTROL!$C$21, $C$9, 100%, $E$9)</f>
        <v>19.462499999999999</v>
      </c>
      <c r="C401" s="14">
        <f>CHOOSE(CONTROL!$C$42, 19.4706, 19.4706) * CHOOSE(CONTROL!$C$21, $C$9, 100%, $E$9)</f>
        <v>19.470600000000001</v>
      </c>
      <c r="D401" s="14">
        <f>CHOOSE(CONTROL!$C$42, 19.6964, 19.6964) * CHOOSE(CONTROL!$C$21, $C$9, 100%, $E$9)</f>
        <v>19.696400000000001</v>
      </c>
      <c r="E401" s="14">
        <f>CHOOSE(CONTROL!$C$42, 19.7278, 19.7278) * CHOOSE(CONTROL!$C$21, $C$9, 100%, $E$9)</f>
        <v>19.727799999999998</v>
      </c>
      <c r="F401" s="14">
        <f>CHOOSE(CONTROL!$C$42, 19.4882, 19.4882)*CHOOSE(CONTROL!$C$21, $C$9, 100%, $E$9)</f>
        <v>19.488199999999999</v>
      </c>
      <c r="G401" s="14">
        <f>CHOOSE(CONTROL!$C$42, 19.5052, 19.5052)*CHOOSE(CONTROL!$C$21, $C$9, 100%, $E$9)</f>
        <v>19.505199999999999</v>
      </c>
      <c r="H401" s="14">
        <f>CHOOSE(CONTROL!$C$42, 19.7165, 19.7165) * CHOOSE(CONTROL!$C$21, $C$9, 100%, $E$9)</f>
        <v>19.7165</v>
      </c>
      <c r="I401" s="14">
        <f>CHOOSE(CONTROL!$C$42, 19.555, 19.555)* CHOOSE(CONTROL!$C$21, $C$9, 100%, $E$9)</f>
        <v>19.555</v>
      </c>
      <c r="J401" s="14">
        <f>CHOOSE(CONTROL!$C$42, 19.4812, 19.4812)* CHOOSE(CONTROL!$C$21, $C$9, 100%, $E$9)</f>
        <v>19.481200000000001</v>
      </c>
      <c r="K401" s="52">
        <f>CHOOSE(CONTROL!$C$42, 19.5511, 19.5511) * CHOOSE(CONTROL!$C$21, $C$9, 100%, $E$9)</f>
        <v>19.551100000000002</v>
      </c>
      <c r="L401" s="14">
        <f>CHOOSE(CONTROL!$C$42, 20.3035, 20.3035) * CHOOSE(CONTROL!$C$21, $C$9, 100%, $E$9)</f>
        <v>20.3035</v>
      </c>
      <c r="M401" s="14">
        <f>CHOOSE(CONTROL!$C$42, 19.0897, 19.0897) * CHOOSE(CONTROL!$C$21, $C$9, 100%, $E$9)</f>
        <v>19.089700000000001</v>
      </c>
      <c r="N401" s="14">
        <f>CHOOSE(CONTROL!$C$42, 19.1063, 19.1063) * CHOOSE(CONTROL!$C$21, $C$9, 100%, $E$9)</f>
        <v>19.106300000000001</v>
      </c>
      <c r="O401" s="14">
        <f>CHOOSE(CONTROL!$C$42, 19.3202, 19.3202) * CHOOSE(CONTROL!$C$21, $C$9, 100%, $E$9)</f>
        <v>19.3202</v>
      </c>
      <c r="P401" s="14">
        <f>CHOOSE(CONTROL!$C$42, 19.1609, 19.1609) * CHOOSE(CONTROL!$C$21, $C$9, 100%, $E$9)</f>
        <v>19.160900000000002</v>
      </c>
      <c r="Q401" s="14">
        <f>CHOOSE(CONTROL!$C$42, 19.9149, 19.9149) * CHOOSE(CONTROL!$C$21, $C$9, 100%, $E$9)</f>
        <v>19.914899999999999</v>
      </c>
      <c r="R401" s="14">
        <f>CHOOSE(CONTROL!$C$42, 20.5517, 20.5517) * CHOOSE(CONTROL!$C$21, $C$9, 100%, $E$9)</f>
        <v>20.5517</v>
      </c>
      <c r="S401" s="14">
        <f>CHOOSE(CONTROL!$C$42, 18.6909, 18.6909) * CHOOSE(CONTROL!$C$21, $C$9, 100%, $E$9)</f>
        <v>18.690899999999999</v>
      </c>
      <c r="T40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56">
        <f>(1000*CHOOSE(CONTROL!$C$42, 695, 695)*CHOOSE(CONTROL!$C$42, 0.5599, 0.5599)*CHOOSE(CONTROL!$C$42, 31, 31))/1000000</f>
        <v>12.063045499999998</v>
      </c>
      <c r="V401" s="56">
        <f>(1000*CHOOSE(CONTROL!$C$42, 500, 500)*CHOOSE(CONTROL!$C$42, 0.275, 0.275)*CHOOSE(CONTROL!$C$42, 31, 31))/1000000</f>
        <v>4.2625000000000002</v>
      </c>
      <c r="W401" s="56">
        <f>(1000*CHOOSE(CONTROL!$C$42, 0.1146, 0.1146)*CHOOSE(CONTROL!$C$42, 121.5, 121.5)*CHOOSE(CONTROL!$C$42, 31, 31))/1000000</f>
        <v>0.43164089999999994</v>
      </c>
      <c r="X401" s="56">
        <f>(31*0.1790888*245000/1000000)+(31*0.2374*100000/1000000)</f>
        <v>2.0961194359999999</v>
      </c>
      <c r="Y401" s="56"/>
      <c r="Z401" s="14"/>
      <c r="AA401" s="55"/>
      <c r="AB401" s="49">
        <f>(B401*194.205+C401*267.466+D401*133.845+E401*53.484+F401*40+G401*185+H401*0+I401*100+J401*300)/(194.205+267.466+133.845+53.484+0+40+185+100+300)</f>
        <v>19.518582908398745</v>
      </c>
      <c r="AC401" s="44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19.168438848920864</v>
      </c>
    </row>
    <row r="402" spans="1:29" ht="15.75" x14ac:dyDescent="0.25">
      <c r="A402" s="32">
        <v>53143</v>
      </c>
      <c r="B402" s="14">
        <f>CHOOSE(CONTROL!$C$42, 20.0143, 20.0143) * CHOOSE(CONTROL!$C$21, $C$9, 100%, $E$9)</f>
        <v>20.014299999999999</v>
      </c>
      <c r="C402" s="14">
        <f>CHOOSE(CONTROL!$C$42, 20.0223, 20.0223) * CHOOSE(CONTROL!$C$21, $C$9, 100%, $E$9)</f>
        <v>20.022300000000001</v>
      </c>
      <c r="D402" s="14">
        <f>CHOOSE(CONTROL!$C$42, 20.2481, 20.2481) * CHOOSE(CONTROL!$C$21, $C$9, 100%, $E$9)</f>
        <v>20.248100000000001</v>
      </c>
      <c r="E402" s="14">
        <f>CHOOSE(CONTROL!$C$42, 20.2796, 20.2796) * CHOOSE(CONTROL!$C$21, $C$9, 100%, $E$9)</f>
        <v>20.279599999999999</v>
      </c>
      <c r="F402" s="14">
        <f>CHOOSE(CONTROL!$C$42, 20.0404, 20.0404)*CHOOSE(CONTROL!$C$21, $C$9, 100%, $E$9)</f>
        <v>20.040400000000002</v>
      </c>
      <c r="G402" s="14">
        <f>CHOOSE(CONTROL!$C$42, 20.0575, 20.0575)*CHOOSE(CONTROL!$C$21, $C$9, 100%, $E$9)</f>
        <v>20.057500000000001</v>
      </c>
      <c r="H402" s="14">
        <f>CHOOSE(CONTROL!$C$42, 20.2682, 20.2682) * CHOOSE(CONTROL!$C$21, $C$9, 100%, $E$9)</f>
        <v>20.2682</v>
      </c>
      <c r="I402" s="14">
        <f>CHOOSE(CONTROL!$C$42, 20.1085, 20.1085)* CHOOSE(CONTROL!$C$21, $C$9, 100%, $E$9)</f>
        <v>20.108499999999999</v>
      </c>
      <c r="J402" s="14">
        <f>CHOOSE(CONTROL!$C$42, 20.0334, 20.0334)* CHOOSE(CONTROL!$C$21, $C$9, 100%, $E$9)</f>
        <v>20.0334</v>
      </c>
      <c r="K402" s="52">
        <f>CHOOSE(CONTROL!$C$42, 20.1046, 20.1046) * CHOOSE(CONTROL!$C$21, $C$9, 100%, $E$9)</f>
        <v>20.104600000000001</v>
      </c>
      <c r="L402" s="14">
        <f>CHOOSE(CONTROL!$C$42, 20.8552, 20.8552) * CHOOSE(CONTROL!$C$21, $C$9, 100%, $E$9)</f>
        <v>20.8552</v>
      </c>
      <c r="M402" s="14">
        <f>CHOOSE(CONTROL!$C$42, 19.6306, 19.6306) * CHOOSE(CONTROL!$C$21, $C$9, 100%, $E$9)</f>
        <v>19.630600000000001</v>
      </c>
      <c r="N402" s="14">
        <f>CHOOSE(CONTROL!$C$42, 19.6473, 19.6473) * CHOOSE(CONTROL!$C$21, $C$9, 100%, $E$9)</f>
        <v>19.647300000000001</v>
      </c>
      <c r="O402" s="14">
        <f>CHOOSE(CONTROL!$C$42, 19.8606, 19.8606) * CHOOSE(CONTROL!$C$21, $C$9, 100%, $E$9)</f>
        <v>19.860600000000002</v>
      </c>
      <c r="P402" s="14">
        <f>CHOOSE(CONTROL!$C$42, 19.703, 19.703) * CHOOSE(CONTROL!$C$21, $C$9, 100%, $E$9)</f>
        <v>19.702999999999999</v>
      </c>
      <c r="Q402" s="14">
        <f>CHOOSE(CONTROL!$C$42, 20.4553, 20.4553) * CHOOSE(CONTROL!$C$21, $C$9, 100%, $E$9)</f>
        <v>20.455300000000001</v>
      </c>
      <c r="R402" s="14">
        <f>CHOOSE(CONTROL!$C$42, 21.0934, 21.0934) * CHOOSE(CONTROL!$C$21, $C$9, 100%, $E$9)</f>
        <v>21.093399999999999</v>
      </c>
      <c r="S402" s="14">
        <f>CHOOSE(CONTROL!$C$42, 19.2211, 19.2211) * CHOOSE(CONTROL!$C$21, $C$9, 100%, $E$9)</f>
        <v>19.2211</v>
      </c>
      <c r="T40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56">
        <f>(1000*CHOOSE(CONTROL!$C$42, 695, 695)*CHOOSE(CONTROL!$C$42, 0.5599, 0.5599)*CHOOSE(CONTROL!$C$42, 30, 30))/1000000</f>
        <v>11.673914999999997</v>
      </c>
      <c r="V402" s="56">
        <f>(1000*CHOOSE(CONTROL!$C$42, 500, 500)*CHOOSE(CONTROL!$C$42, 0.275, 0.275)*CHOOSE(CONTROL!$C$42, 30, 30))/1000000</f>
        <v>4.125</v>
      </c>
      <c r="W402" s="56">
        <f>(1000*CHOOSE(CONTROL!$C$42, 0.1146, 0.1146)*CHOOSE(CONTROL!$C$42, 121.5, 121.5)*CHOOSE(CONTROL!$C$42, 30, 30))/1000000</f>
        <v>0.417717</v>
      </c>
      <c r="X402" s="56">
        <f>(30*0.1790888*245000/1000000)+(30*0.2374*100000/1000000)</f>
        <v>2.0285026799999999</v>
      </c>
      <c r="Y402" s="56"/>
      <c r="Z402" s="14"/>
      <c r="AA402" s="55"/>
      <c r="AB402" s="49">
        <f>(B402*194.205+C402*267.466+D402*133.845+E402*53.484+F402*40+G402*185+H402*0+I402*100+J402*300)/(194.205+267.466+133.845+53.484+0+40+185+100+300)</f>
        <v>20.070664202668759</v>
      </c>
      <c r="AC402" s="44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19.709394244604319</v>
      </c>
    </row>
    <row r="403" spans="1:29" ht="15.75" x14ac:dyDescent="0.25">
      <c r="A403" s="32">
        <v>53174</v>
      </c>
      <c r="B403" s="14">
        <f>CHOOSE(CONTROL!$C$42, 19.6305, 19.6305) * CHOOSE(CONTROL!$C$21, $C$9, 100%, $E$9)</f>
        <v>19.630500000000001</v>
      </c>
      <c r="C403" s="14">
        <f>CHOOSE(CONTROL!$C$42, 19.6386, 19.6386) * CHOOSE(CONTROL!$C$21, $C$9, 100%, $E$9)</f>
        <v>19.6386</v>
      </c>
      <c r="D403" s="14">
        <f>CHOOSE(CONTROL!$C$42, 19.8644, 19.8644) * CHOOSE(CONTROL!$C$21, $C$9, 100%, $E$9)</f>
        <v>19.8644</v>
      </c>
      <c r="E403" s="14">
        <f>CHOOSE(CONTROL!$C$42, 19.8958, 19.8958) * CHOOSE(CONTROL!$C$21, $C$9, 100%, $E$9)</f>
        <v>19.895800000000001</v>
      </c>
      <c r="F403" s="14">
        <f>CHOOSE(CONTROL!$C$42, 19.6571, 19.6571)*CHOOSE(CONTROL!$C$21, $C$9, 100%, $E$9)</f>
        <v>19.6571</v>
      </c>
      <c r="G403" s="14">
        <f>CHOOSE(CONTROL!$C$42, 19.6743, 19.6743)*CHOOSE(CONTROL!$C$21, $C$9, 100%, $E$9)</f>
        <v>19.674299999999999</v>
      </c>
      <c r="H403" s="14">
        <f>CHOOSE(CONTROL!$C$42, 19.8845, 19.8845) * CHOOSE(CONTROL!$C$21, $C$9, 100%, $E$9)</f>
        <v>19.884499999999999</v>
      </c>
      <c r="I403" s="14">
        <f>CHOOSE(CONTROL!$C$42, 19.7236, 19.7236)* CHOOSE(CONTROL!$C$21, $C$9, 100%, $E$9)</f>
        <v>19.723600000000001</v>
      </c>
      <c r="J403" s="14">
        <f>CHOOSE(CONTROL!$C$42, 19.6501, 19.6501)* CHOOSE(CONTROL!$C$21, $C$9, 100%, $E$9)</f>
        <v>19.650099999999998</v>
      </c>
      <c r="K403" s="52">
        <f>CHOOSE(CONTROL!$C$42, 19.7197, 19.7197) * CHOOSE(CONTROL!$C$21, $C$9, 100%, $E$9)</f>
        <v>19.7197</v>
      </c>
      <c r="L403" s="14">
        <f>CHOOSE(CONTROL!$C$42, 20.4715, 20.4715) * CHOOSE(CONTROL!$C$21, $C$9, 100%, $E$9)</f>
        <v>20.471499999999999</v>
      </c>
      <c r="M403" s="14">
        <f>CHOOSE(CONTROL!$C$42, 19.2552, 19.2552) * CHOOSE(CONTROL!$C$21, $C$9, 100%, $E$9)</f>
        <v>19.255199999999999</v>
      </c>
      <c r="N403" s="14">
        <f>CHOOSE(CONTROL!$C$42, 19.272, 19.272) * CHOOSE(CONTROL!$C$21, $C$9, 100%, $E$9)</f>
        <v>19.271999999999998</v>
      </c>
      <c r="O403" s="14">
        <f>CHOOSE(CONTROL!$C$42, 19.4847, 19.4847) * CHOOSE(CONTROL!$C$21, $C$9, 100%, $E$9)</f>
        <v>19.4847</v>
      </c>
      <c r="P403" s="14">
        <f>CHOOSE(CONTROL!$C$42, 19.326, 19.326) * CHOOSE(CONTROL!$C$21, $C$9, 100%, $E$9)</f>
        <v>19.326000000000001</v>
      </c>
      <c r="Q403" s="14">
        <f>CHOOSE(CONTROL!$C$42, 20.0794, 20.0794) * CHOOSE(CONTROL!$C$21, $C$9, 100%, $E$9)</f>
        <v>20.0794</v>
      </c>
      <c r="R403" s="14">
        <f>CHOOSE(CONTROL!$C$42, 20.7166, 20.7166) * CHOOSE(CONTROL!$C$21, $C$9, 100%, $E$9)</f>
        <v>20.7166</v>
      </c>
      <c r="S403" s="14">
        <f>CHOOSE(CONTROL!$C$42, 18.8524, 18.8524) * CHOOSE(CONTROL!$C$21, $C$9, 100%, $E$9)</f>
        <v>18.852399999999999</v>
      </c>
      <c r="T40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56">
        <f>(1000*CHOOSE(CONTROL!$C$42, 695, 695)*CHOOSE(CONTROL!$C$42, 0.5599, 0.5599)*CHOOSE(CONTROL!$C$42, 31, 31))/1000000</f>
        <v>12.063045499999998</v>
      </c>
      <c r="V403" s="56">
        <f>(1000*CHOOSE(CONTROL!$C$42, 500, 500)*CHOOSE(CONTROL!$C$42, 0.275, 0.275)*CHOOSE(CONTROL!$C$42, 31, 31))/1000000</f>
        <v>4.2625000000000002</v>
      </c>
      <c r="W403" s="56">
        <f>(1000*CHOOSE(CONTROL!$C$42, 0.1146, 0.1146)*CHOOSE(CONTROL!$C$42, 121.5, 121.5)*CHOOSE(CONTROL!$C$42, 31, 31))/1000000</f>
        <v>0.43164089999999994</v>
      </c>
      <c r="X403" s="56">
        <f>(31*0.1790888*245000/1000000)+(31*0.2374*100000/1000000)</f>
        <v>2.0961194359999999</v>
      </c>
      <c r="Y403" s="56"/>
      <c r="Z403" s="14"/>
      <c r="AA403" s="55"/>
      <c r="AB403" s="49">
        <f>(B403*194.205+C403*267.466+D403*133.845+E403*53.484+F403*40+G403*185+H403*0+I403*100+J403*300)/(194.205+267.466+133.845+53.484+0+40+185+100+300)</f>
        <v>19.68702992566719</v>
      </c>
      <c r="AC403" s="44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19.333646762589929</v>
      </c>
    </row>
    <row r="404" spans="1:29" ht="15.75" x14ac:dyDescent="0.25">
      <c r="A404" s="32">
        <v>53205</v>
      </c>
      <c r="B404" s="14">
        <f>CHOOSE(CONTROL!$C$42, 18.6615, 18.6615) * CHOOSE(CONTROL!$C$21, $C$9, 100%, $E$9)</f>
        <v>18.6615</v>
      </c>
      <c r="C404" s="14">
        <f>CHOOSE(CONTROL!$C$42, 18.6695, 18.6695) * CHOOSE(CONTROL!$C$21, $C$9, 100%, $E$9)</f>
        <v>18.669499999999999</v>
      </c>
      <c r="D404" s="14">
        <f>CHOOSE(CONTROL!$C$42, 18.8953, 18.8953) * CHOOSE(CONTROL!$C$21, $C$9, 100%, $E$9)</f>
        <v>18.895299999999999</v>
      </c>
      <c r="E404" s="14">
        <f>CHOOSE(CONTROL!$C$42, 18.9268, 18.9268) * CHOOSE(CONTROL!$C$21, $C$9, 100%, $E$9)</f>
        <v>18.9268</v>
      </c>
      <c r="F404" s="14">
        <f>CHOOSE(CONTROL!$C$42, 18.6883, 18.6883)*CHOOSE(CONTROL!$C$21, $C$9, 100%, $E$9)</f>
        <v>18.688300000000002</v>
      </c>
      <c r="G404" s="14">
        <f>CHOOSE(CONTROL!$C$42, 18.7056, 18.7056)*CHOOSE(CONTROL!$C$21, $C$9, 100%, $E$9)</f>
        <v>18.7056</v>
      </c>
      <c r="H404" s="14">
        <f>CHOOSE(CONTROL!$C$42, 18.9154, 18.9154) * CHOOSE(CONTROL!$C$21, $C$9, 100%, $E$9)</f>
        <v>18.915400000000002</v>
      </c>
      <c r="I404" s="14">
        <f>CHOOSE(CONTROL!$C$42, 18.7515, 18.7515)* CHOOSE(CONTROL!$C$21, $C$9, 100%, $E$9)</f>
        <v>18.7515</v>
      </c>
      <c r="J404" s="14">
        <f>CHOOSE(CONTROL!$C$42, 18.6813, 18.6813)* CHOOSE(CONTROL!$C$21, $C$9, 100%, $E$9)</f>
        <v>18.6813</v>
      </c>
      <c r="K404" s="52">
        <f>CHOOSE(CONTROL!$C$42, 18.7476, 18.7476) * CHOOSE(CONTROL!$C$21, $C$9, 100%, $E$9)</f>
        <v>18.747599999999998</v>
      </c>
      <c r="L404" s="14">
        <f>CHOOSE(CONTROL!$C$42, 19.5024, 19.5024) * CHOOSE(CONTROL!$C$21, $C$9, 100%, $E$9)</f>
        <v>19.502400000000002</v>
      </c>
      <c r="M404" s="14">
        <f>CHOOSE(CONTROL!$C$42, 18.3062, 18.3062) * CHOOSE(CONTROL!$C$21, $C$9, 100%, $E$9)</f>
        <v>18.3062</v>
      </c>
      <c r="N404" s="14">
        <f>CHOOSE(CONTROL!$C$42, 18.3231, 18.3231) * CHOOSE(CONTROL!$C$21, $C$9, 100%, $E$9)</f>
        <v>18.3231</v>
      </c>
      <c r="O404" s="14">
        <f>CHOOSE(CONTROL!$C$42, 18.5355, 18.5355) * CHOOSE(CONTROL!$C$21, $C$9, 100%, $E$9)</f>
        <v>18.535499999999999</v>
      </c>
      <c r="P404" s="14">
        <f>CHOOSE(CONTROL!$C$42, 18.3738, 18.3738) * CHOOSE(CONTROL!$C$21, $C$9, 100%, $E$9)</f>
        <v>18.373799999999999</v>
      </c>
      <c r="Q404" s="14">
        <f>CHOOSE(CONTROL!$C$42, 19.1302, 19.1302) * CHOOSE(CONTROL!$C$21, $C$9, 100%, $E$9)</f>
        <v>19.130199999999999</v>
      </c>
      <c r="R404" s="14">
        <f>CHOOSE(CONTROL!$C$42, 19.765, 19.765) * CHOOSE(CONTROL!$C$21, $C$9, 100%, $E$9)</f>
        <v>19.765000000000001</v>
      </c>
      <c r="S404" s="14">
        <f>CHOOSE(CONTROL!$C$42, 17.9212, 17.9212) * CHOOSE(CONTROL!$C$21, $C$9, 100%, $E$9)</f>
        <v>17.921199999999999</v>
      </c>
      <c r="T40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56">
        <f>(1000*CHOOSE(CONTROL!$C$42, 695, 695)*CHOOSE(CONTROL!$C$42, 0.5599, 0.5599)*CHOOSE(CONTROL!$C$42, 31, 31))/1000000</f>
        <v>12.063045499999998</v>
      </c>
      <c r="V404" s="56">
        <f>(1000*CHOOSE(CONTROL!$C$42, 500, 500)*CHOOSE(CONTROL!$C$42, 0.275, 0.275)*CHOOSE(CONTROL!$C$42, 31, 31))/1000000</f>
        <v>4.2625000000000002</v>
      </c>
      <c r="W404" s="56">
        <f>(1000*CHOOSE(CONTROL!$C$42, 0.1146, 0.1146)*CHOOSE(CONTROL!$C$42, 121.5, 121.5)*CHOOSE(CONTROL!$C$42, 31, 31))/1000000</f>
        <v>0.43164089999999994</v>
      </c>
      <c r="X404" s="56">
        <f>(31*0.1790888*245000/1000000)+(31*0.2374*100000/1000000)</f>
        <v>2.0961194359999999</v>
      </c>
      <c r="Y404" s="56"/>
      <c r="Z404" s="14"/>
      <c r="AA404" s="55"/>
      <c r="AB404" s="49">
        <f>(B404*194.205+C404*267.466+D404*133.845+E404*53.484+F404*40+G404*185+H404*0+I404*100+J404*300)/(194.205+267.466+133.845+53.484+0+40+185+100+300)</f>
        <v>18.717852036263736</v>
      </c>
      <c r="AC404" s="44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18.384153237410072</v>
      </c>
    </row>
    <row r="405" spans="1:29" ht="15.75" x14ac:dyDescent="0.25">
      <c r="A405" s="32">
        <v>53235</v>
      </c>
      <c r="B405" s="14">
        <f>CHOOSE(CONTROL!$C$42, 17.4772, 17.4772) * CHOOSE(CONTROL!$C$21, $C$9, 100%, $E$9)</f>
        <v>17.4772</v>
      </c>
      <c r="C405" s="14">
        <f>CHOOSE(CONTROL!$C$42, 17.4853, 17.4853) * CHOOSE(CONTROL!$C$21, $C$9, 100%, $E$9)</f>
        <v>17.485299999999999</v>
      </c>
      <c r="D405" s="14">
        <f>CHOOSE(CONTROL!$C$42, 17.711, 17.711) * CHOOSE(CONTROL!$C$21, $C$9, 100%, $E$9)</f>
        <v>17.710999999999999</v>
      </c>
      <c r="E405" s="14">
        <f>CHOOSE(CONTROL!$C$42, 17.7425, 17.7425) * CHOOSE(CONTROL!$C$21, $C$9, 100%, $E$9)</f>
        <v>17.7425</v>
      </c>
      <c r="F405" s="14">
        <f>CHOOSE(CONTROL!$C$42, 17.504, 17.504)*CHOOSE(CONTROL!$C$21, $C$9, 100%, $E$9)</f>
        <v>17.504000000000001</v>
      </c>
      <c r="G405" s="14">
        <f>CHOOSE(CONTROL!$C$42, 17.5213, 17.5213)*CHOOSE(CONTROL!$C$21, $C$9, 100%, $E$9)</f>
        <v>17.5213</v>
      </c>
      <c r="H405" s="14">
        <f>CHOOSE(CONTROL!$C$42, 17.7311, 17.7311) * CHOOSE(CONTROL!$C$21, $C$9, 100%, $E$9)</f>
        <v>17.731100000000001</v>
      </c>
      <c r="I405" s="14">
        <f>CHOOSE(CONTROL!$C$42, 17.5635, 17.5635)* CHOOSE(CONTROL!$C$21, $C$9, 100%, $E$9)</f>
        <v>17.563500000000001</v>
      </c>
      <c r="J405" s="14">
        <f>CHOOSE(CONTROL!$C$42, 17.497, 17.497)* CHOOSE(CONTROL!$C$21, $C$9, 100%, $E$9)</f>
        <v>17.497</v>
      </c>
      <c r="K405" s="52">
        <f>CHOOSE(CONTROL!$C$42, 17.5596, 17.5596) * CHOOSE(CONTROL!$C$21, $C$9, 100%, $E$9)</f>
        <v>17.5596</v>
      </c>
      <c r="L405" s="14">
        <f>CHOOSE(CONTROL!$C$42, 18.3181, 18.3181) * CHOOSE(CONTROL!$C$21, $C$9, 100%, $E$9)</f>
        <v>18.318100000000001</v>
      </c>
      <c r="M405" s="14">
        <f>CHOOSE(CONTROL!$C$42, 17.1462, 17.1462) * CHOOSE(CONTROL!$C$21, $C$9, 100%, $E$9)</f>
        <v>17.1462</v>
      </c>
      <c r="N405" s="14">
        <f>CHOOSE(CONTROL!$C$42, 17.1631, 17.1631) * CHOOSE(CONTROL!$C$21, $C$9, 100%, $E$9)</f>
        <v>17.1631</v>
      </c>
      <c r="O405" s="14">
        <f>CHOOSE(CONTROL!$C$42, 17.3755, 17.3755) * CHOOSE(CONTROL!$C$21, $C$9, 100%, $E$9)</f>
        <v>17.375499999999999</v>
      </c>
      <c r="P405" s="14">
        <f>CHOOSE(CONTROL!$C$42, 17.2103, 17.2103) * CHOOSE(CONTROL!$C$21, $C$9, 100%, $E$9)</f>
        <v>17.2103</v>
      </c>
      <c r="Q405" s="14">
        <f>CHOOSE(CONTROL!$C$42, 17.9702, 17.9702) * CHOOSE(CONTROL!$C$21, $C$9, 100%, $E$9)</f>
        <v>17.970199999999998</v>
      </c>
      <c r="R405" s="14">
        <f>CHOOSE(CONTROL!$C$42, 18.6022, 18.6022) * CHOOSE(CONTROL!$C$21, $C$9, 100%, $E$9)</f>
        <v>18.6022</v>
      </c>
      <c r="S405" s="14">
        <f>CHOOSE(CONTROL!$C$42, 16.7832, 16.7832) * CHOOSE(CONTROL!$C$21, $C$9, 100%, $E$9)</f>
        <v>16.783200000000001</v>
      </c>
      <c r="T40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56">
        <f>(1000*CHOOSE(CONTROL!$C$42, 695, 695)*CHOOSE(CONTROL!$C$42, 0.5599, 0.5599)*CHOOSE(CONTROL!$C$42, 30, 30))/1000000</f>
        <v>11.673914999999997</v>
      </c>
      <c r="V405" s="56">
        <f>(1000*CHOOSE(CONTROL!$C$42, 500, 500)*CHOOSE(CONTROL!$C$42, 0.275, 0.275)*CHOOSE(CONTROL!$C$42, 30, 30))/1000000</f>
        <v>4.125</v>
      </c>
      <c r="W405" s="56">
        <f>(1000*CHOOSE(CONTROL!$C$42, 0.1146, 0.1146)*CHOOSE(CONTROL!$C$42, 121.5, 121.5)*CHOOSE(CONTROL!$C$42, 30, 30))/1000000</f>
        <v>0.417717</v>
      </c>
      <c r="X405" s="56">
        <f>(30*0.1790888*245000/1000000)+(30*0.2374*100000/1000000)</f>
        <v>2.0285026799999999</v>
      </c>
      <c r="Y405" s="56"/>
      <c r="Z405" s="14"/>
      <c r="AA405" s="55"/>
      <c r="AB405" s="49">
        <f>(B405*194.205+C405*267.466+D405*133.845+E405*53.484+F405*40+G405*185+H405*0+I405*100+J405*300)/(194.205+267.466+133.845+53.484+0+40+185+100+300)</f>
        <v>17.533282606593406</v>
      </c>
      <c r="AC405" s="44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17.223649640287771</v>
      </c>
    </row>
    <row r="406" spans="1:29" ht="15.75" x14ac:dyDescent="0.25">
      <c r="A406" s="32">
        <v>53266</v>
      </c>
      <c r="B406" s="14">
        <f>CHOOSE(CONTROL!$C$42, 17.1209, 17.1209) * CHOOSE(CONTROL!$C$21, $C$9, 100%, $E$9)</f>
        <v>17.120899999999999</v>
      </c>
      <c r="C406" s="14">
        <f>CHOOSE(CONTROL!$C$42, 17.1262, 17.1262) * CHOOSE(CONTROL!$C$21, $C$9, 100%, $E$9)</f>
        <v>17.126200000000001</v>
      </c>
      <c r="D406" s="14">
        <f>CHOOSE(CONTROL!$C$42, 17.3569, 17.3569) * CHOOSE(CONTROL!$C$21, $C$9, 100%, $E$9)</f>
        <v>17.3569</v>
      </c>
      <c r="E406" s="14">
        <f>CHOOSE(CONTROL!$C$42, 17.3861, 17.3861) * CHOOSE(CONTROL!$C$21, $C$9, 100%, $E$9)</f>
        <v>17.386099999999999</v>
      </c>
      <c r="F406" s="14">
        <f>CHOOSE(CONTROL!$C$42, 17.1497, 17.1497)*CHOOSE(CONTROL!$C$21, $C$9, 100%, $E$9)</f>
        <v>17.149699999999999</v>
      </c>
      <c r="G406" s="14">
        <f>CHOOSE(CONTROL!$C$42, 17.1668, 17.1668)*CHOOSE(CONTROL!$C$21, $C$9, 100%, $E$9)</f>
        <v>17.166799999999999</v>
      </c>
      <c r="H406" s="14">
        <f>CHOOSE(CONTROL!$C$42, 17.3765, 17.3765) * CHOOSE(CONTROL!$C$21, $C$9, 100%, $E$9)</f>
        <v>17.3765</v>
      </c>
      <c r="I406" s="14">
        <f>CHOOSE(CONTROL!$C$42, 17.2078, 17.2078)* CHOOSE(CONTROL!$C$21, $C$9, 100%, $E$9)</f>
        <v>17.207799999999999</v>
      </c>
      <c r="J406" s="14">
        <f>CHOOSE(CONTROL!$C$42, 17.1427, 17.1427)* CHOOSE(CONTROL!$C$21, $C$9, 100%, $E$9)</f>
        <v>17.142700000000001</v>
      </c>
      <c r="K406" s="52">
        <f>CHOOSE(CONTROL!$C$42, 17.2039, 17.2039) * CHOOSE(CONTROL!$C$21, $C$9, 100%, $E$9)</f>
        <v>17.203900000000001</v>
      </c>
      <c r="L406" s="14">
        <f>CHOOSE(CONTROL!$C$42, 17.9635, 17.9635) * CHOOSE(CONTROL!$C$21, $C$9, 100%, $E$9)</f>
        <v>17.9635</v>
      </c>
      <c r="M406" s="14">
        <f>CHOOSE(CONTROL!$C$42, 16.7992, 16.7992) * CHOOSE(CONTROL!$C$21, $C$9, 100%, $E$9)</f>
        <v>16.799199999999999</v>
      </c>
      <c r="N406" s="14">
        <f>CHOOSE(CONTROL!$C$42, 16.8159, 16.8159) * CHOOSE(CONTROL!$C$21, $C$9, 100%, $E$9)</f>
        <v>16.815899999999999</v>
      </c>
      <c r="O406" s="14">
        <f>CHOOSE(CONTROL!$C$42, 17.0282, 17.0282) * CHOOSE(CONTROL!$C$21, $C$9, 100%, $E$9)</f>
        <v>17.028199999999998</v>
      </c>
      <c r="P406" s="14">
        <f>CHOOSE(CONTROL!$C$42, 16.8619, 16.8619) * CHOOSE(CONTROL!$C$21, $C$9, 100%, $E$9)</f>
        <v>16.861899999999999</v>
      </c>
      <c r="Q406" s="14">
        <f>CHOOSE(CONTROL!$C$42, 17.6229, 17.6229) * CHOOSE(CONTROL!$C$21, $C$9, 100%, $E$9)</f>
        <v>17.622900000000001</v>
      </c>
      <c r="R406" s="14">
        <f>CHOOSE(CONTROL!$C$42, 18.2539, 18.2539) * CHOOSE(CONTROL!$C$21, $C$9, 100%, $E$9)</f>
        <v>18.253900000000002</v>
      </c>
      <c r="S406" s="14">
        <f>CHOOSE(CONTROL!$C$42, 16.4425, 16.4425) * CHOOSE(CONTROL!$C$21, $C$9, 100%, $E$9)</f>
        <v>16.442499999999999</v>
      </c>
      <c r="T40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56">
        <f>(1000*CHOOSE(CONTROL!$C$42, 695, 695)*CHOOSE(CONTROL!$C$42, 0.5599, 0.5599)*CHOOSE(CONTROL!$C$42, 31, 31))/1000000</f>
        <v>12.063045499999998</v>
      </c>
      <c r="V406" s="56">
        <f>(1000*CHOOSE(CONTROL!$C$42, 500, 500)*CHOOSE(CONTROL!$C$42, 0.275, 0.275)*CHOOSE(CONTROL!$C$42, 31, 31))/1000000</f>
        <v>4.2625000000000002</v>
      </c>
      <c r="W406" s="56">
        <f>(1000*CHOOSE(CONTROL!$C$42, 0.1146, 0.1146)*CHOOSE(CONTROL!$C$42, 121.5, 121.5)*CHOOSE(CONTROL!$C$42, 31, 31))/1000000</f>
        <v>0.43164089999999994</v>
      </c>
      <c r="X406" s="56">
        <f>(31*0.1790888*245000/1000000)+(31*0.2374*100000/1000000)</f>
        <v>2.0961194359999999</v>
      </c>
      <c r="Y406" s="56"/>
      <c r="Z406" s="14"/>
      <c r="AA406" s="55"/>
      <c r="AB406" s="49">
        <f>(B406*131.881+C406*277.167+D406*79.08+E406*125.872+F406*40+G406*185+H406*0+I406*100+J406*300)/(131.881+277.167+79.08+125.872+0+40+185+100+300)</f>
        <v>17.184166036723163</v>
      </c>
      <c r="AC406" s="44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16.876317985611511</v>
      </c>
    </row>
    <row r="407" spans="1:29" ht="15.75" x14ac:dyDescent="0.25">
      <c r="A407" s="32">
        <v>53296</v>
      </c>
      <c r="B407" s="14">
        <f>CHOOSE(CONTROL!$C$42, 17.5712, 17.5712) * CHOOSE(CONTROL!$C$21, $C$9, 100%, $E$9)</f>
        <v>17.571200000000001</v>
      </c>
      <c r="C407" s="14">
        <f>CHOOSE(CONTROL!$C$42, 17.5763, 17.5763) * CHOOSE(CONTROL!$C$21, $C$9, 100%, $E$9)</f>
        <v>17.5763</v>
      </c>
      <c r="D407" s="14">
        <f>CHOOSE(CONTROL!$C$42, 17.6453, 17.6453) * CHOOSE(CONTROL!$C$21, $C$9, 100%, $E$9)</f>
        <v>17.645299999999999</v>
      </c>
      <c r="E407" s="14">
        <f>CHOOSE(CONTROL!$C$42, 17.6794, 17.6794) * CHOOSE(CONTROL!$C$21, $C$9, 100%, $E$9)</f>
        <v>17.679400000000001</v>
      </c>
      <c r="F407" s="14">
        <f>CHOOSE(CONTROL!$C$42, 17.6068, 17.6068)*CHOOSE(CONTROL!$C$21, $C$9, 100%, $E$9)</f>
        <v>17.6068</v>
      </c>
      <c r="G407" s="14">
        <f>CHOOSE(CONTROL!$C$42, 17.6242, 17.6242)*CHOOSE(CONTROL!$C$21, $C$9, 100%, $E$9)</f>
        <v>17.624199999999998</v>
      </c>
      <c r="H407" s="14">
        <f>CHOOSE(CONTROL!$C$42, 17.6686, 17.6686) * CHOOSE(CONTROL!$C$21, $C$9, 100%, $E$9)</f>
        <v>17.668600000000001</v>
      </c>
      <c r="I407" s="14">
        <f>CHOOSE(CONTROL!$C$42, 17.6626, 17.6626)* CHOOSE(CONTROL!$C$21, $C$9, 100%, $E$9)</f>
        <v>17.662600000000001</v>
      </c>
      <c r="J407" s="14">
        <f>CHOOSE(CONTROL!$C$42, 17.5998, 17.5998)* CHOOSE(CONTROL!$C$21, $C$9, 100%, $E$9)</f>
        <v>17.599799999999998</v>
      </c>
      <c r="K407" s="52">
        <f>CHOOSE(CONTROL!$C$42, 17.6587, 17.6587) * CHOOSE(CONTROL!$C$21, $C$9, 100%, $E$9)</f>
        <v>17.6587</v>
      </c>
      <c r="L407" s="14">
        <f>CHOOSE(CONTROL!$C$42, 18.2556, 18.2556) * CHOOSE(CONTROL!$C$21, $C$9, 100%, $E$9)</f>
        <v>18.255600000000001</v>
      </c>
      <c r="M407" s="14">
        <f>CHOOSE(CONTROL!$C$42, 17.2469, 17.2469) * CHOOSE(CONTROL!$C$21, $C$9, 100%, $E$9)</f>
        <v>17.2469</v>
      </c>
      <c r="N407" s="14">
        <f>CHOOSE(CONTROL!$C$42, 17.2639, 17.2639) * CHOOSE(CONTROL!$C$21, $C$9, 100%, $E$9)</f>
        <v>17.2639</v>
      </c>
      <c r="O407" s="14">
        <f>CHOOSE(CONTROL!$C$42, 17.3143, 17.3143) * CHOOSE(CONTROL!$C$21, $C$9, 100%, $E$9)</f>
        <v>17.314299999999999</v>
      </c>
      <c r="P407" s="14">
        <f>CHOOSE(CONTROL!$C$42, 17.3073, 17.3073) * CHOOSE(CONTROL!$C$21, $C$9, 100%, $E$9)</f>
        <v>17.307300000000001</v>
      </c>
      <c r="Q407" s="14">
        <f>CHOOSE(CONTROL!$C$42, 17.909, 17.909) * CHOOSE(CONTROL!$C$21, $C$9, 100%, $E$9)</f>
        <v>17.908999999999999</v>
      </c>
      <c r="R407" s="14">
        <f>CHOOSE(CONTROL!$C$42, 18.5407, 18.5407) * CHOOSE(CONTROL!$C$21, $C$9, 100%, $E$9)</f>
        <v>18.540700000000001</v>
      </c>
      <c r="S407" s="14">
        <f>CHOOSE(CONTROL!$C$42, 16.8756, 16.8756) * CHOOSE(CONTROL!$C$21, $C$9, 100%, $E$9)</f>
        <v>16.875599999999999</v>
      </c>
      <c r="T40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56">
        <f>(1000*CHOOSE(CONTROL!$C$42, 695, 695)*CHOOSE(CONTROL!$C$42, 0.5599, 0.5599)*CHOOSE(CONTROL!$C$42, 30, 30))/1000000</f>
        <v>11.673914999999997</v>
      </c>
      <c r="V407" s="56">
        <f>(1000*CHOOSE(CONTROL!$C$42, 500, 500)*CHOOSE(CONTROL!$C$42, 0.275, 0.275)*CHOOSE(CONTROL!$C$42, 30, 30))/1000000</f>
        <v>4.125</v>
      </c>
      <c r="W407" s="56">
        <f>(1000*CHOOSE(CONTROL!$C$42, 0.1146, 0.1146)*CHOOSE(CONTROL!$C$42, 121.5, 121.5)*CHOOSE(CONTROL!$C$42, 30, 30))/1000000</f>
        <v>0.417717</v>
      </c>
      <c r="X407" s="56">
        <f>(30*0.1790888*100000/1000000)+(30*0.2374*100000/1000000)</f>
        <v>1.2494664</v>
      </c>
      <c r="Y407" s="56"/>
      <c r="Z407" s="14"/>
      <c r="AA407" s="55"/>
      <c r="AB407" s="49">
        <f>(B407*122.58+C407*297.941+D407*89.177+E407*40.302+F407*40+G407*160+H407*0+I407*100+J407*300)/(122.58+297.941+89.177+40.302+0+40+160+100+300)</f>
        <v>17.60608016626087</v>
      </c>
      <c r="AC407" s="44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17.28711726618705</v>
      </c>
    </row>
    <row r="408" spans="1:29" ht="15.75" x14ac:dyDescent="0.25">
      <c r="A408" s="32">
        <v>53327</v>
      </c>
      <c r="B408" s="14">
        <f>CHOOSE(CONTROL!$C$42, 18.7686, 18.7686) * CHOOSE(CONTROL!$C$21, $C$9, 100%, $E$9)</f>
        <v>18.768599999999999</v>
      </c>
      <c r="C408" s="14">
        <f>CHOOSE(CONTROL!$C$42, 18.7736, 18.7736) * CHOOSE(CONTROL!$C$21, $C$9, 100%, $E$9)</f>
        <v>18.773599999999998</v>
      </c>
      <c r="D408" s="14">
        <f>CHOOSE(CONTROL!$C$42, 18.8426, 18.8426) * CHOOSE(CONTROL!$C$21, $C$9, 100%, $E$9)</f>
        <v>18.842600000000001</v>
      </c>
      <c r="E408" s="14">
        <f>CHOOSE(CONTROL!$C$42, 18.8767, 18.8767) * CHOOSE(CONTROL!$C$21, $C$9, 100%, $E$9)</f>
        <v>18.8767</v>
      </c>
      <c r="F408" s="14">
        <f>CHOOSE(CONTROL!$C$42, 18.8064, 18.8064)*CHOOSE(CONTROL!$C$21, $C$9, 100%, $E$9)</f>
        <v>18.8064</v>
      </c>
      <c r="G408" s="14">
        <f>CHOOSE(CONTROL!$C$42, 18.8244, 18.8244)*CHOOSE(CONTROL!$C$21, $C$9, 100%, $E$9)</f>
        <v>18.824400000000001</v>
      </c>
      <c r="H408" s="14">
        <f>CHOOSE(CONTROL!$C$42, 18.8659, 18.8659) * CHOOSE(CONTROL!$C$21, $C$9, 100%, $E$9)</f>
        <v>18.8659</v>
      </c>
      <c r="I408" s="14">
        <f>CHOOSE(CONTROL!$C$42, 18.8637, 18.8637)* CHOOSE(CONTROL!$C$21, $C$9, 100%, $E$9)</f>
        <v>18.863700000000001</v>
      </c>
      <c r="J408" s="14">
        <f>CHOOSE(CONTROL!$C$42, 18.7994, 18.7994)* CHOOSE(CONTROL!$C$21, $C$9, 100%, $E$9)</f>
        <v>18.799399999999999</v>
      </c>
      <c r="K408" s="52">
        <f>CHOOSE(CONTROL!$C$42, 18.8598, 18.8598) * CHOOSE(CONTROL!$C$21, $C$9, 100%, $E$9)</f>
        <v>18.8598</v>
      </c>
      <c r="L408" s="14">
        <f>CHOOSE(CONTROL!$C$42, 19.4529, 19.4529) * CHOOSE(CONTROL!$C$21, $C$9, 100%, $E$9)</f>
        <v>19.4529</v>
      </c>
      <c r="M408" s="14">
        <f>CHOOSE(CONTROL!$C$42, 18.4219, 18.4219) * CHOOSE(CONTROL!$C$21, $C$9, 100%, $E$9)</f>
        <v>18.421900000000001</v>
      </c>
      <c r="N408" s="14">
        <f>CHOOSE(CONTROL!$C$42, 18.4395, 18.4395) * CHOOSE(CONTROL!$C$21, $C$9, 100%, $E$9)</f>
        <v>18.439499999999999</v>
      </c>
      <c r="O408" s="14">
        <f>CHOOSE(CONTROL!$C$42, 18.4871, 18.4871) * CHOOSE(CONTROL!$C$21, $C$9, 100%, $E$9)</f>
        <v>18.487100000000002</v>
      </c>
      <c r="P408" s="14">
        <f>CHOOSE(CONTROL!$C$42, 18.4838, 18.4838) * CHOOSE(CONTROL!$C$21, $C$9, 100%, $E$9)</f>
        <v>18.483799999999999</v>
      </c>
      <c r="Q408" s="14">
        <f>CHOOSE(CONTROL!$C$42, 19.0818, 19.0818) * CHOOSE(CONTROL!$C$21, $C$9, 100%, $E$9)</f>
        <v>19.081800000000001</v>
      </c>
      <c r="R408" s="14">
        <f>CHOOSE(CONTROL!$C$42, 19.7165, 19.7165) * CHOOSE(CONTROL!$C$21, $C$9, 100%, $E$9)</f>
        <v>19.7165</v>
      </c>
      <c r="S408" s="14">
        <f>CHOOSE(CONTROL!$C$42, 18.0262, 18.0262) * CHOOSE(CONTROL!$C$21, $C$9, 100%, $E$9)</f>
        <v>18.026199999999999</v>
      </c>
      <c r="T40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56">
        <f>(1000*CHOOSE(CONTROL!$C$42, 695, 695)*CHOOSE(CONTROL!$C$42, 0.5599, 0.5599)*CHOOSE(CONTROL!$C$42, 31, 31))/1000000</f>
        <v>12.063045499999998</v>
      </c>
      <c r="V408" s="56">
        <f>(1000*CHOOSE(CONTROL!$C$42, 500, 500)*CHOOSE(CONTROL!$C$42, 0.275, 0.275)*CHOOSE(CONTROL!$C$42, 31, 31))/1000000</f>
        <v>4.2625000000000002</v>
      </c>
      <c r="W408" s="56">
        <f>(1000*CHOOSE(CONTROL!$C$42, 0.1146, 0.1146)*CHOOSE(CONTROL!$C$42, 121.5, 121.5)*CHOOSE(CONTROL!$C$42, 31, 31))/1000000</f>
        <v>0.43164089999999994</v>
      </c>
      <c r="X408" s="56">
        <f>(31*0.1790888*100000/1000000)+(31*0.2374*100000/1000000)</f>
        <v>1.2911152800000001</v>
      </c>
      <c r="Y408" s="56"/>
      <c r="Z408" s="14"/>
      <c r="AA408" s="55"/>
      <c r="AB408" s="49">
        <f>(B408*122.58+C408*297.941+D408*89.177+E408*40.302+F408*40+G408*160+H408*0+I408*100+J408*300)/(122.58+297.941+89.177+40.302+0+40+160+100+300)</f>
        <v>18.804804738434783</v>
      </c>
      <c r="AC408" s="44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18.461370503597124</v>
      </c>
    </row>
    <row r="409" spans="1:29" ht="15.75" x14ac:dyDescent="0.25">
      <c r="A409" s="32">
        <v>53358</v>
      </c>
      <c r="B409" s="14">
        <f>CHOOSE(CONTROL!$C$42, 20.3237, 20.3237) * CHOOSE(CONTROL!$C$21, $C$9, 100%, $E$9)</f>
        <v>20.323699999999999</v>
      </c>
      <c r="C409" s="14">
        <f>CHOOSE(CONTROL!$C$42, 20.3288, 20.3288) * CHOOSE(CONTROL!$C$21, $C$9, 100%, $E$9)</f>
        <v>20.328800000000001</v>
      </c>
      <c r="D409" s="14">
        <f>CHOOSE(CONTROL!$C$42, 20.4082, 20.4082) * CHOOSE(CONTROL!$C$21, $C$9, 100%, $E$9)</f>
        <v>20.408200000000001</v>
      </c>
      <c r="E409" s="14">
        <f>CHOOSE(CONTROL!$C$42, 20.4423, 20.4423) * CHOOSE(CONTROL!$C$21, $C$9, 100%, $E$9)</f>
        <v>20.442299999999999</v>
      </c>
      <c r="F409" s="14">
        <f>CHOOSE(CONTROL!$C$42, 20.3467, 20.3467)*CHOOSE(CONTROL!$C$21, $C$9, 100%, $E$9)</f>
        <v>20.346699999999998</v>
      </c>
      <c r="G409" s="14">
        <f>CHOOSE(CONTROL!$C$42, 20.3642, 20.3642)*CHOOSE(CONTROL!$C$21, $C$9, 100%, $E$9)</f>
        <v>20.3642</v>
      </c>
      <c r="H409" s="14">
        <f>CHOOSE(CONTROL!$C$42, 20.4315, 20.4315) * CHOOSE(CONTROL!$C$21, $C$9, 100%, $E$9)</f>
        <v>20.4315</v>
      </c>
      <c r="I409" s="14">
        <f>CHOOSE(CONTROL!$C$42, 20.4226, 20.4226)* CHOOSE(CONTROL!$C$21, $C$9, 100%, $E$9)</f>
        <v>20.422599999999999</v>
      </c>
      <c r="J409" s="14">
        <f>CHOOSE(CONTROL!$C$42, 20.3397, 20.3397)* CHOOSE(CONTROL!$C$21, $C$9, 100%, $E$9)</f>
        <v>20.339700000000001</v>
      </c>
      <c r="K409" s="52">
        <f>CHOOSE(CONTROL!$C$42, 20.4187, 20.4187) * CHOOSE(CONTROL!$C$21, $C$9, 100%, $E$9)</f>
        <v>20.418700000000001</v>
      </c>
      <c r="L409" s="14">
        <f>CHOOSE(CONTROL!$C$42, 21.0185, 21.0185) * CHOOSE(CONTROL!$C$21, $C$9, 100%, $E$9)</f>
        <v>21.0185</v>
      </c>
      <c r="M409" s="14">
        <f>CHOOSE(CONTROL!$C$42, 19.9307, 19.9307) * CHOOSE(CONTROL!$C$21, $C$9, 100%, $E$9)</f>
        <v>19.930700000000002</v>
      </c>
      <c r="N409" s="14">
        <f>CHOOSE(CONTROL!$C$42, 19.9478, 19.9478) * CHOOSE(CONTROL!$C$21, $C$9, 100%, $E$9)</f>
        <v>19.947800000000001</v>
      </c>
      <c r="O409" s="14">
        <f>CHOOSE(CONTROL!$C$42, 20.0205, 20.0205) * CHOOSE(CONTROL!$C$21, $C$9, 100%, $E$9)</f>
        <v>20.020499999999998</v>
      </c>
      <c r="P409" s="14">
        <f>CHOOSE(CONTROL!$C$42, 20.0107, 20.0107) * CHOOSE(CONTROL!$C$21, $C$9, 100%, $E$9)</f>
        <v>20.0107</v>
      </c>
      <c r="Q409" s="14">
        <f>CHOOSE(CONTROL!$C$42, 20.6152, 20.6152) * CHOOSE(CONTROL!$C$21, $C$9, 100%, $E$9)</f>
        <v>20.615200000000002</v>
      </c>
      <c r="R409" s="14">
        <f>CHOOSE(CONTROL!$C$42, 21.2538, 21.2538) * CHOOSE(CONTROL!$C$21, $C$9, 100%, $E$9)</f>
        <v>21.253799999999998</v>
      </c>
      <c r="S409" s="14">
        <f>CHOOSE(CONTROL!$C$42, 19.5205, 19.5205) * CHOOSE(CONTROL!$C$21, $C$9, 100%, $E$9)</f>
        <v>19.520499999999998</v>
      </c>
      <c r="T40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56">
        <f>(1000*CHOOSE(CONTROL!$C$42, 695, 695)*CHOOSE(CONTROL!$C$42, 0.5599, 0.5599)*CHOOSE(CONTROL!$C$42, 31, 31))/1000000</f>
        <v>12.063045499999998</v>
      </c>
      <c r="V409" s="56">
        <f>(1000*CHOOSE(CONTROL!$C$42, 500, 500)*CHOOSE(CONTROL!$C$42, 0.275, 0.275)*CHOOSE(CONTROL!$C$42, 31, 31))/1000000</f>
        <v>4.2625000000000002</v>
      </c>
      <c r="W409" s="56">
        <f>(1000*CHOOSE(CONTROL!$C$42, 0.1146, 0.1146)*CHOOSE(CONTROL!$C$42, 121.5, 121.5)*CHOOSE(CONTROL!$C$42, 31, 31))/1000000</f>
        <v>0.43164089999999994</v>
      </c>
      <c r="X409" s="56">
        <f>(31*0.1790888*100000/1000000)+(31*0.2374*100000/1000000)</f>
        <v>1.2911152800000001</v>
      </c>
      <c r="Y409" s="56"/>
      <c r="Z409" s="14"/>
      <c r="AA409" s="55"/>
      <c r="AB409" s="49">
        <f>(B409*122.58+C409*297.941+D409*89.177+E409*40.302+F409*40+G409*160+H409*0+I409*100+J409*300)/(122.58+297.941+89.177+40.302+0+40+160+100+300)</f>
        <v>20.354938932869565</v>
      </c>
      <c r="AC409" s="44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19.983895683453238</v>
      </c>
    </row>
    <row r="410" spans="1:29" ht="15.75" x14ac:dyDescent="0.25">
      <c r="A410" s="32">
        <v>53386</v>
      </c>
      <c r="B410" s="14">
        <f>CHOOSE(CONTROL!$C$42, 20.6853, 20.6853) * CHOOSE(CONTROL!$C$21, $C$9, 100%, $E$9)</f>
        <v>20.685300000000002</v>
      </c>
      <c r="C410" s="14">
        <f>CHOOSE(CONTROL!$C$42, 20.6904, 20.6904) * CHOOSE(CONTROL!$C$21, $C$9, 100%, $E$9)</f>
        <v>20.6904</v>
      </c>
      <c r="D410" s="14">
        <f>CHOOSE(CONTROL!$C$42, 20.7698, 20.7698) * CHOOSE(CONTROL!$C$21, $C$9, 100%, $E$9)</f>
        <v>20.7698</v>
      </c>
      <c r="E410" s="14">
        <f>CHOOSE(CONTROL!$C$42, 20.8039, 20.8039) * CHOOSE(CONTROL!$C$21, $C$9, 100%, $E$9)</f>
        <v>20.803899999999999</v>
      </c>
      <c r="F410" s="14">
        <f>CHOOSE(CONTROL!$C$42, 20.7081, 20.7081)*CHOOSE(CONTROL!$C$21, $C$9, 100%, $E$9)</f>
        <v>20.708100000000002</v>
      </c>
      <c r="G410" s="14">
        <f>CHOOSE(CONTROL!$C$42, 20.7256, 20.7256)*CHOOSE(CONTROL!$C$21, $C$9, 100%, $E$9)</f>
        <v>20.7256</v>
      </c>
      <c r="H410" s="14">
        <f>CHOOSE(CONTROL!$C$42, 20.7931, 20.7931) * CHOOSE(CONTROL!$C$21, $C$9, 100%, $E$9)</f>
        <v>20.793099999999999</v>
      </c>
      <c r="I410" s="14">
        <f>CHOOSE(CONTROL!$C$42, 20.7854, 20.7854)* CHOOSE(CONTROL!$C$21, $C$9, 100%, $E$9)</f>
        <v>20.785399999999999</v>
      </c>
      <c r="J410" s="14">
        <f>CHOOSE(CONTROL!$C$42, 20.7011, 20.7011)* CHOOSE(CONTROL!$C$21, $C$9, 100%, $E$9)</f>
        <v>20.7011</v>
      </c>
      <c r="K410" s="52">
        <f>CHOOSE(CONTROL!$C$42, 20.7815, 20.7815) * CHOOSE(CONTROL!$C$21, $C$9, 100%, $E$9)</f>
        <v>20.781500000000001</v>
      </c>
      <c r="L410" s="14">
        <f>CHOOSE(CONTROL!$C$42, 21.3801, 21.3801) * CHOOSE(CONTROL!$C$21, $C$9, 100%, $E$9)</f>
        <v>21.380099999999999</v>
      </c>
      <c r="M410" s="14">
        <f>CHOOSE(CONTROL!$C$42, 20.2846, 20.2846) * CHOOSE(CONTROL!$C$21, $C$9, 100%, $E$9)</f>
        <v>20.284600000000001</v>
      </c>
      <c r="N410" s="14">
        <f>CHOOSE(CONTROL!$C$42, 20.3017, 20.3017) * CHOOSE(CONTROL!$C$21, $C$9, 100%, $E$9)</f>
        <v>20.3017</v>
      </c>
      <c r="O410" s="14">
        <f>CHOOSE(CONTROL!$C$42, 20.3748, 20.3748) * CHOOSE(CONTROL!$C$21, $C$9, 100%, $E$9)</f>
        <v>20.3748</v>
      </c>
      <c r="P410" s="14">
        <f>CHOOSE(CONTROL!$C$42, 20.366, 20.366) * CHOOSE(CONTROL!$C$21, $C$9, 100%, $E$9)</f>
        <v>20.366</v>
      </c>
      <c r="Q410" s="14">
        <f>CHOOSE(CONTROL!$C$42, 20.9695, 20.9695) * CHOOSE(CONTROL!$C$21, $C$9, 100%, $E$9)</f>
        <v>20.9695</v>
      </c>
      <c r="R410" s="14">
        <f>CHOOSE(CONTROL!$C$42, 21.6089, 21.6089) * CHOOSE(CONTROL!$C$21, $C$9, 100%, $E$9)</f>
        <v>21.608899999999998</v>
      </c>
      <c r="S410" s="14">
        <f>CHOOSE(CONTROL!$C$42, 19.868, 19.868) * CHOOSE(CONTROL!$C$21, $C$9, 100%, $E$9)</f>
        <v>19.867999999999999</v>
      </c>
      <c r="T41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56">
        <f>(1000*CHOOSE(CONTROL!$C$42, 695, 695)*CHOOSE(CONTROL!$C$42, 0.5599, 0.5599)*CHOOSE(CONTROL!$C$42, 28, 28))/1000000</f>
        <v>10.895653999999999</v>
      </c>
      <c r="V410" s="56">
        <f>(1000*CHOOSE(CONTROL!$C$42, 500, 500)*CHOOSE(CONTROL!$C$42, 0.275, 0.275)*CHOOSE(CONTROL!$C$42, 28, 28))/1000000</f>
        <v>3.85</v>
      </c>
      <c r="W410" s="56">
        <f>(1000*CHOOSE(CONTROL!$C$42, 0.1146, 0.1146)*CHOOSE(CONTROL!$C$42, 121.5, 121.5)*CHOOSE(CONTROL!$C$42, 28, 28))/1000000</f>
        <v>0.38986920000000003</v>
      </c>
      <c r="X410" s="56">
        <f>(28*0.1790888*100000/1000000)+(28*0.2374*100000/1000000)</f>
        <v>1.16616864</v>
      </c>
      <c r="Y410" s="56"/>
      <c r="Z410" s="14"/>
      <c r="AA410" s="55"/>
      <c r="AB410" s="49">
        <f>(B410*122.58+C410*297.941+D410*89.177+E410*40.302+F410*40+G410*160+H410*0+I410*100+J410*300)/(122.58+297.941+89.177+40.302+0+40+160+100+300)</f>
        <v>20.716556324173915</v>
      </c>
      <c r="AC410" s="44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20.338178417266189</v>
      </c>
    </row>
    <row r="411" spans="1:29" ht="15.75" x14ac:dyDescent="0.25">
      <c r="A411" s="32">
        <v>53417</v>
      </c>
      <c r="B411" s="14">
        <f>CHOOSE(CONTROL!$C$42, 20.0983, 20.0983) * CHOOSE(CONTROL!$C$21, $C$9, 100%, $E$9)</f>
        <v>20.098299999999998</v>
      </c>
      <c r="C411" s="14">
        <f>CHOOSE(CONTROL!$C$42, 20.1034, 20.1034) * CHOOSE(CONTROL!$C$21, $C$9, 100%, $E$9)</f>
        <v>20.103400000000001</v>
      </c>
      <c r="D411" s="14">
        <f>CHOOSE(CONTROL!$C$42, 20.1828, 20.1828) * CHOOSE(CONTROL!$C$21, $C$9, 100%, $E$9)</f>
        <v>20.1828</v>
      </c>
      <c r="E411" s="14">
        <f>CHOOSE(CONTROL!$C$42, 20.2169, 20.2169) * CHOOSE(CONTROL!$C$21, $C$9, 100%, $E$9)</f>
        <v>20.216899999999999</v>
      </c>
      <c r="F411" s="14">
        <f>CHOOSE(CONTROL!$C$42, 20.1204, 20.1204)*CHOOSE(CONTROL!$C$21, $C$9, 100%, $E$9)</f>
        <v>20.1204</v>
      </c>
      <c r="G411" s="14">
        <f>CHOOSE(CONTROL!$C$42, 20.1376, 20.1376)*CHOOSE(CONTROL!$C$21, $C$9, 100%, $E$9)</f>
        <v>20.137599999999999</v>
      </c>
      <c r="H411" s="14">
        <f>CHOOSE(CONTROL!$C$42, 20.2061, 20.2061) * CHOOSE(CONTROL!$C$21, $C$9, 100%, $E$9)</f>
        <v>20.206099999999999</v>
      </c>
      <c r="I411" s="14">
        <f>CHOOSE(CONTROL!$C$42, 20.1965, 20.1965)* CHOOSE(CONTROL!$C$21, $C$9, 100%, $E$9)</f>
        <v>20.1965</v>
      </c>
      <c r="J411" s="14">
        <f>CHOOSE(CONTROL!$C$42, 20.1134, 20.1134)* CHOOSE(CONTROL!$C$21, $C$9, 100%, $E$9)</f>
        <v>20.113399999999999</v>
      </c>
      <c r="K411" s="52">
        <f>CHOOSE(CONTROL!$C$42, 20.1927, 20.1927) * CHOOSE(CONTROL!$C$21, $C$9, 100%, $E$9)</f>
        <v>20.192699999999999</v>
      </c>
      <c r="L411" s="14">
        <f>CHOOSE(CONTROL!$C$42, 20.7931, 20.7931) * CHOOSE(CONTROL!$C$21, $C$9, 100%, $E$9)</f>
        <v>20.793099999999999</v>
      </c>
      <c r="M411" s="14">
        <f>CHOOSE(CONTROL!$C$42, 19.7089, 19.7089) * CHOOSE(CONTROL!$C$21, $C$9, 100%, $E$9)</f>
        <v>19.7089</v>
      </c>
      <c r="N411" s="14">
        <f>CHOOSE(CONTROL!$C$42, 19.7259, 19.7259) * CHOOSE(CONTROL!$C$21, $C$9, 100%, $E$9)</f>
        <v>19.725899999999999</v>
      </c>
      <c r="O411" s="14">
        <f>CHOOSE(CONTROL!$C$42, 19.7998, 19.7998) * CHOOSE(CONTROL!$C$21, $C$9, 100%, $E$9)</f>
        <v>19.799800000000001</v>
      </c>
      <c r="P411" s="14">
        <f>CHOOSE(CONTROL!$C$42, 19.7892, 19.7892) * CHOOSE(CONTROL!$C$21, $C$9, 100%, $E$9)</f>
        <v>19.789200000000001</v>
      </c>
      <c r="Q411" s="14">
        <f>CHOOSE(CONTROL!$C$42, 20.3945, 20.3945) * CHOOSE(CONTROL!$C$21, $C$9, 100%, $E$9)</f>
        <v>20.394500000000001</v>
      </c>
      <c r="R411" s="14">
        <f>CHOOSE(CONTROL!$C$42, 21.0325, 21.0325) * CHOOSE(CONTROL!$C$21, $C$9, 100%, $E$9)</f>
        <v>21.032499999999999</v>
      </c>
      <c r="S411" s="14">
        <f>CHOOSE(CONTROL!$C$42, 19.3039, 19.3039) * CHOOSE(CONTROL!$C$21, $C$9, 100%, $E$9)</f>
        <v>19.303899999999999</v>
      </c>
      <c r="T41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56">
        <f>(1000*CHOOSE(CONTROL!$C$42, 695, 695)*CHOOSE(CONTROL!$C$42, 0.5599, 0.5599)*CHOOSE(CONTROL!$C$42, 31, 31))/1000000</f>
        <v>12.063045499999998</v>
      </c>
      <c r="V411" s="56">
        <f>(1000*CHOOSE(CONTROL!$C$42, 500, 500)*CHOOSE(CONTROL!$C$42, 0.275, 0.275)*CHOOSE(CONTROL!$C$42, 31, 31))/1000000</f>
        <v>4.2625000000000002</v>
      </c>
      <c r="W411" s="56">
        <f>(1000*CHOOSE(CONTROL!$C$42, 0.1146, 0.1146)*CHOOSE(CONTROL!$C$42, 121.5, 121.5)*CHOOSE(CONTROL!$C$42, 31, 31))/1000000</f>
        <v>0.43164089999999994</v>
      </c>
      <c r="X411" s="56">
        <f>(31*0.1790888*100000/1000000)+(31*0.2374*100000/1000000)</f>
        <v>1.2911152800000001</v>
      </c>
      <c r="Y411" s="56"/>
      <c r="Z411" s="14"/>
      <c r="AA411" s="55"/>
      <c r="AB411" s="49">
        <f>(B411*122.58+C411*297.941+D411*89.177+E411*40.302+F411*40+G411*160+H411*0+I411*100+J411*300)/(122.58+297.941+89.177+40.302+0+40+160+100+300)</f>
        <v>20.129045019826087</v>
      </c>
      <c r="AC411" s="44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19.762631654676259</v>
      </c>
    </row>
    <row r="412" spans="1:29" ht="15.75" x14ac:dyDescent="0.25">
      <c r="A412" s="32">
        <v>53447</v>
      </c>
      <c r="B412" s="14">
        <f>CHOOSE(CONTROL!$C$42, 20.0392, 20.0392) * CHOOSE(CONTROL!$C$21, $C$9, 100%, $E$9)</f>
        <v>20.039200000000001</v>
      </c>
      <c r="C412" s="14">
        <f>CHOOSE(CONTROL!$C$42, 20.0437, 20.0437) * CHOOSE(CONTROL!$C$21, $C$9, 100%, $E$9)</f>
        <v>20.043700000000001</v>
      </c>
      <c r="D412" s="14">
        <f>CHOOSE(CONTROL!$C$42, 20.2726, 20.2726) * CHOOSE(CONTROL!$C$21, $C$9, 100%, $E$9)</f>
        <v>20.272600000000001</v>
      </c>
      <c r="E412" s="14">
        <f>CHOOSE(CONTROL!$C$42, 20.3047, 20.3047) * CHOOSE(CONTROL!$C$21, $C$9, 100%, $E$9)</f>
        <v>20.3047</v>
      </c>
      <c r="F412" s="14">
        <f>CHOOSE(CONTROL!$C$42, 20.0662, 20.0662)*CHOOSE(CONTROL!$C$21, $C$9, 100%, $E$9)</f>
        <v>20.066199999999998</v>
      </c>
      <c r="G412" s="14">
        <f>CHOOSE(CONTROL!$C$42, 20.0829, 20.0829)*CHOOSE(CONTROL!$C$21, $C$9, 100%, $E$9)</f>
        <v>20.082899999999999</v>
      </c>
      <c r="H412" s="14">
        <f>CHOOSE(CONTROL!$C$42, 20.2945, 20.2945) * CHOOSE(CONTROL!$C$21, $C$9, 100%, $E$9)</f>
        <v>20.294499999999999</v>
      </c>
      <c r="I412" s="14">
        <f>CHOOSE(CONTROL!$C$42, 20.1349, 20.1349)* CHOOSE(CONTROL!$C$21, $C$9, 100%, $E$9)</f>
        <v>20.134899999999998</v>
      </c>
      <c r="J412" s="14">
        <f>CHOOSE(CONTROL!$C$42, 20.0592, 20.0592)* CHOOSE(CONTROL!$C$21, $C$9, 100%, $E$9)</f>
        <v>20.059200000000001</v>
      </c>
      <c r="K412" s="52">
        <f>CHOOSE(CONTROL!$C$42, 20.131, 20.131) * CHOOSE(CONTROL!$C$21, $C$9, 100%, $E$9)</f>
        <v>20.131</v>
      </c>
      <c r="L412" s="14">
        <f>CHOOSE(CONTROL!$C$42, 20.8815, 20.8815) * CHOOSE(CONTROL!$C$21, $C$9, 100%, $E$9)</f>
        <v>20.881499999999999</v>
      </c>
      <c r="M412" s="14">
        <f>CHOOSE(CONTROL!$C$42, 19.6559, 19.6559) * CHOOSE(CONTROL!$C$21, $C$9, 100%, $E$9)</f>
        <v>19.655899999999999</v>
      </c>
      <c r="N412" s="14">
        <f>CHOOSE(CONTROL!$C$42, 19.6722, 19.6722) * CHOOSE(CONTROL!$C$21, $C$9, 100%, $E$9)</f>
        <v>19.6722</v>
      </c>
      <c r="O412" s="14">
        <f>CHOOSE(CONTROL!$C$42, 19.8864, 19.8864) * CHOOSE(CONTROL!$C$21, $C$9, 100%, $E$9)</f>
        <v>19.886399999999998</v>
      </c>
      <c r="P412" s="14">
        <f>CHOOSE(CONTROL!$C$42, 19.7288, 19.7288) * CHOOSE(CONTROL!$C$21, $C$9, 100%, $E$9)</f>
        <v>19.7288</v>
      </c>
      <c r="Q412" s="14">
        <f>CHOOSE(CONTROL!$C$42, 20.4811, 20.4811) * CHOOSE(CONTROL!$C$21, $C$9, 100%, $E$9)</f>
        <v>20.481100000000001</v>
      </c>
      <c r="R412" s="14">
        <f>CHOOSE(CONTROL!$C$42, 21.1193, 21.1193) * CHOOSE(CONTROL!$C$21, $C$9, 100%, $E$9)</f>
        <v>21.119299999999999</v>
      </c>
      <c r="S412" s="14">
        <f>CHOOSE(CONTROL!$C$42, 19.2464, 19.2464) * CHOOSE(CONTROL!$C$21, $C$9, 100%, $E$9)</f>
        <v>19.246400000000001</v>
      </c>
      <c r="T41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56">
        <f>(1000*CHOOSE(CONTROL!$C$42, 695, 695)*CHOOSE(CONTROL!$C$42, 0.5599, 0.5599)*CHOOSE(CONTROL!$C$42, 30, 30))/1000000</f>
        <v>11.673914999999997</v>
      </c>
      <c r="V412" s="56">
        <f>(1000*CHOOSE(CONTROL!$C$42, 500, 500)*CHOOSE(CONTROL!$C$42, 0.275, 0.275)*CHOOSE(CONTROL!$C$42, 30, 30))/1000000</f>
        <v>4.125</v>
      </c>
      <c r="W412" s="56">
        <f>(1000*CHOOSE(CONTROL!$C$42, 0.1146, 0.1146)*CHOOSE(CONTROL!$C$42, 121.5, 121.5)*CHOOSE(CONTROL!$C$42, 30, 30))/1000000</f>
        <v>0.417717</v>
      </c>
      <c r="X412" s="56">
        <f>(30*0.1790888*245000/1000000)+(30*0.2374*100000/1000000)</f>
        <v>2.0285026799999999</v>
      </c>
      <c r="Y412" s="56"/>
      <c r="Z412" s="14"/>
      <c r="AA412" s="55"/>
      <c r="AB412" s="49">
        <f>(B412*141.293+C412*267.993+D412*115.016+E412*89.698+F412*40+G412*185+H412*0+I412*100+J412*300)/(141.293+267.993+115.016+89.698+0+40+185+100+300)</f>
        <v>20.101024069330105</v>
      </c>
      <c r="AC412" s="44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19.734814388489209</v>
      </c>
    </row>
    <row r="413" spans="1:29" ht="15.75" x14ac:dyDescent="0.25">
      <c r="A413" s="32">
        <v>53478</v>
      </c>
      <c r="B413" s="14">
        <f>CHOOSE(CONTROL!$C$42, 20.2173, 20.2173) * CHOOSE(CONTROL!$C$21, $C$9, 100%, $E$9)</f>
        <v>20.217300000000002</v>
      </c>
      <c r="C413" s="14">
        <f>CHOOSE(CONTROL!$C$42, 20.2254, 20.2254) * CHOOSE(CONTROL!$C$21, $C$9, 100%, $E$9)</f>
        <v>20.2254</v>
      </c>
      <c r="D413" s="14">
        <f>CHOOSE(CONTROL!$C$42, 20.4512, 20.4512) * CHOOSE(CONTROL!$C$21, $C$9, 100%, $E$9)</f>
        <v>20.4512</v>
      </c>
      <c r="E413" s="14">
        <f>CHOOSE(CONTROL!$C$42, 20.4826, 20.4826) * CHOOSE(CONTROL!$C$21, $C$9, 100%, $E$9)</f>
        <v>20.482600000000001</v>
      </c>
      <c r="F413" s="14">
        <f>CHOOSE(CONTROL!$C$42, 20.243, 20.243)*CHOOSE(CONTROL!$C$21, $C$9, 100%, $E$9)</f>
        <v>20.242999999999999</v>
      </c>
      <c r="G413" s="14">
        <f>CHOOSE(CONTROL!$C$42, 20.26, 20.26)*CHOOSE(CONTROL!$C$21, $C$9, 100%, $E$9)</f>
        <v>20.260000000000002</v>
      </c>
      <c r="H413" s="14">
        <f>CHOOSE(CONTROL!$C$42, 20.4713, 20.4713) * CHOOSE(CONTROL!$C$21, $C$9, 100%, $E$9)</f>
        <v>20.471299999999999</v>
      </c>
      <c r="I413" s="14">
        <f>CHOOSE(CONTROL!$C$42, 20.3122, 20.3122)* CHOOSE(CONTROL!$C$21, $C$9, 100%, $E$9)</f>
        <v>20.312200000000001</v>
      </c>
      <c r="J413" s="14">
        <f>CHOOSE(CONTROL!$C$42, 20.236, 20.236)* CHOOSE(CONTROL!$C$21, $C$9, 100%, $E$9)</f>
        <v>20.236000000000001</v>
      </c>
      <c r="K413" s="52">
        <f>CHOOSE(CONTROL!$C$42, 20.3083, 20.3083) * CHOOSE(CONTROL!$C$21, $C$9, 100%, $E$9)</f>
        <v>20.308299999999999</v>
      </c>
      <c r="L413" s="14">
        <f>CHOOSE(CONTROL!$C$42, 21.0583, 21.0583) * CHOOSE(CONTROL!$C$21, $C$9, 100%, $E$9)</f>
        <v>21.058299999999999</v>
      </c>
      <c r="M413" s="14">
        <f>CHOOSE(CONTROL!$C$42, 19.8291, 19.8291) * CHOOSE(CONTROL!$C$21, $C$9, 100%, $E$9)</f>
        <v>19.8291</v>
      </c>
      <c r="N413" s="14">
        <f>CHOOSE(CONTROL!$C$42, 19.8457, 19.8457) * CHOOSE(CONTROL!$C$21, $C$9, 100%, $E$9)</f>
        <v>19.845700000000001</v>
      </c>
      <c r="O413" s="14">
        <f>CHOOSE(CONTROL!$C$42, 20.0595, 20.0595) * CHOOSE(CONTROL!$C$21, $C$9, 100%, $E$9)</f>
        <v>20.0595</v>
      </c>
      <c r="P413" s="14">
        <f>CHOOSE(CONTROL!$C$42, 19.9025, 19.9025) * CHOOSE(CONTROL!$C$21, $C$9, 100%, $E$9)</f>
        <v>19.9025</v>
      </c>
      <c r="Q413" s="14">
        <f>CHOOSE(CONTROL!$C$42, 20.6542, 20.6542) * CHOOSE(CONTROL!$C$21, $C$9, 100%, $E$9)</f>
        <v>20.654199999999999</v>
      </c>
      <c r="R413" s="14">
        <f>CHOOSE(CONTROL!$C$42, 21.2928, 21.2928) * CHOOSE(CONTROL!$C$21, $C$9, 100%, $E$9)</f>
        <v>21.2928</v>
      </c>
      <c r="S413" s="14">
        <f>CHOOSE(CONTROL!$C$42, 19.4162, 19.4162) * CHOOSE(CONTROL!$C$21, $C$9, 100%, $E$9)</f>
        <v>19.4162</v>
      </c>
      <c r="T41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56">
        <f>(1000*CHOOSE(CONTROL!$C$42, 695, 695)*CHOOSE(CONTROL!$C$42, 0.5599, 0.5599)*CHOOSE(CONTROL!$C$42, 31, 31))/1000000</f>
        <v>12.063045499999998</v>
      </c>
      <c r="V413" s="56">
        <f>(1000*CHOOSE(CONTROL!$C$42, 500, 500)*CHOOSE(CONTROL!$C$42, 0.275, 0.275)*CHOOSE(CONTROL!$C$42, 31, 31))/1000000</f>
        <v>4.2625000000000002</v>
      </c>
      <c r="W413" s="56">
        <f>(1000*CHOOSE(CONTROL!$C$42, 0.1146, 0.1146)*CHOOSE(CONTROL!$C$42, 121.5, 121.5)*CHOOSE(CONTROL!$C$42, 31, 31))/1000000</f>
        <v>0.43164089999999994</v>
      </c>
      <c r="X413" s="56">
        <f>(31*0.1790888*245000/1000000)+(31*0.2374*100000/1000000)</f>
        <v>2.0961194359999999</v>
      </c>
      <c r="Y413" s="56"/>
      <c r="Z413" s="14"/>
      <c r="AA413" s="55"/>
      <c r="AB413" s="49">
        <f>(B413*194.205+C413*267.466+D413*133.845+E413*53.484+F413*40+G413*185+H413*0+I413*100+J413*300)/(194.205+267.466+133.845+53.484+0+40+185+100+300)</f>
        <v>20.273571291444274</v>
      </c>
      <c r="AC413" s="44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19.908127338129496</v>
      </c>
    </row>
    <row r="414" spans="1:29" ht="15.75" x14ac:dyDescent="0.25">
      <c r="A414" s="32">
        <v>53508</v>
      </c>
      <c r="B414" s="14">
        <f>CHOOSE(CONTROL!$C$42, 20.7905, 20.7905) * CHOOSE(CONTROL!$C$21, $C$9, 100%, $E$9)</f>
        <v>20.790500000000002</v>
      </c>
      <c r="C414" s="14">
        <f>CHOOSE(CONTROL!$C$42, 20.7985, 20.7985) * CHOOSE(CONTROL!$C$21, $C$9, 100%, $E$9)</f>
        <v>20.798500000000001</v>
      </c>
      <c r="D414" s="14">
        <f>CHOOSE(CONTROL!$C$42, 21.0243, 21.0243) * CHOOSE(CONTROL!$C$21, $C$9, 100%, $E$9)</f>
        <v>21.0243</v>
      </c>
      <c r="E414" s="14">
        <f>CHOOSE(CONTROL!$C$42, 21.0558, 21.0558) * CHOOSE(CONTROL!$C$21, $C$9, 100%, $E$9)</f>
        <v>21.055800000000001</v>
      </c>
      <c r="F414" s="14">
        <f>CHOOSE(CONTROL!$C$42, 20.8166, 20.8166)*CHOOSE(CONTROL!$C$21, $C$9, 100%, $E$9)</f>
        <v>20.816600000000001</v>
      </c>
      <c r="G414" s="14">
        <f>CHOOSE(CONTROL!$C$42, 20.8337, 20.8337)*CHOOSE(CONTROL!$C$21, $C$9, 100%, $E$9)</f>
        <v>20.8337</v>
      </c>
      <c r="H414" s="14">
        <f>CHOOSE(CONTROL!$C$42, 21.0444, 21.0444) * CHOOSE(CONTROL!$C$21, $C$9, 100%, $E$9)</f>
        <v>21.0444</v>
      </c>
      <c r="I414" s="14">
        <f>CHOOSE(CONTROL!$C$42, 20.8872, 20.8872)* CHOOSE(CONTROL!$C$21, $C$9, 100%, $E$9)</f>
        <v>20.8872</v>
      </c>
      <c r="J414" s="14">
        <f>CHOOSE(CONTROL!$C$42, 20.8096, 20.8096)* CHOOSE(CONTROL!$C$21, $C$9, 100%, $E$9)</f>
        <v>20.8096</v>
      </c>
      <c r="K414" s="52">
        <f>CHOOSE(CONTROL!$C$42, 20.8833, 20.8833) * CHOOSE(CONTROL!$C$21, $C$9, 100%, $E$9)</f>
        <v>20.883299999999998</v>
      </c>
      <c r="L414" s="14">
        <f>CHOOSE(CONTROL!$C$42, 21.6314, 21.6314) * CHOOSE(CONTROL!$C$21, $C$9, 100%, $E$9)</f>
        <v>21.631399999999999</v>
      </c>
      <c r="M414" s="14">
        <f>CHOOSE(CONTROL!$C$42, 20.3909, 20.3909) * CHOOSE(CONTROL!$C$21, $C$9, 100%, $E$9)</f>
        <v>20.390899999999998</v>
      </c>
      <c r="N414" s="14">
        <f>CHOOSE(CONTROL!$C$42, 20.4076, 20.4076) * CHOOSE(CONTROL!$C$21, $C$9, 100%, $E$9)</f>
        <v>20.407599999999999</v>
      </c>
      <c r="O414" s="14">
        <f>CHOOSE(CONTROL!$C$42, 20.6209, 20.6209) * CHOOSE(CONTROL!$C$21, $C$9, 100%, $E$9)</f>
        <v>20.620899999999999</v>
      </c>
      <c r="P414" s="14">
        <f>CHOOSE(CONTROL!$C$42, 20.4656, 20.4656) * CHOOSE(CONTROL!$C$21, $C$9, 100%, $E$9)</f>
        <v>20.465599999999998</v>
      </c>
      <c r="Q414" s="14">
        <f>CHOOSE(CONTROL!$C$42, 21.2156, 21.2156) * CHOOSE(CONTROL!$C$21, $C$9, 100%, $E$9)</f>
        <v>21.215599999999998</v>
      </c>
      <c r="R414" s="14">
        <f>CHOOSE(CONTROL!$C$42, 21.8557, 21.8557) * CHOOSE(CONTROL!$C$21, $C$9, 100%, $E$9)</f>
        <v>21.855699999999999</v>
      </c>
      <c r="S414" s="14">
        <f>CHOOSE(CONTROL!$C$42, 19.967, 19.967) * CHOOSE(CONTROL!$C$21, $C$9, 100%, $E$9)</f>
        <v>19.966999999999999</v>
      </c>
      <c r="T41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56">
        <f>(1000*CHOOSE(CONTROL!$C$42, 695, 695)*CHOOSE(CONTROL!$C$42, 0.5599, 0.5599)*CHOOSE(CONTROL!$C$42, 30, 30))/1000000</f>
        <v>11.673914999999997</v>
      </c>
      <c r="V414" s="56">
        <f>(1000*CHOOSE(CONTROL!$C$42, 500, 500)*CHOOSE(CONTROL!$C$42, 0.275, 0.275)*CHOOSE(CONTROL!$C$42, 30, 30))/1000000</f>
        <v>4.125</v>
      </c>
      <c r="W414" s="56">
        <f>(1000*CHOOSE(CONTROL!$C$42, 0.1146, 0.1146)*CHOOSE(CONTROL!$C$42, 121.5, 121.5)*CHOOSE(CONTROL!$C$42, 30, 30))/1000000</f>
        <v>0.417717</v>
      </c>
      <c r="X414" s="56">
        <f>(30*0.1790888*245000/1000000)+(30*0.2374*100000/1000000)</f>
        <v>2.0285026799999999</v>
      </c>
      <c r="Y414" s="56"/>
      <c r="Z414" s="14"/>
      <c r="AA414" s="55"/>
      <c r="AB414" s="49">
        <f>(B414*194.205+C414*267.466+D414*133.845+E414*53.484+F414*40+G414*185+H414*0+I414*100+J414*300)/(194.205+267.466+133.845+53.484+0+40+185+100+300)</f>
        <v>20.847060435007855</v>
      </c>
      <c r="AC414" s="44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20.470025179856112</v>
      </c>
    </row>
    <row r="415" spans="1:29" ht="15.75" x14ac:dyDescent="0.25">
      <c r="A415" s="32">
        <v>53539</v>
      </c>
      <c r="B415" s="14">
        <f>CHOOSE(CONTROL!$C$42, 20.3919, 20.3919) * CHOOSE(CONTROL!$C$21, $C$9, 100%, $E$9)</f>
        <v>20.3919</v>
      </c>
      <c r="C415" s="14">
        <f>CHOOSE(CONTROL!$C$42, 20.3999, 20.3999) * CHOOSE(CONTROL!$C$21, $C$9, 100%, $E$9)</f>
        <v>20.399899999999999</v>
      </c>
      <c r="D415" s="14">
        <f>CHOOSE(CONTROL!$C$42, 20.6257, 20.6257) * CHOOSE(CONTROL!$C$21, $C$9, 100%, $E$9)</f>
        <v>20.625699999999998</v>
      </c>
      <c r="E415" s="14">
        <f>CHOOSE(CONTROL!$C$42, 20.6571, 20.6571) * CHOOSE(CONTROL!$C$21, $C$9, 100%, $E$9)</f>
        <v>20.6571</v>
      </c>
      <c r="F415" s="14">
        <f>CHOOSE(CONTROL!$C$42, 20.4184, 20.4184)*CHOOSE(CONTROL!$C$21, $C$9, 100%, $E$9)</f>
        <v>20.418399999999998</v>
      </c>
      <c r="G415" s="14">
        <f>CHOOSE(CONTROL!$C$42, 20.4356, 20.4356)*CHOOSE(CONTROL!$C$21, $C$9, 100%, $E$9)</f>
        <v>20.435600000000001</v>
      </c>
      <c r="H415" s="14">
        <f>CHOOSE(CONTROL!$C$42, 20.6458, 20.6458) * CHOOSE(CONTROL!$C$21, $C$9, 100%, $E$9)</f>
        <v>20.645800000000001</v>
      </c>
      <c r="I415" s="14">
        <f>CHOOSE(CONTROL!$C$42, 20.4873, 20.4873)* CHOOSE(CONTROL!$C$21, $C$9, 100%, $E$9)</f>
        <v>20.487300000000001</v>
      </c>
      <c r="J415" s="14">
        <f>CHOOSE(CONTROL!$C$42, 20.4114, 20.4114)* CHOOSE(CONTROL!$C$21, $C$9, 100%, $E$9)</f>
        <v>20.4114</v>
      </c>
      <c r="K415" s="52">
        <f>CHOOSE(CONTROL!$C$42, 20.4834, 20.4834) * CHOOSE(CONTROL!$C$21, $C$9, 100%, $E$9)</f>
        <v>20.4834</v>
      </c>
      <c r="L415" s="14">
        <f>CHOOSE(CONTROL!$C$42, 21.2328, 21.2328) * CHOOSE(CONTROL!$C$21, $C$9, 100%, $E$9)</f>
        <v>21.232800000000001</v>
      </c>
      <c r="M415" s="14">
        <f>CHOOSE(CONTROL!$C$42, 20.0009, 20.0009) * CHOOSE(CONTROL!$C$21, $C$9, 100%, $E$9)</f>
        <v>20.000900000000001</v>
      </c>
      <c r="N415" s="14">
        <f>CHOOSE(CONTROL!$C$42, 20.0178, 20.0178) * CHOOSE(CONTROL!$C$21, $C$9, 100%, $E$9)</f>
        <v>20.017800000000001</v>
      </c>
      <c r="O415" s="14">
        <f>CHOOSE(CONTROL!$C$42, 20.2305, 20.2305) * CHOOSE(CONTROL!$C$21, $C$9, 100%, $E$9)</f>
        <v>20.230499999999999</v>
      </c>
      <c r="P415" s="14">
        <f>CHOOSE(CONTROL!$C$42, 20.074, 20.074) * CHOOSE(CONTROL!$C$21, $C$9, 100%, $E$9)</f>
        <v>20.074000000000002</v>
      </c>
      <c r="Q415" s="14">
        <f>CHOOSE(CONTROL!$C$42, 20.8252, 20.8252) * CHOOSE(CONTROL!$C$21, $C$9, 100%, $E$9)</f>
        <v>20.825199999999999</v>
      </c>
      <c r="R415" s="14">
        <f>CHOOSE(CONTROL!$C$42, 21.4642, 21.4642) * CHOOSE(CONTROL!$C$21, $C$9, 100%, $E$9)</f>
        <v>21.464200000000002</v>
      </c>
      <c r="S415" s="14">
        <f>CHOOSE(CONTROL!$C$42, 19.5839, 19.5839) * CHOOSE(CONTROL!$C$21, $C$9, 100%, $E$9)</f>
        <v>19.5839</v>
      </c>
      <c r="T41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56">
        <f>(1000*CHOOSE(CONTROL!$C$42, 695, 695)*CHOOSE(CONTROL!$C$42, 0.5599, 0.5599)*CHOOSE(CONTROL!$C$42, 31, 31))/1000000</f>
        <v>12.063045499999998</v>
      </c>
      <c r="V415" s="56">
        <f>(1000*CHOOSE(CONTROL!$C$42, 500, 500)*CHOOSE(CONTROL!$C$42, 0.275, 0.275)*CHOOSE(CONTROL!$C$42, 31, 31))/1000000</f>
        <v>4.2625000000000002</v>
      </c>
      <c r="W415" s="56">
        <f>(1000*CHOOSE(CONTROL!$C$42, 0.1146, 0.1146)*CHOOSE(CONTROL!$C$42, 121.5, 121.5)*CHOOSE(CONTROL!$C$42, 31, 31))/1000000</f>
        <v>0.43164089999999994</v>
      </c>
      <c r="X415" s="56">
        <f>(31*0.1790888*245000/1000000)+(31*0.2374*100000/1000000)</f>
        <v>2.0961194359999999</v>
      </c>
      <c r="Y415" s="56"/>
      <c r="Z415" s="14"/>
      <c r="AA415" s="55"/>
      <c r="AB415" s="49">
        <f>(B415*194.205+C415*267.466+D415*133.845+E415*53.484+F415*40+G415*185+H415*0+I415*100+J415*300)/(194.205+267.466+133.845+53.484+0+40+185+100+300)</f>
        <v>20.448533552433283</v>
      </c>
      <c r="AC415" s="44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20.079728776978417</v>
      </c>
    </row>
    <row r="416" spans="1:29" ht="15.75" x14ac:dyDescent="0.25">
      <c r="A416" s="32">
        <v>53570</v>
      </c>
      <c r="B416" s="14">
        <f>CHOOSE(CONTROL!$C$42, 19.3852, 19.3852) * CHOOSE(CONTROL!$C$21, $C$9, 100%, $E$9)</f>
        <v>19.385200000000001</v>
      </c>
      <c r="C416" s="14">
        <f>CHOOSE(CONTROL!$C$42, 19.3932, 19.3932) * CHOOSE(CONTROL!$C$21, $C$9, 100%, $E$9)</f>
        <v>19.3932</v>
      </c>
      <c r="D416" s="14">
        <f>CHOOSE(CONTROL!$C$42, 19.619, 19.619) * CHOOSE(CONTROL!$C$21, $C$9, 100%, $E$9)</f>
        <v>19.619</v>
      </c>
      <c r="E416" s="14">
        <f>CHOOSE(CONTROL!$C$42, 19.6505, 19.6505) * CHOOSE(CONTROL!$C$21, $C$9, 100%, $E$9)</f>
        <v>19.650500000000001</v>
      </c>
      <c r="F416" s="14">
        <f>CHOOSE(CONTROL!$C$42, 19.412, 19.412)*CHOOSE(CONTROL!$C$21, $C$9, 100%, $E$9)</f>
        <v>19.411999999999999</v>
      </c>
      <c r="G416" s="14">
        <f>CHOOSE(CONTROL!$C$42, 19.4293, 19.4293)*CHOOSE(CONTROL!$C$21, $C$9, 100%, $E$9)</f>
        <v>19.429300000000001</v>
      </c>
      <c r="H416" s="14">
        <f>CHOOSE(CONTROL!$C$42, 19.6391, 19.6391) * CHOOSE(CONTROL!$C$21, $C$9, 100%, $E$9)</f>
        <v>19.639099999999999</v>
      </c>
      <c r="I416" s="14">
        <f>CHOOSE(CONTROL!$C$42, 19.4774, 19.4774)* CHOOSE(CONTROL!$C$21, $C$9, 100%, $E$9)</f>
        <v>19.477399999999999</v>
      </c>
      <c r="J416" s="14">
        <f>CHOOSE(CONTROL!$C$42, 19.405, 19.405)* CHOOSE(CONTROL!$C$21, $C$9, 100%, $E$9)</f>
        <v>19.405000000000001</v>
      </c>
      <c r="K416" s="52">
        <f>CHOOSE(CONTROL!$C$42, 19.4736, 19.4736) * CHOOSE(CONTROL!$C$21, $C$9, 100%, $E$9)</f>
        <v>19.473600000000001</v>
      </c>
      <c r="L416" s="14">
        <f>CHOOSE(CONTROL!$C$42, 20.2261, 20.2261) * CHOOSE(CONTROL!$C$21, $C$9, 100%, $E$9)</f>
        <v>20.226099999999999</v>
      </c>
      <c r="M416" s="14">
        <f>CHOOSE(CONTROL!$C$42, 19.0151, 19.0151) * CHOOSE(CONTROL!$C$21, $C$9, 100%, $E$9)</f>
        <v>19.0151</v>
      </c>
      <c r="N416" s="14">
        <f>CHOOSE(CONTROL!$C$42, 19.032, 19.032) * CHOOSE(CONTROL!$C$21, $C$9, 100%, $E$9)</f>
        <v>19.032</v>
      </c>
      <c r="O416" s="14">
        <f>CHOOSE(CONTROL!$C$42, 19.2444, 19.2444) * CHOOSE(CONTROL!$C$21, $C$9, 100%, $E$9)</f>
        <v>19.244399999999999</v>
      </c>
      <c r="P416" s="14">
        <f>CHOOSE(CONTROL!$C$42, 19.0849, 19.0849) * CHOOSE(CONTROL!$C$21, $C$9, 100%, $E$9)</f>
        <v>19.084900000000001</v>
      </c>
      <c r="Q416" s="14">
        <f>CHOOSE(CONTROL!$C$42, 19.8391, 19.8391) * CHOOSE(CONTROL!$C$21, $C$9, 100%, $E$9)</f>
        <v>19.839099999999998</v>
      </c>
      <c r="R416" s="14">
        <f>CHOOSE(CONTROL!$C$42, 20.4757, 20.4757) * CHOOSE(CONTROL!$C$21, $C$9, 100%, $E$9)</f>
        <v>20.4757</v>
      </c>
      <c r="S416" s="14">
        <f>CHOOSE(CONTROL!$C$42, 18.6166, 18.6166) * CHOOSE(CONTROL!$C$21, $C$9, 100%, $E$9)</f>
        <v>18.616599999999998</v>
      </c>
      <c r="T41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56">
        <f>(1000*CHOOSE(CONTROL!$C$42, 695, 695)*CHOOSE(CONTROL!$C$42, 0.5599, 0.5599)*CHOOSE(CONTROL!$C$42, 31, 31))/1000000</f>
        <v>12.063045499999998</v>
      </c>
      <c r="V416" s="56">
        <f>(1000*CHOOSE(CONTROL!$C$42, 500, 500)*CHOOSE(CONTROL!$C$42, 0.275, 0.275)*CHOOSE(CONTROL!$C$42, 31, 31))/1000000</f>
        <v>4.2625000000000002</v>
      </c>
      <c r="W416" s="56">
        <f>(1000*CHOOSE(CONTROL!$C$42, 0.1146, 0.1146)*CHOOSE(CONTROL!$C$42, 121.5, 121.5)*CHOOSE(CONTROL!$C$42, 31, 31))/1000000</f>
        <v>0.43164089999999994</v>
      </c>
      <c r="X416" s="56">
        <f>(31*0.1790888*245000/1000000)+(31*0.2374*100000/1000000)</f>
        <v>2.0961194359999999</v>
      </c>
      <c r="Y416" s="56"/>
      <c r="Z416" s="14"/>
      <c r="AA416" s="55"/>
      <c r="AB416" s="49">
        <f>(B416*194.205+C416*267.466+D416*133.845+E416*53.484+F416*40+G416*185+H416*0+I416*100+J416*300)/(194.205+267.466+133.845+53.484+0+40+185+100+300)</f>
        <v>19.441724720722135</v>
      </c>
      <c r="AC416" s="44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19.093369784172662</v>
      </c>
    </row>
    <row r="417" spans="1:29" ht="15.75" x14ac:dyDescent="0.25">
      <c r="A417" s="32">
        <v>53600</v>
      </c>
      <c r="B417" s="14">
        <f>CHOOSE(CONTROL!$C$42, 18.155, 18.155) * CHOOSE(CONTROL!$C$21, $C$9, 100%, $E$9)</f>
        <v>18.155000000000001</v>
      </c>
      <c r="C417" s="14">
        <f>CHOOSE(CONTROL!$C$42, 18.163, 18.163) * CHOOSE(CONTROL!$C$21, $C$9, 100%, $E$9)</f>
        <v>18.163</v>
      </c>
      <c r="D417" s="14">
        <f>CHOOSE(CONTROL!$C$42, 18.3888, 18.3888) * CHOOSE(CONTROL!$C$21, $C$9, 100%, $E$9)</f>
        <v>18.3888</v>
      </c>
      <c r="E417" s="14">
        <f>CHOOSE(CONTROL!$C$42, 18.4203, 18.4203) * CHOOSE(CONTROL!$C$21, $C$9, 100%, $E$9)</f>
        <v>18.420300000000001</v>
      </c>
      <c r="F417" s="14">
        <f>CHOOSE(CONTROL!$C$42, 18.1818, 18.1818)*CHOOSE(CONTROL!$C$21, $C$9, 100%, $E$9)</f>
        <v>18.181799999999999</v>
      </c>
      <c r="G417" s="14">
        <f>CHOOSE(CONTROL!$C$42, 18.1991, 18.1991)*CHOOSE(CONTROL!$C$21, $C$9, 100%, $E$9)</f>
        <v>18.199100000000001</v>
      </c>
      <c r="H417" s="14">
        <f>CHOOSE(CONTROL!$C$42, 18.4089, 18.4089) * CHOOSE(CONTROL!$C$21, $C$9, 100%, $E$9)</f>
        <v>18.408899999999999</v>
      </c>
      <c r="I417" s="14">
        <f>CHOOSE(CONTROL!$C$42, 18.2434, 18.2434)* CHOOSE(CONTROL!$C$21, $C$9, 100%, $E$9)</f>
        <v>18.243400000000001</v>
      </c>
      <c r="J417" s="14">
        <f>CHOOSE(CONTROL!$C$42, 18.1748, 18.1748)* CHOOSE(CONTROL!$C$21, $C$9, 100%, $E$9)</f>
        <v>18.174800000000001</v>
      </c>
      <c r="K417" s="52">
        <f>CHOOSE(CONTROL!$C$42, 18.2395, 18.2395) * CHOOSE(CONTROL!$C$21, $C$9, 100%, $E$9)</f>
        <v>18.2395</v>
      </c>
      <c r="L417" s="14">
        <f>CHOOSE(CONTROL!$C$42, 18.9959, 18.9959) * CHOOSE(CONTROL!$C$21, $C$9, 100%, $E$9)</f>
        <v>18.995899999999999</v>
      </c>
      <c r="M417" s="14">
        <f>CHOOSE(CONTROL!$C$42, 17.8101, 17.8101) * CHOOSE(CONTROL!$C$21, $C$9, 100%, $E$9)</f>
        <v>17.810099999999998</v>
      </c>
      <c r="N417" s="14">
        <f>CHOOSE(CONTROL!$C$42, 17.827, 17.827) * CHOOSE(CONTROL!$C$21, $C$9, 100%, $E$9)</f>
        <v>17.827000000000002</v>
      </c>
      <c r="O417" s="14">
        <f>CHOOSE(CONTROL!$C$42, 18.0394, 18.0394) * CHOOSE(CONTROL!$C$21, $C$9, 100%, $E$9)</f>
        <v>18.039400000000001</v>
      </c>
      <c r="P417" s="14">
        <f>CHOOSE(CONTROL!$C$42, 17.8762, 17.8762) * CHOOSE(CONTROL!$C$21, $C$9, 100%, $E$9)</f>
        <v>17.876200000000001</v>
      </c>
      <c r="Q417" s="14">
        <f>CHOOSE(CONTROL!$C$42, 18.6341, 18.6341) * CHOOSE(CONTROL!$C$21, $C$9, 100%, $E$9)</f>
        <v>18.6341</v>
      </c>
      <c r="R417" s="14">
        <f>CHOOSE(CONTROL!$C$42, 19.2677, 19.2677) * CHOOSE(CONTROL!$C$21, $C$9, 100%, $E$9)</f>
        <v>19.267700000000001</v>
      </c>
      <c r="S417" s="14">
        <f>CHOOSE(CONTROL!$C$42, 17.4345, 17.4345) * CHOOSE(CONTROL!$C$21, $C$9, 100%, $E$9)</f>
        <v>17.4345</v>
      </c>
      <c r="T41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56">
        <f>(1000*CHOOSE(CONTROL!$C$42, 695, 695)*CHOOSE(CONTROL!$C$42, 0.5599, 0.5599)*CHOOSE(CONTROL!$C$42, 30, 30))/1000000</f>
        <v>11.673914999999997</v>
      </c>
      <c r="V417" s="56">
        <f>(1000*CHOOSE(CONTROL!$C$42, 500, 500)*CHOOSE(CONTROL!$C$42, 0.275, 0.275)*CHOOSE(CONTROL!$C$42, 30, 30))/1000000</f>
        <v>4.125</v>
      </c>
      <c r="W417" s="56">
        <f>(1000*CHOOSE(CONTROL!$C$42, 0.1146, 0.1146)*CHOOSE(CONTROL!$C$42, 121.5, 121.5)*CHOOSE(CONTROL!$C$42, 30, 30))/1000000</f>
        <v>0.417717</v>
      </c>
      <c r="X417" s="56">
        <f>(30*0.1790888*245000/1000000)+(30*0.2374*100000/1000000)</f>
        <v>2.0285026799999999</v>
      </c>
      <c r="Y417" s="56"/>
      <c r="Z417" s="14"/>
      <c r="AA417" s="55"/>
      <c r="AB417" s="49">
        <f>(B417*194.205+C417*267.466+D417*133.845+E417*53.484+F417*40+G417*185+H417*0+I417*100+J417*300)/(194.205+267.466+133.845+53.484+0+40+185+100+300)</f>
        <v>18.21122644756672</v>
      </c>
      <c r="AC417" s="44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17.887837410071942</v>
      </c>
    </row>
    <row r="418" spans="1:29" ht="15.75" x14ac:dyDescent="0.25">
      <c r="A418" s="32">
        <v>53631</v>
      </c>
      <c r="B418" s="14">
        <f>CHOOSE(CONTROL!$C$42, 17.7849, 17.7849) * CHOOSE(CONTROL!$C$21, $C$9, 100%, $E$9)</f>
        <v>17.7849</v>
      </c>
      <c r="C418" s="14">
        <f>CHOOSE(CONTROL!$C$42, 17.7902, 17.7902) * CHOOSE(CONTROL!$C$21, $C$9, 100%, $E$9)</f>
        <v>17.790199999999999</v>
      </c>
      <c r="D418" s="14">
        <f>CHOOSE(CONTROL!$C$42, 18.0209, 18.0209) * CHOOSE(CONTROL!$C$21, $C$9, 100%, $E$9)</f>
        <v>18.020900000000001</v>
      </c>
      <c r="E418" s="14">
        <f>CHOOSE(CONTROL!$C$42, 18.0501, 18.0501) * CHOOSE(CONTROL!$C$21, $C$9, 100%, $E$9)</f>
        <v>18.0501</v>
      </c>
      <c r="F418" s="14">
        <f>CHOOSE(CONTROL!$C$42, 17.8137, 17.8137)*CHOOSE(CONTROL!$C$21, $C$9, 100%, $E$9)</f>
        <v>17.813700000000001</v>
      </c>
      <c r="G418" s="14">
        <f>CHOOSE(CONTROL!$C$42, 17.8308, 17.8308)*CHOOSE(CONTROL!$C$21, $C$9, 100%, $E$9)</f>
        <v>17.8308</v>
      </c>
      <c r="H418" s="14">
        <f>CHOOSE(CONTROL!$C$42, 18.0405, 18.0405) * CHOOSE(CONTROL!$C$21, $C$9, 100%, $E$9)</f>
        <v>18.040500000000002</v>
      </c>
      <c r="I418" s="14">
        <f>CHOOSE(CONTROL!$C$42, 17.8739, 17.8739)* CHOOSE(CONTROL!$C$21, $C$9, 100%, $E$9)</f>
        <v>17.873899999999999</v>
      </c>
      <c r="J418" s="14">
        <f>CHOOSE(CONTROL!$C$42, 17.8067, 17.8067)* CHOOSE(CONTROL!$C$21, $C$9, 100%, $E$9)</f>
        <v>17.806699999999999</v>
      </c>
      <c r="K418" s="52">
        <f>CHOOSE(CONTROL!$C$42, 17.87, 17.87) * CHOOSE(CONTROL!$C$21, $C$9, 100%, $E$9)</f>
        <v>17.87</v>
      </c>
      <c r="L418" s="14">
        <f>CHOOSE(CONTROL!$C$42, 18.6275, 18.6275) * CHOOSE(CONTROL!$C$21, $C$9, 100%, $E$9)</f>
        <v>18.627500000000001</v>
      </c>
      <c r="M418" s="14">
        <f>CHOOSE(CONTROL!$C$42, 17.4496, 17.4496) * CHOOSE(CONTROL!$C$21, $C$9, 100%, $E$9)</f>
        <v>17.4496</v>
      </c>
      <c r="N418" s="14">
        <f>CHOOSE(CONTROL!$C$42, 17.4663, 17.4663) * CHOOSE(CONTROL!$C$21, $C$9, 100%, $E$9)</f>
        <v>17.4663</v>
      </c>
      <c r="O418" s="14">
        <f>CHOOSE(CONTROL!$C$42, 17.6786, 17.6786) * CHOOSE(CONTROL!$C$21, $C$9, 100%, $E$9)</f>
        <v>17.678599999999999</v>
      </c>
      <c r="P418" s="14">
        <f>CHOOSE(CONTROL!$C$42, 17.5143, 17.5143) * CHOOSE(CONTROL!$C$21, $C$9, 100%, $E$9)</f>
        <v>17.514299999999999</v>
      </c>
      <c r="Q418" s="14">
        <f>CHOOSE(CONTROL!$C$42, 18.2733, 18.2733) * CHOOSE(CONTROL!$C$21, $C$9, 100%, $E$9)</f>
        <v>18.273299999999999</v>
      </c>
      <c r="R418" s="14">
        <f>CHOOSE(CONTROL!$C$42, 18.906, 18.906) * CHOOSE(CONTROL!$C$21, $C$9, 100%, $E$9)</f>
        <v>18.905999999999999</v>
      </c>
      <c r="S418" s="14">
        <f>CHOOSE(CONTROL!$C$42, 17.0805, 17.0805) * CHOOSE(CONTROL!$C$21, $C$9, 100%, $E$9)</f>
        <v>17.080500000000001</v>
      </c>
      <c r="T41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56">
        <f>(1000*CHOOSE(CONTROL!$C$42, 695, 695)*CHOOSE(CONTROL!$C$42, 0.5599, 0.5599)*CHOOSE(CONTROL!$C$42, 31, 31))/1000000</f>
        <v>12.063045499999998</v>
      </c>
      <c r="V418" s="56">
        <f>(1000*CHOOSE(CONTROL!$C$42, 500, 500)*CHOOSE(CONTROL!$C$42, 0.275, 0.275)*CHOOSE(CONTROL!$C$42, 31, 31))/1000000</f>
        <v>4.2625000000000002</v>
      </c>
      <c r="W418" s="56">
        <f>(1000*CHOOSE(CONTROL!$C$42, 0.1146, 0.1146)*CHOOSE(CONTROL!$C$42, 121.5, 121.5)*CHOOSE(CONTROL!$C$42, 31, 31))/1000000</f>
        <v>0.43164089999999994</v>
      </c>
      <c r="X418" s="56">
        <f>(31*0.1790888*245000/1000000)+(31*0.2374*100000/1000000)</f>
        <v>2.0961194359999999</v>
      </c>
      <c r="Y418" s="56"/>
      <c r="Z418" s="14"/>
      <c r="AA418" s="55"/>
      <c r="AB418" s="49">
        <f>(B418*131.881+C418*277.167+D418*79.08+E418*125.872+F418*40+G418*185+H418*0+I418*100+J418*300)/(131.881+277.167+79.08+125.872+0+40+185+100+300)</f>
        <v>17.848335528248587</v>
      </c>
      <c r="AC418" s="44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17.527005755395685</v>
      </c>
    </row>
    <row r="419" spans="1:29" ht="15.75" x14ac:dyDescent="0.25">
      <c r="A419" s="32">
        <v>53661</v>
      </c>
      <c r="B419" s="14">
        <f>CHOOSE(CONTROL!$C$42, 18.2527, 18.2527) * CHOOSE(CONTROL!$C$21, $C$9, 100%, $E$9)</f>
        <v>18.252700000000001</v>
      </c>
      <c r="C419" s="14">
        <f>CHOOSE(CONTROL!$C$42, 18.2578, 18.2578) * CHOOSE(CONTROL!$C$21, $C$9, 100%, $E$9)</f>
        <v>18.2578</v>
      </c>
      <c r="D419" s="14">
        <f>CHOOSE(CONTROL!$C$42, 18.3268, 18.3268) * CHOOSE(CONTROL!$C$21, $C$9, 100%, $E$9)</f>
        <v>18.326799999999999</v>
      </c>
      <c r="E419" s="14">
        <f>CHOOSE(CONTROL!$C$42, 18.3609, 18.3609) * CHOOSE(CONTROL!$C$21, $C$9, 100%, $E$9)</f>
        <v>18.360900000000001</v>
      </c>
      <c r="F419" s="14">
        <f>CHOOSE(CONTROL!$C$42, 18.2883, 18.2883)*CHOOSE(CONTROL!$C$21, $C$9, 100%, $E$9)</f>
        <v>18.2883</v>
      </c>
      <c r="G419" s="14">
        <f>CHOOSE(CONTROL!$C$42, 18.3057, 18.3057)*CHOOSE(CONTROL!$C$21, $C$9, 100%, $E$9)</f>
        <v>18.305700000000002</v>
      </c>
      <c r="H419" s="14">
        <f>CHOOSE(CONTROL!$C$42, 18.3501, 18.3501) * CHOOSE(CONTROL!$C$21, $C$9, 100%, $E$9)</f>
        <v>18.350100000000001</v>
      </c>
      <c r="I419" s="14">
        <f>CHOOSE(CONTROL!$C$42, 18.3462, 18.3462)* CHOOSE(CONTROL!$C$21, $C$9, 100%, $E$9)</f>
        <v>18.3462</v>
      </c>
      <c r="J419" s="14">
        <f>CHOOSE(CONTROL!$C$42, 18.2813, 18.2813)* CHOOSE(CONTROL!$C$21, $C$9, 100%, $E$9)</f>
        <v>18.281300000000002</v>
      </c>
      <c r="K419" s="52">
        <f>CHOOSE(CONTROL!$C$42, 18.3423, 18.3423) * CHOOSE(CONTROL!$C$21, $C$9, 100%, $E$9)</f>
        <v>18.342300000000002</v>
      </c>
      <c r="L419" s="14">
        <f>CHOOSE(CONTROL!$C$42, 18.9371, 18.9371) * CHOOSE(CONTROL!$C$21, $C$9, 100%, $E$9)</f>
        <v>18.937100000000001</v>
      </c>
      <c r="M419" s="14">
        <f>CHOOSE(CONTROL!$C$42, 17.9144, 17.9144) * CHOOSE(CONTROL!$C$21, $C$9, 100%, $E$9)</f>
        <v>17.914400000000001</v>
      </c>
      <c r="N419" s="14">
        <f>CHOOSE(CONTROL!$C$42, 17.9315, 17.9315) * CHOOSE(CONTROL!$C$21, $C$9, 100%, $E$9)</f>
        <v>17.9315</v>
      </c>
      <c r="O419" s="14">
        <f>CHOOSE(CONTROL!$C$42, 17.9818, 17.9818) * CHOOSE(CONTROL!$C$21, $C$9, 100%, $E$9)</f>
        <v>17.9818</v>
      </c>
      <c r="P419" s="14">
        <f>CHOOSE(CONTROL!$C$42, 17.9769, 17.9769) * CHOOSE(CONTROL!$C$21, $C$9, 100%, $E$9)</f>
        <v>17.976900000000001</v>
      </c>
      <c r="Q419" s="14">
        <f>CHOOSE(CONTROL!$C$42, 18.5765, 18.5765) * CHOOSE(CONTROL!$C$21, $C$9, 100%, $E$9)</f>
        <v>18.576499999999999</v>
      </c>
      <c r="R419" s="14">
        <f>CHOOSE(CONTROL!$C$42, 19.21, 19.21) * CHOOSE(CONTROL!$C$21, $C$9, 100%, $E$9)</f>
        <v>19.21</v>
      </c>
      <c r="S419" s="14">
        <f>CHOOSE(CONTROL!$C$42, 17.5305, 17.5305) * CHOOSE(CONTROL!$C$21, $C$9, 100%, $E$9)</f>
        <v>17.5305</v>
      </c>
      <c r="T41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56">
        <f>(1000*CHOOSE(CONTROL!$C$42, 695, 695)*CHOOSE(CONTROL!$C$42, 0.5599, 0.5599)*CHOOSE(CONTROL!$C$42, 30, 30))/1000000</f>
        <v>11.673914999999997</v>
      </c>
      <c r="V419" s="56">
        <f>(1000*CHOOSE(CONTROL!$C$42, 500, 500)*CHOOSE(CONTROL!$C$42, 0.275, 0.275)*CHOOSE(CONTROL!$C$42, 30, 30))/1000000</f>
        <v>4.125</v>
      </c>
      <c r="W419" s="56">
        <f>(1000*CHOOSE(CONTROL!$C$42, 0.1146, 0.1146)*CHOOSE(CONTROL!$C$42, 121.5, 121.5)*CHOOSE(CONTROL!$C$42, 30, 30))/1000000</f>
        <v>0.417717</v>
      </c>
      <c r="X419" s="56">
        <f>(30*0.1790888*100000/1000000)+(30*0.2374*100000/1000000)</f>
        <v>1.2494664</v>
      </c>
      <c r="Y419" s="56"/>
      <c r="Z419" s="14"/>
      <c r="AA419" s="55"/>
      <c r="AB419" s="49">
        <f>(B419*122.58+C419*297.941+D419*89.177+E419*40.302+F419*40+G419*160+H419*0+I419*100+J419*300)/(122.58+297.941+89.177+40.302+0+40+160+100+300)</f>
        <v>18.287762774956519</v>
      </c>
      <c r="AC419" s="44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17.954925179856115</v>
      </c>
    </row>
    <row r="420" spans="1:29" ht="15.75" x14ac:dyDescent="0.25">
      <c r="A420" s="32">
        <v>53692</v>
      </c>
      <c r="B420" s="14">
        <f>CHOOSE(CONTROL!$C$42, 19.4965, 19.4965) * CHOOSE(CONTROL!$C$21, $C$9, 100%, $E$9)</f>
        <v>19.496500000000001</v>
      </c>
      <c r="C420" s="14">
        <f>CHOOSE(CONTROL!$C$42, 19.5016, 19.5016) * CHOOSE(CONTROL!$C$21, $C$9, 100%, $E$9)</f>
        <v>19.5016</v>
      </c>
      <c r="D420" s="14">
        <f>CHOOSE(CONTROL!$C$42, 19.5706, 19.5706) * CHOOSE(CONTROL!$C$21, $C$9, 100%, $E$9)</f>
        <v>19.570599999999999</v>
      </c>
      <c r="E420" s="14">
        <f>CHOOSE(CONTROL!$C$42, 19.6047, 19.6047) * CHOOSE(CONTROL!$C$21, $C$9, 100%, $E$9)</f>
        <v>19.604700000000001</v>
      </c>
      <c r="F420" s="14">
        <f>CHOOSE(CONTROL!$C$42, 19.5344, 19.5344)*CHOOSE(CONTROL!$C$21, $C$9, 100%, $E$9)</f>
        <v>19.534400000000002</v>
      </c>
      <c r="G420" s="14">
        <f>CHOOSE(CONTROL!$C$42, 19.5524, 19.5524)*CHOOSE(CONTROL!$C$21, $C$9, 100%, $E$9)</f>
        <v>19.552399999999999</v>
      </c>
      <c r="H420" s="14">
        <f>CHOOSE(CONTROL!$C$42, 19.5939, 19.5939) * CHOOSE(CONTROL!$C$21, $C$9, 100%, $E$9)</f>
        <v>19.593900000000001</v>
      </c>
      <c r="I420" s="14">
        <f>CHOOSE(CONTROL!$C$42, 19.5939, 19.5939)* CHOOSE(CONTROL!$C$21, $C$9, 100%, $E$9)</f>
        <v>19.593900000000001</v>
      </c>
      <c r="J420" s="14">
        <f>CHOOSE(CONTROL!$C$42, 19.5274, 19.5274)* CHOOSE(CONTROL!$C$21, $C$9, 100%, $E$9)</f>
        <v>19.5274</v>
      </c>
      <c r="K420" s="52">
        <f>CHOOSE(CONTROL!$C$42, 19.59, 19.59) * CHOOSE(CONTROL!$C$21, $C$9, 100%, $E$9)</f>
        <v>19.59</v>
      </c>
      <c r="L420" s="14">
        <f>CHOOSE(CONTROL!$C$42, 20.1809, 20.1809) * CHOOSE(CONTROL!$C$21, $C$9, 100%, $E$9)</f>
        <v>20.180900000000001</v>
      </c>
      <c r="M420" s="14">
        <f>CHOOSE(CONTROL!$C$42, 19.135, 19.135) * CHOOSE(CONTROL!$C$21, $C$9, 100%, $E$9)</f>
        <v>19.135000000000002</v>
      </c>
      <c r="N420" s="14">
        <f>CHOOSE(CONTROL!$C$42, 19.1526, 19.1526) * CHOOSE(CONTROL!$C$21, $C$9, 100%, $E$9)</f>
        <v>19.1526</v>
      </c>
      <c r="O420" s="14">
        <f>CHOOSE(CONTROL!$C$42, 19.2001, 19.2001) * CHOOSE(CONTROL!$C$21, $C$9, 100%, $E$9)</f>
        <v>19.200099999999999</v>
      </c>
      <c r="P420" s="14">
        <f>CHOOSE(CONTROL!$C$42, 19.199, 19.199) * CHOOSE(CONTROL!$C$21, $C$9, 100%, $E$9)</f>
        <v>19.199000000000002</v>
      </c>
      <c r="Q420" s="14">
        <f>CHOOSE(CONTROL!$C$42, 19.7948, 19.7948) * CHOOSE(CONTROL!$C$21, $C$9, 100%, $E$9)</f>
        <v>19.794799999999999</v>
      </c>
      <c r="R420" s="14">
        <f>CHOOSE(CONTROL!$C$42, 20.4313, 20.4313) * CHOOSE(CONTROL!$C$21, $C$9, 100%, $E$9)</f>
        <v>20.4313</v>
      </c>
      <c r="S420" s="14">
        <f>CHOOSE(CONTROL!$C$42, 18.7257, 18.7257) * CHOOSE(CONTROL!$C$21, $C$9, 100%, $E$9)</f>
        <v>18.7257</v>
      </c>
      <c r="T42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56">
        <f>(1000*CHOOSE(CONTROL!$C$42, 695, 695)*CHOOSE(CONTROL!$C$42, 0.5599, 0.5599)*CHOOSE(CONTROL!$C$42, 31, 31))/1000000</f>
        <v>12.063045499999998</v>
      </c>
      <c r="V420" s="56">
        <f>(1000*CHOOSE(CONTROL!$C$42, 500, 500)*CHOOSE(CONTROL!$C$42, 0.275, 0.275)*CHOOSE(CONTROL!$C$42, 31, 31))/1000000</f>
        <v>4.2625000000000002</v>
      </c>
      <c r="W420" s="56">
        <f>(1000*CHOOSE(CONTROL!$C$42, 0.1146, 0.1146)*CHOOSE(CONTROL!$C$42, 121.5, 121.5)*CHOOSE(CONTROL!$C$42, 31, 31))/1000000</f>
        <v>0.43164089999999994</v>
      </c>
      <c r="X420" s="56">
        <f>(31*0.1790888*100000/1000000)+(31*0.2374*100000/1000000)</f>
        <v>1.2911152800000001</v>
      </c>
      <c r="Y420" s="56"/>
      <c r="Z420" s="14"/>
      <c r="AA420" s="55"/>
      <c r="AB420" s="49">
        <f>(B420*122.58+C420*297.941+D420*89.177+E420*40.302+F420*40+G420*160+H420*0+I420*100+J420*300)/(122.58+297.941+89.177+40.302+0+40+160+100+300)</f>
        <v>19.532985383652175</v>
      </c>
      <c r="AC420" s="44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19.174727338129497</v>
      </c>
    </row>
    <row r="421" spans="1:29" ht="15.75" x14ac:dyDescent="0.25">
      <c r="A421" s="32">
        <v>53723</v>
      </c>
      <c r="B421" s="14">
        <f>CHOOSE(CONTROL!$C$42, 21.112, 21.112) * CHOOSE(CONTROL!$C$21, $C$9, 100%, $E$9)</f>
        <v>21.111999999999998</v>
      </c>
      <c r="C421" s="14">
        <f>CHOOSE(CONTROL!$C$42, 21.1171, 21.1171) * CHOOSE(CONTROL!$C$21, $C$9, 100%, $E$9)</f>
        <v>21.117100000000001</v>
      </c>
      <c r="D421" s="14">
        <f>CHOOSE(CONTROL!$C$42, 21.1965, 21.1965) * CHOOSE(CONTROL!$C$21, $C$9, 100%, $E$9)</f>
        <v>21.1965</v>
      </c>
      <c r="E421" s="14">
        <f>CHOOSE(CONTROL!$C$42, 21.2306, 21.2306) * CHOOSE(CONTROL!$C$21, $C$9, 100%, $E$9)</f>
        <v>21.230599999999999</v>
      </c>
      <c r="F421" s="14">
        <f>CHOOSE(CONTROL!$C$42, 21.135, 21.135)*CHOOSE(CONTROL!$C$21, $C$9, 100%, $E$9)</f>
        <v>21.135000000000002</v>
      </c>
      <c r="G421" s="14">
        <f>CHOOSE(CONTROL!$C$42, 21.1526, 21.1526)*CHOOSE(CONTROL!$C$21, $C$9, 100%, $E$9)</f>
        <v>21.1526</v>
      </c>
      <c r="H421" s="14">
        <f>CHOOSE(CONTROL!$C$42, 21.2198, 21.2198) * CHOOSE(CONTROL!$C$21, $C$9, 100%, $E$9)</f>
        <v>21.219799999999999</v>
      </c>
      <c r="I421" s="14">
        <f>CHOOSE(CONTROL!$C$42, 21.2134, 21.2134)* CHOOSE(CONTROL!$C$21, $C$9, 100%, $E$9)</f>
        <v>21.2134</v>
      </c>
      <c r="J421" s="14">
        <f>CHOOSE(CONTROL!$C$42, 21.128, 21.128)* CHOOSE(CONTROL!$C$21, $C$9, 100%, $E$9)</f>
        <v>21.128</v>
      </c>
      <c r="K421" s="52">
        <f>CHOOSE(CONTROL!$C$42, 21.2095, 21.2095) * CHOOSE(CONTROL!$C$21, $C$9, 100%, $E$9)</f>
        <v>21.209499999999998</v>
      </c>
      <c r="L421" s="14">
        <f>CHOOSE(CONTROL!$C$42, 21.8068, 21.8068) * CHOOSE(CONTROL!$C$21, $C$9, 100%, $E$9)</f>
        <v>21.806799999999999</v>
      </c>
      <c r="M421" s="14">
        <f>CHOOSE(CONTROL!$C$42, 20.7028, 20.7028) * CHOOSE(CONTROL!$C$21, $C$9, 100%, $E$9)</f>
        <v>20.7028</v>
      </c>
      <c r="N421" s="14">
        <f>CHOOSE(CONTROL!$C$42, 20.72, 20.72) * CHOOSE(CONTROL!$C$21, $C$9, 100%, $E$9)</f>
        <v>20.72</v>
      </c>
      <c r="O421" s="14">
        <f>CHOOSE(CONTROL!$C$42, 20.7927, 20.7927) * CHOOSE(CONTROL!$C$21, $C$9, 100%, $E$9)</f>
        <v>20.7927</v>
      </c>
      <c r="P421" s="14">
        <f>CHOOSE(CONTROL!$C$42, 20.7852, 20.7852) * CHOOSE(CONTROL!$C$21, $C$9, 100%, $E$9)</f>
        <v>20.7852</v>
      </c>
      <c r="Q421" s="14">
        <f>CHOOSE(CONTROL!$C$42, 21.3874, 21.3874) * CHOOSE(CONTROL!$C$21, $C$9, 100%, $E$9)</f>
        <v>21.3874</v>
      </c>
      <c r="R421" s="14">
        <f>CHOOSE(CONTROL!$C$42, 22.0279, 22.0279) * CHOOSE(CONTROL!$C$21, $C$9, 100%, $E$9)</f>
        <v>22.027899999999999</v>
      </c>
      <c r="S421" s="14">
        <f>CHOOSE(CONTROL!$C$42, 20.278, 20.278) * CHOOSE(CONTROL!$C$21, $C$9, 100%, $E$9)</f>
        <v>20.277999999999999</v>
      </c>
      <c r="T42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56">
        <f>(1000*CHOOSE(CONTROL!$C$42, 695, 695)*CHOOSE(CONTROL!$C$42, 0.5599, 0.5599)*CHOOSE(CONTROL!$C$42, 31, 31))/1000000</f>
        <v>12.063045499999998</v>
      </c>
      <c r="V421" s="56">
        <f>(1000*CHOOSE(CONTROL!$C$42, 500, 500)*CHOOSE(CONTROL!$C$42, 0.275, 0.275)*CHOOSE(CONTROL!$C$42, 31, 31))/1000000</f>
        <v>4.2625000000000002</v>
      </c>
      <c r="W421" s="56">
        <f>(1000*CHOOSE(CONTROL!$C$42, 0.1146, 0.1146)*CHOOSE(CONTROL!$C$42, 121.5, 121.5)*CHOOSE(CONTROL!$C$42, 31, 31))/1000000</f>
        <v>0.43164089999999994</v>
      </c>
      <c r="X421" s="56">
        <f>(31*0.1790888*100000/1000000)+(31*0.2374*100000/1000000)</f>
        <v>1.2911152800000001</v>
      </c>
      <c r="Y421" s="56"/>
      <c r="Z421" s="14"/>
      <c r="AA421" s="55"/>
      <c r="AB421" s="49">
        <f>(B421*122.58+C421*297.941+D421*89.177+E421*40.302+F421*40+G421*160+H421*0+I421*100+J421*300)/(122.58+297.941+89.177+40.302+0+40+160+100+300)</f>
        <v>21.143470237217389</v>
      </c>
      <c r="AC421" s="44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20.756392086330937</v>
      </c>
    </row>
    <row r="422" spans="1:29" ht="15.75" x14ac:dyDescent="0.25">
      <c r="A422" s="32">
        <v>53751</v>
      </c>
      <c r="B422" s="14">
        <f>CHOOSE(CONTROL!$C$42, 21.4877, 21.4877) * CHOOSE(CONTROL!$C$21, $C$9, 100%, $E$9)</f>
        <v>21.4877</v>
      </c>
      <c r="C422" s="14">
        <f>CHOOSE(CONTROL!$C$42, 21.4927, 21.4927) * CHOOSE(CONTROL!$C$21, $C$9, 100%, $E$9)</f>
        <v>21.492699999999999</v>
      </c>
      <c r="D422" s="14">
        <f>CHOOSE(CONTROL!$C$42, 21.5722, 21.5722) * CHOOSE(CONTROL!$C$21, $C$9, 100%, $E$9)</f>
        <v>21.572199999999999</v>
      </c>
      <c r="E422" s="14">
        <f>CHOOSE(CONTROL!$C$42, 21.6063, 21.6063) * CHOOSE(CONTROL!$C$21, $C$9, 100%, $E$9)</f>
        <v>21.606300000000001</v>
      </c>
      <c r="F422" s="14">
        <f>CHOOSE(CONTROL!$C$42, 21.5104, 21.5104)*CHOOSE(CONTROL!$C$21, $C$9, 100%, $E$9)</f>
        <v>21.510400000000001</v>
      </c>
      <c r="G422" s="14">
        <f>CHOOSE(CONTROL!$C$42, 21.5279, 21.5279)*CHOOSE(CONTROL!$C$21, $C$9, 100%, $E$9)</f>
        <v>21.527899999999999</v>
      </c>
      <c r="H422" s="14">
        <f>CHOOSE(CONTROL!$C$42, 21.5955, 21.5955) * CHOOSE(CONTROL!$C$21, $C$9, 100%, $E$9)</f>
        <v>21.595500000000001</v>
      </c>
      <c r="I422" s="14">
        <f>CHOOSE(CONTROL!$C$42, 21.5902, 21.5902)* CHOOSE(CONTROL!$C$21, $C$9, 100%, $E$9)</f>
        <v>21.590199999999999</v>
      </c>
      <c r="J422" s="14">
        <f>CHOOSE(CONTROL!$C$42, 21.5034, 21.5034)* CHOOSE(CONTROL!$C$21, $C$9, 100%, $E$9)</f>
        <v>21.503399999999999</v>
      </c>
      <c r="K422" s="52">
        <f>CHOOSE(CONTROL!$C$42, 21.5864, 21.5864) * CHOOSE(CONTROL!$C$21, $C$9, 100%, $E$9)</f>
        <v>21.586400000000001</v>
      </c>
      <c r="L422" s="14">
        <f>CHOOSE(CONTROL!$C$42, 22.1825, 22.1825) * CHOOSE(CONTROL!$C$21, $C$9, 100%, $E$9)</f>
        <v>22.182500000000001</v>
      </c>
      <c r="M422" s="14">
        <f>CHOOSE(CONTROL!$C$42, 21.0705, 21.0705) * CHOOSE(CONTROL!$C$21, $C$9, 100%, $E$9)</f>
        <v>21.070499999999999</v>
      </c>
      <c r="N422" s="14">
        <f>CHOOSE(CONTROL!$C$42, 21.0876, 21.0876) * CHOOSE(CONTROL!$C$21, $C$9, 100%, $E$9)</f>
        <v>21.087599999999998</v>
      </c>
      <c r="O422" s="14">
        <f>CHOOSE(CONTROL!$C$42, 21.1607, 21.1607) * CHOOSE(CONTROL!$C$21, $C$9, 100%, $E$9)</f>
        <v>21.160699999999999</v>
      </c>
      <c r="P422" s="14">
        <f>CHOOSE(CONTROL!$C$42, 21.1543, 21.1543) * CHOOSE(CONTROL!$C$21, $C$9, 100%, $E$9)</f>
        <v>21.154299999999999</v>
      </c>
      <c r="Q422" s="14">
        <f>CHOOSE(CONTROL!$C$42, 21.7554, 21.7554) * CHOOSE(CONTROL!$C$21, $C$9, 100%, $E$9)</f>
        <v>21.755400000000002</v>
      </c>
      <c r="R422" s="14">
        <f>CHOOSE(CONTROL!$C$42, 22.3968, 22.3968) * CHOOSE(CONTROL!$C$21, $C$9, 100%, $E$9)</f>
        <v>22.396799999999999</v>
      </c>
      <c r="S422" s="14">
        <f>CHOOSE(CONTROL!$C$42, 20.639, 20.639) * CHOOSE(CONTROL!$C$21, $C$9, 100%, $E$9)</f>
        <v>20.638999999999999</v>
      </c>
      <c r="T42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22" s="56">
        <f>(1000*CHOOSE(CONTROL!$C$42, 695, 695)*CHOOSE(CONTROL!$C$42, 0.5599, 0.5599)*CHOOSE(CONTROL!$C$42, 28, 28))/1000000</f>
        <v>10.895653999999999</v>
      </c>
      <c r="V422" s="56">
        <f>(1000*CHOOSE(CONTROL!$C$42, 500, 500)*CHOOSE(CONTROL!$C$42, 0.275, 0.275)*CHOOSE(CONTROL!$C$42, 28, 28))/1000000</f>
        <v>3.85</v>
      </c>
      <c r="W422" s="56">
        <f>(1000*CHOOSE(CONTROL!$C$42, 0.1146, 0.1146)*CHOOSE(CONTROL!$C$42, 121.5, 121.5)*CHOOSE(CONTROL!$C$42, 28, 28))/1000000</f>
        <v>0.38986920000000003</v>
      </c>
      <c r="X422" s="56">
        <f>(28*0.1790888*100000/1000000)+(28*0.2374*100000/1000000)</f>
        <v>1.16616864</v>
      </c>
      <c r="Y422" s="56"/>
      <c r="Z422" s="14"/>
      <c r="AA422" s="55"/>
      <c r="AB422" s="49">
        <f>(B422*122.58+C422*297.941+D422*89.177+E422*40.302+F422*40+G422*160+H422*0+I422*100+J422*300)/(122.58+297.941+89.177+40.302+0+40+160+100+300)</f>
        <v>21.519095633652171</v>
      </c>
      <c r="AC422" s="44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21.124423741007195</v>
      </c>
    </row>
    <row r="423" spans="1:29" ht="15.75" x14ac:dyDescent="0.25">
      <c r="A423" s="32">
        <v>53782</v>
      </c>
      <c r="B423" s="14">
        <f>CHOOSE(CONTROL!$C$42, 20.8779, 20.8779) * CHOOSE(CONTROL!$C$21, $C$9, 100%, $E$9)</f>
        <v>20.8779</v>
      </c>
      <c r="C423" s="14">
        <f>CHOOSE(CONTROL!$C$42, 20.8829, 20.8829) * CHOOSE(CONTROL!$C$21, $C$9, 100%, $E$9)</f>
        <v>20.882899999999999</v>
      </c>
      <c r="D423" s="14">
        <f>CHOOSE(CONTROL!$C$42, 20.9624, 20.9624) * CHOOSE(CONTROL!$C$21, $C$9, 100%, $E$9)</f>
        <v>20.962399999999999</v>
      </c>
      <c r="E423" s="14">
        <f>CHOOSE(CONTROL!$C$42, 20.9965, 20.9965) * CHOOSE(CONTROL!$C$21, $C$9, 100%, $E$9)</f>
        <v>20.996500000000001</v>
      </c>
      <c r="F423" s="14">
        <f>CHOOSE(CONTROL!$C$42, 20.8999, 20.8999)*CHOOSE(CONTROL!$C$21, $C$9, 100%, $E$9)</f>
        <v>20.899899999999999</v>
      </c>
      <c r="G423" s="14">
        <f>CHOOSE(CONTROL!$C$42, 20.9172, 20.9172)*CHOOSE(CONTROL!$C$21, $C$9, 100%, $E$9)</f>
        <v>20.917200000000001</v>
      </c>
      <c r="H423" s="14">
        <f>CHOOSE(CONTROL!$C$42, 20.9857, 20.9857) * CHOOSE(CONTROL!$C$21, $C$9, 100%, $E$9)</f>
        <v>20.985700000000001</v>
      </c>
      <c r="I423" s="14">
        <f>CHOOSE(CONTROL!$C$42, 20.9786, 20.9786)* CHOOSE(CONTROL!$C$21, $C$9, 100%, $E$9)</f>
        <v>20.9786</v>
      </c>
      <c r="J423" s="14">
        <f>CHOOSE(CONTROL!$C$42, 20.8929, 20.8929)* CHOOSE(CONTROL!$C$21, $C$9, 100%, $E$9)</f>
        <v>20.892900000000001</v>
      </c>
      <c r="K423" s="52">
        <f>CHOOSE(CONTROL!$C$42, 20.9747, 20.9747) * CHOOSE(CONTROL!$C$21, $C$9, 100%, $E$9)</f>
        <v>20.974699999999999</v>
      </c>
      <c r="L423" s="14">
        <f>CHOOSE(CONTROL!$C$42, 21.5727, 21.5727) * CHOOSE(CONTROL!$C$21, $C$9, 100%, $E$9)</f>
        <v>21.572700000000001</v>
      </c>
      <c r="M423" s="14">
        <f>CHOOSE(CONTROL!$C$42, 20.4725, 20.4725) * CHOOSE(CONTROL!$C$21, $C$9, 100%, $E$9)</f>
        <v>20.4725</v>
      </c>
      <c r="N423" s="14">
        <f>CHOOSE(CONTROL!$C$42, 20.4895, 20.4895) * CHOOSE(CONTROL!$C$21, $C$9, 100%, $E$9)</f>
        <v>20.4895</v>
      </c>
      <c r="O423" s="14">
        <f>CHOOSE(CONTROL!$C$42, 20.5634, 20.5634) * CHOOSE(CONTROL!$C$21, $C$9, 100%, $E$9)</f>
        <v>20.563400000000001</v>
      </c>
      <c r="P423" s="14">
        <f>CHOOSE(CONTROL!$C$42, 20.5552, 20.5552) * CHOOSE(CONTROL!$C$21, $C$9, 100%, $E$9)</f>
        <v>20.555199999999999</v>
      </c>
      <c r="Q423" s="14">
        <f>CHOOSE(CONTROL!$C$42, 21.1581, 21.1581) * CHOOSE(CONTROL!$C$21, $C$9, 100%, $E$9)</f>
        <v>21.158100000000001</v>
      </c>
      <c r="R423" s="14">
        <f>CHOOSE(CONTROL!$C$42, 21.798, 21.798) * CHOOSE(CONTROL!$C$21, $C$9, 100%, $E$9)</f>
        <v>21.797999999999998</v>
      </c>
      <c r="S423" s="14">
        <f>CHOOSE(CONTROL!$C$42, 20.053, 20.053) * CHOOSE(CONTROL!$C$21, $C$9, 100%, $E$9)</f>
        <v>20.053000000000001</v>
      </c>
      <c r="T42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56">
        <f>(1000*CHOOSE(CONTROL!$C$42, 695, 695)*CHOOSE(CONTROL!$C$42, 0.5599, 0.5599)*CHOOSE(CONTROL!$C$42, 31, 31))/1000000</f>
        <v>12.063045499999998</v>
      </c>
      <c r="V423" s="56">
        <f>(1000*CHOOSE(CONTROL!$C$42, 500, 500)*CHOOSE(CONTROL!$C$42, 0.275, 0.275)*CHOOSE(CONTROL!$C$42, 31, 31))/1000000</f>
        <v>4.2625000000000002</v>
      </c>
      <c r="W423" s="56">
        <f>(1000*CHOOSE(CONTROL!$C$42, 0.1146, 0.1146)*CHOOSE(CONTROL!$C$42, 121.5, 121.5)*CHOOSE(CONTROL!$C$42, 31, 31))/1000000</f>
        <v>0.43164089999999994</v>
      </c>
      <c r="X423" s="56">
        <f>(31*0.1790888*100000/1000000)+(31*0.2374*100000/1000000)</f>
        <v>1.2911152800000001</v>
      </c>
      <c r="Y423" s="56"/>
      <c r="Z423" s="14"/>
      <c r="AA423" s="55"/>
      <c r="AB423" s="49">
        <f>(B423*122.58+C423*297.941+D423*89.177+E423*40.302+F423*40+G423*160+H423*0+I423*100+J423*300)/(122.58+297.941+89.177+40.302+0+40+160+100+300)</f>
        <v>20.908806937999998</v>
      </c>
      <c r="AC423" s="44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20.526576978417268</v>
      </c>
    </row>
    <row r="424" spans="1:29" ht="15.75" x14ac:dyDescent="0.25">
      <c r="A424" s="32">
        <v>53812</v>
      </c>
      <c r="B424" s="14">
        <f>CHOOSE(CONTROL!$C$42, 20.8164, 20.8164) * CHOOSE(CONTROL!$C$21, $C$9, 100%, $E$9)</f>
        <v>20.816400000000002</v>
      </c>
      <c r="C424" s="14">
        <f>CHOOSE(CONTROL!$C$42, 20.8209, 20.8209) * CHOOSE(CONTROL!$C$21, $C$9, 100%, $E$9)</f>
        <v>20.820900000000002</v>
      </c>
      <c r="D424" s="14">
        <f>CHOOSE(CONTROL!$C$42, 21.0498, 21.0498) * CHOOSE(CONTROL!$C$21, $C$9, 100%, $E$9)</f>
        <v>21.049800000000001</v>
      </c>
      <c r="E424" s="14">
        <f>CHOOSE(CONTROL!$C$42, 21.0819, 21.0819) * CHOOSE(CONTROL!$C$21, $C$9, 100%, $E$9)</f>
        <v>21.081900000000001</v>
      </c>
      <c r="F424" s="14">
        <f>CHOOSE(CONTROL!$C$42, 20.8434, 20.8434)*CHOOSE(CONTROL!$C$21, $C$9, 100%, $E$9)</f>
        <v>20.843399999999999</v>
      </c>
      <c r="G424" s="14">
        <f>CHOOSE(CONTROL!$C$42, 20.8601, 20.8601)*CHOOSE(CONTROL!$C$21, $C$9, 100%, $E$9)</f>
        <v>20.860099999999999</v>
      </c>
      <c r="H424" s="14">
        <f>CHOOSE(CONTROL!$C$42, 21.0717, 21.0717) * CHOOSE(CONTROL!$C$21, $C$9, 100%, $E$9)</f>
        <v>21.0717</v>
      </c>
      <c r="I424" s="14">
        <f>CHOOSE(CONTROL!$C$42, 20.9145, 20.9145)* CHOOSE(CONTROL!$C$21, $C$9, 100%, $E$9)</f>
        <v>20.9145</v>
      </c>
      <c r="J424" s="14">
        <f>CHOOSE(CONTROL!$C$42, 20.8364, 20.8364)* CHOOSE(CONTROL!$C$21, $C$9, 100%, $E$9)</f>
        <v>20.836400000000001</v>
      </c>
      <c r="K424" s="52">
        <f>CHOOSE(CONTROL!$C$42, 20.9107, 20.9107) * CHOOSE(CONTROL!$C$21, $C$9, 100%, $E$9)</f>
        <v>20.910699999999999</v>
      </c>
      <c r="L424" s="14">
        <f>CHOOSE(CONTROL!$C$42, 21.6587, 21.6587) * CHOOSE(CONTROL!$C$21, $C$9, 100%, $E$9)</f>
        <v>21.6587</v>
      </c>
      <c r="M424" s="14">
        <f>CHOOSE(CONTROL!$C$42, 20.4172, 20.4172) * CHOOSE(CONTROL!$C$21, $C$9, 100%, $E$9)</f>
        <v>20.417200000000001</v>
      </c>
      <c r="N424" s="14">
        <f>CHOOSE(CONTROL!$C$42, 20.4336, 20.4336) * CHOOSE(CONTROL!$C$21, $C$9, 100%, $E$9)</f>
        <v>20.433599999999998</v>
      </c>
      <c r="O424" s="14">
        <f>CHOOSE(CONTROL!$C$42, 20.6477, 20.6477) * CHOOSE(CONTROL!$C$21, $C$9, 100%, $E$9)</f>
        <v>20.6477</v>
      </c>
      <c r="P424" s="14">
        <f>CHOOSE(CONTROL!$C$42, 20.4925, 20.4925) * CHOOSE(CONTROL!$C$21, $C$9, 100%, $E$9)</f>
        <v>20.4925</v>
      </c>
      <c r="Q424" s="14">
        <f>CHOOSE(CONTROL!$C$42, 21.2424, 21.2424) * CHOOSE(CONTROL!$C$21, $C$9, 100%, $E$9)</f>
        <v>21.2424</v>
      </c>
      <c r="R424" s="14">
        <f>CHOOSE(CONTROL!$C$42, 21.8825, 21.8825) * CHOOSE(CONTROL!$C$21, $C$9, 100%, $E$9)</f>
        <v>21.8825</v>
      </c>
      <c r="S424" s="14">
        <f>CHOOSE(CONTROL!$C$42, 19.9932, 19.9932) * CHOOSE(CONTROL!$C$21, $C$9, 100%, $E$9)</f>
        <v>19.993200000000002</v>
      </c>
      <c r="T42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56">
        <f>(1000*CHOOSE(CONTROL!$C$42, 695, 695)*CHOOSE(CONTROL!$C$42, 0.5599, 0.5599)*CHOOSE(CONTROL!$C$42, 30, 30))/1000000</f>
        <v>11.673914999999997</v>
      </c>
      <c r="V424" s="56">
        <f>(1000*CHOOSE(CONTROL!$C$42, 500, 500)*CHOOSE(CONTROL!$C$42, 0.275, 0.275)*CHOOSE(CONTROL!$C$42, 30, 30))/1000000</f>
        <v>4.125</v>
      </c>
      <c r="W424" s="56">
        <f>(1000*CHOOSE(CONTROL!$C$42, 0.1146, 0.1146)*CHOOSE(CONTROL!$C$42, 121.5, 121.5)*CHOOSE(CONTROL!$C$42, 30, 30))/1000000</f>
        <v>0.417717</v>
      </c>
      <c r="X424" s="56">
        <f>(30*0.1790888*245000/1000000)+(30*0.2374*100000/1000000)</f>
        <v>2.0285026799999999</v>
      </c>
      <c r="Y424" s="56"/>
      <c r="Z424" s="14"/>
      <c r="AA424" s="55"/>
      <c r="AB424" s="49">
        <f>(B424*141.293+C424*267.993+D424*115.016+E424*89.698+F424*40+G424*185+H424*0+I424*100+J424*300)/(141.293+267.993+115.016+89.698+0+40+185+100+300)</f>
        <v>20.878417773930593</v>
      </c>
      <c r="AC424" s="44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20.49648273381295</v>
      </c>
    </row>
    <row r="425" spans="1:29" ht="15.75" x14ac:dyDescent="0.25">
      <c r="A425" s="32">
        <v>53843</v>
      </c>
      <c r="B425" s="14">
        <f>CHOOSE(CONTROL!$C$42, 21.0014, 21.0014) * CHOOSE(CONTROL!$C$21, $C$9, 100%, $E$9)</f>
        <v>21.0014</v>
      </c>
      <c r="C425" s="14">
        <f>CHOOSE(CONTROL!$C$42, 21.0095, 21.0095) * CHOOSE(CONTROL!$C$21, $C$9, 100%, $E$9)</f>
        <v>21.009499999999999</v>
      </c>
      <c r="D425" s="14">
        <f>CHOOSE(CONTROL!$C$42, 21.2353, 21.2353) * CHOOSE(CONTROL!$C$21, $C$9, 100%, $E$9)</f>
        <v>21.235299999999999</v>
      </c>
      <c r="E425" s="14">
        <f>CHOOSE(CONTROL!$C$42, 21.2667, 21.2667) * CHOOSE(CONTROL!$C$21, $C$9, 100%, $E$9)</f>
        <v>21.2667</v>
      </c>
      <c r="F425" s="14">
        <f>CHOOSE(CONTROL!$C$42, 21.0271, 21.0271)*CHOOSE(CONTROL!$C$21, $C$9, 100%, $E$9)</f>
        <v>21.027100000000001</v>
      </c>
      <c r="G425" s="14">
        <f>CHOOSE(CONTROL!$C$42, 21.0441, 21.0441)*CHOOSE(CONTROL!$C$21, $C$9, 100%, $E$9)</f>
        <v>21.0441</v>
      </c>
      <c r="H425" s="14">
        <f>CHOOSE(CONTROL!$C$42, 21.2554, 21.2554) * CHOOSE(CONTROL!$C$21, $C$9, 100%, $E$9)</f>
        <v>21.255400000000002</v>
      </c>
      <c r="I425" s="14">
        <f>CHOOSE(CONTROL!$C$42, 21.0988, 21.0988)* CHOOSE(CONTROL!$C$21, $C$9, 100%, $E$9)</f>
        <v>21.098800000000001</v>
      </c>
      <c r="J425" s="14">
        <f>CHOOSE(CONTROL!$C$42, 21.0201, 21.0201)* CHOOSE(CONTROL!$C$21, $C$9, 100%, $E$9)</f>
        <v>21.020099999999999</v>
      </c>
      <c r="K425" s="52">
        <f>CHOOSE(CONTROL!$C$42, 21.0949, 21.0949) * CHOOSE(CONTROL!$C$21, $C$9, 100%, $E$9)</f>
        <v>21.094899999999999</v>
      </c>
      <c r="L425" s="14">
        <f>CHOOSE(CONTROL!$C$42, 21.8424, 21.8424) * CHOOSE(CONTROL!$C$21, $C$9, 100%, $E$9)</f>
        <v>21.842400000000001</v>
      </c>
      <c r="M425" s="14">
        <f>CHOOSE(CONTROL!$C$42, 20.5971, 20.5971) * CHOOSE(CONTROL!$C$21, $C$9, 100%, $E$9)</f>
        <v>20.597100000000001</v>
      </c>
      <c r="N425" s="14">
        <f>CHOOSE(CONTROL!$C$42, 20.6137, 20.6137) * CHOOSE(CONTROL!$C$21, $C$9, 100%, $E$9)</f>
        <v>20.613700000000001</v>
      </c>
      <c r="O425" s="14">
        <f>CHOOSE(CONTROL!$C$42, 20.8275, 20.8275) * CHOOSE(CONTROL!$C$21, $C$9, 100%, $E$9)</f>
        <v>20.827500000000001</v>
      </c>
      <c r="P425" s="14">
        <f>CHOOSE(CONTROL!$C$42, 20.6729, 20.6729) * CHOOSE(CONTROL!$C$21, $C$9, 100%, $E$9)</f>
        <v>20.672899999999998</v>
      </c>
      <c r="Q425" s="14">
        <f>CHOOSE(CONTROL!$C$42, 21.4222, 21.4222) * CHOOSE(CONTROL!$C$21, $C$9, 100%, $E$9)</f>
        <v>21.4222</v>
      </c>
      <c r="R425" s="14">
        <f>CHOOSE(CONTROL!$C$42, 22.0628, 22.0628) * CHOOSE(CONTROL!$C$21, $C$9, 100%, $E$9)</f>
        <v>22.062799999999999</v>
      </c>
      <c r="S425" s="14">
        <f>CHOOSE(CONTROL!$C$42, 20.1697, 20.1697) * CHOOSE(CONTROL!$C$21, $C$9, 100%, $E$9)</f>
        <v>20.169699999999999</v>
      </c>
      <c r="T42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56">
        <f>(1000*CHOOSE(CONTROL!$C$42, 695, 695)*CHOOSE(CONTROL!$C$42, 0.5599, 0.5599)*CHOOSE(CONTROL!$C$42, 31, 31))/1000000</f>
        <v>12.063045499999998</v>
      </c>
      <c r="V425" s="56">
        <f>(1000*CHOOSE(CONTROL!$C$42, 500, 500)*CHOOSE(CONTROL!$C$42, 0.275, 0.275)*CHOOSE(CONTROL!$C$42, 31, 31))/1000000</f>
        <v>4.2625000000000002</v>
      </c>
      <c r="W425" s="56">
        <f>(1000*CHOOSE(CONTROL!$C$42, 0.1146, 0.1146)*CHOOSE(CONTROL!$C$42, 121.5, 121.5)*CHOOSE(CONTROL!$C$42, 31, 31))/1000000</f>
        <v>0.43164089999999994</v>
      </c>
      <c r="X425" s="56">
        <f>(31*0.1790888*245000/1000000)+(31*0.2374*100000/1000000)</f>
        <v>2.0961194359999999</v>
      </c>
      <c r="Y425" s="56"/>
      <c r="Z425" s="14"/>
      <c r="AA425" s="55"/>
      <c r="AB425" s="49">
        <f>(B425*194.205+C425*267.466+D425*133.845+E425*53.484+F425*40+G425*185+H425*0+I425*100+J425*300)/(194.205+267.466+133.845+53.484+0+40+185+100+300)</f>
        <v>21.057867523783361</v>
      </c>
      <c r="AC425" s="44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20.676472661870502</v>
      </c>
    </row>
    <row r="426" spans="1:29" ht="15.75" x14ac:dyDescent="0.25">
      <c r="A426" s="32">
        <v>53873</v>
      </c>
      <c r="B426" s="14">
        <f>CHOOSE(CONTROL!$C$42, 21.5968, 21.5968) * CHOOSE(CONTROL!$C$21, $C$9, 100%, $E$9)</f>
        <v>21.596800000000002</v>
      </c>
      <c r="C426" s="14">
        <f>CHOOSE(CONTROL!$C$42, 21.6049, 21.6049) * CHOOSE(CONTROL!$C$21, $C$9, 100%, $E$9)</f>
        <v>21.604900000000001</v>
      </c>
      <c r="D426" s="14">
        <f>CHOOSE(CONTROL!$C$42, 21.8307, 21.8307) * CHOOSE(CONTROL!$C$21, $C$9, 100%, $E$9)</f>
        <v>21.8307</v>
      </c>
      <c r="E426" s="14">
        <f>CHOOSE(CONTROL!$C$42, 21.8621, 21.8621) * CHOOSE(CONTROL!$C$21, $C$9, 100%, $E$9)</f>
        <v>21.862100000000002</v>
      </c>
      <c r="F426" s="14">
        <f>CHOOSE(CONTROL!$C$42, 21.6229, 21.6229)*CHOOSE(CONTROL!$C$21, $C$9, 100%, $E$9)</f>
        <v>21.622900000000001</v>
      </c>
      <c r="G426" s="14">
        <f>CHOOSE(CONTROL!$C$42, 21.64, 21.64)*CHOOSE(CONTROL!$C$21, $C$9, 100%, $E$9)</f>
        <v>21.64</v>
      </c>
      <c r="H426" s="14">
        <f>CHOOSE(CONTROL!$C$42, 21.8507, 21.8507) * CHOOSE(CONTROL!$C$21, $C$9, 100%, $E$9)</f>
        <v>21.8507</v>
      </c>
      <c r="I426" s="14">
        <f>CHOOSE(CONTROL!$C$42, 21.696, 21.696)* CHOOSE(CONTROL!$C$21, $C$9, 100%, $E$9)</f>
        <v>21.696000000000002</v>
      </c>
      <c r="J426" s="14">
        <f>CHOOSE(CONTROL!$C$42, 21.6159, 21.6159)* CHOOSE(CONTROL!$C$21, $C$9, 100%, $E$9)</f>
        <v>21.6159</v>
      </c>
      <c r="K426" s="52">
        <f>CHOOSE(CONTROL!$C$42, 21.6921, 21.6921) * CHOOSE(CONTROL!$C$21, $C$9, 100%, $E$9)</f>
        <v>21.6921</v>
      </c>
      <c r="L426" s="14">
        <f>CHOOSE(CONTROL!$C$42, 22.4377, 22.4377) * CHOOSE(CONTROL!$C$21, $C$9, 100%, $E$9)</f>
        <v>22.4377</v>
      </c>
      <c r="M426" s="14">
        <f>CHOOSE(CONTROL!$C$42, 21.1807, 21.1807) * CHOOSE(CONTROL!$C$21, $C$9, 100%, $E$9)</f>
        <v>21.180700000000002</v>
      </c>
      <c r="N426" s="14">
        <f>CHOOSE(CONTROL!$C$42, 21.1975, 21.1975) * CHOOSE(CONTROL!$C$21, $C$9, 100%, $E$9)</f>
        <v>21.197500000000002</v>
      </c>
      <c r="O426" s="14">
        <f>CHOOSE(CONTROL!$C$42, 21.4107, 21.4107) * CHOOSE(CONTROL!$C$21, $C$9, 100%, $E$9)</f>
        <v>21.410699999999999</v>
      </c>
      <c r="P426" s="14">
        <f>CHOOSE(CONTROL!$C$42, 21.2579, 21.2579) * CHOOSE(CONTROL!$C$21, $C$9, 100%, $E$9)</f>
        <v>21.257899999999999</v>
      </c>
      <c r="Q426" s="14">
        <f>CHOOSE(CONTROL!$C$42, 22.0054, 22.0054) * CHOOSE(CONTROL!$C$21, $C$9, 100%, $E$9)</f>
        <v>22.005400000000002</v>
      </c>
      <c r="R426" s="14">
        <f>CHOOSE(CONTROL!$C$42, 22.6474, 22.6474) * CHOOSE(CONTROL!$C$21, $C$9, 100%, $E$9)</f>
        <v>22.647400000000001</v>
      </c>
      <c r="S426" s="14">
        <f>CHOOSE(CONTROL!$C$42, 20.7418, 20.7418) * CHOOSE(CONTROL!$C$21, $C$9, 100%, $E$9)</f>
        <v>20.741800000000001</v>
      </c>
      <c r="T42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56">
        <f>(1000*CHOOSE(CONTROL!$C$42, 695, 695)*CHOOSE(CONTROL!$C$42, 0.5599, 0.5599)*CHOOSE(CONTROL!$C$42, 30, 30))/1000000</f>
        <v>11.673914999999997</v>
      </c>
      <c r="V426" s="56">
        <f>(1000*CHOOSE(CONTROL!$C$42, 500, 500)*CHOOSE(CONTROL!$C$42, 0.275, 0.275)*CHOOSE(CONTROL!$C$42, 30, 30))/1000000</f>
        <v>4.125</v>
      </c>
      <c r="W426" s="56">
        <f>(1000*CHOOSE(CONTROL!$C$42, 0.1146, 0.1146)*CHOOSE(CONTROL!$C$42, 121.5, 121.5)*CHOOSE(CONTROL!$C$42, 30, 30))/1000000</f>
        <v>0.417717</v>
      </c>
      <c r="X426" s="56">
        <f>(30*0.1790888*245000/1000000)+(30*0.2374*100000/1000000)</f>
        <v>2.0285026799999999</v>
      </c>
      <c r="Y426" s="56"/>
      <c r="Z426" s="14"/>
      <c r="AA426" s="55"/>
      <c r="AB426" s="49">
        <f>(B426*194.205+C426*267.466+D426*133.845+E426*53.484+F426*40+G426*185+H426*0+I426*100+J426*300)/(194.205+267.466+133.845+53.484+0+40+185+100+300)</f>
        <v>21.653588167425433</v>
      </c>
      <c r="AC426" s="44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21.260207913669063</v>
      </c>
    </row>
    <row r="427" spans="1:29" ht="15.75" x14ac:dyDescent="0.25">
      <c r="A427" s="32">
        <v>53904</v>
      </c>
      <c r="B427" s="14">
        <f>CHOOSE(CONTROL!$C$42, 21.1827, 21.1827) * CHOOSE(CONTROL!$C$21, $C$9, 100%, $E$9)</f>
        <v>21.182700000000001</v>
      </c>
      <c r="C427" s="14">
        <f>CHOOSE(CONTROL!$C$42, 21.1908, 21.1908) * CHOOSE(CONTROL!$C$21, $C$9, 100%, $E$9)</f>
        <v>21.190799999999999</v>
      </c>
      <c r="D427" s="14">
        <f>CHOOSE(CONTROL!$C$42, 21.4166, 21.4166) * CHOOSE(CONTROL!$C$21, $C$9, 100%, $E$9)</f>
        <v>21.416599999999999</v>
      </c>
      <c r="E427" s="14">
        <f>CHOOSE(CONTROL!$C$42, 21.448, 21.448) * CHOOSE(CONTROL!$C$21, $C$9, 100%, $E$9)</f>
        <v>21.448</v>
      </c>
      <c r="F427" s="14">
        <f>CHOOSE(CONTROL!$C$42, 21.2093, 21.2093)*CHOOSE(CONTROL!$C$21, $C$9, 100%, $E$9)</f>
        <v>21.209299999999999</v>
      </c>
      <c r="G427" s="14">
        <f>CHOOSE(CONTROL!$C$42, 21.2265, 21.2265)*CHOOSE(CONTROL!$C$21, $C$9, 100%, $E$9)</f>
        <v>21.226500000000001</v>
      </c>
      <c r="H427" s="14">
        <f>CHOOSE(CONTROL!$C$42, 21.4366, 21.4366) * CHOOSE(CONTROL!$C$21, $C$9, 100%, $E$9)</f>
        <v>21.436599999999999</v>
      </c>
      <c r="I427" s="14">
        <f>CHOOSE(CONTROL!$C$42, 21.2806, 21.2806)* CHOOSE(CONTROL!$C$21, $C$9, 100%, $E$9)</f>
        <v>21.2806</v>
      </c>
      <c r="J427" s="14">
        <f>CHOOSE(CONTROL!$C$42, 21.2023, 21.2023)* CHOOSE(CONTROL!$C$21, $C$9, 100%, $E$9)</f>
        <v>21.202300000000001</v>
      </c>
      <c r="K427" s="52">
        <f>CHOOSE(CONTROL!$C$42, 21.2767, 21.2767) * CHOOSE(CONTROL!$C$21, $C$9, 100%, $E$9)</f>
        <v>21.276700000000002</v>
      </c>
      <c r="L427" s="14">
        <f>CHOOSE(CONTROL!$C$42, 22.0236, 22.0236) * CHOOSE(CONTROL!$C$21, $C$9, 100%, $E$9)</f>
        <v>22.023599999999998</v>
      </c>
      <c r="M427" s="14">
        <f>CHOOSE(CONTROL!$C$42, 20.7756, 20.7756) * CHOOSE(CONTROL!$C$21, $C$9, 100%, $E$9)</f>
        <v>20.775600000000001</v>
      </c>
      <c r="N427" s="14">
        <f>CHOOSE(CONTROL!$C$42, 20.7924, 20.7924) * CHOOSE(CONTROL!$C$21, $C$9, 100%, $E$9)</f>
        <v>20.792400000000001</v>
      </c>
      <c r="O427" s="14">
        <f>CHOOSE(CONTROL!$C$42, 21.0051, 21.0051) * CHOOSE(CONTROL!$C$21, $C$9, 100%, $E$9)</f>
        <v>21.005099999999999</v>
      </c>
      <c r="P427" s="14">
        <f>CHOOSE(CONTROL!$C$42, 20.851, 20.851) * CHOOSE(CONTROL!$C$21, $C$9, 100%, $E$9)</f>
        <v>20.850999999999999</v>
      </c>
      <c r="Q427" s="14">
        <f>CHOOSE(CONTROL!$C$42, 21.5998, 21.5998) * CHOOSE(CONTROL!$C$21, $C$9, 100%, $E$9)</f>
        <v>21.599799999999998</v>
      </c>
      <c r="R427" s="14">
        <f>CHOOSE(CONTROL!$C$42, 22.2408, 22.2408) * CHOOSE(CONTROL!$C$21, $C$9, 100%, $E$9)</f>
        <v>22.2408</v>
      </c>
      <c r="S427" s="14">
        <f>CHOOSE(CONTROL!$C$42, 20.3439, 20.3439) * CHOOSE(CONTROL!$C$21, $C$9, 100%, $E$9)</f>
        <v>20.343900000000001</v>
      </c>
      <c r="T42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56">
        <f>(1000*CHOOSE(CONTROL!$C$42, 695, 695)*CHOOSE(CONTROL!$C$42, 0.5599, 0.5599)*CHOOSE(CONTROL!$C$42, 31, 31))/1000000</f>
        <v>12.063045499999998</v>
      </c>
      <c r="V427" s="56">
        <f>(1000*CHOOSE(CONTROL!$C$42, 500, 500)*CHOOSE(CONTROL!$C$42, 0.275, 0.275)*CHOOSE(CONTROL!$C$42, 31, 31))/1000000</f>
        <v>4.2625000000000002</v>
      </c>
      <c r="W427" s="56">
        <f>(1000*CHOOSE(CONTROL!$C$42, 0.1146, 0.1146)*CHOOSE(CONTROL!$C$42, 121.5, 121.5)*CHOOSE(CONTROL!$C$42, 31, 31))/1000000</f>
        <v>0.43164089999999994</v>
      </c>
      <c r="X427" s="56">
        <f>(31*0.1790888*245000/1000000)+(31*0.2374*100000/1000000)</f>
        <v>2.0961194359999999</v>
      </c>
      <c r="Y427" s="56"/>
      <c r="Z427" s="14"/>
      <c r="AA427" s="55"/>
      <c r="AB427" s="49">
        <f>(B427*194.205+C427*267.466+D427*133.845+E427*53.484+F427*40+G427*185+H427*0+I427*100+J427*300)/(194.205+267.466+133.845+53.484+0+40+185+100+300)</f>
        <v>21.23960669175824</v>
      </c>
      <c r="AC427" s="44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20.854708633093527</v>
      </c>
    </row>
    <row r="428" spans="1:29" ht="15.75" x14ac:dyDescent="0.25">
      <c r="A428" s="32">
        <v>53935</v>
      </c>
      <c r="B428" s="14">
        <f>CHOOSE(CONTROL!$C$42, 20.137, 20.137) * CHOOSE(CONTROL!$C$21, $C$9, 100%, $E$9)</f>
        <v>20.137</v>
      </c>
      <c r="C428" s="14">
        <f>CHOOSE(CONTROL!$C$42, 20.145, 20.145) * CHOOSE(CONTROL!$C$21, $C$9, 100%, $E$9)</f>
        <v>20.145</v>
      </c>
      <c r="D428" s="14">
        <f>CHOOSE(CONTROL!$C$42, 20.3708, 20.3708) * CHOOSE(CONTROL!$C$21, $C$9, 100%, $E$9)</f>
        <v>20.370799999999999</v>
      </c>
      <c r="E428" s="14">
        <f>CHOOSE(CONTROL!$C$42, 20.4023, 20.4023) * CHOOSE(CONTROL!$C$21, $C$9, 100%, $E$9)</f>
        <v>20.4023</v>
      </c>
      <c r="F428" s="14">
        <f>CHOOSE(CONTROL!$C$42, 20.1638, 20.1638)*CHOOSE(CONTROL!$C$21, $C$9, 100%, $E$9)</f>
        <v>20.163799999999998</v>
      </c>
      <c r="G428" s="14">
        <f>CHOOSE(CONTROL!$C$42, 20.1811, 20.1811)*CHOOSE(CONTROL!$C$21, $C$9, 100%, $E$9)</f>
        <v>20.181100000000001</v>
      </c>
      <c r="H428" s="14">
        <f>CHOOSE(CONTROL!$C$42, 20.3909, 20.3909) * CHOOSE(CONTROL!$C$21, $C$9, 100%, $E$9)</f>
        <v>20.390899999999998</v>
      </c>
      <c r="I428" s="14">
        <f>CHOOSE(CONTROL!$C$42, 20.2316, 20.2316)* CHOOSE(CONTROL!$C$21, $C$9, 100%, $E$9)</f>
        <v>20.2316</v>
      </c>
      <c r="J428" s="14">
        <f>CHOOSE(CONTROL!$C$42, 20.1568, 20.1568)* CHOOSE(CONTROL!$C$21, $C$9, 100%, $E$9)</f>
        <v>20.1568</v>
      </c>
      <c r="K428" s="52">
        <f>CHOOSE(CONTROL!$C$42, 20.2277, 20.2277) * CHOOSE(CONTROL!$C$21, $C$9, 100%, $E$9)</f>
        <v>20.227699999999999</v>
      </c>
      <c r="L428" s="14">
        <f>CHOOSE(CONTROL!$C$42, 20.9779, 20.9779) * CHOOSE(CONTROL!$C$21, $C$9, 100%, $E$9)</f>
        <v>20.977900000000002</v>
      </c>
      <c r="M428" s="14">
        <f>CHOOSE(CONTROL!$C$42, 19.7515, 19.7515) * CHOOSE(CONTROL!$C$21, $C$9, 100%, $E$9)</f>
        <v>19.7515</v>
      </c>
      <c r="N428" s="14">
        <f>CHOOSE(CONTROL!$C$42, 19.7684, 19.7684) * CHOOSE(CONTROL!$C$21, $C$9, 100%, $E$9)</f>
        <v>19.7684</v>
      </c>
      <c r="O428" s="14">
        <f>CHOOSE(CONTROL!$C$42, 19.9808, 19.9808) * CHOOSE(CONTROL!$C$21, $C$9, 100%, $E$9)</f>
        <v>19.980799999999999</v>
      </c>
      <c r="P428" s="14">
        <f>CHOOSE(CONTROL!$C$42, 19.8236, 19.8236) * CHOOSE(CONTROL!$C$21, $C$9, 100%, $E$9)</f>
        <v>19.823599999999999</v>
      </c>
      <c r="Q428" s="14">
        <f>CHOOSE(CONTROL!$C$42, 20.5755, 20.5755) * CHOOSE(CONTROL!$C$21, $C$9, 100%, $E$9)</f>
        <v>20.575500000000002</v>
      </c>
      <c r="R428" s="14">
        <f>CHOOSE(CONTROL!$C$42, 21.2139, 21.2139) * CHOOSE(CONTROL!$C$21, $C$9, 100%, $E$9)</f>
        <v>21.213899999999999</v>
      </c>
      <c r="S428" s="14">
        <f>CHOOSE(CONTROL!$C$42, 19.339, 19.339) * CHOOSE(CONTROL!$C$21, $C$9, 100%, $E$9)</f>
        <v>19.338999999999999</v>
      </c>
      <c r="T42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56">
        <f>(1000*CHOOSE(CONTROL!$C$42, 695, 695)*CHOOSE(CONTROL!$C$42, 0.5599, 0.5599)*CHOOSE(CONTROL!$C$42, 31, 31))/1000000</f>
        <v>12.063045499999998</v>
      </c>
      <c r="V428" s="56">
        <f>(1000*CHOOSE(CONTROL!$C$42, 500, 500)*CHOOSE(CONTROL!$C$42, 0.275, 0.275)*CHOOSE(CONTROL!$C$42, 31, 31))/1000000</f>
        <v>4.2625000000000002</v>
      </c>
      <c r="W428" s="56">
        <f>(1000*CHOOSE(CONTROL!$C$42, 0.1146, 0.1146)*CHOOSE(CONTROL!$C$42, 121.5, 121.5)*CHOOSE(CONTROL!$C$42, 31, 31))/1000000</f>
        <v>0.43164089999999994</v>
      </c>
      <c r="X428" s="56">
        <f>(31*0.1790888*245000/1000000)+(31*0.2374*100000/1000000)</f>
        <v>2.0961194359999999</v>
      </c>
      <c r="Y428" s="56"/>
      <c r="Z428" s="14"/>
      <c r="AA428" s="55"/>
      <c r="AB428" s="49">
        <f>(B428*194.205+C428*267.466+D428*133.845+E428*53.484+F428*40+G428*185+H428*0+I428*100+J428*300)/(194.205+267.466+133.845+53.484+0+40+185+100+300)</f>
        <v>20.193713103767664</v>
      </c>
      <c r="AC428" s="44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19.830100719424461</v>
      </c>
    </row>
    <row r="429" spans="1:29" ht="15.75" x14ac:dyDescent="0.25">
      <c r="A429" s="32">
        <v>53965</v>
      </c>
      <c r="B429" s="14">
        <f>CHOOSE(CONTROL!$C$42, 18.8591, 18.8591) * CHOOSE(CONTROL!$C$21, $C$9, 100%, $E$9)</f>
        <v>18.859100000000002</v>
      </c>
      <c r="C429" s="14">
        <f>CHOOSE(CONTROL!$C$42, 18.8671, 18.8671) * CHOOSE(CONTROL!$C$21, $C$9, 100%, $E$9)</f>
        <v>18.867100000000001</v>
      </c>
      <c r="D429" s="14">
        <f>CHOOSE(CONTROL!$C$42, 19.0929, 19.0929) * CHOOSE(CONTROL!$C$21, $C$9, 100%, $E$9)</f>
        <v>19.0929</v>
      </c>
      <c r="E429" s="14">
        <f>CHOOSE(CONTROL!$C$42, 19.1244, 19.1244) * CHOOSE(CONTROL!$C$21, $C$9, 100%, $E$9)</f>
        <v>19.124400000000001</v>
      </c>
      <c r="F429" s="14">
        <f>CHOOSE(CONTROL!$C$42, 18.8859, 18.8859)*CHOOSE(CONTROL!$C$21, $C$9, 100%, $E$9)</f>
        <v>18.885899999999999</v>
      </c>
      <c r="G429" s="14">
        <f>CHOOSE(CONTROL!$C$42, 18.9032, 18.9032)*CHOOSE(CONTROL!$C$21, $C$9, 100%, $E$9)</f>
        <v>18.903199999999998</v>
      </c>
      <c r="H429" s="14">
        <f>CHOOSE(CONTROL!$C$42, 19.113, 19.113) * CHOOSE(CONTROL!$C$21, $C$9, 100%, $E$9)</f>
        <v>19.113</v>
      </c>
      <c r="I429" s="14">
        <f>CHOOSE(CONTROL!$C$42, 18.9497, 18.9497)* CHOOSE(CONTROL!$C$21, $C$9, 100%, $E$9)</f>
        <v>18.9497</v>
      </c>
      <c r="J429" s="14">
        <f>CHOOSE(CONTROL!$C$42, 18.8789, 18.8789)* CHOOSE(CONTROL!$C$21, $C$9, 100%, $E$9)</f>
        <v>18.878900000000002</v>
      </c>
      <c r="K429" s="52">
        <f>CHOOSE(CONTROL!$C$42, 18.9458, 18.9458) * CHOOSE(CONTROL!$C$21, $C$9, 100%, $E$9)</f>
        <v>18.945799999999998</v>
      </c>
      <c r="L429" s="14">
        <f>CHOOSE(CONTROL!$C$42, 19.7, 19.7) * CHOOSE(CONTROL!$C$21, $C$9, 100%, $E$9)</f>
        <v>19.7</v>
      </c>
      <c r="M429" s="14">
        <f>CHOOSE(CONTROL!$C$42, 18.4998, 18.4998) * CHOOSE(CONTROL!$C$21, $C$9, 100%, $E$9)</f>
        <v>18.4998</v>
      </c>
      <c r="N429" s="14">
        <f>CHOOSE(CONTROL!$C$42, 18.5167, 18.5167) * CHOOSE(CONTROL!$C$21, $C$9, 100%, $E$9)</f>
        <v>18.5167</v>
      </c>
      <c r="O429" s="14">
        <f>CHOOSE(CONTROL!$C$42, 18.7291, 18.7291) * CHOOSE(CONTROL!$C$21, $C$9, 100%, $E$9)</f>
        <v>18.729099999999999</v>
      </c>
      <c r="P429" s="14">
        <f>CHOOSE(CONTROL!$C$42, 18.568, 18.568) * CHOOSE(CONTROL!$C$21, $C$9, 100%, $E$9)</f>
        <v>18.568000000000001</v>
      </c>
      <c r="Q429" s="14">
        <f>CHOOSE(CONTROL!$C$42, 19.3238, 19.3238) * CHOOSE(CONTROL!$C$21, $C$9, 100%, $E$9)</f>
        <v>19.323799999999999</v>
      </c>
      <c r="R429" s="14">
        <f>CHOOSE(CONTROL!$C$42, 19.9591, 19.9591) * CHOOSE(CONTROL!$C$21, $C$9, 100%, $E$9)</f>
        <v>19.959099999999999</v>
      </c>
      <c r="S429" s="14">
        <f>CHOOSE(CONTROL!$C$42, 18.1111, 18.1111) * CHOOSE(CONTROL!$C$21, $C$9, 100%, $E$9)</f>
        <v>18.1111</v>
      </c>
      <c r="T42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56">
        <f>(1000*CHOOSE(CONTROL!$C$42, 695, 695)*CHOOSE(CONTROL!$C$42, 0.5599, 0.5599)*CHOOSE(CONTROL!$C$42, 30, 30))/1000000</f>
        <v>11.673914999999997</v>
      </c>
      <c r="V429" s="56">
        <f>(1000*CHOOSE(CONTROL!$C$42, 500, 500)*CHOOSE(CONTROL!$C$42, 0.275, 0.275)*CHOOSE(CONTROL!$C$42, 30, 30))/1000000</f>
        <v>4.125</v>
      </c>
      <c r="W429" s="56">
        <f>(1000*CHOOSE(CONTROL!$C$42, 0.1146, 0.1146)*CHOOSE(CONTROL!$C$42, 121.5, 121.5)*CHOOSE(CONTROL!$C$42, 30, 30))/1000000</f>
        <v>0.417717</v>
      </c>
      <c r="X429" s="56">
        <f>(30*0.1790888*245000/1000000)+(30*0.2374*100000/1000000)</f>
        <v>2.0285026799999999</v>
      </c>
      <c r="Y429" s="56"/>
      <c r="Z429" s="14"/>
      <c r="AA429" s="55"/>
      <c r="AB429" s="49">
        <f>(B429*194.205+C429*267.466+D429*133.845+E429*53.484+F429*40+G429*185+H429*0+I429*100+J429*300)/(194.205+267.466+133.845+53.484+0+40+185+100+300)</f>
        <v>18.915499132025118</v>
      </c>
      <c r="AC429" s="44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18.577839568345325</v>
      </c>
    </row>
    <row r="430" spans="1:29" ht="15.75" x14ac:dyDescent="0.25">
      <c r="A430" s="32">
        <v>53996</v>
      </c>
      <c r="B430" s="14">
        <f>CHOOSE(CONTROL!$C$42, 18.4746, 18.4746) * CHOOSE(CONTROL!$C$21, $C$9, 100%, $E$9)</f>
        <v>18.474599999999999</v>
      </c>
      <c r="C430" s="14">
        <f>CHOOSE(CONTROL!$C$42, 18.48, 18.48) * CHOOSE(CONTROL!$C$21, $C$9, 100%, $E$9)</f>
        <v>18.48</v>
      </c>
      <c r="D430" s="14">
        <f>CHOOSE(CONTROL!$C$42, 18.7107, 18.7107) * CHOOSE(CONTROL!$C$21, $C$9, 100%, $E$9)</f>
        <v>18.710699999999999</v>
      </c>
      <c r="E430" s="14">
        <f>CHOOSE(CONTROL!$C$42, 18.7398, 18.7398) * CHOOSE(CONTROL!$C$21, $C$9, 100%, $E$9)</f>
        <v>18.739799999999999</v>
      </c>
      <c r="F430" s="14">
        <f>CHOOSE(CONTROL!$C$42, 18.5035, 18.5035)*CHOOSE(CONTROL!$C$21, $C$9, 100%, $E$9)</f>
        <v>18.503499999999999</v>
      </c>
      <c r="G430" s="14">
        <f>CHOOSE(CONTROL!$C$42, 18.5206, 18.5206)*CHOOSE(CONTROL!$C$21, $C$9, 100%, $E$9)</f>
        <v>18.520600000000002</v>
      </c>
      <c r="H430" s="14">
        <f>CHOOSE(CONTROL!$C$42, 18.7303, 18.7303) * CHOOSE(CONTROL!$C$21, $C$9, 100%, $E$9)</f>
        <v>18.7303</v>
      </c>
      <c r="I430" s="14">
        <f>CHOOSE(CONTROL!$C$42, 18.5658, 18.5658)* CHOOSE(CONTROL!$C$21, $C$9, 100%, $E$9)</f>
        <v>18.565799999999999</v>
      </c>
      <c r="J430" s="14">
        <f>CHOOSE(CONTROL!$C$42, 18.4965, 18.4965)* CHOOSE(CONTROL!$C$21, $C$9, 100%, $E$9)</f>
        <v>18.496500000000001</v>
      </c>
      <c r="K430" s="52">
        <f>CHOOSE(CONTROL!$C$42, 18.5619, 18.5619) * CHOOSE(CONTROL!$C$21, $C$9, 100%, $E$9)</f>
        <v>18.561900000000001</v>
      </c>
      <c r="L430" s="14">
        <f>CHOOSE(CONTROL!$C$42, 19.3173, 19.3173) * CHOOSE(CONTROL!$C$21, $C$9, 100%, $E$9)</f>
        <v>19.317299999999999</v>
      </c>
      <c r="M430" s="14">
        <f>CHOOSE(CONTROL!$C$42, 18.1252, 18.1252) * CHOOSE(CONTROL!$C$21, $C$9, 100%, $E$9)</f>
        <v>18.1252</v>
      </c>
      <c r="N430" s="14">
        <f>CHOOSE(CONTROL!$C$42, 18.142, 18.142) * CHOOSE(CONTROL!$C$21, $C$9, 100%, $E$9)</f>
        <v>18.141999999999999</v>
      </c>
      <c r="O430" s="14">
        <f>CHOOSE(CONTROL!$C$42, 18.3542, 18.3542) * CHOOSE(CONTROL!$C$21, $C$9, 100%, $E$9)</f>
        <v>18.354199999999999</v>
      </c>
      <c r="P430" s="14">
        <f>CHOOSE(CONTROL!$C$42, 18.192, 18.192) * CHOOSE(CONTROL!$C$21, $C$9, 100%, $E$9)</f>
        <v>18.192</v>
      </c>
      <c r="Q430" s="14">
        <f>CHOOSE(CONTROL!$C$42, 18.9489, 18.9489) * CHOOSE(CONTROL!$C$21, $C$9, 100%, $E$9)</f>
        <v>18.948899999999998</v>
      </c>
      <c r="R430" s="14">
        <f>CHOOSE(CONTROL!$C$42, 19.5833, 19.5833) * CHOOSE(CONTROL!$C$21, $C$9, 100%, $E$9)</f>
        <v>19.583300000000001</v>
      </c>
      <c r="S430" s="14">
        <f>CHOOSE(CONTROL!$C$42, 17.7433, 17.7433) * CHOOSE(CONTROL!$C$21, $C$9, 100%, $E$9)</f>
        <v>17.743300000000001</v>
      </c>
      <c r="T43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56">
        <f>(1000*CHOOSE(CONTROL!$C$42, 695, 695)*CHOOSE(CONTROL!$C$42, 0.5599, 0.5599)*CHOOSE(CONTROL!$C$42, 31, 31))/1000000</f>
        <v>12.063045499999998</v>
      </c>
      <c r="V430" s="56">
        <f>(1000*CHOOSE(CONTROL!$C$42, 500, 500)*CHOOSE(CONTROL!$C$42, 0.275, 0.275)*CHOOSE(CONTROL!$C$42, 31, 31))/1000000</f>
        <v>4.2625000000000002</v>
      </c>
      <c r="W430" s="56">
        <f>(1000*CHOOSE(CONTROL!$C$42, 0.1146, 0.1146)*CHOOSE(CONTROL!$C$42, 121.5, 121.5)*CHOOSE(CONTROL!$C$42, 31, 31))/1000000</f>
        <v>0.43164089999999994</v>
      </c>
      <c r="X430" s="56">
        <f>(31*0.1790888*245000/1000000)+(31*0.2374*100000/1000000)</f>
        <v>2.0961194359999999</v>
      </c>
      <c r="Y430" s="56"/>
      <c r="Z430" s="14"/>
      <c r="AA430" s="55"/>
      <c r="AB430" s="49">
        <f>(B430*131.881+C430*277.167+D430*79.08+E430*125.872+F430*40+G430*185+H430*0+I430*100+J430*300)/(131.881+277.167+79.08+125.872+0+40+185+100+300)</f>
        <v>18.538284216464891</v>
      </c>
      <c r="AC430" s="44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18.2029309352518</v>
      </c>
    </row>
    <row r="431" spans="1:29" ht="15.75" x14ac:dyDescent="0.25">
      <c r="A431" s="32">
        <v>54026</v>
      </c>
      <c r="B431" s="14">
        <f>CHOOSE(CONTROL!$C$42, 18.9607, 18.9607) * CHOOSE(CONTROL!$C$21, $C$9, 100%, $E$9)</f>
        <v>18.960699999999999</v>
      </c>
      <c r="C431" s="14">
        <f>CHOOSE(CONTROL!$C$42, 18.9657, 18.9657) * CHOOSE(CONTROL!$C$21, $C$9, 100%, $E$9)</f>
        <v>18.965699999999998</v>
      </c>
      <c r="D431" s="14">
        <f>CHOOSE(CONTROL!$C$42, 19.0348, 19.0348) * CHOOSE(CONTROL!$C$21, $C$9, 100%, $E$9)</f>
        <v>19.034800000000001</v>
      </c>
      <c r="E431" s="14">
        <f>CHOOSE(CONTROL!$C$42, 19.0689, 19.0689) * CHOOSE(CONTROL!$C$21, $C$9, 100%, $E$9)</f>
        <v>19.068899999999999</v>
      </c>
      <c r="F431" s="14">
        <f>CHOOSE(CONTROL!$C$42, 18.9963, 18.9963)*CHOOSE(CONTROL!$C$21, $C$9, 100%, $E$9)</f>
        <v>18.996300000000002</v>
      </c>
      <c r="G431" s="14">
        <f>CHOOSE(CONTROL!$C$42, 19.0137, 19.0137)*CHOOSE(CONTROL!$C$21, $C$9, 100%, $E$9)</f>
        <v>19.0137</v>
      </c>
      <c r="H431" s="14">
        <f>CHOOSE(CONTROL!$C$42, 19.0581, 19.0581) * CHOOSE(CONTROL!$C$21, $C$9, 100%, $E$9)</f>
        <v>19.0581</v>
      </c>
      <c r="I431" s="14">
        <f>CHOOSE(CONTROL!$C$42, 19.0564, 19.0564)* CHOOSE(CONTROL!$C$21, $C$9, 100%, $E$9)</f>
        <v>19.0564</v>
      </c>
      <c r="J431" s="14">
        <f>CHOOSE(CONTROL!$C$42, 18.9893, 18.9893)* CHOOSE(CONTROL!$C$21, $C$9, 100%, $E$9)</f>
        <v>18.9893</v>
      </c>
      <c r="K431" s="52">
        <f>CHOOSE(CONTROL!$C$42, 19.0525, 19.0525) * CHOOSE(CONTROL!$C$21, $C$9, 100%, $E$9)</f>
        <v>19.052499999999998</v>
      </c>
      <c r="L431" s="14">
        <f>CHOOSE(CONTROL!$C$42, 19.6451, 19.6451) * CHOOSE(CONTROL!$C$21, $C$9, 100%, $E$9)</f>
        <v>19.645099999999999</v>
      </c>
      <c r="M431" s="14">
        <f>CHOOSE(CONTROL!$C$42, 18.6079, 18.6079) * CHOOSE(CONTROL!$C$21, $C$9, 100%, $E$9)</f>
        <v>18.607900000000001</v>
      </c>
      <c r="N431" s="14">
        <f>CHOOSE(CONTROL!$C$42, 18.6249, 18.6249) * CHOOSE(CONTROL!$C$21, $C$9, 100%, $E$9)</f>
        <v>18.6249</v>
      </c>
      <c r="O431" s="14">
        <f>CHOOSE(CONTROL!$C$42, 18.6753, 18.6753) * CHOOSE(CONTROL!$C$21, $C$9, 100%, $E$9)</f>
        <v>18.6753</v>
      </c>
      <c r="P431" s="14">
        <f>CHOOSE(CONTROL!$C$42, 18.6725, 18.6725) * CHOOSE(CONTROL!$C$21, $C$9, 100%, $E$9)</f>
        <v>18.672499999999999</v>
      </c>
      <c r="Q431" s="14">
        <f>CHOOSE(CONTROL!$C$42, 19.27, 19.27) * CHOOSE(CONTROL!$C$21, $C$9, 100%, $E$9)</f>
        <v>19.27</v>
      </c>
      <c r="R431" s="14">
        <f>CHOOSE(CONTROL!$C$42, 19.9051, 19.9051) * CHOOSE(CONTROL!$C$21, $C$9, 100%, $E$9)</f>
        <v>19.905100000000001</v>
      </c>
      <c r="S431" s="14">
        <f>CHOOSE(CONTROL!$C$42, 18.2108, 18.2108) * CHOOSE(CONTROL!$C$21, $C$9, 100%, $E$9)</f>
        <v>18.210799999999999</v>
      </c>
      <c r="T43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56">
        <f>(1000*CHOOSE(CONTROL!$C$42, 695, 695)*CHOOSE(CONTROL!$C$42, 0.5599, 0.5599)*CHOOSE(CONTROL!$C$42, 30, 30))/1000000</f>
        <v>11.673914999999997</v>
      </c>
      <c r="V431" s="56">
        <f>(1000*CHOOSE(CONTROL!$C$42, 500, 500)*CHOOSE(CONTROL!$C$42, 0.275, 0.275)*CHOOSE(CONTROL!$C$42, 30, 30))/1000000</f>
        <v>4.125</v>
      </c>
      <c r="W431" s="56">
        <f>(1000*CHOOSE(CONTROL!$C$42, 0.1146, 0.1146)*CHOOSE(CONTROL!$C$42, 121.5, 121.5)*CHOOSE(CONTROL!$C$42, 30, 30))/1000000</f>
        <v>0.417717</v>
      </c>
      <c r="X431" s="56">
        <f>(30*0.1790888*100000/1000000)+(30*0.2374*100000/1000000)</f>
        <v>1.2494664</v>
      </c>
      <c r="Y431" s="56"/>
      <c r="Z431" s="14"/>
      <c r="AA431" s="55"/>
      <c r="AB431" s="49">
        <f>(B431*122.58+C431*297.941+D431*89.177+E431*40.302+F431*40+G431*160+H431*0+I431*100+J431*300)/(122.58+297.941+89.177+40.302+0+40+160+100+300)</f>
        <v>18.995928171391306</v>
      </c>
      <c r="AC431" s="44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18.648721582733813</v>
      </c>
    </row>
    <row r="432" spans="1:29" ht="15.75" x14ac:dyDescent="0.25">
      <c r="A432" s="32">
        <v>54057</v>
      </c>
      <c r="B432" s="14">
        <f>CHOOSE(CONTROL!$C$42, 20.2527, 20.2527) * CHOOSE(CONTROL!$C$21, $C$9, 100%, $E$9)</f>
        <v>20.252700000000001</v>
      </c>
      <c r="C432" s="14">
        <f>CHOOSE(CONTROL!$C$42, 20.2578, 20.2578) * CHOOSE(CONTROL!$C$21, $C$9, 100%, $E$9)</f>
        <v>20.2578</v>
      </c>
      <c r="D432" s="14">
        <f>CHOOSE(CONTROL!$C$42, 20.3268, 20.3268) * CHOOSE(CONTROL!$C$21, $C$9, 100%, $E$9)</f>
        <v>20.326799999999999</v>
      </c>
      <c r="E432" s="14">
        <f>CHOOSE(CONTROL!$C$42, 20.3609, 20.3609) * CHOOSE(CONTROL!$C$21, $C$9, 100%, $E$9)</f>
        <v>20.360900000000001</v>
      </c>
      <c r="F432" s="14">
        <f>CHOOSE(CONTROL!$C$42, 20.2906, 20.2906)*CHOOSE(CONTROL!$C$21, $C$9, 100%, $E$9)</f>
        <v>20.290600000000001</v>
      </c>
      <c r="G432" s="14">
        <f>CHOOSE(CONTROL!$C$42, 20.3086, 20.3086)*CHOOSE(CONTROL!$C$21, $C$9, 100%, $E$9)</f>
        <v>20.308599999999998</v>
      </c>
      <c r="H432" s="14">
        <f>CHOOSE(CONTROL!$C$42, 20.3501, 20.3501) * CHOOSE(CONTROL!$C$21, $C$9, 100%, $E$9)</f>
        <v>20.350100000000001</v>
      </c>
      <c r="I432" s="14">
        <f>CHOOSE(CONTROL!$C$42, 20.3525, 20.3525)* CHOOSE(CONTROL!$C$21, $C$9, 100%, $E$9)</f>
        <v>20.352499999999999</v>
      </c>
      <c r="J432" s="14">
        <f>CHOOSE(CONTROL!$C$42, 20.2836, 20.2836)* CHOOSE(CONTROL!$C$21, $C$9, 100%, $E$9)</f>
        <v>20.2836</v>
      </c>
      <c r="K432" s="52">
        <f>CHOOSE(CONTROL!$C$42, 20.3486, 20.3486) * CHOOSE(CONTROL!$C$21, $C$9, 100%, $E$9)</f>
        <v>20.348600000000001</v>
      </c>
      <c r="L432" s="14">
        <f>CHOOSE(CONTROL!$C$42, 20.9371, 20.9371) * CHOOSE(CONTROL!$C$21, $C$9, 100%, $E$9)</f>
        <v>20.937100000000001</v>
      </c>
      <c r="M432" s="14">
        <f>CHOOSE(CONTROL!$C$42, 19.8757, 19.8757) * CHOOSE(CONTROL!$C$21, $C$9, 100%, $E$9)</f>
        <v>19.875699999999998</v>
      </c>
      <c r="N432" s="14">
        <f>CHOOSE(CONTROL!$C$42, 19.8933, 19.8933) * CHOOSE(CONTROL!$C$21, $C$9, 100%, $E$9)</f>
        <v>19.8933</v>
      </c>
      <c r="O432" s="14">
        <f>CHOOSE(CONTROL!$C$42, 19.9409, 19.9409) * CHOOSE(CONTROL!$C$21, $C$9, 100%, $E$9)</f>
        <v>19.940899999999999</v>
      </c>
      <c r="P432" s="14">
        <f>CHOOSE(CONTROL!$C$42, 19.942, 19.942) * CHOOSE(CONTROL!$C$21, $C$9, 100%, $E$9)</f>
        <v>19.942</v>
      </c>
      <c r="Q432" s="14">
        <f>CHOOSE(CONTROL!$C$42, 20.5356, 20.5356) * CHOOSE(CONTROL!$C$21, $C$9, 100%, $E$9)</f>
        <v>20.535599999999999</v>
      </c>
      <c r="R432" s="14">
        <f>CHOOSE(CONTROL!$C$42, 21.1739, 21.1739) * CHOOSE(CONTROL!$C$21, $C$9, 100%, $E$9)</f>
        <v>21.1739</v>
      </c>
      <c r="S432" s="14">
        <f>CHOOSE(CONTROL!$C$42, 19.4523, 19.4523) * CHOOSE(CONTROL!$C$21, $C$9, 100%, $E$9)</f>
        <v>19.452300000000001</v>
      </c>
      <c r="T43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56">
        <f>(1000*CHOOSE(CONTROL!$C$42, 695, 695)*CHOOSE(CONTROL!$C$42, 0.5599, 0.5599)*CHOOSE(CONTROL!$C$42, 31, 31))/1000000</f>
        <v>12.063045499999998</v>
      </c>
      <c r="V432" s="56">
        <f>(1000*CHOOSE(CONTROL!$C$42, 500, 500)*CHOOSE(CONTROL!$C$42, 0.275, 0.275)*CHOOSE(CONTROL!$C$42, 31, 31))/1000000</f>
        <v>4.2625000000000002</v>
      </c>
      <c r="W432" s="56">
        <f>(1000*CHOOSE(CONTROL!$C$42, 0.1146, 0.1146)*CHOOSE(CONTROL!$C$42, 121.5, 121.5)*CHOOSE(CONTROL!$C$42, 31, 31))/1000000</f>
        <v>0.43164089999999994</v>
      </c>
      <c r="X432" s="56">
        <f>(31*0.1790888*100000/1000000)+(31*0.2374*100000/1000000)</f>
        <v>1.2911152800000001</v>
      </c>
      <c r="Y432" s="56"/>
      <c r="Z432" s="14"/>
      <c r="AA432" s="55"/>
      <c r="AB432" s="49">
        <f>(B432*122.58+C432*297.941+D432*89.177+E432*40.302+F432*40+G432*160+H432*0+I432*100+J432*300)/(122.58+297.941+89.177+40.302+0+40+160+100+300)</f>
        <v>20.289394079304348</v>
      </c>
      <c r="AC432" s="44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19.915803597122302</v>
      </c>
    </row>
    <row r="433" spans="1:29" ht="15.75" x14ac:dyDescent="0.25">
      <c r="A433" s="32">
        <v>54088</v>
      </c>
      <c r="B433" s="14">
        <f>CHOOSE(CONTROL!$C$42, 21.9309, 21.9309) * CHOOSE(CONTROL!$C$21, $C$9, 100%, $E$9)</f>
        <v>21.930900000000001</v>
      </c>
      <c r="C433" s="14">
        <f>CHOOSE(CONTROL!$C$42, 21.936, 21.936) * CHOOSE(CONTROL!$C$21, $C$9, 100%, $E$9)</f>
        <v>21.936</v>
      </c>
      <c r="D433" s="14">
        <f>CHOOSE(CONTROL!$C$42, 22.0154, 22.0154) * CHOOSE(CONTROL!$C$21, $C$9, 100%, $E$9)</f>
        <v>22.0154</v>
      </c>
      <c r="E433" s="14">
        <f>CHOOSE(CONTROL!$C$42, 22.0495, 22.0495) * CHOOSE(CONTROL!$C$21, $C$9, 100%, $E$9)</f>
        <v>22.049499999999998</v>
      </c>
      <c r="F433" s="14">
        <f>CHOOSE(CONTROL!$C$42, 21.9539, 21.9539)*CHOOSE(CONTROL!$C$21, $C$9, 100%, $E$9)</f>
        <v>21.953900000000001</v>
      </c>
      <c r="G433" s="14">
        <f>CHOOSE(CONTROL!$C$42, 21.9715, 21.9715)*CHOOSE(CONTROL!$C$21, $C$9, 100%, $E$9)</f>
        <v>21.971499999999999</v>
      </c>
      <c r="H433" s="14">
        <f>CHOOSE(CONTROL!$C$42, 22.0387, 22.0387) * CHOOSE(CONTROL!$C$21, $C$9, 100%, $E$9)</f>
        <v>22.038699999999999</v>
      </c>
      <c r="I433" s="14">
        <f>CHOOSE(CONTROL!$C$42, 22.0349, 22.0349)* CHOOSE(CONTROL!$C$21, $C$9, 100%, $E$9)</f>
        <v>22.0349</v>
      </c>
      <c r="J433" s="14">
        <f>CHOOSE(CONTROL!$C$42, 21.9469, 21.9469)* CHOOSE(CONTROL!$C$21, $C$9, 100%, $E$9)</f>
        <v>21.946899999999999</v>
      </c>
      <c r="K433" s="52">
        <f>CHOOSE(CONTROL!$C$42, 22.031, 22.031) * CHOOSE(CONTROL!$C$21, $C$9, 100%, $E$9)</f>
        <v>22.030999999999999</v>
      </c>
      <c r="L433" s="14">
        <f>CHOOSE(CONTROL!$C$42, 22.6257, 22.6257) * CHOOSE(CONTROL!$C$21, $C$9, 100%, $E$9)</f>
        <v>22.625699999999998</v>
      </c>
      <c r="M433" s="14">
        <f>CHOOSE(CONTROL!$C$42, 21.505, 21.505) * CHOOSE(CONTROL!$C$21, $C$9, 100%, $E$9)</f>
        <v>21.504999999999999</v>
      </c>
      <c r="N433" s="14">
        <f>CHOOSE(CONTROL!$C$42, 21.5221, 21.5221) * CHOOSE(CONTROL!$C$21, $C$9, 100%, $E$9)</f>
        <v>21.522099999999998</v>
      </c>
      <c r="O433" s="14">
        <f>CHOOSE(CONTROL!$C$42, 21.5948, 21.5948) * CHOOSE(CONTROL!$C$21, $C$9, 100%, $E$9)</f>
        <v>21.594799999999999</v>
      </c>
      <c r="P433" s="14">
        <f>CHOOSE(CONTROL!$C$42, 21.5898, 21.5898) * CHOOSE(CONTROL!$C$21, $C$9, 100%, $E$9)</f>
        <v>21.5898</v>
      </c>
      <c r="Q433" s="14">
        <f>CHOOSE(CONTROL!$C$42, 22.1895, 22.1895) * CHOOSE(CONTROL!$C$21, $C$9, 100%, $E$9)</f>
        <v>22.189499999999999</v>
      </c>
      <c r="R433" s="14">
        <f>CHOOSE(CONTROL!$C$42, 22.832, 22.832) * CHOOSE(CONTROL!$C$21, $C$9, 100%, $E$9)</f>
        <v>22.832000000000001</v>
      </c>
      <c r="S433" s="14">
        <f>CHOOSE(CONTROL!$C$42, 21.0649, 21.0649) * CHOOSE(CONTROL!$C$21, $C$9, 100%, $E$9)</f>
        <v>21.064900000000002</v>
      </c>
      <c r="T43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56">
        <f>(1000*CHOOSE(CONTROL!$C$42, 695, 695)*CHOOSE(CONTROL!$C$42, 0.5599, 0.5599)*CHOOSE(CONTROL!$C$42, 31, 31))/1000000</f>
        <v>12.063045499999998</v>
      </c>
      <c r="V433" s="56">
        <f>(1000*CHOOSE(CONTROL!$C$42, 500, 500)*CHOOSE(CONTROL!$C$42, 0.275, 0.275)*CHOOSE(CONTROL!$C$42, 31, 31))/1000000</f>
        <v>4.2625000000000002</v>
      </c>
      <c r="W433" s="56">
        <f>(1000*CHOOSE(CONTROL!$C$42, 0.1146, 0.1146)*CHOOSE(CONTROL!$C$42, 121.5, 121.5)*CHOOSE(CONTROL!$C$42, 31, 31))/1000000</f>
        <v>0.43164089999999994</v>
      </c>
      <c r="X433" s="56">
        <f>(31*0.1790888*100000/1000000)+(31*0.2374*100000/1000000)</f>
        <v>1.2911152800000001</v>
      </c>
      <c r="Y433" s="56"/>
      <c r="Z433" s="14"/>
      <c r="AA433" s="55"/>
      <c r="AB433" s="49">
        <f>(B433*122.58+C433*297.941+D433*89.177+E433*40.302+F433*40+G433*160+H433*0+I433*100+J433*300)/(122.58+297.941+89.177+40.302+0+40+160+100+300)</f>
        <v>21.962596324173916</v>
      </c>
      <c r="AC433" s="44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21.558886330935252</v>
      </c>
    </row>
    <row r="434" spans="1:29" ht="15.75" x14ac:dyDescent="0.25">
      <c r="A434" s="32">
        <v>54116</v>
      </c>
      <c r="B434" s="14">
        <f>CHOOSE(CONTROL!$C$42, 22.3212, 22.3212) * CHOOSE(CONTROL!$C$21, $C$9, 100%, $E$9)</f>
        <v>22.321200000000001</v>
      </c>
      <c r="C434" s="14">
        <f>CHOOSE(CONTROL!$C$42, 22.3262, 22.3262) * CHOOSE(CONTROL!$C$21, $C$9, 100%, $E$9)</f>
        <v>22.3262</v>
      </c>
      <c r="D434" s="14">
        <f>CHOOSE(CONTROL!$C$42, 22.4056, 22.4056) * CHOOSE(CONTROL!$C$21, $C$9, 100%, $E$9)</f>
        <v>22.4056</v>
      </c>
      <c r="E434" s="14">
        <f>CHOOSE(CONTROL!$C$42, 22.4397, 22.4397) * CHOOSE(CONTROL!$C$21, $C$9, 100%, $E$9)</f>
        <v>22.439699999999998</v>
      </c>
      <c r="F434" s="14">
        <f>CHOOSE(CONTROL!$C$42, 22.3439, 22.3439)*CHOOSE(CONTROL!$C$21, $C$9, 100%, $E$9)</f>
        <v>22.343900000000001</v>
      </c>
      <c r="G434" s="14">
        <f>CHOOSE(CONTROL!$C$42, 22.3614, 22.3614)*CHOOSE(CONTROL!$C$21, $C$9, 100%, $E$9)</f>
        <v>22.3614</v>
      </c>
      <c r="H434" s="14">
        <f>CHOOSE(CONTROL!$C$42, 22.4289, 22.4289) * CHOOSE(CONTROL!$C$21, $C$9, 100%, $E$9)</f>
        <v>22.428899999999999</v>
      </c>
      <c r="I434" s="14">
        <f>CHOOSE(CONTROL!$C$42, 22.4263, 22.4263)* CHOOSE(CONTROL!$C$21, $C$9, 100%, $E$9)</f>
        <v>22.426300000000001</v>
      </c>
      <c r="J434" s="14">
        <f>CHOOSE(CONTROL!$C$42, 22.3369, 22.3369)* CHOOSE(CONTROL!$C$21, $C$9, 100%, $E$9)</f>
        <v>22.3369</v>
      </c>
      <c r="K434" s="52">
        <f>CHOOSE(CONTROL!$C$42, 22.4225, 22.4225) * CHOOSE(CONTROL!$C$21, $C$9, 100%, $E$9)</f>
        <v>22.422499999999999</v>
      </c>
      <c r="L434" s="14">
        <f>CHOOSE(CONTROL!$C$42, 23.0159, 23.0159) * CHOOSE(CONTROL!$C$21, $C$9, 100%, $E$9)</f>
        <v>23.015899999999998</v>
      </c>
      <c r="M434" s="14">
        <f>CHOOSE(CONTROL!$C$42, 21.887, 21.887) * CHOOSE(CONTROL!$C$21, $C$9, 100%, $E$9)</f>
        <v>21.887</v>
      </c>
      <c r="N434" s="14">
        <f>CHOOSE(CONTROL!$C$42, 21.9041, 21.9041) * CHOOSE(CONTROL!$C$21, $C$9, 100%, $E$9)</f>
        <v>21.9041</v>
      </c>
      <c r="O434" s="14">
        <f>CHOOSE(CONTROL!$C$42, 21.9771, 21.9771) * CHOOSE(CONTROL!$C$21, $C$9, 100%, $E$9)</f>
        <v>21.9771</v>
      </c>
      <c r="P434" s="14">
        <f>CHOOSE(CONTROL!$C$42, 21.9732, 21.9732) * CHOOSE(CONTROL!$C$21, $C$9, 100%, $E$9)</f>
        <v>21.973199999999999</v>
      </c>
      <c r="Q434" s="14">
        <f>CHOOSE(CONTROL!$C$42, 22.5718, 22.5718) * CHOOSE(CONTROL!$C$21, $C$9, 100%, $E$9)</f>
        <v>22.5718</v>
      </c>
      <c r="R434" s="14">
        <f>CHOOSE(CONTROL!$C$42, 23.2152, 23.2152) * CHOOSE(CONTROL!$C$21, $C$9, 100%, $E$9)</f>
        <v>23.215199999999999</v>
      </c>
      <c r="S434" s="14">
        <f>CHOOSE(CONTROL!$C$42, 21.4399, 21.4399) * CHOOSE(CONTROL!$C$21, $C$9, 100%, $E$9)</f>
        <v>21.439900000000002</v>
      </c>
      <c r="T434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34" s="56">
        <f>(1000*CHOOSE(CONTROL!$C$42, 695, 695)*CHOOSE(CONTROL!$C$42, 0.5599, 0.5599)*CHOOSE(CONTROL!$C$42, 29, 29))/1000000</f>
        <v>11.284784499999999</v>
      </c>
      <c r="V434" s="56">
        <f>(1000*CHOOSE(CONTROL!$C$42, 500, 500)*CHOOSE(CONTROL!$C$42, 0.275, 0.275)*CHOOSE(CONTROL!$C$42, 29, 29))/1000000</f>
        <v>3.9874999999999998</v>
      </c>
      <c r="W434" s="56">
        <f>(1000*CHOOSE(CONTROL!$C$42, 0.1146, 0.1146)*CHOOSE(CONTROL!$C$42, 121.5, 121.5)*CHOOSE(CONTROL!$C$42, 29, 29))/1000000</f>
        <v>0.40379309999999996</v>
      </c>
      <c r="X434" s="56">
        <f>(29*0.1790888*100000/1000000)+(29*0.2374*100000/1000000)</f>
        <v>1.2078175199999999</v>
      </c>
      <c r="Y434" s="56"/>
      <c r="Z434" s="14"/>
      <c r="AA434" s="55"/>
      <c r="AB434" s="49">
        <f>(B434*122.58+C434*297.941+D434*89.177+E434*40.302+F434*40+G434*160+H434*0+I434*100+J434*300)/(122.58+297.941+89.177+40.302+0+40+160+100+300)</f>
        <v>22.35281046156522</v>
      </c>
      <c r="AC434" s="44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21.941223741007192</v>
      </c>
    </row>
    <row r="435" spans="1:29" ht="15.75" x14ac:dyDescent="0.25">
      <c r="A435" s="32">
        <v>54148</v>
      </c>
      <c r="B435" s="14">
        <f>CHOOSE(CONTROL!$C$42, 21.6877, 21.6877) * CHOOSE(CONTROL!$C$21, $C$9, 100%, $E$9)</f>
        <v>21.6877</v>
      </c>
      <c r="C435" s="14">
        <f>CHOOSE(CONTROL!$C$42, 21.6928, 21.6928) * CHOOSE(CONTROL!$C$21, $C$9, 100%, $E$9)</f>
        <v>21.692799999999998</v>
      </c>
      <c r="D435" s="14">
        <f>CHOOSE(CONTROL!$C$42, 21.7722, 21.7722) * CHOOSE(CONTROL!$C$21, $C$9, 100%, $E$9)</f>
        <v>21.772200000000002</v>
      </c>
      <c r="E435" s="14">
        <f>CHOOSE(CONTROL!$C$42, 21.8063, 21.8063) * CHOOSE(CONTROL!$C$21, $C$9, 100%, $E$9)</f>
        <v>21.8063</v>
      </c>
      <c r="F435" s="14">
        <f>CHOOSE(CONTROL!$C$42, 21.7098, 21.7098)*CHOOSE(CONTROL!$C$21, $C$9, 100%, $E$9)</f>
        <v>21.709800000000001</v>
      </c>
      <c r="G435" s="14">
        <f>CHOOSE(CONTROL!$C$42, 21.727, 21.727)*CHOOSE(CONTROL!$C$21, $C$9, 100%, $E$9)</f>
        <v>21.727</v>
      </c>
      <c r="H435" s="14">
        <f>CHOOSE(CONTROL!$C$42, 21.7955, 21.7955) * CHOOSE(CONTROL!$C$21, $C$9, 100%, $E$9)</f>
        <v>21.795500000000001</v>
      </c>
      <c r="I435" s="14">
        <f>CHOOSE(CONTROL!$C$42, 21.7909, 21.7909)* CHOOSE(CONTROL!$C$21, $C$9, 100%, $E$9)</f>
        <v>21.790900000000001</v>
      </c>
      <c r="J435" s="14">
        <f>CHOOSE(CONTROL!$C$42, 21.7028, 21.7028)* CHOOSE(CONTROL!$C$21, $C$9, 100%, $E$9)</f>
        <v>21.7028</v>
      </c>
      <c r="K435" s="52">
        <f>CHOOSE(CONTROL!$C$42, 21.787, 21.787) * CHOOSE(CONTROL!$C$21, $C$9, 100%, $E$9)</f>
        <v>21.786999999999999</v>
      </c>
      <c r="L435" s="14">
        <f>CHOOSE(CONTROL!$C$42, 22.3825, 22.3825) * CHOOSE(CONTROL!$C$21, $C$9, 100%, $E$9)</f>
        <v>22.3825</v>
      </c>
      <c r="M435" s="14">
        <f>CHOOSE(CONTROL!$C$42, 21.2658, 21.2658) * CHOOSE(CONTROL!$C$21, $C$9, 100%, $E$9)</f>
        <v>21.265799999999999</v>
      </c>
      <c r="N435" s="14">
        <f>CHOOSE(CONTROL!$C$42, 21.2827, 21.2827) * CHOOSE(CONTROL!$C$21, $C$9, 100%, $E$9)</f>
        <v>21.282699999999998</v>
      </c>
      <c r="O435" s="14">
        <f>CHOOSE(CONTROL!$C$42, 21.3566, 21.3566) * CHOOSE(CONTROL!$C$21, $C$9, 100%, $E$9)</f>
        <v>21.3566</v>
      </c>
      <c r="P435" s="14">
        <f>CHOOSE(CONTROL!$C$42, 21.3508, 21.3508) * CHOOSE(CONTROL!$C$21, $C$9, 100%, $E$9)</f>
        <v>21.3508</v>
      </c>
      <c r="Q435" s="14">
        <f>CHOOSE(CONTROL!$C$42, 21.9513, 21.9513) * CHOOSE(CONTROL!$C$21, $C$9, 100%, $E$9)</f>
        <v>21.9513</v>
      </c>
      <c r="R435" s="14">
        <f>CHOOSE(CONTROL!$C$42, 22.5932, 22.5932) * CHOOSE(CONTROL!$C$21, $C$9, 100%, $E$9)</f>
        <v>22.5932</v>
      </c>
      <c r="S435" s="14">
        <f>CHOOSE(CONTROL!$C$42, 20.8312, 20.8312) * CHOOSE(CONTROL!$C$21, $C$9, 100%, $E$9)</f>
        <v>20.831199999999999</v>
      </c>
      <c r="T43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56">
        <f>(1000*CHOOSE(CONTROL!$C$42, 695, 695)*CHOOSE(CONTROL!$C$42, 0.5599, 0.5599)*CHOOSE(CONTROL!$C$42, 31, 31))/1000000</f>
        <v>12.063045499999998</v>
      </c>
      <c r="V435" s="56">
        <f>(1000*CHOOSE(CONTROL!$C$42, 500, 500)*CHOOSE(CONTROL!$C$42, 0.275, 0.275)*CHOOSE(CONTROL!$C$42, 31, 31))/1000000</f>
        <v>4.2625000000000002</v>
      </c>
      <c r="W435" s="56">
        <f>(1000*CHOOSE(CONTROL!$C$42, 0.1146, 0.1146)*CHOOSE(CONTROL!$C$42, 121.5, 121.5)*CHOOSE(CONTROL!$C$42, 31, 31))/1000000</f>
        <v>0.43164089999999994</v>
      </c>
      <c r="X435" s="56">
        <f>(31*0.1790888*100000/1000000)+(31*0.2374*100000/1000000)</f>
        <v>1.2911152800000001</v>
      </c>
      <c r="Y435" s="56"/>
      <c r="Z435" s="14"/>
      <c r="AA435" s="55"/>
      <c r="AB435" s="49">
        <f>(B435*122.58+C435*297.941+D435*89.177+E435*40.302+F435*40+G435*160+H435*0+I435*100+J435*300)/(122.58+297.941+89.177+40.302+0+40+160+100+300)</f>
        <v>21.718879802434781</v>
      </c>
      <c r="AC435" s="44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21.320156834532373</v>
      </c>
    </row>
    <row r="436" spans="1:29" ht="15.75" x14ac:dyDescent="0.25">
      <c r="A436" s="32">
        <v>54178</v>
      </c>
      <c r="B436" s="14">
        <f>CHOOSE(CONTROL!$C$42, 21.6238, 21.6238) * CHOOSE(CONTROL!$C$21, $C$9, 100%, $E$9)</f>
        <v>21.623799999999999</v>
      </c>
      <c r="C436" s="14">
        <f>CHOOSE(CONTROL!$C$42, 21.6283, 21.6283) * CHOOSE(CONTROL!$C$21, $C$9, 100%, $E$9)</f>
        <v>21.628299999999999</v>
      </c>
      <c r="D436" s="14">
        <f>CHOOSE(CONTROL!$C$42, 21.8572, 21.8572) * CHOOSE(CONTROL!$C$21, $C$9, 100%, $E$9)</f>
        <v>21.857199999999999</v>
      </c>
      <c r="E436" s="14">
        <f>CHOOSE(CONTROL!$C$42, 21.8893, 21.8893) * CHOOSE(CONTROL!$C$21, $C$9, 100%, $E$9)</f>
        <v>21.889299999999999</v>
      </c>
      <c r="F436" s="14">
        <f>CHOOSE(CONTROL!$C$42, 21.6508, 21.6508)*CHOOSE(CONTROL!$C$21, $C$9, 100%, $E$9)</f>
        <v>21.6508</v>
      </c>
      <c r="G436" s="14">
        <f>CHOOSE(CONTROL!$C$42, 21.6675, 21.6675)*CHOOSE(CONTROL!$C$21, $C$9, 100%, $E$9)</f>
        <v>21.6675</v>
      </c>
      <c r="H436" s="14">
        <f>CHOOSE(CONTROL!$C$42, 21.8791, 21.8791) * CHOOSE(CONTROL!$C$21, $C$9, 100%, $E$9)</f>
        <v>21.879100000000001</v>
      </c>
      <c r="I436" s="14">
        <f>CHOOSE(CONTROL!$C$42, 21.7245, 21.7245)* CHOOSE(CONTROL!$C$21, $C$9, 100%, $E$9)</f>
        <v>21.724499999999999</v>
      </c>
      <c r="J436" s="14">
        <f>CHOOSE(CONTROL!$C$42, 21.6438, 21.6438)* CHOOSE(CONTROL!$C$21, $C$9, 100%, $E$9)</f>
        <v>21.643799999999999</v>
      </c>
      <c r="K436" s="52">
        <f>CHOOSE(CONTROL!$C$42, 21.7206, 21.7206) * CHOOSE(CONTROL!$C$21, $C$9, 100%, $E$9)</f>
        <v>21.720600000000001</v>
      </c>
      <c r="L436" s="14">
        <f>CHOOSE(CONTROL!$C$42, 22.4661, 22.4661) * CHOOSE(CONTROL!$C$21, $C$9, 100%, $E$9)</f>
        <v>22.466100000000001</v>
      </c>
      <c r="M436" s="14">
        <f>CHOOSE(CONTROL!$C$42, 21.208, 21.208) * CHOOSE(CONTROL!$C$21, $C$9, 100%, $E$9)</f>
        <v>21.207999999999998</v>
      </c>
      <c r="N436" s="14">
        <f>CHOOSE(CONTROL!$C$42, 21.2244, 21.2244) * CHOOSE(CONTROL!$C$21, $C$9, 100%, $E$9)</f>
        <v>21.224399999999999</v>
      </c>
      <c r="O436" s="14">
        <f>CHOOSE(CONTROL!$C$42, 21.4385, 21.4385) * CHOOSE(CONTROL!$C$21, $C$9, 100%, $E$9)</f>
        <v>21.438500000000001</v>
      </c>
      <c r="P436" s="14">
        <f>CHOOSE(CONTROL!$C$42, 21.2858, 21.2858) * CHOOSE(CONTROL!$C$21, $C$9, 100%, $E$9)</f>
        <v>21.285799999999998</v>
      </c>
      <c r="Q436" s="14">
        <f>CHOOSE(CONTROL!$C$42, 22.0332, 22.0332) * CHOOSE(CONTROL!$C$21, $C$9, 100%, $E$9)</f>
        <v>22.033200000000001</v>
      </c>
      <c r="R436" s="14">
        <f>CHOOSE(CONTROL!$C$42, 22.6753, 22.6753) * CHOOSE(CONTROL!$C$21, $C$9, 100%, $E$9)</f>
        <v>22.6753</v>
      </c>
      <c r="S436" s="14">
        <f>CHOOSE(CONTROL!$C$42, 20.769, 20.769) * CHOOSE(CONTROL!$C$21, $C$9, 100%, $E$9)</f>
        <v>20.768999999999998</v>
      </c>
      <c r="T43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56">
        <f>(1000*CHOOSE(CONTROL!$C$42, 695, 695)*CHOOSE(CONTROL!$C$42, 0.5599, 0.5599)*CHOOSE(CONTROL!$C$42, 30, 30))/1000000</f>
        <v>11.673914999999997</v>
      </c>
      <c r="V436" s="56">
        <f>(1000*CHOOSE(CONTROL!$C$42, 500, 500)*CHOOSE(CONTROL!$C$42, 0.275, 0.275)*CHOOSE(CONTROL!$C$42, 30, 30))/1000000</f>
        <v>4.125</v>
      </c>
      <c r="W436" s="56">
        <f>(1000*CHOOSE(CONTROL!$C$42, 0.1146, 0.1146)*CHOOSE(CONTROL!$C$42, 121.5, 121.5)*CHOOSE(CONTROL!$C$42, 30, 30))/1000000</f>
        <v>0.417717</v>
      </c>
      <c r="X436" s="56">
        <f>(30*0.1790888*245000/1000000)+(30*0.2374*100000/1000000)</f>
        <v>2.0285026799999999</v>
      </c>
      <c r="Y436" s="56"/>
      <c r="Z436" s="14"/>
      <c r="AA436" s="55"/>
      <c r="AB436" s="49">
        <f>(B436*141.293+C436*267.993+D436*115.016+E436*89.698+F436*40+G436*185+H436*0+I436*100+J436*300)/(141.293+267.993+115.016+89.698+0+40+185+100+300)</f>
        <v>21.686027620581115</v>
      </c>
      <c r="AC436" s="44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21.287642446043165</v>
      </c>
    </row>
    <row r="437" spans="1:29" ht="15.75" x14ac:dyDescent="0.25">
      <c r="A437" s="32">
        <v>54209</v>
      </c>
      <c r="B437" s="14">
        <f>CHOOSE(CONTROL!$C$42, 21.816, 21.816) * CHOOSE(CONTROL!$C$21, $C$9, 100%, $E$9)</f>
        <v>21.815999999999999</v>
      </c>
      <c r="C437" s="14">
        <f>CHOOSE(CONTROL!$C$42, 21.824, 21.824) * CHOOSE(CONTROL!$C$21, $C$9, 100%, $E$9)</f>
        <v>21.824000000000002</v>
      </c>
      <c r="D437" s="14">
        <f>CHOOSE(CONTROL!$C$42, 22.0498, 22.0498) * CHOOSE(CONTROL!$C$21, $C$9, 100%, $E$9)</f>
        <v>22.049800000000001</v>
      </c>
      <c r="E437" s="14">
        <f>CHOOSE(CONTROL!$C$42, 22.0812, 22.0812) * CHOOSE(CONTROL!$C$21, $C$9, 100%, $E$9)</f>
        <v>22.081199999999999</v>
      </c>
      <c r="F437" s="14">
        <f>CHOOSE(CONTROL!$C$42, 21.8416, 21.8416)*CHOOSE(CONTROL!$C$21, $C$9, 100%, $E$9)</f>
        <v>21.8416</v>
      </c>
      <c r="G437" s="14">
        <f>CHOOSE(CONTROL!$C$42, 21.8586, 21.8586)*CHOOSE(CONTROL!$C$21, $C$9, 100%, $E$9)</f>
        <v>21.858599999999999</v>
      </c>
      <c r="H437" s="14">
        <f>CHOOSE(CONTROL!$C$42, 22.0699, 22.0699) * CHOOSE(CONTROL!$C$21, $C$9, 100%, $E$9)</f>
        <v>22.069900000000001</v>
      </c>
      <c r="I437" s="14">
        <f>CHOOSE(CONTROL!$C$42, 21.9158, 21.9158)* CHOOSE(CONTROL!$C$21, $C$9, 100%, $E$9)</f>
        <v>21.915800000000001</v>
      </c>
      <c r="J437" s="14">
        <f>CHOOSE(CONTROL!$C$42, 21.8346, 21.8346)* CHOOSE(CONTROL!$C$21, $C$9, 100%, $E$9)</f>
        <v>21.834599999999998</v>
      </c>
      <c r="K437" s="52">
        <f>CHOOSE(CONTROL!$C$42, 21.9119, 21.9119) * CHOOSE(CONTROL!$C$21, $C$9, 100%, $E$9)</f>
        <v>21.911899999999999</v>
      </c>
      <c r="L437" s="14">
        <f>CHOOSE(CONTROL!$C$42, 22.6569, 22.6569) * CHOOSE(CONTROL!$C$21, $C$9, 100%, $E$9)</f>
        <v>22.6569</v>
      </c>
      <c r="M437" s="14">
        <f>CHOOSE(CONTROL!$C$42, 21.3949, 21.3949) * CHOOSE(CONTROL!$C$21, $C$9, 100%, $E$9)</f>
        <v>21.3949</v>
      </c>
      <c r="N437" s="14">
        <f>CHOOSE(CONTROL!$C$42, 21.4116, 21.4116) * CHOOSE(CONTROL!$C$21, $C$9, 100%, $E$9)</f>
        <v>21.4116</v>
      </c>
      <c r="O437" s="14">
        <f>CHOOSE(CONTROL!$C$42, 21.6254, 21.6254) * CHOOSE(CONTROL!$C$21, $C$9, 100%, $E$9)</f>
        <v>21.625399999999999</v>
      </c>
      <c r="P437" s="14">
        <f>CHOOSE(CONTROL!$C$42, 21.4732, 21.4732) * CHOOSE(CONTROL!$C$21, $C$9, 100%, $E$9)</f>
        <v>21.473199999999999</v>
      </c>
      <c r="Q437" s="14">
        <f>CHOOSE(CONTROL!$C$42, 22.2201, 22.2201) * CHOOSE(CONTROL!$C$21, $C$9, 100%, $E$9)</f>
        <v>22.220099999999999</v>
      </c>
      <c r="R437" s="14">
        <f>CHOOSE(CONTROL!$C$42, 22.8626, 22.8626) * CHOOSE(CONTROL!$C$21, $C$9, 100%, $E$9)</f>
        <v>22.8626</v>
      </c>
      <c r="S437" s="14">
        <f>CHOOSE(CONTROL!$C$42, 20.9523, 20.9523) * CHOOSE(CONTROL!$C$21, $C$9, 100%, $E$9)</f>
        <v>20.952300000000001</v>
      </c>
      <c r="T43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56">
        <f>(1000*CHOOSE(CONTROL!$C$42, 695, 695)*CHOOSE(CONTROL!$C$42, 0.5599, 0.5599)*CHOOSE(CONTROL!$C$42, 31, 31))/1000000</f>
        <v>12.063045499999998</v>
      </c>
      <c r="V437" s="56">
        <f>(1000*CHOOSE(CONTROL!$C$42, 500, 500)*CHOOSE(CONTROL!$C$42, 0.275, 0.275)*CHOOSE(CONTROL!$C$42, 31, 31))/1000000</f>
        <v>4.2625000000000002</v>
      </c>
      <c r="W437" s="56">
        <f>(1000*CHOOSE(CONTROL!$C$42, 0.1146, 0.1146)*CHOOSE(CONTROL!$C$42, 121.5, 121.5)*CHOOSE(CONTROL!$C$42, 31, 31))/1000000</f>
        <v>0.43164089999999994</v>
      </c>
      <c r="X437" s="56">
        <f>(31*0.1790888*245000/1000000)+(31*0.2374*100000/1000000)</f>
        <v>2.0961194359999999</v>
      </c>
      <c r="Y437" s="56"/>
      <c r="Z437" s="14"/>
      <c r="AA437" s="55"/>
      <c r="AB437" s="49">
        <f>(B437*194.205+C437*267.466+D437*133.845+E437*53.484+F437*40+G437*185+H437*0+I437*100+J437*300)/(194.205+267.466+133.845+53.484+0+40+185+100+300)</f>
        <v>21.872578999843014</v>
      </c>
      <c r="AC437" s="44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21.474683453237407</v>
      </c>
    </row>
    <row r="438" spans="1:29" ht="15.75" x14ac:dyDescent="0.25">
      <c r="A438" s="32">
        <v>54239</v>
      </c>
      <c r="B438" s="14">
        <f>CHOOSE(CONTROL!$C$42, 22.4345, 22.4345) * CHOOSE(CONTROL!$C$21, $C$9, 100%, $E$9)</f>
        <v>22.4345</v>
      </c>
      <c r="C438" s="14">
        <f>CHOOSE(CONTROL!$C$42, 22.4425, 22.4425) * CHOOSE(CONTROL!$C$21, $C$9, 100%, $E$9)</f>
        <v>22.442499999999999</v>
      </c>
      <c r="D438" s="14">
        <f>CHOOSE(CONTROL!$C$42, 22.6683, 22.6683) * CHOOSE(CONTROL!$C$21, $C$9, 100%, $E$9)</f>
        <v>22.668299999999999</v>
      </c>
      <c r="E438" s="14">
        <f>CHOOSE(CONTROL!$C$42, 22.6997, 22.6997) * CHOOSE(CONTROL!$C$21, $C$9, 100%, $E$9)</f>
        <v>22.6997</v>
      </c>
      <c r="F438" s="14">
        <f>CHOOSE(CONTROL!$C$42, 22.4606, 22.4606)*CHOOSE(CONTROL!$C$21, $C$9, 100%, $E$9)</f>
        <v>22.460599999999999</v>
      </c>
      <c r="G438" s="14">
        <f>CHOOSE(CONTROL!$C$42, 22.4777, 22.4777)*CHOOSE(CONTROL!$C$21, $C$9, 100%, $E$9)</f>
        <v>22.477699999999999</v>
      </c>
      <c r="H438" s="14">
        <f>CHOOSE(CONTROL!$C$42, 22.6884, 22.6884) * CHOOSE(CONTROL!$C$21, $C$9, 100%, $E$9)</f>
        <v>22.688400000000001</v>
      </c>
      <c r="I438" s="14">
        <f>CHOOSE(CONTROL!$C$42, 22.5363, 22.5363)* CHOOSE(CONTROL!$C$21, $C$9, 100%, $E$9)</f>
        <v>22.536300000000001</v>
      </c>
      <c r="J438" s="14">
        <f>CHOOSE(CONTROL!$C$42, 22.4536, 22.4536)* CHOOSE(CONTROL!$C$21, $C$9, 100%, $E$9)</f>
        <v>22.453600000000002</v>
      </c>
      <c r="K438" s="52">
        <f>CHOOSE(CONTROL!$C$42, 22.5324, 22.5324) * CHOOSE(CONTROL!$C$21, $C$9, 100%, $E$9)</f>
        <v>22.532399999999999</v>
      </c>
      <c r="L438" s="14">
        <f>CHOOSE(CONTROL!$C$42, 23.2754, 23.2754) * CHOOSE(CONTROL!$C$21, $C$9, 100%, $E$9)</f>
        <v>23.275400000000001</v>
      </c>
      <c r="M438" s="14">
        <f>CHOOSE(CONTROL!$C$42, 22.0012, 22.0012) * CHOOSE(CONTROL!$C$21, $C$9, 100%, $E$9)</f>
        <v>22.001200000000001</v>
      </c>
      <c r="N438" s="14">
        <f>CHOOSE(CONTROL!$C$42, 22.0179, 22.0179) * CHOOSE(CONTROL!$C$21, $C$9, 100%, $E$9)</f>
        <v>22.017900000000001</v>
      </c>
      <c r="O438" s="14">
        <f>CHOOSE(CONTROL!$C$42, 22.2312, 22.2312) * CHOOSE(CONTROL!$C$21, $C$9, 100%, $E$9)</f>
        <v>22.231200000000001</v>
      </c>
      <c r="P438" s="14">
        <f>CHOOSE(CONTROL!$C$42, 22.0809, 22.0809) * CHOOSE(CONTROL!$C$21, $C$9, 100%, $E$9)</f>
        <v>22.0809</v>
      </c>
      <c r="Q438" s="14">
        <f>CHOOSE(CONTROL!$C$42, 22.8259, 22.8259) * CHOOSE(CONTROL!$C$21, $C$9, 100%, $E$9)</f>
        <v>22.825900000000001</v>
      </c>
      <c r="R438" s="14">
        <f>CHOOSE(CONTROL!$C$42, 23.47, 23.47) * CHOOSE(CONTROL!$C$21, $C$9, 100%, $E$9)</f>
        <v>23.47</v>
      </c>
      <c r="S438" s="14">
        <f>CHOOSE(CONTROL!$C$42, 21.5466, 21.5466) * CHOOSE(CONTROL!$C$21, $C$9, 100%, $E$9)</f>
        <v>21.546600000000002</v>
      </c>
      <c r="T43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56">
        <f>(1000*CHOOSE(CONTROL!$C$42, 695, 695)*CHOOSE(CONTROL!$C$42, 0.5599, 0.5599)*CHOOSE(CONTROL!$C$42, 30, 30))/1000000</f>
        <v>11.673914999999997</v>
      </c>
      <c r="V438" s="56">
        <f>(1000*CHOOSE(CONTROL!$C$42, 500, 500)*CHOOSE(CONTROL!$C$42, 0.275, 0.275)*CHOOSE(CONTROL!$C$42, 30, 30))/1000000</f>
        <v>4.125</v>
      </c>
      <c r="W438" s="56">
        <f>(1000*CHOOSE(CONTROL!$C$42, 0.1146, 0.1146)*CHOOSE(CONTROL!$C$42, 121.5, 121.5)*CHOOSE(CONTROL!$C$42, 30, 30))/1000000</f>
        <v>0.417717</v>
      </c>
      <c r="X438" s="56">
        <f>(30*0.1790888*245000/1000000)+(30*0.2374*100000/1000000)</f>
        <v>2.0285026799999999</v>
      </c>
      <c r="Y438" s="56"/>
      <c r="Z438" s="14"/>
      <c r="AA438" s="55"/>
      <c r="AB438" s="49">
        <f>(B438*194.205+C438*267.466+D438*133.845+E438*53.484+F438*40+G438*185+H438*0+I438*100+J438*300)/(194.205+267.466+133.845+53.484+0+40+185+100+300)</f>
        <v>22.491456550863422</v>
      </c>
      <c r="AC438" s="44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22.081044604316549</v>
      </c>
    </row>
    <row r="439" spans="1:29" ht="15.75" x14ac:dyDescent="0.25">
      <c r="A439" s="32">
        <v>54270</v>
      </c>
      <c r="B439" s="14">
        <f>CHOOSE(CONTROL!$C$42, 22.0043, 22.0043) * CHOOSE(CONTROL!$C$21, $C$9, 100%, $E$9)</f>
        <v>22.004300000000001</v>
      </c>
      <c r="C439" s="14">
        <f>CHOOSE(CONTROL!$C$42, 22.0123, 22.0123) * CHOOSE(CONTROL!$C$21, $C$9, 100%, $E$9)</f>
        <v>22.0123</v>
      </c>
      <c r="D439" s="14">
        <f>CHOOSE(CONTROL!$C$42, 22.2381, 22.2381) * CHOOSE(CONTROL!$C$21, $C$9, 100%, $E$9)</f>
        <v>22.238099999999999</v>
      </c>
      <c r="E439" s="14">
        <f>CHOOSE(CONTROL!$C$42, 22.2696, 22.2696) * CHOOSE(CONTROL!$C$21, $C$9, 100%, $E$9)</f>
        <v>22.269600000000001</v>
      </c>
      <c r="F439" s="14">
        <f>CHOOSE(CONTROL!$C$42, 22.0309, 22.0309)*CHOOSE(CONTROL!$C$21, $C$9, 100%, $E$9)</f>
        <v>22.030899999999999</v>
      </c>
      <c r="G439" s="14">
        <f>CHOOSE(CONTROL!$C$42, 22.0481, 22.0481)*CHOOSE(CONTROL!$C$21, $C$9, 100%, $E$9)</f>
        <v>22.048100000000002</v>
      </c>
      <c r="H439" s="14">
        <f>CHOOSE(CONTROL!$C$42, 22.2582, 22.2582) * CHOOSE(CONTROL!$C$21, $C$9, 100%, $E$9)</f>
        <v>22.258199999999999</v>
      </c>
      <c r="I439" s="14">
        <f>CHOOSE(CONTROL!$C$42, 22.1048, 22.1048)* CHOOSE(CONTROL!$C$21, $C$9, 100%, $E$9)</f>
        <v>22.104800000000001</v>
      </c>
      <c r="J439" s="14">
        <f>CHOOSE(CONTROL!$C$42, 22.0239, 22.0239)* CHOOSE(CONTROL!$C$21, $C$9, 100%, $E$9)</f>
        <v>22.023900000000001</v>
      </c>
      <c r="K439" s="52">
        <f>CHOOSE(CONTROL!$C$42, 22.1009, 22.1009) * CHOOSE(CONTROL!$C$21, $C$9, 100%, $E$9)</f>
        <v>22.100899999999999</v>
      </c>
      <c r="L439" s="14">
        <f>CHOOSE(CONTROL!$C$42, 22.8452, 22.8452) * CHOOSE(CONTROL!$C$21, $C$9, 100%, $E$9)</f>
        <v>22.845199999999998</v>
      </c>
      <c r="M439" s="14">
        <f>CHOOSE(CONTROL!$C$42, 21.5803, 21.5803) * CHOOSE(CONTROL!$C$21, $C$9, 100%, $E$9)</f>
        <v>21.580300000000001</v>
      </c>
      <c r="N439" s="14">
        <f>CHOOSE(CONTROL!$C$42, 21.5972, 21.5972) * CHOOSE(CONTROL!$C$21, $C$9, 100%, $E$9)</f>
        <v>21.597200000000001</v>
      </c>
      <c r="O439" s="14">
        <f>CHOOSE(CONTROL!$C$42, 21.8098, 21.8098) * CHOOSE(CONTROL!$C$21, $C$9, 100%, $E$9)</f>
        <v>21.809799999999999</v>
      </c>
      <c r="P439" s="14">
        <f>CHOOSE(CONTROL!$C$42, 21.6582, 21.6582) * CHOOSE(CONTROL!$C$21, $C$9, 100%, $E$9)</f>
        <v>21.658200000000001</v>
      </c>
      <c r="Q439" s="14">
        <f>CHOOSE(CONTROL!$C$42, 22.4045, 22.4045) * CHOOSE(CONTROL!$C$21, $C$9, 100%, $E$9)</f>
        <v>22.404499999999999</v>
      </c>
      <c r="R439" s="14">
        <f>CHOOSE(CONTROL!$C$42, 23.0476, 23.0476) * CHOOSE(CONTROL!$C$21, $C$9, 100%, $E$9)</f>
        <v>23.047599999999999</v>
      </c>
      <c r="S439" s="14">
        <f>CHOOSE(CONTROL!$C$42, 21.1333, 21.1333) * CHOOSE(CONTROL!$C$21, $C$9, 100%, $E$9)</f>
        <v>21.133299999999998</v>
      </c>
      <c r="T43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56">
        <f>(1000*CHOOSE(CONTROL!$C$42, 695, 695)*CHOOSE(CONTROL!$C$42, 0.5599, 0.5599)*CHOOSE(CONTROL!$C$42, 31, 31))/1000000</f>
        <v>12.063045499999998</v>
      </c>
      <c r="V439" s="56">
        <f>(1000*CHOOSE(CONTROL!$C$42, 500, 500)*CHOOSE(CONTROL!$C$42, 0.275, 0.275)*CHOOSE(CONTROL!$C$42, 31, 31))/1000000</f>
        <v>4.2625000000000002</v>
      </c>
      <c r="W439" s="56">
        <f>(1000*CHOOSE(CONTROL!$C$42, 0.1146, 0.1146)*CHOOSE(CONTROL!$C$42, 121.5, 121.5)*CHOOSE(CONTROL!$C$42, 31, 31))/1000000</f>
        <v>0.43164089999999994</v>
      </c>
      <c r="X439" s="56">
        <f>(31*0.1790888*245000/1000000)+(31*0.2374*100000/1000000)</f>
        <v>2.0961194359999999</v>
      </c>
      <c r="Y439" s="56"/>
      <c r="Z439" s="14"/>
      <c r="AA439" s="55"/>
      <c r="AB439" s="49">
        <f>(B439*194.205+C439*267.466+D439*133.845+E439*53.484+F439*40+G439*185+H439*0+I439*100+J439*300)/(194.205+267.466+133.845+53.484+0+40+185+100+300)</f>
        <v>22.061379273312404</v>
      </c>
      <c r="AC439" s="44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21.659791366906475</v>
      </c>
    </row>
    <row r="440" spans="1:29" ht="15.75" x14ac:dyDescent="0.25">
      <c r="A440" s="32">
        <v>54301</v>
      </c>
      <c r="B440" s="14">
        <f>CHOOSE(CONTROL!$C$42, 20.918, 20.918) * CHOOSE(CONTROL!$C$21, $C$9, 100%, $E$9)</f>
        <v>20.917999999999999</v>
      </c>
      <c r="C440" s="14">
        <f>CHOOSE(CONTROL!$C$42, 20.926, 20.926) * CHOOSE(CONTROL!$C$21, $C$9, 100%, $E$9)</f>
        <v>20.925999999999998</v>
      </c>
      <c r="D440" s="14">
        <f>CHOOSE(CONTROL!$C$42, 21.1518, 21.1518) * CHOOSE(CONTROL!$C$21, $C$9, 100%, $E$9)</f>
        <v>21.151800000000001</v>
      </c>
      <c r="E440" s="14">
        <f>CHOOSE(CONTROL!$C$42, 21.1833, 21.1833) * CHOOSE(CONTROL!$C$21, $C$9, 100%, $E$9)</f>
        <v>21.183299999999999</v>
      </c>
      <c r="F440" s="14">
        <f>CHOOSE(CONTROL!$C$42, 20.9448, 20.9448)*CHOOSE(CONTROL!$C$21, $C$9, 100%, $E$9)</f>
        <v>20.944800000000001</v>
      </c>
      <c r="G440" s="14">
        <f>CHOOSE(CONTROL!$C$42, 20.9621, 20.9621)*CHOOSE(CONTROL!$C$21, $C$9, 100%, $E$9)</f>
        <v>20.9621</v>
      </c>
      <c r="H440" s="14">
        <f>CHOOSE(CONTROL!$C$42, 21.1719, 21.1719) * CHOOSE(CONTROL!$C$21, $C$9, 100%, $E$9)</f>
        <v>21.171900000000001</v>
      </c>
      <c r="I440" s="14">
        <f>CHOOSE(CONTROL!$C$42, 21.015, 21.015)* CHOOSE(CONTROL!$C$21, $C$9, 100%, $E$9)</f>
        <v>21.015000000000001</v>
      </c>
      <c r="J440" s="14">
        <f>CHOOSE(CONTROL!$C$42, 20.9378, 20.9378)* CHOOSE(CONTROL!$C$21, $C$9, 100%, $E$9)</f>
        <v>20.937799999999999</v>
      </c>
      <c r="K440" s="52">
        <f>CHOOSE(CONTROL!$C$42, 21.0111, 21.0111) * CHOOSE(CONTROL!$C$21, $C$9, 100%, $E$9)</f>
        <v>21.011099999999999</v>
      </c>
      <c r="L440" s="14">
        <f>CHOOSE(CONTROL!$C$42, 21.7589, 21.7589) * CHOOSE(CONTROL!$C$21, $C$9, 100%, $E$9)</f>
        <v>21.758900000000001</v>
      </c>
      <c r="M440" s="14">
        <f>CHOOSE(CONTROL!$C$42, 20.5165, 20.5165) * CHOOSE(CONTROL!$C$21, $C$9, 100%, $E$9)</f>
        <v>20.516500000000001</v>
      </c>
      <c r="N440" s="14">
        <f>CHOOSE(CONTROL!$C$42, 20.5334, 20.5334) * CHOOSE(CONTROL!$C$21, $C$9, 100%, $E$9)</f>
        <v>20.5334</v>
      </c>
      <c r="O440" s="14">
        <f>CHOOSE(CONTROL!$C$42, 20.7458, 20.7458) * CHOOSE(CONTROL!$C$21, $C$9, 100%, $E$9)</f>
        <v>20.745799999999999</v>
      </c>
      <c r="P440" s="14">
        <f>CHOOSE(CONTROL!$C$42, 20.5909, 20.5909) * CHOOSE(CONTROL!$C$21, $C$9, 100%, $E$9)</f>
        <v>20.590900000000001</v>
      </c>
      <c r="Q440" s="14">
        <f>CHOOSE(CONTROL!$C$42, 21.3405, 21.3405) * CHOOSE(CONTROL!$C$21, $C$9, 100%, $E$9)</f>
        <v>21.340499999999999</v>
      </c>
      <c r="R440" s="14">
        <f>CHOOSE(CONTROL!$C$42, 21.9808, 21.9808) * CHOOSE(CONTROL!$C$21, $C$9, 100%, $E$9)</f>
        <v>21.980799999999999</v>
      </c>
      <c r="S440" s="14">
        <f>CHOOSE(CONTROL!$C$42, 20.0895, 20.0895) * CHOOSE(CONTROL!$C$21, $C$9, 100%, $E$9)</f>
        <v>20.089500000000001</v>
      </c>
      <c r="T44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56">
        <f>(1000*CHOOSE(CONTROL!$C$42, 695, 695)*CHOOSE(CONTROL!$C$42, 0.5599, 0.5599)*CHOOSE(CONTROL!$C$42, 31, 31))/1000000</f>
        <v>12.063045499999998</v>
      </c>
      <c r="V440" s="56">
        <f>(1000*CHOOSE(CONTROL!$C$42, 500, 500)*CHOOSE(CONTROL!$C$42, 0.275, 0.275)*CHOOSE(CONTROL!$C$42, 31, 31))/1000000</f>
        <v>4.2625000000000002</v>
      </c>
      <c r="W440" s="56">
        <f>(1000*CHOOSE(CONTROL!$C$42, 0.1146, 0.1146)*CHOOSE(CONTROL!$C$42, 121.5, 121.5)*CHOOSE(CONTROL!$C$42, 31, 31))/1000000</f>
        <v>0.43164089999999994</v>
      </c>
      <c r="X440" s="56">
        <f>(31*0.1790888*245000/1000000)+(31*0.2374*100000/1000000)</f>
        <v>2.0961194359999999</v>
      </c>
      <c r="Y440" s="56"/>
      <c r="Z440" s="14"/>
      <c r="AA440" s="55"/>
      <c r="AB440" s="49">
        <f>(B440*194.205+C440*267.466+D440*133.845+E440*53.484+F440*40+G440*185+H440*0+I440*100+J440*300)/(194.205+267.466+133.845+53.484+0+40+185+100+300)</f>
        <v>20.974901486813184</v>
      </c>
      <c r="AC440" s="44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20.595431654676261</v>
      </c>
    </row>
    <row r="441" spans="1:29" ht="15.75" x14ac:dyDescent="0.25">
      <c r="A441" s="32">
        <v>54331</v>
      </c>
      <c r="B441" s="14">
        <f>CHOOSE(CONTROL!$C$42, 19.5905, 19.5905) * CHOOSE(CONTROL!$C$21, $C$9, 100%, $E$9)</f>
        <v>19.590499999999999</v>
      </c>
      <c r="C441" s="14">
        <f>CHOOSE(CONTROL!$C$42, 19.5985, 19.5985) * CHOOSE(CONTROL!$C$21, $C$9, 100%, $E$9)</f>
        <v>19.598500000000001</v>
      </c>
      <c r="D441" s="14">
        <f>CHOOSE(CONTROL!$C$42, 19.8243, 19.8243) * CHOOSE(CONTROL!$C$21, $C$9, 100%, $E$9)</f>
        <v>19.824300000000001</v>
      </c>
      <c r="E441" s="14">
        <f>CHOOSE(CONTROL!$C$42, 19.8558, 19.8558) * CHOOSE(CONTROL!$C$21, $C$9, 100%, $E$9)</f>
        <v>19.855799999999999</v>
      </c>
      <c r="F441" s="14">
        <f>CHOOSE(CONTROL!$C$42, 19.6173, 19.6173)*CHOOSE(CONTROL!$C$21, $C$9, 100%, $E$9)</f>
        <v>19.6173</v>
      </c>
      <c r="G441" s="14">
        <f>CHOOSE(CONTROL!$C$42, 19.6346, 19.6346)*CHOOSE(CONTROL!$C$21, $C$9, 100%, $E$9)</f>
        <v>19.634599999999999</v>
      </c>
      <c r="H441" s="14">
        <f>CHOOSE(CONTROL!$C$42, 19.8444, 19.8444) * CHOOSE(CONTROL!$C$21, $C$9, 100%, $E$9)</f>
        <v>19.8444</v>
      </c>
      <c r="I441" s="14">
        <f>CHOOSE(CONTROL!$C$42, 19.6834, 19.6834)* CHOOSE(CONTROL!$C$21, $C$9, 100%, $E$9)</f>
        <v>19.683399999999999</v>
      </c>
      <c r="J441" s="14">
        <f>CHOOSE(CONTROL!$C$42, 19.6103, 19.6103)* CHOOSE(CONTROL!$C$21, $C$9, 100%, $E$9)</f>
        <v>19.610299999999999</v>
      </c>
      <c r="K441" s="52">
        <f>CHOOSE(CONTROL!$C$42, 19.6795, 19.6795) * CHOOSE(CONTROL!$C$21, $C$9, 100%, $E$9)</f>
        <v>19.679500000000001</v>
      </c>
      <c r="L441" s="14">
        <f>CHOOSE(CONTROL!$C$42, 20.4314, 20.4314) * CHOOSE(CONTROL!$C$21, $C$9, 100%, $E$9)</f>
        <v>20.4314</v>
      </c>
      <c r="M441" s="14">
        <f>CHOOSE(CONTROL!$C$42, 19.2162, 19.2162) * CHOOSE(CONTROL!$C$21, $C$9, 100%, $E$9)</f>
        <v>19.216200000000001</v>
      </c>
      <c r="N441" s="14">
        <f>CHOOSE(CONTROL!$C$42, 19.2331, 19.2331) * CHOOSE(CONTROL!$C$21, $C$9, 100%, $E$9)</f>
        <v>19.2331</v>
      </c>
      <c r="O441" s="14">
        <f>CHOOSE(CONTROL!$C$42, 19.4455, 19.4455) * CHOOSE(CONTROL!$C$21, $C$9, 100%, $E$9)</f>
        <v>19.445499999999999</v>
      </c>
      <c r="P441" s="14">
        <f>CHOOSE(CONTROL!$C$42, 19.2866, 19.2866) * CHOOSE(CONTROL!$C$21, $C$9, 100%, $E$9)</f>
        <v>19.2866</v>
      </c>
      <c r="Q441" s="14">
        <f>CHOOSE(CONTROL!$C$42, 20.0402, 20.0402) * CHOOSE(CONTROL!$C$21, $C$9, 100%, $E$9)</f>
        <v>20.040199999999999</v>
      </c>
      <c r="R441" s="14">
        <f>CHOOSE(CONTROL!$C$42, 20.6773, 20.6773) * CHOOSE(CONTROL!$C$21, $C$9, 100%, $E$9)</f>
        <v>20.677299999999999</v>
      </c>
      <c r="S441" s="14">
        <f>CHOOSE(CONTROL!$C$42, 18.8139, 18.8139) * CHOOSE(CONTROL!$C$21, $C$9, 100%, $E$9)</f>
        <v>18.8139</v>
      </c>
      <c r="T44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56">
        <f>(1000*CHOOSE(CONTROL!$C$42, 695, 695)*CHOOSE(CONTROL!$C$42, 0.5599, 0.5599)*CHOOSE(CONTROL!$C$42, 30, 30))/1000000</f>
        <v>11.673914999999997</v>
      </c>
      <c r="V441" s="56">
        <f>(1000*CHOOSE(CONTROL!$C$42, 500, 500)*CHOOSE(CONTROL!$C$42, 0.275, 0.275)*CHOOSE(CONTROL!$C$42, 30, 30))/1000000</f>
        <v>4.125</v>
      </c>
      <c r="W441" s="56">
        <f>(1000*CHOOSE(CONTROL!$C$42, 0.1146, 0.1146)*CHOOSE(CONTROL!$C$42, 121.5, 121.5)*CHOOSE(CONTROL!$C$42, 30, 30))/1000000</f>
        <v>0.417717</v>
      </c>
      <c r="X441" s="56">
        <f>(30*0.1790888*245000/1000000)+(30*0.2374*100000/1000000)</f>
        <v>2.0285026799999999</v>
      </c>
      <c r="Y441" s="56"/>
      <c r="Z441" s="14"/>
      <c r="AA441" s="55"/>
      <c r="AB441" s="49">
        <f>(B441*194.205+C441*267.466+D441*133.845+E441*53.484+F441*40+G441*185+H441*0+I441*100+J441*300)/(194.205+267.466+133.845+53.484+0+40+185+100+300)</f>
        <v>19.647079665777081</v>
      </c>
      <c r="AC441" s="44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19.294556115107913</v>
      </c>
    </row>
    <row r="442" spans="1:29" ht="15.75" x14ac:dyDescent="0.25">
      <c r="A442" s="32">
        <v>54362</v>
      </c>
      <c r="B442" s="14">
        <f>CHOOSE(CONTROL!$C$42, 19.1912, 19.1912) * CHOOSE(CONTROL!$C$21, $C$9, 100%, $E$9)</f>
        <v>19.191199999999998</v>
      </c>
      <c r="C442" s="14">
        <f>CHOOSE(CONTROL!$C$42, 19.1965, 19.1965) * CHOOSE(CONTROL!$C$21, $C$9, 100%, $E$9)</f>
        <v>19.1965</v>
      </c>
      <c r="D442" s="14">
        <f>CHOOSE(CONTROL!$C$42, 19.4273, 19.4273) * CHOOSE(CONTROL!$C$21, $C$9, 100%, $E$9)</f>
        <v>19.427299999999999</v>
      </c>
      <c r="E442" s="14">
        <f>CHOOSE(CONTROL!$C$42, 19.4564, 19.4564) * CHOOSE(CONTROL!$C$21, $C$9, 100%, $E$9)</f>
        <v>19.456399999999999</v>
      </c>
      <c r="F442" s="14">
        <f>CHOOSE(CONTROL!$C$42, 19.2201, 19.2201)*CHOOSE(CONTROL!$C$21, $C$9, 100%, $E$9)</f>
        <v>19.220099999999999</v>
      </c>
      <c r="G442" s="14">
        <f>CHOOSE(CONTROL!$C$42, 19.2372, 19.2372)*CHOOSE(CONTROL!$C$21, $C$9, 100%, $E$9)</f>
        <v>19.237200000000001</v>
      </c>
      <c r="H442" s="14">
        <f>CHOOSE(CONTROL!$C$42, 19.4469, 19.4469) * CHOOSE(CONTROL!$C$21, $C$9, 100%, $E$9)</f>
        <v>19.446899999999999</v>
      </c>
      <c r="I442" s="14">
        <f>CHOOSE(CONTROL!$C$42, 19.2846, 19.2846)* CHOOSE(CONTROL!$C$21, $C$9, 100%, $E$9)</f>
        <v>19.284600000000001</v>
      </c>
      <c r="J442" s="14">
        <f>CHOOSE(CONTROL!$C$42, 19.2131, 19.2131)* CHOOSE(CONTROL!$C$21, $C$9, 100%, $E$9)</f>
        <v>19.213100000000001</v>
      </c>
      <c r="K442" s="52">
        <f>CHOOSE(CONTROL!$C$42, 19.2807, 19.2807) * CHOOSE(CONTROL!$C$21, $C$9, 100%, $E$9)</f>
        <v>19.2807</v>
      </c>
      <c r="L442" s="14">
        <f>CHOOSE(CONTROL!$C$42, 20.0339, 20.0339) * CHOOSE(CONTROL!$C$21, $C$9, 100%, $E$9)</f>
        <v>20.033899999999999</v>
      </c>
      <c r="M442" s="14">
        <f>CHOOSE(CONTROL!$C$42, 18.8271, 18.8271) * CHOOSE(CONTROL!$C$21, $C$9, 100%, $E$9)</f>
        <v>18.827100000000002</v>
      </c>
      <c r="N442" s="14">
        <f>CHOOSE(CONTROL!$C$42, 18.8438, 18.8438) * CHOOSE(CONTROL!$C$21, $C$9, 100%, $E$9)</f>
        <v>18.843800000000002</v>
      </c>
      <c r="O442" s="14">
        <f>CHOOSE(CONTROL!$C$42, 19.0561, 19.0561) * CHOOSE(CONTROL!$C$21, $C$9, 100%, $E$9)</f>
        <v>19.056100000000001</v>
      </c>
      <c r="P442" s="14">
        <f>CHOOSE(CONTROL!$C$42, 18.896, 18.896) * CHOOSE(CONTROL!$C$21, $C$9, 100%, $E$9)</f>
        <v>18.896000000000001</v>
      </c>
      <c r="Q442" s="14">
        <f>CHOOSE(CONTROL!$C$42, 19.6508, 19.6508) * CHOOSE(CONTROL!$C$21, $C$9, 100%, $E$9)</f>
        <v>19.6508</v>
      </c>
      <c r="R442" s="14">
        <f>CHOOSE(CONTROL!$C$42, 20.2869, 20.2869) * CHOOSE(CONTROL!$C$21, $C$9, 100%, $E$9)</f>
        <v>20.286899999999999</v>
      </c>
      <c r="S442" s="14">
        <f>CHOOSE(CONTROL!$C$42, 18.4319, 18.4319) * CHOOSE(CONTROL!$C$21, $C$9, 100%, $E$9)</f>
        <v>18.431899999999999</v>
      </c>
      <c r="T44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56">
        <f>(1000*CHOOSE(CONTROL!$C$42, 695, 695)*CHOOSE(CONTROL!$C$42, 0.5599, 0.5599)*CHOOSE(CONTROL!$C$42, 31, 31))/1000000</f>
        <v>12.063045499999998</v>
      </c>
      <c r="V442" s="56">
        <f>(1000*CHOOSE(CONTROL!$C$42, 500, 500)*CHOOSE(CONTROL!$C$42, 0.275, 0.275)*CHOOSE(CONTROL!$C$42, 31, 31))/1000000</f>
        <v>4.2625000000000002</v>
      </c>
      <c r="W442" s="56">
        <f>(1000*CHOOSE(CONTROL!$C$42, 0.1146, 0.1146)*CHOOSE(CONTROL!$C$42, 121.5, 121.5)*CHOOSE(CONTROL!$C$42, 31, 31))/1000000</f>
        <v>0.43164089999999994</v>
      </c>
      <c r="X442" s="56">
        <f>(31*0.1790888*245000/1000000)+(31*0.2374*100000/1000000)</f>
        <v>2.0961194359999999</v>
      </c>
      <c r="Y442" s="56"/>
      <c r="Z442" s="14"/>
      <c r="AA442" s="55"/>
      <c r="AB442" s="49">
        <f>(B442*131.881+C442*277.167+D442*79.08+E442*125.872+F442*40+G442*185+H442*0+I442*100+J442*300)/(131.881+277.167+79.08+125.872+0+40+185+100+300)</f>
        <v>19.255039408797419</v>
      </c>
      <c r="AC442" s="44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18.905110071942449</v>
      </c>
    </row>
    <row r="443" spans="1:29" ht="15.75" x14ac:dyDescent="0.25">
      <c r="A443" s="32">
        <v>54392</v>
      </c>
      <c r="B443" s="14">
        <f>CHOOSE(CONTROL!$C$42, 19.6961, 19.6961) * CHOOSE(CONTROL!$C$21, $C$9, 100%, $E$9)</f>
        <v>19.696100000000001</v>
      </c>
      <c r="C443" s="14">
        <f>CHOOSE(CONTROL!$C$42, 19.7012, 19.7012) * CHOOSE(CONTROL!$C$21, $C$9, 100%, $E$9)</f>
        <v>19.7012</v>
      </c>
      <c r="D443" s="14">
        <f>CHOOSE(CONTROL!$C$42, 19.7702, 19.7702) * CHOOSE(CONTROL!$C$21, $C$9, 100%, $E$9)</f>
        <v>19.770199999999999</v>
      </c>
      <c r="E443" s="14">
        <f>CHOOSE(CONTROL!$C$42, 19.8043, 19.8043) * CHOOSE(CONTROL!$C$21, $C$9, 100%, $E$9)</f>
        <v>19.804300000000001</v>
      </c>
      <c r="F443" s="14">
        <f>CHOOSE(CONTROL!$C$42, 19.7317, 19.7317)*CHOOSE(CONTROL!$C$21, $C$9, 100%, $E$9)</f>
        <v>19.7317</v>
      </c>
      <c r="G443" s="14">
        <f>CHOOSE(CONTROL!$C$42, 19.7491, 19.7491)*CHOOSE(CONTROL!$C$21, $C$9, 100%, $E$9)</f>
        <v>19.749099999999999</v>
      </c>
      <c r="H443" s="14">
        <f>CHOOSE(CONTROL!$C$42, 19.7935, 19.7935) * CHOOSE(CONTROL!$C$21, $C$9, 100%, $E$9)</f>
        <v>19.793500000000002</v>
      </c>
      <c r="I443" s="14">
        <f>CHOOSE(CONTROL!$C$42, 19.7941, 19.7941)* CHOOSE(CONTROL!$C$21, $C$9, 100%, $E$9)</f>
        <v>19.7941</v>
      </c>
      <c r="J443" s="14">
        <f>CHOOSE(CONTROL!$C$42, 19.7247, 19.7247)* CHOOSE(CONTROL!$C$21, $C$9, 100%, $E$9)</f>
        <v>19.724699999999999</v>
      </c>
      <c r="K443" s="52">
        <f>CHOOSE(CONTROL!$C$42, 19.7902, 19.7902) * CHOOSE(CONTROL!$C$21, $C$9, 100%, $E$9)</f>
        <v>19.790199999999999</v>
      </c>
      <c r="L443" s="14">
        <f>CHOOSE(CONTROL!$C$42, 20.3805, 20.3805) * CHOOSE(CONTROL!$C$21, $C$9, 100%, $E$9)</f>
        <v>20.380500000000001</v>
      </c>
      <c r="M443" s="14">
        <f>CHOOSE(CONTROL!$C$42, 19.3282, 19.3282) * CHOOSE(CONTROL!$C$21, $C$9, 100%, $E$9)</f>
        <v>19.328199999999999</v>
      </c>
      <c r="N443" s="14">
        <f>CHOOSE(CONTROL!$C$42, 19.3453, 19.3453) * CHOOSE(CONTROL!$C$21, $C$9, 100%, $E$9)</f>
        <v>19.345300000000002</v>
      </c>
      <c r="O443" s="14">
        <f>CHOOSE(CONTROL!$C$42, 19.3956, 19.3956) * CHOOSE(CONTROL!$C$21, $C$9, 100%, $E$9)</f>
        <v>19.395600000000002</v>
      </c>
      <c r="P443" s="14">
        <f>CHOOSE(CONTROL!$C$42, 19.3951, 19.3951) * CHOOSE(CONTROL!$C$21, $C$9, 100%, $E$9)</f>
        <v>19.395099999999999</v>
      </c>
      <c r="Q443" s="14">
        <f>CHOOSE(CONTROL!$C$42, 19.9903, 19.9903) * CHOOSE(CONTROL!$C$21, $C$9, 100%, $E$9)</f>
        <v>19.990300000000001</v>
      </c>
      <c r="R443" s="14">
        <f>CHOOSE(CONTROL!$C$42, 20.6273, 20.6273) * CHOOSE(CONTROL!$C$21, $C$9, 100%, $E$9)</f>
        <v>20.627300000000002</v>
      </c>
      <c r="S443" s="14">
        <f>CHOOSE(CONTROL!$C$42, 18.9174, 18.9174) * CHOOSE(CONTROL!$C$21, $C$9, 100%, $E$9)</f>
        <v>18.917400000000001</v>
      </c>
      <c r="T44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56">
        <f>(1000*CHOOSE(CONTROL!$C$42, 695, 695)*CHOOSE(CONTROL!$C$42, 0.5599, 0.5599)*CHOOSE(CONTROL!$C$42, 30, 30))/1000000</f>
        <v>11.673914999999997</v>
      </c>
      <c r="V443" s="56">
        <f>(1000*CHOOSE(CONTROL!$C$42, 500, 500)*CHOOSE(CONTROL!$C$42, 0.275, 0.275)*CHOOSE(CONTROL!$C$42, 30, 30))/1000000</f>
        <v>4.125</v>
      </c>
      <c r="W443" s="56">
        <f>(1000*CHOOSE(CONTROL!$C$42, 0.1146, 0.1146)*CHOOSE(CONTROL!$C$42, 121.5, 121.5)*CHOOSE(CONTROL!$C$42, 30, 30))/1000000</f>
        <v>0.417717</v>
      </c>
      <c r="X443" s="56">
        <f>(30*0.1790888*100000/1000000)+(30*0.2374*100000/1000000)</f>
        <v>1.2494664</v>
      </c>
      <c r="Y443" s="56"/>
      <c r="Z443" s="14"/>
      <c r="AA443" s="55"/>
      <c r="AB443" s="49">
        <f>(B443*122.58+C443*297.941+D443*89.177+E443*40.302+F443*40+G443*160+H443*0+I443*100+J443*300)/(122.58+297.941+89.177+40.302+0+40+160+100+300)</f>
        <v>19.731554079304349</v>
      </c>
      <c r="AC443" s="44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19.369358273381295</v>
      </c>
    </row>
    <row r="444" spans="1:29" ht="15.75" x14ac:dyDescent="0.25">
      <c r="A444" s="32">
        <v>54423</v>
      </c>
      <c r="B444" s="14">
        <f>CHOOSE(CONTROL!$C$42, 21.0383, 21.0383) * CHOOSE(CONTROL!$C$21, $C$9, 100%, $E$9)</f>
        <v>21.0383</v>
      </c>
      <c r="C444" s="14">
        <f>CHOOSE(CONTROL!$C$42, 21.0434, 21.0434) * CHOOSE(CONTROL!$C$21, $C$9, 100%, $E$9)</f>
        <v>21.043399999999998</v>
      </c>
      <c r="D444" s="14">
        <f>CHOOSE(CONTROL!$C$42, 21.1124, 21.1124) * CHOOSE(CONTROL!$C$21, $C$9, 100%, $E$9)</f>
        <v>21.112400000000001</v>
      </c>
      <c r="E444" s="14">
        <f>CHOOSE(CONTROL!$C$42, 21.1465, 21.1465) * CHOOSE(CONTROL!$C$21, $C$9, 100%, $E$9)</f>
        <v>21.1465</v>
      </c>
      <c r="F444" s="14">
        <f>CHOOSE(CONTROL!$C$42, 21.0761, 21.0761)*CHOOSE(CONTROL!$C$21, $C$9, 100%, $E$9)</f>
        <v>21.0761</v>
      </c>
      <c r="G444" s="14">
        <f>CHOOSE(CONTROL!$C$42, 21.0941, 21.0941)*CHOOSE(CONTROL!$C$21, $C$9, 100%, $E$9)</f>
        <v>21.094100000000001</v>
      </c>
      <c r="H444" s="14">
        <f>CHOOSE(CONTROL!$C$42, 21.1357, 21.1357) * CHOOSE(CONTROL!$C$21, $C$9, 100%, $E$9)</f>
        <v>21.1357</v>
      </c>
      <c r="I444" s="14">
        <f>CHOOSE(CONTROL!$C$42, 21.1405, 21.1405)* CHOOSE(CONTROL!$C$21, $C$9, 100%, $E$9)</f>
        <v>21.140499999999999</v>
      </c>
      <c r="J444" s="14">
        <f>CHOOSE(CONTROL!$C$42, 21.0691, 21.0691)* CHOOSE(CONTROL!$C$21, $C$9, 100%, $E$9)</f>
        <v>21.069099999999999</v>
      </c>
      <c r="K444" s="52">
        <f>CHOOSE(CONTROL!$C$42, 21.1366, 21.1366) * CHOOSE(CONTROL!$C$21, $C$9, 100%, $E$9)</f>
        <v>21.136600000000001</v>
      </c>
      <c r="L444" s="14">
        <f>CHOOSE(CONTROL!$C$42, 21.7227, 21.7227) * CHOOSE(CONTROL!$C$21, $C$9, 100%, $E$9)</f>
        <v>21.7227</v>
      </c>
      <c r="M444" s="14">
        <f>CHOOSE(CONTROL!$C$42, 20.6451, 20.6451) * CHOOSE(CONTROL!$C$21, $C$9, 100%, $E$9)</f>
        <v>20.645099999999999</v>
      </c>
      <c r="N444" s="14">
        <f>CHOOSE(CONTROL!$C$42, 20.6628, 20.6628) * CHOOSE(CONTROL!$C$21, $C$9, 100%, $E$9)</f>
        <v>20.662800000000001</v>
      </c>
      <c r="O444" s="14">
        <f>CHOOSE(CONTROL!$C$42, 20.7103, 20.7103) * CHOOSE(CONTROL!$C$21, $C$9, 100%, $E$9)</f>
        <v>20.7103</v>
      </c>
      <c r="P444" s="14">
        <f>CHOOSE(CONTROL!$C$42, 20.7138, 20.7138) * CHOOSE(CONTROL!$C$21, $C$9, 100%, $E$9)</f>
        <v>20.713799999999999</v>
      </c>
      <c r="Q444" s="14">
        <f>CHOOSE(CONTROL!$C$42, 21.305, 21.305) * CHOOSE(CONTROL!$C$21, $C$9, 100%, $E$9)</f>
        <v>21.305</v>
      </c>
      <c r="R444" s="14">
        <f>CHOOSE(CONTROL!$C$42, 21.9453, 21.9453) * CHOOSE(CONTROL!$C$21, $C$9, 100%, $E$9)</f>
        <v>21.9453</v>
      </c>
      <c r="S444" s="14">
        <f>CHOOSE(CONTROL!$C$42, 20.2072, 20.2072) * CHOOSE(CONTROL!$C$21, $C$9, 100%, $E$9)</f>
        <v>20.2072</v>
      </c>
      <c r="T44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56">
        <f>(1000*CHOOSE(CONTROL!$C$42, 695, 695)*CHOOSE(CONTROL!$C$42, 0.5599, 0.5599)*CHOOSE(CONTROL!$C$42, 31, 31))/1000000</f>
        <v>12.063045499999998</v>
      </c>
      <c r="V444" s="56">
        <f>(1000*CHOOSE(CONTROL!$C$42, 500, 500)*CHOOSE(CONTROL!$C$42, 0.275, 0.275)*CHOOSE(CONTROL!$C$42, 31, 31))/1000000</f>
        <v>4.2625000000000002</v>
      </c>
      <c r="W444" s="56">
        <f>(1000*CHOOSE(CONTROL!$C$42, 0.1146, 0.1146)*CHOOSE(CONTROL!$C$42, 121.5, 121.5)*CHOOSE(CONTROL!$C$42, 31, 31))/1000000</f>
        <v>0.43164089999999994</v>
      </c>
      <c r="X444" s="56">
        <f>(31*0.1790888*100000/1000000)+(31*0.2374*100000/1000000)</f>
        <v>1.2911152800000001</v>
      </c>
      <c r="Y444" s="56"/>
      <c r="Z444" s="14"/>
      <c r="AA444" s="55"/>
      <c r="AB444" s="49">
        <f>(B444*122.58+C444*297.941+D444*89.177+E444*40.302+F444*40+G444*160+H444*0+I444*100+J444*300)/(122.58+297.941+89.177+40.302+0+40+160+100+300)</f>
        <v>21.075159296695649</v>
      </c>
      <c r="AC444" s="44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20.685554676258995</v>
      </c>
    </row>
    <row r="445" spans="1:29" ht="15.75" x14ac:dyDescent="0.25">
      <c r="A445" s="32">
        <v>54454</v>
      </c>
      <c r="B445" s="14">
        <f>CHOOSE(CONTROL!$C$42, 22.7816, 22.7816) * CHOOSE(CONTROL!$C$21, $C$9, 100%, $E$9)</f>
        <v>22.781600000000001</v>
      </c>
      <c r="C445" s="14">
        <f>CHOOSE(CONTROL!$C$42, 22.7867, 22.7867) * CHOOSE(CONTROL!$C$21, $C$9, 100%, $E$9)</f>
        <v>22.7867</v>
      </c>
      <c r="D445" s="14">
        <f>CHOOSE(CONTROL!$C$42, 22.8661, 22.8661) * CHOOSE(CONTROL!$C$21, $C$9, 100%, $E$9)</f>
        <v>22.866099999999999</v>
      </c>
      <c r="E445" s="14">
        <f>CHOOSE(CONTROL!$C$42, 22.9002, 22.9002) * CHOOSE(CONTROL!$C$21, $C$9, 100%, $E$9)</f>
        <v>22.900200000000002</v>
      </c>
      <c r="F445" s="14">
        <f>CHOOSE(CONTROL!$C$42, 22.8046, 22.8046)*CHOOSE(CONTROL!$C$21, $C$9, 100%, $E$9)</f>
        <v>22.804600000000001</v>
      </c>
      <c r="G445" s="14">
        <f>CHOOSE(CONTROL!$C$42, 22.8222, 22.8222)*CHOOSE(CONTROL!$C$21, $C$9, 100%, $E$9)</f>
        <v>22.822199999999999</v>
      </c>
      <c r="H445" s="14">
        <f>CHOOSE(CONTROL!$C$42, 22.8894, 22.8894) * CHOOSE(CONTROL!$C$21, $C$9, 100%, $E$9)</f>
        <v>22.889399999999998</v>
      </c>
      <c r="I445" s="14">
        <f>CHOOSE(CONTROL!$C$42, 22.8882, 22.8882)* CHOOSE(CONTROL!$C$21, $C$9, 100%, $E$9)</f>
        <v>22.888200000000001</v>
      </c>
      <c r="J445" s="14">
        <f>CHOOSE(CONTROL!$C$42, 22.7976, 22.7976)* CHOOSE(CONTROL!$C$21, $C$9, 100%, $E$9)</f>
        <v>22.797599999999999</v>
      </c>
      <c r="K445" s="52">
        <f>CHOOSE(CONTROL!$C$42, 22.8844, 22.8844) * CHOOSE(CONTROL!$C$21, $C$9, 100%, $E$9)</f>
        <v>22.884399999999999</v>
      </c>
      <c r="L445" s="14">
        <f>CHOOSE(CONTROL!$C$42, 23.4764, 23.4764) * CHOOSE(CONTROL!$C$21, $C$9, 100%, $E$9)</f>
        <v>23.476400000000002</v>
      </c>
      <c r="M445" s="14">
        <f>CHOOSE(CONTROL!$C$42, 22.3382, 22.3382) * CHOOSE(CONTROL!$C$21, $C$9, 100%, $E$9)</f>
        <v>22.338200000000001</v>
      </c>
      <c r="N445" s="14">
        <f>CHOOSE(CONTROL!$C$42, 22.3554, 22.3554) * CHOOSE(CONTROL!$C$21, $C$9, 100%, $E$9)</f>
        <v>22.355399999999999</v>
      </c>
      <c r="O445" s="14">
        <f>CHOOSE(CONTROL!$C$42, 22.4281, 22.4281) * CHOOSE(CONTROL!$C$21, $C$9, 100%, $E$9)</f>
        <v>22.428100000000001</v>
      </c>
      <c r="P445" s="14">
        <f>CHOOSE(CONTROL!$C$42, 22.4256, 22.4256) * CHOOSE(CONTROL!$C$21, $C$9, 100%, $E$9)</f>
        <v>22.425599999999999</v>
      </c>
      <c r="Q445" s="14">
        <f>CHOOSE(CONTROL!$C$42, 23.0228, 23.0228) * CHOOSE(CONTROL!$C$21, $C$9, 100%, $E$9)</f>
        <v>23.0228</v>
      </c>
      <c r="R445" s="14">
        <f>CHOOSE(CONTROL!$C$42, 23.6674, 23.6674) * CHOOSE(CONTROL!$C$21, $C$9, 100%, $E$9)</f>
        <v>23.667400000000001</v>
      </c>
      <c r="S445" s="14">
        <f>CHOOSE(CONTROL!$C$42, 21.8823, 21.8823) * CHOOSE(CONTROL!$C$21, $C$9, 100%, $E$9)</f>
        <v>21.882300000000001</v>
      </c>
      <c r="T44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56">
        <f>(1000*CHOOSE(CONTROL!$C$42, 695, 695)*CHOOSE(CONTROL!$C$42, 0.5599, 0.5599)*CHOOSE(CONTROL!$C$42, 31, 31))/1000000</f>
        <v>12.063045499999998</v>
      </c>
      <c r="V445" s="56">
        <f>(1000*CHOOSE(CONTROL!$C$42, 500, 500)*CHOOSE(CONTROL!$C$42, 0.275, 0.275)*CHOOSE(CONTROL!$C$42, 31, 31))/1000000</f>
        <v>4.2625000000000002</v>
      </c>
      <c r="W445" s="56">
        <f>(1000*CHOOSE(CONTROL!$C$42, 0.1146, 0.1146)*CHOOSE(CONTROL!$C$42, 121.5, 121.5)*CHOOSE(CONTROL!$C$42, 31, 31))/1000000</f>
        <v>0.43164089999999994</v>
      </c>
      <c r="X445" s="56">
        <f>(31*0.1790888*100000/1000000)+(31*0.2374*100000/1000000)</f>
        <v>1.2911152800000001</v>
      </c>
      <c r="Y445" s="56"/>
      <c r="Z445" s="14"/>
      <c r="AA445" s="55"/>
      <c r="AB445" s="49">
        <f>(B445*122.58+C445*297.941+D445*89.177+E445*40.302+F445*40+G445*160+H445*0+I445*100+J445*300)/(122.58+297.941+89.177+40.302+0+40+160+100+300)</f>
        <v>22.813522411130432</v>
      </c>
      <c r="AC445" s="44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22.392511510791365</v>
      </c>
    </row>
    <row r="446" spans="1:29" ht="15.75" x14ac:dyDescent="0.25">
      <c r="A446" s="32">
        <v>54482</v>
      </c>
      <c r="B446" s="14">
        <f>CHOOSE(CONTROL!$C$42, 23.187, 23.187) * CHOOSE(CONTROL!$C$21, $C$9, 100%, $E$9)</f>
        <v>23.187000000000001</v>
      </c>
      <c r="C446" s="14">
        <f>CHOOSE(CONTROL!$C$42, 23.192, 23.192) * CHOOSE(CONTROL!$C$21, $C$9, 100%, $E$9)</f>
        <v>23.192</v>
      </c>
      <c r="D446" s="14">
        <f>CHOOSE(CONTROL!$C$42, 23.2715, 23.2715) * CHOOSE(CONTROL!$C$21, $C$9, 100%, $E$9)</f>
        <v>23.2715</v>
      </c>
      <c r="E446" s="14">
        <f>CHOOSE(CONTROL!$C$42, 23.3056, 23.3056) * CHOOSE(CONTROL!$C$21, $C$9, 100%, $E$9)</f>
        <v>23.305599999999998</v>
      </c>
      <c r="F446" s="14">
        <f>CHOOSE(CONTROL!$C$42, 23.2098, 23.2098)*CHOOSE(CONTROL!$C$21, $C$9, 100%, $E$9)</f>
        <v>23.209800000000001</v>
      </c>
      <c r="G446" s="14">
        <f>CHOOSE(CONTROL!$C$42, 23.2272, 23.2272)*CHOOSE(CONTROL!$C$21, $C$9, 100%, $E$9)</f>
        <v>23.2272</v>
      </c>
      <c r="H446" s="14">
        <f>CHOOSE(CONTROL!$C$42, 23.2948, 23.2948) * CHOOSE(CONTROL!$C$21, $C$9, 100%, $E$9)</f>
        <v>23.294799999999999</v>
      </c>
      <c r="I446" s="14">
        <f>CHOOSE(CONTROL!$C$42, 23.2949, 23.2949)* CHOOSE(CONTROL!$C$21, $C$9, 100%, $E$9)</f>
        <v>23.294899999999998</v>
      </c>
      <c r="J446" s="14">
        <f>CHOOSE(CONTROL!$C$42, 23.2028, 23.2028)* CHOOSE(CONTROL!$C$21, $C$9, 100%, $E$9)</f>
        <v>23.2028</v>
      </c>
      <c r="K446" s="52">
        <f>CHOOSE(CONTROL!$C$42, 23.291, 23.291) * CHOOSE(CONTROL!$C$21, $C$9, 100%, $E$9)</f>
        <v>23.291</v>
      </c>
      <c r="L446" s="14">
        <f>CHOOSE(CONTROL!$C$42, 23.8818, 23.8818) * CHOOSE(CONTROL!$C$21, $C$9, 100%, $E$9)</f>
        <v>23.881799999999998</v>
      </c>
      <c r="M446" s="14">
        <f>CHOOSE(CONTROL!$C$42, 22.735, 22.735) * CHOOSE(CONTROL!$C$21, $C$9, 100%, $E$9)</f>
        <v>22.734999999999999</v>
      </c>
      <c r="N446" s="14">
        <f>CHOOSE(CONTROL!$C$42, 22.7521, 22.7521) * CHOOSE(CONTROL!$C$21, $C$9, 100%, $E$9)</f>
        <v>22.752099999999999</v>
      </c>
      <c r="O446" s="14">
        <f>CHOOSE(CONTROL!$C$42, 22.8252, 22.8252) * CHOOSE(CONTROL!$C$21, $C$9, 100%, $E$9)</f>
        <v>22.825199999999999</v>
      </c>
      <c r="P446" s="14">
        <f>CHOOSE(CONTROL!$C$42, 22.8239, 22.8239) * CHOOSE(CONTROL!$C$21, $C$9, 100%, $E$9)</f>
        <v>22.823899999999998</v>
      </c>
      <c r="Q446" s="14">
        <f>CHOOSE(CONTROL!$C$42, 23.4199, 23.4199) * CHOOSE(CONTROL!$C$21, $C$9, 100%, $E$9)</f>
        <v>23.419899999999998</v>
      </c>
      <c r="R446" s="14">
        <f>CHOOSE(CONTROL!$C$42, 24.0654, 24.0654) * CHOOSE(CONTROL!$C$21, $C$9, 100%, $E$9)</f>
        <v>24.0654</v>
      </c>
      <c r="S446" s="14">
        <f>CHOOSE(CONTROL!$C$42, 22.2718, 22.2718) * CHOOSE(CONTROL!$C$21, $C$9, 100%, $E$9)</f>
        <v>22.271799999999999</v>
      </c>
      <c r="T44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56">
        <f>(1000*CHOOSE(CONTROL!$C$42, 695, 695)*CHOOSE(CONTROL!$C$42, 0.5599, 0.5599)*CHOOSE(CONTROL!$C$42, 28, 28))/1000000</f>
        <v>10.895653999999999</v>
      </c>
      <c r="V446" s="56">
        <f>(1000*CHOOSE(CONTROL!$C$42, 500, 500)*CHOOSE(CONTROL!$C$42, 0.275, 0.275)*CHOOSE(CONTROL!$C$42, 28, 28))/1000000</f>
        <v>3.85</v>
      </c>
      <c r="W446" s="56">
        <f>(1000*CHOOSE(CONTROL!$C$42, 0.1146, 0.1146)*CHOOSE(CONTROL!$C$42, 121.5, 121.5)*CHOOSE(CONTROL!$C$42, 28, 28))/1000000</f>
        <v>0.38986920000000003</v>
      </c>
      <c r="X446" s="56">
        <f>(28*0.1790888*100000/1000000)+(28*0.2374*100000/1000000)</f>
        <v>1.16616864</v>
      </c>
      <c r="Y446" s="56"/>
      <c r="Z446" s="14"/>
      <c r="AA446" s="55"/>
      <c r="AB446" s="49">
        <f>(B446*122.58+C446*297.941+D446*89.177+E446*40.302+F446*40+G446*160+H446*0+I446*100+J446*300)/(122.58+297.941+89.177+40.302+0+40+160+100+300)</f>
        <v>23.218894764086958</v>
      </c>
      <c r="AC446" s="44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22.789657553956832</v>
      </c>
    </row>
    <row r="447" spans="1:29" ht="15.75" x14ac:dyDescent="0.25">
      <c r="A447" s="32">
        <v>54513</v>
      </c>
      <c r="B447" s="14">
        <f>CHOOSE(CONTROL!$C$42, 22.529, 22.529) * CHOOSE(CONTROL!$C$21, $C$9, 100%, $E$9)</f>
        <v>22.529</v>
      </c>
      <c r="C447" s="14">
        <f>CHOOSE(CONTROL!$C$42, 22.534, 22.534) * CHOOSE(CONTROL!$C$21, $C$9, 100%, $E$9)</f>
        <v>22.533999999999999</v>
      </c>
      <c r="D447" s="14">
        <f>CHOOSE(CONTROL!$C$42, 22.6134, 22.6134) * CHOOSE(CONTROL!$C$21, $C$9, 100%, $E$9)</f>
        <v>22.613399999999999</v>
      </c>
      <c r="E447" s="14">
        <f>CHOOSE(CONTROL!$C$42, 22.6476, 22.6476) * CHOOSE(CONTROL!$C$21, $C$9, 100%, $E$9)</f>
        <v>22.647600000000001</v>
      </c>
      <c r="F447" s="14">
        <f>CHOOSE(CONTROL!$C$42, 22.551, 22.551)*CHOOSE(CONTROL!$C$21, $C$9, 100%, $E$9)</f>
        <v>22.550999999999998</v>
      </c>
      <c r="G447" s="14">
        <f>CHOOSE(CONTROL!$C$42, 22.5683, 22.5683)*CHOOSE(CONTROL!$C$21, $C$9, 100%, $E$9)</f>
        <v>22.568300000000001</v>
      </c>
      <c r="H447" s="14">
        <f>CHOOSE(CONTROL!$C$42, 22.6367, 22.6367) * CHOOSE(CONTROL!$C$21, $C$9, 100%, $E$9)</f>
        <v>22.636700000000001</v>
      </c>
      <c r="I447" s="14">
        <f>CHOOSE(CONTROL!$C$42, 22.6348, 22.6348)* CHOOSE(CONTROL!$C$21, $C$9, 100%, $E$9)</f>
        <v>22.634799999999998</v>
      </c>
      <c r="J447" s="14">
        <f>CHOOSE(CONTROL!$C$42, 22.544, 22.544)* CHOOSE(CONTROL!$C$21, $C$9, 100%, $E$9)</f>
        <v>22.544</v>
      </c>
      <c r="K447" s="52">
        <f>CHOOSE(CONTROL!$C$42, 22.6309, 22.6309) * CHOOSE(CONTROL!$C$21, $C$9, 100%, $E$9)</f>
        <v>22.6309</v>
      </c>
      <c r="L447" s="14">
        <f>CHOOSE(CONTROL!$C$42, 23.2237, 23.2237) * CHOOSE(CONTROL!$C$21, $C$9, 100%, $E$9)</f>
        <v>23.223700000000001</v>
      </c>
      <c r="M447" s="14">
        <f>CHOOSE(CONTROL!$C$42, 22.0898, 22.0898) * CHOOSE(CONTROL!$C$21, $C$9, 100%, $E$9)</f>
        <v>22.0898</v>
      </c>
      <c r="N447" s="14">
        <f>CHOOSE(CONTROL!$C$42, 22.1067, 22.1067) * CHOOSE(CONTROL!$C$21, $C$9, 100%, $E$9)</f>
        <v>22.1067</v>
      </c>
      <c r="O447" s="14">
        <f>CHOOSE(CONTROL!$C$42, 22.1806, 22.1806) * CHOOSE(CONTROL!$C$21, $C$9, 100%, $E$9)</f>
        <v>22.180599999999998</v>
      </c>
      <c r="P447" s="14">
        <f>CHOOSE(CONTROL!$C$42, 22.1774, 22.1774) * CHOOSE(CONTROL!$C$21, $C$9, 100%, $E$9)</f>
        <v>22.177399999999999</v>
      </c>
      <c r="Q447" s="14">
        <f>CHOOSE(CONTROL!$C$42, 22.7753, 22.7753) * CHOOSE(CONTROL!$C$21, $C$9, 100%, $E$9)</f>
        <v>22.775300000000001</v>
      </c>
      <c r="R447" s="14">
        <f>CHOOSE(CONTROL!$C$42, 23.4193, 23.4193) * CHOOSE(CONTROL!$C$21, $C$9, 100%, $E$9)</f>
        <v>23.4193</v>
      </c>
      <c r="S447" s="14">
        <f>CHOOSE(CONTROL!$C$42, 21.6395, 21.6395) * CHOOSE(CONTROL!$C$21, $C$9, 100%, $E$9)</f>
        <v>21.639500000000002</v>
      </c>
      <c r="T44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56">
        <f>(1000*CHOOSE(CONTROL!$C$42, 695, 695)*CHOOSE(CONTROL!$C$42, 0.5599, 0.5599)*CHOOSE(CONTROL!$C$42, 31, 31))/1000000</f>
        <v>12.063045499999998</v>
      </c>
      <c r="V447" s="56">
        <f>(1000*CHOOSE(CONTROL!$C$42, 500, 500)*CHOOSE(CONTROL!$C$42, 0.275, 0.275)*CHOOSE(CONTROL!$C$42, 31, 31))/1000000</f>
        <v>4.2625000000000002</v>
      </c>
      <c r="W447" s="56">
        <f>(1000*CHOOSE(CONTROL!$C$42, 0.1146, 0.1146)*CHOOSE(CONTROL!$C$42, 121.5, 121.5)*CHOOSE(CONTROL!$C$42, 31, 31))/1000000</f>
        <v>0.43164089999999994</v>
      </c>
      <c r="X447" s="56">
        <f>(31*0.1790888*100000/1000000)+(31*0.2374*100000/1000000)</f>
        <v>1.2911152800000001</v>
      </c>
      <c r="Y447" s="56"/>
      <c r="Z447" s="14"/>
      <c r="AA447" s="55"/>
      <c r="AB447" s="49">
        <f>(B447*122.58+C447*297.941+D447*89.177+E447*40.302+F447*40+G447*160+H447*0+I447*100+J447*300)/(122.58+297.941+89.177+40.302+0+40+160+100+300)</f>
        <v>22.560342661739131</v>
      </c>
      <c r="AC447" s="44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22.144530935251797</v>
      </c>
    </row>
    <row r="448" spans="1:29" ht="15.75" x14ac:dyDescent="0.25">
      <c r="A448" s="32">
        <v>54543</v>
      </c>
      <c r="B448" s="14">
        <f>CHOOSE(CONTROL!$C$42, 22.4625, 22.4625) * CHOOSE(CONTROL!$C$21, $C$9, 100%, $E$9)</f>
        <v>22.462499999999999</v>
      </c>
      <c r="C448" s="14">
        <f>CHOOSE(CONTROL!$C$42, 22.467, 22.467) * CHOOSE(CONTROL!$C$21, $C$9, 100%, $E$9)</f>
        <v>22.466999999999999</v>
      </c>
      <c r="D448" s="14">
        <f>CHOOSE(CONTROL!$C$42, 22.696, 22.696) * CHOOSE(CONTROL!$C$21, $C$9, 100%, $E$9)</f>
        <v>22.696000000000002</v>
      </c>
      <c r="E448" s="14">
        <f>CHOOSE(CONTROL!$C$42, 22.7281, 22.7281) * CHOOSE(CONTROL!$C$21, $C$9, 100%, $E$9)</f>
        <v>22.728100000000001</v>
      </c>
      <c r="F448" s="14">
        <f>CHOOSE(CONTROL!$C$42, 22.4895, 22.4895)*CHOOSE(CONTROL!$C$21, $C$9, 100%, $E$9)</f>
        <v>22.4895</v>
      </c>
      <c r="G448" s="14">
        <f>CHOOSE(CONTROL!$C$42, 22.5063, 22.5063)*CHOOSE(CONTROL!$C$21, $C$9, 100%, $E$9)</f>
        <v>22.5063</v>
      </c>
      <c r="H448" s="14">
        <f>CHOOSE(CONTROL!$C$42, 22.7178, 22.7178) * CHOOSE(CONTROL!$C$21, $C$9, 100%, $E$9)</f>
        <v>22.7178</v>
      </c>
      <c r="I448" s="14">
        <f>CHOOSE(CONTROL!$C$42, 22.5658, 22.5658)* CHOOSE(CONTROL!$C$21, $C$9, 100%, $E$9)</f>
        <v>22.565799999999999</v>
      </c>
      <c r="J448" s="14">
        <f>CHOOSE(CONTROL!$C$42, 22.4825, 22.4825)* CHOOSE(CONTROL!$C$21, $C$9, 100%, $E$9)</f>
        <v>22.482500000000002</v>
      </c>
      <c r="K448" s="52">
        <f>CHOOSE(CONTROL!$C$42, 22.5619, 22.5619) * CHOOSE(CONTROL!$C$21, $C$9, 100%, $E$9)</f>
        <v>22.561900000000001</v>
      </c>
      <c r="L448" s="14">
        <f>CHOOSE(CONTROL!$C$42, 23.3048, 23.3048) * CHOOSE(CONTROL!$C$21, $C$9, 100%, $E$9)</f>
        <v>23.3048</v>
      </c>
      <c r="M448" s="14">
        <f>CHOOSE(CONTROL!$C$42, 22.0296, 22.0296) * CHOOSE(CONTROL!$C$21, $C$9, 100%, $E$9)</f>
        <v>22.029599999999999</v>
      </c>
      <c r="N448" s="14">
        <f>CHOOSE(CONTROL!$C$42, 22.046, 22.046) * CHOOSE(CONTROL!$C$21, $C$9, 100%, $E$9)</f>
        <v>22.045999999999999</v>
      </c>
      <c r="O448" s="14">
        <f>CHOOSE(CONTROL!$C$42, 22.2601, 22.2601) * CHOOSE(CONTROL!$C$21, $C$9, 100%, $E$9)</f>
        <v>22.260100000000001</v>
      </c>
      <c r="P448" s="14">
        <f>CHOOSE(CONTROL!$C$42, 22.1098, 22.1098) * CHOOSE(CONTROL!$C$21, $C$9, 100%, $E$9)</f>
        <v>22.1098</v>
      </c>
      <c r="Q448" s="14">
        <f>CHOOSE(CONTROL!$C$42, 22.8548, 22.8548) * CHOOSE(CONTROL!$C$21, $C$9, 100%, $E$9)</f>
        <v>22.854800000000001</v>
      </c>
      <c r="R448" s="14">
        <f>CHOOSE(CONTROL!$C$42, 23.4989, 23.4989) * CHOOSE(CONTROL!$C$21, $C$9, 100%, $E$9)</f>
        <v>23.498899999999999</v>
      </c>
      <c r="S448" s="14">
        <f>CHOOSE(CONTROL!$C$42, 21.575, 21.575) * CHOOSE(CONTROL!$C$21, $C$9, 100%, $E$9)</f>
        <v>21.574999999999999</v>
      </c>
      <c r="T44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56">
        <f>(1000*CHOOSE(CONTROL!$C$42, 695, 695)*CHOOSE(CONTROL!$C$42, 0.5599, 0.5599)*CHOOSE(CONTROL!$C$42, 30, 30))/1000000</f>
        <v>11.673914999999997</v>
      </c>
      <c r="V448" s="56">
        <f>(1000*CHOOSE(CONTROL!$C$42, 500, 500)*CHOOSE(CONTROL!$C$42, 0.275, 0.275)*CHOOSE(CONTROL!$C$42, 30, 30))/1000000</f>
        <v>4.125</v>
      </c>
      <c r="W448" s="56">
        <f>(1000*CHOOSE(CONTROL!$C$42, 0.1146, 0.1146)*CHOOSE(CONTROL!$C$42, 121.5, 121.5)*CHOOSE(CONTROL!$C$42, 30, 30))/1000000</f>
        <v>0.417717</v>
      </c>
      <c r="X448" s="56">
        <f>(30*0.1790888*245000/1000000)+(30*0.2374*100000/1000000)</f>
        <v>2.0285026799999999</v>
      </c>
      <c r="Y448" s="56"/>
      <c r="Z448" s="14"/>
      <c r="AA448" s="55"/>
      <c r="AB448" s="49">
        <f>(B448*141.293+C448*267.993+D448*115.016+E448*89.698+F448*40+G448*185+H448*0+I448*100+J448*300)/(141.293+267.993+115.016+89.698+0+40+185+100+300)</f>
        <v>22.524968921146087</v>
      </c>
      <c r="AC448" s="44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22.10958776978417</v>
      </c>
    </row>
    <row r="449" spans="1:29" ht="15.75" x14ac:dyDescent="0.25">
      <c r="A449" s="32">
        <v>54574</v>
      </c>
      <c r="B449" s="14">
        <f>CHOOSE(CONTROL!$C$42, 22.6621, 22.6621) * CHOOSE(CONTROL!$C$21, $C$9, 100%, $E$9)</f>
        <v>22.662099999999999</v>
      </c>
      <c r="C449" s="14">
        <f>CHOOSE(CONTROL!$C$42, 22.6701, 22.6701) * CHOOSE(CONTROL!$C$21, $C$9, 100%, $E$9)</f>
        <v>22.670100000000001</v>
      </c>
      <c r="D449" s="14">
        <f>CHOOSE(CONTROL!$C$42, 22.8959, 22.8959) * CHOOSE(CONTROL!$C$21, $C$9, 100%, $E$9)</f>
        <v>22.895900000000001</v>
      </c>
      <c r="E449" s="14">
        <f>CHOOSE(CONTROL!$C$42, 22.9274, 22.9274) * CHOOSE(CONTROL!$C$21, $C$9, 100%, $E$9)</f>
        <v>22.927399999999999</v>
      </c>
      <c r="F449" s="14">
        <f>CHOOSE(CONTROL!$C$42, 22.6878, 22.6878)*CHOOSE(CONTROL!$C$21, $C$9, 100%, $E$9)</f>
        <v>22.687799999999999</v>
      </c>
      <c r="G449" s="14">
        <f>CHOOSE(CONTROL!$C$42, 22.7047, 22.7047)*CHOOSE(CONTROL!$C$21, $C$9, 100%, $E$9)</f>
        <v>22.704699999999999</v>
      </c>
      <c r="H449" s="14">
        <f>CHOOSE(CONTROL!$C$42, 22.916, 22.916) * CHOOSE(CONTROL!$C$21, $C$9, 100%, $E$9)</f>
        <v>22.916</v>
      </c>
      <c r="I449" s="14">
        <f>CHOOSE(CONTROL!$C$42, 22.7646, 22.7646)* CHOOSE(CONTROL!$C$21, $C$9, 100%, $E$9)</f>
        <v>22.764600000000002</v>
      </c>
      <c r="J449" s="14">
        <f>CHOOSE(CONTROL!$C$42, 22.6808, 22.6808)* CHOOSE(CONTROL!$C$21, $C$9, 100%, $E$9)</f>
        <v>22.680800000000001</v>
      </c>
      <c r="K449" s="52">
        <f>CHOOSE(CONTROL!$C$42, 22.7607, 22.7607) * CHOOSE(CONTROL!$C$21, $C$9, 100%, $E$9)</f>
        <v>22.7607</v>
      </c>
      <c r="L449" s="14">
        <f>CHOOSE(CONTROL!$C$42, 23.503, 23.503) * CHOOSE(CONTROL!$C$21, $C$9, 100%, $E$9)</f>
        <v>23.503</v>
      </c>
      <c r="M449" s="14">
        <f>CHOOSE(CONTROL!$C$42, 22.2237, 22.2237) * CHOOSE(CONTROL!$C$21, $C$9, 100%, $E$9)</f>
        <v>22.223700000000001</v>
      </c>
      <c r="N449" s="14">
        <f>CHOOSE(CONTROL!$C$42, 22.2404, 22.2404) * CHOOSE(CONTROL!$C$21, $C$9, 100%, $E$9)</f>
        <v>22.240400000000001</v>
      </c>
      <c r="O449" s="14">
        <f>CHOOSE(CONTROL!$C$42, 22.4542, 22.4542) * CHOOSE(CONTROL!$C$21, $C$9, 100%, $E$9)</f>
        <v>22.4542</v>
      </c>
      <c r="P449" s="14">
        <f>CHOOSE(CONTROL!$C$42, 22.3045, 22.3045) * CHOOSE(CONTROL!$C$21, $C$9, 100%, $E$9)</f>
        <v>22.304500000000001</v>
      </c>
      <c r="Q449" s="14">
        <f>CHOOSE(CONTROL!$C$42, 23.0489, 23.0489) * CHOOSE(CONTROL!$C$21, $C$9, 100%, $E$9)</f>
        <v>23.0489</v>
      </c>
      <c r="R449" s="14">
        <f>CHOOSE(CONTROL!$C$42, 23.6935, 23.6935) * CHOOSE(CONTROL!$C$21, $C$9, 100%, $E$9)</f>
        <v>23.6935</v>
      </c>
      <c r="S449" s="14">
        <f>CHOOSE(CONTROL!$C$42, 21.7654, 21.7654) * CHOOSE(CONTROL!$C$21, $C$9, 100%, $E$9)</f>
        <v>21.7654</v>
      </c>
      <c r="T44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56">
        <f>(1000*CHOOSE(CONTROL!$C$42, 695, 695)*CHOOSE(CONTROL!$C$42, 0.5599, 0.5599)*CHOOSE(CONTROL!$C$42, 31, 31))/1000000</f>
        <v>12.063045499999998</v>
      </c>
      <c r="V449" s="56">
        <f>(1000*CHOOSE(CONTROL!$C$42, 500, 500)*CHOOSE(CONTROL!$C$42, 0.275, 0.275)*CHOOSE(CONTROL!$C$42, 31, 31))/1000000</f>
        <v>4.2625000000000002</v>
      </c>
      <c r="W449" s="56">
        <f>(1000*CHOOSE(CONTROL!$C$42, 0.1146, 0.1146)*CHOOSE(CONTROL!$C$42, 121.5, 121.5)*CHOOSE(CONTROL!$C$42, 31, 31))/1000000</f>
        <v>0.43164089999999994</v>
      </c>
      <c r="X449" s="56">
        <f>(31*0.1790888*245000/1000000)+(31*0.2374*100000/1000000)</f>
        <v>2.0961194359999999</v>
      </c>
      <c r="Y449" s="56"/>
      <c r="Z449" s="14"/>
      <c r="AA449" s="55"/>
      <c r="AB449" s="49">
        <f>(B449*194.205+C449*267.466+D449*133.845+E449*53.484+F449*40+G449*185+H449*0+I449*100+J449*300)/(194.205+267.466+133.845+53.484+0+40+185+100+300)</f>
        <v>22.718921816483519</v>
      </c>
      <c r="AC449" s="44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22.303843165467629</v>
      </c>
    </row>
    <row r="450" spans="1:29" ht="15.75" x14ac:dyDescent="0.25">
      <c r="A450" s="32">
        <v>54604</v>
      </c>
      <c r="B450" s="14">
        <f>CHOOSE(CONTROL!$C$42, 23.3046, 23.3046) * CHOOSE(CONTROL!$C$21, $C$9, 100%, $E$9)</f>
        <v>23.304600000000001</v>
      </c>
      <c r="C450" s="14">
        <f>CHOOSE(CONTROL!$C$42, 23.3126, 23.3126) * CHOOSE(CONTROL!$C$21, $C$9, 100%, $E$9)</f>
        <v>23.3126</v>
      </c>
      <c r="D450" s="14">
        <f>CHOOSE(CONTROL!$C$42, 23.5384, 23.5384) * CHOOSE(CONTROL!$C$21, $C$9, 100%, $E$9)</f>
        <v>23.538399999999999</v>
      </c>
      <c r="E450" s="14">
        <f>CHOOSE(CONTROL!$C$42, 23.5699, 23.5699) * CHOOSE(CONTROL!$C$21, $C$9, 100%, $E$9)</f>
        <v>23.569900000000001</v>
      </c>
      <c r="F450" s="14">
        <f>CHOOSE(CONTROL!$C$42, 23.3307, 23.3307)*CHOOSE(CONTROL!$C$21, $C$9, 100%, $E$9)</f>
        <v>23.3307</v>
      </c>
      <c r="G450" s="14">
        <f>CHOOSE(CONTROL!$C$42, 23.3478, 23.3478)*CHOOSE(CONTROL!$C$21, $C$9, 100%, $E$9)</f>
        <v>23.347799999999999</v>
      </c>
      <c r="H450" s="14">
        <f>CHOOSE(CONTROL!$C$42, 23.5585, 23.5585) * CHOOSE(CONTROL!$C$21, $C$9, 100%, $E$9)</f>
        <v>23.558499999999999</v>
      </c>
      <c r="I450" s="14">
        <f>CHOOSE(CONTROL!$C$42, 23.4091, 23.4091)* CHOOSE(CONTROL!$C$21, $C$9, 100%, $E$9)</f>
        <v>23.409099999999999</v>
      </c>
      <c r="J450" s="14">
        <f>CHOOSE(CONTROL!$C$42, 23.3237, 23.3237)* CHOOSE(CONTROL!$C$21, $C$9, 100%, $E$9)</f>
        <v>23.323699999999999</v>
      </c>
      <c r="K450" s="52">
        <f>CHOOSE(CONTROL!$C$42, 23.4052, 23.4052) * CHOOSE(CONTROL!$C$21, $C$9, 100%, $E$9)</f>
        <v>23.405200000000001</v>
      </c>
      <c r="L450" s="14">
        <f>CHOOSE(CONTROL!$C$42, 24.1455, 24.1455) * CHOOSE(CONTROL!$C$21, $C$9, 100%, $E$9)</f>
        <v>24.145499999999998</v>
      </c>
      <c r="M450" s="14">
        <f>CHOOSE(CONTROL!$C$42, 22.8535, 22.8535) * CHOOSE(CONTROL!$C$21, $C$9, 100%, $E$9)</f>
        <v>22.8535</v>
      </c>
      <c r="N450" s="14">
        <f>CHOOSE(CONTROL!$C$42, 22.8702, 22.8702) * CHOOSE(CONTROL!$C$21, $C$9, 100%, $E$9)</f>
        <v>22.870200000000001</v>
      </c>
      <c r="O450" s="14">
        <f>CHOOSE(CONTROL!$C$42, 23.0835, 23.0835) * CHOOSE(CONTROL!$C$21, $C$9, 100%, $E$9)</f>
        <v>23.083500000000001</v>
      </c>
      <c r="P450" s="14">
        <f>CHOOSE(CONTROL!$C$42, 22.9358, 22.9358) * CHOOSE(CONTROL!$C$21, $C$9, 100%, $E$9)</f>
        <v>22.9358</v>
      </c>
      <c r="Q450" s="14">
        <f>CHOOSE(CONTROL!$C$42, 23.6782, 23.6782) * CHOOSE(CONTROL!$C$21, $C$9, 100%, $E$9)</f>
        <v>23.6782</v>
      </c>
      <c r="R450" s="14">
        <f>CHOOSE(CONTROL!$C$42, 24.3244, 24.3244) * CHOOSE(CONTROL!$C$21, $C$9, 100%, $E$9)</f>
        <v>24.324400000000001</v>
      </c>
      <c r="S450" s="14">
        <f>CHOOSE(CONTROL!$C$42, 22.3828, 22.3828) * CHOOSE(CONTROL!$C$21, $C$9, 100%, $E$9)</f>
        <v>22.3828</v>
      </c>
      <c r="T45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56">
        <f>(1000*CHOOSE(CONTROL!$C$42, 695, 695)*CHOOSE(CONTROL!$C$42, 0.5599, 0.5599)*CHOOSE(CONTROL!$C$42, 30, 30))/1000000</f>
        <v>11.673914999999997</v>
      </c>
      <c r="V450" s="56">
        <f>(1000*CHOOSE(CONTROL!$C$42, 500, 500)*CHOOSE(CONTROL!$C$42, 0.275, 0.275)*CHOOSE(CONTROL!$C$42, 30, 30))/1000000</f>
        <v>4.125</v>
      </c>
      <c r="W450" s="56">
        <f>(1000*CHOOSE(CONTROL!$C$42, 0.1146, 0.1146)*CHOOSE(CONTROL!$C$42, 121.5, 121.5)*CHOOSE(CONTROL!$C$42, 30, 30))/1000000</f>
        <v>0.417717</v>
      </c>
      <c r="X450" s="56">
        <f>(30*0.1790888*245000/1000000)+(30*0.2374*100000/1000000)</f>
        <v>2.0285026799999999</v>
      </c>
      <c r="Y450" s="56"/>
      <c r="Z450" s="14"/>
      <c r="AA450" s="55"/>
      <c r="AB450" s="49">
        <f>(B450*194.205+C450*267.466+D450*133.845+E450*53.484+F450*40+G450*185+H450*0+I450*100+J450*300)/(194.205+267.466+133.845+53.484+0+40+185+100+300)</f>
        <v>23.361772679905808</v>
      </c>
      <c r="AC450" s="44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22.933718705035972</v>
      </c>
    </row>
    <row r="451" spans="1:29" ht="15.75" x14ac:dyDescent="0.25">
      <c r="A451" s="32">
        <v>54635</v>
      </c>
      <c r="B451" s="14">
        <f>CHOOSE(CONTROL!$C$42, 22.8577, 22.8577) * CHOOSE(CONTROL!$C$21, $C$9, 100%, $E$9)</f>
        <v>22.857700000000001</v>
      </c>
      <c r="C451" s="14">
        <f>CHOOSE(CONTROL!$C$42, 22.8658, 22.8658) * CHOOSE(CONTROL!$C$21, $C$9, 100%, $E$9)</f>
        <v>22.8658</v>
      </c>
      <c r="D451" s="14">
        <f>CHOOSE(CONTROL!$C$42, 23.0916, 23.0916) * CHOOSE(CONTROL!$C$21, $C$9, 100%, $E$9)</f>
        <v>23.0916</v>
      </c>
      <c r="E451" s="14">
        <f>CHOOSE(CONTROL!$C$42, 23.123, 23.123) * CHOOSE(CONTROL!$C$21, $C$9, 100%, $E$9)</f>
        <v>23.123000000000001</v>
      </c>
      <c r="F451" s="14">
        <f>CHOOSE(CONTROL!$C$42, 22.8843, 22.8843)*CHOOSE(CONTROL!$C$21, $C$9, 100%, $E$9)</f>
        <v>22.8843</v>
      </c>
      <c r="G451" s="14">
        <f>CHOOSE(CONTROL!$C$42, 22.9015, 22.9015)*CHOOSE(CONTROL!$C$21, $C$9, 100%, $E$9)</f>
        <v>22.901499999999999</v>
      </c>
      <c r="H451" s="14">
        <f>CHOOSE(CONTROL!$C$42, 23.1117, 23.1117) * CHOOSE(CONTROL!$C$21, $C$9, 100%, $E$9)</f>
        <v>23.111699999999999</v>
      </c>
      <c r="I451" s="14">
        <f>CHOOSE(CONTROL!$C$42, 22.9609, 22.9609)* CHOOSE(CONTROL!$C$21, $C$9, 100%, $E$9)</f>
        <v>22.960899999999999</v>
      </c>
      <c r="J451" s="14">
        <f>CHOOSE(CONTROL!$C$42, 22.8773, 22.8773)* CHOOSE(CONTROL!$C$21, $C$9, 100%, $E$9)</f>
        <v>22.877300000000002</v>
      </c>
      <c r="K451" s="52">
        <f>CHOOSE(CONTROL!$C$42, 22.957, 22.957) * CHOOSE(CONTROL!$C$21, $C$9, 100%, $E$9)</f>
        <v>22.957000000000001</v>
      </c>
      <c r="L451" s="14">
        <f>CHOOSE(CONTROL!$C$42, 23.6987, 23.6987) * CHOOSE(CONTROL!$C$21, $C$9, 100%, $E$9)</f>
        <v>23.698699999999999</v>
      </c>
      <c r="M451" s="14">
        <f>CHOOSE(CONTROL!$C$42, 22.4163, 22.4163) * CHOOSE(CONTROL!$C$21, $C$9, 100%, $E$9)</f>
        <v>22.4163</v>
      </c>
      <c r="N451" s="14">
        <f>CHOOSE(CONTROL!$C$42, 22.4331, 22.4331) * CHOOSE(CONTROL!$C$21, $C$9, 100%, $E$9)</f>
        <v>22.4331</v>
      </c>
      <c r="O451" s="14">
        <f>CHOOSE(CONTROL!$C$42, 22.6458, 22.6458) * CHOOSE(CONTROL!$C$21, $C$9, 100%, $E$9)</f>
        <v>22.645800000000001</v>
      </c>
      <c r="P451" s="14">
        <f>CHOOSE(CONTROL!$C$42, 22.4967, 22.4967) * CHOOSE(CONTROL!$C$21, $C$9, 100%, $E$9)</f>
        <v>22.496700000000001</v>
      </c>
      <c r="Q451" s="14">
        <f>CHOOSE(CONTROL!$C$42, 23.2405, 23.2405) * CHOOSE(CONTROL!$C$21, $C$9, 100%, $E$9)</f>
        <v>23.240500000000001</v>
      </c>
      <c r="R451" s="14">
        <f>CHOOSE(CONTROL!$C$42, 23.8856, 23.8856) * CHOOSE(CONTROL!$C$21, $C$9, 100%, $E$9)</f>
        <v>23.8856</v>
      </c>
      <c r="S451" s="14">
        <f>CHOOSE(CONTROL!$C$42, 21.9534, 21.9534) * CHOOSE(CONTROL!$C$21, $C$9, 100%, $E$9)</f>
        <v>21.953399999999998</v>
      </c>
      <c r="T45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56">
        <f>(1000*CHOOSE(CONTROL!$C$42, 695, 695)*CHOOSE(CONTROL!$C$42, 0.5599, 0.5599)*CHOOSE(CONTROL!$C$42, 31, 31))/1000000</f>
        <v>12.063045499999998</v>
      </c>
      <c r="V451" s="56">
        <f>(1000*CHOOSE(CONTROL!$C$42, 500, 500)*CHOOSE(CONTROL!$C$42, 0.275, 0.275)*CHOOSE(CONTROL!$C$42, 31, 31))/1000000</f>
        <v>4.2625000000000002</v>
      </c>
      <c r="W451" s="56">
        <f>(1000*CHOOSE(CONTROL!$C$42, 0.1146, 0.1146)*CHOOSE(CONTROL!$C$42, 121.5, 121.5)*CHOOSE(CONTROL!$C$42, 31, 31))/1000000</f>
        <v>0.43164089999999994</v>
      </c>
      <c r="X451" s="56">
        <f>(31*0.1790888*245000/1000000)+(31*0.2374*100000/1000000)</f>
        <v>2.0961194359999999</v>
      </c>
      <c r="Y451" s="56"/>
      <c r="Z451" s="14"/>
      <c r="AA451" s="55"/>
      <c r="AB451" s="49">
        <f>(B451*194.205+C451*267.466+D451*133.845+E451*53.484+F451*40+G451*185+H451*0+I451*100+J451*300)/(194.205+267.466+133.845+53.484+0+40+185+100+300)</f>
        <v>22.91502270431711</v>
      </c>
      <c r="AC451" s="44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22.496128057553957</v>
      </c>
    </row>
    <row r="452" spans="1:29" ht="15.75" x14ac:dyDescent="0.25">
      <c r="A452" s="32">
        <v>54666</v>
      </c>
      <c r="B452" s="14">
        <f>CHOOSE(CONTROL!$C$42, 21.7293, 21.7293) * CHOOSE(CONTROL!$C$21, $C$9, 100%, $E$9)</f>
        <v>21.729299999999999</v>
      </c>
      <c r="C452" s="14">
        <f>CHOOSE(CONTROL!$C$42, 21.7373, 21.7373) * CHOOSE(CONTROL!$C$21, $C$9, 100%, $E$9)</f>
        <v>21.737300000000001</v>
      </c>
      <c r="D452" s="14">
        <f>CHOOSE(CONTROL!$C$42, 21.9631, 21.9631) * CHOOSE(CONTROL!$C$21, $C$9, 100%, $E$9)</f>
        <v>21.963100000000001</v>
      </c>
      <c r="E452" s="14">
        <f>CHOOSE(CONTROL!$C$42, 21.9945, 21.9945) * CHOOSE(CONTROL!$C$21, $C$9, 100%, $E$9)</f>
        <v>21.994499999999999</v>
      </c>
      <c r="F452" s="14">
        <f>CHOOSE(CONTROL!$C$42, 21.7561, 21.7561)*CHOOSE(CONTROL!$C$21, $C$9, 100%, $E$9)</f>
        <v>21.7561</v>
      </c>
      <c r="G452" s="14">
        <f>CHOOSE(CONTROL!$C$42, 21.7733, 21.7733)*CHOOSE(CONTROL!$C$21, $C$9, 100%, $E$9)</f>
        <v>21.773299999999999</v>
      </c>
      <c r="H452" s="14">
        <f>CHOOSE(CONTROL!$C$42, 21.9832, 21.9832) * CHOOSE(CONTROL!$C$21, $C$9, 100%, $E$9)</f>
        <v>21.9832</v>
      </c>
      <c r="I452" s="14">
        <f>CHOOSE(CONTROL!$C$42, 21.8289, 21.8289)* CHOOSE(CONTROL!$C$21, $C$9, 100%, $E$9)</f>
        <v>21.828900000000001</v>
      </c>
      <c r="J452" s="14">
        <f>CHOOSE(CONTROL!$C$42, 21.7491, 21.7491)* CHOOSE(CONTROL!$C$21, $C$9, 100%, $E$9)</f>
        <v>21.749099999999999</v>
      </c>
      <c r="K452" s="52">
        <f>CHOOSE(CONTROL!$C$42, 21.825, 21.825) * CHOOSE(CONTROL!$C$21, $C$9, 100%, $E$9)</f>
        <v>21.824999999999999</v>
      </c>
      <c r="L452" s="14">
        <f>CHOOSE(CONTROL!$C$42, 22.5702, 22.5702) * CHOOSE(CONTROL!$C$21, $C$9, 100%, $E$9)</f>
        <v>22.5702</v>
      </c>
      <c r="M452" s="14">
        <f>CHOOSE(CONTROL!$C$42, 21.3111, 21.3111) * CHOOSE(CONTROL!$C$21, $C$9, 100%, $E$9)</f>
        <v>21.3111</v>
      </c>
      <c r="N452" s="14">
        <f>CHOOSE(CONTROL!$C$42, 21.3281, 21.3281) * CHOOSE(CONTROL!$C$21, $C$9, 100%, $E$9)</f>
        <v>21.328099999999999</v>
      </c>
      <c r="O452" s="14">
        <f>CHOOSE(CONTROL!$C$42, 21.5405, 21.5405) * CHOOSE(CONTROL!$C$21, $C$9, 100%, $E$9)</f>
        <v>21.540500000000002</v>
      </c>
      <c r="P452" s="14">
        <f>CHOOSE(CONTROL!$C$42, 21.388, 21.388) * CHOOSE(CONTROL!$C$21, $C$9, 100%, $E$9)</f>
        <v>21.388000000000002</v>
      </c>
      <c r="Q452" s="14">
        <f>CHOOSE(CONTROL!$C$42, 22.1352, 22.1352) * CHOOSE(CONTROL!$C$21, $C$9, 100%, $E$9)</f>
        <v>22.135200000000001</v>
      </c>
      <c r="R452" s="14">
        <f>CHOOSE(CONTROL!$C$42, 22.7775, 22.7775) * CHOOSE(CONTROL!$C$21, $C$9, 100%, $E$9)</f>
        <v>22.7775</v>
      </c>
      <c r="S452" s="14">
        <f>CHOOSE(CONTROL!$C$42, 20.869, 20.869) * CHOOSE(CONTROL!$C$21, $C$9, 100%, $E$9)</f>
        <v>20.869</v>
      </c>
      <c r="T45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56">
        <f>(1000*CHOOSE(CONTROL!$C$42, 695, 695)*CHOOSE(CONTROL!$C$42, 0.5599, 0.5599)*CHOOSE(CONTROL!$C$42, 31, 31))/1000000</f>
        <v>12.063045499999998</v>
      </c>
      <c r="V452" s="56">
        <f>(1000*CHOOSE(CONTROL!$C$42, 500, 500)*CHOOSE(CONTROL!$C$42, 0.275, 0.275)*CHOOSE(CONTROL!$C$42, 31, 31))/1000000</f>
        <v>4.2625000000000002</v>
      </c>
      <c r="W452" s="56">
        <f>(1000*CHOOSE(CONTROL!$C$42, 0.1146, 0.1146)*CHOOSE(CONTROL!$C$42, 121.5, 121.5)*CHOOSE(CONTROL!$C$42, 31, 31))/1000000</f>
        <v>0.43164089999999994</v>
      </c>
      <c r="X452" s="56">
        <f>(31*0.1790888*245000/1000000)+(31*0.2374*100000/1000000)</f>
        <v>2.0961194359999999</v>
      </c>
      <c r="Y452" s="56"/>
      <c r="Z452" s="14"/>
      <c r="AA452" s="55"/>
      <c r="AB452" s="49">
        <f>(B452*194.205+C452*267.466+D452*133.845+E452*53.484+F452*40+G452*185+H452*0+I452*100+J452*300)/(194.205+267.466+133.845+53.484+0+40+185+100+300)</f>
        <v>21.786386849136576</v>
      </c>
      <c r="AC452" s="44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21.390442446043163</v>
      </c>
    </row>
    <row r="453" spans="1:29" ht="15.75" x14ac:dyDescent="0.25">
      <c r="A453" s="32">
        <v>54696</v>
      </c>
      <c r="B453" s="14">
        <f>CHOOSE(CONTROL!$C$42, 20.3503, 20.3503) * CHOOSE(CONTROL!$C$21, $C$9, 100%, $E$9)</f>
        <v>20.350300000000001</v>
      </c>
      <c r="C453" s="14">
        <f>CHOOSE(CONTROL!$C$42, 20.3583, 20.3583) * CHOOSE(CONTROL!$C$21, $C$9, 100%, $E$9)</f>
        <v>20.3583</v>
      </c>
      <c r="D453" s="14">
        <f>CHOOSE(CONTROL!$C$42, 20.5841, 20.5841) * CHOOSE(CONTROL!$C$21, $C$9, 100%, $E$9)</f>
        <v>20.584099999999999</v>
      </c>
      <c r="E453" s="14">
        <f>CHOOSE(CONTROL!$C$42, 20.6155, 20.6155) * CHOOSE(CONTROL!$C$21, $C$9, 100%, $E$9)</f>
        <v>20.615500000000001</v>
      </c>
      <c r="F453" s="14">
        <f>CHOOSE(CONTROL!$C$42, 20.3771, 20.3771)*CHOOSE(CONTROL!$C$21, $C$9, 100%, $E$9)</f>
        <v>20.377099999999999</v>
      </c>
      <c r="G453" s="14">
        <f>CHOOSE(CONTROL!$C$42, 20.3943, 20.3943)*CHOOSE(CONTROL!$C$21, $C$9, 100%, $E$9)</f>
        <v>20.394300000000001</v>
      </c>
      <c r="H453" s="14">
        <f>CHOOSE(CONTROL!$C$42, 20.6042, 20.6042) * CHOOSE(CONTROL!$C$21, $C$9, 100%, $E$9)</f>
        <v>20.604199999999999</v>
      </c>
      <c r="I453" s="14">
        <f>CHOOSE(CONTROL!$C$42, 20.4455, 20.4455)* CHOOSE(CONTROL!$C$21, $C$9, 100%, $E$9)</f>
        <v>20.445499999999999</v>
      </c>
      <c r="J453" s="14">
        <f>CHOOSE(CONTROL!$C$42, 20.3701, 20.3701)* CHOOSE(CONTROL!$C$21, $C$9, 100%, $E$9)</f>
        <v>20.370100000000001</v>
      </c>
      <c r="K453" s="52">
        <f>CHOOSE(CONTROL!$C$42, 20.4416, 20.4416) * CHOOSE(CONTROL!$C$21, $C$9, 100%, $E$9)</f>
        <v>20.441600000000001</v>
      </c>
      <c r="L453" s="14">
        <f>CHOOSE(CONTROL!$C$42, 21.1912, 21.1912) * CHOOSE(CONTROL!$C$21, $C$9, 100%, $E$9)</f>
        <v>21.191199999999998</v>
      </c>
      <c r="M453" s="14">
        <f>CHOOSE(CONTROL!$C$42, 19.9604, 19.9604) * CHOOSE(CONTROL!$C$21, $C$9, 100%, $E$9)</f>
        <v>19.9604</v>
      </c>
      <c r="N453" s="14">
        <f>CHOOSE(CONTROL!$C$42, 19.9773, 19.9773) * CHOOSE(CONTROL!$C$21, $C$9, 100%, $E$9)</f>
        <v>19.9773</v>
      </c>
      <c r="O453" s="14">
        <f>CHOOSE(CONTROL!$C$42, 20.1897, 20.1897) * CHOOSE(CONTROL!$C$21, $C$9, 100%, $E$9)</f>
        <v>20.189699999999998</v>
      </c>
      <c r="P453" s="14">
        <f>CHOOSE(CONTROL!$C$42, 20.0331, 20.0331) * CHOOSE(CONTROL!$C$21, $C$9, 100%, $E$9)</f>
        <v>20.033100000000001</v>
      </c>
      <c r="Q453" s="14">
        <f>CHOOSE(CONTROL!$C$42, 20.7844, 20.7844) * CHOOSE(CONTROL!$C$21, $C$9, 100%, $E$9)</f>
        <v>20.784400000000002</v>
      </c>
      <c r="R453" s="14">
        <f>CHOOSE(CONTROL!$C$42, 21.4234, 21.4234) * CHOOSE(CONTROL!$C$21, $C$9, 100%, $E$9)</f>
        <v>21.423400000000001</v>
      </c>
      <c r="S453" s="14">
        <f>CHOOSE(CONTROL!$C$42, 19.5439, 19.5439) * CHOOSE(CONTROL!$C$21, $C$9, 100%, $E$9)</f>
        <v>19.543900000000001</v>
      </c>
      <c r="T45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56">
        <f>(1000*CHOOSE(CONTROL!$C$42, 695, 695)*CHOOSE(CONTROL!$C$42, 0.5599, 0.5599)*CHOOSE(CONTROL!$C$42, 30, 30))/1000000</f>
        <v>11.673914999999997</v>
      </c>
      <c r="V453" s="56">
        <f>(1000*CHOOSE(CONTROL!$C$42, 500, 500)*CHOOSE(CONTROL!$C$42, 0.275, 0.275)*CHOOSE(CONTROL!$C$42, 30, 30))/1000000</f>
        <v>4.125</v>
      </c>
      <c r="W453" s="56">
        <f>(1000*CHOOSE(CONTROL!$C$42, 0.1146, 0.1146)*CHOOSE(CONTROL!$C$42, 121.5, 121.5)*CHOOSE(CONTROL!$C$42, 30, 30))/1000000</f>
        <v>0.417717</v>
      </c>
      <c r="X453" s="56">
        <f>(30*0.1790888*245000/1000000)+(30*0.2374*100000/1000000)</f>
        <v>2.0285026799999999</v>
      </c>
      <c r="Y453" s="56"/>
      <c r="Z453" s="14"/>
      <c r="AA453" s="55"/>
      <c r="AB453" s="49">
        <f>(B453*194.205+C453*267.466+D453*133.845+E453*53.484+F453*40+G453*185+H453*0+I453*100+J453*300)/(194.205+267.466+133.845+53.484+0+40+185+100+300)</f>
        <v>20.407041480219782</v>
      </c>
      <c r="AC453" s="44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20.039087050359711</v>
      </c>
    </row>
    <row r="454" spans="1:29" ht="15.75" x14ac:dyDescent="0.25">
      <c r="A454" s="32">
        <v>54727</v>
      </c>
      <c r="B454" s="14">
        <f>CHOOSE(CONTROL!$C$42, 19.9355, 19.9355) * CHOOSE(CONTROL!$C$21, $C$9, 100%, $E$9)</f>
        <v>19.935500000000001</v>
      </c>
      <c r="C454" s="14">
        <f>CHOOSE(CONTROL!$C$42, 19.9409, 19.9409) * CHOOSE(CONTROL!$C$21, $C$9, 100%, $E$9)</f>
        <v>19.940899999999999</v>
      </c>
      <c r="D454" s="14">
        <f>CHOOSE(CONTROL!$C$42, 20.1716, 20.1716) * CHOOSE(CONTROL!$C$21, $C$9, 100%, $E$9)</f>
        <v>20.171600000000002</v>
      </c>
      <c r="E454" s="14">
        <f>CHOOSE(CONTROL!$C$42, 20.2007, 20.2007) * CHOOSE(CONTROL!$C$21, $C$9, 100%, $E$9)</f>
        <v>20.200700000000001</v>
      </c>
      <c r="F454" s="14">
        <f>CHOOSE(CONTROL!$C$42, 19.9644, 19.9644)*CHOOSE(CONTROL!$C$21, $C$9, 100%, $E$9)</f>
        <v>19.964400000000001</v>
      </c>
      <c r="G454" s="14">
        <f>CHOOSE(CONTROL!$C$42, 19.9815, 19.9815)*CHOOSE(CONTROL!$C$21, $C$9, 100%, $E$9)</f>
        <v>19.9815</v>
      </c>
      <c r="H454" s="14">
        <f>CHOOSE(CONTROL!$C$42, 20.1912, 20.1912) * CHOOSE(CONTROL!$C$21, $C$9, 100%, $E$9)</f>
        <v>20.191199999999998</v>
      </c>
      <c r="I454" s="14">
        <f>CHOOSE(CONTROL!$C$42, 20.0313, 20.0313)* CHOOSE(CONTROL!$C$21, $C$9, 100%, $E$9)</f>
        <v>20.031300000000002</v>
      </c>
      <c r="J454" s="14">
        <f>CHOOSE(CONTROL!$C$42, 19.9574, 19.9574)* CHOOSE(CONTROL!$C$21, $C$9, 100%, $E$9)</f>
        <v>19.9574</v>
      </c>
      <c r="K454" s="52">
        <f>CHOOSE(CONTROL!$C$42, 20.0274, 20.0274) * CHOOSE(CONTROL!$C$21, $C$9, 100%, $E$9)</f>
        <v>20.0274</v>
      </c>
      <c r="L454" s="14">
        <f>CHOOSE(CONTROL!$C$42, 20.7782, 20.7782) * CHOOSE(CONTROL!$C$21, $C$9, 100%, $E$9)</f>
        <v>20.778199999999998</v>
      </c>
      <c r="M454" s="14">
        <f>CHOOSE(CONTROL!$C$42, 19.5562, 19.5562) * CHOOSE(CONTROL!$C$21, $C$9, 100%, $E$9)</f>
        <v>19.5562</v>
      </c>
      <c r="N454" s="14">
        <f>CHOOSE(CONTROL!$C$42, 19.573, 19.573) * CHOOSE(CONTROL!$C$21, $C$9, 100%, $E$9)</f>
        <v>19.573</v>
      </c>
      <c r="O454" s="14">
        <f>CHOOSE(CONTROL!$C$42, 19.7852, 19.7852) * CHOOSE(CONTROL!$C$21, $C$9, 100%, $E$9)</f>
        <v>19.7852</v>
      </c>
      <c r="P454" s="14">
        <f>CHOOSE(CONTROL!$C$42, 19.6274, 19.6274) * CHOOSE(CONTROL!$C$21, $C$9, 100%, $E$9)</f>
        <v>19.627400000000002</v>
      </c>
      <c r="Q454" s="14">
        <f>CHOOSE(CONTROL!$C$42, 20.3799, 20.3799) * CHOOSE(CONTROL!$C$21, $C$9, 100%, $E$9)</f>
        <v>20.379899999999999</v>
      </c>
      <c r="R454" s="14">
        <f>CHOOSE(CONTROL!$C$42, 21.0179, 21.0179) * CHOOSE(CONTROL!$C$21, $C$9, 100%, $E$9)</f>
        <v>21.017900000000001</v>
      </c>
      <c r="S454" s="14">
        <f>CHOOSE(CONTROL!$C$42, 19.1471, 19.1471) * CHOOSE(CONTROL!$C$21, $C$9, 100%, $E$9)</f>
        <v>19.147099999999998</v>
      </c>
      <c r="T45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56">
        <f>(1000*CHOOSE(CONTROL!$C$42, 695, 695)*CHOOSE(CONTROL!$C$42, 0.5599, 0.5599)*CHOOSE(CONTROL!$C$42, 31, 31))/1000000</f>
        <v>12.063045499999998</v>
      </c>
      <c r="V454" s="56">
        <f>(1000*CHOOSE(CONTROL!$C$42, 500, 500)*CHOOSE(CONTROL!$C$42, 0.275, 0.275)*CHOOSE(CONTROL!$C$42, 31, 31))/1000000</f>
        <v>4.2625000000000002</v>
      </c>
      <c r="W454" s="56">
        <f>(1000*CHOOSE(CONTROL!$C$42, 0.1146, 0.1146)*CHOOSE(CONTROL!$C$42, 121.5, 121.5)*CHOOSE(CONTROL!$C$42, 31, 31))/1000000</f>
        <v>0.43164089999999994</v>
      </c>
      <c r="X454" s="56">
        <f>(31*0.1790888*245000/1000000)+(31*0.2374*100000/1000000)</f>
        <v>2.0961194359999999</v>
      </c>
      <c r="Y454" s="56"/>
      <c r="Z454" s="14"/>
      <c r="AA454" s="55"/>
      <c r="AB454" s="49">
        <f>(B454*131.881+C454*277.167+D454*79.08+E454*125.872+F454*40+G454*185+H454*0+I454*100+J454*300)/(131.881+277.167+79.08+125.872+0+40+185+100+300)</f>
        <v>19.999555483615818</v>
      </c>
      <c r="AC454" s="44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19.634564028776978</v>
      </c>
    </row>
    <row r="455" spans="1:29" ht="15.75" x14ac:dyDescent="0.25">
      <c r="A455" s="32">
        <v>54757</v>
      </c>
      <c r="B455" s="14">
        <f>CHOOSE(CONTROL!$C$42, 20.4601, 20.4601) * CHOOSE(CONTROL!$C$21, $C$9, 100%, $E$9)</f>
        <v>20.460100000000001</v>
      </c>
      <c r="C455" s="14">
        <f>CHOOSE(CONTROL!$C$42, 20.4651, 20.4651) * CHOOSE(CONTROL!$C$21, $C$9, 100%, $E$9)</f>
        <v>20.4651</v>
      </c>
      <c r="D455" s="14">
        <f>CHOOSE(CONTROL!$C$42, 20.5341, 20.5341) * CHOOSE(CONTROL!$C$21, $C$9, 100%, $E$9)</f>
        <v>20.534099999999999</v>
      </c>
      <c r="E455" s="14">
        <f>CHOOSE(CONTROL!$C$42, 20.5682, 20.5682) * CHOOSE(CONTROL!$C$21, $C$9, 100%, $E$9)</f>
        <v>20.568200000000001</v>
      </c>
      <c r="F455" s="14">
        <f>CHOOSE(CONTROL!$C$42, 20.4956, 20.4956)*CHOOSE(CONTROL!$C$21, $C$9, 100%, $E$9)</f>
        <v>20.4956</v>
      </c>
      <c r="G455" s="14">
        <f>CHOOSE(CONTROL!$C$42, 20.513, 20.513)*CHOOSE(CONTROL!$C$21, $C$9, 100%, $E$9)</f>
        <v>20.513000000000002</v>
      </c>
      <c r="H455" s="14">
        <f>CHOOSE(CONTROL!$C$42, 20.5574, 20.5574) * CHOOSE(CONTROL!$C$21, $C$9, 100%, $E$9)</f>
        <v>20.557400000000001</v>
      </c>
      <c r="I455" s="14">
        <f>CHOOSE(CONTROL!$C$42, 20.5605, 20.5605)* CHOOSE(CONTROL!$C$21, $C$9, 100%, $E$9)</f>
        <v>20.560500000000001</v>
      </c>
      <c r="J455" s="14">
        <f>CHOOSE(CONTROL!$C$42, 20.4886, 20.4886)* CHOOSE(CONTROL!$C$21, $C$9, 100%, $E$9)</f>
        <v>20.488600000000002</v>
      </c>
      <c r="K455" s="52">
        <f>CHOOSE(CONTROL!$C$42, 20.5566, 20.5566) * CHOOSE(CONTROL!$C$21, $C$9, 100%, $E$9)</f>
        <v>20.5566</v>
      </c>
      <c r="L455" s="14">
        <f>CHOOSE(CONTROL!$C$42, 21.1444, 21.1444) * CHOOSE(CONTROL!$C$21, $C$9, 100%, $E$9)</f>
        <v>21.144400000000001</v>
      </c>
      <c r="M455" s="14">
        <f>CHOOSE(CONTROL!$C$42, 20.0765, 20.0765) * CHOOSE(CONTROL!$C$21, $C$9, 100%, $E$9)</f>
        <v>20.076499999999999</v>
      </c>
      <c r="N455" s="14">
        <f>CHOOSE(CONTROL!$C$42, 20.0936, 20.0936) * CHOOSE(CONTROL!$C$21, $C$9, 100%, $E$9)</f>
        <v>20.093599999999999</v>
      </c>
      <c r="O455" s="14">
        <f>CHOOSE(CONTROL!$C$42, 20.1439, 20.1439) * CHOOSE(CONTROL!$C$21, $C$9, 100%, $E$9)</f>
        <v>20.143899999999999</v>
      </c>
      <c r="P455" s="14">
        <f>CHOOSE(CONTROL!$C$42, 20.1457, 20.1457) * CHOOSE(CONTROL!$C$21, $C$9, 100%, $E$9)</f>
        <v>20.145700000000001</v>
      </c>
      <c r="Q455" s="14">
        <f>CHOOSE(CONTROL!$C$42, 20.7386, 20.7386) * CHOOSE(CONTROL!$C$21, $C$9, 100%, $E$9)</f>
        <v>20.738600000000002</v>
      </c>
      <c r="R455" s="14">
        <f>CHOOSE(CONTROL!$C$42, 21.3775, 21.3775) * CHOOSE(CONTROL!$C$21, $C$9, 100%, $E$9)</f>
        <v>21.377500000000001</v>
      </c>
      <c r="S455" s="14">
        <f>CHOOSE(CONTROL!$C$42, 19.6515, 19.6515) * CHOOSE(CONTROL!$C$21, $C$9, 100%, $E$9)</f>
        <v>19.651499999999999</v>
      </c>
      <c r="T45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56">
        <f>(1000*CHOOSE(CONTROL!$C$42, 695, 695)*CHOOSE(CONTROL!$C$42, 0.5599, 0.5599)*CHOOSE(CONTROL!$C$42, 30, 30))/1000000</f>
        <v>11.673914999999997</v>
      </c>
      <c r="V455" s="56">
        <f>(1000*CHOOSE(CONTROL!$C$42, 500, 500)*CHOOSE(CONTROL!$C$42, 0.275, 0.275)*CHOOSE(CONTROL!$C$42, 30, 30))/1000000</f>
        <v>4.125</v>
      </c>
      <c r="W455" s="56">
        <f>(1000*CHOOSE(CONTROL!$C$42, 0.1146, 0.1146)*CHOOSE(CONTROL!$C$42, 121.5, 121.5)*CHOOSE(CONTROL!$C$42, 30, 30))/1000000</f>
        <v>0.417717</v>
      </c>
      <c r="X455" s="56">
        <f>(30*0.1790888*100000/1000000)+(30*0.2374*100000/1000000)</f>
        <v>1.2494664</v>
      </c>
      <c r="Y455" s="56"/>
      <c r="Z455" s="14"/>
      <c r="AA455" s="55"/>
      <c r="AB455" s="49">
        <f>(B455*122.58+C455*297.941+D455*89.177+E455*40.302+F455*40+G455*160+H455*0+I455*100+J455*300)/(122.58+297.941+89.177+40.302+0+40+160+100+300)</f>
        <v>20.49568212973913</v>
      </c>
      <c r="AC455" s="44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20.117989208633091</v>
      </c>
    </row>
    <row r="456" spans="1:29" ht="15.75" x14ac:dyDescent="0.25">
      <c r="A456" s="32">
        <v>54788</v>
      </c>
      <c r="B456" s="14">
        <f>CHOOSE(CONTROL!$C$42, 21.8544, 21.8544) * CHOOSE(CONTROL!$C$21, $C$9, 100%, $E$9)</f>
        <v>21.854399999999998</v>
      </c>
      <c r="C456" s="14">
        <f>CHOOSE(CONTROL!$C$42, 21.8594, 21.8594) * CHOOSE(CONTROL!$C$21, $C$9, 100%, $E$9)</f>
        <v>21.859400000000001</v>
      </c>
      <c r="D456" s="14">
        <f>CHOOSE(CONTROL!$C$42, 21.9284, 21.9284) * CHOOSE(CONTROL!$C$21, $C$9, 100%, $E$9)</f>
        <v>21.9284</v>
      </c>
      <c r="E456" s="14">
        <f>CHOOSE(CONTROL!$C$42, 21.9625, 21.9625) * CHOOSE(CONTROL!$C$21, $C$9, 100%, $E$9)</f>
        <v>21.962499999999999</v>
      </c>
      <c r="F456" s="14">
        <f>CHOOSE(CONTROL!$C$42, 21.8922, 21.8922)*CHOOSE(CONTROL!$C$21, $C$9, 100%, $E$9)</f>
        <v>21.892199999999999</v>
      </c>
      <c r="G456" s="14">
        <f>CHOOSE(CONTROL!$C$42, 21.9102, 21.9102)*CHOOSE(CONTROL!$C$21, $C$9, 100%, $E$9)</f>
        <v>21.9102</v>
      </c>
      <c r="H456" s="14">
        <f>CHOOSE(CONTROL!$C$42, 21.9517, 21.9517) * CHOOSE(CONTROL!$C$21, $C$9, 100%, $E$9)</f>
        <v>21.951699999999999</v>
      </c>
      <c r="I456" s="14">
        <f>CHOOSE(CONTROL!$C$42, 21.9591, 21.9591)* CHOOSE(CONTROL!$C$21, $C$9, 100%, $E$9)</f>
        <v>21.959099999999999</v>
      </c>
      <c r="J456" s="14">
        <f>CHOOSE(CONTROL!$C$42, 21.8852, 21.8852)* CHOOSE(CONTROL!$C$21, $C$9, 100%, $E$9)</f>
        <v>21.885200000000001</v>
      </c>
      <c r="K456" s="52">
        <f>CHOOSE(CONTROL!$C$42, 21.9552, 21.9552) * CHOOSE(CONTROL!$C$21, $C$9, 100%, $E$9)</f>
        <v>21.955200000000001</v>
      </c>
      <c r="L456" s="14">
        <f>CHOOSE(CONTROL!$C$42, 22.5387, 22.5387) * CHOOSE(CONTROL!$C$21, $C$9, 100%, $E$9)</f>
        <v>22.538699999999999</v>
      </c>
      <c r="M456" s="14">
        <f>CHOOSE(CONTROL!$C$42, 21.4445, 21.4445) * CHOOSE(CONTROL!$C$21, $C$9, 100%, $E$9)</f>
        <v>21.444500000000001</v>
      </c>
      <c r="N456" s="14">
        <f>CHOOSE(CONTROL!$C$42, 21.4621, 21.4621) * CHOOSE(CONTROL!$C$21, $C$9, 100%, $E$9)</f>
        <v>21.4621</v>
      </c>
      <c r="O456" s="14">
        <f>CHOOSE(CONTROL!$C$42, 21.5097, 21.5097) * CHOOSE(CONTROL!$C$21, $C$9, 100%, $E$9)</f>
        <v>21.509699999999999</v>
      </c>
      <c r="P456" s="14">
        <f>CHOOSE(CONTROL!$C$42, 21.5156, 21.5156) * CHOOSE(CONTROL!$C$21, $C$9, 100%, $E$9)</f>
        <v>21.515599999999999</v>
      </c>
      <c r="Q456" s="14">
        <f>CHOOSE(CONTROL!$C$42, 22.1044, 22.1044) * CHOOSE(CONTROL!$C$21, $C$9, 100%, $E$9)</f>
        <v>22.104399999999998</v>
      </c>
      <c r="R456" s="14">
        <f>CHOOSE(CONTROL!$C$42, 22.7466, 22.7466) * CHOOSE(CONTROL!$C$21, $C$9, 100%, $E$9)</f>
        <v>22.746600000000001</v>
      </c>
      <c r="S456" s="14">
        <f>CHOOSE(CONTROL!$C$42, 20.9913, 20.9913) * CHOOSE(CONTROL!$C$21, $C$9, 100%, $E$9)</f>
        <v>20.991299999999999</v>
      </c>
      <c r="T45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56">
        <f>(1000*CHOOSE(CONTROL!$C$42, 695, 695)*CHOOSE(CONTROL!$C$42, 0.5599, 0.5599)*CHOOSE(CONTROL!$C$42, 31, 31))/1000000</f>
        <v>12.063045499999998</v>
      </c>
      <c r="V456" s="56">
        <f>(1000*CHOOSE(CONTROL!$C$42, 500, 500)*CHOOSE(CONTROL!$C$42, 0.275, 0.275)*CHOOSE(CONTROL!$C$42, 31, 31))/1000000</f>
        <v>4.2625000000000002</v>
      </c>
      <c r="W456" s="56">
        <f>(1000*CHOOSE(CONTROL!$C$42, 0.1146, 0.1146)*CHOOSE(CONTROL!$C$42, 121.5, 121.5)*CHOOSE(CONTROL!$C$42, 31, 31))/1000000</f>
        <v>0.43164089999999994</v>
      </c>
      <c r="X456" s="56">
        <f>(31*0.1790888*100000/1000000)+(31*0.2374*100000/1000000)</f>
        <v>1.2911152800000001</v>
      </c>
      <c r="Y456" s="56"/>
      <c r="Z456" s="14"/>
      <c r="AA456" s="55"/>
      <c r="AB456" s="49">
        <f>(B456*122.58+C456*297.941+D456*89.177+E456*40.302+F456*40+G456*160+H456*0+I456*100+J456*300)/(122.58+297.941+89.177+40.302+0+40+160+100+300)</f>
        <v>21.891439521043477</v>
      </c>
      <c r="AC456" s="44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21.485294244604315</v>
      </c>
    </row>
    <row r="457" spans="1:29" ht="15.75" x14ac:dyDescent="0.25">
      <c r="A457" s="32">
        <v>54819</v>
      </c>
      <c r="B457" s="14">
        <f>CHOOSE(CONTROL!$C$42, 23.6653, 23.6653) * CHOOSE(CONTROL!$C$21, $C$9, 100%, $E$9)</f>
        <v>23.665299999999998</v>
      </c>
      <c r="C457" s="14">
        <f>CHOOSE(CONTROL!$C$42, 23.6704, 23.6704) * CHOOSE(CONTROL!$C$21, $C$9, 100%, $E$9)</f>
        <v>23.670400000000001</v>
      </c>
      <c r="D457" s="14">
        <f>CHOOSE(CONTROL!$C$42, 23.7498, 23.7498) * CHOOSE(CONTROL!$C$21, $C$9, 100%, $E$9)</f>
        <v>23.7498</v>
      </c>
      <c r="E457" s="14">
        <f>CHOOSE(CONTROL!$C$42, 23.7839, 23.7839) * CHOOSE(CONTROL!$C$21, $C$9, 100%, $E$9)</f>
        <v>23.783899999999999</v>
      </c>
      <c r="F457" s="14">
        <f>CHOOSE(CONTROL!$C$42, 23.6883, 23.6883)*CHOOSE(CONTROL!$C$21, $C$9, 100%, $E$9)</f>
        <v>23.688300000000002</v>
      </c>
      <c r="G457" s="14">
        <f>CHOOSE(CONTROL!$C$42, 23.7059, 23.7059)*CHOOSE(CONTROL!$C$21, $C$9, 100%, $E$9)</f>
        <v>23.7059</v>
      </c>
      <c r="H457" s="14">
        <f>CHOOSE(CONTROL!$C$42, 23.7731, 23.7731) * CHOOSE(CONTROL!$C$21, $C$9, 100%, $E$9)</f>
        <v>23.773099999999999</v>
      </c>
      <c r="I457" s="14">
        <f>CHOOSE(CONTROL!$C$42, 23.7747, 23.7747)* CHOOSE(CONTROL!$C$21, $C$9, 100%, $E$9)</f>
        <v>23.774699999999999</v>
      </c>
      <c r="J457" s="14">
        <f>CHOOSE(CONTROL!$C$42, 23.6813, 23.6813)* CHOOSE(CONTROL!$C$21, $C$9, 100%, $E$9)</f>
        <v>23.6813</v>
      </c>
      <c r="K457" s="52">
        <f>CHOOSE(CONTROL!$C$42, 23.7708, 23.7708) * CHOOSE(CONTROL!$C$21, $C$9, 100%, $E$9)</f>
        <v>23.770800000000001</v>
      </c>
      <c r="L457" s="14">
        <f>CHOOSE(CONTROL!$C$42, 24.3601, 24.3601) * CHOOSE(CONTROL!$C$21, $C$9, 100%, $E$9)</f>
        <v>24.360099999999999</v>
      </c>
      <c r="M457" s="14">
        <f>CHOOSE(CONTROL!$C$42, 23.2038, 23.2038) * CHOOSE(CONTROL!$C$21, $C$9, 100%, $E$9)</f>
        <v>23.203800000000001</v>
      </c>
      <c r="N457" s="14">
        <f>CHOOSE(CONTROL!$C$42, 23.221, 23.221) * CHOOSE(CONTROL!$C$21, $C$9, 100%, $E$9)</f>
        <v>23.221</v>
      </c>
      <c r="O457" s="14">
        <f>CHOOSE(CONTROL!$C$42, 23.2937, 23.2937) * CHOOSE(CONTROL!$C$21, $C$9, 100%, $E$9)</f>
        <v>23.293700000000001</v>
      </c>
      <c r="P457" s="14">
        <f>CHOOSE(CONTROL!$C$42, 23.2939, 23.2939) * CHOOSE(CONTROL!$C$21, $C$9, 100%, $E$9)</f>
        <v>23.293900000000001</v>
      </c>
      <c r="Q457" s="14">
        <f>CHOOSE(CONTROL!$C$42, 23.8884, 23.8884) * CHOOSE(CONTROL!$C$21, $C$9, 100%, $E$9)</f>
        <v>23.888400000000001</v>
      </c>
      <c r="R457" s="14">
        <f>CHOOSE(CONTROL!$C$42, 24.5351, 24.5351) * CHOOSE(CONTROL!$C$21, $C$9, 100%, $E$9)</f>
        <v>24.5351</v>
      </c>
      <c r="S457" s="14">
        <f>CHOOSE(CONTROL!$C$42, 22.7315, 22.7315) * CHOOSE(CONTROL!$C$21, $C$9, 100%, $E$9)</f>
        <v>22.7315</v>
      </c>
      <c r="T45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56">
        <f>(1000*CHOOSE(CONTROL!$C$42, 695, 695)*CHOOSE(CONTROL!$C$42, 0.5599, 0.5599)*CHOOSE(CONTROL!$C$42, 31, 31))/1000000</f>
        <v>12.063045499999998</v>
      </c>
      <c r="V457" s="56">
        <f>(1000*CHOOSE(CONTROL!$C$42, 500, 500)*CHOOSE(CONTROL!$C$42, 0.275, 0.275)*CHOOSE(CONTROL!$C$42, 31, 31))/1000000</f>
        <v>4.2625000000000002</v>
      </c>
      <c r="W457" s="56">
        <f>(1000*CHOOSE(CONTROL!$C$42, 0.1146, 0.1146)*CHOOSE(CONTROL!$C$42, 121.5, 121.5)*CHOOSE(CONTROL!$C$42, 31, 31))/1000000</f>
        <v>0.43164089999999994</v>
      </c>
      <c r="X457" s="56">
        <f>(31*0.1790888*100000/1000000)+(31*0.2374*100000/1000000)</f>
        <v>1.2911152800000001</v>
      </c>
      <c r="Y457" s="56"/>
      <c r="Z457" s="14"/>
      <c r="AA457" s="55"/>
      <c r="AB457" s="49">
        <f>(B457*122.58+C457*297.941+D457*89.177+E457*40.302+F457*40+G457*160+H457*0+I457*100+J457*300)/(122.58+297.941+89.177+40.302+0+40+160+100+300)</f>
        <v>23.697465889391307</v>
      </c>
      <c r="AC457" s="44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23.258500000000002</v>
      </c>
    </row>
    <row r="458" spans="1:29" ht="15.75" x14ac:dyDescent="0.25">
      <c r="A458" s="32">
        <v>54847</v>
      </c>
      <c r="B458" s="14">
        <f>CHOOSE(CONTROL!$C$42, 24.0864, 24.0864) * CHOOSE(CONTROL!$C$21, $C$9, 100%, $E$9)</f>
        <v>24.086400000000001</v>
      </c>
      <c r="C458" s="14">
        <f>CHOOSE(CONTROL!$C$42, 24.0915, 24.0915) * CHOOSE(CONTROL!$C$21, $C$9, 100%, $E$9)</f>
        <v>24.0915</v>
      </c>
      <c r="D458" s="14">
        <f>CHOOSE(CONTROL!$C$42, 24.1709, 24.1709) * CHOOSE(CONTROL!$C$21, $C$9, 100%, $E$9)</f>
        <v>24.1709</v>
      </c>
      <c r="E458" s="14">
        <f>CHOOSE(CONTROL!$C$42, 24.205, 24.205) * CHOOSE(CONTROL!$C$21, $C$9, 100%, $E$9)</f>
        <v>24.204999999999998</v>
      </c>
      <c r="F458" s="14">
        <f>CHOOSE(CONTROL!$C$42, 24.1092, 24.1092)*CHOOSE(CONTROL!$C$21, $C$9, 100%, $E$9)</f>
        <v>24.109200000000001</v>
      </c>
      <c r="G458" s="14">
        <f>CHOOSE(CONTROL!$C$42, 24.1267, 24.1267)*CHOOSE(CONTROL!$C$21, $C$9, 100%, $E$9)</f>
        <v>24.1267</v>
      </c>
      <c r="H458" s="14">
        <f>CHOOSE(CONTROL!$C$42, 24.1942, 24.1942) * CHOOSE(CONTROL!$C$21, $C$9, 100%, $E$9)</f>
        <v>24.194199999999999</v>
      </c>
      <c r="I458" s="14">
        <f>CHOOSE(CONTROL!$C$42, 24.1971, 24.1971)* CHOOSE(CONTROL!$C$21, $C$9, 100%, $E$9)</f>
        <v>24.197099999999999</v>
      </c>
      <c r="J458" s="14">
        <f>CHOOSE(CONTROL!$C$42, 24.1022, 24.1022)* CHOOSE(CONTROL!$C$21, $C$9, 100%, $E$9)</f>
        <v>24.1022</v>
      </c>
      <c r="K458" s="52">
        <f>CHOOSE(CONTROL!$C$42, 24.1932, 24.1932) * CHOOSE(CONTROL!$C$21, $C$9, 100%, $E$9)</f>
        <v>24.193200000000001</v>
      </c>
      <c r="L458" s="14">
        <f>CHOOSE(CONTROL!$C$42, 24.7812, 24.7812) * CHOOSE(CONTROL!$C$21, $C$9, 100%, $E$9)</f>
        <v>24.781199999999998</v>
      </c>
      <c r="M458" s="14">
        <f>CHOOSE(CONTROL!$C$42, 23.6161, 23.6161) * CHOOSE(CONTROL!$C$21, $C$9, 100%, $E$9)</f>
        <v>23.616099999999999</v>
      </c>
      <c r="N458" s="14">
        <f>CHOOSE(CONTROL!$C$42, 23.6332, 23.6332) * CHOOSE(CONTROL!$C$21, $C$9, 100%, $E$9)</f>
        <v>23.633199999999999</v>
      </c>
      <c r="O458" s="14">
        <f>CHOOSE(CONTROL!$C$42, 23.7062, 23.7062) * CHOOSE(CONTROL!$C$21, $C$9, 100%, $E$9)</f>
        <v>23.706199999999999</v>
      </c>
      <c r="P458" s="14">
        <f>CHOOSE(CONTROL!$C$42, 23.7076, 23.7076) * CHOOSE(CONTROL!$C$21, $C$9, 100%, $E$9)</f>
        <v>23.707599999999999</v>
      </c>
      <c r="Q458" s="14">
        <f>CHOOSE(CONTROL!$C$42, 24.3009, 24.3009) * CHOOSE(CONTROL!$C$21, $C$9, 100%, $E$9)</f>
        <v>24.300899999999999</v>
      </c>
      <c r="R458" s="14">
        <f>CHOOSE(CONTROL!$C$42, 24.9486, 24.9486) * CHOOSE(CONTROL!$C$21, $C$9, 100%, $E$9)</f>
        <v>24.948599999999999</v>
      </c>
      <c r="S458" s="14">
        <f>CHOOSE(CONTROL!$C$42, 23.1361, 23.1361) * CHOOSE(CONTROL!$C$21, $C$9, 100%, $E$9)</f>
        <v>23.136099999999999</v>
      </c>
      <c r="T45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56">
        <f>(1000*CHOOSE(CONTROL!$C$42, 695, 695)*CHOOSE(CONTROL!$C$42, 0.5599, 0.5599)*CHOOSE(CONTROL!$C$42, 28, 28))/1000000</f>
        <v>10.895653999999999</v>
      </c>
      <c r="V458" s="56">
        <f>(1000*CHOOSE(CONTROL!$C$42, 500, 500)*CHOOSE(CONTROL!$C$42, 0.275, 0.275)*CHOOSE(CONTROL!$C$42, 28, 28))/1000000</f>
        <v>3.85</v>
      </c>
      <c r="W458" s="56">
        <f>(1000*CHOOSE(CONTROL!$C$42, 0.1146, 0.1146)*CHOOSE(CONTROL!$C$42, 121.5, 121.5)*CHOOSE(CONTROL!$C$42, 28, 28))/1000000</f>
        <v>0.38986920000000003</v>
      </c>
      <c r="X458" s="56">
        <f>(28*0.1790888*100000/1000000)+(28*0.2374*100000/1000000)</f>
        <v>1.16616864</v>
      </c>
      <c r="Y458" s="56"/>
      <c r="Z458" s="14"/>
      <c r="AA458" s="55"/>
      <c r="AB458" s="49">
        <f>(B458*122.58+C458*297.941+D458*89.177+E458*40.302+F458*40+G458*160+H458*0+I458*100+J458*300)/(122.58+297.941+89.177+40.302+0+40+160+100+300)</f>
        <v>24.118578063304348</v>
      </c>
      <c r="AC458" s="44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23.67108633093525</v>
      </c>
    </row>
    <row r="459" spans="1:29" ht="15.75" x14ac:dyDescent="0.25">
      <c r="A459" s="32">
        <v>54878</v>
      </c>
      <c r="B459" s="14">
        <f>CHOOSE(CONTROL!$C$42, 23.4029, 23.4029) * CHOOSE(CONTROL!$C$21, $C$9, 100%, $E$9)</f>
        <v>23.402899999999999</v>
      </c>
      <c r="C459" s="14">
        <f>CHOOSE(CONTROL!$C$42, 23.4079, 23.4079) * CHOOSE(CONTROL!$C$21, $C$9, 100%, $E$9)</f>
        <v>23.407900000000001</v>
      </c>
      <c r="D459" s="14">
        <f>CHOOSE(CONTROL!$C$42, 23.4873, 23.4873) * CHOOSE(CONTROL!$C$21, $C$9, 100%, $E$9)</f>
        <v>23.487300000000001</v>
      </c>
      <c r="E459" s="14">
        <f>CHOOSE(CONTROL!$C$42, 23.5215, 23.5215) * CHOOSE(CONTROL!$C$21, $C$9, 100%, $E$9)</f>
        <v>23.5215</v>
      </c>
      <c r="F459" s="14">
        <f>CHOOSE(CONTROL!$C$42, 23.4249, 23.4249)*CHOOSE(CONTROL!$C$21, $C$9, 100%, $E$9)</f>
        <v>23.424900000000001</v>
      </c>
      <c r="G459" s="14">
        <f>CHOOSE(CONTROL!$C$42, 23.4422, 23.4422)*CHOOSE(CONTROL!$C$21, $C$9, 100%, $E$9)</f>
        <v>23.4422</v>
      </c>
      <c r="H459" s="14">
        <f>CHOOSE(CONTROL!$C$42, 23.5106, 23.5106) * CHOOSE(CONTROL!$C$21, $C$9, 100%, $E$9)</f>
        <v>23.5106</v>
      </c>
      <c r="I459" s="14">
        <f>CHOOSE(CONTROL!$C$42, 23.5114, 23.5114)* CHOOSE(CONTROL!$C$21, $C$9, 100%, $E$9)</f>
        <v>23.511399999999998</v>
      </c>
      <c r="J459" s="14">
        <f>CHOOSE(CONTROL!$C$42, 23.4179, 23.4179)* CHOOSE(CONTROL!$C$21, $C$9, 100%, $E$9)</f>
        <v>23.417899999999999</v>
      </c>
      <c r="K459" s="52">
        <f>CHOOSE(CONTROL!$C$42, 23.5075, 23.5075) * CHOOSE(CONTROL!$C$21, $C$9, 100%, $E$9)</f>
        <v>23.5075</v>
      </c>
      <c r="L459" s="14">
        <f>CHOOSE(CONTROL!$C$42, 24.0976, 24.0976) * CHOOSE(CONTROL!$C$21, $C$9, 100%, $E$9)</f>
        <v>24.0976</v>
      </c>
      <c r="M459" s="14">
        <f>CHOOSE(CONTROL!$C$42, 22.9458, 22.9458) * CHOOSE(CONTROL!$C$21, $C$9, 100%, $E$9)</f>
        <v>22.945799999999998</v>
      </c>
      <c r="N459" s="14">
        <f>CHOOSE(CONTROL!$C$42, 22.9627, 22.9627) * CHOOSE(CONTROL!$C$21, $C$9, 100%, $E$9)</f>
        <v>22.962700000000002</v>
      </c>
      <c r="O459" s="14">
        <f>CHOOSE(CONTROL!$C$42, 23.0366, 23.0366) * CHOOSE(CONTROL!$C$21, $C$9, 100%, $E$9)</f>
        <v>23.0366</v>
      </c>
      <c r="P459" s="14">
        <f>CHOOSE(CONTROL!$C$42, 23.036, 23.036) * CHOOSE(CONTROL!$C$21, $C$9, 100%, $E$9)</f>
        <v>23.036000000000001</v>
      </c>
      <c r="Q459" s="14">
        <f>CHOOSE(CONTROL!$C$42, 23.6313, 23.6313) * CHOOSE(CONTROL!$C$21, $C$9, 100%, $E$9)</f>
        <v>23.6313</v>
      </c>
      <c r="R459" s="14">
        <f>CHOOSE(CONTROL!$C$42, 24.2774, 24.2774) * CHOOSE(CONTROL!$C$21, $C$9, 100%, $E$9)</f>
        <v>24.2774</v>
      </c>
      <c r="S459" s="14">
        <f>CHOOSE(CONTROL!$C$42, 22.4793, 22.4793) * CHOOSE(CONTROL!$C$21, $C$9, 100%, $E$9)</f>
        <v>22.479299999999999</v>
      </c>
      <c r="T45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56">
        <f>(1000*CHOOSE(CONTROL!$C$42, 695, 695)*CHOOSE(CONTROL!$C$42, 0.5599, 0.5599)*CHOOSE(CONTROL!$C$42, 31, 31))/1000000</f>
        <v>12.063045499999998</v>
      </c>
      <c r="V459" s="56">
        <f>(1000*CHOOSE(CONTROL!$C$42, 500, 500)*CHOOSE(CONTROL!$C$42, 0.275, 0.275)*CHOOSE(CONTROL!$C$42, 31, 31))/1000000</f>
        <v>4.2625000000000002</v>
      </c>
      <c r="W459" s="56">
        <f>(1000*CHOOSE(CONTROL!$C$42, 0.1146, 0.1146)*CHOOSE(CONTROL!$C$42, 121.5, 121.5)*CHOOSE(CONTROL!$C$42, 31, 31))/1000000</f>
        <v>0.43164089999999994</v>
      </c>
      <c r="X459" s="56">
        <f>(31*0.1790888*100000/1000000)+(31*0.2374*100000/1000000)</f>
        <v>1.2911152800000001</v>
      </c>
      <c r="Y459" s="56"/>
      <c r="Z459" s="14"/>
      <c r="AA459" s="55"/>
      <c r="AB459" s="49">
        <f>(B459*122.58+C459*297.941+D459*89.177+E459*40.302+F459*40+G459*160+H459*0+I459*100+J459*300)/(122.58+297.941+89.177+40.302+0+40+160+100+300)</f>
        <v>23.434477444347827</v>
      </c>
      <c r="AC459" s="44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23.000905035971222</v>
      </c>
    </row>
    <row r="460" spans="1:29" ht="15.75" x14ac:dyDescent="0.25">
      <c r="A460" s="32">
        <v>54908</v>
      </c>
      <c r="B460" s="14">
        <f>CHOOSE(CONTROL!$C$42, 23.3338, 23.3338) * CHOOSE(CONTROL!$C$21, $C$9, 100%, $E$9)</f>
        <v>23.3338</v>
      </c>
      <c r="C460" s="14">
        <f>CHOOSE(CONTROL!$C$42, 23.3383, 23.3383) * CHOOSE(CONTROL!$C$21, $C$9, 100%, $E$9)</f>
        <v>23.3383</v>
      </c>
      <c r="D460" s="14">
        <f>CHOOSE(CONTROL!$C$42, 23.5672, 23.5672) * CHOOSE(CONTROL!$C$21, $C$9, 100%, $E$9)</f>
        <v>23.5672</v>
      </c>
      <c r="E460" s="14">
        <f>CHOOSE(CONTROL!$C$42, 23.5993, 23.5993) * CHOOSE(CONTROL!$C$21, $C$9, 100%, $E$9)</f>
        <v>23.599299999999999</v>
      </c>
      <c r="F460" s="14">
        <f>CHOOSE(CONTROL!$C$42, 23.3608, 23.3608)*CHOOSE(CONTROL!$C$21, $C$9, 100%, $E$9)</f>
        <v>23.360800000000001</v>
      </c>
      <c r="G460" s="14">
        <f>CHOOSE(CONTROL!$C$42, 23.3775, 23.3775)*CHOOSE(CONTROL!$C$21, $C$9, 100%, $E$9)</f>
        <v>23.377500000000001</v>
      </c>
      <c r="H460" s="14">
        <f>CHOOSE(CONTROL!$C$42, 23.5891, 23.5891) * CHOOSE(CONTROL!$C$21, $C$9, 100%, $E$9)</f>
        <v>23.589099999999998</v>
      </c>
      <c r="I460" s="14">
        <f>CHOOSE(CONTROL!$C$42, 23.4398, 23.4398)* CHOOSE(CONTROL!$C$21, $C$9, 100%, $E$9)</f>
        <v>23.439800000000002</v>
      </c>
      <c r="J460" s="14">
        <f>CHOOSE(CONTROL!$C$42, 23.3538, 23.3538)* CHOOSE(CONTROL!$C$21, $C$9, 100%, $E$9)</f>
        <v>23.3538</v>
      </c>
      <c r="K460" s="52">
        <f>CHOOSE(CONTROL!$C$42, 23.4359, 23.4359) * CHOOSE(CONTROL!$C$21, $C$9, 100%, $E$9)</f>
        <v>23.4359</v>
      </c>
      <c r="L460" s="14">
        <f>CHOOSE(CONTROL!$C$42, 24.1761, 24.1761) * CHOOSE(CONTROL!$C$21, $C$9, 100%, $E$9)</f>
        <v>24.176100000000002</v>
      </c>
      <c r="M460" s="14">
        <f>CHOOSE(CONTROL!$C$42, 22.883, 22.883) * CHOOSE(CONTROL!$C$21, $C$9, 100%, $E$9)</f>
        <v>22.882999999999999</v>
      </c>
      <c r="N460" s="14">
        <f>CHOOSE(CONTROL!$C$42, 22.8994, 22.8994) * CHOOSE(CONTROL!$C$21, $C$9, 100%, $E$9)</f>
        <v>22.8994</v>
      </c>
      <c r="O460" s="14">
        <f>CHOOSE(CONTROL!$C$42, 23.1135, 23.1135) * CHOOSE(CONTROL!$C$21, $C$9, 100%, $E$9)</f>
        <v>23.113499999999998</v>
      </c>
      <c r="P460" s="14">
        <f>CHOOSE(CONTROL!$C$42, 22.9659, 22.9659) * CHOOSE(CONTROL!$C$21, $C$9, 100%, $E$9)</f>
        <v>22.965900000000001</v>
      </c>
      <c r="Q460" s="14">
        <f>CHOOSE(CONTROL!$C$42, 23.7082, 23.7082) * CHOOSE(CONTROL!$C$21, $C$9, 100%, $E$9)</f>
        <v>23.708200000000001</v>
      </c>
      <c r="R460" s="14">
        <f>CHOOSE(CONTROL!$C$42, 24.3545, 24.3545) * CHOOSE(CONTROL!$C$21, $C$9, 100%, $E$9)</f>
        <v>24.354500000000002</v>
      </c>
      <c r="S460" s="14">
        <f>CHOOSE(CONTROL!$C$42, 22.4122, 22.4122) * CHOOSE(CONTROL!$C$21, $C$9, 100%, $E$9)</f>
        <v>22.412199999999999</v>
      </c>
      <c r="T46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56">
        <f>(1000*CHOOSE(CONTROL!$C$42, 695, 695)*CHOOSE(CONTROL!$C$42, 0.5599, 0.5599)*CHOOSE(CONTROL!$C$42, 30, 30))/1000000</f>
        <v>11.673914999999997</v>
      </c>
      <c r="V460" s="56">
        <f>(1000*CHOOSE(CONTROL!$C$42, 500, 500)*CHOOSE(CONTROL!$C$42, 0.275, 0.275)*CHOOSE(CONTROL!$C$42, 30, 30))/1000000</f>
        <v>4.125</v>
      </c>
      <c r="W460" s="56">
        <f>(1000*CHOOSE(CONTROL!$C$42, 0.1146, 0.1146)*CHOOSE(CONTROL!$C$42, 121.5, 121.5)*CHOOSE(CONTROL!$C$42, 30, 30))/1000000</f>
        <v>0.417717</v>
      </c>
      <c r="X460" s="56">
        <f>(30*0.1790888*245000/1000000)+(30*0.2374*100000/1000000)</f>
        <v>2.0285026799999999</v>
      </c>
      <c r="Y460" s="56"/>
      <c r="Z460" s="14"/>
      <c r="AA460" s="55"/>
      <c r="AB460" s="49">
        <f>(B460*141.293+C460*267.993+D460*115.016+E460*89.698+F460*40+G460*185+H460*0+I460*100+J460*300)/(141.293+267.993+115.016+89.698+0+40+185+100+300)</f>
        <v>23.396455384907185</v>
      </c>
      <c r="AC460" s="44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22.963376258992806</v>
      </c>
    </row>
    <row r="461" spans="1:29" ht="15.75" x14ac:dyDescent="0.25">
      <c r="A461" s="32">
        <v>54939</v>
      </c>
      <c r="B461" s="14">
        <f>CHOOSE(CONTROL!$C$42, 23.5411, 23.5411) * CHOOSE(CONTROL!$C$21, $C$9, 100%, $E$9)</f>
        <v>23.5411</v>
      </c>
      <c r="C461" s="14">
        <f>CHOOSE(CONTROL!$C$42, 23.5491, 23.5491) * CHOOSE(CONTROL!$C$21, $C$9, 100%, $E$9)</f>
        <v>23.549099999999999</v>
      </c>
      <c r="D461" s="14">
        <f>CHOOSE(CONTROL!$C$42, 23.7749, 23.7749) * CHOOSE(CONTROL!$C$21, $C$9, 100%, $E$9)</f>
        <v>23.774899999999999</v>
      </c>
      <c r="E461" s="14">
        <f>CHOOSE(CONTROL!$C$42, 23.8064, 23.8064) * CHOOSE(CONTROL!$C$21, $C$9, 100%, $E$9)</f>
        <v>23.8064</v>
      </c>
      <c r="F461" s="14">
        <f>CHOOSE(CONTROL!$C$42, 23.5667, 23.5667)*CHOOSE(CONTROL!$C$21, $C$9, 100%, $E$9)</f>
        <v>23.566700000000001</v>
      </c>
      <c r="G461" s="14">
        <f>CHOOSE(CONTROL!$C$42, 23.5837, 23.5837)*CHOOSE(CONTROL!$C$21, $C$9, 100%, $E$9)</f>
        <v>23.5837</v>
      </c>
      <c r="H461" s="14">
        <f>CHOOSE(CONTROL!$C$42, 23.795, 23.795) * CHOOSE(CONTROL!$C$21, $C$9, 100%, $E$9)</f>
        <v>23.795000000000002</v>
      </c>
      <c r="I461" s="14">
        <f>CHOOSE(CONTROL!$C$42, 23.6463, 23.6463)* CHOOSE(CONTROL!$C$21, $C$9, 100%, $E$9)</f>
        <v>23.6463</v>
      </c>
      <c r="J461" s="14">
        <f>CHOOSE(CONTROL!$C$42, 23.5597, 23.5597)* CHOOSE(CONTROL!$C$21, $C$9, 100%, $E$9)</f>
        <v>23.559699999999999</v>
      </c>
      <c r="K461" s="52">
        <f>CHOOSE(CONTROL!$C$42, 23.6424, 23.6424) * CHOOSE(CONTROL!$C$21, $C$9, 100%, $E$9)</f>
        <v>23.642399999999999</v>
      </c>
      <c r="L461" s="14">
        <f>CHOOSE(CONTROL!$C$42, 24.382, 24.382) * CHOOSE(CONTROL!$C$21, $C$9, 100%, $E$9)</f>
        <v>24.382000000000001</v>
      </c>
      <c r="M461" s="14">
        <f>CHOOSE(CONTROL!$C$42, 23.0847, 23.0847) * CHOOSE(CONTROL!$C$21, $C$9, 100%, $E$9)</f>
        <v>23.084700000000002</v>
      </c>
      <c r="N461" s="14">
        <f>CHOOSE(CONTROL!$C$42, 23.1013, 23.1013) * CHOOSE(CONTROL!$C$21, $C$9, 100%, $E$9)</f>
        <v>23.101299999999998</v>
      </c>
      <c r="O461" s="14">
        <f>CHOOSE(CONTROL!$C$42, 23.3151, 23.3151) * CHOOSE(CONTROL!$C$21, $C$9, 100%, $E$9)</f>
        <v>23.315100000000001</v>
      </c>
      <c r="P461" s="14">
        <f>CHOOSE(CONTROL!$C$42, 23.1681, 23.1681) * CHOOSE(CONTROL!$C$21, $C$9, 100%, $E$9)</f>
        <v>23.168099999999999</v>
      </c>
      <c r="Q461" s="14">
        <f>CHOOSE(CONTROL!$C$42, 23.9098, 23.9098) * CHOOSE(CONTROL!$C$21, $C$9, 100%, $E$9)</f>
        <v>23.909800000000001</v>
      </c>
      <c r="R461" s="14">
        <f>CHOOSE(CONTROL!$C$42, 24.5566, 24.5566) * CHOOSE(CONTROL!$C$21, $C$9, 100%, $E$9)</f>
        <v>24.5566</v>
      </c>
      <c r="S461" s="14">
        <f>CHOOSE(CONTROL!$C$42, 22.61, 22.61) * CHOOSE(CONTROL!$C$21, $C$9, 100%, $E$9)</f>
        <v>22.61</v>
      </c>
      <c r="T46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56">
        <f>(1000*CHOOSE(CONTROL!$C$42, 695, 695)*CHOOSE(CONTROL!$C$42, 0.5599, 0.5599)*CHOOSE(CONTROL!$C$42, 31, 31))/1000000</f>
        <v>12.063045499999998</v>
      </c>
      <c r="V461" s="56">
        <f>(1000*CHOOSE(CONTROL!$C$42, 500, 500)*CHOOSE(CONTROL!$C$42, 0.275, 0.275)*CHOOSE(CONTROL!$C$42, 31, 31))/1000000</f>
        <v>4.2625000000000002</v>
      </c>
      <c r="W461" s="56">
        <f>(1000*CHOOSE(CONTROL!$C$42, 0.1146, 0.1146)*CHOOSE(CONTROL!$C$42, 121.5, 121.5)*CHOOSE(CONTROL!$C$42, 31, 31))/1000000</f>
        <v>0.43164089999999994</v>
      </c>
      <c r="X461" s="56">
        <f>(31*0.1790888*245000/1000000)+(31*0.2374*100000/1000000)</f>
        <v>2.0961194359999999</v>
      </c>
      <c r="Y461" s="56"/>
      <c r="Z461" s="14"/>
      <c r="AA461" s="55"/>
      <c r="AB461" s="49">
        <f>(B461*194.205+C461*267.466+D461*133.845+E461*53.484+F461*40+G461*185+H461*0+I461*100+J461*300)/(194.205+267.466+133.845+53.484+0+40+185+100+300)</f>
        <v>23.598107059811618</v>
      </c>
      <c r="AC461" s="44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23.16516618705036</v>
      </c>
    </row>
    <row r="462" spans="1:29" ht="15.75" x14ac:dyDescent="0.25">
      <c r="A462" s="32">
        <v>54969</v>
      </c>
      <c r="B462" s="14">
        <f>CHOOSE(CONTROL!$C$42, 24.2085, 24.2085) * CHOOSE(CONTROL!$C$21, $C$9, 100%, $E$9)</f>
        <v>24.208500000000001</v>
      </c>
      <c r="C462" s="14">
        <f>CHOOSE(CONTROL!$C$42, 24.2165, 24.2165) * CHOOSE(CONTROL!$C$21, $C$9, 100%, $E$9)</f>
        <v>24.2165</v>
      </c>
      <c r="D462" s="14">
        <f>CHOOSE(CONTROL!$C$42, 24.4423, 24.4423) * CHOOSE(CONTROL!$C$21, $C$9, 100%, $E$9)</f>
        <v>24.442299999999999</v>
      </c>
      <c r="E462" s="14">
        <f>CHOOSE(CONTROL!$C$42, 24.4738, 24.4738) * CHOOSE(CONTROL!$C$21, $C$9, 100%, $E$9)</f>
        <v>24.473800000000001</v>
      </c>
      <c r="F462" s="14">
        <f>CHOOSE(CONTROL!$C$42, 24.2346, 24.2346)*CHOOSE(CONTROL!$C$21, $C$9, 100%, $E$9)</f>
        <v>24.2346</v>
      </c>
      <c r="G462" s="14">
        <f>CHOOSE(CONTROL!$C$42, 24.2517, 24.2517)*CHOOSE(CONTROL!$C$21, $C$9, 100%, $E$9)</f>
        <v>24.2517</v>
      </c>
      <c r="H462" s="14">
        <f>CHOOSE(CONTROL!$C$42, 24.4624, 24.4624) * CHOOSE(CONTROL!$C$21, $C$9, 100%, $E$9)</f>
        <v>24.462399999999999</v>
      </c>
      <c r="I462" s="14">
        <f>CHOOSE(CONTROL!$C$42, 24.3159, 24.3159)* CHOOSE(CONTROL!$C$21, $C$9, 100%, $E$9)</f>
        <v>24.315899999999999</v>
      </c>
      <c r="J462" s="14">
        <f>CHOOSE(CONTROL!$C$42, 24.2276, 24.2276)* CHOOSE(CONTROL!$C$21, $C$9, 100%, $E$9)</f>
        <v>24.227599999999999</v>
      </c>
      <c r="K462" s="52">
        <f>CHOOSE(CONTROL!$C$42, 24.312, 24.312) * CHOOSE(CONTROL!$C$21, $C$9, 100%, $E$9)</f>
        <v>24.312000000000001</v>
      </c>
      <c r="L462" s="14">
        <f>CHOOSE(CONTROL!$C$42, 25.0494, 25.0494) * CHOOSE(CONTROL!$C$21, $C$9, 100%, $E$9)</f>
        <v>25.049399999999999</v>
      </c>
      <c r="M462" s="14">
        <f>CHOOSE(CONTROL!$C$42, 23.7389, 23.7389) * CHOOSE(CONTROL!$C$21, $C$9, 100%, $E$9)</f>
        <v>23.738900000000001</v>
      </c>
      <c r="N462" s="14">
        <f>CHOOSE(CONTROL!$C$42, 23.7556, 23.7556) * CHOOSE(CONTROL!$C$21, $C$9, 100%, $E$9)</f>
        <v>23.755600000000001</v>
      </c>
      <c r="O462" s="14">
        <f>CHOOSE(CONTROL!$C$42, 23.9689, 23.9689) * CHOOSE(CONTROL!$C$21, $C$9, 100%, $E$9)</f>
        <v>23.968900000000001</v>
      </c>
      <c r="P462" s="14">
        <f>CHOOSE(CONTROL!$C$42, 23.8239, 23.8239) * CHOOSE(CONTROL!$C$21, $C$9, 100%, $E$9)</f>
        <v>23.823899999999998</v>
      </c>
      <c r="Q462" s="14">
        <f>CHOOSE(CONTROL!$C$42, 24.5636, 24.5636) * CHOOSE(CONTROL!$C$21, $C$9, 100%, $E$9)</f>
        <v>24.563600000000001</v>
      </c>
      <c r="R462" s="14">
        <f>CHOOSE(CONTROL!$C$42, 25.212, 25.212) * CHOOSE(CONTROL!$C$21, $C$9, 100%, $E$9)</f>
        <v>25.212</v>
      </c>
      <c r="S462" s="14">
        <f>CHOOSE(CONTROL!$C$42, 23.2513, 23.2513) * CHOOSE(CONTROL!$C$21, $C$9, 100%, $E$9)</f>
        <v>23.251300000000001</v>
      </c>
      <c r="T46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56">
        <f>(1000*CHOOSE(CONTROL!$C$42, 695, 695)*CHOOSE(CONTROL!$C$42, 0.5599, 0.5599)*CHOOSE(CONTROL!$C$42, 30, 30))/1000000</f>
        <v>11.673914999999997</v>
      </c>
      <c r="V462" s="56">
        <f>(1000*CHOOSE(CONTROL!$C$42, 500, 500)*CHOOSE(CONTROL!$C$42, 0.275, 0.275)*CHOOSE(CONTROL!$C$42, 30, 30))/1000000</f>
        <v>4.125</v>
      </c>
      <c r="W462" s="56">
        <f>(1000*CHOOSE(CONTROL!$C$42, 0.1146, 0.1146)*CHOOSE(CONTROL!$C$42, 121.5, 121.5)*CHOOSE(CONTROL!$C$42, 30, 30))/1000000</f>
        <v>0.417717</v>
      </c>
      <c r="X462" s="56">
        <f>(30*0.1790888*245000/1000000)+(30*0.2374*100000/1000000)</f>
        <v>2.0285026799999999</v>
      </c>
      <c r="Y462" s="56"/>
      <c r="Z462" s="14"/>
      <c r="AA462" s="55"/>
      <c r="AB462" s="49">
        <f>(B462*194.205+C462*267.466+D462*133.845+E462*53.484+F462*40+G462*185+H462*0+I462*100+J462*300)/(194.205+267.466+133.845+53.484+0+40+185+100+300)</f>
        <v>24.265900309419152</v>
      </c>
      <c r="AC462" s="44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23.819507194244604</v>
      </c>
    </row>
    <row r="463" spans="1:29" ht="15.75" x14ac:dyDescent="0.25">
      <c r="A463" s="32">
        <v>55000</v>
      </c>
      <c r="B463" s="14">
        <f>CHOOSE(CONTROL!$C$42, 23.7443, 23.7443) * CHOOSE(CONTROL!$C$21, $C$9, 100%, $E$9)</f>
        <v>23.744299999999999</v>
      </c>
      <c r="C463" s="14">
        <f>CHOOSE(CONTROL!$C$42, 23.7523, 23.7523) * CHOOSE(CONTROL!$C$21, $C$9, 100%, $E$9)</f>
        <v>23.752300000000002</v>
      </c>
      <c r="D463" s="14">
        <f>CHOOSE(CONTROL!$C$42, 23.9781, 23.9781) * CHOOSE(CONTROL!$C$21, $C$9, 100%, $E$9)</f>
        <v>23.978100000000001</v>
      </c>
      <c r="E463" s="14">
        <f>CHOOSE(CONTROL!$C$42, 24.0096, 24.0096) * CHOOSE(CONTROL!$C$21, $C$9, 100%, $E$9)</f>
        <v>24.009599999999999</v>
      </c>
      <c r="F463" s="14">
        <f>CHOOSE(CONTROL!$C$42, 23.7709, 23.7709)*CHOOSE(CONTROL!$C$21, $C$9, 100%, $E$9)</f>
        <v>23.770900000000001</v>
      </c>
      <c r="G463" s="14">
        <f>CHOOSE(CONTROL!$C$42, 23.7881, 23.7881)*CHOOSE(CONTROL!$C$21, $C$9, 100%, $E$9)</f>
        <v>23.7881</v>
      </c>
      <c r="H463" s="14">
        <f>CHOOSE(CONTROL!$C$42, 23.9982, 23.9982) * CHOOSE(CONTROL!$C$21, $C$9, 100%, $E$9)</f>
        <v>23.998200000000001</v>
      </c>
      <c r="I463" s="14">
        <f>CHOOSE(CONTROL!$C$42, 23.8502, 23.8502)* CHOOSE(CONTROL!$C$21, $C$9, 100%, $E$9)</f>
        <v>23.850200000000001</v>
      </c>
      <c r="J463" s="14">
        <f>CHOOSE(CONTROL!$C$42, 23.7639, 23.7639)* CHOOSE(CONTROL!$C$21, $C$9, 100%, $E$9)</f>
        <v>23.7639</v>
      </c>
      <c r="K463" s="52">
        <f>CHOOSE(CONTROL!$C$42, 23.8463, 23.8463) * CHOOSE(CONTROL!$C$21, $C$9, 100%, $E$9)</f>
        <v>23.846299999999999</v>
      </c>
      <c r="L463" s="14">
        <f>CHOOSE(CONTROL!$C$42, 24.5852, 24.5852) * CHOOSE(CONTROL!$C$21, $C$9, 100%, $E$9)</f>
        <v>24.5852</v>
      </c>
      <c r="M463" s="14">
        <f>CHOOSE(CONTROL!$C$42, 23.2847, 23.2847) * CHOOSE(CONTROL!$C$21, $C$9, 100%, $E$9)</f>
        <v>23.284700000000001</v>
      </c>
      <c r="N463" s="14">
        <f>CHOOSE(CONTROL!$C$42, 23.3015, 23.3015) * CHOOSE(CONTROL!$C$21, $C$9, 100%, $E$9)</f>
        <v>23.301500000000001</v>
      </c>
      <c r="O463" s="14">
        <f>CHOOSE(CONTROL!$C$42, 23.5142, 23.5142) * CHOOSE(CONTROL!$C$21, $C$9, 100%, $E$9)</f>
        <v>23.514199999999999</v>
      </c>
      <c r="P463" s="14">
        <f>CHOOSE(CONTROL!$C$42, 23.3678, 23.3678) * CHOOSE(CONTROL!$C$21, $C$9, 100%, $E$9)</f>
        <v>23.367799999999999</v>
      </c>
      <c r="Q463" s="14">
        <f>CHOOSE(CONTROL!$C$42, 24.1089, 24.1089) * CHOOSE(CONTROL!$C$21, $C$9, 100%, $E$9)</f>
        <v>24.108899999999998</v>
      </c>
      <c r="R463" s="14">
        <f>CHOOSE(CONTROL!$C$42, 24.7562, 24.7562) * CHOOSE(CONTROL!$C$21, $C$9, 100%, $E$9)</f>
        <v>24.7562</v>
      </c>
      <c r="S463" s="14">
        <f>CHOOSE(CONTROL!$C$42, 22.8053, 22.8053) * CHOOSE(CONTROL!$C$21, $C$9, 100%, $E$9)</f>
        <v>22.805299999999999</v>
      </c>
      <c r="T46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56">
        <f>(1000*CHOOSE(CONTROL!$C$42, 695, 695)*CHOOSE(CONTROL!$C$42, 0.5599, 0.5599)*CHOOSE(CONTROL!$C$42, 31, 31))/1000000</f>
        <v>12.063045499999998</v>
      </c>
      <c r="V463" s="56">
        <f>(1000*CHOOSE(CONTROL!$C$42, 500, 500)*CHOOSE(CONTROL!$C$42, 0.275, 0.275)*CHOOSE(CONTROL!$C$42, 31, 31))/1000000</f>
        <v>4.2625000000000002</v>
      </c>
      <c r="W463" s="56">
        <f>(1000*CHOOSE(CONTROL!$C$42, 0.1146, 0.1146)*CHOOSE(CONTROL!$C$42, 121.5, 121.5)*CHOOSE(CONTROL!$C$42, 31, 31))/1000000</f>
        <v>0.43164089999999994</v>
      </c>
      <c r="X463" s="56">
        <f>(31*0.1790888*245000/1000000)+(31*0.2374*100000/1000000)</f>
        <v>2.0961194359999999</v>
      </c>
      <c r="Y463" s="56"/>
      <c r="Z463" s="14"/>
      <c r="AA463" s="55"/>
      <c r="AB463" s="49">
        <f>(B463*194.205+C463*267.466+D463*133.845+E463*53.484+F463*40+G463*185+H463*0+I463*100+J463*300)/(194.205+267.466+133.845+53.484+0+40+185+100+300)</f>
        <v>23.801803135164839</v>
      </c>
      <c r="AC463" s="44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23.364916546762593</v>
      </c>
    </row>
    <row r="464" spans="1:29" ht="15.75" x14ac:dyDescent="0.25">
      <c r="A464" s="32">
        <v>55031</v>
      </c>
      <c r="B464" s="14">
        <f>CHOOSE(CONTROL!$C$42, 22.572, 22.572) * CHOOSE(CONTROL!$C$21, $C$9, 100%, $E$9)</f>
        <v>22.571999999999999</v>
      </c>
      <c r="C464" s="14">
        <f>CHOOSE(CONTROL!$C$42, 22.5801, 22.5801) * CHOOSE(CONTROL!$C$21, $C$9, 100%, $E$9)</f>
        <v>22.580100000000002</v>
      </c>
      <c r="D464" s="14">
        <f>CHOOSE(CONTROL!$C$42, 22.8059, 22.8059) * CHOOSE(CONTROL!$C$21, $C$9, 100%, $E$9)</f>
        <v>22.805900000000001</v>
      </c>
      <c r="E464" s="14">
        <f>CHOOSE(CONTROL!$C$42, 22.8373, 22.8373) * CHOOSE(CONTROL!$C$21, $C$9, 100%, $E$9)</f>
        <v>22.837299999999999</v>
      </c>
      <c r="F464" s="14">
        <f>CHOOSE(CONTROL!$C$42, 22.5989, 22.5989)*CHOOSE(CONTROL!$C$21, $C$9, 100%, $E$9)</f>
        <v>22.5989</v>
      </c>
      <c r="G464" s="14">
        <f>CHOOSE(CONTROL!$C$42, 22.6161, 22.6161)*CHOOSE(CONTROL!$C$21, $C$9, 100%, $E$9)</f>
        <v>22.616099999999999</v>
      </c>
      <c r="H464" s="14">
        <f>CHOOSE(CONTROL!$C$42, 22.8259, 22.8259) * CHOOSE(CONTROL!$C$21, $C$9, 100%, $E$9)</f>
        <v>22.825900000000001</v>
      </c>
      <c r="I464" s="14">
        <f>CHOOSE(CONTROL!$C$42, 22.6743, 22.6743)* CHOOSE(CONTROL!$C$21, $C$9, 100%, $E$9)</f>
        <v>22.674299999999999</v>
      </c>
      <c r="J464" s="14">
        <f>CHOOSE(CONTROL!$C$42, 22.5919, 22.5919)* CHOOSE(CONTROL!$C$21, $C$9, 100%, $E$9)</f>
        <v>22.591899999999999</v>
      </c>
      <c r="K464" s="52">
        <f>CHOOSE(CONTROL!$C$42, 22.6704, 22.6704) * CHOOSE(CONTROL!$C$21, $C$9, 100%, $E$9)</f>
        <v>22.670400000000001</v>
      </c>
      <c r="L464" s="14">
        <f>CHOOSE(CONTROL!$C$42, 23.4129, 23.4129) * CHOOSE(CONTROL!$C$21, $C$9, 100%, $E$9)</f>
        <v>23.4129</v>
      </c>
      <c r="M464" s="14">
        <f>CHOOSE(CONTROL!$C$42, 22.1367, 22.1367) * CHOOSE(CONTROL!$C$21, $C$9, 100%, $E$9)</f>
        <v>22.136700000000001</v>
      </c>
      <c r="N464" s="14">
        <f>CHOOSE(CONTROL!$C$42, 22.1536, 22.1536) * CHOOSE(CONTROL!$C$21, $C$9, 100%, $E$9)</f>
        <v>22.153600000000001</v>
      </c>
      <c r="O464" s="14">
        <f>CHOOSE(CONTROL!$C$42, 22.366, 22.366) * CHOOSE(CONTROL!$C$21, $C$9, 100%, $E$9)</f>
        <v>22.366</v>
      </c>
      <c r="P464" s="14">
        <f>CHOOSE(CONTROL!$C$42, 22.216, 22.216) * CHOOSE(CONTROL!$C$21, $C$9, 100%, $E$9)</f>
        <v>22.216000000000001</v>
      </c>
      <c r="Q464" s="14">
        <f>CHOOSE(CONTROL!$C$42, 22.9607, 22.9607) * CHOOSE(CONTROL!$C$21, $C$9, 100%, $E$9)</f>
        <v>22.960699999999999</v>
      </c>
      <c r="R464" s="14">
        <f>CHOOSE(CONTROL!$C$42, 23.6051, 23.6051) * CHOOSE(CONTROL!$C$21, $C$9, 100%, $E$9)</f>
        <v>23.6051</v>
      </c>
      <c r="S464" s="14">
        <f>CHOOSE(CONTROL!$C$42, 21.6788, 21.6788) * CHOOSE(CONTROL!$C$21, $C$9, 100%, $E$9)</f>
        <v>21.678799999999999</v>
      </c>
      <c r="T46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56">
        <f>(1000*CHOOSE(CONTROL!$C$42, 695, 695)*CHOOSE(CONTROL!$C$42, 0.5599, 0.5599)*CHOOSE(CONTROL!$C$42, 31, 31))/1000000</f>
        <v>12.063045499999998</v>
      </c>
      <c r="V464" s="56">
        <f>(1000*CHOOSE(CONTROL!$C$42, 500, 500)*CHOOSE(CONTROL!$C$42, 0.275, 0.275)*CHOOSE(CONTROL!$C$42, 31, 31))/1000000</f>
        <v>4.2625000000000002</v>
      </c>
      <c r="W464" s="56">
        <f>(1000*CHOOSE(CONTROL!$C$42, 0.1146, 0.1146)*CHOOSE(CONTROL!$C$42, 121.5, 121.5)*CHOOSE(CONTROL!$C$42, 31, 31))/1000000</f>
        <v>0.43164089999999994</v>
      </c>
      <c r="X464" s="56">
        <f>(31*0.1790888*245000/1000000)+(31*0.2374*100000/1000000)</f>
        <v>2.0961194359999999</v>
      </c>
      <c r="Y464" s="56"/>
      <c r="Z464" s="14"/>
      <c r="AA464" s="55"/>
      <c r="AB464" s="49">
        <f>(B464*194.205+C464*267.466+D464*133.845+E464*53.484+F464*40+G464*185+H464*0+I464*100+J464*300)/(194.205+267.466+133.845+53.484+0+40+185+100+300)</f>
        <v>22.629375687048665</v>
      </c>
      <c r="AC464" s="44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22.216336690647484</v>
      </c>
    </row>
    <row r="465" spans="1:29" ht="15.75" x14ac:dyDescent="0.25">
      <c r="A465" s="32">
        <v>55061</v>
      </c>
      <c r="B465" s="14">
        <f>CHOOSE(CONTROL!$C$42, 21.1395, 21.1395) * CHOOSE(CONTROL!$C$21, $C$9, 100%, $E$9)</f>
        <v>21.139500000000002</v>
      </c>
      <c r="C465" s="14">
        <f>CHOOSE(CONTROL!$C$42, 21.1475, 21.1475) * CHOOSE(CONTROL!$C$21, $C$9, 100%, $E$9)</f>
        <v>21.147500000000001</v>
      </c>
      <c r="D465" s="14">
        <f>CHOOSE(CONTROL!$C$42, 21.3733, 21.3733) * CHOOSE(CONTROL!$C$21, $C$9, 100%, $E$9)</f>
        <v>21.3733</v>
      </c>
      <c r="E465" s="14">
        <f>CHOOSE(CONTROL!$C$42, 21.4048, 21.4048) * CHOOSE(CONTROL!$C$21, $C$9, 100%, $E$9)</f>
        <v>21.404800000000002</v>
      </c>
      <c r="F465" s="14">
        <f>CHOOSE(CONTROL!$C$42, 21.1663, 21.1663)*CHOOSE(CONTROL!$C$21, $C$9, 100%, $E$9)</f>
        <v>21.1663</v>
      </c>
      <c r="G465" s="14">
        <f>CHOOSE(CONTROL!$C$42, 21.1836, 21.1836)*CHOOSE(CONTROL!$C$21, $C$9, 100%, $E$9)</f>
        <v>21.183599999999998</v>
      </c>
      <c r="H465" s="14">
        <f>CHOOSE(CONTROL!$C$42, 21.3934, 21.3934) * CHOOSE(CONTROL!$C$21, $C$9, 100%, $E$9)</f>
        <v>21.3934</v>
      </c>
      <c r="I465" s="14">
        <f>CHOOSE(CONTROL!$C$42, 21.2373, 21.2373)* CHOOSE(CONTROL!$C$21, $C$9, 100%, $E$9)</f>
        <v>21.237300000000001</v>
      </c>
      <c r="J465" s="14">
        <f>CHOOSE(CONTROL!$C$42, 21.1593, 21.1593)* CHOOSE(CONTROL!$C$21, $C$9, 100%, $E$9)</f>
        <v>21.159300000000002</v>
      </c>
      <c r="K465" s="52">
        <f>CHOOSE(CONTROL!$C$42, 21.2334, 21.2334) * CHOOSE(CONTROL!$C$21, $C$9, 100%, $E$9)</f>
        <v>21.2334</v>
      </c>
      <c r="L465" s="14">
        <f>CHOOSE(CONTROL!$C$42, 21.9804, 21.9804) * CHOOSE(CONTROL!$C$21, $C$9, 100%, $E$9)</f>
        <v>21.980399999999999</v>
      </c>
      <c r="M465" s="14">
        <f>CHOOSE(CONTROL!$C$42, 20.7335, 20.7335) * CHOOSE(CONTROL!$C$21, $C$9, 100%, $E$9)</f>
        <v>20.733499999999999</v>
      </c>
      <c r="N465" s="14">
        <f>CHOOSE(CONTROL!$C$42, 20.7504, 20.7504) * CHOOSE(CONTROL!$C$21, $C$9, 100%, $E$9)</f>
        <v>20.750399999999999</v>
      </c>
      <c r="O465" s="14">
        <f>CHOOSE(CONTROL!$C$42, 20.9628, 20.9628) * CHOOSE(CONTROL!$C$21, $C$9, 100%, $E$9)</f>
        <v>20.962800000000001</v>
      </c>
      <c r="P465" s="14">
        <f>CHOOSE(CONTROL!$C$42, 20.8086, 20.8086) * CHOOSE(CONTROL!$C$21, $C$9, 100%, $E$9)</f>
        <v>20.808599999999998</v>
      </c>
      <c r="Q465" s="14">
        <f>CHOOSE(CONTROL!$C$42, 21.5575, 21.5575) * CHOOSE(CONTROL!$C$21, $C$9, 100%, $E$9)</f>
        <v>21.557500000000001</v>
      </c>
      <c r="R465" s="14">
        <f>CHOOSE(CONTROL!$C$42, 22.1984, 22.1984) * CHOOSE(CONTROL!$C$21, $C$9, 100%, $E$9)</f>
        <v>22.198399999999999</v>
      </c>
      <c r="S465" s="14">
        <f>CHOOSE(CONTROL!$C$42, 20.3023, 20.3023) * CHOOSE(CONTROL!$C$21, $C$9, 100%, $E$9)</f>
        <v>20.302299999999999</v>
      </c>
      <c r="T46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56">
        <f>(1000*CHOOSE(CONTROL!$C$42, 695, 695)*CHOOSE(CONTROL!$C$42, 0.5599, 0.5599)*CHOOSE(CONTROL!$C$42, 30, 30))/1000000</f>
        <v>11.673914999999997</v>
      </c>
      <c r="V465" s="56">
        <f>(1000*CHOOSE(CONTROL!$C$42, 500, 500)*CHOOSE(CONTROL!$C$42, 0.275, 0.275)*CHOOSE(CONTROL!$C$42, 30, 30))/1000000</f>
        <v>4.125</v>
      </c>
      <c r="W465" s="56">
        <f>(1000*CHOOSE(CONTROL!$C$42, 0.1146, 0.1146)*CHOOSE(CONTROL!$C$42, 121.5, 121.5)*CHOOSE(CONTROL!$C$42, 30, 30))/1000000</f>
        <v>0.417717</v>
      </c>
      <c r="X465" s="56">
        <f>(30*0.1790888*245000/1000000)+(30*0.2374*100000/1000000)</f>
        <v>2.0285026799999999</v>
      </c>
      <c r="Y465" s="56"/>
      <c r="Z465" s="14"/>
      <c r="AA465" s="55"/>
      <c r="AB465" s="49">
        <f>(B465*194.205+C465*267.466+D465*133.845+E465*53.484+F465*40+G465*185+H465*0+I465*100+J465*300)/(194.205+267.466+133.845+53.484+0+40+185+100+300)</f>
        <v>21.196464281161695</v>
      </c>
      <c r="AC465" s="44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20.812532374100719</v>
      </c>
    </row>
    <row r="466" spans="1:29" ht="15.75" x14ac:dyDescent="0.25">
      <c r="A466" s="32">
        <v>55092</v>
      </c>
      <c r="B466" s="14">
        <f>CHOOSE(CONTROL!$C$42, 20.7088, 20.7088) * CHOOSE(CONTROL!$C$21, $C$9, 100%, $E$9)</f>
        <v>20.7088</v>
      </c>
      <c r="C466" s="14">
        <f>CHOOSE(CONTROL!$C$42, 20.7141, 20.7141) * CHOOSE(CONTROL!$C$21, $C$9, 100%, $E$9)</f>
        <v>20.714099999999998</v>
      </c>
      <c r="D466" s="14">
        <f>CHOOSE(CONTROL!$C$42, 20.9449, 20.9449) * CHOOSE(CONTROL!$C$21, $C$9, 100%, $E$9)</f>
        <v>20.944900000000001</v>
      </c>
      <c r="E466" s="14">
        <f>CHOOSE(CONTROL!$C$42, 20.974, 20.974) * CHOOSE(CONTROL!$C$21, $C$9, 100%, $E$9)</f>
        <v>20.974</v>
      </c>
      <c r="F466" s="14">
        <f>CHOOSE(CONTROL!$C$42, 20.7376, 20.7376)*CHOOSE(CONTROL!$C$21, $C$9, 100%, $E$9)</f>
        <v>20.7376</v>
      </c>
      <c r="G466" s="14">
        <f>CHOOSE(CONTROL!$C$42, 20.7548, 20.7548)*CHOOSE(CONTROL!$C$21, $C$9, 100%, $E$9)</f>
        <v>20.754799999999999</v>
      </c>
      <c r="H466" s="14">
        <f>CHOOSE(CONTROL!$C$42, 20.9645, 20.9645) * CHOOSE(CONTROL!$C$21, $C$9, 100%, $E$9)</f>
        <v>20.964500000000001</v>
      </c>
      <c r="I466" s="14">
        <f>CHOOSE(CONTROL!$C$42, 20.8069, 20.8069)* CHOOSE(CONTROL!$C$21, $C$9, 100%, $E$9)</f>
        <v>20.806899999999999</v>
      </c>
      <c r="J466" s="14">
        <f>CHOOSE(CONTROL!$C$42, 20.7306, 20.7306)* CHOOSE(CONTROL!$C$21, $C$9, 100%, $E$9)</f>
        <v>20.730599999999999</v>
      </c>
      <c r="K466" s="52">
        <f>CHOOSE(CONTROL!$C$42, 20.8031, 20.8031) * CHOOSE(CONTROL!$C$21, $C$9, 100%, $E$9)</f>
        <v>20.803100000000001</v>
      </c>
      <c r="L466" s="14">
        <f>CHOOSE(CONTROL!$C$42, 21.5515, 21.5515) * CHOOSE(CONTROL!$C$21, $C$9, 100%, $E$9)</f>
        <v>21.551500000000001</v>
      </c>
      <c r="M466" s="14">
        <f>CHOOSE(CONTROL!$C$42, 20.3136, 20.3136) * CHOOSE(CONTROL!$C$21, $C$9, 100%, $E$9)</f>
        <v>20.313600000000001</v>
      </c>
      <c r="N466" s="14">
        <f>CHOOSE(CONTROL!$C$42, 20.3303, 20.3303) * CHOOSE(CONTROL!$C$21, $C$9, 100%, $E$9)</f>
        <v>20.330300000000001</v>
      </c>
      <c r="O466" s="14">
        <f>CHOOSE(CONTROL!$C$42, 20.5426, 20.5426) * CHOOSE(CONTROL!$C$21, $C$9, 100%, $E$9)</f>
        <v>20.5426</v>
      </c>
      <c r="P466" s="14">
        <f>CHOOSE(CONTROL!$C$42, 20.3871, 20.3871) * CHOOSE(CONTROL!$C$21, $C$9, 100%, $E$9)</f>
        <v>20.3871</v>
      </c>
      <c r="Q466" s="14">
        <f>CHOOSE(CONTROL!$C$42, 21.1373, 21.1373) * CHOOSE(CONTROL!$C$21, $C$9, 100%, $E$9)</f>
        <v>21.1373</v>
      </c>
      <c r="R466" s="14">
        <f>CHOOSE(CONTROL!$C$42, 21.7771, 21.7771) * CHOOSE(CONTROL!$C$21, $C$9, 100%, $E$9)</f>
        <v>21.777100000000001</v>
      </c>
      <c r="S466" s="14">
        <f>CHOOSE(CONTROL!$C$42, 19.8901, 19.8901) * CHOOSE(CONTROL!$C$21, $C$9, 100%, $E$9)</f>
        <v>19.8901</v>
      </c>
      <c r="T46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56">
        <f>(1000*CHOOSE(CONTROL!$C$42, 695, 695)*CHOOSE(CONTROL!$C$42, 0.5599, 0.5599)*CHOOSE(CONTROL!$C$42, 31, 31))/1000000</f>
        <v>12.063045499999998</v>
      </c>
      <c r="V466" s="56">
        <f>(1000*CHOOSE(CONTROL!$C$42, 500, 500)*CHOOSE(CONTROL!$C$42, 0.275, 0.275)*CHOOSE(CONTROL!$C$42, 31, 31))/1000000</f>
        <v>4.2625000000000002</v>
      </c>
      <c r="W466" s="56">
        <f>(1000*CHOOSE(CONTROL!$C$42, 0.1146, 0.1146)*CHOOSE(CONTROL!$C$42, 121.5, 121.5)*CHOOSE(CONTROL!$C$42, 31, 31))/1000000</f>
        <v>0.43164089999999994</v>
      </c>
      <c r="X466" s="56">
        <f>(31*0.1790888*245000/1000000)+(31*0.2374*100000/1000000)</f>
        <v>2.0961194359999999</v>
      </c>
      <c r="Y466" s="56"/>
      <c r="Z466" s="14"/>
      <c r="AA466" s="55"/>
      <c r="AB466" s="49">
        <f>(B466*131.881+C466*277.167+D466*79.08+E466*125.872+F466*40+G466*185+H466*0+I466*100+J466*300)/(131.881+277.167+79.08+125.872+0+40+185+100+300)</f>
        <v>20.772991305488294</v>
      </c>
      <c r="AC466" s="44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20.392271942446044</v>
      </c>
    </row>
    <row r="467" spans="1:29" ht="15.75" x14ac:dyDescent="0.25">
      <c r="A467" s="32">
        <v>55122</v>
      </c>
      <c r="B467" s="14">
        <f>CHOOSE(CONTROL!$C$42, 21.2537, 21.2537) * CHOOSE(CONTROL!$C$21, $C$9, 100%, $E$9)</f>
        <v>21.253699999999998</v>
      </c>
      <c r="C467" s="14">
        <f>CHOOSE(CONTROL!$C$42, 21.2587, 21.2587) * CHOOSE(CONTROL!$C$21, $C$9, 100%, $E$9)</f>
        <v>21.258700000000001</v>
      </c>
      <c r="D467" s="14">
        <f>CHOOSE(CONTROL!$C$42, 21.3277, 21.3277) * CHOOSE(CONTROL!$C$21, $C$9, 100%, $E$9)</f>
        <v>21.3277</v>
      </c>
      <c r="E467" s="14">
        <f>CHOOSE(CONTROL!$C$42, 21.3619, 21.3619) * CHOOSE(CONTROL!$C$21, $C$9, 100%, $E$9)</f>
        <v>21.361899999999999</v>
      </c>
      <c r="F467" s="14">
        <f>CHOOSE(CONTROL!$C$42, 21.2893, 21.2893)*CHOOSE(CONTROL!$C$21, $C$9, 100%, $E$9)</f>
        <v>21.289300000000001</v>
      </c>
      <c r="G467" s="14">
        <f>CHOOSE(CONTROL!$C$42, 21.3067, 21.3067)*CHOOSE(CONTROL!$C$21, $C$9, 100%, $E$9)</f>
        <v>21.306699999999999</v>
      </c>
      <c r="H467" s="14">
        <f>CHOOSE(CONTROL!$C$42, 21.3511, 21.3511) * CHOOSE(CONTROL!$C$21, $C$9, 100%, $E$9)</f>
        <v>21.351099999999999</v>
      </c>
      <c r="I467" s="14">
        <f>CHOOSE(CONTROL!$C$42, 21.3566, 21.3566)* CHOOSE(CONTROL!$C$21, $C$9, 100%, $E$9)</f>
        <v>21.3566</v>
      </c>
      <c r="J467" s="14">
        <f>CHOOSE(CONTROL!$C$42, 21.2823, 21.2823)* CHOOSE(CONTROL!$C$21, $C$9, 100%, $E$9)</f>
        <v>21.282299999999999</v>
      </c>
      <c r="K467" s="52">
        <f>CHOOSE(CONTROL!$C$42, 21.3527, 21.3527) * CHOOSE(CONTROL!$C$21, $C$9, 100%, $E$9)</f>
        <v>21.352699999999999</v>
      </c>
      <c r="L467" s="14">
        <f>CHOOSE(CONTROL!$C$42, 21.9381, 21.9381) * CHOOSE(CONTROL!$C$21, $C$9, 100%, $E$9)</f>
        <v>21.938099999999999</v>
      </c>
      <c r="M467" s="14">
        <f>CHOOSE(CONTROL!$C$42, 20.8539, 20.8539) * CHOOSE(CONTROL!$C$21, $C$9, 100%, $E$9)</f>
        <v>20.853899999999999</v>
      </c>
      <c r="N467" s="14">
        <f>CHOOSE(CONTROL!$C$42, 20.8709, 20.8709) * CHOOSE(CONTROL!$C$21, $C$9, 100%, $E$9)</f>
        <v>20.870899999999999</v>
      </c>
      <c r="O467" s="14">
        <f>CHOOSE(CONTROL!$C$42, 20.9213, 20.9213) * CHOOSE(CONTROL!$C$21, $C$9, 100%, $E$9)</f>
        <v>20.921299999999999</v>
      </c>
      <c r="P467" s="14">
        <f>CHOOSE(CONTROL!$C$42, 20.9254, 20.9254) * CHOOSE(CONTROL!$C$21, $C$9, 100%, $E$9)</f>
        <v>20.9254</v>
      </c>
      <c r="Q467" s="14">
        <f>CHOOSE(CONTROL!$C$42, 21.516, 21.516) * CHOOSE(CONTROL!$C$21, $C$9, 100%, $E$9)</f>
        <v>21.515999999999998</v>
      </c>
      <c r="R467" s="14">
        <f>CHOOSE(CONTROL!$C$42, 22.1568, 22.1568) * CHOOSE(CONTROL!$C$21, $C$9, 100%, $E$9)</f>
        <v>22.1568</v>
      </c>
      <c r="S467" s="14">
        <f>CHOOSE(CONTROL!$C$42, 20.4141, 20.4141) * CHOOSE(CONTROL!$C$21, $C$9, 100%, $E$9)</f>
        <v>20.414100000000001</v>
      </c>
      <c r="T46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56">
        <f>(1000*CHOOSE(CONTROL!$C$42, 695, 695)*CHOOSE(CONTROL!$C$42, 0.5599, 0.5599)*CHOOSE(CONTROL!$C$42, 30, 30))/1000000</f>
        <v>11.673914999999997</v>
      </c>
      <c r="V467" s="56">
        <f>(1000*CHOOSE(CONTROL!$C$42, 500, 500)*CHOOSE(CONTROL!$C$42, 0.275, 0.275)*CHOOSE(CONTROL!$C$42, 30, 30))/1000000</f>
        <v>4.125</v>
      </c>
      <c r="W467" s="56">
        <f>(1000*CHOOSE(CONTROL!$C$42, 0.1146, 0.1146)*CHOOSE(CONTROL!$C$42, 121.5, 121.5)*CHOOSE(CONTROL!$C$42, 30, 30))/1000000</f>
        <v>0.417717</v>
      </c>
      <c r="X467" s="56">
        <f>(30*0.1790888*100000/1000000)+(30*0.2374*100000/1000000)</f>
        <v>1.2494664</v>
      </c>
      <c r="Y467" s="56"/>
      <c r="Z467" s="14"/>
      <c r="AA467" s="55"/>
      <c r="AB467" s="49">
        <f>(B467*122.58+C467*297.941+D467*89.177+E467*40.302+F467*40+G467*160+H467*0+I467*100+J467*300)/(122.58+297.941+89.177+40.302+0+40+160+100+300)</f>
        <v>21.289546503826084</v>
      </c>
      <c r="AC467" s="44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20.895714388489207</v>
      </c>
    </row>
    <row r="468" spans="1:29" ht="15.75" x14ac:dyDescent="0.25">
      <c r="A468" s="32">
        <v>55153</v>
      </c>
      <c r="B468" s="14">
        <f>CHOOSE(CONTROL!$C$42, 22.7021, 22.7021) * CHOOSE(CONTROL!$C$21, $C$9, 100%, $E$9)</f>
        <v>22.702100000000002</v>
      </c>
      <c r="C468" s="14">
        <f>CHOOSE(CONTROL!$C$42, 22.7071, 22.7071) * CHOOSE(CONTROL!$C$21, $C$9, 100%, $E$9)</f>
        <v>22.707100000000001</v>
      </c>
      <c r="D468" s="14">
        <f>CHOOSE(CONTROL!$C$42, 22.7762, 22.7762) * CHOOSE(CONTROL!$C$21, $C$9, 100%, $E$9)</f>
        <v>22.776199999999999</v>
      </c>
      <c r="E468" s="14">
        <f>CHOOSE(CONTROL!$C$42, 22.8103, 22.8103) * CHOOSE(CONTROL!$C$21, $C$9, 100%, $E$9)</f>
        <v>22.810300000000002</v>
      </c>
      <c r="F468" s="14">
        <f>CHOOSE(CONTROL!$C$42, 22.7399, 22.7399)*CHOOSE(CONTROL!$C$21, $C$9, 100%, $E$9)</f>
        <v>22.739899999999999</v>
      </c>
      <c r="G468" s="14">
        <f>CHOOSE(CONTROL!$C$42, 22.7579, 22.7579)*CHOOSE(CONTROL!$C$21, $C$9, 100%, $E$9)</f>
        <v>22.757899999999999</v>
      </c>
      <c r="H468" s="14">
        <f>CHOOSE(CONTROL!$C$42, 22.7995, 22.7995) * CHOOSE(CONTROL!$C$21, $C$9, 100%, $E$9)</f>
        <v>22.799499999999998</v>
      </c>
      <c r="I468" s="14">
        <f>CHOOSE(CONTROL!$C$42, 22.8095, 22.8095)* CHOOSE(CONTROL!$C$21, $C$9, 100%, $E$9)</f>
        <v>22.8095</v>
      </c>
      <c r="J468" s="14">
        <f>CHOOSE(CONTROL!$C$42, 22.7329, 22.7329)* CHOOSE(CONTROL!$C$21, $C$9, 100%, $E$9)</f>
        <v>22.732900000000001</v>
      </c>
      <c r="K468" s="52">
        <f>CHOOSE(CONTROL!$C$42, 22.8056, 22.8056) * CHOOSE(CONTROL!$C$21, $C$9, 100%, $E$9)</f>
        <v>22.805599999999998</v>
      </c>
      <c r="L468" s="14">
        <f>CHOOSE(CONTROL!$C$42, 23.3865, 23.3865) * CHOOSE(CONTROL!$C$21, $C$9, 100%, $E$9)</f>
        <v>23.386500000000002</v>
      </c>
      <c r="M468" s="14">
        <f>CHOOSE(CONTROL!$C$42, 22.2748, 22.2748) * CHOOSE(CONTROL!$C$21, $C$9, 100%, $E$9)</f>
        <v>22.274799999999999</v>
      </c>
      <c r="N468" s="14">
        <f>CHOOSE(CONTROL!$C$42, 22.2925, 22.2925) * CHOOSE(CONTROL!$C$21, $C$9, 100%, $E$9)</f>
        <v>22.2925</v>
      </c>
      <c r="O468" s="14">
        <f>CHOOSE(CONTROL!$C$42, 22.34, 22.34) * CHOOSE(CONTROL!$C$21, $C$9, 100%, $E$9)</f>
        <v>22.34</v>
      </c>
      <c r="P468" s="14">
        <f>CHOOSE(CONTROL!$C$42, 22.3485, 22.3485) * CHOOSE(CONTROL!$C$21, $C$9, 100%, $E$9)</f>
        <v>22.348500000000001</v>
      </c>
      <c r="Q468" s="14">
        <f>CHOOSE(CONTROL!$C$42, 22.9347, 22.9347) * CHOOSE(CONTROL!$C$21, $C$9, 100%, $E$9)</f>
        <v>22.934699999999999</v>
      </c>
      <c r="R468" s="14">
        <f>CHOOSE(CONTROL!$C$42, 23.579, 23.579) * CHOOSE(CONTROL!$C$21, $C$9, 100%, $E$9)</f>
        <v>23.579000000000001</v>
      </c>
      <c r="S468" s="14">
        <f>CHOOSE(CONTROL!$C$42, 21.8059, 21.8059) * CHOOSE(CONTROL!$C$21, $C$9, 100%, $E$9)</f>
        <v>21.805900000000001</v>
      </c>
      <c r="T46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56">
        <f>(1000*CHOOSE(CONTROL!$C$42, 695, 695)*CHOOSE(CONTROL!$C$42, 0.5599, 0.5599)*CHOOSE(CONTROL!$C$42, 31, 31))/1000000</f>
        <v>12.063045499999998</v>
      </c>
      <c r="V468" s="56">
        <f>(1000*CHOOSE(CONTROL!$C$42, 500, 500)*CHOOSE(CONTROL!$C$42, 0.275, 0.275)*CHOOSE(CONTROL!$C$42, 31, 31))/1000000</f>
        <v>4.2625000000000002</v>
      </c>
      <c r="W468" s="56">
        <f>(1000*CHOOSE(CONTROL!$C$42, 0.1146, 0.1146)*CHOOSE(CONTROL!$C$42, 121.5, 121.5)*CHOOSE(CONTROL!$C$42, 31, 31))/1000000</f>
        <v>0.43164089999999994</v>
      </c>
      <c r="X468" s="56">
        <f>(31*0.1790888*100000/1000000)+(31*0.2374*100000/1000000)</f>
        <v>1.2911152800000001</v>
      </c>
      <c r="Y468" s="56"/>
      <c r="Z468" s="14"/>
      <c r="AA468" s="55"/>
      <c r="AB468" s="49">
        <f>(B468*122.58+C468*297.941+D468*89.177+E468*40.302+F468*40+G468*160+H468*0+I468*100+J468*300)/(122.58+297.941+89.177+40.302+0+40+160+100+300)</f>
        <v>22.739385562695652</v>
      </c>
      <c r="AC468" s="44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22.315974100719426</v>
      </c>
    </row>
    <row r="469" spans="1:29" ht="15.75" x14ac:dyDescent="0.25">
      <c r="A469" s="32">
        <v>55184</v>
      </c>
      <c r="B469" s="14">
        <f>CHOOSE(CONTROL!$C$42, 24.5833, 24.5833) * CHOOSE(CONTROL!$C$21, $C$9, 100%, $E$9)</f>
        <v>24.583300000000001</v>
      </c>
      <c r="C469" s="14">
        <f>CHOOSE(CONTROL!$C$42, 24.5884, 24.5884) * CHOOSE(CONTROL!$C$21, $C$9, 100%, $E$9)</f>
        <v>24.5884</v>
      </c>
      <c r="D469" s="14">
        <f>CHOOSE(CONTROL!$C$42, 24.6678, 24.6678) * CHOOSE(CONTROL!$C$21, $C$9, 100%, $E$9)</f>
        <v>24.6678</v>
      </c>
      <c r="E469" s="14">
        <f>CHOOSE(CONTROL!$C$42, 24.7019, 24.7019) * CHOOSE(CONTROL!$C$21, $C$9, 100%, $E$9)</f>
        <v>24.701899999999998</v>
      </c>
      <c r="F469" s="14">
        <f>CHOOSE(CONTROL!$C$42, 24.6063, 24.6063)*CHOOSE(CONTROL!$C$21, $C$9, 100%, $E$9)</f>
        <v>24.606300000000001</v>
      </c>
      <c r="G469" s="14">
        <f>CHOOSE(CONTROL!$C$42, 24.6238, 24.6238)*CHOOSE(CONTROL!$C$21, $C$9, 100%, $E$9)</f>
        <v>24.623799999999999</v>
      </c>
      <c r="H469" s="14">
        <f>CHOOSE(CONTROL!$C$42, 24.6911, 24.6911) * CHOOSE(CONTROL!$C$21, $C$9, 100%, $E$9)</f>
        <v>24.691099999999999</v>
      </c>
      <c r="I469" s="14">
        <f>CHOOSE(CONTROL!$C$42, 24.6956, 24.6956)* CHOOSE(CONTROL!$C$21, $C$9, 100%, $E$9)</f>
        <v>24.695599999999999</v>
      </c>
      <c r="J469" s="14">
        <f>CHOOSE(CONTROL!$C$42, 24.5993, 24.5993)* CHOOSE(CONTROL!$C$21, $C$9, 100%, $E$9)</f>
        <v>24.599299999999999</v>
      </c>
      <c r="K469" s="52">
        <f>CHOOSE(CONTROL!$C$42, 24.6917, 24.6917) * CHOOSE(CONTROL!$C$21, $C$9, 100%, $E$9)</f>
        <v>24.691700000000001</v>
      </c>
      <c r="L469" s="14">
        <f>CHOOSE(CONTROL!$C$42, 25.2781, 25.2781) * CHOOSE(CONTROL!$C$21, $C$9, 100%, $E$9)</f>
        <v>25.278099999999998</v>
      </c>
      <c r="M469" s="14">
        <f>CHOOSE(CONTROL!$C$42, 24.103, 24.103) * CHOOSE(CONTROL!$C$21, $C$9, 100%, $E$9)</f>
        <v>24.103000000000002</v>
      </c>
      <c r="N469" s="14">
        <f>CHOOSE(CONTROL!$C$42, 24.1202, 24.1202) * CHOOSE(CONTROL!$C$21, $C$9, 100%, $E$9)</f>
        <v>24.120200000000001</v>
      </c>
      <c r="O469" s="14">
        <f>CHOOSE(CONTROL!$C$42, 24.1929, 24.1929) * CHOOSE(CONTROL!$C$21, $C$9, 100%, $E$9)</f>
        <v>24.192900000000002</v>
      </c>
      <c r="P469" s="14">
        <f>CHOOSE(CONTROL!$C$42, 24.1958, 24.1958) * CHOOSE(CONTROL!$C$21, $C$9, 100%, $E$9)</f>
        <v>24.195799999999998</v>
      </c>
      <c r="Q469" s="14">
        <f>CHOOSE(CONTROL!$C$42, 24.7876, 24.7876) * CHOOSE(CONTROL!$C$21, $C$9, 100%, $E$9)</f>
        <v>24.787600000000001</v>
      </c>
      <c r="R469" s="14">
        <f>CHOOSE(CONTROL!$C$42, 25.4365, 25.4365) * CHOOSE(CONTROL!$C$21, $C$9, 100%, $E$9)</f>
        <v>25.436499999999999</v>
      </c>
      <c r="S469" s="14">
        <f>CHOOSE(CONTROL!$C$42, 23.6136, 23.6136) * CHOOSE(CONTROL!$C$21, $C$9, 100%, $E$9)</f>
        <v>23.613600000000002</v>
      </c>
      <c r="T46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56">
        <f>(1000*CHOOSE(CONTROL!$C$42, 695, 695)*CHOOSE(CONTROL!$C$42, 0.5599, 0.5599)*CHOOSE(CONTROL!$C$42, 31, 31))/1000000</f>
        <v>12.063045499999998</v>
      </c>
      <c r="V469" s="56">
        <f>(1000*CHOOSE(CONTROL!$C$42, 500, 500)*CHOOSE(CONTROL!$C$42, 0.275, 0.275)*CHOOSE(CONTROL!$C$42, 31, 31))/1000000</f>
        <v>4.2625000000000002</v>
      </c>
      <c r="W469" s="56">
        <f>(1000*CHOOSE(CONTROL!$C$42, 0.1146, 0.1146)*CHOOSE(CONTROL!$C$42, 121.5, 121.5)*CHOOSE(CONTROL!$C$42, 31, 31))/1000000</f>
        <v>0.43164089999999994</v>
      </c>
      <c r="X469" s="56">
        <f>(31*0.1790888*100000/1000000)+(31*0.2374*100000/1000000)</f>
        <v>1.2911152800000001</v>
      </c>
      <c r="Y469" s="56"/>
      <c r="Z469" s="14"/>
      <c r="AA469" s="55"/>
      <c r="AB469" s="49">
        <f>(B469*122.58+C469*297.941+D469*89.177+E469*40.302+F469*40+G469*160+H469*0+I469*100+J469*300)/(122.58+297.941+89.177+40.302+0+40+160+100+300)</f>
        <v>24.615704150260871</v>
      </c>
      <c r="AC469" s="44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24.158088489208634</v>
      </c>
    </row>
    <row r="470" spans="1:29" ht="15.75" x14ac:dyDescent="0.25">
      <c r="A470" s="32">
        <v>55212</v>
      </c>
      <c r="B470" s="14">
        <f>CHOOSE(CONTROL!$C$42, 25.0208, 25.0208) * CHOOSE(CONTROL!$C$21, $C$9, 100%, $E$9)</f>
        <v>25.020800000000001</v>
      </c>
      <c r="C470" s="14">
        <f>CHOOSE(CONTROL!$C$42, 25.0258, 25.0258) * CHOOSE(CONTROL!$C$21, $C$9, 100%, $E$9)</f>
        <v>25.0258</v>
      </c>
      <c r="D470" s="14">
        <f>CHOOSE(CONTROL!$C$42, 25.1052, 25.1052) * CHOOSE(CONTROL!$C$21, $C$9, 100%, $E$9)</f>
        <v>25.1052</v>
      </c>
      <c r="E470" s="14">
        <f>CHOOSE(CONTROL!$C$42, 25.1393, 25.1393) * CHOOSE(CONTROL!$C$21, $C$9, 100%, $E$9)</f>
        <v>25.139299999999999</v>
      </c>
      <c r="F470" s="14">
        <f>CHOOSE(CONTROL!$C$42, 25.0435, 25.0435)*CHOOSE(CONTROL!$C$21, $C$9, 100%, $E$9)</f>
        <v>25.043500000000002</v>
      </c>
      <c r="G470" s="14">
        <f>CHOOSE(CONTROL!$C$42, 25.061, 25.061)*CHOOSE(CONTROL!$C$21, $C$9, 100%, $E$9)</f>
        <v>25.061</v>
      </c>
      <c r="H470" s="14">
        <f>CHOOSE(CONTROL!$C$42, 25.1285, 25.1285) * CHOOSE(CONTROL!$C$21, $C$9, 100%, $E$9)</f>
        <v>25.128499999999999</v>
      </c>
      <c r="I470" s="14">
        <f>CHOOSE(CONTROL!$C$42, 25.1344, 25.1344)* CHOOSE(CONTROL!$C$21, $C$9, 100%, $E$9)</f>
        <v>25.134399999999999</v>
      </c>
      <c r="J470" s="14">
        <f>CHOOSE(CONTROL!$C$42, 25.0365, 25.0365)* CHOOSE(CONTROL!$C$21, $C$9, 100%, $E$9)</f>
        <v>25.0365</v>
      </c>
      <c r="K470" s="52">
        <f>CHOOSE(CONTROL!$C$42, 25.1305, 25.1305) * CHOOSE(CONTROL!$C$21, $C$9, 100%, $E$9)</f>
        <v>25.130500000000001</v>
      </c>
      <c r="L470" s="14">
        <f>CHOOSE(CONTROL!$C$42, 25.7155, 25.7155) * CHOOSE(CONTROL!$C$21, $C$9, 100%, $E$9)</f>
        <v>25.715499999999999</v>
      </c>
      <c r="M470" s="14">
        <f>CHOOSE(CONTROL!$C$42, 24.5312, 24.5312) * CHOOSE(CONTROL!$C$21, $C$9, 100%, $E$9)</f>
        <v>24.531199999999998</v>
      </c>
      <c r="N470" s="14">
        <f>CHOOSE(CONTROL!$C$42, 24.5483, 24.5483) * CHOOSE(CONTROL!$C$21, $C$9, 100%, $E$9)</f>
        <v>24.548300000000001</v>
      </c>
      <c r="O470" s="14">
        <f>CHOOSE(CONTROL!$C$42, 24.6214, 24.6214) * CHOOSE(CONTROL!$C$21, $C$9, 100%, $E$9)</f>
        <v>24.621400000000001</v>
      </c>
      <c r="P470" s="14">
        <f>CHOOSE(CONTROL!$C$42, 24.6256, 24.6256) * CHOOSE(CONTROL!$C$21, $C$9, 100%, $E$9)</f>
        <v>24.625599999999999</v>
      </c>
      <c r="Q470" s="14">
        <f>CHOOSE(CONTROL!$C$42, 25.2161, 25.2161) * CHOOSE(CONTROL!$C$21, $C$9, 100%, $E$9)</f>
        <v>25.216100000000001</v>
      </c>
      <c r="R470" s="14">
        <f>CHOOSE(CONTROL!$C$42, 25.8661, 25.8661) * CHOOSE(CONTROL!$C$21, $C$9, 100%, $E$9)</f>
        <v>25.866099999999999</v>
      </c>
      <c r="S470" s="14">
        <f>CHOOSE(CONTROL!$C$42, 24.0339, 24.0339) * CHOOSE(CONTROL!$C$21, $C$9, 100%, $E$9)</f>
        <v>24.033899999999999</v>
      </c>
      <c r="T47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70" s="56">
        <f>(1000*CHOOSE(CONTROL!$C$42, 695, 695)*CHOOSE(CONTROL!$C$42, 0.5599, 0.5599)*CHOOSE(CONTROL!$C$42, 28, 28))/1000000</f>
        <v>10.895653999999999</v>
      </c>
      <c r="V470" s="56">
        <f>(1000*CHOOSE(CONTROL!$C$42, 500, 500)*CHOOSE(CONTROL!$C$42, 0.275, 0.275)*CHOOSE(CONTROL!$C$42, 28, 28))/1000000</f>
        <v>3.85</v>
      </c>
      <c r="W470" s="56">
        <f>(1000*CHOOSE(CONTROL!$C$42, 0.1146, 0.1146)*CHOOSE(CONTROL!$C$42, 121.5, 121.5)*CHOOSE(CONTROL!$C$42, 28, 28))/1000000</f>
        <v>0.38986920000000003</v>
      </c>
      <c r="X470" s="56">
        <f>(28*0.1790888*100000/1000000)+(28*0.2374*100000/1000000)</f>
        <v>1.16616864</v>
      </c>
      <c r="Y470" s="56"/>
      <c r="Z470" s="14"/>
      <c r="AA470" s="55"/>
      <c r="AB470" s="49">
        <f>(B470*122.58+C470*297.941+D470*89.177+E470*40.302+F470*40+G470*160+H470*0+I470*100+J470*300)/(122.58+297.941+89.177+40.302+0+40+160+100+300)</f>
        <v>25.053149591999997</v>
      </c>
      <c r="AC470" s="44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24.586648920863311</v>
      </c>
    </row>
    <row r="471" spans="1:29" ht="15.75" x14ac:dyDescent="0.25">
      <c r="A471" s="32">
        <v>55243</v>
      </c>
      <c r="B471" s="14">
        <f>CHOOSE(CONTROL!$C$42, 24.3107, 24.3107) * CHOOSE(CONTROL!$C$21, $C$9, 100%, $E$9)</f>
        <v>24.310700000000001</v>
      </c>
      <c r="C471" s="14">
        <f>CHOOSE(CONTROL!$C$42, 24.3157, 24.3157) * CHOOSE(CONTROL!$C$21, $C$9, 100%, $E$9)</f>
        <v>24.3157</v>
      </c>
      <c r="D471" s="14">
        <f>CHOOSE(CONTROL!$C$42, 24.3952, 24.3952) * CHOOSE(CONTROL!$C$21, $C$9, 100%, $E$9)</f>
        <v>24.395199999999999</v>
      </c>
      <c r="E471" s="14">
        <f>CHOOSE(CONTROL!$C$42, 24.4293, 24.4293) * CHOOSE(CONTROL!$C$21, $C$9, 100%, $E$9)</f>
        <v>24.429300000000001</v>
      </c>
      <c r="F471" s="14">
        <f>CHOOSE(CONTROL!$C$42, 24.3327, 24.3327)*CHOOSE(CONTROL!$C$21, $C$9, 100%, $E$9)</f>
        <v>24.332699999999999</v>
      </c>
      <c r="G471" s="14">
        <f>CHOOSE(CONTROL!$C$42, 24.35, 24.35)*CHOOSE(CONTROL!$C$21, $C$9, 100%, $E$9)</f>
        <v>24.35</v>
      </c>
      <c r="H471" s="14">
        <f>CHOOSE(CONTROL!$C$42, 24.4185, 24.4185) * CHOOSE(CONTROL!$C$21, $C$9, 100%, $E$9)</f>
        <v>24.418500000000002</v>
      </c>
      <c r="I471" s="14">
        <f>CHOOSE(CONTROL!$C$42, 24.4221, 24.4221)* CHOOSE(CONTROL!$C$21, $C$9, 100%, $E$9)</f>
        <v>24.4221</v>
      </c>
      <c r="J471" s="14">
        <f>CHOOSE(CONTROL!$C$42, 24.3257, 24.3257)* CHOOSE(CONTROL!$C$21, $C$9, 100%, $E$9)</f>
        <v>24.325700000000001</v>
      </c>
      <c r="K471" s="52">
        <f>CHOOSE(CONTROL!$C$42, 24.4182, 24.4182) * CHOOSE(CONTROL!$C$21, $C$9, 100%, $E$9)</f>
        <v>24.418199999999999</v>
      </c>
      <c r="L471" s="14">
        <f>CHOOSE(CONTROL!$C$42, 25.0055, 25.0055) * CHOOSE(CONTROL!$C$21, $C$9, 100%, $E$9)</f>
        <v>25.005500000000001</v>
      </c>
      <c r="M471" s="14">
        <f>CHOOSE(CONTROL!$C$42, 23.835, 23.835) * CHOOSE(CONTROL!$C$21, $C$9, 100%, $E$9)</f>
        <v>23.835000000000001</v>
      </c>
      <c r="N471" s="14">
        <f>CHOOSE(CONTROL!$C$42, 23.8519, 23.8519) * CHOOSE(CONTROL!$C$21, $C$9, 100%, $E$9)</f>
        <v>23.851900000000001</v>
      </c>
      <c r="O471" s="14">
        <f>CHOOSE(CONTROL!$C$42, 23.9258, 23.9258) * CHOOSE(CONTROL!$C$21, $C$9, 100%, $E$9)</f>
        <v>23.925799999999999</v>
      </c>
      <c r="P471" s="14">
        <f>CHOOSE(CONTROL!$C$42, 23.9279, 23.9279) * CHOOSE(CONTROL!$C$21, $C$9, 100%, $E$9)</f>
        <v>23.927900000000001</v>
      </c>
      <c r="Q471" s="14">
        <f>CHOOSE(CONTROL!$C$42, 24.5205, 24.5205) * CHOOSE(CONTROL!$C$21, $C$9, 100%, $E$9)</f>
        <v>24.520499999999998</v>
      </c>
      <c r="R471" s="14">
        <f>CHOOSE(CONTROL!$C$42, 25.1688, 25.1688) * CHOOSE(CONTROL!$C$21, $C$9, 100%, $E$9)</f>
        <v>25.168800000000001</v>
      </c>
      <c r="S471" s="14">
        <f>CHOOSE(CONTROL!$C$42, 23.3516, 23.3516) * CHOOSE(CONTROL!$C$21, $C$9, 100%, $E$9)</f>
        <v>23.351600000000001</v>
      </c>
      <c r="T47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56">
        <f>(1000*CHOOSE(CONTROL!$C$42, 695, 695)*CHOOSE(CONTROL!$C$42, 0.5599, 0.5599)*CHOOSE(CONTROL!$C$42, 31, 31))/1000000</f>
        <v>12.063045499999998</v>
      </c>
      <c r="V471" s="56">
        <f>(1000*CHOOSE(CONTROL!$C$42, 500, 500)*CHOOSE(CONTROL!$C$42, 0.275, 0.275)*CHOOSE(CONTROL!$C$42, 31, 31))/1000000</f>
        <v>4.2625000000000002</v>
      </c>
      <c r="W471" s="56">
        <f>(1000*CHOOSE(CONTROL!$C$42, 0.1146, 0.1146)*CHOOSE(CONTROL!$C$42, 121.5, 121.5)*CHOOSE(CONTROL!$C$42, 31, 31))/1000000</f>
        <v>0.43164089999999994</v>
      </c>
      <c r="X471" s="56">
        <f>(31*0.1790888*100000/1000000)+(31*0.2374*100000/1000000)</f>
        <v>1.2911152800000001</v>
      </c>
      <c r="Y471" s="56"/>
      <c r="Z471" s="14"/>
      <c r="AA471" s="55"/>
      <c r="AB471" s="49">
        <f>(B471*122.58+C471*297.941+D471*89.177+E471*40.302+F471*40+G471*160+H471*0+I471*100+J471*300)/(122.58+297.941+89.177+40.302+0+40+160+100+300)</f>
        <v>24.342537372782605</v>
      </c>
      <c r="AC471" s="44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23.890493525179856</v>
      </c>
    </row>
    <row r="472" spans="1:29" ht="15.75" x14ac:dyDescent="0.25">
      <c r="A472" s="32">
        <v>55273</v>
      </c>
      <c r="B472" s="14">
        <f>CHOOSE(CONTROL!$C$42, 24.2389, 24.2389) * CHOOSE(CONTROL!$C$21, $C$9, 100%, $E$9)</f>
        <v>24.238900000000001</v>
      </c>
      <c r="C472" s="14">
        <f>CHOOSE(CONTROL!$C$42, 24.2434, 24.2434) * CHOOSE(CONTROL!$C$21, $C$9, 100%, $E$9)</f>
        <v>24.243400000000001</v>
      </c>
      <c r="D472" s="14">
        <f>CHOOSE(CONTROL!$C$42, 24.4723, 24.4723) * CHOOSE(CONTROL!$C$21, $C$9, 100%, $E$9)</f>
        <v>24.472300000000001</v>
      </c>
      <c r="E472" s="14">
        <f>CHOOSE(CONTROL!$C$42, 24.5044, 24.5044) * CHOOSE(CONTROL!$C$21, $C$9, 100%, $E$9)</f>
        <v>24.5044</v>
      </c>
      <c r="F472" s="14">
        <f>CHOOSE(CONTROL!$C$42, 24.2659, 24.2659)*CHOOSE(CONTROL!$C$21, $C$9, 100%, $E$9)</f>
        <v>24.265899999999998</v>
      </c>
      <c r="G472" s="14">
        <f>CHOOSE(CONTROL!$C$42, 24.2826, 24.2826)*CHOOSE(CONTROL!$C$21, $C$9, 100%, $E$9)</f>
        <v>24.282599999999999</v>
      </c>
      <c r="H472" s="14">
        <f>CHOOSE(CONTROL!$C$42, 24.4942, 24.4942) * CHOOSE(CONTROL!$C$21, $C$9, 100%, $E$9)</f>
        <v>24.494199999999999</v>
      </c>
      <c r="I472" s="14">
        <f>CHOOSE(CONTROL!$C$42, 24.3478, 24.3478)* CHOOSE(CONTROL!$C$21, $C$9, 100%, $E$9)</f>
        <v>24.347799999999999</v>
      </c>
      <c r="J472" s="14">
        <f>CHOOSE(CONTROL!$C$42, 24.2589, 24.2589)* CHOOSE(CONTROL!$C$21, $C$9, 100%, $E$9)</f>
        <v>24.258900000000001</v>
      </c>
      <c r="K472" s="52">
        <f>CHOOSE(CONTROL!$C$42, 24.3439, 24.3439) * CHOOSE(CONTROL!$C$21, $C$9, 100%, $E$9)</f>
        <v>24.343900000000001</v>
      </c>
      <c r="L472" s="14">
        <f>CHOOSE(CONTROL!$C$42, 25.0812, 25.0812) * CHOOSE(CONTROL!$C$21, $C$9, 100%, $E$9)</f>
        <v>25.081199999999999</v>
      </c>
      <c r="M472" s="14">
        <f>CHOOSE(CONTROL!$C$42, 23.7696, 23.7696) * CHOOSE(CONTROL!$C$21, $C$9, 100%, $E$9)</f>
        <v>23.769600000000001</v>
      </c>
      <c r="N472" s="14">
        <f>CHOOSE(CONTROL!$C$42, 23.7859, 23.7859) * CHOOSE(CONTROL!$C$21, $C$9, 100%, $E$9)</f>
        <v>23.785900000000002</v>
      </c>
      <c r="O472" s="14">
        <f>CHOOSE(CONTROL!$C$42, 24, 24) * CHOOSE(CONTROL!$C$21, $C$9, 100%, $E$9)</f>
        <v>24</v>
      </c>
      <c r="P472" s="14">
        <f>CHOOSE(CONTROL!$C$42, 23.8551, 23.8551) * CHOOSE(CONTROL!$C$21, $C$9, 100%, $E$9)</f>
        <v>23.8551</v>
      </c>
      <c r="Q472" s="14">
        <f>CHOOSE(CONTROL!$C$42, 24.5947, 24.5947) * CHOOSE(CONTROL!$C$21, $C$9, 100%, $E$9)</f>
        <v>24.5947</v>
      </c>
      <c r="R472" s="14">
        <f>CHOOSE(CONTROL!$C$42, 25.2432, 25.2432) * CHOOSE(CONTROL!$C$21, $C$9, 100%, $E$9)</f>
        <v>25.243200000000002</v>
      </c>
      <c r="S472" s="14">
        <f>CHOOSE(CONTROL!$C$42, 23.2819, 23.2819) * CHOOSE(CONTROL!$C$21, $C$9, 100%, $E$9)</f>
        <v>23.2819</v>
      </c>
      <c r="T47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56">
        <f>(1000*CHOOSE(CONTROL!$C$42, 695, 695)*CHOOSE(CONTROL!$C$42, 0.5599, 0.5599)*CHOOSE(CONTROL!$C$42, 30, 30))/1000000</f>
        <v>11.673914999999997</v>
      </c>
      <c r="V472" s="56">
        <f>(1000*CHOOSE(CONTROL!$C$42, 500, 500)*CHOOSE(CONTROL!$C$42, 0.275, 0.275)*CHOOSE(CONTROL!$C$42, 30, 30))/1000000</f>
        <v>4.125</v>
      </c>
      <c r="W472" s="56">
        <f>(1000*CHOOSE(CONTROL!$C$42, 0.1146, 0.1146)*CHOOSE(CONTROL!$C$42, 121.5, 121.5)*CHOOSE(CONTROL!$C$42, 30, 30))/1000000</f>
        <v>0.417717</v>
      </c>
      <c r="X472" s="56">
        <f>(30*0.1790888*245000/1000000)+(30*0.2374*100000/1000000)</f>
        <v>2.0285026799999999</v>
      </c>
      <c r="Y472" s="56"/>
      <c r="Z472" s="14"/>
      <c r="AA472" s="55"/>
      <c r="AB472" s="49">
        <f>(B472*141.293+C472*267.993+D472*115.016+E472*89.698+F472*40+G472*185+H472*0+I472*100+J472*300)/(141.293+267.993+115.016+89.698+0+40+185+100+300)</f>
        <v>24.301789444632767</v>
      </c>
      <c r="AC472" s="44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23.850299280575538</v>
      </c>
    </row>
    <row r="473" spans="1:29" ht="15.75" x14ac:dyDescent="0.25">
      <c r="A473" s="32">
        <v>55304</v>
      </c>
      <c r="B473" s="14">
        <f>CHOOSE(CONTROL!$C$42, 24.4542, 24.4542) * CHOOSE(CONTROL!$C$21, $C$9, 100%, $E$9)</f>
        <v>24.4542</v>
      </c>
      <c r="C473" s="14">
        <f>CHOOSE(CONTROL!$C$42, 24.4622, 24.4622) * CHOOSE(CONTROL!$C$21, $C$9, 100%, $E$9)</f>
        <v>24.462199999999999</v>
      </c>
      <c r="D473" s="14">
        <f>CHOOSE(CONTROL!$C$42, 24.688, 24.688) * CHOOSE(CONTROL!$C$21, $C$9, 100%, $E$9)</f>
        <v>24.687999999999999</v>
      </c>
      <c r="E473" s="14">
        <f>CHOOSE(CONTROL!$C$42, 24.7194, 24.7194) * CHOOSE(CONTROL!$C$21, $C$9, 100%, $E$9)</f>
        <v>24.7194</v>
      </c>
      <c r="F473" s="14">
        <f>CHOOSE(CONTROL!$C$42, 24.4798, 24.4798)*CHOOSE(CONTROL!$C$21, $C$9, 100%, $E$9)</f>
        <v>24.479800000000001</v>
      </c>
      <c r="G473" s="14">
        <f>CHOOSE(CONTROL!$C$42, 24.4968, 24.4968)*CHOOSE(CONTROL!$C$21, $C$9, 100%, $E$9)</f>
        <v>24.4968</v>
      </c>
      <c r="H473" s="14">
        <f>CHOOSE(CONTROL!$C$42, 24.7081, 24.7081) * CHOOSE(CONTROL!$C$21, $C$9, 100%, $E$9)</f>
        <v>24.708100000000002</v>
      </c>
      <c r="I473" s="14">
        <f>CHOOSE(CONTROL!$C$42, 24.5623, 24.5623)* CHOOSE(CONTROL!$C$21, $C$9, 100%, $E$9)</f>
        <v>24.5623</v>
      </c>
      <c r="J473" s="14">
        <f>CHOOSE(CONTROL!$C$42, 24.4728, 24.4728)* CHOOSE(CONTROL!$C$21, $C$9, 100%, $E$9)</f>
        <v>24.472799999999999</v>
      </c>
      <c r="K473" s="52">
        <f>CHOOSE(CONTROL!$C$42, 24.5584, 24.5584) * CHOOSE(CONTROL!$C$21, $C$9, 100%, $E$9)</f>
        <v>24.558399999999999</v>
      </c>
      <c r="L473" s="14">
        <f>CHOOSE(CONTROL!$C$42, 25.2951, 25.2951) * CHOOSE(CONTROL!$C$21, $C$9, 100%, $E$9)</f>
        <v>25.295100000000001</v>
      </c>
      <c r="M473" s="14">
        <f>CHOOSE(CONTROL!$C$42, 23.9791, 23.9791) * CHOOSE(CONTROL!$C$21, $C$9, 100%, $E$9)</f>
        <v>23.979099999999999</v>
      </c>
      <c r="N473" s="14">
        <f>CHOOSE(CONTROL!$C$42, 23.9957, 23.9957) * CHOOSE(CONTROL!$C$21, $C$9, 100%, $E$9)</f>
        <v>23.995699999999999</v>
      </c>
      <c r="O473" s="14">
        <f>CHOOSE(CONTROL!$C$42, 24.2095, 24.2095) * CHOOSE(CONTROL!$C$21, $C$9, 100%, $E$9)</f>
        <v>24.209499999999998</v>
      </c>
      <c r="P473" s="14">
        <f>CHOOSE(CONTROL!$C$42, 24.0652, 24.0652) * CHOOSE(CONTROL!$C$21, $C$9, 100%, $E$9)</f>
        <v>24.065200000000001</v>
      </c>
      <c r="Q473" s="14">
        <f>CHOOSE(CONTROL!$C$42, 24.8042, 24.8042) * CHOOSE(CONTROL!$C$21, $C$9, 100%, $E$9)</f>
        <v>24.804200000000002</v>
      </c>
      <c r="R473" s="14">
        <f>CHOOSE(CONTROL!$C$42, 25.4532, 25.4532) * CHOOSE(CONTROL!$C$21, $C$9, 100%, $E$9)</f>
        <v>25.453199999999999</v>
      </c>
      <c r="S473" s="14">
        <f>CHOOSE(CONTROL!$C$42, 23.4874, 23.4874) * CHOOSE(CONTROL!$C$21, $C$9, 100%, $E$9)</f>
        <v>23.487400000000001</v>
      </c>
      <c r="T47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56">
        <f>(1000*CHOOSE(CONTROL!$C$42, 695, 695)*CHOOSE(CONTROL!$C$42, 0.5599, 0.5599)*CHOOSE(CONTROL!$C$42, 31, 31))/1000000</f>
        <v>12.063045499999998</v>
      </c>
      <c r="V473" s="56">
        <f>(1000*CHOOSE(CONTROL!$C$42, 500, 500)*CHOOSE(CONTROL!$C$42, 0.275, 0.275)*CHOOSE(CONTROL!$C$42, 31, 31))/1000000</f>
        <v>4.2625000000000002</v>
      </c>
      <c r="W473" s="56">
        <f>(1000*CHOOSE(CONTROL!$C$42, 0.1146, 0.1146)*CHOOSE(CONTROL!$C$42, 121.5, 121.5)*CHOOSE(CONTROL!$C$42, 31, 31))/1000000</f>
        <v>0.43164089999999994</v>
      </c>
      <c r="X473" s="56">
        <f>(31*0.1790888*245000/1000000)+(31*0.2374*100000/1000000)</f>
        <v>2.0961194359999999</v>
      </c>
      <c r="Y473" s="56"/>
      <c r="Z473" s="14"/>
      <c r="AA473" s="55"/>
      <c r="AB473" s="49">
        <f>(B473*194.205+C473*267.466+D473*133.845+E473*53.484+F473*40+G473*185+H473*0+I473*100+J473*300)/(194.205+267.466+133.845+53.484+0+40+185+100+300)</f>
        <v>24.511430491208792</v>
      </c>
      <c r="AC473" s="44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24.059954676258993</v>
      </c>
    </row>
    <row r="474" spans="1:29" ht="15.75" x14ac:dyDescent="0.25">
      <c r="A474" s="32">
        <v>55334</v>
      </c>
      <c r="B474" s="14">
        <f>CHOOSE(CONTROL!$C$42, 25.1475, 25.1475) * CHOOSE(CONTROL!$C$21, $C$9, 100%, $E$9)</f>
        <v>25.147500000000001</v>
      </c>
      <c r="C474" s="14">
        <f>CHOOSE(CONTROL!$C$42, 25.1555, 25.1555) * CHOOSE(CONTROL!$C$21, $C$9, 100%, $E$9)</f>
        <v>25.1555</v>
      </c>
      <c r="D474" s="14">
        <f>CHOOSE(CONTROL!$C$42, 25.3813, 25.3813) * CHOOSE(CONTROL!$C$21, $C$9, 100%, $E$9)</f>
        <v>25.3813</v>
      </c>
      <c r="E474" s="14">
        <f>CHOOSE(CONTROL!$C$42, 25.4128, 25.4128) * CHOOSE(CONTROL!$C$21, $C$9, 100%, $E$9)</f>
        <v>25.412800000000001</v>
      </c>
      <c r="F474" s="14">
        <f>CHOOSE(CONTROL!$C$42, 25.1736, 25.1736)*CHOOSE(CONTROL!$C$21, $C$9, 100%, $E$9)</f>
        <v>25.1736</v>
      </c>
      <c r="G474" s="14">
        <f>CHOOSE(CONTROL!$C$42, 25.1907, 25.1907)*CHOOSE(CONTROL!$C$21, $C$9, 100%, $E$9)</f>
        <v>25.1907</v>
      </c>
      <c r="H474" s="14">
        <f>CHOOSE(CONTROL!$C$42, 25.4014, 25.4014) * CHOOSE(CONTROL!$C$21, $C$9, 100%, $E$9)</f>
        <v>25.401399999999999</v>
      </c>
      <c r="I474" s="14">
        <f>CHOOSE(CONTROL!$C$42, 25.2578, 25.2578)* CHOOSE(CONTROL!$C$21, $C$9, 100%, $E$9)</f>
        <v>25.2578</v>
      </c>
      <c r="J474" s="14">
        <f>CHOOSE(CONTROL!$C$42, 25.1666, 25.1666)* CHOOSE(CONTROL!$C$21, $C$9, 100%, $E$9)</f>
        <v>25.166599999999999</v>
      </c>
      <c r="K474" s="52">
        <f>CHOOSE(CONTROL!$C$42, 25.2539, 25.2539) * CHOOSE(CONTROL!$C$21, $C$9, 100%, $E$9)</f>
        <v>25.253900000000002</v>
      </c>
      <c r="L474" s="14">
        <f>CHOOSE(CONTROL!$C$42, 25.9884, 25.9884) * CHOOSE(CONTROL!$C$21, $C$9, 100%, $E$9)</f>
        <v>25.988399999999999</v>
      </c>
      <c r="M474" s="14">
        <f>CHOOSE(CONTROL!$C$42, 24.6586, 24.6586) * CHOOSE(CONTROL!$C$21, $C$9, 100%, $E$9)</f>
        <v>24.6586</v>
      </c>
      <c r="N474" s="14">
        <f>CHOOSE(CONTROL!$C$42, 24.6754, 24.6754) * CHOOSE(CONTROL!$C$21, $C$9, 100%, $E$9)</f>
        <v>24.6754</v>
      </c>
      <c r="O474" s="14">
        <f>CHOOSE(CONTROL!$C$42, 24.8886, 24.8886) * CHOOSE(CONTROL!$C$21, $C$9, 100%, $E$9)</f>
        <v>24.8886</v>
      </c>
      <c r="P474" s="14">
        <f>CHOOSE(CONTROL!$C$42, 24.7465, 24.7465) * CHOOSE(CONTROL!$C$21, $C$9, 100%, $E$9)</f>
        <v>24.746500000000001</v>
      </c>
      <c r="Q474" s="14">
        <f>CHOOSE(CONTROL!$C$42, 25.4833, 25.4833) * CHOOSE(CONTROL!$C$21, $C$9, 100%, $E$9)</f>
        <v>25.4833</v>
      </c>
      <c r="R474" s="14">
        <f>CHOOSE(CONTROL!$C$42, 26.134, 26.134) * CHOOSE(CONTROL!$C$21, $C$9, 100%, $E$9)</f>
        <v>26.134</v>
      </c>
      <c r="S474" s="14">
        <f>CHOOSE(CONTROL!$C$42, 24.1536, 24.1536) * CHOOSE(CONTROL!$C$21, $C$9, 100%, $E$9)</f>
        <v>24.153600000000001</v>
      </c>
      <c r="T47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56">
        <f>(1000*CHOOSE(CONTROL!$C$42, 695, 695)*CHOOSE(CONTROL!$C$42, 0.5599, 0.5599)*CHOOSE(CONTROL!$C$42, 30, 30))/1000000</f>
        <v>11.673914999999997</v>
      </c>
      <c r="V474" s="56">
        <f>(1000*CHOOSE(CONTROL!$C$42, 500, 500)*CHOOSE(CONTROL!$C$42, 0.275, 0.275)*CHOOSE(CONTROL!$C$42, 30, 30))/1000000</f>
        <v>4.125</v>
      </c>
      <c r="W474" s="56">
        <f>(1000*CHOOSE(CONTROL!$C$42, 0.1146, 0.1146)*CHOOSE(CONTROL!$C$42, 121.5, 121.5)*CHOOSE(CONTROL!$C$42, 30, 30))/1000000</f>
        <v>0.417717</v>
      </c>
      <c r="X474" s="56">
        <f>(30*0.1790888*245000/1000000)+(30*0.2374*100000/1000000)</f>
        <v>2.0285026799999999</v>
      </c>
      <c r="Y474" s="56"/>
      <c r="Z474" s="14"/>
      <c r="AA474" s="55"/>
      <c r="AB474" s="49">
        <f>(B474*194.205+C474*267.466+D474*133.845+E474*53.484+F474*40+G474*185+H474*0+I474*100+J474*300)/(194.205+267.466+133.845+53.484+0+40+185+100+300)</f>
        <v>25.205127938932499</v>
      </c>
      <c r="AC474" s="44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24.739647482014387</v>
      </c>
    </row>
    <row r="475" spans="1:29" ht="15.75" x14ac:dyDescent="0.25">
      <c r="A475" s="32">
        <v>55365</v>
      </c>
      <c r="B475" s="14">
        <f>CHOOSE(CONTROL!$C$42, 24.6653, 24.6653) * CHOOSE(CONTROL!$C$21, $C$9, 100%, $E$9)</f>
        <v>24.665299999999998</v>
      </c>
      <c r="C475" s="14">
        <f>CHOOSE(CONTROL!$C$42, 24.6733, 24.6733) * CHOOSE(CONTROL!$C$21, $C$9, 100%, $E$9)</f>
        <v>24.673300000000001</v>
      </c>
      <c r="D475" s="14">
        <f>CHOOSE(CONTROL!$C$42, 24.8991, 24.8991) * CHOOSE(CONTROL!$C$21, $C$9, 100%, $E$9)</f>
        <v>24.899100000000001</v>
      </c>
      <c r="E475" s="14">
        <f>CHOOSE(CONTROL!$C$42, 24.9305, 24.9305) * CHOOSE(CONTROL!$C$21, $C$9, 100%, $E$9)</f>
        <v>24.930499999999999</v>
      </c>
      <c r="F475" s="14">
        <f>CHOOSE(CONTROL!$C$42, 24.6918, 24.6918)*CHOOSE(CONTROL!$C$21, $C$9, 100%, $E$9)</f>
        <v>24.691800000000001</v>
      </c>
      <c r="G475" s="14">
        <f>CHOOSE(CONTROL!$C$42, 24.709, 24.709)*CHOOSE(CONTROL!$C$21, $C$9, 100%, $E$9)</f>
        <v>24.709</v>
      </c>
      <c r="H475" s="14">
        <f>CHOOSE(CONTROL!$C$42, 24.9192, 24.9192) * CHOOSE(CONTROL!$C$21, $C$9, 100%, $E$9)</f>
        <v>24.9192</v>
      </c>
      <c r="I475" s="14">
        <f>CHOOSE(CONTROL!$C$42, 24.7741, 24.7741)* CHOOSE(CONTROL!$C$21, $C$9, 100%, $E$9)</f>
        <v>24.774100000000001</v>
      </c>
      <c r="J475" s="14">
        <f>CHOOSE(CONTROL!$C$42, 24.6848, 24.6848)* CHOOSE(CONTROL!$C$21, $C$9, 100%, $E$9)</f>
        <v>24.684799999999999</v>
      </c>
      <c r="K475" s="52">
        <f>CHOOSE(CONTROL!$C$42, 24.7702, 24.7702) * CHOOSE(CONTROL!$C$21, $C$9, 100%, $E$9)</f>
        <v>24.770199999999999</v>
      </c>
      <c r="L475" s="14">
        <f>CHOOSE(CONTROL!$C$42, 25.5062, 25.5062) * CHOOSE(CONTROL!$C$21, $C$9, 100%, $E$9)</f>
        <v>25.5062</v>
      </c>
      <c r="M475" s="14">
        <f>CHOOSE(CONTROL!$C$42, 24.1868, 24.1868) * CHOOSE(CONTROL!$C$21, $C$9, 100%, $E$9)</f>
        <v>24.186800000000002</v>
      </c>
      <c r="N475" s="14">
        <f>CHOOSE(CONTROL!$C$42, 24.2036, 24.2036) * CHOOSE(CONTROL!$C$21, $C$9, 100%, $E$9)</f>
        <v>24.203600000000002</v>
      </c>
      <c r="O475" s="14">
        <f>CHOOSE(CONTROL!$C$42, 24.4163, 24.4163) * CHOOSE(CONTROL!$C$21, $C$9, 100%, $E$9)</f>
        <v>24.4163</v>
      </c>
      <c r="P475" s="14">
        <f>CHOOSE(CONTROL!$C$42, 24.2727, 24.2727) * CHOOSE(CONTROL!$C$21, $C$9, 100%, $E$9)</f>
        <v>24.2727</v>
      </c>
      <c r="Q475" s="14">
        <f>CHOOSE(CONTROL!$C$42, 25.011, 25.011) * CHOOSE(CONTROL!$C$21, $C$9, 100%, $E$9)</f>
        <v>25.010999999999999</v>
      </c>
      <c r="R475" s="14">
        <f>CHOOSE(CONTROL!$C$42, 25.6605, 25.6605) * CHOOSE(CONTROL!$C$21, $C$9, 100%, $E$9)</f>
        <v>25.660499999999999</v>
      </c>
      <c r="S475" s="14">
        <f>CHOOSE(CONTROL!$C$42, 23.6902, 23.6902) * CHOOSE(CONTROL!$C$21, $C$9, 100%, $E$9)</f>
        <v>23.690200000000001</v>
      </c>
      <c r="T47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56">
        <f>(1000*CHOOSE(CONTROL!$C$42, 695, 695)*CHOOSE(CONTROL!$C$42, 0.5599, 0.5599)*CHOOSE(CONTROL!$C$42, 31, 31))/1000000</f>
        <v>12.063045499999998</v>
      </c>
      <c r="V475" s="56">
        <f>(1000*CHOOSE(CONTROL!$C$42, 500, 500)*CHOOSE(CONTROL!$C$42, 0.275, 0.275)*CHOOSE(CONTROL!$C$42, 31, 31))/1000000</f>
        <v>4.2625000000000002</v>
      </c>
      <c r="W475" s="56">
        <f>(1000*CHOOSE(CONTROL!$C$42, 0.1146, 0.1146)*CHOOSE(CONTROL!$C$42, 121.5, 121.5)*CHOOSE(CONTROL!$C$42, 31, 31))/1000000</f>
        <v>0.43164089999999994</v>
      </c>
      <c r="X475" s="56">
        <f>(31*0.1790888*245000/1000000)+(31*0.2374*100000/1000000)</f>
        <v>2.0961194359999999</v>
      </c>
      <c r="Y475" s="56"/>
      <c r="Z475" s="14"/>
      <c r="AA475" s="55"/>
      <c r="AB475" s="49">
        <f>(B475*194.205+C475*267.466+D475*133.845+E475*53.484+F475*40+G475*185+H475*0+I475*100+J475*300)/(194.205+267.466+133.845+53.484+0+40+185+100+300)</f>
        <v>24.722985357770799</v>
      </c>
      <c r="AC475" s="44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24.267419424460428</v>
      </c>
    </row>
    <row r="476" spans="1:29" ht="15.75" x14ac:dyDescent="0.25">
      <c r="A476" s="32">
        <v>55396</v>
      </c>
      <c r="B476" s="14">
        <f>CHOOSE(CONTROL!$C$42, 23.4475, 23.4475) * CHOOSE(CONTROL!$C$21, $C$9, 100%, $E$9)</f>
        <v>23.447500000000002</v>
      </c>
      <c r="C476" s="14">
        <f>CHOOSE(CONTROL!$C$42, 23.4555, 23.4555) * CHOOSE(CONTROL!$C$21, $C$9, 100%, $E$9)</f>
        <v>23.455500000000001</v>
      </c>
      <c r="D476" s="14">
        <f>CHOOSE(CONTROL!$C$42, 23.6813, 23.6813) * CHOOSE(CONTROL!$C$21, $C$9, 100%, $E$9)</f>
        <v>23.6813</v>
      </c>
      <c r="E476" s="14">
        <f>CHOOSE(CONTROL!$C$42, 23.7128, 23.7128) * CHOOSE(CONTROL!$C$21, $C$9, 100%, $E$9)</f>
        <v>23.712800000000001</v>
      </c>
      <c r="F476" s="14">
        <f>CHOOSE(CONTROL!$C$42, 23.4743, 23.4743)*CHOOSE(CONTROL!$C$21, $C$9, 100%, $E$9)</f>
        <v>23.474299999999999</v>
      </c>
      <c r="G476" s="14">
        <f>CHOOSE(CONTROL!$C$42, 23.4916, 23.4916)*CHOOSE(CONTROL!$C$21, $C$9, 100%, $E$9)</f>
        <v>23.491599999999998</v>
      </c>
      <c r="H476" s="14">
        <f>CHOOSE(CONTROL!$C$42, 23.7014, 23.7014) * CHOOSE(CONTROL!$C$21, $C$9, 100%, $E$9)</f>
        <v>23.7014</v>
      </c>
      <c r="I476" s="14">
        <f>CHOOSE(CONTROL!$C$42, 23.5525, 23.5525)* CHOOSE(CONTROL!$C$21, $C$9, 100%, $E$9)</f>
        <v>23.552499999999998</v>
      </c>
      <c r="J476" s="14">
        <f>CHOOSE(CONTROL!$C$42, 23.4673, 23.4673)* CHOOSE(CONTROL!$C$21, $C$9, 100%, $E$9)</f>
        <v>23.467300000000002</v>
      </c>
      <c r="K476" s="52">
        <f>CHOOSE(CONTROL!$C$42, 23.5486, 23.5486) * CHOOSE(CONTROL!$C$21, $C$9, 100%, $E$9)</f>
        <v>23.5486</v>
      </c>
      <c r="L476" s="14">
        <f>CHOOSE(CONTROL!$C$42, 24.2884, 24.2884) * CHOOSE(CONTROL!$C$21, $C$9, 100%, $E$9)</f>
        <v>24.288399999999999</v>
      </c>
      <c r="M476" s="14">
        <f>CHOOSE(CONTROL!$C$42, 22.9942, 22.9942) * CHOOSE(CONTROL!$C$21, $C$9, 100%, $E$9)</f>
        <v>22.994199999999999</v>
      </c>
      <c r="N476" s="14">
        <f>CHOOSE(CONTROL!$C$42, 23.0111, 23.0111) * CHOOSE(CONTROL!$C$21, $C$9, 100%, $E$9)</f>
        <v>23.011099999999999</v>
      </c>
      <c r="O476" s="14">
        <f>CHOOSE(CONTROL!$C$42, 23.2235, 23.2235) * CHOOSE(CONTROL!$C$21, $C$9, 100%, $E$9)</f>
        <v>23.223500000000001</v>
      </c>
      <c r="P476" s="14">
        <f>CHOOSE(CONTROL!$C$42, 23.0762, 23.0762) * CHOOSE(CONTROL!$C$21, $C$9, 100%, $E$9)</f>
        <v>23.0762</v>
      </c>
      <c r="Q476" s="14">
        <f>CHOOSE(CONTROL!$C$42, 23.8182, 23.8182) * CHOOSE(CONTROL!$C$21, $C$9, 100%, $E$9)</f>
        <v>23.818200000000001</v>
      </c>
      <c r="R476" s="14">
        <f>CHOOSE(CONTROL!$C$42, 24.4647, 24.4647) * CHOOSE(CONTROL!$C$21, $C$9, 100%, $E$9)</f>
        <v>24.464700000000001</v>
      </c>
      <c r="S476" s="14">
        <f>CHOOSE(CONTROL!$C$42, 22.5201, 22.5201) * CHOOSE(CONTROL!$C$21, $C$9, 100%, $E$9)</f>
        <v>22.520099999999999</v>
      </c>
      <c r="T47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56">
        <f>(1000*CHOOSE(CONTROL!$C$42, 695, 695)*CHOOSE(CONTROL!$C$42, 0.5599, 0.5599)*CHOOSE(CONTROL!$C$42, 31, 31))/1000000</f>
        <v>12.063045499999998</v>
      </c>
      <c r="V476" s="56">
        <f>(1000*CHOOSE(CONTROL!$C$42, 500, 500)*CHOOSE(CONTROL!$C$42, 0.275, 0.275)*CHOOSE(CONTROL!$C$42, 31, 31))/1000000</f>
        <v>4.2625000000000002</v>
      </c>
      <c r="W476" s="56">
        <f>(1000*CHOOSE(CONTROL!$C$42, 0.1146, 0.1146)*CHOOSE(CONTROL!$C$42, 121.5, 121.5)*CHOOSE(CONTROL!$C$42, 31, 31))/1000000</f>
        <v>0.43164089999999994</v>
      </c>
      <c r="X476" s="56">
        <f>(31*0.1790888*245000/1000000)+(31*0.2374*100000/1000000)</f>
        <v>2.0961194359999999</v>
      </c>
      <c r="Y476" s="56"/>
      <c r="Z476" s="14"/>
      <c r="AA476" s="55"/>
      <c r="AB476" s="49">
        <f>(B476*194.205+C476*267.466+D476*133.845+E476*53.484+F476*40+G476*185+H476*0+I476*100+J476*300)/(194.205+267.466+133.845+53.484+0+40+185+100+300)</f>
        <v>23.505029430298272</v>
      </c>
      <c r="AC476" s="44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23.074225179856118</v>
      </c>
    </row>
    <row r="477" spans="1:29" ht="15.75" x14ac:dyDescent="0.25">
      <c r="A477" s="32">
        <v>55426</v>
      </c>
      <c r="B477" s="14">
        <f>CHOOSE(CONTROL!$C$42, 21.9594, 21.9594) * CHOOSE(CONTROL!$C$21, $C$9, 100%, $E$9)</f>
        <v>21.959399999999999</v>
      </c>
      <c r="C477" s="14">
        <f>CHOOSE(CONTROL!$C$42, 21.9674, 21.9674) * CHOOSE(CONTROL!$C$21, $C$9, 100%, $E$9)</f>
        <v>21.967400000000001</v>
      </c>
      <c r="D477" s="14">
        <f>CHOOSE(CONTROL!$C$42, 22.1932, 22.1932) * CHOOSE(CONTROL!$C$21, $C$9, 100%, $E$9)</f>
        <v>22.193200000000001</v>
      </c>
      <c r="E477" s="14">
        <f>CHOOSE(CONTROL!$C$42, 22.2247, 22.2247) * CHOOSE(CONTROL!$C$21, $C$9, 100%, $E$9)</f>
        <v>22.224699999999999</v>
      </c>
      <c r="F477" s="14">
        <f>CHOOSE(CONTROL!$C$42, 21.9862, 21.9862)*CHOOSE(CONTROL!$C$21, $C$9, 100%, $E$9)</f>
        <v>21.9862</v>
      </c>
      <c r="G477" s="14">
        <f>CHOOSE(CONTROL!$C$42, 22.0035, 22.0035)*CHOOSE(CONTROL!$C$21, $C$9, 100%, $E$9)</f>
        <v>22.003499999999999</v>
      </c>
      <c r="H477" s="14">
        <f>CHOOSE(CONTROL!$C$42, 22.2133, 22.2133) * CHOOSE(CONTROL!$C$21, $C$9, 100%, $E$9)</f>
        <v>22.2133</v>
      </c>
      <c r="I477" s="14">
        <f>CHOOSE(CONTROL!$C$42, 22.0597, 22.0597)* CHOOSE(CONTROL!$C$21, $C$9, 100%, $E$9)</f>
        <v>22.059699999999999</v>
      </c>
      <c r="J477" s="14">
        <f>CHOOSE(CONTROL!$C$42, 21.9792, 21.9792)* CHOOSE(CONTROL!$C$21, $C$9, 100%, $E$9)</f>
        <v>21.979199999999999</v>
      </c>
      <c r="K477" s="52">
        <f>CHOOSE(CONTROL!$C$42, 22.0558, 22.0558) * CHOOSE(CONTROL!$C$21, $C$9, 100%, $E$9)</f>
        <v>22.055800000000001</v>
      </c>
      <c r="L477" s="14">
        <f>CHOOSE(CONTROL!$C$42, 22.8003, 22.8003) * CHOOSE(CONTROL!$C$21, $C$9, 100%, $E$9)</f>
        <v>22.8003</v>
      </c>
      <c r="M477" s="14">
        <f>CHOOSE(CONTROL!$C$42, 21.5366, 21.5366) * CHOOSE(CONTROL!$C$21, $C$9, 100%, $E$9)</f>
        <v>21.5366</v>
      </c>
      <c r="N477" s="14">
        <f>CHOOSE(CONTROL!$C$42, 21.5535, 21.5535) * CHOOSE(CONTROL!$C$21, $C$9, 100%, $E$9)</f>
        <v>21.5535</v>
      </c>
      <c r="O477" s="14">
        <f>CHOOSE(CONTROL!$C$42, 21.7659, 21.7659) * CHOOSE(CONTROL!$C$21, $C$9, 100%, $E$9)</f>
        <v>21.765899999999998</v>
      </c>
      <c r="P477" s="14">
        <f>CHOOSE(CONTROL!$C$42, 21.6141, 21.6141) * CHOOSE(CONTROL!$C$21, $C$9, 100%, $E$9)</f>
        <v>21.614100000000001</v>
      </c>
      <c r="Q477" s="14">
        <f>CHOOSE(CONTROL!$C$42, 22.3606, 22.3606) * CHOOSE(CONTROL!$C$21, $C$9, 100%, $E$9)</f>
        <v>22.360600000000002</v>
      </c>
      <c r="R477" s="14">
        <f>CHOOSE(CONTROL!$C$42, 23.0035, 23.0035) * CHOOSE(CONTROL!$C$21, $C$9, 100%, $E$9)</f>
        <v>23.003499999999999</v>
      </c>
      <c r="S477" s="14">
        <f>CHOOSE(CONTROL!$C$42, 21.0902, 21.0902) * CHOOSE(CONTROL!$C$21, $C$9, 100%, $E$9)</f>
        <v>21.090199999999999</v>
      </c>
      <c r="T47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56">
        <f>(1000*CHOOSE(CONTROL!$C$42, 695, 695)*CHOOSE(CONTROL!$C$42, 0.5599, 0.5599)*CHOOSE(CONTROL!$C$42, 30, 30))/1000000</f>
        <v>11.673914999999997</v>
      </c>
      <c r="V477" s="56">
        <f>(1000*CHOOSE(CONTROL!$C$42, 500, 500)*CHOOSE(CONTROL!$C$42, 0.275, 0.275)*CHOOSE(CONTROL!$C$42, 30, 30))/1000000</f>
        <v>4.125</v>
      </c>
      <c r="W477" s="56">
        <f>(1000*CHOOSE(CONTROL!$C$42, 0.1146, 0.1146)*CHOOSE(CONTROL!$C$42, 121.5, 121.5)*CHOOSE(CONTROL!$C$42, 30, 30))/1000000</f>
        <v>0.417717</v>
      </c>
      <c r="X477" s="56">
        <f>(30*0.1790888*245000/1000000)+(30*0.2374*100000/1000000)</f>
        <v>2.0285026799999999</v>
      </c>
      <c r="Y477" s="56"/>
      <c r="Z477" s="14"/>
      <c r="AA477" s="55"/>
      <c r="AB477" s="49">
        <f>(B477*194.205+C477*267.466+D477*133.845+E477*53.484+F477*40+G477*185+H477*0+I477*100+J477*300)/(194.205+267.466+133.845+53.484+0+40+185+100+300)</f>
        <v>22.016560513500785</v>
      </c>
      <c r="AC477" s="44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21.615977697841725</v>
      </c>
    </row>
    <row r="478" spans="1:29" ht="15.75" x14ac:dyDescent="0.25">
      <c r="A478" s="32">
        <v>55457</v>
      </c>
      <c r="B478" s="14">
        <f>CHOOSE(CONTROL!$C$42, 21.512, 21.512) * CHOOSE(CONTROL!$C$21, $C$9, 100%, $E$9)</f>
        <v>21.512</v>
      </c>
      <c r="C478" s="14">
        <f>CHOOSE(CONTROL!$C$42, 21.5173, 21.5173) * CHOOSE(CONTROL!$C$21, $C$9, 100%, $E$9)</f>
        <v>21.517299999999999</v>
      </c>
      <c r="D478" s="14">
        <f>CHOOSE(CONTROL!$C$42, 21.7481, 21.7481) * CHOOSE(CONTROL!$C$21, $C$9, 100%, $E$9)</f>
        <v>21.748100000000001</v>
      </c>
      <c r="E478" s="14">
        <f>CHOOSE(CONTROL!$C$42, 21.7772, 21.7772) * CHOOSE(CONTROL!$C$21, $C$9, 100%, $E$9)</f>
        <v>21.777200000000001</v>
      </c>
      <c r="F478" s="14">
        <f>CHOOSE(CONTROL!$C$42, 21.5409, 21.5409)*CHOOSE(CONTROL!$C$21, $C$9, 100%, $E$9)</f>
        <v>21.540900000000001</v>
      </c>
      <c r="G478" s="14">
        <f>CHOOSE(CONTROL!$C$42, 21.558, 21.558)*CHOOSE(CONTROL!$C$21, $C$9, 100%, $E$9)</f>
        <v>21.558</v>
      </c>
      <c r="H478" s="14">
        <f>CHOOSE(CONTROL!$C$42, 21.7677, 21.7677) * CHOOSE(CONTROL!$C$21, $C$9, 100%, $E$9)</f>
        <v>21.767700000000001</v>
      </c>
      <c r="I478" s="14">
        <f>CHOOSE(CONTROL!$C$42, 21.6127, 21.6127)* CHOOSE(CONTROL!$C$21, $C$9, 100%, $E$9)</f>
        <v>21.6127</v>
      </c>
      <c r="J478" s="14">
        <f>CHOOSE(CONTROL!$C$42, 21.5339, 21.5339)* CHOOSE(CONTROL!$C$21, $C$9, 100%, $E$9)</f>
        <v>21.533899999999999</v>
      </c>
      <c r="K478" s="52">
        <f>CHOOSE(CONTROL!$C$42, 21.6088, 21.6088) * CHOOSE(CONTROL!$C$21, $C$9, 100%, $E$9)</f>
        <v>21.608799999999999</v>
      </c>
      <c r="L478" s="14">
        <f>CHOOSE(CONTROL!$C$42, 22.3547, 22.3547) * CHOOSE(CONTROL!$C$21, $C$9, 100%, $E$9)</f>
        <v>22.354700000000001</v>
      </c>
      <c r="M478" s="14">
        <f>CHOOSE(CONTROL!$C$42, 21.1004, 21.1004) * CHOOSE(CONTROL!$C$21, $C$9, 100%, $E$9)</f>
        <v>21.1004</v>
      </c>
      <c r="N478" s="14">
        <f>CHOOSE(CONTROL!$C$42, 21.1171, 21.1171) * CHOOSE(CONTROL!$C$21, $C$9, 100%, $E$9)</f>
        <v>21.117100000000001</v>
      </c>
      <c r="O478" s="14">
        <f>CHOOSE(CONTROL!$C$42, 21.3294, 21.3294) * CHOOSE(CONTROL!$C$21, $C$9, 100%, $E$9)</f>
        <v>21.3294</v>
      </c>
      <c r="P478" s="14">
        <f>CHOOSE(CONTROL!$C$42, 21.1763, 21.1763) * CHOOSE(CONTROL!$C$21, $C$9, 100%, $E$9)</f>
        <v>21.176300000000001</v>
      </c>
      <c r="Q478" s="14">
        <f>CHOOSE(CONTROL!$C$42, 21.9241, 21.9241) * CHOOSE(CONTROL!$C$21, $C$9, 100%, $E$9)</f>
        <v>21.924099999999999</v>
      </c>
      <c r="R478" s="14">
        <f>CHOOSE(CONTROL!$C$42, 22.5659, 22.5659) * CHOOSE(CONTROL!$C$21, $C$9, 100%, $E$9)</f>
        <v>22.565899999999999</v>
      </c>
      <c r="S478" s="14">
        <f>CHOOSE(CONTROL!$C$42, 20.662, 20.662) * CHOOSE(CONTROL!$C$21, $C$9, 100%, $E$9)</f>
        <v>20.661999999999999</v>
      </c>
      <c r="T47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56">
        <f>(1000*CHOOSE(CONTROL!$C$42, 695, 695)*CHOOSE(CONTROL!$C$42, 0.5599, 0.5599)*CHOOSE(CONTROL!$C$42, 31, 31))/1000000</f>
        <v>12.063045499999998</v>
      </c>
      <c r="V478" s="56">
        <f>(1000*CHOOSE(CONTROL!$C$42, 500, 500)*CHOOSE(CONTROL!$C$42, 0.275, 0.275)*CHOOSE(CONTROL!$C$42, 31, 31))/1000000</f>
        <v>4.2625000000000002</v>
      </c>
      <c r="W478" s="56">
        <f>(1000*CHOOSE(CONTROL!$C$42, 0.1146, 0.1146)*CHOOSE(CONTROL!$C$42, 121.5, 121.5)*CHOOSE(CONTROL!$C$42, 31, 31))/1000000</f>
        <v>0.43164089999999994</v>
      </c>
      <c r="X478" s="56">
        <f>(31*0.1790888*245000/1000000)+(31*0.2374*100000/1000000)</f>
        <v>2.0961194359999999</v>
      </c>
      <c r="Y478" s="56"/>
      <c r="Z478" s="14"/>
      <c r="AA478" s="55"/>
      <c r="AB478" s="49">
        <f>(B478*131.881+C478*277.167+D478*79.08+E478*125.872+F478*40+G478*185+H478*0+I478*100+J478*300)/(131.881+277.167+79.08+125.872+0+40+185+100+300)</f>
        <v>21.576428593623888</v>
      </c>
      <c r="AC478" s="44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21.179417266187048</v>
      </c>
    </row>
    <row r="479" spans="1:29" ht="15.75" x14ac:dyDescent="0.25">
      <c r="A479" s="32">
        <v>55487</v>
      </c>
      <c r="B479" s="14">
        <f>CHOOSE(CONTROL!$C$42, 22.0781, 22.0781) * CHOOSE(CONTROL!$C$21, $C$9, 100%, $E$9)</f>
        <v>22.078099999999999</v>
      </c>
      <c r="C479" s="14">
        <f>CHOOSE(CONTROL!$C$42, 22.0831, 22.0831) * CHOOSE(CONTROL!$C$21, $C$9, 100%, $E$9)</f>
        <v>22.083100000000002</v>
      </c>
      <c r="D479" s="14">
        <f>CHOOSE(CONTROL!$C$42, 22.1522, 22.1522) * CHOOSE(CONTROL!$C$21, $C$9, 100%, $E$9)</f>
        <v>22.152200000000001</v>
      </c>
      <c r="E479" s="14">
        <f>CHOOSE(CONTROL!$C$42, 22.1863, 22.1863) * CHOOSE(CONTROL!$C$21, $C$9, 100%, $E$9)</f>
        <v>22.186299999999999</v>
      </c>
      <c r="F479" s="14">
        <f>CHOOSE(CONTROL!$C$42, 22.1137, 22.1137)*CHOOSE(CONTROL!$C$21, $C$9, 100%, $E$9)</f>
        <v>22.113700000000001</v>
      </c>
      <c r="G479" s="14">
        <f>CHOOSE(CONTROL!$C$42, 22.1311, 22.1311)*CHOOSE(CONTROL!$C$21, $C$9, 100%, $E$9)</f>
        <v>22.1311</v>
      </c>
      <c r="H479" s="14">
        <f>CHOOSE(CONTROL!$C$42, 22.1755, 22.1755) * CHOOSE(CONTROL!$C$21, $C$9, 100%, $E$9)</f>
        <v>22.1755</v>
      </c>
      <c r="I479" s="14">
        <f>CHOOSE(CONTROL!$C$42, 22.1836, 22.1836)* CHOOSE(CONTROL!$C$21, $C$9, 100%, $E$9)</f>
        <v>22.183599999999998</v>
      </c>
      <c r="J479" s="14">
        <f>CHOOSE(CONTROL!$C$42, 22.1067, 22.1067)* CHOOSE(CONTROL!$C$21, $C$9, 100%, $E$9)</f>
        <v>22.1067</v>
      </c>
      <c r="K479" s="52">
        <f>CHOOSE(CONTROL!$C$42, 22.1797, 22.1797) * CHOOSE(CONTROL!$C$21, $C$9, 100%, $E$9)</f>
        <v>22.1797</v>
      </c>
      <c r="L479" s="14">
        <f>CHOOSE(CONTROL!$C$42, 22.7625, 22.7625) * CHOOSE(CONTROL!$C$21, $C$9, 100%, $E$9)</f>
        <v>22.762499999999999</v>
      </c>
      <c r="M479" s="14">
        <f>CHOOSE(CONTROL!$C$42, 21.6614, 21.6614) * CHOOSE(CONTROL!$C$21, $C$9, 100%, $E$9)</f>
        <v>21.6614</v>
      </c>
      <c r="N479" s="14">
        <f>CHOOSE(CONTROL!$C$42, 21.6784, 21.6784) * CHOOSE(CONTROL!$C$21, $C$9, 100%, $E$9)</f>
        <v>21.6784</v>
      </c>
      <c r="O479" s="14">
        <f>CHOOSE(CONTROL!$C$42, 21.7288, 21.7288) * CHOOSE(CONTROL!$C$21, $C$9, 100%, $E$9)</f>
        <v>21.7288</v>
      </c>
      <c r="P479" s="14">
        <f>CHOOSE(CONTROL!$C$42, 21.7354, 21.7354) * CHOOSE(CONTROL!$C$21, $C$9, 100%, $E$9)</f>
        <v>21.735399999999998</v>
      </c>
      <c r="Q479" s="14">
        <f>CHOOSE(CONTROL!$C$42, 22.3235, 22.3235) * CHOOSE(CONTROL!$C$21, $C$9, 100%, $E$9)</f>
        <v>22.323499999999999</v>
      </c>
      <c r="R479" s="14">
        <f>CHOOSE(CONTROL!$C$42, 22.9663, 22.9663) * CHOOSE(CONTROL!$C$21, $C$9, 100%, $E$9)</f>
        <v>22.9663</v>
      </c>
      <c r="S479" s="14">
        <f>CHOOSE(CONTROL!$C$42, 21.2063, 21.2063) * CHOOSE(CONTROL!$C$21, $C$9, 100%, $E$9)</f>
        <v>21.206299999999999</v>
      </c>
      <c r="T47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56">
        <f>(1000*CHOOSE(CONTROL!$C$42, 695, 695)*CHOOSE(CONTROL!$C$42, 0.5599, 0.5599)*CHOOSE(CONTROL!$C$42, 30, 30))/1000000</f>
        <v>11.673914999999997</v>
      </c>
      <c r="V479" s="56">
        <f>(1000*CHOOSE(CONTROL!$C$42, 500, 500)*CHOOSE(CONTROL!$C$42, 0.275, 0.275)*CHOOSE(CONTROL!$C$42, 30, 30))/1000000</f>
        <v>4.125</v>
      </c>
      <c r="W479" s="56">
        <f>(1000*CHOOSE(CONTROL!$C$42, 0.1146, 0.1146)*CHOOSE(CONTROL!$C$42, 121.5, 121.5)*CHOOSE(CONTROL!$C$42, 30, 30))/1000000</f>
        <v>0.417717</v>
      </c>
      <c r="X479" s="56">
        <f>(30*0.1790888*100000/1000000)+(30*0.2374*100000/1000000)</f>
        <v>1.2494664</v>
      </c>
      <c r="Y479" s="56"/>
      <c r="Z479" s="14"/>
      <c r="AA479" s="55"/>
      <c r="AB479" s="49">
        <f>(B479*122.58+C479*297.941+D479*89.177+E479*40.302+F479*40+G479*160+H479*0+I479*100+J479*300)/(122.58+297.941+89.177+40.302+0+40+160+100+300)</f>
        <v>22.114180345304352</v>
      </c>
      <c r="AC479" s="44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21.703574100719425</v>
      </c>
    </row>
    <row r="480" spans="1:29" ht="15.75" x14ac:dyDescent="0.25">
      <c r="A480" s="32">
        <v>55518</v>
      </c>
      <c r="B480" s="14">
        <f>CHOOSE(CONTROL!$C$42, 23.5827, 23.5827) * CHOOSE(CONTROL!$C$21, $C$9, 100%, $E$9)</f>
        <v>23.582699999999999</v>
      </c>
      <c r="C480" s="14">
        <f>CHOOSE(CONTROL!$C$42, 23.5878, 23.5878) * CHOOSE(CONTROL!$C$21, $C$9, 100%, $E$9)</f>
        <v>23.587800000000001</v>
      </c>
      <c r="D480" s="14">
        <f>CHOOSE(CONTROL!$C$42, 23.6568, 23.6568) * CHOOSE(CONTROL!$C$21, $C$9, 100%, $E$9)</f>
        <v>23.6568</v>
      </c>
      <c r="E480" s="14">
        <f>CHOOSE(CONTROL!$C$42, 23.6909, 23.6909) * CHOOSE(CONTROL!$C$21, $C$9, 100%, $E$9)</f>
        <v>23.690899999999999</v>
      </c>
      <c r="F480" s="14">
        <f>CHOOSE(CONTROL!$C$42, 23.6205, 23.6205)*CHOOSE(CONTROL!$C$21, $C$9, 100%, $E$9)</f>
        <v>23.6205</v>
      </c>
      <c r="G480" s="14">
        <f>CHOOSE(CONTROL!$C$42, 23.6385, 23.6385)*CHOOSE(CONTROL!$C$21, $C$9, 100%, $E$9)</f>
        <v>23.638500000000001</v>
      </c>
      <c r="H480" s="14">
        <f>CHOOSE(CONTROL!$C$42, 23.6801, 23.6801) * CHOOSE(CONTROL!$C$21, $C$9, 100%, $E$9)</f>
        <v>23.680099999999999</v>
      </c>
      <c r="I480" s="14">
        <f>CHOOSE(CONTROL!$C$42, 23.6929, 23.6929)* CHOOSE(CONTROL!$C$21, $C$9, 100%, $E$9)</f>
        <v>23.692900000000002</v>
      </c>
      <c r="J480" s="14">
        <f>CHOOSE(CONTROL!$C$42, 23.6135, 23.6135)* CHOOSE(CONTROL!$C$21, $C$9, 100%, $E$9)</f>
        <v>23.613499999999998</v>
      </c>
      <c r="K480" s="52">
        <f>CHOOSE(CONTROL!$C$42, 23.689, 23.689) * CHOOSE(CONTROL!$C$21, $C$9, 100%, $E$9)</f>
        <v>23.689</v>
      </c>
      <c r="L480" s="14">
        <f>CHOOSE(CONTROL!$C$42, 24.2671, 24.2671) * CHOOSE(CONTROL!$C$21, $C$9, 100%, $E$9)</f>
        <v>24.267099999999999</v>
      </c>
      <c r="M480" s="14">
        <f>CHOOSE(CONTROL!$C$42, 23.1374, 23.1374) * CHOOSE(CONTROL!$C$21, $C$9, 100%, $E$9)</f>
        <v>23.1374</v>
      </c>
      <c r="N480" s="14">
        <f>CHOOSE(CONTROL!$C$42, 23.155, 23.155) * CHOOSE(CONTROL!$C$21, $C$9, 100%, $E$9)</f>
        <v>23.155000000000001</v>
      </c>
      <c r="O480" s="14">
        <f>CHOOSE(CONTROL!$C$42, 23.2026, 23.2026) * CHOOSE(CONTROL!$C$21, $C$9, 100%, $E$9)</f>
        <v>23.2026</v>
      </c>
      <c r="P480" s="14">
        <f>CHOOSE(CONTROL!$C$42, 23.2137, 23.2137) * CHOOSE(CONTROL!$C$21, $C$9, 100%, $E$9)</f>
        <v>23.213699999999999</v>
      </c>
      <c r="Q480" s="14">
        <f>CHOOSE(CONTROL!$C$42, 23.7973, 23.7973) * CHOOSE(CONTROL!$C$21, $C$9, 100%, $E$9)</f>
        <v>23.7973</v>
      </c>
      <c r="R480" s="14">
        <f>CHOOSE(CONTROL!$C$42, 24.4438, 24.4438) * CHOOSE(CONTROL!$C$21, $C$9, 100%, $E$9)</f>
        <v>24.4438</v>
      </c>
      <c r="S480" s="14">
        <f>CHOOSE(CONTROL!$C$42, 22.6521, 22.6521) * CHOOSE(CONTROL!$C$21, $C$9, 100%, $E$9)</f>
        <v>22.652100000000001</v>
      </c>
      <c r="T48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56">
        <f>(1000*CHOOSE(CONTROL!$C$42, 695, 695)*CHOOSE(CONTROL!$C$42, 0.5599, 0.5599)*CHOOSE(CONTROL!$C$42, 31, 31))/1000000</f>
        <v>12.063045499999998</v>
      </c>
      <c r="V480" s="56">
        <f>(1000*CHOOSE(CONTROL!$C$42, 500, 500)*CHOOSE(CONTROL!$C$42, 0.275, 0.275)*CHOOSE(CONTROL!$C$42, 31, 31))/1000000</f>
        <v>4.2625000000000002</v>
      </c>
      <c r="W480" s="56">
        <f>(1000*CHOOSE(CONTROL!$C$42, 0.1146, 0.1146)*CHOOSE(CONTROL!$C$42, 121.5, 121.5)*CHOOSE(CONTROL!$C$42, 31, 31))/1000000</f>
        <v>0.43164089999999994</v>
      </c>
      <c r="X480" s="56">
        <f>(31*0.1790888*100000/1000000)+(31*0.2374*100000/1000000)</f>
        <v>1.2911152800000001</v>
      </c>
      <c r="Y480" s="56"/>
      <c r="Z480" s="14"/>
      <c r="AA480" s="55"/>
      <c r="AB480" s="49">
        <f>(B480*122.58+C480*297.941+D480*89.177+E480*40.302+F480*40+G480*160+H480*0+I480*100+J480*300)/(122.58+297.941+89.177+40.302+0+40+160+100+300)</f>
        <v>23.620254948869569</v>
      </c>
      <c r="AC480" s="44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23.178942446043163</v>
      </c>
    </row>
    <row r="481" spans="1:29" ht="15.75" x14ac:dyDescent="0.25">
      <c r="A481" s="32">
        <v>55549</v>
      </c>
      <c r="B481" s="14">
        <f>CHOOSE(CONTROL!$C$42, 25.5369, 25.5369) * CHOOSE(CONTROL!$C$21, $C$9, 100%, $E$9)</f>
        <v>25.536899999999999</v>
      </c>
      <c r="C481" s="14">
        <f>CHOOSE(CONTROL!$C$42, 25.542, 25.542) * CHOOSE(CONTROL!$C$21, $C$9, 100%, $E$9)</f>
        <v>25.542000000000002</v>
      </c>
      <c r="D481" s="14">
        <f>CHOOSE(CONTROL!$C$42, 25.6214, 25.6214) * CHOOSE(CONTROL!$C$21, $C$9, 100%, $E$9)</f>
        <v>25.621400000000001</v>
      </c>
      <c r="E481" s="14">
        <f>CHOOSE(CONTROL!$C$42, 25.6555, 25.6555) * CHOOSE(CONTROL!$C$21, $C$9, 100%, $E$9)</f>
        <v>25.6555</v>
      </c>
      <c r="F481" s="14">
        <f>CHOOSE(CONTROL!$C$42, 25.5599, 25.5599)*CHOOSE(CONTROL!$C$21, $C$9, 100%, $E$9)</f>
        <v>25.559899999999999</v>
      </c>
      <c r="G481" s="14">
        <f>CHOOSE(CONTROL!$C$42, 25.5775, 25.5775)*CHOOSE(CONTROL!$C$21, $C$9, 100%, $E$9)</f>
        <v>25.577500000000001</v>
      </c>
      <c r="H481" s="14">
        <f>CHOOSE(CONTROL!$C$42, 25.6447, 25.6447) * CHOOSE(CONTROL!$C$21, $C$9, 100%, $E$9)</f>
        <v>25.6447</v>
      </c>
      <c r="I481" s="14">
        <f>CHOOSE(CONTROL!$C$42, 25.6522, 25.6522)* CHOOSE(CONTROL!$C$21, $C$9, 100%, $E$9)</f>
        <v>25.652200000000001</v>
      </c>
      <c r="J481" s="14">
        <f>CHOOSE(CONTROL!$C$42, 25.5529, 25.5529)* CHOOSE(CONTROL!$C$21, $C$9, 100%, $E$9)</f>
        <v>25.552900000000001</v>
      </c>
      <c r="K481" s="52">
        <f>CHOOSE(CONTROL!$C$42, 25.6483, 25.6483) * CHOOSE(CONTROL!$C$21, $C$9, 100%, $E$9)</f>
        <v>25.648299999999999</v>
      </c>
      <c r="L481" s="14">
        <f>CHOOSE(CONTROL!$C$42, 26.2317, 26.2317) * CHOOSE(CONTROL!$C$21, $C$9, 100%, $E$9)</f>
        <v>26.2317</v>
      </c>
      <c r="M481" s="14">
        <f>CHOOSE(CONTROL!$C$42, 25.0371, 25.0371) * CHOOSE(CONTROL!$C$21, $C$9, 100%, $E$9)</f>
        <v>25.037099999999999</v>
      </c>
      <c r="N481" s="14">
        <f>CHOOSE(CONTROL!$C$42, 25.0542, 25.0542) * CHOOSE(CONTROL!$C$21, $C$9, 100%, $E$9)</f>
        <v>25.054200000000002</v>
      </c>
      <c r="O481" s="14">
        <f>CHOOSE(CONTROL!$C$42, 25.127, 25.127) * CHOOSE(CONTROL!$C$21, $C$9, 100%, $E$9)</f>
        <v>25.126999999999999</v>
      </c>
      <c r="P481" s="14">
        <f>CHOOSE(CONTROL!$C$42, 25.1328, 25.1328) * CHOOSE(CONTROL!$C$21, $C$9, 100%, $E$9)</f>
        <v>25.1328</v>
      </c>
      <c r="Q481" s="14">
        <f>CHOOSE(CONTROL!$C$42, 25.7217, 25.7217) * CHOOSE(CONTROL!$C$21, $C$9, 100%, $E$9)</f>
        <v>25.721699999999998</v>
      </c>
      <c r="R481" s="14">
        <f>CHOOSE(CONTROL!$C$42, 26.373, 26.373) * CHOOSE(CONTROL!$C$21, $C$9, 100%, $E$9)</f>
        <v>26.373000000000001</v>
      </c>
      <c r="S481" s="14">
        <f>CHOOSE(CONTROL!$C$42, 24.5299, 24.5299) * CHOOSE(CONTROL!$C$21, $C$9, 100%, $E$9)</f>
        <v>24.529900000000001</v>
      </c>
      <c r="T48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56">
        <f>(1000*CHOOSE(CONTROL!$C$42, 695, 695)*CHOOSE(CONTROL!$C$42, 0.5599, 0.5599)*CHOOSE(CONTROL!$C$42, 31, 31))/1000000</f>
        <v>12.063045499999998</v>
      </c>
      <c r="V481" s="56">
        <f>(1000*CHOOSE(CONTROL!$C$42, 500, 500)*CHOOSE(CONTROL!$C$42, 0.275, 0.275)*CHOOSE(CONTROL!$C$42, 31, 31))/1000000</f>
        <v>4.2625000000000002</v>
      </c>
      <c r="W481" s="56">
        <f>(1000*CHOOSE(CONTROL!$C$42, 0.1146, 0.1146)*CHOOSE(CONTROL!$C$42, 121.5, 121.5)*CHOOSE(CONTROL!$C$42, 31, 31))/1000000</f>
        <v>0.43164089999999994</v>
      </c>
      <c r="X481" s="56">
        <f>(31*0.1790888*100000/1000000)+(31*0.2374*100000/1000000)</f>
        <v>1.2911152800000001</v>
      </c>
      <c r="Y481" s="56"/>
      <c r="Z481" s="14"/>
      <c r="AA481" s="55"/>
      <c r="AB481" s="49">
        <f>(B481*122.58+C481*297.941+D481*89.177+E481*40.302+F481*40+G481*160+H481*0+I481*100+J481*300)/(122.58+297.941+89.177+40.302+0+40+160+100+300)</f>
        <v>25.569578932869565</v>
      </c>
      <c r="AC481" s="44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25.092600000000001</v>
      </c>
    </row>
    <row r="482" spans="1:29" ht="15.75" x14ac:dyDescent="0.25">
      <c r="A482" s="32">
        <v>55577</v>
      </c>
      <c r="B482" s="14">
        <f>CHOOSE(CONTROL!$C$42, 25.9913, 25.9913) * CHOOSE(CONTROL!$C$21, $C$9, 100%, $E$9)</f>
        <v>25.991299999999999</v>
      </c>
      <c r="C482" s="14">
        <f>CHOOSE(CONTROL!$C$42, 25.9964, 25.9964) * CHOOSE(CONTROL!$C$21, $C$9, 100%, $E$9)</f>
        <v>25.996400000000001</v>
      </c>
      <c r="D482" s="14">
        <f>CHOOSE(CONTROL!$C$42, 26.0758, 26.0758) * CHOOSE(CONTROL!$C$21, $C$9, 100%, $E$9)</f>
        <v>26.075800000000001</v>
      </c>
      <c r="E482" s="14">
        <f>CHOOSE(CONTROL!$C$42, 26.1099, 26.1099) * CHOOSE(CONTROL!$C$21, $C$9, 100%, $E$9)</f>
        <v>26.1099</v>
      </c>
      <c r="F482" s="14">
        <f>CHOOSE(CONTROL!$C$42, 26.0141, 26.0141)*CHOOSE(CONTROL!$C$21, $C$9, 100%, $E$9)</f>
        <v>26.014099999999999</v>
      </c>
      <c r="G482" s="14">
        <f>CHOOSE(CONTROL!$C$42, 26.0316, 26.0316)*CHOOSE(CONTROL!$C$21, $C$9, 100%, $E$9)</f>
        <v>26.031600000000001</v>
      </c>
      <c r="H482" s="14">
        <f>CHOOSE(CONTROL!$C$42, 26.0991, 26.0991) * CHOOSE(CONTROL!$C$21, $C$9, 100%, $E$9)</f>
        <v>26.0991</v>
      </c>
      <c r="I482" s="14">
        <f>CHOOSE(CONTROL!$C$42, 26.108, 26.108)* CHOOSE(CONTROL!$C$21, $C$9, 100%, $E$9)</f>
        <v>26.108000000000001</v>
      </c>
      <c r="J482" s="14">
        <f>CHOOSE(CONTROL!$C$42, 26.0071, 26.0071)* CHOOSE(CONTROL!$C$21, $C$9, 100%, $E$9)</f>
        <v>26.007100000000001</v>
      </c>
      <c r="K482" s="52">
        <f>CHOOSE(CONTROL!$C$42, 26.1041, 26.1041) * CHOOSE(CONTROL!$C$21, $C$9, 100%, $E$9)</f>
        <v>26.104099999999999</v>
      </c>
      <c r="L482" s="14">
        <f>CHOOSE(CONTROL!$C$42, 26.6861, 26.6861) * CHOOSE(CONTROL!$C$21, $C$9, 100%, $E$9)</f>
        <v>26.6861</v>
      </c>
      <c r="M482" s="14">
        <f>CHOOSE(CONTROL!$C$42, 25.482, 25.482) * CHOOSE(CONTROL!$C$21, $C$9, 100%, $E$9)</f>
        <v>25.481999999999999</v>
      </c>
      <c r="N482" s="14">
        <f>CHOOSE(CONTROL!$C$42, 25.4991, 25.4991) * CHOOSE(CONTROL!$C$21, $C$9, 100%, $E$9)</f>
        <v>25.499099999999999</v>
      </c>
      <c r="O482" s="14">
        <f>CHOOSE(CONTROL!$C$42, 25.5721, 25.5721) * CHOOSE(CONTROL!$C$21, $C$9, 100%, $E$9)</f>
        <v>25.572099999999999</v>
      </c>
      <c r="P482" s="14">
        <f>CHOOSE(CONTROL!$C$42, 25.5792, 25.5792) * CHOOSE(CONTROL!$C$21, $C$9, 100%, $E$9)</f>
        <v>25.5792</v>
      </c>
      <c r="Q482" s="14">
        <f>CHOOSE(CONTROL!$C$42, 26.1668, 26.1668) * CHOOSE(CONTROL!$C$21, $C$9, 100%, $E$9)</f>
        <v>26.166799999999999</v>
      </c>
      <c r="R482" s="14">
        <f>CHOOSE(CONTROL!$C$42, 26.8192, 26.8192) * CHOOSE(CONTROL!$C$21, $C$9, 100%, $E$9)</f>
        <v>26.819199999999999</v>
      </c>
      <c r="S482" s="14">
        <f>CHOOSE(CONTROL!$C$42, 24.9665, 24.9665) * CHOOSE(CONTROL!$C$21, $C$9, 100%, $E$9)</f>
        <v>24.9665</v>
      </c>
      <c r="T482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82" s="56">
        <f>(1000*CHOOSE(CONTROL!$C$42, 695, 695)*CHOOSE(CONTROL!$C$42, 0.5599, 0.5599)*CHOOSE(CONTROL!$C$42, 29, 29))/1000000</f>
        <v>11.284784499999999</v>
      </c>
      <c r="V482" s="56">
        <f>(1000*CHOOSE(CONTROL!$C$42, 500, 500)*CHOOSE(CONTROL!$C$42, 0.275, 0.275)*CHOOSE(CONTROL!$C$42, 29, 29))/1000000</f>
        <v>3.9874999999999998</v>
      </c>
      <c r="W482" s="56">
        <f>(1000*CHOOSE(CONTROL!$C$42, 0.1146, 0.1146)*CHOOSE(CONTROL!$C$42, 121.5, 121.5)*CHOOSE(CONTROL!$C$42, 29, 29))/1000000</f>
        <v>0.40379309999999996</v>
      </c>
      <c r="X482" s="56">
        <f>(29*0.1790888*100000/1000000)+(29*0.2374*100000/1000000)</f>
        <v>1.2078175199999999</v>
      </c>
      <c r="Y482" s="56"/>
      <c r="Z482" s="14"/>
      <c r="AA482" s="55"/>
      <c r="AB482" s="49">
        <f>(B482*122.58+C482*297.941+D482*89.177+E482*40.302+F482*40+G482*160+H482*0+I482*100+J482*300)/(122.58+297.941+89.177+40.302+0+40+160+100+300)</f>
        <v>26.023999802434783</v>
      </c>
      <c r="AC482" s="44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25.537806474820144</v>
      </c>
    </row>
    <row r="483" spans="1:29" ht="15.75" x14ac:dyDescent="0.25">
      <c r="A483" s="32">
        <v>55609</v>
      </c>
      <c r="B483" s="14">
        <f>CHOOSE(CONTROL!$C$42, 25.2537, 25.2537) * CHOOSE(CONTROL!$C$21, $C$9, 100%, $E$9)</f>
        <v>25.253699999999998</v>
      </c>
      <c r="C483" s="14">
        <f>CHOOSE(CONTROL!$C$42, 25.2588, 25.2588) * CHOOSE(CONTROL!$C$21, $C$9, 100%, $E$9)</f>
        <v>25.258800000000001</v>
      </c>
      <c r="D483" s="14">
        <f>CHOOSE(CONTROL!$C$42, 25.3382, 25.3382) * CHOOSE(CONTROL!$C$21, $C$9, 100%, $E$9)</f>
        <v>25.338200000000001</v>
      </c>
      <c r="E483" s="14">
        <f>CHOOSE(CONTROL!$C$42, 25.3723, 25.3723) * CHOOSE(CONTROL!$C$21, $C$9, 100%, $E$9)</f>
        <v>25.372299999999999</v>
      </c>
      <c r="F483" s="14">
        <f>CHOOSE(CONTROL!$C$42, 25.2758, 25.2758)*CHOOSE(CONTROL!$C$21, $C$9, 100%, $E$9)</f>
        <v>25.2758</v>
      </c>
      <c r="G483" s="14">
        <f>CHOOSE(CONTROL!$C$42, 25.293, 25.293)*CHOOSE(CONTROL!$C$21, $C$9, 100%, $E$9)</f>
        <v>25.292999999999999</v>
      </c>
      <c r="H483" s="14">
        <f>CHOOSE(CONTROL!$C$42, 25.3615, 25.3615) * CHOOSE(CONTROL!$C$21, $C$9, 100%, $E$9)</f>
        <v>25.361499999999999</v>
      </c>
      <c r="I483" s="14">
        <f>CHOOSE(CONTROL!$C$42, 25.3681, 25.3681)* CHOOSE(CONTROL!$C$21, $C$9, 100%, $E$9)</f>
        <v>25.368099999999998</v>
      </c>
      <c r="J483" s="14">
        <f>CHOOSE(CONTROL!$C$42, 25.2688, 25.2688)* CHOOSE(CONTROL!$C$21, $C$9, 100%, $E$9)</f>
        <v>25.268799999999999</v>
      </c>
      <c r="K483" s="52">
        <f>CHOOSE(CONTROL!$C$42, 25.3642, 25.3642) * CHOOSE(CONTROL!$C$21, $C$9, 100%, $E$9)</f>
        <v>25.3642</v>
      </c>
      <c r="L483" s="14">
        <f>CHOOSE(CONTROL!$C$42, 25.9485, 25.9485) * CHOOSE(CONTROL!$C$21, $C$9, 100%, $E$9)</f>
        <v>25.948499999999999</v>
      </c>
      <c r="M483" s="14">
        <f>CHOOSE(CONTROL!$C$42, 24.7587, 24.7587) * CHOOSE(CONTROL!$C$21, $C$9, 100%, $E$9)</f>
        <v>24.758700000000001</v>
      </c>
      <c r="N483" s="14">
        <f>CHOOSE(CONTROL!$C$42, 24.7756, 24.7756) * CHOOSE(CONTROL!$C$21, $C$9, 100%, $E$9)</f>
        <v>24.775600000000001</v>
      </c>
      <c r="O483" s="14">
        <f>CHOOSE(CONTROL!$C$42, 24.8495, 24.8495) * CHOOSE(CONTROL!$C$21, $C$9, 100%, $E$9)</f>
        <v>24.849499999999999</v>
      </c>
      <c r="P483" s="14">
        <f>CHOOSE(CONTROL!$C$42, 24.8545, 24.8545) * CHOOSE(CONTROL!$C$21, $C$9, 100%, $E$9)</f>
        <v>24.854500000000002</v>
      </c>
      <c r="Q483" s="14">
        <f>CHOOSE(CONTROL!$C$42, 25.4442, 25.4442) * CHOOSE(CONTROL!$C$21, $C$9, 100%, $E$9)</f>
        <v>25.444199999999999</v>
      </c>
      <c r="R483" s="14">
        <f>CHOOSE(CONTROL!$C$42, 26.0949, 26.0949) * CHOOSE(CONTROL!$C$21, $C$9, 100%, $E$9)</f>
        <v>26.094899999999999</v>
      </c>
      <c r="S483" s="14">
        <f>CHOOSE(CONTROL!$C$42, 24.2577, 24.2577) * CHOOSE(CONTROL!$C$21, $C$9, 100%, $E$9)</f>
        <v>24.2577</v>
      </c>
      <c r="T48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56">
        <f>(1000*CHOOSE(CONTROL!$C$42, 695, 695)*CHOOSE(CONTROL!$C$42, 0.5599, 0.5599)*CHOOSE(CONTROL!$C$42, 31, 31))/1000000</f>
        <v>12.063045499999998</v>
      </c>
      <c r="V483" s="56">
        <f>(1000*CHOOSE(CONTROL!$C$42, 500, 500)*CHOOSE(CONTROL!$C$42, 0.275, 0.275)*CHOOSE(CONTROL!$C$42, 31, 31))/1000000</f>
        <v>4.2625000000000002</v>
      </c>
      <c r="W483" s="56">
        <f>(1000*CHOOSE(CONTROL!$C$42, 0.1146, 0.1146)*CHOOSE(CONTROL!$C$42, 121.5, 121.5)*CHOOSE(CONTROL!$C$42, 31, 31))/1000000</f>
        <v>0.43164089999999994</v>
      </c>
      <c r="X483" s="56">
        <f>(31*0.1790888*100000/1000000)+(31*0.2374*100000/1000000)</f>
        <v>1.2911152800000001</v>
      </c>
      <c r="Y483" s="56"/>
      <c r="Z483" s="14"/>
      <c r="AA483" s="55"/>
      <c r="AB483" s="49">
        <f>(B483*122.58+C483*297.941+D483*89.177+E483*40.302+F483*40+G483*160+H483*0+I483*100+J483*300)/(122.58+297.941+89.177+40.302+0+40+160+100+300)</f>
        <v>25.285853715478261</v>
      </c>
      <c r="AC483" s="44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24.814610791366906</v>
      </c>
    </row>
    <row r="484" spans="1:29" ht="15.75" x14ac:dyDescent="0.25">
      <c r="A484" s="32">
        <v>55639</v>
      </c>
      <c r="B484" s="14">
        <f>CHOOSE(CONTROL!$C$42, 25.1791, 25.1791) * CHOOSE(CONTROL!$C$21, $C$9, 100%, $E$9)</f>
        <v>25.179099999999998</v>
      </c>
      <c r="C484" s="14">
        <f>CHOOSE(CONTROL!$C$42, 25.1836, 25.1836) * CHOOSE(CONTROL!$C$21, $C$9, 100%, $E$9)</f>
        <v>25.183599999999998</v>
      </c>
      <c r="D484" s="14">
        <f>CHOOSE(CONTROL!$C$42, 25.4125, 25.4125) * CHOOSE(CONTROL!$C$21, $C$9, 100%, $E$9)</f>
        <v>25.412500000000001</v>
      </c>
      <c r="E484" s="14">
        <f>CHOOSE(CONTROL!$C$42, 25.4447, 25.4447) * CHOOSE(CONTROL!$C$21, $C$9, 100%, $E$9)</f>
        <v>25.444700000000001</v>
      </c>
      <c r="F484" s="14">
        <f>CHOOSE(CONTROL!$C$42, 25.2061, 25.2061)*CHOOSE(CONTROL!$C$21, $C$9, 100%, $E$9)</f>
        <v>25.206099999999999</v>
      </c>
      <c r="G484" s="14">
        <f>CHOOSE(CONTROL!$C$42, 25.2228, 25.2228)*CHOOSE(CONTROL!$C$21, $C$9, 100%, $E$9)</f>
        <v>25.222799999999999</v>
      </c>
      <c r="H484" s="14">
        <f>CHOOSE(CONTROL!$C$42, 25.4344, 25.4344) * CHOOSE(CONTROL!$C$21, $C$9, 100%, $E$9)</f>
        <v>25.4344</v>
      </c>
      <c r="I484" s="14">
        <f>CHOOSE(CONTROL!$C$42, 25.2909, 25.2909)* CHOOSE(CONTROL!$C$21, $C$9, 100%, $E$9)</f>
        <v>25.290900000000001</v>
      </c>
      <c r="J484" s="14">
        <f>CHOOSE(CONTROL!$C$42, 25.1991, 25.1991)* CHOOSE(CONTROL!$C$21, $C$9, 100%, $E$9)</f>
        <v>25.199100000000001</v>
      </c>
      <c r="K484" s="52">
        <f>CHOOSE(CONTROL!$C$42, 25.287, 25.287) * CHOOSE(CONTROL!$C$21, $C$9, 100%, $E$9)</f>
        <v>25.286999999999999</v>
      </c>
      <c r="L484" s="14">
        <f>CHOOSE(CONTROL!$C$42, 26.0214, 26.0214) * CHOOSE(CONTROL!$C$21, $C$9, 100%, $E$9)</f>
        <v>26.0214</v>
      </c>
      <c r="M484" s="14">
        <f>CHOOSE(CONTROL!$C$42, 24.6905, 24.6905) * CHOOSE(CONTROL!$C$21, $C$9, 100%, $E$9)</f>
        <v>24.6905</v>
      </c>
      <c r="N484" s="14">
        <f>CHOOSE(CONTROL!$C$42, 24.7069, 24.7069) * CHOOSE(CONTROL!$C$21, $C$9, 100%, $E$9)</f>
        <v>24.706900000000001</v>
      </c>
      <c r="O484" s="14">
        <f>CHOOSE(CONTROL!$C$42, 24.921, 24.921) * CHOOSE(CONTROL!$C$21, $C$9, 100%, $E$9)</f>
        <v>24.920999999999999</v>
      </c>
      <c r="P484" s="14">
        <f>CHOOSE(CONTROL!$C$42, 24.7789, 24.7789) * CHOOSE(CONTROL!$C$21, $C$9, 100%, $E$9)</f>
        <v>24.7789</v>
      </c>
      <c r="Q484" s="14">
        <f>CHOOSE(CONTROL!$C$42, 25.5157, 25.5157) * CHOOSE(CONTROL!$C$21, $C$9, 100%, $E$9)</f>
        <v>25.515699999999999</v>
      </c>
      <c r="R484" s="14">
        <f>CHOOSE(CONTROL!$C$42, 26.1665, 26.1665) * CHOOSE(CONTROL!$C$21, $C$9, 100%, $E$9)</f>
        <v>26.166499999999999</v>
      </c>
      <c r="S484" s="14">
        <f>CHOOSE(CONTROL!$C$42, 24.1853, 24.1853) * CHOOSE(CONTROL!$C$21, $C$9, 100%, $E$9)</f>
        <v>24.185300000000002</v>
      </c>
      <c r="T48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56">
        <f>(1000*CHOOSE(CONTROL!$C$42, 695, 695)*CHOOSE(CONTROL!$C$42, 0.5599, 0.5599)*CHOOSE(CONTROL!$C$42, 30, 30))/1000000</f>
        <v>11.673914999999997</v>
      </c>
      <c r="V484" s="56">
        <f>(1000*CHOOSE(CONTROL!$C$42, 500, 500)*CHOOSE(CONTROL!$C$42, 0.275, 0.275)*CHOOSE(CONTROL!$C$42, 30, 30))/1000000</f>
        <v>4.125</v>
      </c>
      <c r="W484" s="56">
        <f>(1000*CHOOSE(CONTROL!$C$42, 0.1146, 0.1146)*CHOOSE(CONTROL!$C$42, 121.5, 121.5)*CHOOSE(CONTROL!$C$42, 30, 30))/1000000</f>
        <v>0.417717</v>
      </c>
      <c r="X484" s="56">
        <f>(30*0.1790888*245000/1000000)+(30*0.2374*100000/1000000)</f>
        <v>2.0285026799999999</v>
      </c>
      <c r="Y484" s="56"/>
      <c r="Z484" s="14"/>
      <c r="AA484" s="55"/>
      <c r="AB484" s="49">
        <f>(B484*141.293+C484*267.993+D484*115.016+E484*89.698+F484*40+G484*185+H484*0+I484*100+J484*300)/(141.293+267.993+115.016+89.698+0+40+185+100+300)</f>
        <v>25.242230743906372</v>
      </c>
      <c r="AC484" s="44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24.771667625899283</v>
      </c>
    </row>
    <row r="485" spans="1:29" ht="15.75" x14ac:dyDescent="0.25">
      <c r="A485" s="32">
        <v>55670</v>
      </c>
      <c r="B485" s="14">
        <f>CHOOSE(CONTROL!$C$42, 25.4027, 25.4027) * CHOOSE(CONTROL!$C$21, $C$9, 100%, $E$9)</f>
        <v>25.402699999999999</v>
      </c>
      <c r="C485" s="14">
        <f>CHOOSE(CONTROL!$C$42, 25.4107, 25.4107) * CHOOSE(CONTROL!$C$21, $C$9, 100%, $E$9)</f>
        <v>25.410699999999999</v>
      </c>
      <c r="D485" s="14">
        <f>CHOOSE(CONTROL!$C$42, 25.6365, 25.6365) * CHOOSE(CONTROL!$C$21, $C$9, 100%, $E$9)</f>
        <v>25.636500000000002</v>
      </c>
      <c r="E485" s="14">
        <f>CHOOSE(CONTROL!$C$42, 25.6679, 25.6679) * CHOOSE(CONTROL!$C$21, $C$9, 100%, $E$9)</f>
        <v>25.667899999999999</v>
      </c>
      <c r="F485" s="14">
        <f>CHOOSE(CONTROL!$C$42, 25.4283, 25.4283)*CHOOSE(CONTROL!$C$21, $C$9, 100%, $E$9)</f>
        <v>25.4283</v>
      </c>
      <c r="G485" s="14">
        <f>CHOOSE(CONTROL!$C$42, 25.4453, 25.4453)*CHOOSE(CONTROL!$C$21, $C$9, 100%, $E$9)</f>
        <v>25.4453</v>
      </c>
      <c r="H485" s="14">
        <f>CHOOSE(CONTROL!$C$42, 25.6566, 25.6566) * CHOOSE(CONTROL!$C$21, $C$9, 100%, $E$9)</f>
        <v>25.656600000000001</v>
      </c>
      <c r="I485" s="14">
        <f>CHOOSE(CONTROL!$C$42, 25.5138, 25.5138)* CHOOSE(CONTROL!$C$21, $C$9, 100%, $E$9)</f>
        <v>25.5138</v>
      </c>
      <c r="J485" s="14">
        <f>CHOOSE(CONTROL!$C$42, 25.4213, 25.4213)* CHOOSE(CONTROL!$C$21, $C$9, 100%, $E$9)</f>
        <v>25.421299999999999</v>
      </c>
      <c r="K485" s="52">
        <f>CHOOSE(CONTROL!$C$42, 25.5099, 25.5099) * CHOOSE(CONTROL!$C$21, $C$9, 100%, $E$9)</f>
        <v>25.509899999999998</v>
      </c>
      <c r="L485" s="14">
        <f>CHOOSE(CONTROL!$C$42, 26.2436, 26.2436) * CHOOSE(CONTROL!$C$21, $C$9, 100%, $E$9)</f>
        <v>26.243600000000001</v>
      </c>
      <c r="M485" s="14">
        <f>CHOOSE(CONTROL!$C$42, 24.9082, 24.9082) * CHOOSE(CONTROL!$C$21, $C$9, 100%, $E$9)</f>
        <v>24.908200000000001</v>
      </c>
      <c r="N485" s="14">
        <f>CHOOSE(CONTROL!$C$42, 24.9248, 24.9248) * CHOOSE(CONTROL!$C$21, $C$9, 100%, $E$9)</f>
        <v>24.924800000000001</v>
      </c>
      <c r="O485" s="14">
        <f>CHOOSE(CONTROL!$C$42, 25.1386, 25.1386) * CHOOSE(CONTROL!$C$21, $C$9, 100%, $E$9)</f>
        <v>25.1386</v>
      </c>
      <c r="P485" s="14">
        <f>CHOOSE(CONTROL!$C$42, 24.9972, 24.9972) * CHOOSE(CONTROL!$C$21, $C$9, 100%, $E$9)</f>
        <v>24.997199999999999</v>
      </c>
      <c r="Q485" s="14">
        <f>CHOOSE(CONTROL!$C$42, 25.7333, 25.7333) * CHOOSE(CONTROL!$C$21, $C$9, 100%, $E$9)</f>
        <v>25.7333</v>
      </c>
      <c r="R485" s="14">
        <f>CHOOSE(CONTROL!$C$42, 26.3846, 26.3846) * CHOOSE(CONTROL!$C$21, $C$9, 100%, $E$9)</f>
        <v>26.384599999999999</v>
      </c>
      <c r="S485" s="14">
        <f>CHOOSE(CONTROL!$C$42, 24.3988, 24.3988) * CHOOSE(CONTROL!$C$21, $C$9, 100%, $E$9)</f>
        <v>24.398800000000001</v>
      </c>
      <c r="T48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56">
        <f>(1000*CHOOSE(CONTROL!$C$42, 695, 695)*CHOOSE(CONTROL!$C$42, 0.5599, 0.5599)*CHOOSE(CONTROL!$C$42, 31, 31))/1000000</f>
        <v>12.063045499999998</v>
      </c>
      <c r="V485" s="56">
        <f>(1000*CHOOSE(CONTROL!$C$42, 500, 500)*CHOOSE(CONTROL!$C$42, 0.275, 0.275)*CHOOSE(CONTROL!$C$42, 31, 31))/1000000</f>
        <v>4.2625000000000002</v>
      </c>
      <c r="W485" s="56">
        <f>(1000*CHOOSE(CONTROL!$C$42, 0.1146, 0.1146)*CHOOSE(CONTROL!$C$42, 121.5, 121.5)*CHOOSE(CONTROL!$C$42, 31, 31))/1000000</f>
        <v>0.43164089999999994</v>
      </c>
      <c r="X485" s="56">
        <f>(31*0.1790888*245000/1000000)+(31*0.2374*100000/1000000)</f>
        <v>2.0961194359999999</v>
      </c>
      <c r="Y485" s="56"/>
      <c r="Z485" s="14"/>
      <c r="AA485" s="55"/>
      <c r="AB485" s="49">
        <f>(B485*194.205+C485*267.466+D485*133.845+E485*53.484+F485*40+G485*185+H485*0+I485*100+J485*300)/(194.205+267.466+133.845+53.484+0+40+185+100+300)</f>
        <v>25.460165970015698</v>
      </c>
      <c r="AC485" s="44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24.989471942446045</v>
      </c>
    </row>
    <row r="486" spans="1:29" ht="15.75" x14ac:dyDescent="0.25">
      <c r="A486" s="32">
        <v>55700</v>
      </c>
      <c r="B486" s="14">
        <f>CHOOSE(CONTROL!$C$42, 26.1229, 26.1229) * CHOOSE(CONTROL!$C$21, $C$9, 100%, $E$9)</f>
        <v>26.122900000000001</v>
      </c>
      <c r="C486" s="14">
        <f>CHOOSE(CONTROL!$C$42, 26.1309, 26.1309) * CHOOSE(CONTROL!$C$21, $C$9, 100%, $E$9)</f>
        <v>26.1309</v>
      </c>
      <c r="D486" s="14">
        <f>CHOOSE(CONTROL!$C$42, 26.3567, 26.3567) * CHOOSE(CONTROL!$C$21, $C$9, 100%, $E$9)</f>
        <v>26.3567</v>
      </c>
      <c r="E486" s="14">
        <f>CHOOSE(CONTROL!$C$42, 26.3882, 26.3882) * CHOOSE(CONTROL!$C$21, $C$9, 100%, $E$9)</f>
        <v>26.388200000000001</v>
      </c>
      <c r="F486" s="14">
        <f>CHOOSE(CONTROL!$C$42, 26.149, 26.149)*CHOOSE(CONTROL!$C$21, $C$9, 100%, $E$9)</f>
        <v>26.149000000000001</v>
      </c>
      <c r="G486" s="14">
        <f>CHOOSE(CONTROL!$C$42, 26.1661, 26.1661)*CHOOSE(CONTROL!$C$21, $C$9, 100%, $E$9)</f>
        <v>26.1661</v>
      </c>
      <c r="H486" s="14">
        <f>CHOOSE(CONTROL!$C$42, 26.3768, 26.3768) * CHOOSE(CONTROL!$C$21, $C$9, 100%, $E$9)</f>
        <v>26.376799999999999</v>
      </c>
      <c r="I486" s="14">
        <f>CHOOSE(CONTROL!$C$42, 26.2363, 26.2363)* CHOOSE(CONTROL!$C$21, $C$9, 100%, $E$9)</f>
        <v>26.2363</v>
      </c>
      <c r="J486" s="14">
        <f>CHOOSE(CONTROL!$C$42, 26.142, 26.142)* CHOOSE(CONTROL!$C$21, $C$9, 100%, $E$9)</f>
        <v>26.141999999999999</v>
      </c>
      <c r="K486" s="52">
        <f>CHOOSE(CONTROL!$C$42, 26.2324, 26.2324) * CHOOSE(CONTROL!$C$21, $C$9, 100%, $E$9)</f>
        <v>26.232399999999998</v>
      </c>
      <c r="L486" s="14">
        <f>CHOOSE(CONTROL!$C$42, 26.9638, 26.9638) * CHOOSE(CONTROL!$C$21, $C$9, 100%, $E$9)</f>
        <v>26.963799999999999</v>
      </c>
      <c r="M486" s="14">
        <f>CHOOSE(CONTROL!$C$42, 25.6141, 25.6141) * CHOOSE(CONTROL!$C$21, $C$9, 100%, $E$9)</f>
        <v>25.614100000000001</v>
      </c>
      <c r="N486" s="14">
        <f>CHOOSE(CONTROL!$C$42, 25.6308, 25.6308) * CHOOSE(CONTROL!$C$21, $C$9, 100%, $E$9)</f>
        <v>25.630800000000001</v>
      </c>
      <c r="O486" s="14">
        <f>CHOOSE(CONTROL!$C$42, 25.8441, 25.8441) * CHOOSE(CONTROL!$C$21, $C$9, 100%, $E$9)</f>
        <v>25.844100000000001</v>
      </c>
      <c r="P486" s="14">
        <f>CHOOSE(CONTROL!$C$42, 25.7048, 25.7048) * CHOOSE(CONTROL!$C$21, $C$9, 100%, $E$9)</f>
        <v>25.704799999999999</v>
      </c>
      <c r="Q486" s="14">
        <f>CHOOSE(CONTROL!$C$42, 26.4388, 26.4388) * CHOOSE(CONTROL!$C$21, $C$9, 100%, $E$9)</f>
        <v>26.438800000000001</v>
      </c>
      <c r="R486" s="14">
        <f>CHOOSE(CONTROL!$C$42, 27.0919, 27.0919) * CHOOSE(CONTROL!$C$21, $C$9, 100%, $E$9)</f>
        <v>27.091899999999999</v>
      </c>
      <c r="S486" s="14">
        <f>CHOOSE(CONTROL!$C$42, 25.0909, 25.0909) * CHOOSE(CONTROL!$C$21, $C$9, 100%, $E$9)</f>
        <v>25.090900000000001</v>
      </c>
      <c r="T48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56">
        <f>(1000*CHOOSE(CONTROL!$C$42, 695, 695)*CHOOSE(CONTROL!$C$42, 0.5599, 0.5599)*CHOOSE(CONTROL!$C$42, 30, 30))/1000000</f>
        <v>11.673914999999997</v>
      </c>
      <c r="V486" s="56">
        <f>(1000*CHOOSE(CONTROL!$C$42, 500, 500)*CHOOSE(CONTROL!$C$42, 0.275, 0.275)*CHOOSE(CONTROL!$C$42, 30, 30))/1000000</f>
        <v>4.125</v>
      </c>
      <c r="W486" s="56">
        <f>(1000*CHOOSE(CONTROL!$C$42, 0.1146, 0.1146)*CHOOSE(CONTROL!$C$42, 121.5, 121.5)*CHOOSE(CONTROL!$C$42, 30, 30))/1000000</f>
        <v>0.417717</v>
      </c>
      <c r="X486" s="56">
        <f>(30*0.1790888*245000/1000000)+(30*0.2374*100000/1000000)</f>
        <v>2.0285026799999999</v>
      </c>
      <c r="Y486" s="56"/>
      <c r="Z486" s="14"/>
      <c r="AA486" s="55"/>
      <c r="AB486" s="49">
        <f>(B486*194.205+C486*267.466+D486*133.845+E486*53.484+F486*40+G486*185+H486*0+I486*100+J486*300)/(194.205+267.466+133.845+53.484+0+40+185+100+300)</f>
        <v>26.18077126703297</v>
      </c>
      <c r="AC486" s="44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25.695527338129498</v>
      </c>
    </row>
    <row r="487" spans="1:29" ht="15.75" x14ac:dyDescent="0.25">
      <c r="A487" s="32">
        <v>55731</v>
      </c>
      <c r="B487" s="14">
        <f>CHOOSE(CONTROL!$C$42, 25.622, 25.622) * CHOOSE(CONTROL!$C$21, $C$9, 100%, $E$9)</f>
        <v>25.622</v>
      </c>
      <c r="C487" s="14">
        <f>CHOOSE(CONTROL!$C$42, 25.63, 25.63) * CHOOSE(CONTROL!$C$21, $C$9, 100%, $E$9)</f>
        <v>25.63</v>
      </c>
      <c r="D487" s="14">
        <f>CHOOSE(CONTROL!$C$42, 25.8558, 25.8558) * CHOOSE(CONTROL!$C$21, $C$9, 100%, $E$9)</f>
        <v>25.855799999999999</v>
      </c>
      <c r="E487" s="14">
        <f>CHOOSE(CONTROL!$C$42, 25.8873, 25.8873) * CHOOSE(CONTROL!$C$21, $C$9, 100%, $E$9)</f>
        <v>25.8873</v>
      </c>
      <c r="F487" s="14">
        <f>CHOOSE(CONTROL!$C$42, 25.6485, 25.6485)*CHOOSE(CONTROL!$C$21, $C$9, 100%, $E$9)</f>
        <v>25.648499999999999</v>
      </c>
      <c r="G487" s="14">
        <f>CHOOSE(CONTROL!$C$42, 25.6657, 25.6657)*CHOOSE(CONTROL!$C$21, $C$9, 100%, $E$9)</f>
        <v>25.665700000000001</v>
      </c>
      <c r="H487" s="14">
        <f>CHOOSE(CONTROL!$C$42, 25.8759, 25.8759) * CHOOSE(CONTROL!$C$21, $C$9, 100%, $E$9)</f>
        <v>25.875900000000001</v>
      </c>
      <c r="I487" s="14">
        <f>CHOOSE(CONTROL!$C$42, 25.7338, 25.7338)* CHOOSE(CONTROL!$C$21, $C$9, 100%, $E$9)</f>
        <v>25.733799999999999</v>
      </c>
      <c r="J487" s="14">
        <f>CHOOSE(CONTROL!$C$42, 25.6415, 25.6415)* CHOOSE(CONTROL!$C$21, $C$9, 100%, $E$9)</f>
        <v>25.641500000000001</v>
      </c>
      <c r="K487" s="52">
        <f>CHOOSE(CONTROL!$C$42, 25.7299, 25.7299) * CHOOSE(CONTROL!$C$21, $C$9, 100%, $E$9)</f>
        <v>25.729900000000001</v>
      </c>
      <c r="L487" s="14">
        <f>CHOOSE(CONTROL!$C$42, 26.4629, 26.4629) * CHOOSE(CONTROL!$C$21, $C$9, 100%, $E$9)</f>
        <v>26.462900000000001</v>
      </c>
      <c r="M487" s="14">
        <f>CHOOSE(CONTROL!$C$42, 25.1239, 25.1239) * CHOOSE(CONTROL!$C$21, $C$9, 100%, $E$9)</f>
        <v>25.123899999999999</v>
      </c>
      <c r="N487" s="14">
        <f>CHOOSE(CONTROL!$C$42, 25.1407, 25.1407) * CHOOSE(CONTROL!$C$21, $C$9, 100%, $E$9)</f>
        <v>25.140699999999999</v>
      </c>
      <c r="O487" s="14">
        <f>CHOOSE(CONTROL!$C$42, 25.3534, 25.3534) * CHOOSE(CONTROL!$C$21, $C$9, 100%, $E$9)</f>
        <v>25.353400000000001</v>
      </c>
      <c r="P487" s="14">
        <f>CHOOSE(CONTROL!$C$42, 25.2126, 25.2126) * CHOOSE(CONTROL!$C$21, $C$9, 100%, $E$9)</f>
        <v>25.212599999999998</v>
      </c>
      <c r="Q487" s="14">
        <f>CHOOSE(CONTROL!$C$42, 25.9481, 25.9481) * CHOOSE(CONTROL!$C$21, $C$9, 100%, $E$9)</f>
        <v>25.9481</v>
      </c>
      <c r="R487" s="14">
        <f>CHOOSE(CONTROL!$C$42, 26.6, 26.6) * CHOOSE(CONTROL!$C$21, $C$9, 100%, $E$9)</f>
        <v>26.6</v>
      </c>
      <c r="S487" s="14">
        <f>CHOOSE(CONTROL!$C$42, 24.6095, 24.6095) * CHOOSE(CONTROL!$C$21, $C$9, 100%, $E$9)</f>
        <v>24.609500000000001</v>
      </c>
      <c r="T48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56">
        <f>(1000*CHOOSE(CONTROL!$C$42, 695, 695)*CHOOSE(CONTROL!$C$42, 0.5599, 0.5599)*CHOOSE(CONTROL!$C$42, 31, 31))/1000000</f>
        <v>12.063045499999998</v>
      </c>
      <c r="V487" s="56">
        <f>(1000*CHOOSE(CONTROL!$C$42, 500, 500)*CHOOSE(CONTROL!$C$42, 0.275, 0.275)*CHOOSE(CONTROL!$C$42, 31, 31))/1000000</f>
        <v>4.2625000000000002</v>
      </c>
      <c r="W487" s="56">
        <f>(1000*CHOOSE(CONTROL!$C$42, 0.1146, 0.1146)*CHOOSE(CONTROL!$C$42, 121.5, 121.5)*CHOOSE(CONTROL!$C$42, 31, 31))/1000000</f>
        <v>0.43164089999999994</v>
      </c>
      <c r="X487" s="56">
        <f>(31*0.1790888*245000/1000000)+(31*0.2374*100000/1000000)</f>
        <v>2.0961194359999999</v>
      </c>
      <c r="Y487" s="56"/>
      <c r="Z487" s="14"/>
      <c r="AA487" s="55"/>
      <c r="AB487" s="49">
        <f>(B487*194.205+C487*267.466+D487*133.845+E487*53.484+F487*40+G487*185+H487*0+I487*100+J487*300)/(194.205+267.466+133.845+53.484+0+40+185+100+300)</f>
        <v>25.679925034693881</v>
      </c>
      <c r="AC487" s="44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25.20492230215827</v>
      </c>
    </row>
    <row r="488" spans="1:29" ht="15.75" x14ac:dyDescent="0.25">
      <c r="A488" s="32">
        <v>55762</v>
      </c>
      <c r="B488" s="14">
        <f>CHOOSE(CONTROL!$C$42, 24.357, 24.357) * CHOOSE(CONTROL!$C$21, $C$9, 100%, $E$9)</f>
        <v>24.356999999999999</v>
      </c>
      <c r="C488" s="14">
        <f>CHOOSE(CONTROL!$C$42, 24.365, 24.365) * CHOOSE(CONTROL!$C$21, $C$9, 100%, $E$9)</f>
        <v>24.364999999999998</v>
      </c>
      <c r="D488" s="14">
        <f>CHOOSE(CONTROL!$C$42, 24.5908, 24.5908) * CHOOSE(CONTROL!$C$21, $C$9, 100%, $E$9)</f>
        <v>24.590800000000002</v>
      </c>
      <c r="E488" s="14">
        <f>CHOOSE(CONTROL!$C$42, 24.6222, 24.6222) * CHOOSE(CONTROL!$C$21, $C$9, 100%, $E$9)</f>
        <v>24.622199999999999</v>
      </c>
      <c r="F488" s="14">
        <f>CHOOSE(CONTROL!$C$42, 24.3838, 24.3838)*CHOOSE(CONTROL!$C$21, $C$9, 100%, $E$9)</f>
        <v>24.383800000000001</v>
      </c>
      <c r="G488" s="14">
        <f>CHOOSE(CONTROL!$C$42, 24.401, 24.401)*CHOOSE(CONTROL!$C$21, $C$9, 100%, $E$9)</f>
        <v>24.401</v>
      </c>
      <c r="H488" s="14">
        <f>CHOOSE(CONTROL!$C$42, 24.6109, 24.6109) * CHOOSE(CONTROL!$C$21, $C$9, 100%, $E$9)</f>
        <v>24.610900000000001</v>
      </c>
      <c r="I488" s="14">
        <f>CHOOSE(CONTROL!$C$42, 24.4648, 24.4648)* CHOOSE(CONTROL!$C$21, $C$9, 100%, $E$9)</f>
        <v>24.4648</v>
      </c>
      <c r="J488" s="14">
        <f>CHOOSE(CONTROL!$C$42, 24.3768, 24.3768)* CHOOSE(CONTROL!$C$21, $C$9, 100%, $E$9)</f>
        <v>24.376799999999999</v>
      </c>
      <c r="K488" s="52">
        <f>CHOOSE(CONTROL!$C$42, 24.4609, 24.4609) * CHOOSE(CONTROL!$C$21, $C$9, 100%, $E$9)</f>
        <v>24.460899999999999</v>
      </c>
      <c r="L488" s="14">
        <f>CHOOSE(CONTROL!$C$42, 25.1979, 25.1979) * CHOOSE(CONTROL!$C$21, $C$9, 100%, $E$9)</f>
        <v>25.197900000000001</v>
      </c>
      <c r="M488" s="14">
        <f>CHOOSE(CONTROL!$C$42, 23.885, 23.885) * CHOOSE(CONTROL!$C$21, $C$9, 100%, $E$9)</f>
        <v>23.885000000000002</v>
      </c>
      <c r="N488" s="14">
        <f>CHOOSE(CONTROL!$C$42, 23.9019, 23.9019) * CHOOSE(CONTROL!$C$21, $C$9, 100%, $E$9)</f>
        <v>23.901900000000001</v>
      </c>
      <c r="O488" s="14">
        <f>CHOOSE(CONTROL!$C$42, 24.1143, 24.1143) * CHOOSE(CONTROL!$C$21, $C$9, 100%, $E$9)</f>
        <v>24.1143</v>
      </c>
      <c r="P488" s="14">
        <f>CHOOSE(CONTROL!$C$42, 23.9698, 23.9698) * CHOOSE(CONTROL!$C$21, $C$9, 100%, $E$9)</f>
        <v>23.969799999999999</v>
      </c>
      <c r="Q488" s="14">
        <f>CHOOSE(CONTROL!$C$42, 24.709, 24.709) * CHOOSE(CONTROL!$C$21, $C$9, 100%, $E$9)</f>
        <v>24.709</v>
      </c>
      <c r="R488" s="14">
        <f>CHOOSE(CONTROL!$C$42, 25.3578, 25.3578) * CHOOSE(CONTROL!$C$21, $C$9, 100%, $E$9)</f>
        <v>25.357800000000001</v>
      </c>
      <c r="S488" s="14">
        <f>CHOOSE(CONTROL!$C$42, 23.394, 23.394) * CHOOSE(CONTROL!$C$21, $C$9, 100%, $E$9)</f>
        <v>23.393999999999998</v>
      </c>
      <c r="T48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56">
        <f>(1000*CHOOSE(CONTROL!$C$42, 695, 695)*CHOOSE(CONTROL!$C$42, 0.5599, 0.5599)*CHOOSE(CONTROL!$C$42, 31, 31))/1000000</f>
        <v>12.063045499999998</v>
      </c>
      <c r="V488" s="56">
        <f>(1000*CHOOSE(CONTROL!$C$42, 500, 500)*CHOOSE(CONTROL!$C$42, 0.275, 0.275)*CHOOSE(CONTROL!$C$42, 31, 31))/1000000</f>
        <v>4.2625000000000002</v>
      </c>
      <c r="W488" s="56">
        <f>(1000*CHOOSE(CONTROL!$C$42, 0.1146, 0.1146)*CHOOSE(CONTROL!$C$42, 121.5, 121.5)*CHOOSE(CONTROL!$C$42, 31, 31))/1000000</f>
        <v>0.43164089999999994</v>
      </c>
      <c r="X488" s="56">
        <f>(31*0.1790888*245000/1000000)+(31*0.2374*100000/1000000)</f>
        <v>2.0961194359999999</v>
      </c>
      <c r="Y488" s="56"/>
      <c r="Z488" s="14"/>
      <c r="AA488" s="55"/>
      <c r="AB488" s="49">
        <f>(B488*194.205+C488*267.466+D488*133.845+E488*53.484+F488*40+G488*185+H488*0+I488*100+J488*300)/(194.205+267.466+133.845+53.484+0+40+185+100+300)</f>
        <v>24.414730491208793</v>
      </c>
      <c r="AC488" s="44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23.965428057553957</v>
      </c>
    </row>
    <row r="489" spans="1:29" ht="15.75" x14ac:dyDescent="0.25">
      <c r="A489" s="32">
        <v>55792</v>
      </c>
      <c r="B489" s="14">
        <f>CHOOSE(CONTROL!$C$42, 22.8111, 22.8111) * CHOOSE(CONTROL!$C$21, $C$9, 100%, $E$9)</f>
        <v>22.8111</v>
      </c>
      <c r="C489" s="14">
        <f>CHOOSE(CONTROL!$C$42, 22.8191, 22.8191) * CHOOSE(CONTROL!$C$21, $C$9, 100%, $E$9)</f>
        <v>22.819099999999999</v>
      </c>
      <c r="D489" s="14">
        <f>CHOOSE(CONTROL!$C$42, 23.0449, 23.0449) * CHOOSE(CONTROL!$C$21, $C$9, 100%, $E$9)</f>
        <v>23.044899999999998</v>
      </c>
      <c r="E489" s="14">
        <f>CHOOSE(CONTROL!$C$42, 23.0764, 23.0764) * CHOOSE(CONTROL!$C$21, $C$9, 100%, $E$9)</f>
        <v>23.0764</v>
      </c>
      <c r="F489" s="14">
        <f>CHOOSE(CONTROL!$C$42, 22.8379, 22.8379)*CHOOSE(CONTROL!$C$21, $C$9, 100%, $E$9)</f>
        <v>22.837900000000001</v>
      </c>
      <c r="G489" s="14">
        <f>CHOOSE(CONTROL!$C$42, 22.8552, 22.8552)*CHOOSE(CONTROL!$C$21, $C$9, 100%, $E$9)</f>
        <v>22.8552</v>
      </c>
      <c r="H489" s="14">
        <f>CHOOSE(CONTROL!$C$42, 23.065, 23.065) * CHOOSE(CONTROL!$C$21, $C$9, 100%, $E$9)</f>
        <v>23.065000000000001</v>
      </c>
      <c r="I489" s="14">
        <f>CHOOSE(CONTROL!$C$42, 22.9141, 22.9141)* CHOOSE(CONTROL!$C$21, $C$9, 100%, $E$9)</f>
        <v>22.914100000000001</v>
      </c>
      <c r="J489" s="14">
        <f>CHOOSE(CONTROL!$C$42, 22.8309, 22.8309)* CHOOSE(CONTROL!$C$21, $C$9, 100%, $E$9)</f>
        <v>22.8309</v>
      </c>
      <c r="K489" s="52">
        <f>CHOOSE(CONTROL!$C$42, 22.9102, 22.9102) * CHOOSE(CONTROL!$C$21, $C$9, 100%, $E$9)</f>
        <v>22.9102</v>
      </c>
      <c r="L489" s="14">
        <f>CHOOSE(CONTROL!$C$42, 23.652, 23.652) * CHOOSE(CONTROL!$C$21, $C$9, 100%, $E$9)</f>
        <v>23.652000000000001</v>
      </c>
      <c r="M489" s="14">
        <f>CHOOSE(CONTROL!$C$42, 22.3708, 22.3708) * CHOOSE(CONTROL!$C$21, $C$9, 100%, $E$9)</f>
        <v>22.370799999999999</v>
      </c>
      <c r="N489" s="14">
        <f>CHOOSE(CONTROL!$C$42, 22.3877, 22.3877) * CHOOSE(CONTROL!$C$21, $C$9, 100%, $E$9)</f>
        <v>22.387699999999999</v>
      </c>
      <c r="O489" s="14">
        <f>CHOOSE(CONTROL!$C$42, 22.6001, 22.6001) * CHOOSE(CONTROL!$C$21, $C$9, 100%, $E$9)</f>
        <v>22.600100000000001</v>
      </c>
      <c r="P489" s="14">
        <f>CHOOSE(CONTROL!$C$42, 22.4509, 22.4509) * CHOOSE(CONTROL!$C$21, $C$9, 100%, $E$9)</f>
        <v>22.450900000000001</v>
      </c>
      <c r="Q489" s="14">
        <f>CHOOSE(CONTROL!$C$42, 23.1948, 23.1948) * CHOOSE(CONTROL!$C$21, $C$9, 100%, $E$9)</f>
        <v>23.194800000000001</v>
      </c>
      <c r="R489" s="14">
        <f>CHOOSE(CONTROL!$C$42, 23.8398, 23.8398) * CHOOSE(CONTROL!$C$21, $C$9, 100%, $E$9)</f>
        <v>23.8398</v>
      </c>
      <c r="S489" s="14">
        <f>CHOOSE(CONTROL!$C$42, 21.9086, 21.9086) * CHOOSE(CONTROL!$C$21, $C$9, 100%, $E$9)</f>
        <v>21.9086</v>
      </c>
      <c r="T48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56">
        <f>(1000*CHOOSE(CONTROL!$C$42, 695, 695)*CHOOSE(CONTROL!$C$42, 0.5599, 0.5599)*CHOOSE(CONTROL!$C$42, 30, 30))/1000000</f>
        <v>11.673914999999997</v>
      </c>
      <c r="V489" s="56">
        <f>(1000*CHOOSE(CONTROL!$C$42, 500, 500)*CHOOSE(CONTROL!$C$42, 0.275, 0.275)*CHOOSE(CONTROL!$C$42, 30, 30))/1000000</f>
        <v>4.125</v>
      </c>
      <c r="W489" s="56">
        <f>(1000*CHOOSE(CONTROL!$C$42, 0.1146, 0.1146)*CHOOSE(CONTROL!$C$42, 121.5, 121.5)*CHOOSE(CONTROL!$C$42, 30, 30))/1000000</f>
        <v>0.417717</v>
      </c>
      <c r="X489" s="56">
        <f>(30*0.1790888*245000/1000000)+(30*0.2374*100000/1000000)</f>
        <v>2.0285026799999999</v>
      </c>
      <c r="Y489" s="56"/>
      <c r="Z489" s="14"/>
      <c r="AA489" s="55"/>
      <c r="AB489" s="49">
        <f>(B489*194.205+C489*267.466+D489*133.845+E489*53.484+F489*40+G489*185+H489*0+I489*100+J489*300)/(194.205+267.466+133.845+53.484+0+40+185+100+300)</f>
        <v>22.868472444427002</v>
      </c>
      <c r="AC489" s="44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22.45055179856115</v>
      </c>
    </row>
    <row r="490" spans="1:29" ht="15.75" x14ac:dyDescent="0.25">
      <c r="A490" s="32">
        <v>55823</v>
      </c>
      <c r="B490" s="14">
        <f>CHOOSE(CONTROL!$C$42, 22.3464, 22.3464) * CHOOSE(CONTROL!$C$21, $C$9, 100%, $E$9)</f>
        <v>22.346399999999999</v>
      </c>
      <c r="C490" s="14">
        <f>CHOOSE(CONTROL!$C$42, 22.3518, 22.3518) * CHOOSE(CONTROL!$C$21, $C$9, 100%, $E$9)</f>
        <v>22.351800000000001</v>
      </c>
      <c r="D490" s="14">
        <f>CHOOSE(CONTROL!$C$42, 22.5825, 22.5825) * CHOOSE(CONTROL!$C$21, $C$9, 100%, $E$9)</f>
        <v>22.5825</v>
      </c>
      <c r="E490" s="14">
        <f>CHOOSE(CONTROL!$C$42, 22.6116, 22.6116) * CHOOSE(CONTROL!$C$21, $C$9, 100%, $E$9)</f>
        <v>22.611599999999999</v>
      </c>
      <c r="F490" s="14">
        <f>CHOOSE(CONTROL!$C$42, 22.3753, 22.3753)*CHOOSE(CONTROL!$C$21, $C$9, 100%, $E$9)</f>
        <v>22.375299999999999</v>
      </c>
      <c r="G490" s="14">
        <f>CHOOSE(CONTROL!$C$42, 22.3924, 22.3924)*CHOOSE(CONTROL!$C$21, $C$9, 100%, $E$9)</f>
        <v>22.392399999999999</v>
      </c>
      <c r="H490" s="14">
        <f>CHOOSE(CONTROL!$C$42, 22.6021, 22.6021) * CHOOSE(CONTROL!$C$21, $C$9, 100%, $E$9)</f>
        <v>22.6021</v>
      </c>
      <c r="I490" s="14">
        <f>CHOOSE(CONTROL!$C$42, 22.4497, 22.4497)* CHOOSE(CONTROL!$C$21, $C$9, 100%, $E$9)</f>
        <v>22.4497</v>
      </c>
      <c r="J490" s="14">
        <f>CHOOSE(CONTROL!$C$42, 22.3683, 22.3683)* CHOOSE(CONTROL!$C$21, $C$9, 100%, $E$9)</f>
        <v>22.368300000000001</v>
      </c>
      <c r="K490" s="52">
        <f>CHOOSE(CONTROL!$C$42, 22.4458, 22.4458) * CHOOSE(CONTROL!$C$21, $C$9, 100%, $E$9)</f>
        <v>22.445799999999998</v>
      </c>
      <c r="L490" s="14">
        <f>CHOOSE(CONTROL!$C$42, 23.1891, 23.1891) * CHOOSE(CONTROL!$C$21, $C$9, 100%, $E$9)</f>
        <v>23.1891</v>
      </c>
      <c r="M490" s="14">
        <f>CHOOSE(CONTROL!$C$42, 21.9177, 21.9177) * CHOOSE(CONTROL!$C$21, $C$9, 100%, $E$9)</f>
        <v>21.9177</v>
      </c>
      <c r="N490" s="14">
        <f>CHOOSE(CONTROL!$C$42, 21.9345, 21.9345) * CHOOSE(CONTROL!$C$21, $C$9, 100%, $E$9)</f>
        <v>21.9345</v>
      </c>
      <c r="O490" s="14">
        <f>CHOOSE(CONTROL!$C$42, 22.1467, 22.1467) * CHOOSE(CONTROL!$C$21, $C$9, 100%, $E$9)</f>
        <v>22.146699999999999</v>
      </c>
      <c r="P490" s="14">
        <f>CHOOSE(CONTROL!$C$42, 21.9961, 21.9961) * CHOOSE(CONTROL!$C$21, $C$9, 100%, $E$9)</f>
        <v>21.996099999999998</v>
      </c>
      <c r="Q490" s="14">
        <f>CHOOSE(CONTROL!$C$42, 22.7414, 22.7414) * CHOOSE(CONTROL!$C$21, $C$9, 100%, $E$9)</f>
        <v>22.741399999999999</v>
      </c>
      <c r="R490" s="14">
        <f>CHOOSE(CONTROL!$C$42, 23.3853, 23.3853) * CHOOSE(CONTROL!$C$21, $C$9, 100%, $E$9)</f>
        <v>23.385300000000001</v>
      </c>
      <c r="S490" s="14">
        <f>CHOOSE(CONTROL!$C$42, 21.4638, 21.4638) * CHOOSE(CONTROL!$C$21, $C$9, 100%, $E$9)</f>
        <v>21.463799999999999</v>
      </c>
      <c r="T49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56">
        <f>(1000*CHOOSE(CONTROL!$C$42, 695, 695)*CHOOSE(CONTROL!$C$42, 0.5599, 0.5599)*CHOOSE(CONTROL!$C$42, 31, 31))/1000000</f>
        <v>12.063045499999998</v>
      </c>
      <c r="V490" s="56">
        <f>(1000*CHOOSE(CONTROL!$C$42, 500, 500)*CHOOSE(CONTROL!$C$42, 0.275, 0.275)*CHOOSE(CONTROL!$C$42, 31, 31))/1000000</f>
        <v>4.2625000000000002</v>
      </c>
      <c r="W490" s="56">
        <f>(1000*CHOOSE(CONTROL!$C$42, 0.1146, 0.1146)*CHOOSE(CONTROL!$C$42, 121.5, 121.5)*CHOOSE(CONTROL!$C$42, 31, 31))/1000000</f>
        <v>0.43164089999999994</v>
      </c>
      <c r="X490" s="56">
        <f>(31*0.1790888*245000/1000000)+(31*0.2374*100000/1000000)</f>
        <v>2.0961194359999999</v>
      </c>
      <c r="Y490" s="56"/>
      <c r="Z490" s="14"/>
      <c r="AA490" s="55"/>
      <c r="AB490" s="49">
        <f>(B490*131.881+C490*277.167+D490*79.08+E490*125.872+F490*40+G490*185+H490*0+I490*100+J490*300)/(131.881+277.167+79.08+125.872+0+40+185+100+300)</f>
        <v>22.411060810492337</v>
      </c>
      <c r="AC490" s="44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21.9971</v>
      </c>
    </row>
    <row r="491" spans="1:29" ht="15.75" x14ac:dyDescent="0.25">
      <c r="A491" s="32">
        <v>55853</v>
      </c>
      <c r="B491" s="14">
        <f>CHOOSE(CONTROL!$C$42, 22.9345, 22.9345) * CHOOSE(CONTROL!$C$21, $C$9, 100%, $E$9)</f>
        <v>22.9345</v>
      </c>
      <c r="C491" s="14">
        <f>CHOOSE(CONTROL!$C$42, 22.9395, 22.9395) * CHOOSE(CONTROL!$C$21, $C$9, 100%, $E$9)</f>
        <v>22.939499999999999</v>
      </c>
      <c r="D491" s="14">
        <f>CHOOSE(CONTROL!$C$42, 23.0086, 23.0086) * CHOOSE(CONTROL!$C$21, $C$9, 100%, $E$9)</f>
        <v>23.008600000000001</v>
      </c>
      <c r="E491" s="14">
        <f>CHOOSE(CONTROL!$C$42, 23.0427, 23.0427) * CHOOSE(CONTROL!$C$21, $C$9, 100%, $E$9)</f>
        <v>23.0427</v>
      </c>
      <c r="F491" s="14">
        <f>CHOOSE(CONTROL!$C$42, 22.9701, 22.9701)*CHOOSE(CONTROL!$C$21, $C$9, 100%, $E$9)</f>
        <v>22.970099999999999</v>
      </c>
      <c r="G491" s="14">
        <f>CHOOSE(CONTROL!$C$42, 22.9875, 22.9875)*CHOOSE(CONTROL!$C$21, $C$9, 100%, $E$9)</f>
        <v>22.987500000000001</v>
      </c>
      <c r="H491" s="14">
        <f>CHOOSE(CONTROL!$C$42, 23.0319, 23.0319) * CHOOSE(CONTROL!$C$21, $C$9, 100%, $E$9)</f>
        <v>23.0319</v>
      </c>
      <c r="I491" s="14">
        <f>CHOOSE(CONTROL!$C$42, 23.0426, 23.0426)* CHOOSE(CONTROL!$C$21, $C$9, 100%, $E$9)</f>
        <v>23.0426</v>
      </c>
      <c r="J491" s="14">
        <f>CHOOSE(CONTROL!$C$42, 22.9631, 22.9631)* CHOOSE(CONTROL!$C$21, $C$9, 100%, $E$9)</f>
        <v>22.963100000000001</v>
      </c>
      <c r="K491" s="52">
        <f>CHOOSE(CONTROL!$C$42, 23.0387, 23.0387) * CHOOSE(CONTROL!$C$21, $C$9, 100%, $E$9)</f>
        <v>23.038699999999999</v>
      </c>
      <c r="L491" s="14">
        <f>CHOOSE(CONTROL!$C$42, 23.6189, 23.6189) * CHOOSE(CONTROL!$C$21, $C$9, 100%, $E$9)</f>
        <v>23.6189</v>
      </c>
      <c r="M491" s="14">
        <f>CHOOSE(CONTROL!$C$42, 22.5003, 22.5003) * CHOOSE(CONTROL!$C$21, $C$9, 100%, $E$9)</f>
        <v>22.500299999999999</v>
      </c>
      <c r="N491" s="14">
        <f>CHOOSE(CONTROL!$C$42, 22.5173, 22.5173) * CHOOSE(CONTROL!$C$21, $C$9, 100%, $E$9)</f>
        <v>22.517299999999999</v>
      </c>
      <c r="O491" s="14">
        <f>CHOOSE(CONTROL!$C$42, 22.5676, 22.5676) * CHOOSE(CONTROL!$C$21, $C$9, 100%, $E$9)</f>
        <v>22.567599999999999</v>
      </c>
      <c r="P491" s="14">
        <f>CHOOSE(CONTROL!$C$42, 22.5768, 22.5768) * CHOOSE(CONTROL!$C$21, $C$9, 100%, $E$9)</f>
        <v>22.576799999999999</v>
      </c>
      <c r="Q491" s="14">
        <f>CHOOSE(CONTROL!$C$42, 23.1623, 23.1623) * CHOOSE(CONTROL!$C$21, $C$9, 100%, $E$9)</f>
        <v>23.162299999999998</v>
      </c>
      <c r="R491" s="14">
        <f>CHOOSE(CONTROL!$C$42, 23.8072, 23.8072) * CHOOSE(CONTROL!$C$21, $C$9, 100%, $E$9)</f>
        <v>23.807200000000002</v>
      </c>
      <c r="S491" s="14">
        <f>CHOOSE(CONTROL!$C$42, 22.0292, 22.0292) * CHOOSE(CONTROL!$C$21, $C$9, 100%, $E$9)</f>
        <v>22.029199999999999</v>
      </c>
      <c r="T49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56">
        <f>(1000*CHOOSE(CONTROL!$C$42, 695, 695)*CHOOSE(CONTROL!$C$42, 0.5599, 0.5599)*CHOOSE(CONTROL!$C$42, 30, 30))/1000000</f>
        <v>11.673914999999997</v>
      </c>
      <c r="V491" s="56">
        <f>(1000*CHOOSE(CONTROL!$C$42, 500, 500)*CHOOSE(CONTROL!$C$42, 0.275, 0.275)*CHOOSE(CONTROL!$C$42, 30, 30))/1000000</f>
        <v>4.125</v>
      </c>
      <c r="W491" s="56">
        <f>(1000*CHOOSE(CONTROL!$C$42, 0.1146, 0.1146)*CHOOSE(CONTROL!$C$42, 121.5, 121.5)*CHOOSE(CONTROL!$C$42, 30, 30))/1000000</f>
        <v>0.417717</v>
      </c>
      <c r="X491" s="56">
        <f>(30*0.1790888*100000/1000000)+(30*0.2374*100000/1000000)</f>
        <v>1.2494664</v>
      </c>
      <c r="Y491" s="56"/>
      <c r="Z491" s="14"/>
      <c r="AA491" s="55"/>
      <c r="AB491" s="49">
        <f>(B491*122.58+C491*297.941+D491*89.177+E491*40.302+F491*40+G491*160+H491*0+I491*100+J491*300)/(122.58+297.941+89.177+40.302+0+40+160+100+300)</f>
        <v>22.970806432260868</v>
      </c>
      <c r="AC491" s="44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22.542788489208636</v>
      </c>
    </row>
    <row r="492" spans="1:29" ht="15.75" x14ac:dyDescent="0.25">
      <c r="A492" s="32">
        <v>55884</v>
      </c>
      <c r="B492" s="14">
        <f>CHOOSE(CONTROL!$C$42, 24.4975, 24.4975) * CHOOSE(CONTROL!$C$21, $C$9, 100%, $E$9)</f>
        <v>24.497499999999999</v>
      </c>
      <c r="C492" s="14">
        <f>CHOOSE(CONTROL!$C$42, 24.5025, 24.5025) * CHOOSE(CONTROL!$C$21, $C$9, 100%, $E$9)</f>
        <v>24.502500000000001</v>
      </c>
      <c r="D492" s="14">
        <f>CHOOSE(CONTROL!$C$42, 24.5716, 24.5716) * CHOOSE(CONTROL!$C$21, $C$9, 100%, $E$9)</f>
        <v>24.5716</v>
      </c>
      <c r="E492" s="14">
        <f>CHOOSE(CONTROL!$C$42, 24.6057, 24.6057) * CHOOSE(CONTROL!$C$21, $C$9, 100%, $E$9)</f>
        <v>24.605699999999999</v>
      </c>
      <c r="F492" s="14">
        <f>CHOOSE(CONTROL!$C$42, 24.5353, 24.5353)*CHOOSE(CONTROL!$C$21, $C$9, 100%, $E$9)</f>
        <v>24.535299999999999</v>
      </c>
      <c r="G492" s="14">
        <f>CHOOSE(CONTROL!$C$42, 24.5533, 24.5533)*CHOOSE(CONTROL!$C$21, $C$9, 100%, $E$9)</f>
        <v>24.5533</v>
      </c>
      <c r="H492" s="14">
        <f>CHOOSE(CONTROL!$C$42, 24.5949, 24.5949) * CHOOSE(CONTROL!$C$21, $C$9, 100%, $E$9)</f>
        <v>24.594899999999999</v>
      </c>
      <c r="I492" s="14">
        <f>CHOOSE(CONTROL!$C$42, 24.6105, 24.6105)* CHOOSE(CONTROL!$C$21, $C$9, 100%, $E$9)</f>
        <v>24.610499999999998</v>
      </c>
      <c r="J492" s="14">
        <f>CHOOSE(CONTROL!$C$42, 24.5283, 24.5283)* CHOOSE(CONTROL!$C$21, $C$9, 100%, $E$9)</f>
        <v>24.528300000000002</v>
      </c>
      <c r="K492" s="52">
        <f>CHOOSE(CONTROL!$C$42, 24.6066, 24.6066) * CHOOSE(CONTROL!$C$21, $C$9, 100%, $E$9)</f>
        <v>24.6066</v>
      </c>
      <c r="L492" s="14">
        <f>CHOOSE(CONTROL!$C$42, 25.1819, 25.1819) * CHOOSE(CONTROL!$C$21, $C$9, 100%, $E$9)</f>
        <v>25.181899999999999</v>
      </c>
      <c r="M492" s="14">
        <f>CHOOSE(CONTROL!$C$42, 24.0334, 24.0334) * CHOOSE(CONTROL!$C$21, $C$9, 100%, $E$9)</f>
        <v>24.0334</v>
      </c>
      <c r="N492" s="14">
        <f>CHOOSE(CONTROL!$C$42, 24.0511, 24.0511) * CHOOSE(CONTROL!$C$21, $C$9, 100%, $E$9)</f>
        <v>24.051100000000002</v>
      </c>
      <c r="O492" s="14">
        <f>CHOOSE(CONTROL!$C$42, 24.0986, 24.0986) * CHOOSE(CONTROL!$C$21, $C$9, 100%, $E$9)</f>
        <v>24.098600000000001</v>
      </c>
      <c r="P492" s="14">
        <f>CHOOSE(CONTROL!$C$42, 24.1125, 24.1125) * CHOOSE(CONTROL!$C$21, $C$9, 100%, $E$9)</f>
        <v>24.112500000000001</v>
      </c>
      <c r="Q492" s="14">
        <f>CHOOSE(CONTROL!$C$42, 24.6933, 24.6933) * CHOOSE(CONTROL!$C$21, $C$9, 100%, $E$9)</f>
        <v>24.693300000000001</v>
      </c>
      <c r="R492" s="14">
        <f>CHOOSE(CONTROL!$C$42, 25.3421, 25.3421) * CHOOSE(CONTROL!$C$21, $C$9, 100%, $E$9)</f>
        <v>25.342099999999999</v>
      </c>
      <c r="S492" s="14">
        <f>CHOOSE(CONTROL!$C$42, 23.5311, 23.5311) * CHOOSE(CONTROL!$C$21, $C$9, 100%, $E$9)</f>
        <v>23.531099999999999</v>
      </c>
      <c r="T49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56">
        <f>(1000*CHOOSE(CONTROL!$C$42, 695, 695)*CHOOSE(CONTROL!$C$42, 0.5599, 0.5599)*CHOOSE(CONTROL!$C$42, 31, 31))/1000000</f>
        <v>12.063045499999998</v>
      </c>
      <c r="V492" s="56">
        <f>(1000*CHOOSE(CONTROL!$C$42, 500, 500)*CHOOSE(CONTROL!$C$42, 0.275, 0.275)*CHOOSE(CONTROL!$C$42, 31, 31))/1000000</f>
        <v>4.2625000000000002</v>
      </c>
      <c r="W492" s="56">
        <f>(1000*CHOOSE(CONTROL!$C$42, 0.1146, 0.1146)*CHOOSE(CONTROL!$C$42, 121.5, 121.5)*CHOOSE(CONTROL!$C$42, 31, 31))/1000000</f>
        <v>0.43164089999999994</v>
      </c>
      <c r="X492" s="56">
        <f>(31*0.1790888*100000/1000000)+(31*0.2374*100000/1000000)</f>
        <v>1.2911152800000001</v>
      </c>
      <c r="Y492" s="56"/>
      <c r="Z492" s="14"/>
      <c r="AA492" s="55"/>
      <c r="AB492" s="49">
        <f>(B492*122.58+C492*297.941+D492*89.177+E492*40.302+F492*40+G492*160+H492*0+I492*100+J492*300)/(122.58+297.941+89.177+40.302+0+40+160+100+300)</f>
        <v>24.535272519217393</v>
      </c>
      <c r="AC492" s="44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24.075351079136688</v>
      </c>
    </row>
    <row r="493" spans="1:29" ht="15.75" x14ac:dyDescent="0.25">
      <c r="A493" s="32">
        <v>55915</v>
      </c>
      <c r="B493" s="14">
        <f>CHOOSE(CONTROL!$C$42, 26.5275, 26.5275) * CHOOSE(CONTROL!$C$21, $C$9, 100%, $E$9)</f>
        <v>26.5275</v>
      </c>
      <c r="C493" s="14">
        <f>CHOOSE(CONTROL!$C$42, 26.5326, 26.5326) * CHOOSE(CONTROL!$C$21, $C$9, 100%, $E$9)</f>
        <v>26.532599999999999</v>
      </c>
      <c r="D493" s="14">
        <f>CHOOSE(CONTROL!$C$42, 26.612, 26.612) * CHOOSE(CONTROL!$C$21, $C$9, 100%, $E$9)</f>
        <v>26.611999999999998</v>
      </c>
      <c r="E493" s="14">
        <f>CHOOSE(CONTROL!$C$42, 26.6461, 26.6461) * CHOOSE(CONTROL!$C$21, $C$9, 100%, $E$9)</f>
        <v>26.646100000000001</v>
      </c>
      <c r="F493" s="14">
        <f>CHOOSE(CONTROL!$C$42, 26.5506, 26.5506)*CHOOSE(CONTROL!$C$21, $C$9, 100%, $E$9)</f>
        <v>26.550599999999999</v>
      </c>
      <c r="G493" s="14">
        <f>CHOOSE(CONTROL!$C$42, 26.5681, 26.5681)*CHOOSE(CONTROL!$C$21, $C$9, 100%, $E$9)</f>
        <v>26.568100000000001</v>
      </c>
      <c r="H493" s="14">
        <f>CHOOSE(CONTROL!$C$42, 26.6353, 26.6353) * CHOOSE(CONTROL!$C$21, $C$9, 100%, $E$9)</f>
        <v>26.635300000000001</v>
      </c>
      <c r="I493" s="14">
        <f>CHOOSE(CONTROL!$C$42, 26.6459, 26.6459)* CHOOSE(CONTROL!$C$21, $C$9, 100%, $E$9)</f>
        <v>26.645900000000001</v>
      </c>
      <c r="J493" s="14">
        <f>CHOOSE(CONTROL!$C$42, 26.5436, 26.5436)* CHOOSE(CONTROL!$C$21, $C$9, 100%, $E$9)</f>
        <v>26.543600000000001</v>
      </c>
      <c r="K493" s="52">
        <f>CHOOSE(CONTROL!$C$42, 26.642, 26.642) * CHOOSE(CONTROL!$C$21, $C$9, 100%, $E$9)</f>
        <v>26.641999999999999</v>
      </c>
      <c r="L493" s="14">
        <f>CHOOSE(CONTROL!$C$42, 27.2223, 27.2223) * CHOOSE(CONTROL!$C$21, $C$9, 100%, $E$9)</f>
        <v>27.222300000000001</v>
      </c>
      <c r="M493" s="14">
        <f>CHOOSE(CONTROL!$C$42, 26.0074, 26.0074) * CHOOSE(CONTROL!$C$21, $C$9, 100%, $E$9)</f>
        <v>26.007400000000001</v>
      </c>
      <c r="N493" s="14">
        <f>CHOOSE(CONTROL!$C$42, 26.0246, 26.0246) * CHOOSE(CONTROL!$C$21, $C$9, 100%, $E$9)</f>
        <v>26.0246</v>
      </c>
      <c r="O493" s="14">
        <f>CHOOSE(CONTROL!$C$42, 26.0973, 26.0973) * CHOOSE(CONTROL!$C$21, $C$9, 100%, $E$9)</f>
        <v>26.097300000000001</v>
      </c>
      <c r="P493" s="14">
        <f>CHOOSE(CONTROL!$C$42, 26.1061, 26.1061) * CHOOSE(CONTROL!$C$21, $C$9, 100%, $E$9)</f>
        <v>26.106100000000001</v>
      </c>
      <c r="Q493" s="14">
        <f>CHOOSE(CONTROL!$C$42, 26.692, 26.692) * CHOOSE(CONTROL!$C$21, $C$9, 100%, $E$9)</f>
        <v>26.692</v>
      </c>
      <c r="R493" s="14">
        <f>CHOOSE(CONTROL!$C$42, 27.3457, 27.3457) * CHOOSE(CONTROL!$C$21, $C$9, 100%, $E$9)</f>
        <v>27.345700000000001</v>
      </c>
      <c r="S493" s="14">
        <f>CHOOSE(CONTROL!$C$42, 25.4818, 25.4818) * CHOOSE(CONTROL!$C$21, $C$9, 100%, $E$9)</f>
        <v>25.4818</v>
      </c>
      <c r="T49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56">
        <f>(1000*CHOOSE(CONTROL!$C$42, 695, 695)*CHOOSE(CONTROL!$C$42, 0.5599, 0.5599)*CHOOSE(CONTROL!$C$42, 31, 31))/1000000</f>
        <v>12.063045499999998</v>
      </c>
      <c r="V493" s="56">
        <f>(1000*CHOOSE(CONTROL!$C$42, 500, 500)*CHOOSE(CONTROL!$C$42, 0.275, 0.275)*CHOOSE(CONTROL!$C$42, 31, 31))/1000000</f>
        <v>4.2625000000000002</v>
      </c>
      <c r="W493" s="56">
        <f>(1000*CHOOSE(CONTROL!$C$42, 0.1146, 0.1146)*CHOOSE(CONTROL!$C$42, 121.5, 121.5)*CHOOSE(CONTROL!$C$42, 31, 31))/1000000</f>
        <v>0.43164089999999994</v>
      </c>
      <c r="X493" s="56">
        <f>(31*0.1790888*100000/1000000)+(31*0.2374*100000/1000000)</f>
        <v>1.2911152800000001</v>
      </c>
      <c r="Y493" s="56"/>
      <c r="Z493" s="14"/>
      <c r="AA493" s="55"/>
      <c r="AB493" s="49">
        <f>(B493*122.58+C493*297.941+D493*89.177+E493*40.302+F493*40+G493*160+H493*0+I493*100+J493*300)/(122.58+297.941+89.177+40.302+0+40+160+100+300)</f>
        <v>26.560478063304348</v>
      </c>
      <c r="AC493" s="44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26.063337410071941</v>
      </c>
    </row>
    <row r="494" spans="1:29" ht="15.75" x14ac:dyDescent="0.25">
      <c r="A494" s="32">
        <v>55943</v>
      </c>
      <c r="B494" s="14">
        <f>CHOOSE(CONTROL!$C$42, 26.9996, 26.9996) * CHOOSE(CONTROL!$C$21, $C$9, 100%, $E$9)</f>
        <v>26.999600000000001</v>
      </c>
      <c r="C494" s="14">
        <f>CHOOSE(CONTROL!$C$42, 27.0047, 27.0047) * CHOOSE(CONTROL!$C$21, $C$9, 100%, $E$9)</f>
        <v>27.0047</v>
      </c>
      <c r="D494" s="14">
        <f>CHOOSE(CONTROL!$C$42, 27.0841, 27.0841) * CHOOSE(CONTROL!$C$21, $C$9, 100%, $E$9)</f>
        <v>27.084099999999999</v>
      </c>
      <c r="E494" s="14">
        <f>CHOOSE(CONTROL!$C$42, 27.1182, 27.1182) * CHOOSE(CONTROL!$C$21, $C$9, 100%, $E$9)</f>
        <v>27.118200000000002</v>
      </c>
      <c r="F494" s="14">
        <f>CHOOSE(CONTROL!$C$42, 27.0224, 27.0224)*CHOOSE(CONTROL!$C$21, $C$9, 100%, $E$9)</f>
        <v>27.022400000000001</v>
      </c>
      <c r="G494" s="14">
        <f>CHOOSE(CONTROL!$C$42, 27.0398, 27.0398)*CHOOSE(CONTROL!$C$21, $C$9, 100%, $E$9)</f>
        <v>27.0398</v>
      </c>
      <c r="H494" s="14">
        <f>CHOOSE(CONTROL!$C$42, 27.1074, 27.1074) * CHOOSE(CONTROL!$C$21, $C$9, 100%, $E$9)</f>
        <v>27.107399999999998</v>
      </c>
      <c r="I494" s="14">
        <f>CHOOSE(CONTROL!$C$42, 27.1195, 27.1195)* CHOOSE(CONTROL!$C$21, $C$9, 100%, $E$9)</f>
        <v>27.119499999999999</v>
      </c>
      <c r="J494" s="14">
        <f>CHOOSE(CONTROL!$C$42, 27.0154, 27.0154)* CHOOSE(CONTROL!$C$21, $C$9, 100%, $E$9)</f>
        <v>27.0154</v>
      </c>
      <c r="K494" s="52">
        <f>CHOOSE(CONTROL!$C$42, 27.1156, 27.1156) * CHOOSE(CONTROL!$C$21, $C$9, 100%, $E$9)</f>
        <v>27.115600000000001</v>
      </c>
      <c r="L494" s="14">
        <f>CHOOSE(CONTROL!$C$42, 27.6944, 27.6944) * CHOOSE(CONTROL!$C$21, $C$9, 100%, $E$9)</f>
        <v>27.694400000000002</v>
      </c>
      <c r="M494" s="14">
        <f>CHOOSE(CONTROL!$C$42, 26.4696, 26.4696) * CHOOSE(CONTROL!$C$21, $C$9, 100%, $E$9)</f>
        <v>26.4696</v>
      </c>
      <c r="N494" s="14">
        <f>CHOOSE(CONTROL!$C$42, 26.4867, 26.4867) * CHOOSE(CONTROL!$C$21, $C$9, 100%, $E$9)</f>
        <v>26.486699999999999</v>
      </c>
      <c r="O494" s="14">
        <f>CHOOSE(CONTROL!$C$42, 26.5597, 26.5597) * CHOOSE(CONTROL!$C$21, $C$9, 100%, $E$9)</f>
        <v>26.559699999999999</v>
      </c>
      <c r="P494" s="14">
        <f>CHOOSE(CONTROL!$C$42, 26.5699, 26.5699) * CHOOSE(CONTROL!$C$21, $C$9, 100%, $E$9)</f>
        <v>26.569900000000001</v>
      </c>
      <c r="Q494" s="14">
        <f>CHOOSE(CONTROL!$C$42, 27.1544, 27.1544) * CHOOSE(CONTROL!$C$21, $C$9, 100%, $E$9)</f>
        <v>27.154399999999999</v>
      </c>
      <c r="R494" s="14">
        <f>CHOOSE(CONTROL!$C$42, 27.8093, 27.8093) * CHOOSE(CONTROL!$C$21, $C$9, 100%, $E$9)</f>
        <v>27.8093</v>
      </c>
      <c r="S494" s="14">
        <f>CHOOSE(CONTROL!$C$42, 25.9354, 25.9354) * CHOOSE(CONTROL!$C$21, $C$9, 100%, $E$9)</f>
        <v>25.935400000000001</v>
      </c>
      <c r="T49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56">
        <f>(1000*CHOOSE(CONTROL!$C$42, 695, 695)*CHOOSE(CONTROL!$C$42, 0.5599, 0.5599)*CHOOSE(CONTROL!$C$42, 28, 28))/1000000</f>
        <v>10.895653999999999</v>
      </c>
      <c r="V494" s="56">
        <f>(1000*CHOOSE(CONTROL!$C$42, 500, 500)*CHOOSE(CONTROL!$C$42, 0.275, 0.275)*CHOOSE(CONTROL!$C$42, 28, 28))/1000000</f>
        <v>3.85</v>
      </c>
      <c r="W494" s="56">
        <f>(1000*CHOOSE(CONTROL!$C$42, 0.1146, 0.1146)*CHOOSE(CONTROL!$C$42, 121.5, 121.5)*CHOOSE(CONTROL!$C$42, 28, 28))/1000000</f>
        <v>0.38986920000000003</v>
      </c>
      <c r="X494" s="56">
        <f>(28*0.1790888*100000/1000000)+(28*0.2374*100000/1000000)</f>
        <v>1.16616864</v>
      </c>
      <c r="Y494" s="56"/>
      <c r="Z494" s="14"/>
      <c r="AA494" s="55"/>
      <c r="AB494" s="49">
        <f>(B494*122.58+C494*297.941+D494*89.177+E494*40.302+F494*40+G494*160+H494*0+I494*100+J494*300)/(122.58+297.941+89.177+40.302+0+40+160+100+300)</f>
        <v>27.032564150260871</v>
      </c>
      <c r="AC494" s="44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26.525852517985616</v>
      </c>
    </row>
    <row r="495" spans="1:29" ht="15.75" x14ac:dyDescent="0.25">
      <c r="A495" s="32">
        <v>55974</v>
      </c>
      <c r="B495" s="14">
        <f>CHOOSE(CONTROL!$C$42, 26.2333, 26.2333) * CHOOSE(CONTROL!$C$21, $C$9, 100%, $E$9)</f>
        <v>26.2333</v>
      </c>
      <c r="C495" s="14">
        <f>CHOOSE(CONTROL!$C$42, 26.2384, 26.2384) * CHOOSE(CONTROL!$C$21, $C$9, 100%, $E$9)</f>
        <v>26.238399999999999</v>
      </c>
      <c r="D495" s="14">
        <f>CHOOSE(CONTROL!$C$42, 26.3178, 26.3178) * CHOOSE(CONTROL!$C$21, $C$9, 100%, $E$9)</f>
        <v>26.317799999999998</v>
      </c>
      <c r="E495" s="14">
        <f>CHOOSE(CONTROL!$C$42, 26.3519, 26.3519) * CHOOSE(CONTROL!$C$21, $C$9, 100%, $E$9)</f>
        <v>26.351900000000001</v>
      </c>
      <c r="F495" s="14">
        <f>CHOOSE(CONTROL!$C$42, 26.2554, 26.2554)*CHOOSE(CONTROL!$C$21, $C$9, 100%, $E$9)</f>
        <v>26.255400000000002</v>
      </c>
      <c r="G495" s="14">
        <f>CHOOSE(CONTROL!$C$42, 26.2727, 26.2727)*CHOOSE(CONTROL!$C$21, $C$9, 100%, $E$9)</f>
        <v>26.2727</v>
      </c>
      <c r="H495" s="14">
        <f>CHOOSE(CONTROL!$C$42, 26.3411, 26.3411) * CHOOSE(CONTROL!$C$21, $C$9, 100%, $E$9)</f>
        <v>26.341100000000001</v>
      </c>
      <c r="I495" s="14">
        <f>CHOOSE(CONTROL!$C$42, 26.3508, 26.3508)* CHOOSE(CONTROL!$C$21, $C$9, 100%, $E$9)</f>
        <v>26.3508</v>
      </c>
      <c r="J495" s="14">
        <f>CHOOSE(CONTROL!$C$42, 26.2484, 26.2484)* CHOOSE(CONTROL!$C$21, $C$9, 100%, $E$9)</f>
        <v>26.2484</v>
      </c>
      <c r="K495" s="52">
        <f>CHOOSE(CONTROL!$C$42, 26.3469, 26.3469) * CHOOSE(CONTROL!$C$21, $C$9, 100%, $E$9)</f>
        <v>26.346900000000002</v>
      </c>
      <c r="L495" s="14">
        <f>CHOOSE(CONTROL!$C$42, 26.9281, 26.9281) * CHOOSE(CONTROL!$C$21, $C$9, 100%, $E$9)</f>
        <v>26.928100000000001</v>
      </c>
      <c r="M495" s="14">
        <f>CHOOSE(CONTROL!$C$42, 25.7183, 25.7183) * CHOOSE(CONTROL!$C$21, $C$9, 100%, $E$9)</f>
        <v>25.718299999999999</v>
      </c>
      <c r="N495" s="14">
        <f>CHOOSE(CONTROL!$C$42, 25.7352, 25.7352) * CHOOSE(CONTROL!$C$21, $C$9, 100%, $E$9)</f>
        <v>25.735199999999999</v>
      </c>
      <c r="O495" s="14">
        <f>CHOOSE(CONTROL!$C$42, 25.8091, 25.8091) * CHOOSE(CONTROL!$C$21, $C$9, 100%, $E$9)</f>
        <v>25.809100000000001</v>
      </c>
      <c r="P495" s="14">
        <f>CHOOSE(CONTROL!$C$42, 25.817, 25.817) * CHOOSE(CONTROL!$C$21, $C$9, 100%, $E$9)</f>
        <v>25.817</v>
      </c>
      <c r="Q495" s="14">
        <f>CHOOSE(CONTROL!$C$42, 26.4038, 26.4038) * CHOOSE(CONTROL!$C$21, $C$9, 100%, $E$9)</f>
        <v>26.4038</v>
      </c>
      <c r="R495" s="14">
        <f>CHOOSE(CONTROL!$C$42, 27.0568, 27.0568) * CHOOSE(CONTROL!$C$21, $C$9, 100%, $E$9)</f>
        <v>27.056799999999999</v>
      </c>
      <c r="S495" s="14">
        <f>CHOOSE(CONTROL!$C$42, 25.1991, 25.1991) * CHOOSE(CONTROL!$C$21, $C$9, 100%, $E$9)</f>
        <v>25.199100000000001</v>
      </c>
      <c r="T49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56">
        <f>(1000*CHOOSE(CONTROL!$C$42, 695, 695)*CHOOSE(CONTROL!$C$42, 0.5599, 0.5599)*CHOOSE(CONTROL!$C$42, 31, 31))/1000000</f>
        <v>12.063045499999998</v>
      </c>
      <c r="V495" s="56">
        <f>(1000*CHOOSE(CONTROL!$C$42, 500, 500)*CHOOSE(CONTROL!$C$42, 0.275, 0.275)*CHOOSE(CONTROL!$C$42, 31, 31))/1000000</f>
        <v>4.2625000000000002</v>
      </c>
      <c r="W495" s="56">
        <f>(1000*CHOOSE(CONTROL!$C$42, 0.1146, 0.1146)*CHOOSE(CONTROL!$C$42, 121.5, 121.5)*CHOOSE(CONTROL!$C$42, 31, 31))/1000000</f>
        <v>0.43164089999999994</v>
      </c>
      <c r="X495" s="56">
        <f>(31*0.1790888*100000/1000000)+(31*0.2374*100000/1000000)</f>
        <v>1.2911152800000001</v>
      </c>
      <c r="Y495" s="56"/>
      <c r="Z495" s="14"/>
      <c r="AA495" s="55"/>
      <c r="AB495" s="49">
        <f>(B495*122.58+C495*297.941+D495*89.177+E495*40.302+F495*40+G495*160+H495*0+I495*100+J495*300)/(122.58+297.941+89.177+40.302+0+40+160+100+300)</f>
        <v>26.265737193739135</v>
      </c>
      <c r="AC495" s="44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25.774628057553958</v>
      </c>
    </row>
    <row r="496" spans="1:29" ht="15.75" x14ac:dyDescent="0.25">
      <c r="A496" s="32">
        <v>56004</v>
      </c>
      <c r="B496" s="14">
        <f>CHOOSE(CONTROL!$C$42, 26.1558, 26.1558) * CHOOSE(CONTROL!$C$21, $C$9, 100%, $E$9)</f>
        <v>26.155799999999999</v>
      </c>
      <c r="C496" s="14">
        <f>CHOOSE(CONTROL!$C$42, 26.1603, 26.1603) * CHOOSE(CONTROL!$C$21, $C$9, 100%, $E$9)</f>
        <v>26.160299999999999</v>
      </c>
      <c r="D496" s="14">
        <f>CHOOSE(CONTROL!$C$42, 26.3892, 26.3892) * CHOOSE(CONTROL!$C$21, $C$9, 100%, $E$9)</f>
        <v>26.389199999999999</v>
      </c>
      <c r="E496" s="14">
        <f>CHOOSE(CONTROL!$C$42, 26.4214, 26.4214) * CHOOSE(CONTROL!$C$21, $C$9, 100%, $E$9)</f>
        <v>26.421399999999998</v>
      </c>
      <c r="F496" s="14">
        <f>CHOOSE(CONTROL!$C$42, 26.1828, 26.1828)*CHOOSE(CONTROL!$C$21, $C$9, 100%, $E$9)</f>
        <v>26.1828</v>
      </c>
      <c r="G496" s="14">
        <f>CHOOSE(CONTROL!$C$42, 26.1996, 26.1996)*CHOOSE(CONTROL!$C$21, $C$9, 100%, $E$9)</f>
        <v>26.1996</v>
      </c>
      <c r="H496" s="14">
        <f>CHOOSE(CONTROL!$C$42, 26.4111, 26.4111) * CHOOSE(CONTROL!$C$21, $C$9, 100%, $E$9)</f>
        <v>26.411100000000001</v>
      </c>
      <c r="I496" s="14">
        <f>CHOOSE(CONTROL!$C$42, 26.2707, 26.2707)* CHOOSE(CONTROL!$C$21, $C$9, 100%, $E$9)</f>
        <v>26.270700000000001</v>
      </c>
      <c r="J496" s="14">
        <f>CHOOSE(CONTROL!$C$42, 26.1758, 26.1758)* CHOOSE(CONTROL!$C$21, $C$9, 100%, $E$9)</f>
        <v>26.175799999999999</v>
      </c>
      <c r="K496" s="52">
        <f>CHOOSE(CONTROL!$C$42, 26.2668, 26.2668) * CHOOSE(CONTROL!$C$21, $C$9, 100%, $E$9)</f>
        <v>26.2668</v>
      </c>
      <c r="L496" s="14">
        <f>CHOOSE(CONTROL!$C$42, 26.9981, 26.9981) * CHOOSE(CONTROL!$C$21, $C$9, 100%, $E$9)</f>
        <v>26.998100000000001</v>
      </c>
      <c r="M496" s="14">
        <f>CHOOSE(CONTROL!$C$42, 25.6472, 25.6472) * CHOOSE(CONTROL!$C$21, $C$9, 100%, $E$9)</f>
        <v>25.647200000000002</v>
      </c>
      <c r="N496" s="14">
        <f>CHOOSE(CONTROL!$C$42, 25.6636, 25.6636) * CHOOSE(CONTROL!$C$21, $C$9, 100%, $E$9)</f>
        <v>25.663599999999999</v>
      </c>
      <c r="O496" s="14">
        <f>CHOOSE(CONTROL!$C$42, 25.8777, 25.8777) * CHOOSE(CONTROL!$C$21, $C$9, 100%, $E$9)</f>
        <v>25.877700000000001</v>
      </c>
      <c r="P496" s="14">
        <f>CHOOSE(CONTROL!$C$42, 25.7385, 25.7385) * CHOOSE(CONTROL!$C$21, $C$9, 100%, $E$9)</f>
        <v>25.738499999999998</v>
      </c>
      <c r="Q496" s="14">
        <f>CHOOSE(CONTROL!$C$42, 26.4724, 26.4724) * CHOOSE(CONTROL!$C$21, $C$9, 100%, $E$9)</f>
        <v>26.4724</v>
      </c>
      <c r="R496" s="14">
        <f>CHOOSE(CONTROL!$C$42, 27.1256, 27.1256) * CHOOSE(CONTROL!$C$21, $C$9, 100%, $E$9)</f>
        <v>27.125599999999999</v>
      </c>
      <c r="S496" s="14">
        <f>CHOOSE(CONTROL!$C$42, 25.1238, 25.1238) * CHOOSE(CONTROL!$C$21, $C$9, 100%, $E$9)</f>
        <v>25.123799999999999</v>
      </c>
      <c r="T49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56">
        <f>(1000*CHOOSE(CONTROL!$C$42, 695, 695)*CHOOSE(CONTROL!$C$42, 0.5599, 0.5599)*CHOOSE(CONTROL!$C$42, 30, 30))/1000000</f>
        <v>11.673914999999997</v>
      </c>
      <c r="V496" s="56">
        <f>(1000*CHOOSE(CONTROL!$C$42, 500, 500)*CHOOSE(CONTROL!$C$42, 0.275, 0.275)*CHOOSE(CONTROL!$C$42, 30, 30))/1000000</f>
        <v>4.125</v>
      </c>
      <c r="W496" s="56">
        <f>(1000*CHOOSE(CONTROL!$C$42, 0.1146, 0.1146)*CHOOSE(CONTROL!$C$42, 121.5, 121.5)*CHOOSE(CONTROL!$C$42, 30, 30))/1000000</f>
        <v>0.417717</v>
      </c>
      <c r="X496" s="56">
        <f>(30*0.1790888*245000/1000000)+(30*0.2374*100000/1000000)</f>
        <v>2.0285026799999999</v>
      </c>
      <c r="Y496" s="56"/>
      <c r="Z496" s="14"/>
      <c r="AA496" s="55"/>
      <c r="AB496" s="49">
        <f>(B496*141.293+C496*267.993+D496*115.016+E496*89.698+F496*40+G496*185+H496*0+I496*100+J496*300)/(141.293+267.993+115.016+89.698+0+40+185+100+300)</f>
        <v>26.219195877078288</v>
      </c>
      <c r="AC496" s="44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25.728784892086331</v>
      </c>
    </row>
    <row r="497" spans="1:29" ht="15.75" x14ac:dyDescent="0.25">
      <c r="A497" s="32">
        <v>56035</v>
      </c>
      <c r="B497" s="14">
        <f>CHOOSE(CONTROL!$C$42, 26.388, 26.388) * CHOOSE(CONTROL!$C$21, $C$9, 100%, $E$9)</f>
        <v>26.388000000000002</v>
      </c>
      <c r="C497" s="14">
        <f>CHOOSE(CONTROL!$C$42, 26.396, 26.396) * CHOOSE(CONTROL!$C$21, $C$9, 100%, $E$9)</f>
        <v>26.396000000000001</v>
      </c>
      <c r="D497" s="14">
        <f>CHOOSE(CONTROL!$C$42, 26.6218, 26.6218) * CHOOSE(CONTROL!$C$21, $C$9, 100%, $E$9)</f>
        <v>26.6218</v>
      </c>
      <c r="E497" s="14">
        <f>CHOOSE(CONTROL!$C$42, 26.6533, 26.6533) * CHOOSE(CONTROL!$C$21, $C$9, 100%, $E$9)</f>
        <v>26.653300000000002</v>
      </c>
      <c r="F497" s="14">
        <f>CHOOSE(CONTROL!$C$42, 26.4136, 26.4136)*CHOOSE(CONTROL!$C$21, $C$9, 100%, $E$9)</f>
        <v>26.413599999999999</v>
      </c>
      <c r="G497" s="14">
        <f>CHOOSE(CONTROL!$C$42, 26.4306, 26.4306)*CHOOSE(CONTROL!$C$21, $C$9, 100%, $E$9)</f>
        <v>26.430599999999998</v>
      </c>
      <c r="H497" s="14">
        <f>CHOOSE(CONTROL!$C$42, 26.6419, 26.6419) * CHOOSE(CONTROL!$C$21, $C$9, 100%, $E$9)</f>
        <v>26.6419</v>
      </c>
      <c r="I497" s="14">
        <f>CHOOSE(CONTROL!$C$42, 26.5022, 26.5022)* CHOOSE(CONTROL!$C$21, $C$9, 100%, $E$9)</f>
        <v>26.502199999999998</v>
      </c>
      <c r="J497" s="14">
        <f>CHOOSE(CONTROL!$C$42, 26.4066, 26.4066)* CHOOSE(CONTROL!$C$21, $C$9, 100%, $E$9)</f>
        <v>26.406600000000001</v>
      </c>
      <c r="K497" s="52">
        <f>CHOOSE(CONTROL!$C$42, 26.4983, 26.4983) * CHOOSE(CONTROL!$C$21, $C$9, 100%, $E$9)</f>
        <v>26.4983</v>
      </c>
      <c r="L497" s="14">
        <f>CHOOSE(CONTROL!$C$42, 27.2289, 27.2289) * CHOOSE(CONTROL!$C$21, $C$9, 100%, $E$9)</f>
        <v>27.228899999999999</v>
      </c>
      <c r="M497" s="14">
        <f>CHOOSE(CONTROL!$C$42, 25.8733, 25.8733) * CHOOSE(CONTROL!$C$21, $C$9, 100%, $E$9)</f>
        <v>25.8733</v>
      </c>
      <c r="N497" s="14">
        <f>CHOOSE(CONTROL!$C$42, 25.8899, 25.8899) * CHOOSE(CONTROL!$C$21, $C$9, 100%, $E$9)</f>
        <v>25.889900000000001</v>
      </c>
      <c r="O497" s="14">
        <f>CHOOSE(CONTROL!$C$42, 26.1037, 26.1037) * CHOOSE(CONTROL!$C$21, $C$9, 100%, $E$9)</f>
        <v>26.1037</v>
      </c>
      <c r="P497" s="14">
        <f>CHOOSE(CONTROL!$C$42, 25.9653, 25.9653) * CHOOSE(CONTROL!$C$21, $C$9, 100%, $E$9)</f>
        <v>25.965299999999999</v>
      </c>
      <c r="Q497" s="14">
        <f>CHOOSE(CONTROL!$C$42, 26.6984, 26.6984) * CHOOSE(CONTROL!$C$21, $C$9, 100%, $E$9)</f>
        <v>26.698399999999999</v>
      </c>
      <c r="R497" s="14">
        <f>CHOOSE(CONTROL!$C$42, 27.3522, 27.3522) * CHOOSE(CONTROL!$C$21, $C$9, 100%, $E$9)</f>
        <v>27.3522</v>
      </c>
      <c r="S497" s="14">
        <f>CHOOSE(CONTROL!$C$42, 25.3456, 25.3456) * CHOOSE(CONTROL!$C$21, $C$9, 100%, $E$9)</f>
        <v>25.345600000000001</v>
      </c>
      <c r="T49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56">
        <f>(1000*CHOOSE(CONTROL!$C$42, 695, 695)*CHOOSE(CONTROL!$C$42, 0.5599, 0.5599)*CHOOSE(CONTROL!$C$42, 31, 31))/1000000</f>
        <v>12.063045499999998</v>
      </c>
      <c r="V497" s="56">
        <f>(1000*CHOOSE(CONTROL!$C$42, 500, 500)*CHOOSE(CONTROL!$C$42, 0.275, 0.275)*CHOOSE(CONTROL!$C$42, 31, 31))/1000000</f>
        <v>4.2625000000000002</v>
      </c>
      <c r="W497" s="56">
        <f>(1000*CHOOSE(CONTROL!$C$42, 0.1146, 0.1146)*CHOOSE(CONTROL!$C$42, 121.5, 121.5)*CHOOSE(CONTROL!$C$42, 31, 31))/1000000</f>
        <v>0.43164089999999994</v>
      </c>
      <c r="X497" s="56">
        <f>(31*0.1790888*245000/1000000)+(31*0.2374*100000/1000000)</f>
        <v>2.0961194359999999</v>
      </c>
      <c r="Y497" s="56"/>
      <c r="Z497" s="14"/>
      <c r="AA497" s="55"/>
      <c r="AB497" s="49">
        <f>(B497*194.205+C497*267.466+D497*133.845+E497*53.484+F497*40+G497*185+H497*0+I497*100+J497*300)/(194.205+267.466+133.845+53.484+0+40+185+100+300)</f>
        <v>26.445713496232344</v>
      </c>
      <c r="AC497" s="44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25.955003597122303</v>
      </c>
    </row>
    <row r="498" spans="1:29" ht="15.75" x14ac:dyDescent="0.25">
      <c r="A498" s="32">
        <v>56065</v>
      </c>
      <c r="B498" s="14">
        <f>CHOOSE(CONTROL!$C$42, 27.1362, 27.1362) * CHOOSE(CONTROL!$C$21, $C$9, 100%, $E$9)</f>
        <v>27.136199999999999</v>
      </c>
      <c r="C498" s="14">
        <f>CHOOSE(CONTROL!$C$42, 27.1442, 27.1442) * CHOOSE(CONTROL!$C$21, $C$9, 100%, $E$9)</f>
        <v>27.144200000000001</v>
      </c>
      <c r="D498" s="14">
        <f>CHOOSE(CONTROL!$C$42, 27.37, 27.37) * CHOOSE(CONTROL!$C$21, $C$9, 100%, $E$9)</f>
        <v>27.37</v>
      </c>
      <c r="E498" s="14">
        <f>CHOOSE(CONTROL!$C$42, 27.4015, 27.4015) * CHOOSE(CONTROL!$C$21, $C$9, 100%, $E$9)</f>
        <v>27.401499999999999</v>
      </c>
      <c r="F498" s="14">
        <f>CHOOSE(CONTROL!$C$42, 27.1623, 27.1623)*CHOOSE(CONTROL!$C$21, $C$9, 100%, $E$9)</f>
        <v>27.162299999999998</v>
      </c>
      <c r="G498" s="14">
        <f>CHOOSE(CONTROL!$C$42, 27.1794, 27.1794)*CHOOSE(CONTROL!$C$21, $C$9, 100%, $E$9)</f>
        <v>27.179400000000001</v>
      </c>
      <c r="H498" s="14">
        <f>CHOOSE(CONTROL!$C$42, 27.3901, 27.3901) * CHOOSE(CONTROL!$C$21, $C$9, 100%, $E$9)</f>
        <v>27.3901</v>
      </c>
      <c r="I498" s="14">
        <f>CHOOSE(CONTROL!$C$42, 27.2527, 27.2527)* CHOOSE(CONTROL!$C$21, $C$9, 100%, $E$9)</f>
        <v>27.252700000000001</v>
      </c>
      <c r="J498" s="14">
        <f>CHOOSE(CONTROL!$C$42, 27.1553, 27.1553)* CHOOSE(CONTROL!$C$21, $C$9, 100%, $E$9)</f>
        <v>27.1553</v>
      </c>
      <c r="K498" s="52">
        <f>CHOOSE(CONTROL!$C$42, 27.2488, 27.2488) * CHOOSE(CONTROL!$C$21, $C$9, 100%, $E$9)</f>
        <v>27.248799999999999</v>
      </c>
      <c r="L498" s="14">
        <f>CHOOSE(CONTROL!$C$42, 27.9771, 27.9771) * CHOOSE(CONTROL!$C$21, $C$9, 100%, $E$9)</f>
        <v>27.9771</v>
      </c>
      <c r="M498" s="14">
        <f>CHOOSE(CONTROL!$C$42, 26.6066, 26.6066) * CHOOSE(CONTROL!$C$21, $C$9, 100%, $E$9)</f>
        <v>26.6066</v>
      </c>
      <c r="N498" s="14">
        <f>CHOOSE(CONTROL!$C$42, 26.6233, 26.6233) * CHOOSE(CONTROL!$C$21, $C$9, 100%, $E$9)</f>
        <v>26.6233</v>
      </c>
      <c r="O498" s="14">
        <f>CHOOSE(CONTROL!$C$42, 26.8366, 26.8366) * CHOOSE(CONTROL!$C$21, $C$9, 100%, $E$9)</f>
        <v>26.836600000000001</v>
      </c>
      <c r="P498" s="14">
        <f>CHOOSE(CONTROL!$C$42, 26.7004, 26.7004) * CHOOSE(CONTROL!$C$21, $C$9, 100%, $E$9)</f>
        <v>26.700399999999998</v>
      </c>
      <c r="Q498" s="14">
        <f>CHOOSE(CONTROL!$C$42, 27.4313, 27.4313) * CHOOSE(CONTROL!$C$21, $C$9, 100%, $E$9)</f>
        <v>27.4313</v>
      </c>
      <c r="R498" s="14">
        <f>CHOOSE(CONTROL!$C$42, 28.0869, 28.0869) * CHOOSE(CONTROL!$C$21, $C$9, 100%, $E$9)</f>
        <v>28.0869</v>
      </c>
      <c r="S498" s="14">
        <f>CHOOSE(CONTROL!$C$42, 26.0645, 26.0645) * CHOOSE(CONTROL!$C$21, $C$9, 100%, $E$9)</f>
        <v>26.064499999999999</v>
      </c>
      <c r="T49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56">
        <f>(1000*CHOOSE(CONTROL!$C$42, 695, 695)*CHOOSE(CONTROL!$C$42, 0.5599, 0.5599)*CHOOSE(CONTROL!$C$42, 30, 30))/1000000</f>
        <v>11.673914999999997</v>
      </c>
      <c r="V498" s="56">
        <f>(1000*CHOOSE(CONTROL!$C$42, 500, 500)*CHOOSE(CONTROL!$C$42, 0.275, 0.275)*CHOOSE(CONTROL!$C$42, 30, 30))/1000000</f>
        <v>4.125</v>
      </c>
      <c r="W498" s="56">
        <f>(1000*CHOOSE(CONTROL!$C$42, 0.1146, 0.1146)*CHOOSE(CONTROL!$C$42, 121.5, 121.5)*CHOOSE(CONTROL!$C$42, 30, 30))/1000000</f>
        <v>0.417717</v>
      </c>
      <c r="X498" s="56">
        <f>(30*0.1790888*245000/1000000)+(30*0.2374*100000/1000000)</f>
        <v>2.0285026799999999</v>
      </c>
      <c r="Y498" s="56"/>
      <c r="Z498" s="14"/>
      <c r="AA498" s="55"/>
      <c r="AB498" s="49">
        <f>(B498*194.205+C498*267.466+D498*133.845+E498*53.484+F498*40+G498*185+H498*0+I498*100+J498*300)/(194.205+267.466+133.845+53.484+0+40+185+100+300)</f>
        <v>27.194314595133438</v>
      </c>
      <c r="AC498" s="44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26.688473381294965</v>
      </c>
    </row>
    <row r="499" spans="1:29" ht="15.75" x14ac:dyDescent="0.25">
      <c r="A499" s="32">
        <v>56096</v>
      </c>
      <c r="B499" s="14">
        <f>CHOOSE(CONTROL!$C$42, 26.6158, 26.6158) * CHOOSE(CONTROL!$C$21, $C$9, 100%, $E$9)</f>
        <v>26.6158</v>
      </c>
      <c r="C499" s="14">
        <f>CHOOSE(CONTROL!$C$42, 26.6238, 26.6238) * CHOOSE(CONTROL!$C$21, $C$9, 100%, $E$9)</f>
        <v>26.623799999999999</v>
      </c>
      <c r="D499" s="14">
        <f>CHOOSE(CONTROL!$C$42, 26.8496, 26.8496) * CHOOSE(CONTROL!$C$21, $C$9, 100%, $E$9)</f>
        <v>26.849599999999999</v>
      </c>
      <c r="E499" s="14">
        <f>CHOOSE(CONTROL!$C$42, 26.8811, 26.8811) * CHOOSE(CONTROL!$C$21, $C$9, 100%, $E$9)</f>
        <v>26.8811</v>
      </c>
      <c r="F499" s="14">
        <f>CHOOSE(CONTROL!$C$42, 26.6424, 26.6424)*CHOOSE(CONTROL!$C$21, $C$9, 100%, $E$9)</f>
        <v>26.642399999999999</v>
      </c>
      <c r="G499" s="14">
        <f>CHOOSE(CONTROL!$C$42, 26.6596, 26.6596)*CHOOSE(CONTROL!$C$21, $C$9, 100%, $E$9)</f>
        <v>26.659600000000001</v>
      </c>
      <c r="H499" s="14">
        <f>CHOOSE(CONTROL!$C$42, 26.8697, 26.8697) * CHOOSE(CONTROL!$C$21, $C$9, 100%, $E$9)</f>
        <v>26.869700000000002</v>
      </c>
      <c r="I499" s="14">
        <f>CHOOSE(CONTROL!$C$42, 26.7307, 26.7307)* CHOOSE(CONTROL!$C$21, $C$9, 100%, $E$9)</f>
        <v>26.730699999999999</v>
      </c>
      <c r="J499" s="14">
        <f>CHOOSE(CONTROL!$C$42, 26.6354, 26.6354)* CHOOSE(CONTROL!$C$21, $C$9, 100%, $E$9)</f>
        <v>26.635400000000001</v>
      </c>
      <c r="K499" s="52">
        <f>CHOOSE(CONTROL!$C$42, 26.7268, 26.7268) * CHOOSE(CONTROL!$C$21, $C$9, 100%, $E$9)</f>
        <v>26.726800000000001</v>
      </c>
      <c r="L499" s="14">
        <f>CHOOSE(CONTROL!$C$42, 27.4567, 27.4567) * CHOOSE(CONTROL!$C$21, $C$9, 100%, $E$9)</f>
        <v>27.456700000000001</v>
      </c>
      <c r="M499" s="14">
        <f>CHOOSE(CONTROL!$C$42, 26.0973, 26.0973) * CHOOSE(CONTROL!$C$21, $C$9, 100%, $E$9)</f>
        <v>26.097300000000001</v>
      </c>
      <c r="N499" s="14">
        <f>CHOOSE(CONTROL!$C$42, 26.1142, 26.1142) * CHOOSE(CONTROL!$C$21, $C$9, 100%, $E$9)</f>
        <v>26.1142</v>
      </c>
      <c r="O499" s="14">
        <f>CHOOSE(CONTROL!$C$42, 26.3269, 26.3269) * CHOOSE(CONTROL!$C$21, $C$9, 100%, $E$9)</f>
        <v>26.326899999999998</v>
      </c>
      <c r="P499" s="14">
        <f>CHOOSE(CONTROL!$C$42, 26.1891, 26.1891) * CHOOSE(CONTROL!$C$21, $C$9, 100%, $E$9)</f>
        <v>26.1891</v>
      </c>
      <c r="Q499" s="14">
        <f>CHOOSE(CONTROL!$C$42, 26.9216, 26.9216) * CHOOSE(CONTROL!$C$21, $C$9, 100%, $E$9)</f>
        <v>26.921600000000002</v>
      </c>
      <c r="R499" s="14">
        <f>CHOOSE(CONTROL!$C$42, 27.5759, 27.5759) * CHOOSE(CONTROL!$C$21, $C$9, 100%, $E$9)</f>
        <v>27.575900000000001</v>
      </c>
      <c r="S499" s="14">
        <f>CHOOSE(CONTROL!$C$42, 25.5645, 25.5645) * CHOOSE(CONTROL!$C$21, $C$9, 100%, $E$9)</f>
        <v>25.564499999999999</v>
      </c>
      <c r="T49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56">
        <f>(1000*CHOOSE(CONTROL!$C$42, 695, 695)*CHOOSE(CONTROL!$C$42, 0.5599, 0.5599)*CHOOSE(CONTROL!$C$42, 31, 31))/1000000</f>
        <v>12.063045499999998</v>
      </c>
      <c r="V499" s="56">
        <f>(1000*CHOOSE(CONTROL!$C$42, 500, 500)*CHOOSE(CONTROL!$C$42, 0.275, 0.275)*CHOOSE(CONTROL!$C$42, 31, 31))/1000000</f>
        <v>4.2625000000000002</v>
      </c>
      <c r="W499" s="56">
        <f>(1000*CHOOSE(CONTROL!$C$42, 0.1146, 0.1146)*CHOOSE(CONTROL!$C$42, 121.5, 121.5)*CHOOSE(CONTROL!$C$42, 31, 31))/1000000</f>
        <v>0.43164089999999994</v>
      </c>
      <c r="X499" s="56">
        <f>(31*0.1790888*245000/1000000)+(31*0.2374*100000/1000000)</f>
        <v>2.0961194359999999</v>
      </c>
      <c r="Y499" s="56"/>
      <c r="Z499" s="14"/>
      <c r="AA499" s="55"/>
      <c r="AB499" s="49">
        <f>(B499*194.205+C499*267.466+D499*133.845+E499*53.484+F499*40+G499*185+H499*0+I499*100+J499*300)/(194.205+267.466+133.845+53.484+0+40+185+100+300)</f>
        <v>26.674009571585561</v>
      </c>
      <c r="AC499" s="44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26.178819424460432</v>
      </c>
    </row>
    <row r="500" spans="1:29" ht="15.75" x14ac:dyDescent="0.25">
      <c r="A500" s="32">
        <v>56127</v>
      </c>
      <c r="B500" s="14">
        <f>CHOOSE(CONTROL!$C$42, 25.3017, 25.3017) * CHOOSE(CONTROL!$C$21, $C$9, 100%, $E$9)</f>
        <v>25.3017</v>
      </c>
      <c r="C500" s="14">
        <f>CHOOSE(CONTROL!$C$42, 25.3097, 25.3097) * CHOOSE(CONTROL!$C$21, $C$9, 100%, $E$9)</f>
        <v>25.309699999999999</v>
      </c>
      <c r="D500" s="14">
        <f>CHOOSE(CONTROL!$C$42, 25.5355, 25.5355) * CHOOSE(CONTROL!$C$21, $C$9, 100%, $E$9)</f>
        <v>25.535499999999999</v>
      </c>
      <c r="E500" s="14">
        <f>CHOOSE(CONTROL!$C$42, 25.567, 25.567) * CHOOSE(CONTROL!$C$21, $C$9, 100%, $E$9)</f>
        <v>25.567</v>
      </c>
      <c r="F500" s="14">
        <f>CHOOSE(CONTROL!$C$42, 25.3285, 25.3285)*CHOOSE(CONTROL!$C$21, $C$9, 100%, $E$9)</f>
        <v>25.328499999999998</v>
      </c>
      <c r="G500" s="14">
        <f>CHOOSE(CONTROL!$C$42, 25.3458, 25.3458)*CHOOSE(CONTROL!$C$21, $C$9, 100%, $E$9)</f>
        <v>25.345800000000001</v>
      </c>
      <c r="H500" s="14">
        <f>CHOOSE(CONTROL!$C$42, 25.5556, 25.5556) * CHOOSE(CONTROL!$C$21, $C$9, 100%, $E$9)</f>
        <v>25.555599999999998</v>
      </c>
      <c r="I500" s="14">
        <f>CHOOSE(CONTROL!$C$42, 25.4125, 25.4125)* CHOOSE(CONTROL!$C$21, $C$9, 100%, $E$9)</f>
        <v>25.412500000000001</v>
      </c>
      <c r="J500" s="14">
        <f>CHOOSE(CONTROL!$C$42, 25.3215, 25.3215)* CHOOSE(CONTROL!$C$21, $C$9, 100%, $E$9)</f>
        <v>25.3215</v>
      </c>
      <c r="K500" s="52">
        <f>CHOOSE(CONTROL!$C$42, 25.4086, 25.4086) * CHOOSE(CONTROL!$C$21, $C$9, 100%, $E$9)</f>
        <v>25.4086</v>
      </c>
      <c r="L500" s="14">
        <f>CHOOSE(CONTROL!$C$42, 26.1426, 26.1426) * CHOOSE(CONTROL!$C$21, $C$9, 100%, $E$9)</f>
        <v>26.142600000000002</v>
      </c>
      <c r="M500" s="14">
        <f>CHOOSE(CONTROL!$C$42, 24.8104, 24.8104) * CHOOSE(CONTROL!$C$21, $C$9, 100%, $E$9)</f>
        <v>24.810400000000001</v>
      </c>
      <c r="N500" s="14">
        <f>CHOOSE(CONTROL!$C$42, 24.8273, 24.8273) * CHOOSE(CONTROL!$C$21, $C$9, 100%, $E$9)</f>
        <v>24.827300000000001</v>
      </c>
      <c r="O500" s="14">
        <f>CHOOSE(CONTROL!$C$42, 25.0397, 25.0397) * CHOOSE(CONTROL!$C$21, $C$9, 100%, $E$9)</f>
        <v>25.0397</v>
      </c>
      <c r="P500" s="14">
        <f>CHOOSE(CONTROL!$C$42, 24.898, 24.898) * CHOOSE(CONTROL!$C$21, $C$9, 100%, $E$9)</f>
        <v>24.898</v>
      </c>
      <c r="Q500" s="14">
        <f>CHOOSE(CONTROL!$C$42, 25.6344, 25.6344) * CHOOSE(CONTROL!$C$21, $C$9, 100%, $E$9)</f>
        <v>25.634399999999999</v>
      </c>
      <c r="R500" s="14">
        <f>CHOOSE(CONTROL!$C$42, 26.2855, 26.2855) * CHOOSE(CONTROL!$C$21, $C$9, 100%, $E$9)</f>
        <v>26.285499999999999</v>
      </c>
      <c r="S500" s="14">
        <f>CHOOSE(CONTROL!$C$42, 24.3018, 24.3018) * CHOOSE(CONTROL!$C$21, $C$9, 100%, $E$9)</f>
        <v>24.3018</v>
      </c>
      <c r="T50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56">
        <f>(1000*CHOOSE(CONTROL!$C$42, 695, 695)*CHOOSE(CONTROL!$C$42, 0.5599, 0.5599)*CHOOSE(CONTROL!$C$42, 31, 31))/1000000</f>
        <v>12.063045499999998</v>
      </c>
      <c r="V500" s="56">
        <f>(1000*CHOOSE(CONTROL!$C$42, 500, 500)*CHOOSE(CONTROL!$C$42, 0.275, 0.275)*CHOOSE(CONTROL!$C$42, 31, 31))/1000000</f>
        <v>4.2625000000000002</v>
      </c>
      <c r="W500" s="56">
        <f>(1000*CHOOSE(CONTROL!$C$42, 0.1146, 0.1146)*CHOOSE(CONTROL!$C$42, 121.5, 121.5)*CHOOSE(CONTROL!$C$42, 31, 31))/1000000</f>
        <v>0.43164089999999994</v>
      </c>
      <c r="X500" s="56">
        <f>(31*0.1790888*245000/1000000)+(31*0.2374*100000/1000000)</f>
        <v>2.0961194359999999</v>
      </c>
      <c r="Y500" s="56"/>
      <c r="Z500" s="14"/>
      <c r="AA500" s="55"/>
      <c r="AB500" s="49">
        <f>(B500*194.205+C500*267.466+D500*133.845+E500*53.484+F500*40+G500*185+H500*0+I500*100+J500*300)/(194.205+267.466+133.845+53.484+0+40+185+100+300)</f>
        <v>25.359684689324961</v>
      </c>
      <c r="AC500" s="44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24.891230935251798</v>
      </c>
    </row>
    <row r="501" spans="1:29" ht="15.75" x14ac:dyDescent="0.25">
      <c r="A501" s="32">
        <v>56157</v>
      </c>
      <c r="B501" s="14">
        <f>CHOOSE(CONTROL!$C$42, 23.6959, 23.6959) * CHOOSE(CONTROL!$C$21, $C$9, 100%, $E$9)</f>
        <v>23.695900000000002</v>
      </c>
      <c r="C501" s="14">
        <f>CHOOSE(CONTROL!$C$42, 23.7039, 23.7039) * CHOOSE(CONTROL!$C$21, $C$9, 100%, $E$9)</f>
        <v>23.703900000000001</v>
      </c>
      <c r="D501" s="14">
        <f>CHOOSE(CONTROL!$C$42, 23.9297, 23.9297) * CHOOSE(CONTROL!$C$21, $C$9, 100%, $E$9)</f>
        <v>23.9297</v>
      </c>
      <c r="E501" s="14">
        <f>CHOOSE(CONTROL!$C$42, 23.9612, 23.9612) * CHOOSE(CONTROL!$C$21, $C$9, 100%, $E$9)</f>
        <v>23.961200000000002</v>
      </c>
      <c r="F501" s="14">
        <f>CHOOSE(CONTROL!$C$42, 23.7227, 23.7227)*CHOOSE(CONTROL!$C$21, $C$9, 100%, $E$9)</f>
        <v>23.7227</v>
      </c>
      <c r="G501" s="14">
        <f>CHOOSE(CONTROL!$C$42, 23.74, 23.74)*CHOOSE(CONTROL!$C$21, $C$9, 100%, $E$9)</f>
        <v>23.74</v>
      </c>
      <c r="H501" s="14">
        <f>CHOOSE(CONTROL!$C$42, 23.9498, 23.9498) * CHOOSE(CONTROL!$C$21, $C$9, 100%, $E$9)</f>
        <v>23.9498</v>
      </c>
      <c r="I501" s="14">
        <f>CHOOSE(CONTROL!$C$42, 23.8016, 23.8016)* CHOOSE(CONTROL!$C$21, $C$9, 100%, $E$9)</f>
        <v>23.801600000000001</v>
      </c>
      <c r="J501" s="14">
        <f>CHOOSE(CONTROL!$C$42, 23.7157, 23.7157)* CHOOSE(CONTROL!$C$21, $C$9, 100%, $E$9)</f>
        <v>23.715699999999998</v>
      </c>
      <c r="K501" s="52">
        <f>CHOOSE(CONTROL!$C$42, 23.7977, 23.7977) * CHOOSE(CONTROL!$C$21, $C$9, 100%, $E$9)</f>
        <v>23.797699999999999</v>
      </c>
      <c r="L501" s="14">
        <f>CHOOSE(CONTROL!$C$42, 24.5368, 24.5368) * CHOOSE(CONTROL!$C$21, $C$9, 100%, $E$9)</f>
        <v>24.536799999999999</v>
      </c>
      <c r="M501" s="14">
        <f>CHOOSE(CONTROL!$C$42, 23.2375, 23.2375) * CHOOSE(CONTROL!$C$21, $C$9, 100%, $E$9)</f>
        <v>23.237500000000001</v>
      </c>
      <c r="N501" s="14">
        <f>CHOOSE(CONTROL!$C$42, 23.2544, 23.2544) * CHOOSE(CONTROL!$C$21, $C$9, 100%, $E$9)</f>
        <v>23.2544</v>
      </c>
      <c r="O501" s="14">
        <f>CHOOSE(CONTROL!$C$42, 23.4668, 23.4668) * CHOOSE(CONTROL!$C$21, $C$9, 100%, $E$9)</f>
        <v>23.466799999999999</v>
      </c>
      <c r="P501" s="14">
        <f>CHOOSE(CONTROL!$C$42, 23.3202, 23.3202) * CHOOSE(CONTROL!$C$21, $C$9, 100%, $E$9)</f>
        <v>23.3202</v>
      </c>
      <c r="Q501" s="14">
        <f>CHOOSE(CONTROL!$C$42, 24.0615, 24.0615) * CHOOSE(CONTROL!$C$21, $C$9, 100%, $E$9)</f>
        <v>24.061499999999999</v>
      </c>
      <c r="R501" s="14">
        <f>CHOOSE(CONTROL!$C$42, 24.7086, 24.7086) * CHOOSE(CONTROL!$C$21, $C$9, 100%, $E$9)</f>
        <v>24.708600000000001</v>
      </c>
      <c r="S501" s="14">
        <f>CHOOSE(CONTROL!$C$42, 22.7587, 22.7587) * CHOOSE(CONTROL!$C$21, $C$9, 100%, $E$9)</f>
        <v>22.758700000000001</v>
      </c>
      <c r="T50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56">
        <f>(1000*CHOOSE(CONTROL!$C$42, 695, 695)*CHOOSE(CONTROL!$C$42, 0.5599, 0.5599)*CHOOSE(CONTROL!$C$42, 30, 30))/1000000</f>
        <v>11.673914999999997</v>
      </c>
      <c r="V501" s="56">
        <f>(1000*CHOOSE(CONTROL!$C$42, 500, 500)*CHOOSE(CONTROL!$C$42, 0.275, 0.275)*CHOOSE(CONTROL!$C$42, 30, 30))/1000000</f>
        <v>4.125</v>
      </c>
      <c r="W501" s="56">
        <f>(1000*CHOOSE(CONTROL!$C$42, 0.1146, 0.1146)*CHOOSE(CONTROL!$C$42, 121.5, 121.5)*CHOOSE(CONTROL!$C$42, 30, 30))/1000000</f>
        <v>0.417717</v>
      </c>
      <c r="X501" s="56">
        <f>(30*0.1790888*245000/1000000)+(30*0.2374*100000/1000000)</f>
        <v>2.0285026799999999</v>
      </c>
      <c r="Y501" s="56"/>
      <c r="Z501" s="14"/>
      <c r="AA501" s="55"/>
      <c r="AB501" s="49">
        <f>(B501*194.205+C501*267.466+D501*133.845+E501*53.484+F501*40+G501*185+H501*0+I501*100+J501*300)/(194.205+267.466+133.845+53.484+0+40+185+100+300)</f>
        <v>23.753484375353217</v>
      </c>
      <c r="AC501" s="44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23.317625899280575</v>
      </c>
    </row>
    <row r="502" spans="1:29" ht="15.75" x14ac:dyDescent="0.25">
      <c r="A502" s="32">
        <v>56188</v>
      </c>
      <c r="B502" s="14">
        <f>CHOOSE(CONTROL!$C$42, 23.2132, 23.2132) * CHOOSE(CONTROL!$C$21, $C$9, 100%, $E$9)</f>
        <v>23.213200000000001</v>
      </c>
      <c r="C502" s="14">
        <f>CHOOSE(CONTROL!$C$42, 23.2186, 23.2186) * CHOOSE(CONTROL!$C$21, $C$9, 100%, $E$9)</f>
        <v>23.218599999999999</v>
      </c>
      <c r="D502" s="14">
        <f>CHOOSE(CONTROL!$C$42, 23.4493, 23.4493) * CHOOSE(CONTROL!$C$21, $C$9, 100%, $E$9)</f>
        <v>23.449300000000001</v>
      </c>
      <c r="E502" s="14">
        <f>CHOOSE(CONTROL!$C$42, 23.4784, 23.4784) * CHOOSE(CONTROL!$C$21, $C$9, 100%, $E$9)</f>
        <v>23.478400000000001</v>
      </c>
      <c r="F502" s="14">
        <f>CHOOSE(CONTROL!$C$42, 23.2421, 23.2421)*CHOOSE(CONTROL!$C$21, $C$9, 100%, $E$9)</f>
        <v>23.242100000000001</v>
      </c>
      <c r="G502" s="14">
        <f>CHOOSE(CONTROL!$C$42, 23.2592, 23.2592)*CHOOSE(CONTROL!$C$21, $C$9, 100%, $E$9)</f>
        <v>23.2592</v>
      </c>
      <c r="H502" s="14">
        <f>CHOOSE(CONTROL!$C$42, 23.4689, 23.4689) * CHOOSE(CONTROL!$C$21, $C$9, 100%, $E$9)</f>
        <v>23.468900000000001</v>
      </c>
      <c r="I502" s="14">
        <f>CHOOSE(CONTROL!$C$42, 23.3192, 23.3192)* CHOOSE(CONTROL!$C$21, $C$9, 100%, $E$9)</f>
        <v>23.319199999999999</v>
      </c>
      <c r="J502" s="14">
        <f>CHOOSE(CONTROL!$C$42, 23.2351, 23.2351)* CHOOSE(CONTROL!$C$21, $C$9, 100%, $E$9)</f>
        <v>23.235099999999999</v>
      </c>
      <c r="K502" s="52">
        <f>CHOOSE(CONTROL!$C$42, 23.3154, 23.3154) * CHOOSE(CONTROL!$C$21, $C$9, 100%, $E$9)</f>
        <v>23.3154</v>
      </c>
      <c r="L502" s="14">
        <f>CHOOSE(CONTROL!$C$42, 24.0559, 24.0559) * CHOOSE(CONTROL!$C$21, $C$9, 100%, $E$9)</f>
        <v>24.055900000000001</v>
      </c>
      <c r="M502" s="14">
        <f>CHOOSE(CONTROL!$C$42, 22.7667, 22.7667) * CHOOSE(CONTROL!$C$21, $C$9, 100%, $E$9)</f>
        <v>22.7667</v>
      </c>
      <c r="N502" s="14">
        <f>CHOOSE(CONTROL!$C$42, 22.7835, 22.7835) * CHOOSE(CONTROL!$C$21, $C$9, 100%, $E$9)</f>
        <v>22.7835</v>
      </c>
      <c r="O502" s="14">
        <f>CHOOSE(CONTROL!$C$42, 22.9957, 22.9957) * CHOOSE(CONTROL!$C$21, $C$9, 100%, $E$9)</f>
        <v>22.995699999999999</v>
      </c>
      <c r="P502" s="14">
        <f>CHOOSE(CONTROL!$C$42, 22.8478, 22.8478) * CHOOSE(CONTROL!$C$21, $C$9, 100%, $E$9)</f>
        <v>22.847799999999999</v>
      </c>
      <c r="Q502" s="14">
        <f>CHOOSE(CONTROL!$C$42, 23.5904, 23.5904) * CHOOSE(CONTROL!$C$21, $C$9, 100%, $E$9)</f>
        <v>23.590399999999999</v>
      </c>
      <c r="R502" s="14">
        <f>CHOOSE(CONTROL!$C$42, 24.2364, 24.2364) * CHOOSE(CONTROL!$C$21, $C$9, 100%, $E$9)</f>
        <v>24.2364</v>
      </c>
      <c r="S502" s="14">
        <f>CHOOSE(CONTROL!$C$42, 22.2967, 22.2967) * CHOOSE(CONTROL!$C$21, $C$9, 100%, $E$9)</f>
        <v>22.296700000000001</v>
      </c>
      <c r="T50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56">
        <f>(1000*CHOOSE(CONTROL!$C$42, 695, 695)*CHOOSE(CONTROL!$C$42, 0.5599, 0.5599)*CHOOSE(CONTROL!$C$42, 31, 31))/1000000</f>
        <v>12.063045499999998</v>
      </c>
      <c r="V502" s="56">
        <f>(1000*CHOOSE(CONTROL!$C$42, 500, 500)*CHOOSE(CONTROL!$C$42, 0.275, 0.275)*CHOOSE(CONTROL!$C$42, 31, 31))/1000000</f>
        <v>4.2625000000000002</v>
      </c>
      <c r="W502" s="56">
        <f>(1000*CHOOSE(CONTROL!$C$42, 0.1146, 0.1146)*CHOOSE(CONTROL!$C$42, 121.5, 121.5)*CHOOSE(CONTROL!$C$42, 31, 31))/1000000</f>
        <v>0.43164089999999994</v>
      </c>
      <c r="X502" s="56">
        <f>(31*0.1790888*245000/1000000)+(31*0.2374*100000/1000000)</f>
        <v>2.0961194359999999</v>
      </c>
      <c r="Y502" s="56"/>
      <c r="Z502" s="14"/>
      <c r="AA502" s="55"/>
      <c r="AB502" s="49">
        <f>(B502*131.881+C502*277.167+D502*79.08+E502*125.872+F502*40+G502*185+H502*0+I502*100+J502*300)/(131.881+277.167+79.08+125.872+0+40+185+100+300)</f>
        <v>23.278078728167873</v>
      </c>
      <c r="AC502" s="44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22.846488489208632</v>
      </c>
    </row>
    <row r="503" spans="1:29" ht="15.75" x14ac:dyDescent="0.25">
      <c r="A503" s="32">
        <v>56218</v>
      </c>
      <c r="B503" s="14">
        <f>CHOOSE(CONTROL!$C$42, 23.8241, 23.8241) * CHOOSE(CONTROL!$C$21, $C$9, 100%, $E$9)</f>
        <v>23.824100000000001</v>
      </c>
      <c r="C503" s="14">
        <f>CHOOSE(CONTROL!$C$42, 23.8292, 23.8292) * CHOOSE(CONTROL!$C$21, $C$9, 100%, $E$9)</f>
        <v>23.8292</v>
      </c>
      <c r="D503" s="14">
        <f>CHOOSE(CONTROL!$C$42, 23.8982, 23.8982) * CHOOSE(CONTROL!$C$21, $C$9, 100%, $E$9)</f>
        <v>23.898199999999999</v>
      </c>
      <c r="E503" s="14">
        <f>CHOOSE(CONTROL!$C$42, 23.9323, 23.9323) * CHOOSE(CONTROL!$C$21, $C$9, 100%, $E$9)</f>
        <v>23.932300000000001</v>
      </c>
      <c r="F503" s="14">
        <f>CHOOSE(CONTROL!$C$42, 23.8597, 23.8597)*CHOOSE(CONTROL!$C$21, $C$9, 100%, $E$9)</f>
        <v>23.8597</v>
      </c>
      <c r="G503" s="14">
        <f>CHOOSE(CONTROL!$C$42, 23.8771, 23.8771)*CHOOSE(CONTROL!$C$21, $C$9, 100%, $E$9)</f>
        <v>23.877099999999999</v>
      </c>
      <c r="H503" s="14">
        <f>CHOOSE(CONTROL!$C$42, 23.9215, 23.9215) * CHOOSE(CONTROL!$C$21, $C$9, 100%, $E$9)</f>
        <v>23.921500000000002</v>
      </c>
      <c r="I503" s="14">
        <f>CHOOSE(CONTROL!$C$42, 23.9351, 23.9351)* CHOOSE(CONTROL!$C$21, $C$9, 100%, $E$9)</f>
        <v>23.935099999999998</v>
      </c>
      <c r="J503" s="14">
        <f>CHOOSE(CONTROL!$C$42, 23.8527, 23.8527)* CHOOSE(CONTROL!$C$21, $C$9, 100%, $E$9)</f>
        <v>23.852699999999999</v>
      </c>
      <c r="K503" s="52">
        <f>CHOOSE(CONTROL!$C$42, 23.9312, 23.9312) * CHOOSE(CONTROL!$C$21, $C$9, 100%, $E$9)</f>
        <v>23.9312</v>
      </c>
      <c r="L503" s="14">
        <f>CHOOSE(CONTROL!$C$42, 24.5085, 24.5085) * CHOOSE(CONTROL!$C$21, $C$9, 100%, $E$9)</f>
        <v>24.508500000000002</v>
      </c>
      <c r="M503" s="14">
        <f>CHOOSE(CONTROL!$C$42, 23.3717, 23.3717) * CHOOSE(CONTROL!$C$21, $C$9, 100%, $E$9)</f>
        <v>23.371700000000001</v>
      </c>
      <c r="N503" s="14">
        <f>CHOOSE(CONTROL!$C$42, 23.3887, 23.3887) * CHOOSE(CONTROL!$C$21, $C$9, 100%, $E$9)</f>
        <v>23.3887</v>
      </c>
      <c r="O503" s="14">
        <f>CHOOSE(CONTROL!$C$42, 23.439, 23.439) * CHOOSE(CONTROL!$C$21, $C$9, 100%, $E$9)</f>
        <v>23.439</v>
      </c>
      <c r="P503" s="14">
        <f>CHOOSE(CONTROL!$C$42, 23.4509, 23.4509) * CHOOSE(CONTROL!$C$21, $C$9, 100%, $E$9)</f>
        <v>23.450900000000001</v>
      </c>
      <c r="Q503" s="14">
        <f>CHOOSE(CONTROL!$C$42, 24.0337, 24.0337) * CHOOSE(CONTROL!$C$21, $C$9, 100%, $E$9)</f>
        <v>24.0337</v>
      </c>
      <c r="R503" s="14">
        <f>CHOOSE(CONTROL!$C$42, 24.6808, 24.6808) * CHOOSE(CONTROL!$C$21, $C$9, 100%, $E$9)</f>
        <v>24.680800000000001</v>
      </c>
      <c r="S503" s="14">
        <f>CHOOSE(CONTROL!$C$42, 22.884, 22.884) * CHOOSE(CONTROL!$C$21, $C$9, 100%, $E$9)</f>
        <v>22.884</v>
      </c>
      <c r="T50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56">
        <f>(1000*CHOOSE(CONTROL!$C$42, 695, 695)*CHOOSE(CONTROL!$C$42, 0.5599, 0.5599)*CHOOSE(CONTROL!$C$42, 30, 30))/1000000</f>
        <v>11.673914999999997</v>
      </c>
      <c r="V503" s="56">
        <f>(1000*CHOOSE(CONTROL!$C$42, 500, 500)*CHOOSE(CONTROL!$C$42, 0.275, 0.275)*CHOOSE(CONTROL!$C$42, 30, 30))/1000000</f>
        <v>4.125</v>
      </c>
      <c r="W503" s="56">
        <f>(1000*CHOOSE(CONTROL!$C$42, 0.1146, 0.1146)*CHOOSE(CONTROL!$C$42, 121.5, 121.5)*CHOOSE(CONTROL!$C$42, 30, 30))/1000000</f>
        <v>0.417717</v>
      </c>
      <c r="X503" s="56">
        <f>(30*0.1790888*100000/1000000)+(30*0.2374*100000/1000000)</f>
        <v>1.2494664</v>
      </c>
      <c r="Y503" s="56"/>
      <c r="Z503" s="14"/>
      <c r="AA503" s="55"/>
      <c r="AB503" s="49">
        <f>(B503*122.58+C503*297.941+D503*89.177+E503*40.302+F503*40+G503*160+H503*0+I503*100+J503*300)/(122.58+297.941+89.177+40.302+0+40+160+100+300)</f>
        <v>23.860684514086955</v>
      </c>
      <c r="AC503" s="44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23.414576978417269</v>
      </c>
    </row>
    <row r="504" spans="1:29" ht="15.75" x14ac:dyDescent="0.25">
      <c r="A504" s="32">
        <v>56249</v>
      </c>
      <c r="B504" s="14">
        <f>CHOOSE(CONTROL!$C$42, 25.4478, 25.4478) * CHOOSE(CONTROL!$C$21, $C$9, 100%, $E$9)</f>
        <v>25.447800000000001</v>
      </c>
      <c r="C504" s="14">
        <f>CHOOSE(CONTROL!$C$42, 25.4528, 25.4528) * CHOOSE(CONTROL!$C$21, $C$9, 100%, $E$9)</f>
        <v>25.4528</v>
      </c>
      <c r="D504" s="14">
        <f>CHOOSE(CONTROL!$C$42, 25.5219, 25.5219) * CHOOSE(CONTROL!$C$21, $C$9, 100%, $E$9)</f>
        <v>25.521899999999999</v>
      </c>
      <c r="E504" s="14">
        <f>CHOOSE(CONTROL!$C$42, 25.556, 25.556) * CHOOSE(CONTROL!$C$21, $C$9, 100%, $E$9)</f>
        <v>25.556000000000001</v>
      </c>
      <c r="F504" s="14">
        <f>CHOOSE(CONTROL!$C$42, 25.4856, 25.4856)*CHOOSE(CONTROL!$C$21, $C$9, 100%, $E$9)</f>
        <v>25.485600000000002</v>
      </c>
      <c r="G504" s="14">
        <f>CHOOSE(CONTROL!$C$42, 25.5036, 25.5036)*CHOOSE(CONTROL!$C$21, $C$9, 100%, $E$9)</f>
        <v>25.503599999999999</v>
      </c>
      <c r="H504" s="14">
        <f>CHOOSE(CONTROL!$C$42, 25.5452, 25.5452) * CHOOSE(CONTROL!$C$21, $C$9, 100%, $E$9)</f>
        <v>25.545200000000001</v>
      </c>
      <c r="I504" s="14">
        <f>CHOOSE(CONTROL!$C$42, 25.5638, 25.5638)* CHOOSE(CONTROL!$C$21, $C$9, 100%, $E$9)</f>
        <v>25.563800000000001</v>
      </c>
      <c r="J504" s="14">
        <f>CHOOSE(CONTROL!$C$42, 25.4786, 25.4786)* CHOOSE(CONTROL!$C$21, $C$9, 100%, $E$9)</f>
        <v>25.4786</v>
      </c>
      <c r="K504" s="52">
        <f>CHOOSE(CONTROL!$C$42, 25.5599, 25.5599) * CHOOSE(CONTROL!$C$21, $C$9, 100%, $E$9)</f>
        <v>25.559899999999999</v>
      </c>
      <c r="L504" s="14">
        <f>CHOOSE(CONTROL!$C$42, 26.1322, 26.1322) * CHOOSE(CONTROL!$C$21, $C$9, 100%, $E$9)</f>
        <v>26.132200000000001</v>
      </c>
      <c r="M504" s="14">
        <f>CHOOSE(CONTROL!$C$42, 24.9643, 24.9643) * CHOOSE(CONTROL!$C$21, $C$9, 100%, $E$9)</f>
        <v>24.964300000000001</v>
      </c>
      <c r="N504" s="14">
        <f>CHOOSE(CONTROL!$C$42, 24.9819, 24.9819) * CHOOSE(CONTROL!$C$21, $C$9, 100%, $E$9)</f>
        <v>24.9819</v>
      </c>
      <c r="O504" s="14">
        <f>CHOOSE(CONTROL!$C$42, 25.0294, 25.0294) * CHOOSE(CONTROL!$C$21, $C$9, 100%, $E$9)</f>
        <v>25.029399999999999</v>
      </c>
      <c r="P504" s="14">
        <f>CHOOSE(CONTROL!$C$42, 25.0462, 25.0462) * CHOOSE(CONTROL!$C$21, $C$9, 100%, $E$9)</f>
        <v>25.046199999999999</v>
      </c>
      <c r="Q504" s="14">
        <f>CHOOSE(CONTROL!$C$42, 25.6241, 25.6241) * CHOOSE(CONTROL!$C$21, $C$9, 100%, $E$9)</f>
        <v>25.624099999999999</v>
      </c>
      <c r="R504" s="14">
        <f>CHOOSE(CONTROL!$C$42, 26.2752, 26.2752) * CHOOSE(CONTROL!$C$21, $C$9, 100%, $E$9)</f>
        <v>26.275200000000002</v>
      </c>
      <c r="S504" s="14">
        <f>CHOOSE(CONTROL!$C$42, 24.4442, 24.4442) * CHOOSE(CONTROL!$C$21, $C$9, 100%, $E$9)</f>
        <v>24.444199999999999</v>
      </c>
      <c r="T50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56">
        <f>(1000*CHOOSE(CONTROL!$C$42, 695, 695)*CHOOSE(CONTROL!$C$42, 0.5599, 0.5599)*CHOOSE(CONTROL!$C$42, 31, 31))/1000000</f>
        <v>12.063045499999998</v>
      </c>
      <c r="V504" s="56">
        <f>(1000*CHOOSE(CONTROL!$C$42, 500, 500)*CHOOSE(CONTROL!$C$42, 0.275, 0.275)*CHOOSE(CONTROL!$C$42, 31, 31))/1000000</f>
        <v>4.2625000000000002</v>
      </c>
      <c r="W504" s="56">
        <f>(1000*CHOOSE(CONTROL!$C$42, 0.1146, 0.1146)*CHOOSE(CONTROL!$C$42, 121.5, 121.5)*CHOOSE(CONTROL!$C$42, 31, 31))/1000000</f>
        <v>0.43164089999999994</v>
      </c>
      <c r="X504" s="56">
        <f>(31*0.1790888*100000/1000000)+(31*0.2374*100000/1000000)</f>
        <v>1.2911152800000001</v>
      </c>
      <c r="Y504" s="56"/>
      <c r="Z504" s="14"/>
      <c r="AA504" s="55"/>
      <c r="AB504" s="49">
        <f>(B504*122.58+C504*297.941+D504*89.177+E504*40.302+F504*40+G504*160+H504*0+I504*100+J504*300)/(122.58+297.941+89.177+40.302+0+40+160+100+300)</f>
        <v>25.485833388782613</v>
      </c>
      <c r="AC504" s="44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25.006602877697841</v>
      </c>
    </row>
    <row r="505" spans="1:29" ht="15.75" x14ac:dyDescent="0.25">
      <c r="A505" s="32">
        <v>56280</v>
      </c>
      <c r="B505" s="14">
        <f>CHOOSE(CONTROL!$C$42, 27.5566, 27.5566) * CHOOSE(CONTROL!$C$21, $C$9, 100%, $E$9)</f>
        <v>27.5566</v>
      </c>
      <c r="C505" s="14">
        <f>CHOOSE(CONTROL!$C$42, 27.5617, 27.5617) * CHOOSE(CONTROL!$C$21, $C$9, 100%, $E$9)</f>
        <v>27.561699999999998</v>
      </c>
      <c r="D505" s="14">
        <f>CHOOSE(CONTROL!$C$42, 27.6411, 27.6411) * CHOOSE(CONTROL!$C$21, $C$9, 100%, $E$9)</f>
        <v>27.641100000000002</v>
      </c>
      <c r="E505" s="14">
        <f>CHOOSE(CONTROL!$C$42, 27.6752, 27.6752) * CHOOSE(CONTROL!$C$21, $C$9, 100%, $E$9)</f>
        <v>27.6752</v>
      </c>
      <c r="F505" s="14">
        <f>CHOOSE(CONTROL!$C$42, 27.5796, 27.5796)*CHOOSE(CONTROL!$C$21, $C$9, 100%, $E$9)</f>
        <v>27.579599999999999</v>
      </c>
      <c r="G505" s="14">
        <f>CHOOSE(CONTROL!$C$42, 27.5972, 27.5972)*CHOOSE(CONTROL!$C$21, $C$9, 100%, $E$9)</f>
        <v>27.597200000000001</v>
      </c>
      <c r="H505" s="14">
        <f>CHOOSE(CONTROL!$C$42, 27.6644, 27.6644) * CHOOSE(CONTROL!$C$21, $C$9, 100%, $E$9)</f>
        <v>27.664400000000001</v>
      </c>
      <c r="I505" s="14">
        <f>CHOOSE(CONTROL!$C$42, 27.6782, 27.6782)* CHOOSE(CONTROL!$C$21, $C$9, 100%, $E$9)</f>
        <v>27.6782</v>
      </c>
      <c r="J505" s="14">
        <f>CHOOSE(CONTROL!$C$42, 27.5726, 27.5726)* CHOOSE(CONTROL!$C$21, $C$9, 100%, $E$9)</f>
        <v>27.572600000000001</v>
      </c>
      <c r="K505" s="52">
        <f>CHOOSE(CONTROL!$C$42, 27.6743, 27.6743) * CHOOSE(CONTROL!$C$21, $C$9, 100%, $E$9)</f>
        <v>27.674299999999999</v>
      </c>
      <c r="L505" s="14">
        <f>CHOOSE(CONTROL!$C$42, 28.2514, 28.2514) * CHOOSE(CONTROL!$C$21, $C$9, 100%, $E$9)</f>
        <v>28.2514</v>
      </c>
      <c r="M505" s="14">
        <f>CHOOSE(CONTROL!$C$42, 27.0154, 27.0154) * CHOOSE(CONTROL!$C$21, $C$9, 100%, $E$9)</f>
        <v>27.0154</v>
      </c>
      <c r="N505" s="14">
        <f>CHOOSE(CONTROL!$C$42, 27.0325, 27.0325) * CHOOSE(CONTROL!$C$21, $C$9, 100%, $E$9)</f>
        <v>27.032499999999999</v>
      </c>
      <c r="O505" s="14">
        <f>CHOOSE(CONTROL!$C$42, 27.1053, 27.1053) * CHOOSE(CONTROL!$C$21, $C$9, 100%, $E$9)</f>
        <v>27.1053</v>
      </c>
      <c r="P505" s="14">
        <f>CHOOSE(CONTROL!$C$42, 27.1171, 27.1171) * CHOOSE(CONTROL!$C$21, $C$9, 100%, $E$9)</f>
        <v>27.117100000000001</v>
      </c>
      <c r="Q505" s="14">
        <f>CHOOSE(CONTROL!$C$42, 27.7, 27.7) * CHOOSE(CONTROL!$C$21, $C$9, 100%, $E$9)</f>
        <v>27.7</v>
      </c>
      <c r="R505" s="14">
        <f>CHOOSE(CONTROL!$C$42, 28.3562, 28.3562) * CHOOSE(CONTROL!$C$21, $C$9, 100%, $E$9)</f>
        <v>28.356200000000001</v>
      </c>
      <c r="S505" s="14">
        <f>CHOOSE(CONTROL!$C$42, 26.4706, 26.4706) * CHOOSE(CONTROL!$C$21, $C$9, 100%, $E$9)</f>
        <v>26.470600000000001</v>
      </c>
      <c r="T50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56">
        <f>(1000*CHOOSE(CONTROL!$C$42, 695, 695)*CHOOSE(CONTROL!$C$42, 0.5599, 0.5599)*CHOOSE(CONTROL!$C$42, 31, 31))/1000000</f>
        <v>12.063045499999998</v>
      </c>
      <c r="V505" s="56">
        <f>(1000*CHOOSE(CONTROL!$C$42, 500, 500)*CHOOSE(CONTROL!$C$42, 0.275, 0.275)*CHOOSE(CONTROL!$C$42, 31, 31))/1000000</f>
        <v>4.2625000000000002</v>
      </c>
      <c r="W505" s="56">
        <f>(1000*CHOOSE(CONTROL!$C$42, 0.1146, 0.1146)*CHOOSE(CONTROL!$C$42, 121.5, 121.5)*CHOOSE(CONTROL!$C$42, 31, 31))/1000000</f>
        <v>0.43164089999999994</v>
      </c>
      <c r="X505" s="56">
        <f>(31*0.1790888*100000/1000000)+(31*0.2374*100000/1000000)</f>
        <v>1.2911152800000001</v>
      </c>
      <c r="Y505" s="56"/>
      <c r="Z505" s="14"/>
      <c r="AA505" s="55"/>
      <c r="AB505" s="49">
        <f>(B505*122.58+C505*297.941+D505*89.177+E505*40.302+F505*40+G505*160+H505*0+I505*100+J505*300)/(122.58+297.941+89.177+40.302+0+40+160+100+300)</f>
        <v>27.589826758956516</v>
      </c>
      <c r="AC505" s="44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27.071763309352516</v>
      </c>
    </row>
    <row r="506" spans="1:29" ht="15.75" x14ac:dyDescent="0.25">
      <c r="A506" s="32">
        <v>56308</v>
      </c>
      <c r="B506" s="14">
        <f>CHOOSE(CONTROL!$C$42, 28.047, 28.047) * CHOOSE(CONTROL!$C$21, $C$9, 100%, $E$9)</f>
        <v>28.047000000000001</v>
      </c>
      <c r="C506" s="14">
        <f>CHOOSE(CONTROL!$C$42, 28.0521, 28.0521) * CHOOSE(CONTROL!$C$21, $C$9, 100%, $E$9)</f>
        <v>28.052099999999999</v>
      </c>
      <c r="D506" s="14">
        <f>CHOOSE(CONTROL!$C$42, 28.1315, 28.1315) * CHOOSE(CONTROL!$C$21, $C$9, 100%, $E$9)</f>
        <v>28.131499999999999</v>
      </c>
      <c r="E506" s="14">
        <f>CHOOSE(CONTROL!$C$42, 28.1656, 28.1656) * CHOOSE(CONTROL!$C$21, $C$9, 100%, $E$9)</f>
        <v>28.165600000000001</v>
      </c>
      <c r="F506" s="14">
        <f>CHOOSE(CONTROL!$C$42, 28.0698, 28.0698)*CHOOSE(CONTROL!$C$21, $C$9, 100%, $E$9)</f>
        <v>28.069800000000001</v>
      </c>
      <c r="G506" s="14">
        <f>CHOOSE(CONTROL!$C$42, 28.0872, 28.0872)*CHOOSE(CONTROL!$C$21, $C$9, 100%, $E$9)</f>
        <v>28.087199999999999</v>
      </c>
      <c r="H506" s="14">
        <f>CHOOSE(CONTROL!$C$42, 28.1548, 28.1548) * CHOOSE(CONTROL!$C$21, $C$9, 100%, $E$9)</f>
        <v>28.154800000000002</v>
      </c>
      <c r="I506" s="14">
        <f>CHOOSE(CONTROL!$C$42, 28.1701, 28.1701)* CHOOSE(CONTROL!$C$21, $C$9, 100%, $E$9)</f>
        <v>28.170100000000001</v>
      </c>
      <c r="J506" s="14">
        <f>CHOOSE(CONTROL!$C$42, 28.0628, 28.0628)* CHOOSE(CONTROL!$C$21, $C$9, 100%, $E$9)</f>
        <v>28.062799999999999</v>
      </c>
      <c r="K506" s="52">
        <f>CHOOSE(CONTROL!$C$42, 28.1662, 28.1662) * CHOOSE(CONTROL!$C$21, $C$9, 100%, $E$9)</f>
        <v>28.1662</v>
      </c>
      <c r="L506" s="14">
        <f>CHOOSE(CONTROL!$C$42, 28.7418, 28.7418) * CHOOSE(CONTROL!$C$21, $C$9, 100%, $E$9)</f>
        <v>28.741800000000001</v>
      </c>
      <c r="M506" s="14">
        <f>CHOOSE(CONTROL!$C$42, 27.4955, 27.4955) * CHOOSE(CONTROL!$C$21, $C$9, 100%, $E$9)</f>
        <v>27.4955</v>
      </c>
      <c r="N506" s="14">
        <f>CHOOSE(CONTROL!$C$42, 27.5126, 27.5126) * CHOOSE(CONTROL!$C$21, $C$9, 100%, $E$9)</f>
        <v>27.512599999999999</v>
      </c>
      <c r="O506" s="14">
        <f>CHOOSE(CONTROL!$C$42, 27.5856, 27.5856) * CHOOSE(CONTROL!$C$21, $C$9, 100%, $E$9)</f>
        <v>27.585599999999999</v>
      </c>
      <c r="P506" s="14">
        <f>CHOOSE(CONTROL!$C$42, 27.5989, 27.5989) * CHOOSE(CONTROL!$C$21, $C$9, 100%, $E$9)</f>
        <v>27.5989</v>
      </c>
      <c r="Q506" s="14">
        <f>CHOOSE(CONTROL!$C$42, 28.1803, 28.1803) * CHOOSE(CONTROL!$C$21, $C$9, 100%, $E$9)</f>
        <v>28.180299999999999</v>
      </c>
      <c r="R506" s="14">
        <f>CHOOSE(CONTROL!$C$42, 28.8378, 28.8378) * CHOOSE(CONTROL!$C$21, $C$9, 100%, $E$9)</f>
        <v>28.837800000000001</v>
      </c>
      <c r="S506" s="14">
        <f>CHOOSE(CONTROL!$C$42, 26.9418, 26.9418) * CHOOSE(CONTROL!$C$21, $C$9, 100%, $E$9)</f>
        <v>26.941800000000001</v>
      </c>
      <c r="T50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56">
        <f>(1000*CHOOSE(CONTROL!$C$42, 695, 695)*CHOOSE(CONTROL!$C$42, 0.5599, 0.5599)*CHOOSE(CONTROL!$C$42, 28, 28))/1000000</f>
        <v>10.895653999999999</v>
      </c>
      <c r="V506" s="56">
        <f>(1000*CHOOSE(CONTROL!$C$42, 500, 500)*CHOOSE(CONTROL!$C$42, 0.275, 0.275)*CHOOSE(CONTROL!$C$42, 28, 28))/1000000</f>
        <v>3.85</v>
      </c>
      <c r="W506" s="56">
        <f>(1000*CHOOSE(CONTROL!$C$42, 0.1146, 0.1146)*CHOOSE(CONTROL!$C$42, 121.5, 121.5)*CHOOSE(CONTROL!$C$42, 28, 28))/1000000</f>
        <v>0.38986920000000003</v>
      </c>
      <c r="X506" s="56">
        <f>(28*0.1790888*100000/1000000)+(28*0.2374*100000/1000000)</f>
        <v>1.16616864</v>
      </c>
      <c r="Y506" s="56"/>
      <c r="Z506" s="14"/>
      <c r="AA506" s="55"/>
      <c r="AB506" s="49">
        <f>(B506*122.58+C506*297.941+D506*89.177+E506*40.302+F506*40+G506*160+H506*0+I506*100+J506*300)/(122.58+297.941+89.177+40.302+0+40+160+100+300)</f>
        <v>28.080242411130435</v>
      </c>
      <c r="AC506" s="44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27.552198561151076</v>
      </c>
    </row>
    <row r="507" spans="1:29" ht="15.75" x14ac:dyDescent="0.25">
      <c r="A507" s="32">
        <v>56339</v>
      </c>
      <c r="B507" s="14">
        <f>CHOOSE(CONTROL!$C$42, 27.251, 27.251) * CHOOSE(CONTROL!$C$21, $C$9, 100%, $E$9)</f>
        <v>27.251000000000001</v>
      </c>
      <c r="C507" s="14">
        <f>CHOOSE(CONTROL!$C$42, 27.2561, 27.2561) * CHOOSE(CONTROL!$C$21, $C$9, 100%, $E$9)</f>
        <v>27.2561</v>
      </c>
      <c r="D507" s="14">
        <f>CHOOSE(CONTROL!$C$42, 27.3355, 27.3355) * CHOOSE(CONTROL!$C$21, $C$9, 100%, $E$9)</f>
        <v>27.3355</v>
      </c>
      <c r="E507" s="14">
        <f>CHOOSE(CONTROL!$C$42, 27.3696, 27.3696) * CHOOSE(CONTROL!$C$21, $C$9, 100%, $E$9)</f>
        <v>27.369599999999998</v>
      </c>
      <c r="F507" s="14">
        <f>CHOOSE(CONTROL!$C$42, 27.273, 27.273)*CHOOSE(CONTROL!$C$21, $C$9, 100%, $E$9)</f>
        <v>27.273</v>
      </c>
      <c r="G507" s="14">
        <f>CHOOSE(CONTROL!$C$42, 27.2903, 27.2903)*CHOOSE(CONTROL!$C$21, $C$9, 100%, $E$9)</f>
        <v>27.290299999999998</v>
      </c>
      <c r="H507" s="14">
        <f>CHOOSE(CONTROL!$C$42, 27.3588, 27.3588) * CHOOSE(CONTROL!$C$21, $C$9, 100%, $E$9)</f>
        <v>27.358799999999999</v>
      </c>
      <c r="I507" s="14">
        <f>CHOOSE(CONTROL!$C$42, 27.3716, 27.3716)* CHOOSE(CONTROL!$C$21, $C$9, 100%, $E$9)</f>
        <v>27.371600000000001</v>
      </c>
      <c r="J507" s="14">
        <f>CHOOSE(CONTROL!$C$42, 27.266, 27.266)* CHOOSE(CONTROL!$C$21, $C$9, 100%, $E$9)</f>
        <v>27.265999999999998</v>
      </c>
      <c r="K507" s="52">
        <f>CHOOSE(CONTROL!$C$42, 27.3677, 27.3677) * CHOOSE(CONTROL!$C$21, $C$9, 100%, $E$9)</f>
        <v>27.367699999999999</v>
      </c>
      <c r="L507" s="14">
        <f>CHOOSE(CONTROL!$C$42, 27.9458, 27.9458) * CHOOSE(CONTROL!$C$21, $C$9, 100%, $E$9)</f>
        <v>27.945799999999998</v>
      </c>
      <c r="M507" s="14">
        <f>CHOOSE(CONTROL!$C$42, 26.7151, 26.7151) * CHOOSE(CONTROL!$C$21, $C$9, 100%, $E$9)</f>
        <v>26.7151</v>
      </c>
      <c r="N507" s="14">
        <f>CHOOSE(CONTROL!$C$42, 26.732, 26.732) * CHOOSE(CONTROL!$C$21, $C$9, 100%, $E$9)</f>
        <v>26.731999999999999</v>
      </c>
      <c r="O507" s="14">
        <f>CHOOSE(CONTROL!$C$42, 26.8059, 26.8059) * CHOOSE(CONTROL!$C$21, $C$9, 100%, $E$9)</f>
        <v>26.805900000000001</v>
      </c>
      <c r="P507" s="14">
        <f>CHOOSE(CONTROL!$C$42, 26.8168, 26.8168) * CHOOSE(CONTROL!$C$21, $C$9, 100%, $E$9)</f>
        <v>26.816800000000001</v>
      </c>
      <c r="Q507" s="14">
        <f>CHOOSE(CONTROL!$C$42, 27.4006, 27.4006) * CHOOSE(CONTROL!$C$21, $C$9, 100%, $E$9)</f>
        <v>27.400600000000001</v>
      </c>
      <c r="R507" s="14">
        <f>CHOOSE(CONTROL!$C$42, 28.0561, 28.0561) * CHOOSE(CONTROL!$C$21, $C$9, 100%, $E$9)</f>
        <v>28.056100000000001</v>
      </c>
      <c r="S507" s="14">
        <f>CHOOSE(CONTROL!$C$42, 26.1769, 26.1769) * CHOOSE(CONTROL!$C$21, $C$9, 100%, $E$9)</f>
        <v>26.1769</v>
      </c>
      <c r="T50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56">
        <f>(1000*CHOOSE(CONTROL!$C$42, 695, 695)*CHOOSE(CONTROL!$C$42, 0.5599, 0.5599)*CHOOSE(CONTROL!$C$42, 31, 31))/1000000</f>
        <v>12.063045499999998</v>
      </c>
      <c r="V507" s="56">
        <f>(1000*CHOOSE(CONTROL!$C$42, 500, 500)*CHOOSE(CONTROL!$C$42, 0.275, 0.275)*CHOOSE(CONTROL!$C$42, 31, 31))/1000000</f>
        <v>4.2625000000000002</v>
      </c>
      <c r="W507" s="56">
        <f>(1000*CHOOSE(CONTROL!$C$42, 0.1146, 0.1146)*CHOOSE(CONTROL!$C$42, 121.5, 121.5)*CHOOSE(CONTROL!$C$42, 31, 31))/1000000</f>
        <v>0.43164089999999994</v>
      </c>
      <c r="X507" s="56">
        <f>(31*0.1790888*100000/1000000)+(31*0.2374*100000/1000000)</f>
        <v>1.2911152800000001</v>
      </c>
      <c r="Y507" s="56"/>
      <c r="Z507" s="14"/>
      <c r="AA507" s="55"/>
      <c r="AB507" s="49">
        <f>(B507*122.58+C507*297.941+D507*89.177+E507*40.302+F507*40+G507*160+H507*0+I507*100+J507*300)/(122.58+297.941+89.177+40.302+0+40+160+100+300)</f>
        <v>27.283663280695649</v>
      </c>
      <c r="AC507" s="44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26.771859712230217</v>
      </c>
    </row>
    <row r="508" spans="1:29" ht="15.75" x14ac:dyDescent="0.25">
      <c r="A508" s="32">
        <v>56369</v>
      </c>
      <c r="B508" s="14">
        <f>CHOOSE(CONTROL!$C$42, 27.1704, 27.1704) * CHOOSE(CONTROL!$C$21, $C$9, 100%, $E$9)</f>
        <v>27.170400000000001</v>
      </c>
      <c r="C508" s="14">
        <f>CHOOSE(CONTROL!$C$42, 27.1749, 27.1749) * CHOOSE(CONTROL!$C$21, $C$9, 100%, $E$9)</f>
        <v>27.174900000000001</v>
      </c>
      <c r="D508" s="14">
        <f>CHOOSE(CONTROL!$C$42, 27.4038, 27.4038) * CHOOSE(CONTROL!$C$21, $C$9, 100%, $E$9)</f>
        <v>27.4038</v>
      </c>
      <c r="E508" s="14">
        <f>CHOOSE(CONTROL!$C$42, 27.436, 27.436) * CHOOSE(CONTROL!$C$21, $C$9, 100%, $E$9)</f>
        <v>27.436</v>
      </c>
      <c r="F508" s="14">
        <f>CHOOSE(CONTROL!$C$42, 27.1974, 27.1974)*CHOOSE(CONTROL!$C$21, $C$9, 100%, $E$9)</f>
        <v>27.197399999999998</v>
      </c>
      <c r="G508" s="14">
        <f>CHOOSE(CONTROL!$C$42, 27.2142, 27.2142)*CHOOSE(CONTROL!$C$21, $C$9, 100%, $E$9)</f>
        <v>27.214200000000002</v>
      </c>
      <c r="H508" s="14">
        <f>CHOOSE(CONTROL!$C$42, 27.4257, 27.4257) * CHOOSE(CONTROL!$C$21, $C$9, 100%, $E$9)</f>
        <v>27.425699999999999</v>
      </c>
      <c r="I508" s="14">
        <f>CHOOSE(CONTROL!$C$42, 27.2885, 27.2885)* CHOOSE(CONTROL!$C$21, $C$9, 100%, $E$9)</f>
        <v>27.288499999999999</v>
      </c>
      <c r="J508" s="14">
        <f>CHOOSE(CONTROL!$C$42, 27.1904, 27.1904)* CHOOSE(CONTROL!$C$21, $C$9, 100%, $E$9)</f>
        <v>27.1904</v>
      </c>
      <c r="K508" s="52">
        <f>CHOOSE(CONTROL!$C$42, 27.2846, 27.2846) * CHOOSE(CONTROL!$C$21, $C$9, 100%, $E$9)</f>
        <v>27.284600000000001</v>
      </c>
      <c r="L508" s="14">
        <f>CHOOSE(CONTROL!$C$42, 28.0127, 28.0127) * CHOOSE(CONTROL!$C$21, $C$9, 100%, $E$9)</f>
        <v>28.012699999999999</v>
      </c>
      <c r="M508" s="14">
        <f>CHOOSE(CONTROL!$C$42, 26.641, 26.641) * CHOOSE(CONTROL!$C$21, $C$9, 100%, $E$9)</f>
        <v>26.640999999999998</v>
      </c>
      <c r="N508" s="14">
        <f>CHOOSE(CONTROL!$C$42, 26.6574, 26.6574) * CHOOSE(CONTROL!$C$21, $C$9, 100%, $E$9)</f>
        <v>26.657399999999999</v>
      </c>
      <c r="O508" s="14">
        <f>CHOOSE(CONTROL!$C$42, 26.8715, 26.8715) * CHOOSE(CONTROL!$C$21, $C$9, 100%, $E$9)</f>
        <v>26.871500000000001</v>
      </c>
      <c r="P508" s="14">
        <f>CHOOSE(CONTROL!$C$42, 26.7354, 26.7354) * CHOOSE(CONTROL!$C$21, $C$9, 100%, $E$9)</f>
        <v>26.735399999999998</v>
      </c>
      <c r="Q508" s="14">
        <f>CHOOSE(CONTROL!$C$42, 27.4662, 27.4662) * CHOOSE(CONTROL!$C$21, $C$9, 100%, $E$9)</f>
        <v>27.466200000000001</v>
      </c>
      <c r="R508" s="14">
        <f>CHOOSE(CONTROL!$C$42, 28.1219, 28.1219) * CHOOSE(CONTROL!$C$21, $C$9, 100%, $E$9)</f>
        <v>28.1219</v>
      </c>
      <c r="S508" s="14">
        <f>CHOOSE(CONTROL!$C$42, 26.0988, 26.0988) * CHOOSE(CONTROL!$C$21, $C$9, 100%, $E$9)</f>
        <v>26.098800000000001</v>
      </c>
      <c r="T50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56">
        <f>(1000*CHOOSE(CONTROL!$C$42, 695, 695)*CHOOSE(CONTROL!$C$42, 0.5599, 0.5599)*CHOOSE(CONTROL!$C$42, 30, 30))/1000000</f>
        <v>11.673914999999997</v>
      </c>
      <c r="V508" s="56">
        <f>(1000*CHOOSE(CONTROL!$C$42, 500, 500)*CHOOSE(CONTROL!$C$42, 0.275, 0.275)*CHOOSE(CONTROL!$C$42, 30, 30))/1000000</f>
        <v>4.125</v>
      </c>
      <c r="W508" s="56">
        <f>(1000*CHOOSE(CONTROL!$C$42, 0.1146, 0.1146)*CHOOSE(CONTROL!$C$42, 121.5, 121.5)*CHOOSE(CONTROL!$C$42, 30, 30))/1000000</f>
        <v>0.417717</v>
      </c>
      <c r="X508" s="56">
        <f>(30*0.1790888*245000/1000000)+(30*0.2374*100000/1000000)</f>
        <v>2.0285026799999999</v>
      </c>
      <c r="Y508" s="56"/>
      <c r="Z508" s="14"/>
      <c r="AA508" s="55"/>
      <c r="AB508" s="49">
        <f>(B508*141.293+C508*267.993+D508*115.016+E508*89.698+F508*40+G508*185+H508*0+I508*100+J508*300)/(141.293+267.993+115.016+89.698+0+40+185+100+300)</f>
        <v>27.234054149878936</v>
      </c>
      <c r="AC508" s="44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26.723030935251799</v>
      </c>
    </row>
    <row r="509" spans="1:29" ht="15.75" x14ac:dyDescent="0.25">
      <c r="A509" s="32">
        <v>56400</v>
      </c>
      <c r="B509" s="14">
        <f>CHOOSE(CONTROL!$C$42, 27.4115, 27.4115) * CHOOSE(CONTROL!$C$21, $C$9, 100%, $E$9)</f>
        <v>27.4115</v>
      </c>
      <c r="C509" s="14">
        <f>CHOOSE(CONTROL!$C$42, 27.4196, 27.4196) * CHOOSE(CONTROL!$C$21, $C$9, 100%, $E$9)</f>
        <v>27.419599999999999</v>
      </c>
      <c r="D509" s="14">
        <f>CHOOSE(CONTROL!$C$42, 27.6454, 27.6454) * CHOOSE(CONTROL!$C$21, $C$9, 100%, $E$9)</f>
        <v>27.645399999999999</v>
      </c>
      <c r="E509" s="14">
        <f>CHOOSE(CONTROL!$C$42, 27.6768, 27.6768) * CHOOSE(CONTROL!$C$21, $C$9, 100%, $E$9)</f>
        <v>27.6768</v>
      </c>
      <c r="F509" s="14">
        <f>CHOOSE(CONTROL!$C$42, 27.4372, 27.4372)*CHOOSE(CONTROL!$C$21, $C$9, 100%, $E$9)</f>
        <v>27.437200000000001</v>
      </c>
      <c r="G509" s="14">
        <f>CHOOSE(CONTROL!$C$42, 27.4542, 27.4542)*CHOOSE(CONTROL!$C$21, $C$9, 100%, $E$9)</f>
        <v>27.4542</v>
      </c>
      <c r="H509" s="14">
        <f>CHOOSE(CONTROL!$C$42, 27.6655, 27.6655) * CHOOSE(CONTROL!$C$21, $C$9, 100%, $E$9)</f>
        <v>27.665500000000002</v>
      </c>
      <c r="I509" s="14">
        <f>CHOOSE(CONTROL!$C$42, 27.5289, 27.5289)* CHOOSE(CONTROL!$C$21, $C$9, 100%, $E$9)</f>
        <v>27.5289</v>
      </c>
      <c r="J509" s="14">
        <f>CHOOSE(CONTROL!$C$42, 27.4302, 27.4302)* CHOOSE(CONTROL!$C$21, $C$9, 100%, $E$9)</f>
        <v>27.430199999999999</v>
      </c>
      <c r="K509" s="52">
        <f>CHOOSE(CONTROL!$C$42, 27.525, 27.525) * CHOOSE(CONTROL!$C$21, $C$9, 100%, $E$9)</f>
        <v>27.524999999999999</v>
      </c>
      <c r="L509" s="14">
        <f>CHOOSE(CONTROL!$C$42, 28.2525, 28.2525) * CHOOSE(CONTROL!$C$21, $C$9, 100%, $E$9)</f>
        <v>28.252500000000001</v>
      </c>
      <c r="M509" s="14">
        <f>CHOOSE(CONTROL!$C$42, 26.8759, 26.8759) * CHOOSE(CONTROL!$C$21, $C$9, 100%, $E$9)</f>
        <v>26.875900000000001</v>
      </c>
      <c r="N509" s="14">
        <f>CHOOSE(CONTROL!$C$42, 26.8925, 26.8925) * CHOOSE(CONTROL!$C$21, $C$9, 100%, $E$9)</f>
        <v>26.892499999999998</v>
      </c>
      <c r="O509" s="14">
        <f>CHOOSE(CONTROL!$C$42, 27.1063, 27.1063) * CHOOSE(CONTROL!$C$21, $C$9, 100%, $E$9)</f>
        <v>27.106300000000001</v>
      </c>
      <c r="P509" s="14">
        <f>CHOOSE(CONTROL!$C$42, 26.9709, 26.9709) * CHOOSE(CONTROL!$C$21, $C$9, 100%, $E$9)</f>
        <v>26.9709</v>
      </c>
      <c r="Q509" s="14">
        <f>CHOOSE(CONTROL!$C$42, 27.701, 27.701) * CHOOSE(CONTROL!$C$21, $C$9, 100%, $E$9)</f>
        <v>27.701000000000001</v>
      </c>
      <c r="R509" s="14">
        <f>CHOOSE(CONTROL!$C$42, 28.3573, 28.3573) * CHOOSE(CONTROL!$C$21, $C$9, 100%, $E$9)</f>
        <v>28.357299999999999</v>
      </c>
      <c r="S509" s="14">
        <f>CHOOSE(CONTROL!$C$42, 26.3291, 26.3291) * CHOOSE(CONTROL!$C$21, $C$9, 100%, $E$9)</f>
        <v>26.3291</v>
      </c>
      <c r="T50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56">
        <f>(1000*CHOOSE(CONTROL!$C$42, 695, 695)*CHOOSE(CONTROL!$C$42, 0.5599, 0.5599)*CHOOSE(CONTROL!$C$42, 31, 31))/1000000</f>
        <v>12.063045499999998</v>
      </c>
      <c r="V509" s="56">
        <f>(1000*CHOOSE(CONTROL!$C$42, 500, 500)*CHOOSE(CONTROL!$C$42, 0.275, 0.275)*CHOOSE(CONTROL!$C$42, 31, 31))/1000000</f>
        <v>4.2625000000000002</v>
      </c>
      <c r="W509" s="56">
        <f>(1000*CHOOSE(CONTROL!$C$42, 0.1146, 0.1146)*CHOOSE(CONTROL!$C$42, 121.5, 121.5)*CHOOSE(CONTROL!$C$42, 31, 31))/1000000</f>
        <v>0.43164089999999994</v>
      </c>
      <c r="X509" s="56">
        <f>(31*0.1790888*245000/1000000)+(31*0.2374*100000/1000000)</f>
        <v>2.0961194359999999</v>
      </c>
      <c r="Y509" s="56"/>
      <c r="Z509" s="14"/>
      <c r="AA509" s="55"/>
      <c r="AB509" s="49">
        <f>(B509*194.205+C509*267.466+D509*133.845+E509*53.484+F509*40+G509*185+H509*0+I509*100+J509*300)/(194.205+267.466+133.845+53.484+0+40+185+100+300)</f>
        <v>27.469537382496075</v>
      </c>
      <c r="AC509" s="44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26.958035251798563</v>
      </c>
    </row>
    <row r="510" spans="1:29" ht="15.75" x14ac:dyDescent="0.25">
      <c r="A510" s="32">
        <v>56430</v>
      </c>
      <c r="B510" s="14">
        <f>CHOOSE(CONTROL!$C$42, 28.1888, 28.1888) * CHOOSE(CONTROL!$C$21, $C$9, 100%, $E$9)</f>
        <v>28.188800000000001</v>
      </c>
      <c r="C510" s="14">
        <f>CHOOSE(CONTROL!$C$42, 28.1968, 28.1968) * CHOOSE(CONTROL!$C$21, $C$9, 100%, $E$9)</f>
        <v>28.1968</v>
      </c>
      <c r="D510" s="14">
        <f>CHOOSE(CONTROL!$C$42, 28.4226, 28.4226) * CHOOSE(CONTROL!$C$21, $C$9, 100%, $E$9)</f>
        <v>28.422599999999999</v>
      </c>
      <c r="E510" s="14">
        <f>CHOOSE(CONTROL!$C$42, 28.4541, 28.4541) * CHOOSE(CONTROL!$C$21, $C$9, 100%, $E$9)</f>
        <v>28.4541</v>
      </c>
      <c r="F510" s="14">
        <f>CHOOSE(CONTROL!$C$42, 28.2149, 28.2149)*CHOOSE(CONTROL!$C$21, $C$9, 100%, $E$9)</f>
        <v>28.2149</v>
      </c>
      <c r="G510" s="14">
        <f>CHOOSE(CONTROL!$C$42, 28.232, 28.232)*CHOOSE(CONTROL!$C$21, $C$9, 100%, $E$9)</f>
        <v>28.231999999999999</v>
      </c>
      <c r="H510" s="14">
        <f>CHOOSE(CONTROL!$C$42, 28.4427, 28.4427) * CHOOSE(CONTROL!$C$21, $C$9, 100%, $E$9)</f>
        <v>28.442699999999999</v>
      </c>
      <c r="I510" s="14">
        <f>CHOOSE(CONTROL!$C$42, 28.3086, 28.3086)* CHOOSE(CONTROL!$C$21, $C$9, 100%, $E$9)</f>
        <v>28.308599999999998</v>
      </c>
      <c r="J510" s="14">
        <f>CHOOSE(CONTROL!$C$42, 28.2079, 28.2079)* CHOOSE(CONTROL!$C$21, $C$9, 100%, $E$9)</f>
        <v>28.207899999999999</v>
      </c>
      <c r="K510" s="52">
        <f>CHOOSE(CONTROL!$C$42, 28.3047, 28.3047) * CHOOSE(CONTROL!$C$21, $C$9, 100%, $E$9)</f>
        <v>28.3047</v>
      </c>
      <c r="L510" s="14">
        <f>CHOOSE(CONTROL!$C$42, 29.0297, 29.0297) * CHOOSE(CONTROL!$C$21, $C$9, 100%, $E$9)</f>
        <v>29.029699999999998</v>
      </c>
      <c r="M510" s="14">
        <f>CHOOSE(CONTROL!$C$42, 27.6376, 27.6376) * CHOOSE(CONTROL!$C$21, $C$9, 100%, $E$9)</f>
        <v>27.637599999999999</v>
      </c>
      <c r="N510" s="14">
        <f>CHOOSE(CONTROL!$C$42, 27.6543, 27.6543) * CHOOSE(CONTROL!$C$21, $C$9, 100%, $E$9)</f>
        <v>27.654299999999999</v>
      </c>
      <c r="O510" s="14">
        <f>CHOOSE(CONTROL!$C$42, 27.8676, 27.8676) * CHOOSE(CONTROL!$C$21, $C$9, 100%, $E$9)</f>
        <v>27.867599999999999</v>
      </c>
      <c r="P510" s="14">
        <f>CHOOSE(CONTROL!$C$42, 27.7346, 27.7346) * CHOOSE(CONTROL!$C$21, $C$9, 100%, $E$9)</f>
        <v>27.7346</v>
      </c>
      <c r="Q510" s="14">
        <f>CHOOSE(CONTROL!$C$42, 28.4623, 28.4623) * CHOOSE(CONTROL!$C$21, $C$9, 100%, $E$9)</f>
        <v>28.462299999999999</v>
      </c>
      <c r="R510" s="14">
        <f>CHOOSE(CONTROL!$C$42, 29.1205, 29.1205) * CHOOSE(CONTROL!$C$21, $C$9, 100%, $E$9)</f>
        <v>29.1205</v>
      </c>
      <c r="S510" s="14">
        <f>CHOOSE(CONTROL!$C$42, 27.076, 27.076) * CHOOSE(CONTROL!$C$21, $C$9, 100%, $E$9)</f>
        <v>27.076000000000001</v>
      </c>
      <c r="T51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56">
        <f>(1000*CHOOSE(CONTROL!$C$42, 695, 695)*CHOOSE(CONTROL!$C$42, 0.5599, 0.5599)*CHOOSE(CONTROL!$C$42, 30, 30))/1000000</f>
        <v>11.673914999999997</v>
      </c>
      <c r="V510" s="56">
        <f>(1000*CHOOSE(CONTROL!$C$42, 500, 500)*CHOOSE(CONTROL!$C$42, 0.275, 0.275)*CHOOSE(CONTROL!$C$42, 30, 30))/1000000</f>
        <v>4.125</v>
      </c>
      <c r="W510" s="56">
        <f>(1000*CHOOSE(CONTROL!$C$42, 0.1146, 0.1146)*CHOOSE(CONTROL!$C$42, 121.5, 121.5)*CHOOSE(CONTROL!$C$42, 30, 30))/1000000</f>
        <v>0.417717</v>
      </c>
      <c r="X510" s="56">
        <f>(30*0.1790888*245000/1000000)+(30*0.2374*100000/1000000)</f>
        <v>2.0285026799999999</v>
      </c>
      <c r="Y510" s="56"/>
      <c r="Z510" s="14"/>
      <c r="AA510" s="55"/>
      <c r="AB510" s="49">
        <f>(B510*194.205+C510*267.466+D510*133.845+E510*53.484+F510*40+G510*185+H510*0+I510*100+J510*300)/(194.205+267.466+133.845+53.484+0+40+185+100+300)</f>
        <v>28.247173621821034</v>
      </c>
      <c r="AC510" s="44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27.719933812949641</v>
      </c>
    </row>
    <row r="511" spans="1:29" ht="15.75" x14ac:dyDescent="0.25">
      <c r="A511" s="32">
        <v>56461</v>
      </c>
      <c r="B511" s="14">
        <f>CHOOSE(CONTROL!$C$42, 27.6482, 27.6482) * CHOOSE(CONTROL!$C$21, $C$9, 100%, $E$9)</f>
        <v>27.648199999999999</v>
      </c>
      <c r="C511" s="14">
        <f>CHOOSE(CONTROL!$C$42, 27.6562, 27.6562) * CHOOSE(CONTROL!$C$21, $C$9, 100%, $E$9)</f>
        <v>27.656199999999998</v>
      </c>
      <c r="D511" s="14">
        <f>CHOOSE(CONTROL!$C$42, 27.882, 27.882) * CHOOSE(CONTROL!$C$21, $C$9, 100%, $E$9)</f>
        <v>27.882000000000001</v>
      </c>
      <c r="E511" s="14">
        <f>CHOOSE(CONTROL!$C$42, 27.9135, 27.9135) * CHOOSE(CONTROL!$C$21, $C$9, 100%, $E$9)</f>
        <v>27.913499999999999</v>
      </c>
      <c r="F511" s="14">
        <f>CHOOSE(CONTROL!$C$42, 27.6748, 27.6748)*CHOOSE(CONTROL!$C$21, $C$9, 100%, $E$9)</f>
        <v>27.674800000000001</v>
      </c>
      <c r="G511" s="14">
        <f>CHOOSE(CONTROL!$C$42, 27.692, 27.692)*CHOOSE(CONTROL!$C$21, $C$9, 100%, $E$9)</f>
        <v>27.692</v>
      </c>
      <c r="H511" s="14">
        <f>CHOOSE(CONTROL!$C$42, 27.9021, 27.9021) * CHOOSE(CONTROL!$C$21, $C$9, 100%, $E$9)</f>
        <v>27.902100000000001</v>
      </c>
      <c r="I511" s="14">
        <f>CHOOSE(CONTROL!$C$42, 27.7663, 27.7663)* CHOOSE(CONTROL!$C$21, $C$9, 100%, $E$9)</f>
        <v>27.766300000000001</v>
      </c>
      <c r="J511" s="14">
        <f>CHOOSE(CONTROL!$C$42, 27.6678, 27.6678)* CHOOSE(CONTROL!$C$21, $C$9, 100%, $E$9)</f>
        <v>27.6678</v>
      </c>
      <c r="K511" s="52">
        <f>CHOOSE(CONTROL!$C$42, 27.7624, 27.7624) * CHOOSE(CONTROL!$C$21, $C$9, 100%, $E$9)</f>
        <v>27.7624</v>
      </c>
      <c r="L511" s="14">
        <f>CHOOSE(CONTROL!$C$42, 28.4891, 28.4891) * CHOOSE(CONTROL!$C$21, $C$9, 100%, $E$9)</f>
        <v>28.489100000000001</v>
      </c>
      <c r="M511" s="14">
        <f>CHOOSE(CONTROL!$C$42, 27.1086, 27.1086) * CHOOSE(CONTROL!$C$21, $C$9, 100%, $E$9)</f>
        <v>27.108599999999999</v>
      </c>
      <c r="N511" s="14">
        <f>CHOOSE(CONTROL!$C$42, 27.1254, 27.1254) * CHOOSE(CONTROL!$C$21, $C$9, 100%, $E$9)</f>
        <v>27.125399999999999</v>
      </c>
      <c r="O511" s="14">
        <f>CHOOSE(CONTROL!$C$42, 27.3381, 27.3381) * CHOOSE(CONTROL!$C$21, $C$9, 100%, $E$9)</f>
        <v>27.338100000000001</v>
      </c>
      <c r="P511" s="14">
        <f>CHOOSE(CONTROL!$C$42, 27.2035, 27.2035) * CHOOSE(CONTROL!$C$21, $C$9, 100%, $E$9)</f>
        <v>27.203499999999998</v>
      </c>
      <c r="Q511" s="14">
        <f>CHOOSE(CONTROL!$C$42, 27.9328, 27.9328) * CHOOSE(CONTROL!$C$21, $C$9, 100%, $E$9)</f>
        <v>27.9328</v>
      </c>
      <c r="R511" s="14">
        <f>CHOOSE(CONTROL!$C$42, 28.5896, 28.5896) * CHOOSE(CONTROL!$C$21, $C$9, 100%, $E$9)</f>
        <v>28.589600000000001</v>
      </c>
      <c r="S511" s="14">
        <f>CHOOSE(CONTROL!$C$42, 26.5565, 26.5565) * CHOOSE(CONTROL!$C$21, $C$9, 100%, $E$9)</f>
        <v>26.5565</v>
      </c>
      <c r="T51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56">
        <f>(1000*CHOOSE(CONTROL!$C$42, 695, 695)*CHOOSE(CONTROL!$C$42, 0.5599, 0.5599)*CHOOSE(CONTROL!$C$42, 31, 31))/1000000</f>
        <v>12.063045499999998</v>
      </c>
      <c r="V511" s="56">
        <f>(1000*CHOOSE(CONTROL!$C$42, 500, 500)*CHOOSE(CONTROL!$C$42, 0.275, 0.275)*CHOOSE(CONTROL!$C$42, 31, 31))/1000000</f>
        <v>4.2625000000000002</v>
      </c>
      <c r="W511" s="56">
        <f>(1000*CHOOSE(CONTROL!$C$42, 0.1146, 0.1146)*CHOOSE(CONTROL!$C$42, 121.5, 121.5)*CHOOSE(CONTROL!$C$42, 31, 31))/1000000</f>
        <v>0.43164089999999994</v>
      </c>
      <c r="X511" s="56">
        <f>(31*0.1790888*245000/1000000)+(31*0.2374*100000/1000000)</f>
        <v>2.0961194359999999</v>
      </c>
      <c r="Y511" s="56"/>
      <c r="Z511" s="14"/>
      <c r="AA511" s="55"/>
      <c r="AB511" s="49">
        <f>(B511*194.205+C511*267.466+D511*133.845+E511*53.484+F511*40+G511*185+H511*0+I511*100+J511*300)/(194.205+267.466+133.845+53.484+0+40+185+100+300)</f>
        <v>27.706660748979591</v>
      </c>
      <c r="AC511" s="44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27.190514388489209</v>
      </c>
    </row>
    <row r="512" spans="1:29" ht="15.75" x14ac:dyDescent="0.25">
      <c r="A512" s="32">
        <v>56492</v>
      </c>
      <c r="B512" s="14">
        <f>CHOOSE(CONTROL!$C$42, 26.2831, 26.2831) * CHOOSE(CONTROL!$C$21, $C$9, 100%, $E$9)</f>
        <v>26.283100000000001</v>
      </c>
      <c r="C512" s="14">
        <f>CHOOSE(CONTROL!$C$42, 26.2911, 26.2911) * CHOOSE(CONTROL!$C$21, $C$9, 100%, $E$9)</f>
        <v>26.2911</v>
      </c>
      <c r="D512" s="14">
        <f>CHOOSE(CONTROL!$C$42, 26.5169, 26.5169) * CHOOSE(CONTROL!$C$21, $C$9, 100%, $E$9)</f>
        <v>26.5169</v>
      </c>
      <c r="E512" s="14">
        <f>CHOOSE(CONTROL!$C$42, 26.5484, 26.5484) * CHOOSE(CONTROL!$C$21, $C$9, 100%, $E$9)</f>
        <v>26.548400000000001</v>
      </c>
      <c r="F512" s="14">
        <f>CHOOSE(CONTROL!$C$42, 26.3099, 26.3099)*CHOOSE(CONTROL!$C$21, $C$9, 100%, $E$9)</f>
        <v>26.309899999999999</v>
      </c>
      <c r="G512" s="14">
        <f>CHOOSE(CONTROL!$C$42, 26.3272, 26.3272)*CHOOSE(CONTROL!$C$21, $C$9, 100%, $E$9)</f>
        <v>26.327200000000001</v>
      </c>
      <c r="H512" s="14">
        <f>CHOOSE(CONTROL!$C$42, 26.537, 26.537) * CHOOSE(CONTROL!$C$21, $C$9, 100%, $E$9)</f>
        <v>26.536999999999999</v>
      </c>
      <c r="I512" s="14">
        <f>CHOOSE(CONTROL!$C$42, 26.397, 26.397)* CHOOSE(CONTROL!$C$21, $C$9, 100%, $E$9)</f>
        <v>26.396999999999998</v>
      </c>
      <c r="J512" s="14">
        <f>CHOOSE(CONTROL!$C$42, 26.3029, 26.3029)* CHOOSE(CONTROL!$C$21, $C$9, 100%, $E$9)</f>
        <v>26.302900000000001</v>
      </c>
      <c r="K512" s="52">
        <f>CHOOSE(CONTROL!$C$42, 26.3931, 26.3931) * CHOOSE(CONTROL!$C$21, $C$9, 100%, $E$9)</f>
        <v>26.3931</v>
      </c>
      <c r="L512" s="14">
        <f>CHOOSE(CONTROL!$C$42, 27.124, 27.124) * CHOOSE(CONTROL!$C$21, $C$9, 100%, $E$9)</f>
        <v>27.123999999999999</v>
      </c>
      <c r="M512" s="14">
        <f>CHOOSE(CONTROL!$C$42, 25.7717, 25.7717) * CHOOSE(CONTROL!$C$21, $C$9, 100%, $E$9)</f>
        <v>25.771699999999999</v>
      </c>
      <c r="N512" s="14">
        <f>CHOOSE(CONTROL!$C$42, 25.7886, 25.7886) * CHOOSE(CONTROL!$C$21, $C$9, 100%, $E$9)</f>
        <v>25.788599999999999</v>
      </c>
      <c r="O512" s="14">
        <f>CHOOSE(CONTROL!$C$42, 26.001, 26.001) * CHOOSE(CONTROL!$C$21, $C$9, 100%, $E$9)</f>
        <v>26.001000000000001</v>
      </c>
      <c r="P512" s="14">
        <f>CHOOSE(CONTROL!$C$42, 25.8622, 25.8622) * CHOOSE(CONTROL!$C$21, $C$9, 100%, $E$9)</f>
        <v>25.862200000000001</v>
      </c>
      <c r="Q512" s="14">
        <f>CHOOSE(CONTROL!$C$42, 26.5957, 26.5957) * CHOOSE(CONTROL!$C$21, $C$9, 100%, $E$9)</f>
        <v>26.595700000000001</v>
      </c>
      <c r="R512" s="14">
        <f>CHOOSE(CONTROL!$C$42, 27.2492, 27.2492) * CHOOSE(CONTROL!$C$21, $C$9, 100%, $E$9)</f>
        <v>27.249199999999998</v>
      </c>
      <c r="S512" s="14">
        <f>CHOOSE(CONTROL!$C$42, 25.2448, 25.2448) * CHOOSE(CONTROL!$C$21, $C$9, 100%, $E$9)</f>
        <v>25.244800000000001</v>
      </c>
      <c r="T51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56">
        <f>(1000*CHOOSE(CONTROL!$C$42, 695, 695)*CHOOSE(CONTROL!$C$42, 0.5599, 0.5599)*CHOOSE(CONTROL!$C$42, 31, 31))/1000000</f>
        <v>12.063045499999998</v>
      </c>
      <c r="V512" s="56">
        <f>(1000*CHOOSE(CONTROL!$C$42, 500, 500)*CHOOSE(CONTROL!$C$42, 0.275, 0.275)*CHOOSE(CONTROL!$C$42, 31, 31))/1000000</f>
        <v>4.2625000000000002</v>
      </c>
      <c r="W512" s="56">
        <f>(1000*CHOOSE(CONTROL!$C$42, 0.1146, 0.1146)*CHOOSE(CONTROL!$C$42, 121.5, 121.5)*CHOOSE(CONTROL!$C$42, 31, 31))/1000000</f>
        <v>0.43164089999999994</v>
      </c>
      <c r="X512" s="56">
        <f>(31*0.1790888*245000/1000000)+(31*0.2374*100000/1000000)</f>
        <v>2.0961194359999999</v>
      </c>
      <c r="Y512" s="56"/>
      <c r="Z512" s="14"/>
      <c r="AA512" s="55"/>
      <c r="AB512" s="49">
        <f>(B512*194.205+C512*267.466+D512*133.845+E512*53.484+F512*40+G512*185+H512*0+I512*100+J512*300)/(194.205+267.466+133.845+53.484+0+40+185+100+300)</f>
        <v>26.341328017425433</v>
      </c>
      <c r="AC512" s="44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25.852948201438849</v>
      </c>
    </row>
    <row r="513" spans="1:29" ht="15.75" x14ac:dyDescent="0.25">
      <c r="A513" s="32">
        <v>56522</v>
      </c>
      <c r="B513" s="14">
        <f>CHOOSE(CONTROL!$C$42, 24.615, 24.615) * CHOOSE(CONTROL!$C$21, $C$9, 100%, $E$9)</f>
        <v>24.614999999999998</v>
      </c>
      <c r="C513" s="14">
        <f>CHOOSE(CONTROL!$C$42, 24.623, 24.623) * CHOOSE(CONTROL!$C$21, $C$9, 100%, $E$9)</f>
        <v>24.623000000000001</v>
      </c>
      <c r="D513" s="14">
        <f>CHOOSE(CONTROL!$C$42, 24.8488, 24.8488) * CHOOSE(CONTROL!$C$21, $C$9, 100%, $E$9)</f>
        <v>24.848800000000001</v>
      </c>
      <c r="E513" s="14">
        <f>CHOOSE(CONTROL!$C$42, 24.8803, 24.8803) * CHOOSE(CONTROL!$C$21, $C$9, 100%, $E$9)</f>
        <v>24.880299999999998</v>
      </c>
      <c r="F513" s="14">
        <f>CHOOSE(CONTROL!$C$42, 24.6418, 24.6418)*CHOOSE(CONTROL!$C$21, $C$9, 100%, $E$9)</f>
        <v>24.6418</v>
      </c>
      <c r="G513" s="14">
        <f>CHOOSE(CONTROL!$C$42, 24.6591, 24.6591)*CHOOSE(CONTROL!$C$21, $C$9, 100%, $E$9)</f>
        <v>24.659099999999999</v>
      </c>
      <c r="H513" s="14">
        <f>CHOOSE(CONTROL!$C$42, 24.8689, 24.8689) * CHOOSE(CONTROL!$C$21, $C$9, 100%, $E$9)</f>
        <v>24.8689</v>
      </c>
      <c r="I513" s="14">
        <f>CHOOSE(CONTROL!$C$42, 24.7236, 24.7236)* CHOOSE(CONTROL!$C$21, $C$9, 100%, $E$9)</f>
        <v>24.723600000000001</v>
      </c>
      <c r="J513" s="14">
        <f>CHOOSE(CONTROL!$C$42, 24.6348, 24.6348)* CHOOSE(CONTROL!$C$21, $C$9, 100%, $E$9)</f>
        <v>24.634799999999998</v>
      </c>
      <c r="K513" s="52">
        <f>CHOOSE(CONTROL!$C$42, 24.7197, 24.7197) * CHOOSE(CONTROL!$C$21, $C$9, 100%, $E$9)</f>
        <v>24.7197</v>
      </c>
      <c r="L513" s="14">
        <f>CHOOSE(CONTROL!$C$42, 25.4559, 25.4559) * CHOOSE(CONTROL!$C$21, $C$9, 100%, $E$9)</f>
        <v>25.4559</v>
      </c>
      <c r="M513" s="14">
        <f>CHOOSE(CONTROL!$C$42, 24.1377, 24.1377) * CHOOSE(CONTROL!$C$21, $C$9, 100%, $E$9)</f>
        <v>24.137699999999999</v>
      </c>
      <c r="N513" s="14">
        <f>CHOOSE(CONTROL!$C$42, 24.1546, 24.1546) * CHOOSE(CONTROL!$C$21, $C$9, 100%, $E$9)</f>
        <v>24.154599999999999</v>
      </c>
      <c r="O513" s="14">
        <f>CHOOSE(CONTROL!$C$42, 24.367, 24.367) * CHOOSE(CONTROL!$C$21, $C$9, 100%, $E$9)</f>
        <v>24.367000000000001</v>
      </c>
      <c r="P513" s="14">
        <f>CHOOSE(CONTROL!$C$42, 24.2233, 24.2233) * CHOOSE(CONTROL!$C$21, $C$9, 100%, $E$9)</f>
        <v>24.223299999999998</v>
      </c>
      <c r="Q513" s="14">
        <f>CHOOSE(CONTROL!$C$42, 24.9617, 24.9617) * CHOOSE(CONTROL!$C$21, $C$9, 100%, $E$9)</f>
        <v>24.9617</v>
      </c>
      <c r="R513" s="14">
        <f>CHOOSE(CONTROL!$C$42, 25.6111, 25.6111) * CHOOSE(CONTROL!$C$21, $C$9, 100%, $E$9)</f>
        <v>25.6111</v>
      </c>
      <c r="S513" s="14">
        <f>CHOOSE(CONTROL!$C$42, 23.6419, 23.6419) * CHOOSE(CONTROL!$C$21, $C$9, 100%, $E$9)</f>
        <v>23.6419</v>
      </c>
      <c r="T51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56">
        <f>(1000*CHOOSE(CONTROL!$C$42, 695, 695)*CHOOSE(CONTROL!$C$42, 0.5599, 0.5599)*CHOOSE(CONTROL!$C$42, 30, 30))/1000000</f>
        <v>11.673914999999997</v>
      </c>
      <c r="V513" s="56">
        <f>(1000*CHOOSE(CONTROL!$C$42, 500, 500)*CHOOSE(CONTROL!$C$42, 0.275, 0.275)*CHOOSE(CONTROL!$C$42, 30, 30))/1000000</f>
        <v>4.125</v>
      </c>
      <c r="W513" s="56">
        <f>(1000*CHOOSE(CONTROL!$C$42, 0.1146, 0.1146)*CHOOSE(CONTROL!$C$42, 121.5, 121.5)*CHOOSE(CONTROL!$C$42, 30, 30))/1000000</f>
        <v>0.417717</v>
      </c>
      <c r="X513" s="56">
        <f>(30*0.1790888*245000/1000000)+(30*0.2374*100000/1000000)</f>
        <v>2.0285026799999999</v>
      </c>
      <c r="Y513" s="56"/>
      <c r="Z513" s="14"/>
      <c r="AA513" s="55"/>
      <c r="AB513" s="49">
        <f>(B513*194.205+C513*267.466+D513*133.845+E513*53.484+F513*40+G513*185+H513*0+I513*100+J513*300)/(194.205+267.466+133.845+53.484+0+40+185+100+300)</f>
        <v>24.672812004866561</v>
      </c>
      <c r="AC513" s="44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24.218243165467626</v>
      </c>
    </row>
    <row r="514" spans="1:29" ht="15.75" x14ac:dyDescent="0.25">
      <c r="A514" s="32">
        <v>56553</v>
      </c>
      <c r="B514" s="14">
        <f>CHOOSE(CONTROL!$C$42, 24.1137, 24.1137) * CHOOSE(CONTROL!$C$21, $C$9, 100%, $E$9)</f>
        <v>24.113700000000001</v>
      </c>
      <c r="C514" s="14">
        <f>CHOOSE(CONTROL!$C$42, 24.119, 24.119) * CHOOSE(CONTROL!$C$21, $C$9, 100%, $E$9)</f>
        <v>24.119</v>
      </c>
      <c r="D514" s="14">
        <f>CHOOSE(CONTROL!$C$42, 24.3498, 24.3498) * CHOOSE(CONTROL!$C$21, $C$9, 100%, $E$9)</f>
        <v>24.349799999999998</v>
      </c>
      <c r="E514" s="14">
        <f>CHOOSE(CONTROL!$C$42, 24.3789, 24.3789) * CHOOSE(CONTROL!$C$21, $C$9, 100%, $E$9)</f>
        <v>24.378900000000002</v>
      </c>
      <c r="F514" s="14">
        <f>CHOOSE(CONTROL!$C$42, 24.1425, 24.1425)*CHOOSE(CONTROL!$C$21, $C$9, 100%, $E$9)</f>
        <v>24.142499999999998</v>
      </c>
      <c r="G514" s="14">
        <f>CHOOSE(CONTROL!$C$42, 24.1597, 24.1597)*CHOOSE(CONTROL!$C$21, $C$9, 100%, $E$9)</f>
        <v>24.159700000000001</v>
      </c>
      <c r="H514" s="14">
        <f>CHOOSE(CONTROL!$C$42, 24.3693, 24.3693) * CHOOSE(CONTROL!$C$21, $C$9, 100%, $E$9)</f>
        <v>24.369299999999999</v>
      </c>
      <c r="I514" s="14">
        <f>CHOOSE(CONTROL!$C$42, 24.2225, 24.2225)* CHOOSE(CONTROL!$C$21, $C$9, 100%, $E$9)</f>
        <v>24.2225</v>
      </c>
      <c r="J514" s="14">
        <f>CHOOSE(CONTROL!$C$42, 24.1355, 24.1355)* CHOOSE(CONTROL!$C$21, $C$9, 100%, $E$9)</f>
        <v>24.1355</v>
      </c>
      <c r="K514" s="52">
        <f>CHOOSE(CONTROL!$C$42, 24.2186, 24.2186) * CHOOSE(CONTROL!$C$21, $C$9, 100%, $E$9)</f>
        <v>24.218599999999999</v>
      </c>
      <c r="L514" s="14">
        <f>CHOOSE(CONTROL!$C$42, 24.9563, 24.9563) * CHOOSE(CONTROL!$C$21, $C$9, 100%, $E$9)</f>
        <v>24.956299999999999</v>
      </c>
      <c r="M514" s="14">
        <f>CHOOSE(CONTROL!$C$42, 23.6487, 23.6487) * CHOOSE(CONTROL!$C$21, $C$9, 100%, $E$9)</f>
        <v>23.648700000000002</v>
      </c>
      <c r="N514" s="14">
        <f>CHOOSE(CONTROL!$C$42, 23.6655, 23.6655) * CHOOSE(CONTROL!$C$21, $C$9, 100%, $E$9)</f>
        <v>23.665500000000002</v>
      </c>
      <c r="O514" s="14">
        <f>CHOOSE(CONTROL!$C$42, 23.8777, 23.8777) * CHOOSE(CONTROL!$C$21, $C$9, 100%, $E$9)</f>
        <v>23.877700000000001</v>
      </c>
      <c r="P514" s="14">
        <f>CHOOSE(CONTROL!$C$42, 23.7324, 23.7324) * CHOOSE(CONTROL!$C$21, $C$9, 100%, $E$9)</f>
        <v>23.732399999999998</v>
      </c>
      <c r="Q514" s="14">
        <f>CHOOSE(CONTROL!$C$42, 24.4724, 24.4724) * CHOOSE(CONTROL!$C$21, $C$9, 100%, $E$9)</f>
        <v>24.4724</v>
      </c>
      <c r="R514" s="14">
        <f>CHOOSE(CONTROL!$C$42, 25.1206, 25.1206) * CHOOSE(CONTROL!$C$21, $C$9, 100%, $E$9)</f>
        <v>25.1206</v>
      </c>
      <c r="S514" s="14">
        <f>CHOOSE(CONTROL!$C$42, 23.1619, 23.1619) * CHOOSE(CONTROL!$C$21, $C$9, 100%, $E$9)</f>
        <v>23.161899999999999</v>
      </c>
      <c r="T51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56">
        <f>(1000*CHOOSE(CONTROL!$C$42, 695, 695)*CHOOSE(CONTROL!$C$42, 0.5599, 0.5599)*CHOOSE(CONTROL!$C$42, 31, 31))/1000000</f>
        <v>12.063045499999998</v>
      </c>
      <c r="V514" s="56">
        <f>(1000*CHOOSE(CONTROL!$C$42, 500, 500)*CHOOSE(CONTROL!$C$42, 0.275, 0.275)*CHOOSE(CONTROL!$C$42, 31, 31))/1000000</f>
        <v>4.2625000000000002</v>
      </c>
      <c r="W514" s="56">
        <f>(1000*CHOOSE(CONTROL!$C$42, 0.1146, 0.1146)*CHOOSE(CONTROL!$C$42, 121.5, 121.5)*CHOOSE(CONTROL!$C$42, 31, 31))/1000000</f>
        <v>0.43164089999999994</v>
      </c>
      <c r="X514" s="56">
        <f>(31*0.1790888*245000/1000000)+(31*0.2374*100000/1000000)</f>
        <v>2.0961194359999999</v>
      </c>
      <c r="Y514" s="56"/>
      <c r="Z514" s="14"/>
      <c r="AA514" s="55"/>
      <c r="AB514" s="49">
        <f>(B514*131.881+C514*277.167+D514*79.08+E514*125.872+F514*40+G514*185+H514*0+I514*100+J514*300)/(131.881+277.167+79.08+125.872+0+40+185+100+300)</f>
        <v>24.178754905165455</v>
      </c>
      <c r="AC514" s="44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23.728862589928063</v>
      </c>
    </row>
    <row r="515" spans="1:29" ht="15.75" x14ac:dyDescent="0.25">
      <c r="A515" s="32">
        <v>56583</v>
      </c>
      <c r="B515" s="14">
        <f>CHOOSE(CONTROL!$C$42, 24.7483, 24.7483) * CHOOSE(CONTROL!$C$21, $C$9, 100%, $E$9)</f>
        <v>24.7483</v>
      </c>
      <c r="C515" s="14">
        <f>CHOOSE(CONTROL!$C$42, 24.7533, 24.7533) * CHOOSE(CONTROL!$C$21, $C$9, 100%, $E$9)</f>
        <v>24.753299999999999</v>
      </c>
      <c r="D515" s="14">
        <f>CHOOSE(CONTROL!$C$42, 24.8223, 24.8223) * CHOOSE(CONTROL!$C$21, $C$9, 100%, $E$9)</f>
        <v>24.822299999999998</v>
      </c>
      <c r="E515" s="14">
        <f>CHOOSE(CONTROL!$C$42, 24.8565, 24.8565) * CHOOSE(CONTROL!$C$21, $C$9, 100%, $E$9)</f>
        <v>24.8565</v>
      </c>
      <c r="F515" s="14">
        <f>CHOOSE(CONTROL!$C$42, 24.7838, 24.7838)*CHOOSE(CONTROL!$C$21, $C$9, 100%, $E$9)</f>
        <v>24.783799999999999</v>
      </c>
      <c r="G515" s="14">
        <f>CHOOSE(CONTROL!$C$42, 24.8013, 24.8013)*CHOOSE(CONTROL!$C$21, $C$9, 100%, $E$9)</f>
        <v>24.801300000000001</v>
      </c>
      <c r="H515" s="14">
        <f>CHOOSE(CONTROL!$C$42, 24.8456, 24.8456) * CHOOSE(CONTROL!$C$21, $C$9, 100%, $E$9)</f>
        <v>24.845600000000001</v>
      </c>
      <c r="I515" s="14">
        <f>CHOOSE(CONTROL!$C$42, 24.8621, 24.8621)* CHOOSE(CONTROL!$C$21, $C$9, 100%, $E$9)</f>
        <v>24.862100000000002</v>
      </c>
      <c r="J515" s="14">
        <f>CHOOSE(CONTROL!$C$42, 24.7768, 24.7768)* CHOOSE(CONTROL!$C$21, $C$9, 100%, $E$9)</f>
        <v>24.776800000000001</v>
      </c>
      <c r="K515" s="52">
        <f>CHOOSE(CONTROL!$C$42, 24.8582, 24.8582) * CHOOSE(CONTROL!$C$21, $C$9, 100%, $E$9)</f>
        <v>24.8582</v>
      </c>
      <c r="L515" s="14">
        <f>CHOOSE(CONTROL!$C$42, 25.4326, 25.4326) * CHOOSE(CONTROL!$C$21, $C$9, 100%, $E$9)</f>
        <v>25.432600000000001</v>
      </c>
      <c r="M515" s="14">
        <f>CHOOSE(CONTROL!$C$42, 24.2769, 24.2769) * CHOOSE(CONTROL!$C$21, $C$9, 100%, $E$9)</f>
        <v>24.276900000000001</v>
      </c>
      <c r="N515" s="14">
        <f>CHOOSE(CONTROL!$C$42, 24.2939, 24.2939) * CHOOSE(CONTROL!$C$21, $C$9, 100%, $E$9)</f>
        <v>24.293900000000001</v>
      </c>
      <c r="O515" s="14">
        <f>CHOOSE(CONTROL!$C$42, 24.3443, 24.3443) * CHOOSE(CONTROL!$C$21, $C$9, 100%, $E$9)</f>
        <v>24.3443</v>
      </c>
      <c r="P515" s="14">
        <f>CHOOSE(CONTROL!$C$42, 24.3589, 24.3589) * CHOOSE(CONTROL!$C$21, $C$9, 100%, $E$9)</f>
        <v>24.358899999999998</v>
      </c>
      <c r="Q515" s="14">
        <f>CHOOSE(CONTROL!$C$42, 24.939, 24.939) * CHOOSE(CONTROL!$C$21, $C$9, 100%, $E$9)</f>
        <v>24.939</v>
      </c>
      <c r="R515" s="14">
        <f>CHOOSE(CONTROL!$C$42, 25.5883, 25.5883) * CHOOSE(CONTROL!$C$21, $C$9, 100%, $E$9)</f>
        <v>25.5883</v>
      </c>
      <c r="S515" s="14">
        <f>CHOOSE(CONTROL!$C$42, 23.7721, 23.7721) * CHOOSE(CONTROL!$C$21, $C$9, 100%, $E$9)</f>
        <v>23.772099999999998</v>
      </c>
      <c r="T51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56">
        <f>(1000*CHOOSE(CONTROL!$C$42, 695, 695)*CHOOSE(CONTROL!$C$42, 0.5599, 0.5599)*CHOOSE(CONTROL!$C$42, 30, 30))/1000000</f>
        <v>11.673914999999997</v>
      </c>
      <c r="V515" s="56">
        <f>(1000*CHOOSE(CONTROL!$C$42, 500, 500)*CHOOSE(CONTROL!$C$42, 0.275, 0.275)*CHOOSE(CONTROL!$C$42, 30, 30))/1000000</f>
        <v>4.125</v>
      </c>
      <c r="W515" s="56">
        <f>(1000*CHOOSE(CONTROL!$C$42, 0.1146, 0.1146)*CHOOSE(CONTROL!$C$42, 121.5, 121.5)*CHOOSE(CONTROL!$C$42, 30, 30))/1000000</f>
        <v>0.417717</v>
      </c>
      <c r="X515" s="56">
        <f>(30*0.1790888*100000/1000000)+(30*0.2374*100000/1000000)</f>
        <v>1.2494664</v>
      </c>
      <c r="Y515" s="56"/>
      <c r="Z515" s="14"/>
      <c r="AA515" s="55"/>
      <c r="AB515" s="49">
        <f>(B515*122.58+C515*297.941+D515*89.177+E515*40.302+F515*40+G515*160+H515*0+I515*100+J515*300)/(122.58+297.941+89.177+40.302+0+40+160+100+300)</f>
        <v>24.785064764695655</v>
      </c>
      <c r="AC515" s="44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24.320225179856113</v>
      </c>
    </row>
    <row r="516" spans="1:29" ht="15.75" x14ac:dyDescent="0.25">
      <c r="A516" s="32">
        <v>56614</v>
      </c>
      <c r="B516" s="14">
        <f>CHOOSE(CONTROL!$C$42, 26.4349, 26.4349) * CHOOSE(CONTROL!$C$21, $C$9, 100%, $E$9)</f>
        <v>26.434899999999999</v>
      </c>
      <c r="C516" s="14">
        <f>CHOOSE(CONTROL!$C$42, 26.44, 26.44) * CHOOSE(CONTROL!$C$21, $C$9, 100%, $E$9)</f>
        <v>26.44</v>
      </c>
      <c r="D516" s="14">
        <f>CHOOSE(CONTROL!$C$42, 26.509, 26.509) * CHOOSE(CONTROL!$C$21, $C$9, 100%, $E$9)</f>
        <v>26.509</v>
      </c>
      <c r="E516" s="14">
        <f>CHOOSE(CONTROL!$C$42, 26.5431, 26.5431) * CHOOSE(CONTROL!$C$21, $C$9, 100%, $E$9)</f>
        <v>26.543099999999999</v>
      </c>
      <c r="F516" s="14">
        <f>CHOOSE(CONTROL!$C$42, 26.4728, 26.4728)*CHOOSE(CONTROL!$C$21, $C$9, 100%, $E$9)</f>
        <v>26.472799999999999</v>
      </c>
      <c r="G516" s="14">
        <f>CHOOSE(CONTROL!$C$42, 26.4908, 26.4908)*CHOOSE(CONTROL!$C$21, $C$9, 100%, $E$9)</f>
        <v>26.4908</v>
      </c>
      <c r="H516" s="14">
        <f>CHOOSE(CONTROL!$C$42, 26.5323, 26.5323) * CHOOSE(CONTROL!$C$21, $C$9, 100%, $E$9)</f>
        <v>26.532299999999999</v>
      </c>
      <c r="I516" s="14">
        <f>CHOOSE(CONTROL!$C$42, 26.5541, 26.5541)* CHOOSE(CONTROL!$C$21, $C$9, 100%, $E$9)</f>
        <v>26.554099999999998</v>
      </c>
      <c r="J516" s="14">
        <f>CHOOSE(CONTROL!$C$42, 26.4658, 26.4658)* CHOOSE(CONTROL!$C$21, $C$9, 100%, $E$9)</f>
        <v>26.465800000000002</v>
      </c>
      <c r="K516" s="52">
        <f>CHOOSE(CONTROL!$C$42, 26.5502, 26.5502) * CHOOSE(CONTROL!$C$21, $C$9, 100%, $E$9)</f>
        <v>26.5502</v>
      </c>
      <c r="L516" s="14">
        <f>CHOOSE(CONTROL!$C$42, 27.1193, 27.1193) * CHOOSE(CONTROL!$C$21, $C$9, 100%, $E$9)</f>
        <v>27.119299999999999</v>
      </c>
      <c r="M516" s="14">
        <f>CHOOSE(CONTROL!$C$42, 25.9312, 25.9312) * CHOOSE(CONTROL!$C$21, $C$9, 100%, $E$9)</f>
        <v>25.9312</v>
      </c>
      <c r="N516" s="14">
        <f>CHOOSE(CONTROL!$C$42, 25.9488, 25.9488) * CHOOSE(CONTROL!$C$21, $C$9, 100%, $E$9)</f>
        <v>25.948799999999999</v>
      </c>
      <c r="O516" s="14">
        <f>CHOOSE(CONTROL!$C$42, 25.9964, 25.9964) * CHOOSE(CONTROL!$C$21, $C$9, 100%, $E$9)</f>
        <v>25.996400000000001</v>
      </c>
      <c r="P516" s="14">
        <f>CHOOSE(CONTROL!$C$42, 26.0161, 26.0161) * CHOOSE(CONTROL!$C$21, $C$9, 100%, $E$9)</f>
        <v>26.016100000000002</v>
      </c>
      <c r="Q516" s="14">
        <f>CHOOSE(CONTROL!$C$42, 26.5911, 26.5911) * CHOOSE(CONTROL!$C$21, $C$9, 100%, $E$9)</f>
        <v>26.591100000000001</v>
      </c>
      <c r="R516" s="14">
        <f>CHOOSE(CONTROL!$C$42, 27.2446, 27.2446) * CHOOSE(CONTROL!$C$21, $C$9, 100%, $E$9)</f>
        <v>27.244599999999998</v>
      </c>
      <c r="S516" s="14">
        <f>CHOOSE(CONTROL!$C$42, 25.3928, 25.3928) * CHOOSE(CONTROL!$C$21, $C$9, 100%, $E$9)</f>
        <v>25.392800000000001</v>
      </c>
      <c r="T51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56">
        <f>(1000*CHOOSE(CONTROL!$C$42, 695, 695)*CHOOSE(CONTROL!$C$42, 0.5599, 0.5599)*CHOOSE(CONTROL!$C$42, 31, 31))/1000000</f>
        <v>12.063045499999998</v>
      </c>
      <c r="V516" s="56">
        <f>(1000*CHOOSE(CONTROL!$C$42, 500, 500)*CHOOSE(CONTROL!$C$42, 0.275, 0.275)*CHOOSE(CONTROL!$C$42, 31, 31))/1000000</f>
        <v>4.2625000000000002</v>
      </c>
      <c r="W516" s="56">
        <f>(1000*CHOOSE(CONTROL!$C$42, 0.1146, 0.1146)*CHOOSE(CONTROL!$C$42, 121.5, 121.5)*CHOOSE(CONTROL!$C$42, 31, 31))/1000000</f>
        <v>0.43164089999999994</v>
      </c>
      <c r="X516" s="56">
        <f>(31*0.1790888*100000/1000000)+(31*0.2374*100000/1000000)</f>
        <v>1.2911152800000001</v>
      </c>
      <c r="Y516" s="56"/>
      <c r="Z516" s="14"/>
      <c r="AA516" s="55"/>
      <c r="AB516" s="49">
        <f>(B516*122.58+C516*297.941+D516*89.177+E516*40.302+F516*40+G516*160+H516*0+I516*100+J516*300)/(122.58+297.941+89.177+40.302+0+40+160+100+300)</f>
        <v>26.473281035826087</v>
      </c>
      <c r="AC516" s="44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25.973979856115111</v>
      </c>
    </row>
    <row r="517" spans="1:29" ht="15.75" x14ac:dyDescent="0.25">
      <c r="A517" s="31">
        <v>56645</v>
      </c>
      <c r="B517" s="14">
        <f>CHOOSE(CONTROL!$C$42, 28.6256, 28.6256) * CHOOSE(CONTROL!$C$21, $C$9, 100%, $E$9)</f>
        <v>28.625599999999999</v>
      </c>
      <c r="C517" s="14">
        <f>CHOOSE(CONTROL!$C$42, 28.6307, 28.6307) * CHOOSE(CONTROL!$C$21, $C$9, 100%, $E$9)</f>
        <v>28.630700000000001</v>
      </c>
      <c r="D517" s="14">
        <f>CHOOSE(CONTROL!$C$42, 28.7101, 28.7101) * CHOOSE(CONTROL!$C$21, $C$9, 100%, $E$9)</f>
        <v>28.710100000000001</v>
      </c>
      <c r="E517" s="14">
        <f>CHOOSE(CONTROL!$C$42, 28.7442, 28.7442) * CHOOSE(CONTROL!$C$21, $C$9, 100%, $E$9)</f>
        <v>28.744199999999999</v>
      </c>
      <c r="F517" s="14">
        <f>CHOOSE(CONTROL!$C$42, 28.6486, 28.6486)*CHOOSE(CONTROL!$C$21, $C$9, 100%, $E$9)</f>
        <v>28.648599999999998</v>
      </c>
      <c r="G517" s="14">
        <f>CHOOSE(CONTROL!$C$42, 28.6662, 28.6662)*CHOOSE(CONTROL!$C$21, $C$9, 100%, $E$9)</f>
        <v>28.6662</v>
      </c>
      <c r="H517" s="14">
        <f>CHOOSE(CONTROL!$C$42, 28.7334, 28.7334) * CHOOSE(CONTROL!$C$21, $C$9, 100%, $E$9)</f>
        <v>28.7334</v>
      </c>
      <c r="I517" s="14">
        <f>CHOOSE(CONTROL!$C$42, 28.7506, 28.7506)* CHOOSE(CONTROL!$C$21, $C$9, 100%, $E$9)</f>
        <v>28.750599999999999</v>
      </c>
      <c r="J517" s="14">
        <f>CHOOSE(CONTROL!$C$42, 28.6416, 28.6416)* CHOOSE(CONTROL!$C$21, $C$9, 100%, $E$9)</f>
        <v>28.6416</v>
      </c>
      <c r="K517" s="52">
        <f>CHOOSE(CONTROL!$C$42, 28.7467, 28.7467) * CHOOSE(CONTROL!$C$21, $C$9, 100%, $E$9)</f>
        <v>28.746700000000001</v>
      </c>
      <c r="L517" s="14">
        <f>CHOOSE(CONTROL!$C$42, 29.3204, 29.3204) * CHOOSE(CONTROL!$C$21, $C$9, 100%, $E$9)</f>
        <v>29.320399999999999</v>
      </c>
      <c r="M517" s="14">
        <f>CHOOSE(CONTROL!$C$42, 28.0625, 28.0625) * CHOOSE(CONTROL!$C$21, $C$9, 100%, $E$9)</f>
        <v>28.0625</v>
      </c>
      <c r="N517" s="14">
        <f>CHOOSE(CONTROL!$C$42, 28.0796, 28.0796) * CHOOSE(CONTROL!$C$21, $C$9, 100%, $E$9)</f>
        <v>28.079599999999999</v>
      </c>
      <c r="O517" s="14">
        <f>CHOOSE(CONTROL!$C$42, 28.1524, 28.1524) * CHOOSE(CONTROL!$C$21, $C$9, 100%, $E$9)</f>
        <v>28.1524</v>
      </c>
      <c r="P517" s="14">
        <f>CHOOSE(CONTROL!$C$42, 28.1674, 28.1674) * CHOOSE(CONTROL!$C$21, $C$9, 100%, $E$9)</f>
        <v>28.167400000000001</v>
      </c>
      <c r="Q517" s="14">
        <f>CHOOSE(CONTROL!$C$42, 28.7471, 28.7471) * CHOOSE(CONTROL!$C$21, $C$9, 100%, $E$9)</f>
        <v>28.7471</v>
      </c>
      <c r="R517" s="14">
        <f>CHOOSE(CONTROL!$C$42, 29.4059, 29.4059) * CHOOSE(CONTROL!$C$21, $C$9, 100%, $E$9)</f>
        <v>29.405899999999999</v>
      </c>
      <c r="S517" s="14">
        <f>CHOOSE(CONTROL!$C$42, 27.4978, 27.4978) * CHOOSE(CONTROL!$C$21, $C$9, 100%, $E$9)</f>
        <v>27.497800000000002</v>
      </c>
      <c r="T51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56">
        <f>(1000*CHOOSE(CONTROL!$C$42, 695, 695)*CHOOSE(CONTROL!$C$42, 0.5599, 0.5599)*CHOOSE(CONTROL!$C$42, 31, 31))/1000000</f>
        <v>12.063045499999998</v>
      </c>
      <c r="V517" s="56">
        <f>(1000*CHOOSE(CONTROL!$C$42, 500, 500)*CHOOSE(CONTROL!$C$42, 0.275, 0.275)*CHOOSE(CONTROL!$C$42, 31, 31))/1000000</f>
        <v>4.2625000000000002</v>
      </c>
      <c r="W517" s="56">
        <f>(1000*CHOOSE(CONTROL!$C$42, 0.1146, 0.1146)*CHOOSE(CONTROL!$C$42, 121.5, 121.5)*CHOOSE(CONTROL!$C$42, 31, 31))/1000000</f>
        <v>0.43164089999999994</v>
      </c>
      <c r="X517" s="56">
        <f>(31*0.1790888*100000/1000000)+(31*0.2374*100000/1000000)</f>
        <v>1.2911152800000001</v>
      </c>
      <c r="Y517" s="56"/>
      <c r="Z517" s="14"/>
      <c r="AA517" s="55"/>
      <c r="AB517" s="49">
        <f>(B517*122.58+C517*297.941+D517*89.177+E517*40.302+F517*40+G517*160+H517*0+I517*100+J517*300)/(122.58+297.941+89.177+40.302+0+40+160+100+300)</f>
        <v>28.659122411130436</v>
      </c>
      <c r="AC517" s="44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28.119323741007193</v>
      </c>
    </row>
    <row r="518" spans="1:29" ht="15.75" x14ac:dyDescent="0.25">
      <c r="A518" s="31">
        <v>56673</v>
      </c>
      <c r="B518" s="14">
        <f>CHOOSE(CONTROL!$C$42, 29.135, 29.135) * CHOOSE(CONTROL!$C$21, $C$9, 100%, $E$9)</f>
        <v>29.135000000000002</v>
      </c>
      <c r="C518" s="14">
        <f>CHOOSE(CONTROL!$C$42, 29.1401, 29.1401) * CHOOSE(CONTROL!$C$21, $C$9, 100%, $E$9)</f>
        <v>29.1401</v>
      </c>
      <c r="D518" s="14">
        <f>CHOOSE(CONTROL!$C$42, 29.2195, 29.2195) * CHOOSE(CONTROL!$C$21, $C$9, 100%, $E$9)</f>
        <v>29.2195</v>
      </c>
      <c r="E518" s="14">
        <f>CHOOSE(CONTROL!$C$42, 29.2536, 29.2536) * CHOOSE(CONTROL!$C$21, $C$9, 100%, $E$9)</f>
        <v>29.253599999999999</v>
      </c>
      <c r="F518" s="14">
        <f>CHOOSE(CONTROL!$C$42, 29.1578, 29.1578)*CHOOSE(CONTROL!$C$21, $C$9, 100%, $E$9)</f>
        <v>29.157800000000002</v>
      </c>
      <c r="G518" s="14">
        <f>CHOOSE(CONTROL!$C$42, 29.1753, 29.1753)*CHOOSE(CONTROL!$C$21, $C$9, 100%, $E$9)</f>
        <v>29.1753</v>
      </c>
      <c r="H518" s="14">
        <f>CHOOSE(CONTROL!$C$42, 29.2428, 29.2428) * CHOOSE(CONTROL!$C$21, $C$9, 100%, $E$9)</f>
        <v>29.242799999999999</v>
      </c>
      <c r="I518" s="14">
        <f>CHOOSE(CONTROL!$C$42, 29.2616, 29.2616)* CHOOSE(CONTROL!$C$21, $C$9, 100%, $E$9)</f>
        <v>29.261600000000001</v>
      </c>
      <c r="J518" s="14">
        <f>CHOOSE(CONTROL!$C$42, 29.1508, 29.1508)* CHOOSE(CONTROL!$C$21, $C$9, 100%, $E$9)</f>
        <v>29.1508</v>
      </c>
      <c r="K518" s="52">
        <f>CHOOSE(CONTROL!$C$42, 29.2577, 29.2577) * CHOOSE(CONTROL!$C$21, $C$9, 100%, $E$9)</f>
        <v>29.2577</v>
      </c>
      <c r="L518" s="14">
        <f>CHOOSE(CONTROL!$C$42, 29.8298, 29.8298) * CHOOSE(CONTROL!$C$21, $C$9, 100%, $E$9)</f>
        <v>29.829799999999999</v>
      </c>
      <c r="M518" s="14">
        <f>CHOOSE(CONTROL!$C$42, 28.5612, 28.5612) * CHOOSE(CONTROL!$C$21, $C$9, 100%, $E$9)</f>
        <v>28.561199999999999</v>
      </c>
      <c r="N518" s="14">
        <f>CHOOSE(CONTROL!$C$42, 28.5783, 28.5783) * CHOOSE(CONTROL!$C$21, $C$9, 100%, $E$9)</f>
        <v>28.578299999999999</v>
      </c>
      <c r="O518" s="14">
        <f>CHOOSE(CONTROL!$C$42, 28.6513, 28.6513) * CHOOSE(CONTROL!$C$21, $C$9, 100%, $E$9)</f>
        <v>28.651299999999999</v>
      </c>
      <c r="P518" s="14">
        <f>CHOOSE(CONTROL!$C$42, 28.6679, 28.6679) * CHOOSE(CONTROL!$C$21, $C$9, 100%, $E$9)</f>
        <v>28.667899999999999</v>
      </c>
      <c r="Q518" s="14">
        <f>CHOOSE(CONTROL!$C$42, 29.246, 29.246) * CHOOSE(CONTROL!$C$21, $C$9, 100%, $E$9)</f>
        <v>29.245999999999999</v>
      </c>
      <c r="R518" s="14">
        <f>CHOOSE(CONTROL!$C$42, 29.9062, 29.9062) * CHOOSE(CONTROL!$C$21, $C$9, 100%, $E$9)</f>
        <v>29.906199999999998</v>
      </c>
      <c r="S518" s="14">
        <f>CHOOSE(CONTROL!$C$42, 27.9873, 27.9873) * CHOOSE(CONTROL!$C$21, $C$9, 100%, $E$9)</f>
        <v>27.987300000000001</v>
      </c>
      <c r="T51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18" s="56">
        <f>(1000*CHOOSE(CONTROL!$C$42, 695, 695)*CHOOSE(CONTROL!$C$42, 0.5599, 0.5599)*CHOOSE(CONTROL!$C$42, 28, 28))/1000000</f>
        <v>10.895653999999999</v>
      </c>
      <c r="V518" s="56">
        <f>(1000*CHOOSE(CONTROL!$C$42, 500, 500)*CHOOSE(CONTROL!$C$42, 0.275, 0.275)*CHOOSE(CONTROL!$C$42, 28, 28))/1000000</f>
        <v>3.85</v>
      </c>
      <c r="W518" s="56">
        <f>(1000*CHOOSE(CONTROL!$C$42, 0.1146, 0.1146)*CHOOSE(CONTROL!$C$42, 121.5, 121.5)*CHOOSE(CONTROL!$C$42, 28, 28))/1000000</f>
        <v>0.38986920000000003</v>
      </c>
      <c r="X518" s="56">
        <f>(28*0.1790888*100000/1000000)+(28*0.2374*100000/1000000)</f>
        <v>1.16616864</v>
      </c>
      <c r="Y518" s="56"/>
      <c r="Z518" s="14"/>
      <c r="AA518" s="55"/>
      <c r="AB518" s="49">
        <f>(B518*122.58+C518*297.941+D518*89.177+E518*40.302+F518*40+G518*160+H518*0+I518*100+J518*300)/(122.58+297.941+89.177+40.302+0+40+160+100+300)</f>
        <v>29.168560671999995</v>
      </c>
      <c r="AC518" s="44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28.618373381294965</v>
      </c>
    </row>
    <row r="519" spans="1:29" ht="15.75" x14ac:dyDescent="0.25">
      <c r="A519" s="31">
        <v>56704</v>
      </c>
      <c r="B519" s="14">
        <f>CHOOSE(CONTROL!$C$42, 28.3081, 28.3081) * CHOOSE(CONTROL!$C$21, $C$9, 100%, $E$9)</f>
        <v>28.3081</v>
      </c>
      <c r="C519" s="14">
        <f>CHOOSE(CONTROL!$C$42, 28.3132, 28.3132) * CHOOSE(CONTROL!$C$21, $C$9, 100%, $E$9)</f>
        <v>28.313199999999998</v>
      </c>
      <c r="D519" s="14">
        <f>CHOOSE(CONTROL!$C$42, 28.3926, 28.3926) * CHOOSE(CONTROL!$C$21, $C$9, 100%, $E$9)</f>
        <v>28.392600000000002</v>
      </c>
      <c r="E519" s="14">
        <f>CHOOSE(CONTROL!$C$42, 28.4267, 28.4267) * CHOOSE(CONTROL!$C$21, $C$9, 100%, $E$9)</f>
        <v>28.4267</v>
      </c>
      <c r="F519" s="14">
        <f>CHOOSE(CONTROL!$C$42, 28.3302, 28.3302)*CHOOSE(CONTROL!$C$21, $C$9, 100%, $E$9)</f>
        <v>28.330200000000001</v>
      </c>
      <c r="G519" s="14">
        <f>CHOOSE(CONTROL!$C$42, 28.3474, 28.3474)*CHOOSE(CONTROL!$C$21, $C$9, 100%, $E$9)</f>
        <v>28.3474</v>
      </c>
      <c r="H519" s="14">
        <f>CHOOSE(CONTROL!$C$42, 28.4159, 28.4159) * CHOOSE(CONTROL!$C$21, $C$9, 100%, $E$9)</f>
        <v>28.415900000000001</v>
      </c>
      <c r="I519" s="14">
        <f>CHOOSE(CONTROL!$C$42, 28.4321, 28.4321)* CHOOSE(CONTROL!$C$21, $C$9, 100%, $E$9)</f>
        <v>28.432099999999998</v>
      </c>
      <c r="J519" s="14">
        <f>CHOOSE(CONTROL!$C$42, 28.3232, 28.3232)* CHOOSE(CONTROL!$C$21, $C$9, 100%, $E$9)</f>
        <v>28.3232</v>
      </c>
      <c r="K519" s="52">
        <f>CHOOSE(CONTROL!$C$42, 28.4282, 28.4282) * CHOOSE(CONTROL!$C$21, $C$9, 100%, $E$9)</f>
        <v>28.4282</v>
      </c>
      <c r="L519" s="14">
        <f>CHOOSE(CONTROL!$C$42, 29.0029, 29.0029) * CHOOSE(CONTROL!$C$21, $C$9, 100%, $E$9)</f>
        <v>29.0029</v>
      </c>
      <c r="M519" s="14">
        <f>CHOOSE(CONTROL!$C$42, 27.7505, 27.7505) * CHOOSE(CONTROL!$C$21, $C$9, 100%, $E$9)</f>
        <v>27.750499999999999</v>
      </c>
      <c r="N519" s="14">
        <f>CHOOSE(CONTROL!$C$42, 27.7675, 27.7675) * CHOOSE(CONTROL!$C$21, $C$9, 100%, $E$9)</f>
        <v>27.767499999999998</v>
      </c>
      <c r="O519" s="14">
        <f>CHOOSE(CONTROL!$C$42, 27.8414, 27.8414) * CHOOSE(CONTROL!$C$21, $C$9, 100%, $E$9)</f>
        <v>27.8414</v>
      </c>
      <c r="P519" s="14">
        <f>CHOOSE(CONTROL!$C$42, 27.8555, 27.8555) * CHOOSE(CONTROL!$C$21, $C$9, 100%, $E$9)</f>
        <v>27.855499999999999</v>
      </c>
      <c r="Q519" s="14">
        <f>CHOOSE(CONTROL!$C$42, 28.4361, 28.4361) * CHOOSE(CONTROL!$C$21, $C$9, 100%, $E$9)</f>
        <v>28.4361</v>
      </c>
      <c r="R519" s="14">
        <f>CHOOSE(CONTROL!$C$42, 29.0942, 29.0942) * CHOOSE(CONTROL!$C$21, $C$9, 100%, $E$9)</f>
        <v>29.094200000000001</v>
      </c>
      <c r="S519" s="14">
        <f>CHOOSE(CONTROL!$C$42, 27.1927, 27.1927) * CHOOSE(CONTROL!$C$21, $C$9, 100%, $E$9)</f>
        <v>27.192699999999999</v>
      </c>
      <c r="T51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56">
        <f>(1000*CHOOSE(CONTROL!$C$42, 695, 695)*CHOOSE(CONTROL!$C$42, 0.5599, 0.5599)*CHOOSE(CONTROL!$C$42, 31, 31))/1000000</f>
        <v>12.063045499999998</v>
      </c>
      <c r="V519" s="56">
        <f>(1000*CHOOSE(CONTROL!$C$42, 500, 500)*CHOOSE(CONTROL!$C$42, 0.275, 0.275)*CHOOSE(CONTROL!$C$42, 31, 31))/1000000</f>
        <v>4.2625000000000002</v>
      </c>
      <c r="W519" s="56">
        <f>(1000*CHOOSE(CONTROL!$C$42, 0.1146, 0.1146)*CHOOSE(CONTROL!$C$42, 121.5, 121.5)*CHOOSE(CONTROL!$C$42, 31, 31))/1000000</f>
        <v>0.43164089999999994</v>
      </c>
      <c r="X519" s="56">
        <f>(31*0.1790888*100000/1000000)+(31*0.2374*100000/1000000)</f>
        <v>1.2911152800000001</v>
      </c>
      <c r="Y519" s="56"/>
      <c r="Z519" s="14"/>
      <c r="AA519" s="55"/>
      <c r="AB519" s="49">
        <f>(B519*122.58+C519*297.941+D519*89.177+E519*40.302+F519*40+G519*160+H519*0+I519*100+J519*300)/(122.58+297.941+89.177+40.302+0+40+160+100+300)</f>
        <v>28.341088498086954</v>
      </c>
      <c r="AC519" s="44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27.807785611510788</v>
      </c>
    </row>
    <row r="520" spans="1:29" ht="15.75" x14ac:dyDescent="0.25">
      <c r="A520" s="31">
        <v>56734</v>
      </c>
      <c r="B520" s="14">
        <f>CHOOSE(CONTROL!$C$42, 28.2244, 28.2244) * CHOOSE(CONTROL!$C$21, $C$9, 100%, $E$9)</f>
        <v>28.224399999999999</v>
      </c>
      <c r="C520" s="14">
        <f>CHOOSE(CONTROL!$C$42, 28.2289, 28.2289) * CHOOSE(CONTROL!$C$21, $C$9, 100%, $E$9)</f>
        <v>28.228899999999999</v>
      </c>
      <c r="D520" s="14">
        <f>CHOOSE(CONTROL!$C$42, 28.4578, 28.4578) * CHOOSE(CONTROL!$C$21, $C$9, 100%, $E$9)</f>
        <v>28.457799999999999</v>
      </c>
      <c r="E520" s="14">
        <f>CHOOSE(CONTROL!$C$42, 28.4899, 28.4899) * CHOOSE(CONTROL!$C$21, $C$9, 100%, $E$9)</f>
        <v>28.489899999999999</v>
      </c>
      <c r="F520" s="14">
        <f>CHOOSE(CONTROL!$C$42, 28.2514, 28.2514)*CHOOSE(CONTROL!$C$21, $C$9, 100%, $E$9)</f>
        <v>28.2514</v>
      </c>
      <c r="G520" s="14">
        <f>CHOOSE(CONTROL!$C$42, 28.2681, 28.2681)*CHOOSE(CONTROL!$C$21, $C$9, 100%, $E$9)</f>
        <v>28.2681</v>
      </c>
      <c r="H520" s="14">
        <f>CHOOSE(CONTROL!$C$42, 28.4797, 28.4797) * CHOOSE(CONTROL!$C$21, $C$9, 100%, $E$9)</f>
        <v>28.479700000000001</v>
      </c>
      <c r="I520" s="14">
        <f>CHOOSE(CONTROL!$C$42, 28.3457, 28.3457)* CHOOSE(CONTROL!$C$21, $C$9, 100%, $E$9)</f>
        <v>28.345700000000001</v>
      </c>
      <c r="J520" s="14">
        <f>CHOOSE(CONTROL!$C$42, 28.2444, 28.2444)* CHOOSE(CONTROL!$C$21, $C$9, 100%, $E$9)</f>
        <v>28.244399999999999</v>
      </c>
      <c r="K520" s="52">
        <f>CHOOSE(CONTROL!$C$42, 28.3419, 28.3419) * CHOOSE(CONTROL!$C$21, $C$9, 100%, $E$9)</f>
        <v>28.341899999999999</v>
      </c>
      <c r="L520" s="14">
        <f>CHOOSE(CONTROL!$C$42, 29.0667, 29.0667) * CHOOSE(CONTROL!$C$21, $C$9, 100%, $E$9)</f>
        <v>29.066700000000001</v>
      </c>
      <c r="M520" s="14">
        <f>CHOOSE(CONTROL!$C$42, 27.6734, 27.6734) * CHOOSE(CONTROL!$C$21, $C$9, 100%, $E$9)</f>
        <v>27.673400000000001</v>
      </c>
      <c r="N520" s="14">
        <f>CHOOSE(CONTROL!$C$42, 27.6898, 27.6898) * CHOOSE(CONTROL!$C$21, $C$9, 100%, $E$9)</f>
        <v>27.689800000000002</v>
      </c>
      <c r="O520" s="14">
        <f>CHOOSE(CONTROL!$C$42, 27.9039, 27.9039) * CHOOSE(CONTROL!$C$21, $C$9, 100%, $E$9)</f>
        <v>27.9039</v>
      </c>
      <c r="P520" s="14">
        <f>CHOOSE(CONTROL!$C$42, 27.7709, 27.7709) * CHOOSE(CONTROL!$C$21, $C$9, 100%, $E$9)</f>
        <v>27.770900000000001</v>
      </c>
      <c r="Q520" s="14">
        <f>CHOOSE(CONTROL!$C$42, 28.4986, 28.4986) * CHOOSE(CONTROL!$C$21, $C$9, 100%, $E$9)</f>
        <v>28.4986</v>
      </c>
      <c r="R520" s="14">
        <f>CHOOSE(CONTROL!$C$42, 29.1568, 29.1568) * CHOOSE(CONTROL!$C$21, $C$9, 100%, $E$9)</f>
        <v>29.1568</v>
      </c>
      <c r="S520" s="14">
        <f>CHOOSE(CONTROL!$C$42, 27.1115, 27.1115) * CHOOSE(CONTROL!$C$21, $C$9, 100%, $E$9)</f>
        <v>27.111499999999999</v>
      </c>
      <c r="T52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56">
        <f>(1000*CHOOSE(CONTROL!$C$42, 695, 695)*CHOOSE(CONTROL!$C$42, 0.5599, 0.5599)*CHOOSE(CONTROL!$C$42, 30, 30))/1000000</f>
        <v>11.673914999999997</v>
      </c>
      <c r="V520" s="56">
        <f>(1000*CHOOSE(CONTROL!$C$42, 500, 500)*CHOOSE(CONTROL!$C$42, 0.275, 0.275)*CHOOSE(CONTROL!$C$42, 30, 30))/1000000</f>
        <v>4.125</v>
      </c>
      <c r="W520" s="56">
        <f>(1000*CHOOSE(CONTROL!$C$42, 0.1146, 0.1146)*CHOOSE(CONTROL!$C$42, 121.5, 121.5)*CHOOSE(CONTROL!$C$42, 30, 30))/1000000</f>
        <v>0.417717</v>
      </c>
      <c r="X520" s="56">
        <f>(30*0.1790888*245000/1000000)+(30*0.2374*100000/1000000)</f>
        <v>2.0285026799999999</v>
      </c>
      <c r="Y520" s="56"/>
      <c r="Z520" s="14"/>
      <c r="AA520" s="55"/>
      <c r="AB520" s="49">
        <f>(B520*141.293+C520*267.993+D520*115.016+E520*89.698+F520*40+G520*185+H520*0+I520*100+J520*300)/(141.293+267.993+115.016+89.698+0+40+185+100+300)</f>
        <v>28.288290251735269</v>
      </c>
      <c r="AC520" s="44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27.755876978417266</v>
      </c>
    </row>
    <row r="521" spans="1:29" ht="15.75" x14ac:dyDescent="0.25">
      <c r="A521" s="31">
        <v>56765</v>
      </c>
      <c r="B521" s="14">
        <f>CHOOSE(CONTROL!$C$42, 28.4748, 28.4748) * CHOOSE(CONTROL!$C$21, $C$9, 100%, $E$9)</f>
        <v>28.474799999999998</v>
      </c>
      <c r="C521" s="14">
        <f>CHOOSE(CONTROL!$C$42, 28.4829, 28.4829) * CHOOSE(CONTROL!$C$21, $C$9, 100%, $E$9)</f>
        <v>28.482900000000001</v>
      </c>
      <c r="D521" s="14">
        <f>CHOOSE(CONTROL!$C$42, 28.7086, 28.7086) * CHOOSE(CONTROL!$C$21, $C$9, 100%, $E$9)</f>
        <v>28.708600000000001</v>
      </c>
      <c r="E521" s="14">
        <f>CHOOSE(CONTROL!$C$42, 28.7401, 28.7401) * CHOOSE(CONTROL!$C$21, $C$9, 100%, $E$9)</f>
        <v>28.740100000000002</v>
      </c>
      <c r="F521" s="14">
        <f>CHOOSE(CONTROL!$C$42, 28.5005, 28.5005)*CHOOSE(CONTROL!$C$21, $C$9, 100%, $E$9)</f>
        <v>28.500499999999999</v>
      </c>
      <c r="G521" s="14">
        <f>CHOOSE(CONTROL!$C$42, 28.5174, 28.5174)*CHOOSE(CONTROL!$C$21, $C$9, 100%, $E$9)</f>
        <v>28.517399999999999</v>
      </c>
      <c r="H521" s="14">
        <f>CHOOSE(CONTROL!$C$42, 28.7287, 28.7287) * CHOOSE(CONTROL!$C$21, $C$9, 100%, $E$9)</f>
        <v>28.7287</v>
      </c>
      <c r="I521" s="14">
        <f>CHOOSE(CONTROL!$C$42, 28.5955, 28.5955)* CHOOSE(CONTROL!$C$21, $C$9, 100%, $E$9)</f>
        <v>28.595500000000001</v>
      </c>
      <c r="J521" s="14">
        <f>CHOOSE(CONTROL!$C$42, 28.4935, 28.4935)* CHOOSE(CONTROL!$C$21, $C$9, 100%, $E$9)</f>
        <v>28.493500000000001</v>
      </c>
      <c r="K521" s="52">
        <f>CHOOSE(CONTROL!$C$42, 28.5917, 28.5917) * CHOOSE(CONTROL!$C$21, $C$9, 100%, $E$9)</f>
        <v>28.591699999999999</v>
      </c>
      <c r="L521" s="14">
        <f>CHOOSE(CONTROL!$C$42, 29.3157, 29.3157) * CHOOSE(CONTROL!$C$21, $C$9, 100%, $E$9)</f>
        <v>29.3157</v>
      </c>
      <c r="M521" s="14">
        <f>CHOOSE(CONTROL!$C$42, 27.9174, 27.9174) * CHOOSE(CONTROL!$C$21, $C$9, 100%, $E$9)</f>
        <v>27.917400000000001</v>
      </c>
      <c r="N521" s="14">
        <f>CHOOSE(CONTROL!$C$42, 27.934, 27.934) * CHOOSE(CONTROL!$C$21, $C$9, 100%, $E$9)</f>
        <v>27.934000000000001</v>
      </c>
      <c r="O521" s="14">
        <f>CHOOSE(CONTROL!$C$42, 28.1478, 28.1478) * CHOOSE(CONTROL!$C$21, $C$9, 100%, $E$9)</f>
        <v>28.1478</v>
      </c>
      <c r="P521" s="14">
        <f>CHOOSE(CONTROL!$C$42, 28.0156, 28.0156) * CHOOSE(CONTROL!$C$21, $C$9, 100%, $E$9)</f>
        <v>28.015599999999999</v>
      </c>
      <c r="Q521" s="14">
        <f>CHOOSE(CONTROL!$C$42, 28.7425, 28.7425) * CHOOSE(CONTROL!$C$21, $C$9, 100%, $E$9)</f>
        <v>28.7425</v>
      </c>
      <c r="R521" s="14">
        <f>CHOOSE(CONTROL!$C$42, 29.4014, 29.4014) * CHOOSE(CONTROL!$C$21, $C$9, 100%, $E$9)</f>
        <v>29.401399999999999</v>
      </c>
      <c r="S521" s="14">
        <f>CHOOSE(CONTROL!$C$42, 27.3508, 27.3508) * CHOOSE(CONTROL!$C$21, $C$9, 100%, $E$9)</f>
        <v>27.3508</v>
      </c>
      <c r="T52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56">
        <f>(1000*CHOOSE(CONTROL!$C$42, 695, 695)*CHOOSE(CONTROL!$C$42, 0.5599, 0.5599)*CHOOSE(CONTROL!$C$42, 31, 31))/1000000</f>
        <v>12.063045499999998</v>
      </c>
      <c r="V521" s="56">
        <f>(1000*CHOOSE(CONTROL!$C$42, 500, 500)*CHOOSE(CONTROL!$C$42, 0.275, 0.275)*CHOOSE(CONTROL!$C$42, 31, 31))/1000000</f>
        <v>4.2625000000000002</v>
      </c>
      <c r="W521" s="56">
        <f>(1000*CHOOSE(CONTROL!$C$42, 0.1146, 0.1146)*CHOOSE(CONTROL!$C$42, 121.5, 121.5)*CHOOSE(CONTROL!$C$42, 31, 31))/1000000</f>
        <v>0.43164089999999994</v>
      </c>
      <c r="X521" s="56">
        <f>(31*0.1790888*245000/1000000)+(31*0.2374*100000/1000000)</f>
        <v>2.0961194359999999</v>
      </c>
      <c r="Y521" s="56"/>
      <c r="Z521" s="14"/>
      <c r="AA521" s="55"/>
      <c r="AB521" s="49">
        <f>(B521*194.205+C521*267.466+D521*133.845+E521*53.484+F521*40+G521*185+H521*0+I521*100+J521*300)/(194.205+267.466+133.845+53.484+0+40+185+100+300)</f>
        <v>28.533071382103611</v>
      </c>
      <c r="AC521" s="44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27.999995683453243</v>
      </c>
    </row>
    <row r="522" spans="1:29" ht="15.75" x14ac:dyDescent="0.25">
      <c r="A522" s="31">
        <v>56795</v>
      </c>
      <c r="B522" s="14">
        <f>CHOOSE(CONTROL!$C$42, 29.2822, 29.2822) * CHOOSE(CONTROL!$C$21, $C$9, 100%, $E$9)</f>
        <v>29.2822</v>
      </c>
      <c r="C522" s="14">
        <f>CHOOSE(CONTROL!$C$42, 29.2902, 29.2902) * CHOOSE(CONTROL!$C$21, $C$9, 100%, $E$9)</f>
        <v>29.290199999999999</v>
      </c>
      <c r="D522" s="14">
        <f>CHOOSE(CONTROL!$C$42, 29.516, 29.516) * CHOOSE(CONTROL!$C$21, $C$9, 100%, $E$9)</f>
        <v>29.515999999999998</v>
      </c>
      <c r="E522" s="14">
        <f>CHOOSE(CONTROL!$C$42, 29.5475, 29.5475) * CHOOSE(CONTROL!$C$21, $C$9, 100%, $E$9)</f>
        <v>29.547499999999999</v>
      </c>
      <c r="F522" s="14">
        <f>CHOOSE(CONTROL!$C$42, 29.3083, 29.3083)*CHOOSE(CONTROL!$C$21, $C$9, 100%, $E$9)</f>
        <v>29.308299999999999</v>
      </c>
      <c r="G522" s="14">
        <f>CHOOSE(CONTROL!$C$42, 29.3254, 29.3254)*CHOOSE(CONTROL!$C$21, $C$9, 100%, $E$9)</f>
        <v>29.325399999999998</v>
      </c>
      <c r="H522" s="14">
        <f>CHOOSE(CONTROL!$C$42, 29.5361, 29.5361) * CHOOSE(CONTROL!$C$21, $C$9, 100%, $E$9)</f>
        <v>29.536100000000001</v>
      </c>
      <c r="I522" s="14">
        <f>CHOOSE(CONTROL!$C$42, 29.4055, 29.4055)* CHOOSE(CONTROL!$C$21, $C$9, 100%, $E$9)</f>
        <v>29.4055</v>
      </c>
      <c r="J522" s="14">
        <f>CHOOSE(CONTROL!$C$42, 29.3013, 29.3013)* CHOOSE(CONTROL!$C$21, $C$9, 100%, $E$9)</f>
        <v>29.301300000000001</v>
      </c>
      <c r="K522" s="52">
        <f>CHOOSE(CONTROL!$C$42, 29.4016, 29.4016) * CHOOSE(CONTROL!$C$21, $C$9, 100%, $E$9)</f>
        <v>29.401599999999998</v>
      </c>
      <c r="L522" s="14">
        <f>CHOOSE(CONTROL!$C$42, 30.1231, 30.1231) * CHOOSE(CONTROL!$C$21, $C$9, 100%, $E$9)</f>
        <v>30.123100000000001</v>
      </c>
      <c r="M522" s="14">
        <f>CHOOSE(CONTROL!$C$42, 28.7086, 28.7086) * CHOOSE(CONTROL!$C$21, $C$9, 100%, $E$9)</f>
        <v>28.708600000000001</v>
      </c>
      <c r="N522" s="14">
        <f>CHOOSE(CONTROL!$C$42, 28.7254, 28.7254) * CHOOSE(CONTROL!$C$21, $C$9, 100%, $E$9)</f>
        <v>28.7254</v>
      </c>
      <c r="O522" s="14">
        <f>CHOOSE(CONTROL!$C$42, 28.9386, 28.9386) * CHOOSE(CONTROL!$C$21, $C$9, 100%, $E$9)</f>
        <v>28.938600000000001</v>
      </c>
      <c r="P522" s="14">
        <f>CHOOSE(CONTROL!$C$42, 28.8089, 28.8089) * CHOOSE(CONTROL!$C$21, $C$9, 100%, $E$9)</f>
        <v>28.808900000000001</v>
      </c>
      <c r="Q522" s="14">
        <f>CHOOSE(CONTROL!$C$42, 29.5333, 29.5333) * CHOOSE(CONTROL!$C$21, $C$9, 100%, $E$9)</f>
        <v>29.533300000000001</v>
      </c>
      <c r="R522" s="14">
        <f>CHOOSE(CONTROL!$C$42, 30.1942, 30.1942) * CHOOSE(CONTROL!$C$21, $C$9, 100%, $E$9)</f>
        <v>30.194199999999999</v>
      </c>
      <c r="S522" s="14">
        <f>CHOOSE(CONTROL!$C$42, 28.1266, 28.1266) * CHOOSE(CONTROL!$C$21, $C$9, 100%, $E$9)</f>
        <v>28.1266</v>
      </c>
      <c r="T52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56">
        <f>(1000*CHOOSE(CONTROL!$C$42, 695, 695)*CHOOSE(CONTROL!$C$42, 0.5599, 0.5599)*CHOOSE(CONTROL!$C$42, 30, 30))/1000000</f>
        <v>11.673914999999997</v>
      </c>
      <c r="V522" s="56">
        <f>(1000*CHOOSE(CONTROL!$C$42, 500, 500)*CHOOSE(CONTROL!$C$42, 0.275, 0.275)*CHOOSE(CONTROL!$C$42, 30, 30))/1000000</f>
        <v>4.125</v>
      </c>
      <c r="W522" s="56">
        <f>(1000*CHOOSE(CONTROL!$C$42, 0.1146, 0.1146)*CHOOSE(CONTROL!$C$42, 121.5, 121.5)*CHOOSE(CONTROL!$C$42, 30, 30))/1000000</f>
        <v>0.417717</v>
      </c>
      <c r="X522" s="56">
        <f>(30*0.1790888*245000/1000000)+(30*0.2374*100000/1000000)</f>
        <v>2.0285026799999999</v>
      </c>
      <c r="Y522" s="56"/>
      <c r="Z522" s="14"/>
      <c r="AA522" s="55"/>
      <c r="AB522" s="49">
        <f>(B522*194.205+C522*267.466+D522*133.845+E522*53.484+F522*40+G522*185+H522*0+I522*100+J522*300)/(194.205+267.466+133.845+53.484+0+40+185+100+300)</f>
        <v>29.340848347095761</v>
      </c>
      <c r="AC522" s="44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28.791431654676256</v>
      </c>
    </row>
    <row r="523" spans="1:29" ht="15.75" x14ac:dyDescent="0.25">
      <c r="A523" s="31">
        <v>56826</v>
      </c>
      <c r="B523" s="14">
        <f>CHOOSE(CONTROL!$C$42, 28.7207, 28.7207) * CHOOSE(CONTROL!$C$21, $C$9, 100%, $E$9)</f>
        <v>28.720700000000001</v>
      </c>
      <c r="C523" s="14">
        <f>CHOOSE(CONTROL!$C$42, 28.7287, 28.7287) * CHOOSE(CONTROL!$C$21, $C$9, 100%, $E$9)</f>
        <v>28.7287</v>
      </c>
      <c r="D523" s="14">
        <f>CHOOSE(CONTROL!$C$42, 28.9545, 28.9545) * CHOOSE(CONTROL!$C$21, $C$9, 100%, $E$9)</f>
        <v>28.954499999999999</v>
      </c>
      <c r="E523" s="14">
        <f>CHOOSE(CONTROL!$C$42, 28.9859, 28.9859) * CHOOSE(CONTROL!$C$21, $C$9, 100%, $E$9)</f>
        <v>28.985900000000001</v>
      </c>
      <c r="F523" s="14">
        <f>CHOOSE(CONTROL!$C$42, 28.7472, 28.7472)*CHOOSE(CONTROL!$C$21, $C$9, 100%, $E$9)</f>
        <v>28.747199999999999</v>
      </c>
      <c r="G523" s="14">
        <f>CHOOSE(CONTROL!$C$42, 28.7644, 28.7644)*CHOOSE(CONTROL!$C$21, $C$9, 100%, $E$9)</f>
        <v>28.764399999999998</v>
      </c>
      <c r="H523" s="14">
        <f>CHOOSE(CONTROL!$C$42, 28.9746, 28.9746) * CHOOSE(CONTROL!$C$21, $C$9, 100%, $E$9)</f>
        <v>28.974599999999999</v>
      </c>
      <c r="I523" s="14">
        <f>CHOOSE(CONTROL!$C$42, 28.8422, 28.8422)* CHOOSE(CONTROL!$C$21, $C$9, 100%, $E$9)</f>
        <v>28.842199999999998</v>
      </c>
      <c r="J523" s="14">
        <f>CHOOSE(CONTROL!$C$42, 28.7402, 28.7402)* CHOOSE(CONTROL!$C$21, $C$9, 100%, $E$9)</f>
        <v>28.740200000000002</v>
      </c>
      <c r="K523" s="52">
        <f>CHOOSE(CONTROL!$C$42, 28.8383, 28.8383) * CHOOSE(CONTROL!$C$21, $C$9, 100%, $E$9)</f>
        <v>28.8383</v>
      </c>
      <c r="L523" s="14">
        <f>CHOOSE(CONTROL!$C$42, 29.5616, 29.5616) * CHOOSE(CONTROL!$C$21, $C$9, 100%, $E$9)</f>
        <v>29.561599999999999</v>
      </c>
      <c r="M523" s="14">
        <f>CHOOSE(CONTROL!$C$42, 28.1591, 28.1591) * CHOOSE(CONTROL!$C$21, $C$9, 100%, $E$9)</f>
        <v>28.159099999999999</v>
      </c>
      <c r="N523" s="14">
        <f>CHOOSE(CONTROL!$C$42, 28.1759, 28.1759) * CHOOSE(CONTROL!$C$21, $C$9, 100%, $E$9)</f>
        <v>28.175899999999999</v>
      </c>
      <c r="O523" s="14">
        <f>CHOOSE(CONTROL!$C$42, 28.3886, 28.3886) * CHOOSE(CONTROL!$C$21, $C$9, 100%, $E$9)</f>
        <v>28.3886</v>
      </c>
      <c r="P523" s="14">
        <f>CHOOSE(CONTROL!$C$42, 28.2572, 28.2572) * CHOOSE(CONTROL!$C$21, $C$9, 100%, $E$9)</f>
        <v>28.257200000000001</v>
      </c>
      <c r="Q523" s="14">
        <f>CHOOSE(CONTROL!$C$42, 28.9833, 28.9833) * CHOOSE(CONTROL!$C$21, $C$9, 100%, $E$9)</f>
        <v>28.9833</v>
      </c>
      <c r="R523" s="14">
        <f>CHOOSE(CONTROL!$C$42, 29.6428, 29.6428) * CHOOSE(CONTROL!$C$21, $C$9, 100%, $E$9)</f>
        <v>29.642800000000001</v>
      </c>
      <c r="S523" s="14">
        <f>CHOOSE(CONTROL!$C$42, 27.5871, 27.5871) * CHOOSE(CONTROL!$C$21, $C$9, 100%, $E$9)</f>
        <v>27.5871</v>
      </c>
      <c r="T52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56">
        <f>(1000*CHOOSE(CONTROL!$C$42, 695, 695)*CHOOSE(CONTROL!$C$42, 0.5599, 0.5599)*CHOOSE(CONTROL!$C$42, 31, 31))/1000000</f>
        <v>12.063045499999998</v>
      </c>
      <c r="V523" s="56">
        <f>(1000*CHOOSE(CONTROL!$C$42, 500, 500)*CHOOSE(CONTROL!$C$42, 0.275, 0.275)*CHOOSE(CONTROL!$C$42, 31, 31))/1000000</f>
        <v>4.2625000000000002</v>
      </c>
      <c r="W523" s="56">
        <f>(1000*CHOOSE(CONTROL!$C$42, 0.1146, 0.1146)*CHOOSE(CONTROL!$C$42, 121.5, 121.5)*CHOOSE(CONTROL!$C$42, 31, 31))/1000000</f>
        <v>0.43164089999999994</v>
      </c>
      <c r="X523" s="56">
        <f>(31*0.1790888*245000/1000000)+(31*0.2374*100000/1000000)</f>
        <v>2.0961194359999999</v>
      </c>
      <c r="Y523" s="56"/>
      <c r="Z523" s="14"/>
      <c r="AA523" s="55"/>
      <c r="AB523" s="49">
        <f>(B523*194.205+C523*267.466+D523*133.845+E523*53.484+F523*40+G523*185+H523*0+I523*100+J523*300)/(194.205+267.466+133.845+53.484+0+40+185+100+300)</f>
        <v>28.779382218053374</v>
      </c>
      <c r="AC523" s="44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28.241474820143885</v>
      </c>
    </row>
    <row r="524" spans="1:29" ht="15.75" x14ac:dyDescent="0.25">
      <c r="A524" s="31">
        <v>56857</v>
      </c>
      <c r="B524" s="14">
        <f>CHOOSE(CONTROL!$C$42, 27.3026, 27.3026) * CHOOSE(CONTROL!$C$21, $C$9, 100%, $E$9)</f>
        <v>27.302600000000002</v>
      </c>
      <c r="C524" s="14">
        <f>CHOOSE(CONTROL!$C$42, 27.3106, 27.3106) * CHOOSE(CONTROL!$C$21, $C$9, 100%, $E$9)</f>
        <v>27.310600000000001</v>
      </c>
      <c r="D524" s="14">
        <f>CHOOSE(CONTROL!$C$42, 27.5364, 27.5364) * CHOOSE(CONTROL!$C$21, $C$9, 100%, $E$9)</f>
        <v>27.5364</v>
      </c>
      <c r="E524" s="14">
        <f>CHOOSE(CONTROL!$C$42, 27.5679, 27.5679) * CHOOSE(CONTROL!$C$21, $C$9, 100%, $E$9)</f>
        <v>27.567900000000002</v>
      </c>
      <c r="F524" s="14">
        <f>CHOOSE(CONTROL!$C$42, 27.3294, 27.3294)*CHOOSE(CONTROL!$C$21, $C$9, 100%, $E$9)</f>
        <v>27.3294</v>
      </c>
      <c r="G524" s="14">
        <f>CHOOSE(CONTROL!$C$42, 27.3467, 27.3467)*CHOOSE(CONTROL!$C$21, $C$9, 100%, $E$9)</f>
        <v>27.346699999999998</v>
      </c>
      <c r="H524" s="14">
        <f>CHOOSE(CONTROL!$C$42, 27.5565, 27.5565) * CHOOSE(CONTROL!$C$21, $C$9, 100%, $E$9)</f>
        <v>27.5565</v>
      </c>
      <c r="I524" s="14">
        <f>CHOOSE(CONTROL!$C$42, 27.4196, 27.4196)* CHOOSE(CONTROL!$C$21, $C$9, 100%, $E$9)</f>
        <v>27.419599999999999</v>
      </c>
      <c r="J524" s="14">
        <f>CHOOSE(CONTROL!$C$42, 27.3224, 27.3224)* CHOOSE(CONTROL!$C$21, $C$9, 100%, $E$9)</f>
        <v>27.322399999999998</v>
      </c>
      <c r="K524" s="52">
        <f>CHOOSE(CONTROL!$C$42, 27.4158, 27.4158) * CHOOSE(CONTROL!$C$21, $C$9, 100%, $E$9)</f>
        <v>27.415800000000001</v>
      </c>
      <c r="L524" s="14">
        <f>CHOOSE(CONTROL!$C$42, 28.1435, 28.1435) * CHOOSE(CONTROL!$C$21, $C$9, 100%, $E$9)</f>
        <v>28.1435</v>
      </c>
      <c r="M524" s="14">
        <f>CHOOSE(CONTROL!$C$42, 26.7703, 26.7703) * CHOOSE(CONTROL!$C$21, $C$9, 100%, $E$9)</f>
        <v>26.770299999999999</v>
      </c>
      <c r="N524" s="14">
        <f>CHOOSE(CONTROL!$C$42, 26.7872, 26.7872) * CHOOSE(CONTROL!$C$21, $C$9, 100%, $E$9)</f>
        <v>26.787199999999999</v>
      </c>
      <c r="O524" s="14">
        <f>CHOOSE(CONTROL!$C$42, 26.9996, 26.9996) * CHOOSE(CONTROL!$C$21, $C$9, 100%, $E$9)</f>
        <v>26.999600000000001</v>
      </c>
      <c r="P524" s="14">
        <f>CHOOSE(CONTROL!$C$42, 26.8639, 26.8639) * CHOOSE(CONTROL!$C$21, $C$9, 100%, $E$9)</f>
        <v>26.863900000000001</v>
      </c>
      <c r="Q524" s="14">
        <f>CHOOSE(CONTROL!$C$42, 27.5943, 27.5943) * CHOOSE(CONTROL!$C$21, $C$9, 100%, $E$9)</f>
        <v>27.5943</v>
      </c>
      <c r="R524" s="14">
        <f>CHOOSE(CONTROL!$C$42, 28.2503, 28.2503) * CHOOSE(CONTROL!$C$21, $C$9, 100%, $E$9)</f>
        <v>28.250299999999999</v>
      </c>
      <c r="S524" s="14">
        <f>CHOOSE(CONTROL!$C$42, 26.2244, 26.2244) * CHOOSE(CONTROL!$C$21, $C$9, 100%, $E$9)</f>
        <v>26.224399999999999</v>
      </c>
      <c r="T52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56">
        <f>(1000*CHOOSE(CONTROL!$C$42, 695, 695)*CHOOSE(CONTROL!$C$42, 0.5599, 0.5599)*CHOOSE(CONTROL!$C$42, 31, 31))/1000000</f>
        <v>12.063045499999998</v>
      </c>
      <c r="V524" s="56">
        <f>(1000*CHOOSE(CONTROL!$C$42, 500, 500)*CHOOSE(CONTROL!$C$42, 0.275, 0.275)*CHOOSE(CONTROL!$C$42, 31, 31))/1000000</f>
        <v>4.2625000000000002</v>
      </c>
      <c r="W524" s="56">
        <f>(1000*CHOOSE(CONTROL!$C$42, 0.1146, 0.1146)*CHOOSE(CONTROL!$C$42, 121.5, 121.5)*CHOOSE(CONTROL!$C$42, 31, 31))/1000000</f>
        <v>0.43164089999999994</v>
      </c>
      <c r="X524" s="56">
        <f>(31*0.1790888*245000/1000000)+(31*0.2374*100000/1000000)</f>
        <v>2.0961194359999999</v>
      </c>
      <c r="Y524" s="56"/>
      <c r="Z524" s="14"/>
      <c r="AA524" s="55"/>
      <c r="AB524" s="49">
        <f>(B524*194.205+C524*267.466+D524*133.845+E524*53.484+F524*40+G524*185+H524*0+I524*100+J524*300)/(194.205+267.466+133.845+53.484+0+40+185+100+300)</f>
        <v>27.361071345525904</v>
      </c>
      <c r="AC524" s="44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26.851994244604313</v>
      </c>
    </row>
    <row r="525" spans="1:29" ht="15.75" x14ac:dyDescent="0.25">
      <c r="A525" s="31">
        <v>56887</v>
      </c>
      <c r="B525" s="14">
        <f>CHOOSE(CONTROL!$C$42, 25.5697, 25.5697) * CHOOSE(CONTROL!$C$21, $C$9, 100%, $E$9)</f>
        <v>25.569700000000001</v>
      </c>
      <c r="C525" s="14">
        <f>CHOOSE(CONTROL!$C$42, 25.5778, 25.5778) * CHOOSE(CONTROL!$C$21, $C$9, 100%, $E$9)</f>
        <v>25.5778</v>
      </c>
      <c r="D525" s="14">
        <f>CHOOSE(CONTROL!$C$42, 25.8036, 25.8036) * CHOOSE(CONTROL!$C$21, $C$9, 100%, $E$9)</f>
        <v>25.803599999999999</v>
      </c>
      <c r="E525" s="14">
        <f>CHOOSE(CONTROL!$C$42, 25.835, 25.835) * CHOOSE(CONTROL!$C$21, $C$9, 100%, $E$9)</f>
        <v>25.835000000000001</v>
      </c>
      <c r="F525" s="14">
        <f>CHOOSE(CONTROL!$C$42, 25.5966, 25.5966)*CHOOSE(CONTROL!$C$21, $C$9, 100%, $E$9)</f>
        <v>25.596599999999999</v>
      </c>
      <c r="G525" s="14">
        <f>CHOOSE(CONTROL!$C$42, 25.6138, 25.6138)*CHOOSE(CONTROL!$C$21, $C$9, 100%, $E$9)</f>
        <v>25.613800000000001</v>
      </c>
      <c r="H525" s="14">
        <f>CHOOSE(CONTROL!$C$42, 25.8237, 25.8237) * CHOOSE(CONTROL!$C$21, $C$9, 100%, $E$9)</f>
        <v>25.823699999999999</v>
      </c>
      <c r="I525" s="14">
        <f>CHOOSE(CONTROL!$C$42, 25.6814, 25.6814)* CHOOSE(CONTROL!$C$21, $C$9, 100%, $E$9)</f>
        <v>25.6814</v>
      </c>
      <c r="J525" s="14">
        <f>CHOOSE(CONTROL!$C$42, 25.5896, 25.5896)* CHOOSE(CONTROL!$C$21, $C$9, 100%, $E$9)</f>
        <v>25.589600000000001</v>
      </c>
      <c r="K525" s="52">
        <f>CHOOSE(CONTROL!$C$42, 25.6775, 25.6775) * CHOOSE(CONTROL!$C$21, $C$9, 100%, $E$9)</f>
        <v>25.677499999999998</v>
      </c>
      <c r="L525" s="14">
        <f>CHOOSE(CONTROL!$C$42, 26.4107, 26.4107) * CHOOSE(CONTROL!$C$21, $C$9, 100%, $E$9)</f>
        <v>26.410699999999999</v>
      </c>
      <c r="M525" s="14">
        <f>CHOOSE(CONTROL!$C$42, 25.0729, 25.0729) * CHOOSE(CONTROL!$C$21, $C$9, 100%, $E$9)</f>
        <v>25.072900000000001</v>
      </c>
      <c r="N525" s="14">
        <f>CHOOSE(CONTROL!$C$42, 25.0898, 25.0898) * CHOOSE(CONTROL!$C$21, $C$9, 100%, $E$9)</f>
        <v>25.0898</v>
      </c>
      <c r="O525" s="14">
        <f>CHOOSE(CONTROL!$C$42, 25.3022, 25.3022) * CHOOSE(CONTROL!$C$21, $C$9, 100%, $E$9)</f>
        <v>25.302199999999999</v>
      </c>
      <c r="P525" s="14">
        <f>CHOOSE(CONTROL!$C$42, 25.1613, 25.1613) * CHOOSE(CONTROL!$C$21, $C$9, 100%, $E$9)</f>
        <v>25.161300000000001</v>
      </c>
      <c r="Q525" s="14">
        <f>CHOOSE(CONTROL!$C$42, 25.8969, 25.8969) * CHOOSE(CONTROL!$C$21, $C$9, 100%, $E$9)</f>
        <v>25.896899999999999</v>
      </c>
      <c r="R525" s="14">
        <f>CHOOSE(CONTROL!$C$42, 26.5487, 26.5487) * CHOOSE(CONTROL!$C$21, $C$9, 100%, $E$9)</f>
        <v>26.5487</v>
      </c>
      <c r="S525" s="14">
        <f>CHOOSE(CONTROL!$C$42, 24.5593, 24.5593) * CHOOSE(CONTROL!$C$21, $C$9, 100%, $E$9)</f>
        <v>24.5593</v>
      </c>
      <c r="T52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56">
        <f>(1000*CHOOSE(CONTROL!$C$42, 695, 695)*CHOOSE(CONTROL!$C$42, 0.5599, 0.5599)*CHOOSE(CONTROL!$C$42, 30, 30))/1000000</f>
        <v>11.673914999999997</v>
      </c>
      <c r="V525" s="56">
        <f>(1000*CHOOSE(CONTROL!$C$42, 500, 500)*CHOOSE(CONTROL!$C$42, 0.275, 0.275)*CHOOSE(CONTROL!$C$42, 30, 30))/1000000</f>
        <v>4.125</v>
      </c>
      <c r="W525" s="56">
        <f>(1000*CHOOSE(CONTROL!$C$42, 0.1146, 0.1146)*CHOOSE(CONTROL!$C$42, 121.5, 121.5)*CHOOSE(CONTROL!$C$42, 30, 30))/1000000</f>
        <v>0.417717</v>
      </c>
      <c r="X525" s="56">
        <f>(30*0.1790888*245000/1000000)+(30*0.2374*100000/1000000)</f>
        <v>2.0285026799999999</v>
      </c>
      <c r="Y525" s="56"/>
      <c r="Z525" s="14"/>
      <c r="AA525" s="55"/>
      <c r="AB525" s="49">
        <f>(B525*194.205+C525*267.466+D525*133.845+E525*53.484+F525*40+G525*185+H525*0+I525*100+J525*300)/(194.205+267.466+133.845+53.484+0+40+185+100+300)</f>
        <v>25.627813520643645</v>
      </c>
      <c r="AC525" s="44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25.153846043165466</v>
      </c>
    </row>
    <row r="526" spans="1:29" ht="15.75" x14ac:dyDescent="0.25">
      <c r="A526" s="31">
        <v>56918</v>
      </c>
      <c r="B526" s="14">
        <f>CHOOSE(CONTROL!$C$42, 25.0491, 25.0491) * CHOOSE(CONTROL!$C$21, $C$9, 100%, $E$9)</f>
        <v>25.049099999999999</v>
      </c>
      <c r="C526" s="14">
        <f>CHOOSE(CONTROL!$C$42, 25.0544, 25.0544) * CHOOSE(CONTROL!$C$21, $C$9, 100%, $E$9)</f>
        <v>25.054400000000001</v>
      </c>
      <c r="D526" s="14">
        <f>CHOOSE(CONTROL!$C$42, 25.2851, 25.2851) * CHOOSE(CONTROL!$C$21, $C$9, 100%, $E$9)</f>
        <v>25.2851</v>
      </c>
      <c r="E526" s="14">
        <f>CHOOSE(CONTROL!$C$42, 25.3143, 25.3143) * CHOOSE(CONTROL!$C$21, $C$9, 100%, $E$9)</f>
        <v>25.314299999999999</v>
      </c>
      <c r="F526" s="14">
        <f>CHOOSE(CONTROL!$C$42, 25.0779, 25.0779)*CHOOSE(CONTROL!$C$21, $C$9, 100%, $E$9)</f>
        <v>25.0779</v>
      </c>
      <c r="G526" s="14">
        <f>CHOOSE(CONTROL!$C$42, 25.095, 25.095)*CHOOSE(CONTROL!$C$21, $C$9, 100%, $E$9)</f>
        <v>25.094999999999999</v>
      </c>
      <c r="H526" s="14">
        <f>CHOOSE(CONTROL!$C$42, 25.3047, 25.3047) * CHOOSE(CONTROL!$C$21, $C$9, 100%, $E$9)</f>
        <v>25.3047</v>
      </c>
      <c r="I526" s="14">
        <f>CHOOSE(CONTROL!$C$42, 25.1608, 25.1608)* CHOOSE(CONTROL!$C$21, $C$9, 100%, $E$9)</f>
        <v>25.160799999999998</v>
      </c>
      <c r="J526" s="14">
        <f>CHOOSE(CONTROL!$C$42, 25.0709, 25.0709)* CHOOSE(CONTROL!$C$21, $C$9, 100%, $E$9)</f>
        <v>25.070900000000002</v>
      </c>
      <c r="K526" s="52">
        <f>CHOOSE(CONTROL!$C$42, 25.1569, 25.1569) * CHOOSE(CONTROL!$C$21, $C$9, 100%, $E$9)</f>
        <v>25.1569</v>
      </c>
      <c r="L526" s="14">
        <f>CHOOSE(CONTROL!$C$42, 25.8917, 25.8917) * CHOOSE(CONTROL!$C$21, $C$9, 100%, $E$9)</f>
        <v>25.8917</v>
      </c>
      <c r="M526" s="14">
        <f>CHOOSE(CONTROL!$C$42, 24.5649, 24.5649) * CHOOSE(CONTROL!$C$21, $C$9, 100%, $E$9)</f>
        <v>24.564900000000002</v>
      </c>
      <c r="N526" s="14">
        <f>CHOOSE(CONTROL!$C$42, 24.5817, 24.5817) * CHOOSE(CONTROL!$C$21, $C$9, 100%, $E$9)</f>
        <v>24.581700000000001</v>
      </c>
      <c r="O526" s="14">
        <f>CHOOSE(CONTROL!$C$42, 24.7939, 24.7939) * CHOOSE(CONTROL!$C$21, $C$9, 100%, $E$9)</f>
        <v>24.793900000000001</v>
      </c>
      <c r="P526" s="14">
        <f>CHOOSE(CONTROL!$C$42, 24.6515, 24.6515) * CHOOSE(CONTROL!$C$21, $C$9, 100%, $E$9)</f>
        <v>24.651499999999999</v>
      </c>
      <c r="Q526" s="14">
        <f>CHOOSE(CONTROL!$C$42, 25.3886, 25.3886) * CHOOSE(CONTROL!$C$21, $C$9, 100%, $E$9)</f>
        <v>25.3886</v>
      </c>
      <c r="R526" s="14">
        <f>CHOOSE(CONTROL!$C$42, 26.0391, 26.0391) * CHOOSE(CONTROL!$C$21, $C$9, 100%, $E$9)</f>
        <v>26.039100000000001</v>
      </c>
      <c r="S526" s="14">
        <f>CHOOSE(CONTROL!$C$42, 24.0607, 24.0607) * CHOOSE(CONTROL!$C$21, $C$9, 100%, $E$9)</f>
        <v>24.060700000000001</v>
      </c>
      <c r="T52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56">
        <f>(1000*CHOOSE(CONTROL!$C$42, 695, 695)*CHOOSE(CONTROL!$C$42, 0.5599, 0.5599)*CHOOSE(CONTROL!$C$42, 31, 31))/1000000</f>
        <v>12.063045499999998</v>
      </c>
      <c r="V526" s="56">
        <f>(1000*CHOOSE(CONTROL!$C$42, 500, 500)*CHOOSE(CONTROL!$C$42, 0.275, 0.275)*CHOOSE(CONTROL!$C$42, 31, 31))/1000000</f>
        <v>4.2625000000000002</v>
      </c>
      <c r="W526" s="56">
        <f>(1000*CHOOSE(CONTROL!$C$42, 0.1146, 0.1146)*CHOOSE(CONTROL!$C$42, 121.5, 121.5)*CHOOSE(CONTROL!$C$42, 31, 31))/1000000</f>
        <v>0.43164089999999994</v>
      </c>
      <c r="X526" s="56">
        <f>(31*0.1790888*245000/1000000)+(31*0.2374*100000/1000000)</f>
        <v>2.0961194359999999</v>
      </c>
      <c r="Y526" s="56"/>
      <c r="Z526" s="14"/>
      <c r="AA526" s="55"/>
      <c r="AB526" s="49">
        <f>(B526*131.881+C526*277.167+D526*79.08+E526*125.872+F526*40+G526*185+H526*0+I526*100+J526*300)/(131.881+277.167+79.08+125.872+0+40+185+100+300)</f>
        <v>25.114367650928163</v>
      </c>
      <c r="AC526" s="44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24.645479856115109</v>
      </c>
    </row>
    <row r="527" spans="1:29" ht="15.75" x14ac:dyDescent="0.25">
      <c r="A527" s="31">
        <v>56948</v>
      </c>
      <c r="B527" s="14">
        <f>CHOOSE(CONTROL!$C$42, 25.7083, 25.7083) * CHOOSE(CONTROL!$C$21, $C$9, 100%, $E$9)</f>
        <v>25.708300000000001</v>
      </c>
      <c r="C527" s="14">
        <f>CHOOSE(CONTROL!$C$42, 25.7133, 25.7133) * CHOOSE(CONTROL!$C$21, $C$9, 100%, $E$9)</f>
        <v>25.7133</v>
      </c>
      <c r="D527" s="14">
        <f>CHOOSE(CONTROL!$C$42, 25.7824, 25.7824) * CHOOSE(CONTROL!$C$21, $C$9, 100%, $E$9)</f>
        <v>25.782399999999999</v>
      </c>
      <c r="E527" s="14">
        <f>CHOOSE(CONTROL!$C$42, 25.8165, 25.8165) * CHOOSE(CONTROL!$C$21, $C$9, 100%, $E$9)</f>
        <v>25.816500000000001</v>
      </c>
      <c r="F527" s="14">
        <f>CHOOSE(CONTROL!$C$42, 25.7439, 25.7439)*CHOOSE(CONTROL!$C$21, $C$9, 100%, $E$9)</f>
        <v>25.7439</v>
      </c>
      <c r="G527" s="14">
        <f>CHOOSE(CONTROL!$C$42, 25.7613, 25.7613)*CHOOSE(CONTROL!$C$21, $C$9, 100%, $E$9)</f>
        <v>25.761299999999999</v>
      </c>
      <c r="H527" s="14">
        <f>CHOOSE(CONTROL!$C$42, 25.8057, 25.8057) * CHOOSE(CONTROL!$C$21, $C$9, 100%, $E$9)</f>
        <v>25.805700000000002</v>
      </c>
      <c r="I527" s="14">
        <f>CHOOSE(CONTROL!$C$42, 25.8251, 25.8251)* CHOOSE(CONTROL!$C$21, $C$9, 100%, $E$9)</f>
        <v>25.825099999999999</v>
      </c>
      <c r="J527" s="14">
        <f>CHOOSE(CONTROL!$C$42, 25.7369, 25.7369)* CHOOSE(CONTROL!$C$21, $C$9, 100%, $E$9)</f>
        <v>25.736899999999999</v>
      </c>
      <c r="K527" s="52">
        <f>CHOOSE(CONTROL!$C$42, 25.8212, 25.8212) * CHOOSE(CONTROL!$C$21, $C$9, 100%, $E$9)</f>
        <v>25.821200000000001</v>
      </c>
      <c r="L527" s="14">
        <f>CHOOSE(CONTROL!$C$42, 26.3927, 26.3927) * CHOOSE(CONTROL!$C$21, $C$9, 100%, $E$9)</f>
        <v>26.392700000000001</v>
      </c>
      <c r="M527" s="14">
        <f>CHOOSE(CONTROL!$C$42, 25.2172, 25.2172) * CHOOSE(CONTROL!$C$21, $C$9, 100%, $E$9)</f>
        <v>25.217199999999998</v>
      </c>
      <c r="N527" s="14">
        <f>CHOOSE(CONTROL!$C$42, 25.2343, 25.2343) * CHOOSE(CONTROL!$C$21, $C$9, 100%, $E$9)</f>
        <v>25.234300000000001</v>
      </c>
      <c r="O527" s="14">
        <f>CHOOSE(CONTROL!$C$42, 25.2846, 25.2846) * CHOOSE(CONTROL!$C$21, $C$9, 100%, $E$9)</f>
        <v>25.284600000000001</v>
      </c>
      <c r="P527" s="14">
        <f>CHOOSE(CONTROL!$C$42, 25.3021, 25.3021) * CHOOSE(CONTROL!$C$21, $C$9, 100%, $E$9)</f>
        <v>25.302099999999999</v>
      </c>
      <c r="Q527" s="14">
        <f>CHOOSE(CONTROL!$C$42, 25.8793, 25.8793) * CHOOSE(CONTROL!$C$21, $C$9, 100%, $E$9)</f>
        <v>25.879300000000001</v>
      </c>
      <c r="R527" s="14">
        <f>CHOOSE(CONTROL!$C$42, 26.531, 26.531) * CHOOSE(CONTROL!$C$21, $C$9, 100%, $E$9)</f>
        <v>26.530999999999999</v>
      </c>
      <c r="S527" s="14">
        <f>CHOOSE(CONTROL!$C$42, 24.6946, 24.6946) * CHOOSE(CONTROL!$C$21, $C$9, 100%, $E$9)</f>
        <v>24.694600000000001</v>
      </c>
      <c r="T52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56">
        <f>(1000*CHOOSE(CONTROL!$C$42, 695, 695)*CHOOSE(CONTROL!$C$42, 0.5599, 0.5599)*CHOOSE(CONTROL!$C$42, 30, 30))/1000000</f>
        <v>11.673914999999997</v>
      </c>
      <c r="V527" s="56">
        <f>(1000*CHOOSE(CONTROL!$C$42, 500, 500)*CHOOSE(CONTROL!$C$42, 0.275, 0.275)*CHOOSE(CONTROL!$C$42, 30, 30))/1000000</f>
        <v>4.125</v>
      </c>
      <c r="W527" s="56">
        <f>(1000*CHOOSE(CONTROL!$C$42, 0.1146, 0.1146)*CHOOSE(CONTROL!$C$42, 121.5, 121.5)*CHOOSE(CONTROL!$C$42, 30, 30))/1000000</f>
        <v>0.417717</v>
      </c>
      <c r="X527" s="56">
        <f>(30*0.1790888*100000/1000000)+(30*0.2374*100000/1000000)</f>
        <v>1.2494664</v>
      </c>
      <c r="Y527" s="56"/>
      <c r="Z527" s="14"/>
      <c r="AA527" s="55"/>
      <c r="AB527" s="49">
        <f>(B527*122.58+C527*297.941+D527*89.177+E527*40.302+F527*40+G527*160+H527*0+I527*100+J527*300)/(122.58+297.941+89.177+40.302+0+40+160+100+300)</f>
        <v>25.745362953999994</v>
      </c>
      <c r="AC527" s="44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25.26094820143885</v>
      </c>
    </row>
    <row r="528" spans="1:29" ht="15.75" x14ac:dyDescent="0.25">
      <c r="A528" s="31">
        <v>56979</v>
      </c>
      <c r="B528" s="14">
        <f>CHOOSE(CONTROL!$C$42, 27.4604, 27.4604) * CHOOSE(CONTROL!$C$21, $C$9, 100%, $E$9)</f>
        <v>27.4604</v>
      </c>
      <c r="C528" s="14">
        <f>CHOOSE(CONTROL!$C$42, 27.4655, 27.4655) * CHOOSE(CONTROL!$C$21, $C$9, 100%, $E$9)</f>
        <v>27.465499999999999</v>
      </c>
      <c r="D528" s="14">
        <f>CHOOSE(CONTROL!$C$42, 27.5345, 27.5345) * CHOOSE(CONTROL!$C$21, $C$9, 100%, $E$9)</f>
        <v>27.534500000000001</v>
      </c>
      <c r="E528" s="14">
        <f>CHOOSE(CONTROL!$C$42, 27.5686, 27.5686) * CHOOSE(CONTROL!$C$21, $C$9, 100%, $E$9)</f>
        <v>27.5686</v>
      </c>
      <c r="F528" s="14">
        <f>CHOOSE(CONTROL!$C$42, 27.4982, 27.4982)*CHOOSE(CONTROL!$C$21, $C$9, 100%, $E$9)</f>
        <v>27.498200000000001</v>
      </c>
      <c r="G528" s="14">
        <f>CHOOSE(CONTROL!$C$42, 27.5162, 27.5162)*CHOOSE(CONTROL!$C$21, $C$9, 100%, $E$9)</f>
        <v>27.516200000000001</v>
      </c>
      <c r="H528" s="14">
        <f>CHOOSE(CONTROL!$C$42, 27.5578, 27.5578) * CHOOSE(CONTROL!$C$21, $C$9, 100%, $E$9)</f>
        <v>27.5578</v>
      </c>
      <c r="I528" s="14">
        <f>CHOOSE(CONTROL!$C$42, 27.5827, 27.5827)* CHOOSE(CONTROL!$C$21, $C$9, 100%, $E$9)</f>
        <v>27.582699999999999</v>
      </c>
      <c r="J528" s="14">
        <f>CHOOSE(CONTROL!$C$42, 27.4912, 27.4912)* CHOOSE(CONTROL!$C$21, $C$9, 100%, $E$9)</f>
        <v>27.491199999999999</v>
      </c>
      <c r="K528" s="52">
        <f>CHOOSE(CONTROL!$C$42, 27.5789, 27.5789) * CHOOSE(CONTROL!$C$21, $C$9, 100%, $E$9)</f>
        <v>27.578900000000001</v>
      </c>
      <c r="L528" s="14">
        <f>CHOOSE(CONTROL!$C$42, 28.1448, 28.1448) * CHOOSE(CONTROL!$C$21, $C$9, 100%, $E$9)</f>
        <v>28.1448</v>
      </c>
      <c r="M528" s="14">
        <f>CHOOSE(CONTROL!$C$42, 26.9357, 26.9357) * CHOOSE(CONTROL!$C$21, $C$9, 100%, $E$9)</f>
        <v>26.935700000000001</v>
      </c>
      <c r="N528" s="14">
        <f>CHOOSE(CONTROL!$C$42, 26.9533, 26.9533) * CHOOSE(CONTROL!$C$21, $C$9, 100%, $E$9)</f>
        <v>26.953299999999999</v>
      </c>
      <c r="O528" s="14">
        <f>CHOOSE(CONTROL!$C$42, 27.0008, 27.0008) * CHOOSE(CONTROL!$C$21, $C$9, 100%, $E$9)</f>
        <v>27.000800000000002</v>
      </c>
      <c r="P528" s="14">
        <f>CHOOSE(CONTROL!$C$42, 27.0236, 27.0236) * CHOOSE(CONTROL!$C$21, $C$9, 100%, $E$9)</f>
        <v>27.023599999999998</v>
      </c>
      <c r="Q528" s="14">
        <f>CHOOSE(CONTROL!$C$42, 27.5955, 27.5955) * CHOOSE(CONTROL!$C$21, $C$9, 100%, $E$9)</f>
        <v>27.595500000000001</v>
      </c>
      <c r="R528" s="14">
        <f>CHOOSE(CONTROL!$C$42, 28.2515, 28.2515) * CHOOSE(CONTROL!$C$21, $C$9, 100%, $E$9)</f>
        <v>28.2515</v>
      </c>
      <c r="S528" s="14">
        <f>CHOOSE(CONTROL!$C$42, 26.3782, 26.3782) * CHOOSE(CONTROL!$C$21, $C$9, 100%, $E$9)</f>
        <v>26.3782</v>
      </c>
      <c r="T52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56">
        <f>(1000*CHOOSE(CONTROL!$C$42, 695, 695)*CHOOSE(CONTROL!$C$42, 0.5599, 0.5599)*CHOOSE(CONTROL!$C$42, 31, 31))/1000000</f>
        <v>12.063045499999998</v>
      </c>
      <c r="V528" s="56">
        <f>(1000*CHOOSE(CONTROL!$C$42, 500, 500)*CHOOSE(CONTROL!$C$42, 0.275, 0.275)*CHOOSE(CONTROL!$C$42, 31, 31))/1000000</f>
        <v>4.2625000000000002</v>
      </c>
      <c r="W528" s="56">
        <f>(1000*CHOOSE(CONTROL!$C$42, 0.1146, 0.1146)*CHOOSE(CONTROL!$C$42, 121.5, 121.5)*CHOOSE(CONTROL!$C$42, 31, 31))/1000000</f>
        <v>0.43164089999999994</v>
      </c>
      <c r="X528" s="56">
        <f>(31*0.1790888*100000/1000000)+(31*0.2374*100000/1000000)</f>
        <v>1.2911152800000001</v>
      </c>
      <c r="Y528" s="56"/>
      <c r="Z528" s="14"/>
      <c r="AA528" s="55"/>
      <c r="AB528" s="49">
        <f>(B528*122.58+C528*297.941+D528*89.177+E528*40.302+F528*40+G528*160+H528*0+I528*100+J528*300)/(122.58+297.941+89.177+40.302+0+40+160+100+300)</f>
        <v>27.499007122782608</v>
      </c>
      <c r="AC528" s="44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26.978866187050361</v>
      </c>
    </row>
    <row r="529" spans="1:29" ht="15.75" x14ac:dyDescent="0.25">
      <c r="A529" s="31">
        <v>57010</v>
      </c>
      <c r="B529" s="14">
        <f>CHOOSE(CONTROL!$C$42, 29.7361, 29.7361) * CHOOSE(CONTROL!$C$21, $C$9, 100%, $E$9)</f>
        <v>29.7361</v>
      </c>
      <c r="C529" s="14">
        <f>CHOOSE(CONTROL!$C$42, 29.7412, 29.7412) * CHOOSE(CONTROL!$C$21, $C$9, 100%, $E$9)</f>
        <v>29.741199999999999</v>
      </c>
      <c r="D529" s="14">
        <f>CHOOSE(CONTROL!$C$42, 29.8206, 29.8206) * CHOOSE(CONTROL!$C$21, $C$9, 100%, $E$9)</f>
        <v>29.820599999999999</v>
      </c>
      <c r="E529" s="14">
        <f>CHOOSE(CONTROL!$C$42, 29.8547, 29.8547) * CHOOSE(CONTROL!$C$21, $C$9, 100%, $E$9)</f>
        <v>29.854700000000001</v>
      </c>
      <c r="F529" s="14">
        <f>CHOOSE(CONTROL!$C$42, 29.7591, 29.7591)*CHOOSE(CONTROL!$C$21, $C$9, 100%, $E$9)</f>
        <v>29.7591</v>
      </c>
      <c r="G529" s="14">
        <f>CHOOSE(CONTROL!$C$42, 29.7766, 29.7766)*CHOOSE(CONTROL!$C$21, $C$9, 100%, $E$9)</f>
        <v>29.776599999999998</v>
      </c>
      <c r="H529" s="14">
        <f>CHOOSE(CONTROL!$C$42, 29.8439, 29.8439) * CHOOSE(CONTROL!$C$21, $C$9, 100%, $E$9)</f>
        <v>29.843900000000001</v>
      </c>
      <c r="I529" s="14">
        <f>CHOOSE(CONTROL!$C$42, 29.8645, 29.8645)* CHOOSE(CONTROL!$C$21, $C$9, 100%, $E$9)</f>
        <v>29.8645</v>
      </c>
      <c r="J529" s="14">
        <f>CHOOSE(CONTROL!$C$42, 29.7521, 29.7521)* CHOOSE(CONTROL!$C$21, $C$9, 100%, $E$9)</f>
        <v>29.752099999999999</v>
      </c>
      <c r="K529" s="52">
        <f>CHOOSE(CONTROL!$C$42, 29.8606, 29.8606) * CHOOSE(CONTROL!$C$21, $C$9, 100%, $E$9)</f>
        <v>29.860600000000002</v>
      </c>
      <c r="L529" s="14">
        <f>CHOOSE(CONTROL!$C$42, 30.4309, 30.4309) * CHOOSE(CONTROL!$C$21, $C$9, 100%, $E$9)</f>
        <v>30.430900000000001</v>
      </c>
      <c r="M529" s="14">
        <f>CHOOSE(CONTROL!$C$42, 29.1502, 29.1502) * CHOOSE(CONTROL!$C$21, $C$9, 100%, $E$9)</f>
        <v>29.150200000000002</v>
      </c>
      <c r="N529" s="14">
        <f>CHOOSE(CONTROL!$C$42, 29.1674, 29.1674) * CHOOSE(CONTROL!$C$21, $C$9, 100%, $E$9)</f>
        <v>29.167400000000001</v>
      </c>
      <c r="O529" s="14">
        <f>CHOOSE(CONTROL!$C$42, 29.2401, 29.2401) * CHOOSE(CONTROL!$C$21, $C$9, 100%, $E$9)</f>
        <v>29.240100000000002</v>
      </c>
      <c r="P529" s="14">
        <f>CHOOSE(CONTROL!$C$42, 29.2585, 29.2585) * CHOOSE(CONTROL!$C$21, $C$9, 100%, $E$9)</f>
        <v>29.258500000000002</v>
      </c>
      <c r="Q529" s="14">
        <f>CHOOSE(CONTROL!$C$42, 29.8348, 29.8348) * CHOOSE(CONTROL!$C$21, $C$9, 100%, $E$9)</f>
        <v>29.834800000000001</v>
      </c>
      <c r="R529" s="14">
        <f>CHOOSE(CONTROL!$C$42, 30.4964, 30.4964) * CHOOSE(CONTROL!$C$21, $C$9, 100%, $E$9)</f>
        <v>30.496400000000001</v>
      </c>
      <c r="S529" s="14">
        <f>CHOOSE(CONTROL!$C$42, 28.5649, 28.5649) * CHOOSE(CONTROL!$C$21, $C$9, 100%, $E$9)</f>
        <v>28.564900000000002</v>
      </c>
      <c r="T52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56">
        <f>(1000*CHOOSE(CONTROL!$C$42, 695, 695)*CHOOSE(CONTROL!$C$42, 0.5599, 0.5599)*CHOOSE(CONTROL!$C$42, 31, 31))/1000000</f>
        <v>12.063045499999998</v>
      </c>
      <c r="V529" s="56">
        <f>(1000*CHOOSE(CONTROL!$C$42, 500, 500)*CHOOSE(CONTROL!$C$42, 0.275, 0.275)*CHOOSE(CONTROL!$C$42, 31, 31))/1000000</f>
        <v>4.2625000000000002</v>
      </c>
      <c r="W529" s="56">
        <f>(1000*CHOOSE(CONTROL!$C$42, 0.1146, 0.1146)*CHOOSE(CONTROL!$C$42, 121.5, 121.5)*CHOOSE(CONTROL!$C$42, 31, 31))/1000000</f>
        <v>0.43164089999999994</v>
      </c>
      <c r="X529" s="56">
        <f>(31*0.1790888*100000/1000000)+(31*0.2374*100000/1000000)</f>
        <v>1.2911152800000001</v>
      </c>
      <c r="Y529" s="56"/>
      <c r="Z529" s="14"/>
      <c r="AA529" s="55"/>
      <c r="AB529" s="49">
        <f>(B529*122.58+C529*297.941+D529*89.177+E529*40.302+F529*40+G529*160+H529*0+I529*100+J529*300)/(122.58+297.941+89.177+40.302+0+40+160+100+300)</f>
        <v>29.769904150260871</v>
      </c>
      <c r="AC529" s="44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29.207518705035973</v>
      </c>
    </row>
    <row r="530" spans="1:29" ht="15.75" x14ac:dyDescent="0.25">
      <c r="A530" s="31">
        <v>57038</v>
      </c>
      <c r="B530" s="14">
        <f>CHOOSE(CONTROL!$C$42, 30.2653, 30.2653) * CHOOSE(CONTROL!$C$21, $C$9, 100%, $E$9)</f>
        <v>30.2653</v>
      </c>
      <c r="C530" s="14">
        <f>CHOOSE(CONTROL!$C$42, 30.2703, 30.2703) * CHOOSE(CONTROL!$C$21, $C$9, 100%, $E$9)</f>
        <v>30.270299999999999</v>
      </c>
      <c r="D530" s="14">
        <f>CHOOSE(CONTROL!$C$42, 30.3498, 30.3498) * CHOOSE(CONTROL!$C$21, $C$9, 100%, $E$9)</f>
        <v>30.349799999999998</v>
      </c>
      <c r="E530" s="14">
        <f>CHOOSE(CONTROL!$C$42, 30.3839, 30.3839) * CHOOSE(CONTROL!$C$21, $C$9, 100%, $E$9)</f>
        <v>30.383900000000001</v>
      </c>
      <c r="F530" s="14">
        <f>CHOOSE(CONTROL!$C$42, 30.2881, 30.2881)*CHOOSE(CONTROL!$C$21, $C$9, 100%, $E$9)</f>
        <v>30.2881</v>
      </c>
      <c r="G530" s="14">
        <f>CHOOSE(CONTROL!$C$42, 30.3055, 30.3055)*CHOOSE(CONTROL!$C$21, $C$9, 100%, $E$9)</f>
        <v>30.305499999999999</v>
      </c>
      <c r="H530" s="14">
        <f>CHOOSE(CONTROL!$C$42, 30.3731, 30.3731) * CHOOSE(CONTROL!$C$21, $C$9, 100%, $E$9)</f>
        <v>30.373100000000001</v>
      </c>
      <c r="I530" s="14">
        <f>CHOOSE(CONTROL!$C$42, 30.3954, 30.3954)* CHOOSE(CONTROL!$C$21, $C$9, 100%, $E$9)</f>
        <v>30.395399999999999</v>
      </c>
      <c r="J530" s="14">
        <f>CHOOSE(CONTROL!$C$42, 30.2811, 30.2811)* CHOOSE(CONTROL!$C$21, $C$9, 100%, $E$9)</f>
        <v>30.281099999999999</v>
      </c>
      <c r="K530" s="52">
        <f>CHOOSE(CONTROL!$C$42, 30.3915, 30.3915) * CHOOSE(CONTROL!$C$21, $C$9, 100%, $E$9)</f>
        <v>30.391500000000001</v>
      </c>
      <c r="L530" s="14">
        <f>CHOOSE(CONTROL!$C$42, 30.9601, 30.9601) * CHOOSE(CONTROL!$C$21, $C$9, 100%, $E$9)</f>
        <v>30.960100000000001</v>
      </c>
      <c r="M530" s="14">
        <f>CHOOSE(CONTROL!$C$42, 29.6683, 29.6683) * CHOOSE(CONTROL!$C$21, $C$9, 100%, $E$9)</f>
        <v>29.668299999999999</v>
      </c>
      <c r="N530" s="14">
        <f>CHOOSE(CONTROL!$C$42, 29.6854, 29.6854) * CHOOSE(CONTROL!$C$21, $C$9, 100%, $E$9)</f>
        <v>29.685400000000001</v>
      </c>
      <c r="O530" s="14">
        <f>CHOOSE(CONTROL!$C$42, 29.7584, 29.7584) * CHOOSE(CONTROL!$C$21, $C$9, 100%, $E$9)</f>
        <v>29.758400000000002</v>
      </c>
      <c r="P530" s="14">
        <f>CHOOSE(CONTROL!$C$42, 29.7784, 29.7784) * CHOOSE(CONTROL!$C$21, $C$9, 100%, $E$9)</f>
        <v>29.778400000000001</v>
      </c>
      <c r="Q530" s="14">
        <f>CHOOSE(CONTROL!$C$42, 30.3531, 30.3531) * CHOOSE(CONTROL!$C$21, $C$9, 100%, $E$9)</f>
        <v>30.353100000000001</v>
      </c>
      <c r="R530" s="14">
        <f>CHOOSE(CONTROL!$C$42, 31.016, 31.016) * CHOOSE(CONTROL!$C$21, $C$9, 100%, $E$9)</f>
        <v>31.015999999999998</v>
      </c>
      <c r="S530" s="14">
        <f>CHOOSE(CONTROL!$C$42, 29.0734, 29.0734) * CHOOSE(CONTROL!$C$21, $C$9, 100%, $E$9)</f>
        <v>29.073399999999999</v>
      </c>
      <c r="T530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30" s="56">
        <f>(1000*CHOOSE(CONTROL!$C$42, 695, 695)*CHOOSE(CONTROL!$C$42, 0.5599, 0.5599)*CHOOSE(CONTROL!$C$42, 29, 29))/1000000</f>
        <v>11.284784499999999</v>
      </c>
      <c r="V530" s="56">
        <f>(1000*CHOOSE(CONTROL!$C$42, 500, 500)*CHOOSE(CONTROL!$C$42, 0.275, 0.275)*CHOOSE(CONTROL!$C$42, 29, 29))/1000000</f>
        <v>3.9874999999999998</v>
      </c>
      <c r="W530" s="56">
        <f>(1000*CHOOSE(CONTROL!$C$42, 0.1146, 0.1146)*CHOOSE(CONTROL!$C$42, 121.5, 121.5)*CHOOSE(CONTROL!$C$42, 29, 29))/1000000</f>
        <v>0.40379309999999996</v>
      </c>
      <c r="X530" s="56">
        <f>(29*0.1790888*100000/1000000)+(29*0.2374*100000/1000000)</f>
        <v>1.2078175199999999</v>
      </c>
      <c r="Y530" s="56"/>
      <c r="Z530" s="14"/>
      <c r="AA530" s="55"/>
      <c r="AB530" s="49">
        <f>(B530*122.58+C530*297.941+D530*89.177+E530*40.302+F530*40+G530*160+H530*0+I530*100+J530*300)/(122.58+297.941+89.177+40.302+0+40+160+100+300)</f>
        <v>30.299125198869568</v>
      </c>
      <c r="AC530" s="44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29.725962589928059</v>
      </c>
    </row>
    <row r="531" spans="1:29" ht="15.75" x14ac:dyDescent="0.25">
      <c r="A531" s="31">
        <v>57070</v>
      </c>
      <c r="B531" s="14">
        <f>CHOOSE(CONTROL!$C$42, 29.4063, 29.4063) * CHOOSE(CONTROL!$C$21, $C$9, 100%, $E$9)</f>
        <v>29.406300000000002</v>
      </c>
      <c r="C531" s="14">
        <f>CHOOSE(CONTROL!$C$42, 29.4114, 29.4114) * CHOOSE(CONTROL!$C$21, $C$9, 100%, $E$9)</f>
        <v>29.4114</v>
      </c>
      <c r="D531" s="14">
        <f>CHOOSE(CONTROL!$C$42, 29.4908, 29.4908) * CHOOSE(CONTROL!$C$21, $C$9, 100%, $E$9)</f>
        <v>29.4908</v>
      </c>
      <c r="E531" s="14">
        <f>CHOOSE(CONTROL!$C$42, 29.5249, 29.5249) * CHOOSE(CONTROL!$C$21, $C$9, 100%, $E$9)</f>
        <v>29.524899999999999</v>
      </c>
      <c r="F531" s="14">
        <f>CHOOSE(CONTROL!$C$42, 29.4283, 29.4283)*CHOOSE(CONTROL!$C$21, $C$9, 100%, $E$9)</f>
        <v>29.4283</v>
      </c>
      <c r="G531" s="14">
        <f>CHOOSE(CONTROL!$C$42, 29.4456, 29.4456)*CHOOSE(CONTROL!$C$21, $C$9, 100%, $E$9)</f>
        <v>29.445599999999999</v>
      </c>
      <c r="H531" s="14">
        <f>CHOOSE(CONTROL!$C$42, 29.5141, 29.5141) * CHOOSE(CONTROL!$C$21, $C$9, 100%, $E$9)</f>
        <v>29.514099999999999</v>
      </c>
      <c r="I531" s="14">
        <f>CHOOSE(CONTROL!$C$42, 29.5337, 29.5337)* CHOOSE(CONTROL!$C$21, $C$9, 100%, $E$9)</f>
        <v>29.5337</v>
      </c>
      <c r="J531" s="14">
        <f>CHOOSE(CONTROL!$C$42, 29.4213, 29.4213)* CHOOSE(CONTROL!$C$21, $C$9, 100%, $E$9)</f>
        <v>29.421299999999999</v>
      </c>
      <c r="K531" s="52">
        <f>CHOOSE(CONTROL!$C$42, 29.5298, 29.5298) * CHOOSE(CONTROL!$C$21, $C$9, 100%, $E$9)</f>
        <v>29.529800000000002</v>
      </c>
      <c r="L531" s="14">
        <f>CHOOSE(CONTROL!$C$42, 30.1011, 30.1011) * CHOOSE(CONTROL!$C$21, $C$9, 100%, $E$9)</f>
        <v>30.101099999999999</v>
      </c>
      <c r="M531" s="14">
        <f>CHOOSE(CONTROL!$C$42, 28.8262, 28.8262) * CHOOSE(CONTROL!$C$21, $C$9, 100%, $E$9)</f>
        <v>28.8262</v>
      </c>
      <c r="N531" s="14">
        <f>CHOOSE(CONTROL!$C$42, 28.8431, 28.8431) * CHOOSE(CONTROL!$C$21, $C$9, 100%, $E$9)</f>
        <v>28.8431</v>
      </c>
      <c r="O531" s="14">
        <f>CHOOSE(CONTROL!$C$42, 28.9171, 28.9171) * CHOOSE(CONTROL!$C$21, $C$9, 100%, $E$9)</f>
        <v>28.917100000000001</v>
      </c>
      <c r="P531" s="14">
        <f>CHOOSE(CONTROL!$C$42, 28.9345, 28.9345) * CHOOSE(CONTROL!$C$21, $C$9, 100%, $E$9)</f>
        <v>28.9345</v>
      </c>
      <c r="Q531" s="14">
        <f>CHOOSE(CONTROL!$C$42, 29.5118, 29.5118) * CHOOSE(CONTROL!$C$21, $C$9, 100%, $E$9)</f>
        <v>29.511800000000001</v>
      </c>
      <c r="R531" s="14">
        <f>CHOOSE(CONTROL!$C$42, 30.1725, 30.1725) * CHOOSE(CONTROL!$C$21, $C$9, 100%, $E$9)</f>
        <v>30.172499999999999</v>
      </c>
      <c r="S531" s="14">
        <f>CHOOSE(CONTROL!$C$42, 28.248, 28.248) * CHOOSE(CONTROL!$C$21, $C$9, 100%, $E$9)</f>
        <v>28.248000000000001</v>
      </c>
      <c r="T53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56">
        <f>(1000*CHOOSE(CONTROL!$C$42, 695, 695)*CHOOSE(CONTROL!$C$42, 0.5599, 0.5599)*CHOOSE(CONTROL!$C$42, 31, 31))/1000000</f>
        <v>12.063045499999998</v>
      </c>
      <c r="V531" s="56">
        <f>(1000*CHOOSE(CONTROL!$C$42, 500, 500)*CHOOSE(CONTROL!$C$42, 0.275, 0.275)*CHOOSE(CONTROL!$C$42, 31, 31))/1000000</f>
        <v>4.2625000000000002</v>
      </c>
      <c r="W531" s="56">
        <f>(1000*CHOOSE(CONTROL!$C$42, 0.1146, 0.1146)*CHOOSE(CONTROL!$C$42, 121.5, 121.5)*CHOOSE(CONTROL!$C$42, 31, 31))/1000000</f>
        <v>0.43164089999999994</v>
      </c>
      <c r="X531" s="56">
        <f>(31*0.1790888*100000/1000000)+(31*0.2374*100000/1000000)</f>
        <v>1.2911152800000001</v>
      </c>
      <c r="Y531" s="56"/>
      <c r="Z531" s="14"/>
      <c r="AA531" s="55"/>
      <c r="AB531" s="49">
        <f>(B531*122.58+C531*297.941+D531*89.177+E531*40.302+F531*40+G531*160+H531*0+I531*100+J531*300)/(122.58+297.941+89.177+40.302+0+40+160+100+300)</f>
        <v>29.439554585043478</v>
      </c>
      <c r="AC531" s="44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28.883954676258998</v>
      </c>
    </row>
    <row r="532" spans="1:29" ht="15.75" x14ac:dyDescent="0.25">
      <c r="A532" s="31">
        <v>57100</v>
      </c>
      <c r="B532" s="14">
        <f>CHOOSE(CONTROL!$C$42, 29.3193, 29.3193) * CHOOSE(CONTROL!$C$21, $C$9, 100%, $E$9)</f>
        <v>29.319299999999998</v>
      </c>
      <c r="C532" s="14">
        <f>CHOOSE(CONTROL!$C$42, 29.3238, 29.3238) * CHOOSE(CONTROL!$C$21, $C$9, 100%, $E$9)</f>
        <v>29.323799999999999</v>
      </c>
      <c r="D532" s="14">
        <f>CHOOSE(CONTROL!$C$42, 29.5527, 29.5527) * CHOOSE(CONTROL!$C$21, $C$9, 100%, $E$9)</f>
        <v>29.552700000000002</v>
      </c>
      <c r="E532" s="14">
        <f>CHOOSE(CONTROL!$C$42, 29.5848, 29.5848) * CHOOSE(CONTROL!$C$21, $C$9, 100%, $E$9)</f>
        <v>29.584800000000001</v>
      </c>
      <c r="F532" s="14">
        <f>CHOOSE(CONTROL!$C$42, 29.3463, 29.3463)*CHOOSE(CONTROL!$C$21, $C$9, 100%, $E$9)</f>
        <v>29.346299999999999</v>
      </c>
      <c r="G532" s="14">
        <f>CHOOSE(CONTROL!$C$42, 29.363, 29.363)*CHOOSE(CONTROL!$C$21, $C$9, 100%, $E$9)</f>
        <v>29.363</v>
      </c>
      <c r="H532" s="14">
        <f>CHOOSE(CONTROL!$C$42, 29.5746, 29.5746) * CHOOSE(CONTROL!$C$21, $C$9, 100%, $E$9)</f>
        <v>29.5746</v>
      </c>
      <c r="I532" s="14">
        <f>CHOOSE(CONTROL!$C$42, 29.4441, 29.4441)* CHOOSE(CONTROL!$C$21, $C$9, 100%, $E$9)</f>
        <v>29.444099999999999</v>
      </c>
      <c r="J532" s="14">
        <f>CHOOSE(CONTROL!$C$42, 29.3393, 29.3393)* CHOOSE(CONTROL!$C$21, $C$9, 100%, $E$9)</f>
        <v>29.339300000000001</v>
      </c>
      <c r="K532" s="52">
        <f>CHOOSE(CONTROL!$C$42, 29.4402, 29.4402) * CHOOSE(CONTROL!$C$21, $C$9, 100%, $E$9)</f>
        <v>29.440200000000001</v>
      </c>
      <c r="L532" s="14">
        <f>CHOOSE(CONTROL!$C$42, 30.1616, 30.1616) * CHOOSE(CONTROL!$C$21, $C$9, 100%, $E$9)</f>
        <v>30.1616</v>
      </c>
      <c r="M532" s="14">
        <f>CHOOSE(CONTROL!$C$42, 28.7458, 28.7458) * CHOOSE(CONTROL!$C$21, $C$9, 100%, $E$9)</f>
        <v>28.745799999999999</v>
      </c>
      <c r="N532" s="14">
        <f>CHOOSE(CONTROL!$C$42, 28.7622, 28.7622) * CHOOSE(CONTROL!$C$21, $C$9, 100%, $E$9)</f>
        <v>28.7622</v>
      </c>
      <c r="O532" s="14">
        <f>CHOOSE(CONTROL!$C$42, 28.9763, 28.9763) * CHOOSE(CONTROL!$C$21, $C$9, 100%, $E$9)</f>
        <v>28.976299999999998</v>
      </c>
      <c r="P532" s="14">
        <f>CHOOSE(CONTROL!$C$42, 28.8467, 28.8467) * CHOOSE(CONTROL!$C$21, $C$9, 100%, $E$9)</f>
        <v>28.846699999999998</v>
      </c>
      <c r="Q532" s="14">
        <f>CHOOSE(CONTROL!$C$42, 29.571, 29.571) * CHOOSE(CONTROL!$C$21, $C$9, 100%, $E$9)</f>
        <v>29.571000000000002</v>
      </c>
      <c r="R532" s="14">
        <f>CHOOSE(CONTROL!$C$42, 30.232, 30.232) * CHOOSE(CONTROL!$C$21, $C$9, 100%, $E$9)</f>
        <v>30.231999999999999</v>
      </c>
      <c r="S532" s="14">
        <f>CHOOSE(CONTROL!$C$42, 28.1636, 28.1636) * CHOOSE(CONTROL!$C$21, $C$9, 100%, $E$9)</f>
        <v>28.163599999999999</v>
      </c>
      <c r="T53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56">
        <f>(1000*CHOOSE(CONTROL!$C$42, 695, 695)*CHOOSE(CONTROL!$C$42, 0.5599, 0.5599)*CHOOSE(CONTROL!$C$42, 30, 30))/1000000</f>
        <v>11.673914999999997</v>
      </c>
      <c r="V532" s="56">
        <f>(1000*CHOOSE(CONTROL!$C$42, 500, 500)*CHOOSE(CONTROL!$C$42, 0.275, 0.275)*CHOOSE(CONTROL!$C$42, 30, 30))/1000000</f>
        <v>4.125</v>
      </c>
      <c r="W532" s="56">
        <f>(1000*CHOOSE(CONTROL!$C$42, 0.1146, 0.1146)*CHOOSE(CONTROL!$C$42, 121.5, 121.5)*CHOOSE(CONTROL!$C$42, 30, 30))/1000000</f>
        <v>0.417717</v>
      </c>
      <c r="X532" s="56">
        <f>(30*0.1790888*245000/1000000)+(30*0.2374*100000/1000000)</f>
        <v>2.0285026799999999</v>
      </c>
      <c r="Y532" s="56"/>
      <c r="Z532" s="14"/>
      <c r="AA532" s="55"/>
      <c r="AB532" s="49">
        <f>(B532*141.293+C532*267.993+D532*115.016+E532*89.698+F532*40+G532*185+H532*0+I532*100+J532*300)/(141.293+267.993+115.016+89.698+0+40+185+100+300)</f>
        <v>29.383472737610976</v>
      </c>
      <c r="AC532" s="44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28.828766187050359</v>
      </c>
    </row>
    <row r="533" spans="1:29" ht="15.75" x14ac:dyDescent="0.25">
      <c r="A533" s="31">
        <v>57131</v>
      </c>
      <c r="B533" s="14">
        <f>CHOOSE(CONTROL!$C$42, 29.5794, 29.5794) * CHOOSE(CONTROL!$C$21, $C$9, 100%, $E$9)</f>
        <v>29.5794</v>
      </c>
      <c r="C533" s="14">
        <f>CHOOSE(CONTROL!$C$42, 29.5874, 29.5874) * CHOOSE(CONTROL!$C$21, $C$9, 100%, $E$9)</f>
        <v>29.587399999999999</v>
      </c>
      <c r="D533" s="14">
        <f>CHOOSE(CONTROL!$C$42, 29.8132, 29.8132) * CHOOSE(CONTROL!$C$21, $C$9, 100%, $E$9)</f>
        <v>29.813199999999998</v>
      </c>
      <c r="E533" s="14">
        <f>CHOOSE(CONTROL!$C$42, 29.8446, 29.8446) * CHOOSE(CONTROL!$C$21, $C$9, 100%, $E$9)</f>
        <v>29.8446</v>
      </c>
      <c r="F533" s="14">
        <f>CHOOSE(CONTROL!$C$42, 29.605, 29.605)*CHOOSE(CONTROL!$C$21, $C$9, 100%, $E$9)</f>
        <v>29.605</v>
      </c>
      <c r="G533" s="14">
        <f>CHOOSE(CONTROL!$C$42, 29.622, 29.622)*CHOOSE(CONTROL!$C$21, $C$9, 100%, $E$9)</f>
        <v>29.622</v>
      </c>
      <c r="H533" s="14">
        <f>CHOOSE(CONTROL!$C$42, 29.8333, 29.8333) * CHOOSE(CONTROL!$C$21, $C$9, 100%, $E$9)</f>
        <v>29.833300000000001</v>
      </c>
      <c r="I533" s="14">
        <f>CHOOSE(CONTROL!$C$42, 29.7035, 29.7035)* CHOOSE(CONTROL!$C$21, $C$9, 100%, $E$9)</f>
        <v>29.703499999999998</v>
      </c>
      <c r="J533" s="14">
        <f>CHOOSE(CONTROL!$C$42, 29.598, 29.598)* CHOOSE(CONTROL!$C$21, $C$9, 100%, $E$9)</f>
        <v>29.597999999999999</v>
      </c>
      <c r="K533" s="52">
        <f>CHOOSE(CONTROL!$C$42, 29.6997, 29.6997) * CHOOSE(CONTROL!$C$21, $C$9, 100%, $E$9)</f>
        <v>29.6997</v>
      </c>
      <c r="L533" s="14">
        <f>CHOOSE(CONTROL!$C$42, 30.4203, 30.4203) * CHOOSE(CONTROL!$C$21, $C$9, 100%, $E$9)</f>
        <v>30.420300000000001</v>
      </c>
      <c r="M533" s="14">
        <f>CHOOSE(CONTROL!$C$42, 28.9993, 28.9993) * CHOOSE(CONTROL!$C$21, $C$9, 100%, $E$9)</f>
        <v>28.999300000000002</v>
      </c>
      <c r="N533" s="14">
        <f>CHOOSE(CONTROL!$C$42, 29.0159, 29.0159) * CHOOSE(CONTROL!$C$21, $C$9, 100%, $E$9)</f>
        <v>29.015899999999998</v>
      </c>
      <c r="O533" s="14">
        <f>CHOOSE(CONTROL!$C$42, 29.2297, 29.2297) * CHOOSE(CONTROL!$C$21, $C$9, 100%, $E$9)</f>
        <v>29.229700000000001</v>
      </c>
      <c r="P533" s="14">
        <f>CHOOSE(CONTROL!$C$42, 29.1008, 29.1008) * CHOOSE(CONTROL!$C$21, $C$9, 100%, $E$9)</f>
        <v>29.1008</v>
      </c>
      <c r="Q533" s="14">
        <f>CHOOSE(CONTROL!$C$42, 29.8244, 29.8244) * CHOOSE(CONTROL!$C$21, $C$9, 100%, $E$9)</f>
        <v>29.824400000000001</v>
      </c>
      <c r="R533" s="14">
        <f>CHOOSE(CONTROL!$C$42, 30.486, 30.486) * CHOOSE(CONTROL!$C$21, $C$9, 100%, $E$9)</f>
        <v>30.486000000000001</v>
      </c>
      <c r="S533" s="14">
        <f>CHOOSE(CONTROL!$C$42, 28.4122, 28.4122) * CHOOSE(CONTROL!$C$21, $C$9, 100%, $E$9)</f>
        <v>28.412199999999999</v>
      </c>
      <c r="T53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56">
        <f>(1000*CHOOSE(CONTROL!$C$42, 695, 695)*CHOOSE(CONTROL!$C$42, 0.5599, 0.5599)*CHOOSE(CONTROL!$C$42, 31, 31))/1000000</f>
        <v>12.063045499999998</v>
      </c>
      <c r="V533" s="56">
        <f>(1000*CHOOSE(CONTROL!$C$42, 500, 500)*CHOOSE(CONTROL!$C$42, 0.275, 0.275)*CHOOSE(CONTROL!$C$42, 31, 31))/1000000</f>
        <v>4.2625000000000002</v>
      </c>
      <c r="W533" s="56">
        <f>(1000*CHOOSE(CONTROL!$C$42, 0.1146, 0.1146)*CHOOSE(CONTROL!$C$42, 121.5, 121.5)*CHOOSE(CONTROL!$C$42, 31, 31))/1000000</f>
        <v>0.43164089999999994</v>
      </c>
      <c r="X533" s="56">
        <f>(31*0.1790888*245000/1000000)+(31*0.2374*100000/1000000)</f>
        <v>2.0961194359999999</v>
      </c>
      <c r="Y533" s="56"/>
      <c r="Z533" s="14"/>
      <c r="AA533" s="55"/>
      <c r="AB533" s="49">
        <f>(B533*194.205+C533*267.466+D533*133.845+E533*53.484+F533*40+G533*185+H533*0+I533*100+J533*300)/(194.205+267.466+133.845+53.484+0+40+185+100+300)</f>
        <v>29.637886378178962</v>
      </c>
      <c r="AC533" s="44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29.082370503597119</v>
      </c>
    </row>
    <row r="534" spans="1:29" ht="15.75" x14ac:dyDescent="0.25">
      <c r="A534" s="31">
        <v>57161</v>
      </c>
      <c r="B534" s="14">
        <f>CHOOSE(CONTROL!$C$42, 30.4181, 30.4181) * CHOOSE(CONTROL!$C$21, $C$9, 100%, $E$9)</f>
        <v>30.418099999999999</v>
      </c>
      <c r="C534" s="14">
        <f>CHOOSE(CONTROL!$C$42, 30.4261, 30.4261) * CHOOSE(CONTROL!$C$21, $C$9, 100%, $E$9)</f>
        <v>30.426100000000002</v>
      </c>
      <c r="D534" s="14">
        <f>CHOOSE(CONTROL!$C$42, 30.6519, 30.6519) * CHOOSE(CONTROL!$C$21, $C$9, 100%, $E$9)</f>
        <v>30.651900000000001</v>
      </c>
      <c r="E534" s="14">
        <f>CHOOSE(CONTROL!$C$42, 30.6834, 30.6834) * CHOOSE(CONTROL!$C$21, $C$9, 100%, $E$9)</f>
        <v>30.683399999999999</v>
      </c>
      <c r="F534" s="14">
        <f>CHOOSE(CONTROL!$C$42, 30.4442, 30.4442)*CHOOSE(CONTROL!$C$21, $C$9, 100%, $E$9)</f>
        <v>30.444199999999999</v>
      </c>
      <c r="G534" s="14">
        <f>CHOOSE(CONTROL!$C$42, 30.4613, 30.4613)*CHOOSE(CONTROL!$C$21, $C$9, 100%, $E$9)</f>
        <v>30.461300000000001</v>
      </c>
      <c r="H534" s="14">
        <f>CHOOSE(CONTROL!$C$42, 30.672, 30.672) * CHOOSE(CONTROL!$C$21, $C$9, 100%, $E$9)</f>
        <v>30.672000000000001</v>
      </c>
      <c r="I534" s="14">
        <f>CHOOSE(CONTROL!$C$42, 30.5449, 30.5449)* CHOOSE(CONTROL!$C$21, $C$9, 100%, $E$9)</f>
        <v>30.544899999999998</v>
      </c>
      <c r="J534" s="14">
        <f>CHOOSE(CONTROL!$C$42, 30.4372, 30.4372)* CHOOSE(CONTROL!$C$21, $C$9, 100%, $E$9)</f>
        <v>30.437200000000001</v>
      </c>
      <c r="K534" s="52">
        <f>CHOOSE(CONTROL!$C$42, 30.541, 30.541) * CHOOSE(CONTROL!$C$21, $C$9, 100%, $E$9)</f>
        <v>30.541</v>
      </c>
      <c r="L534" s="14">
        <f>CHOOSE(CONTROL!$C$42, 31.259, 31.259) * CHOOSE(CONTROL!$C$21, $C$9, 100%, $E$9)</f>
        <v>31.259</v>
      </c>
      <c r="M534" s="14">
        <f>CHOOSE(CONTROL!$C$42, 29.8212, 29.8212) * CHOOSE(CONTROL!$C$21, $C$9, 100%, $E$9)</f>
        <v>29.821200000000001</v>
      </c>
      <c r="N534" s="14">
        <f>CHOOSE(CONTROL!$C$42, 29.838, 29.838) * CHOOSE(CONTROL!$C$21, $C$9, 100%, $E$9)</f>
        <v>29.838000000000001</v>
      </c>
      <c r="O534" s="14">
        <f>CHOOSE(CONTROL!$C$42, 30.0512, 30.0512) * CHOOSE(CONTROL!$C$21, $C$9, 100%, $E$9)</f>
        <v>30.051200000000001</v>
      </c>
      <c r="P534" s="14">
        <f>CHOOSE(CONTROL!$C$42, 29.9249, 29.9249) * CHOOSE(CONTROL!$C$21, $C$9, 100%, $E$9)</f>
        <v>29.924900000000001</v>
      </c>
      <c r="Q534" s="14">
        <f>CHOOSE(CONTROL!$C$42, 30.6459, 30.6459) * CHOOSE(CONTROL!$C$21, $C$9, 100%, $E$9)</f>
        <v>30.645900000000001</v>
      </c>
      <c r="R534" s="14">
        <f>CHOOSE(CONTROL!$C$42, 31.3096, 31.3096) * CHOOSE(CONTROL!$C$21, $C$9, 100%, $E$9)</f>
        <v>31.3096</v>
      </c>
      <c r="S534" s="14">
        <f>CHOOSE(CONTROL!$C$42, 29.2181, 29.2181) * CHOOSE(CONTROL!$C$21, $C$9, 100%, $E$9)</f>
        <v>29.2181</v>
      </c>
      <c r="T53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56">
        <f>(1000*CHOOSE(CONTROL!$C$42, 695, 695)*CHOOSE(CONTROL!$C$42, 0.5599, 0.5599)*CHOOSE(CONTROL!$C$42, 30, 30))/1000000</f>
        <v>11.673914999999997</v>
      </c>
      <c r="V534" s="56">
        <f>(1000*CHOOSE(CONTROL!$C$42, 500, 500)*CHOOSE(CONTROL!$C$42, 0.275, 0.275)*CHOOSE(CONTROL!$C$42, 30, 30))/1000000</f>
        <v>4.125</v>
      </c>
      <c r="W534" s="56">
        <f>(1000*CHOOSE(CONTROL!$C$42, 0.1146, 0.1146)*CHOOSE(CONTROL!$C$42, 121.5, 121.5)*CHOOSE(CONTROL!$C$42, 30, 30))/1000000</f>
        <v>0.417717</v>
      </c>
      <c r="X534" s="56">
        <f>(30*0.1790888*245000/1000000)+(30*0.2374*100000/1000000)</f>
        <v>2.0285026799999999</v>
      </c>
      <c r="Y534" s="56"/>
      <c r="Z534" s="14"/>
      <c r="AA534" s="55"/>
      <c r="AB534" s="49">
        <f>(B534*194.205+C534*267.466+D534*133.845+E534*53.484+F534*40+G534*185+H534*0+I534*100+J534*300)/(194.205+267.466+133.845+53.484+0+40+185+100+300)</f>
        <v>30.477023072370489</v>
      </c>
      <c r="AC534" s="44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29.904520863309358</v>
      </c>
    </row>
    <row r="535" spans="1:29" ht="15.75" x14ac:dyDescent="0.25">
      <c r="A535" s="31">
        <v>57192</v>
      </c>
      <c r="B535" s="14">
        <f>CHOOSE(CONTROL!$C$42, 29.8348, 29.8348) * CHOOSE(CONTROL!$C$21, $C$9, 100%, $E$9)</f>
        <v>29.834800000000001</v>
      </c>
      <c r="C535" s="14">
        <f>CHOOSE(CONTROL!$C$42, 29.8428, 29.8428) * CHOOSE(CONTROL!$C$21, $C$9, 100%, $E$9)</f>
        <v>29.8428</v>
      </c>
      <c r="D535" s="14">
        <f>CHOOSE(CONTROL!$C$42, 30.0686, 30.0686) * CHOOSE(CONTROL!$C$21, $C$9, 100%, $E$9)</f>
        <v>30.0686</v>
      </c>
      <c r="E535" s="14">
        <f>CHOOSE(CONTROL!$C$42, 30.1, 30.1) * CHOOSE(CONTROL!$C$21, $C$9, 100%, $E$9)</f>
        <v>30.1</v>
      </c>
      <c r="F535" s="14">
        <f>CHOOSE(CONTROL!$C$42, 29.8613, 29.8613)*CHOOSE(CONTROL!$C$21, $C$9, 100%, $E$9)</f>
        <v>29.8613</v>
      </c>
      <c r="G535" s="14">
        <f>CHOOSE(CONTROL!$C$42, 29.8785, 29.8785)*CHOOSE(CONTROL!$C$21, $C$9, 100%, $E$9)</f>
        <v>29.878499999999999</v>
      </c>
      <c r="H535" s="14">
        <f>CHOOSE(CONTROL!$C$42, 30.0887, 30.0887) * CHOOSE(CONTROL!$C$21, $C$9, 100%, $E$9)</f>
        <v>30.088699999999999</v>
      </c>
      <c r="I535" s="14">
        <f>CHOOSE(CONTROL!$C$42, 29.9597, 29.9597)* CHOOSE(CONTROL!$C$21, $C$9, 100%, $E$9)</f>
        <v>29.959700000000002</v>
      </c>
      <c r="J535" s="14">
        <f>CHOOSE(CONTROL!$C$42, 29.8543, 29.8543)* CHOOSE(CONTROL!$C$21, $C$9, 100%, $E$9)</f>
        <v>29.854299999999999</v>
      </c>
      <c r="K535" s="52">
        <f>CHOOSE(CONTROL!$C$42, 29.9558, 29.9558) * CHOOSE(CONTROL!$C$21, $C$9, 100%, $E$9)</f>
        <v>29.9558</v>
      </c>
      <c r="L535" s="14">
        <f>CHOOSE(CONTROL!$C$42, 30.6757, 30.6757) * CHOOSE(CONTROL!$C$21, $C$9, 100%, $E$9)</f>
        <v>30.675699999999999</v>
      </c>
      <c r="M535" s="14">
        <f>CHOOSE(CONTROL!$C$42, 29.2503, 29.2503) * CHOOSE(CONTROL!$C$21, $C$9, 100%, $E$9)</f>
        <v>29.250299999999999</v>
      </c>
      <c r="N535" s="14">
        <f>CHOOSE(CONTROL!$C$42, 29.2672, 29.2672) * CHOOSE(CONTROL!$C$21, $C$9, 100%, $E$9)</f>
        <v>29.267199999999999</v>
      </c>
      <c r="O535" s="14">
        <f>CHOOSE(CONTROL!$C$42, 29.4799, 29.4799) * CHOOSE(CONTROL!$C$21, $C$9, 100%, $E$9)</f>
        <v>29.479900000000001</v>
      </c>
      <c r="P535" s="14">
        <f>CHOOSE(CONTROL!$C$42, 29.3518, 29.3518) * CHOOSE(CONTROL!$C$21, $C$9, 100%, $E$9)</f>
        <v>29.351800000000001</v>
      </c>
      <c r="Q535" s="14">
        <f>CHOOSE(CONTROL!$C$42, 30.0746, 30.0746) * CHOOSE(CONTROL!$C$21, $C$9, 100%, $E$9)</f>
        <v>30.0746</v>
      </c>
      <c r="R535" s="14">
        <f>CHOOSE(CONTROL!$C$42, 30.7367, 30.7367) * CHOOSE(CONTROL!$C$21, $C$9, 100%, $E$9)</f>
        <v>30.736699999999999</v>
      </c>
      <c r="S535" s="14">
        <f>CHOOSE(CONTROL!$C$42, 28.6576, 28.6576) * CHOOSE(CONTROL!$C$21, $C$9, 100%, $E$9)</f>
        <v>28.657599999999999</v>
      </c>
      <c r="T53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56">
        <f>(1000*CHOOSE(CONTROL!$C$42, 695, 695)*CHOOSE(CONTROL!$C$42, 0.5599, 0.5599)*CHOOSE(CONTROL!$C$42, 31, 31))/1000000</f>
        <v>12.063045499999998</v>
      </c>
      <c r="V535" s="56">
        <f>(1000*CHOOSE(CONTROL!$C$42, 500, 500)*CHOOSE(CONTROL!$C$42, 0.275, 0.275)*CHOOSE(CONTROL!$C$42, 31, 31))/1000000</f>
        <v>4.2625000000000002</v>
      </c>
      <c r="W535" s="56">
        <f>(1000*CHOOSE(CONTROL!$C$42, 0.1146, 0.1146)*CHOOSE(CONTROL!$C$42, 121.5, 121.5)*CHOOSE(CONTROL!$C$42, 31, 31))/1000000</f>
        <v>0.43164089999999994</v>
      </c>
      <c r="X535" s="56">
        <f>(31*0.1790888*245000/1000000)+(31*0.2374*100000/1000000)</f>
        <v>2.0961194359999999</v>
      </c>
      <c r="Y535" s="56"/>
      <c r="Z535" s="14"/>
      <c r="AA535" s="55"/>
      <c r="AB535" s="49">
        <f>(B535*194.205+C535*267.466+D535*133.845+E535*53.484+F535*40+G535*185+H535*0+I535*100+J535*300)/(194.205+267.466+133.845+53.484+0+40+185+100+300)</f>
        <v>29.893749094034536</v>
      </c>
      <c r="AC535" s="44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29.33321510791367</v>
      </c>
    </row>
    <row r="536" spans="1:29" ht="15.75" x14ac:dyDescent="0.25">
      <c r="A536" s="31">
        <v>57223</v>
      </c>
      <c r="B536" s="14">
        <f>CHOOSE(CONTROL!$C$42, 28.3616, 28.3616) * CHOOSE(CONTROL!$C$21, $C$9, 100%, $E$9)</f>
        <v>28.361599999999999</v>
      </c>
      <c r="C536" s="14">
        <f>CHOOSE(CONTROL!$C$42, 28.3697, 28.3697) * CHOOSE(CONTROL!$C$21, $C$9, 100%, $E$9)</f>
        <v>28.369700000000002</v>
      </c>
      <c r="D536" s="14">
        <f>CHOOSE(CONTROL!$C$42, 28.5955, 28.5955) * CHOOSE(CONTROL!$C$21, $C$9, 100%, $E$9)</f>
        <v>28.595500000000001</v>
      </c>
      <c r="E536" s="14">
        <f>CHOOSE(CONTROL!$C$42, 28.6269, 28.6269) * CHOOSE(CONTROL!$C$21, $C$9, 100%, $E$9)</f>
        <v>28.626899999999999</v>
      </c>
      <c r="F536" s="14">
        <f>CHOOSE(CONTROL!$C$42, 28.3885, 28.3885)*CHOOSE(CONTROL!$C$21, $C$9, 100%, $E$9)</f>
        <v>28.388500000000001</v>
      </c>
      <c r="G536" s="14">
        <f>CHOOSE(CONTROL!$C$42, 28.4057, 28.4057)*CHOOSE(CONTROL!$C$21, $C$9, 100%, $E$9)</f>
        <v>28.4057</v>
      </c>
      <c r="H536" s="14">
        <f>CHOOSE(CONTROL!$C$42, 28.6156, 28.6156) * CHOOSE(CONTROL!$C$21, $C$9, 100%, $E$9)</f>
        <v>28.615600000000001</v>
      </c>
      <c r="I536" s="14">
        <f>CHOOSE(CONTROL!$C$42, 28.482, 28.482)* CHOOSE(CONTROL!$C$21, $C$9, 100%, $E$9)</f>
        <v>28.481999999999999</v>
      </c>
      <c r="J536" s="14">
        <f>CHOOSE(CONTROL!$C$42, 28.3815, 28.3815)* CHOOSE(CONTROL!$C$21, $C$9, 100%, $E$9)</f>
        <v>28.381499999999999</v>
      </c>
      <c r="K536" s="52">
        <f>CHOOSE(CONTROL!$C$42, 28.4781, 28.4781) * CHOOSE(CONTROL!$C$21, $C$9, 100%, $E$9)</f>
        <v>28.478100000000001</v>
      </c>
      <c r="L536" s="14">
        <f>CHOOSE(CONTROL!$C$42, 29.2026, 29.2026) * CHOOSE(CONTROL!$C$21, $C$9, 100%, $E$9)</f>
        <v>29.2026</v>
      </c>
      <c r="M536" s="14">
        <f>CHOOSE(CONTROL!$C$42, 27.8076, 27.8076) * CHOOSE(CONTROL!$C$21, $C$9, 100%, $E$9)</f>
        <v>27.807600000000001</v>
      </c>
      <c r="N536" s="14">
        <f>CHOOSE(CONTROL!$C$42, 27.8245, 27.8245) * CHOOSE(CONTROL!$C$21, $C$9, 100%, $E$9)</f>
        <v>27.8245</v>
      </c>
      <c r="O536" s="14">
        <f>CHOOSE(CONTROL!$C$42, 28.0369, 28.0369) * CHOOSE(CONTROL!$C$21, $C$9, 100%, $E$9)</f>
        <v>28.036899999999999</v>
      </c>
      <c r="P536" s="14">
        <f>CHOOSE(CONTROL!$C$42, 27.9044, 27.9044) * CHOOSE(CONTROL!$C$21, $C$9, 100%, $E$9)</f>
        <v>27.904399999999999</v>
      </c>
      <c r="Q536" s="14">
        <f>CHOOSE(CONTROL!$C$42, 28.6316, 28.6316) * CHOOSE(CONTROL!$C$21, $C$9, 100%, $E$9)</f>
        <v>28.631599999999999</v>
      </c>
      <c r="R536" s="14">
        <f>CHOOSE(CONTROL!$C$42, 29.2902, 29.2902) * CHOOSE(CONTROL!$C$21, $C$9, 100%, $E$9)</f>
        <v>29.290199999999999</v>
      </c>
      <c r="S536" s="14">
        <f>CHOOSE(CONTROL!$C$42, 27.2421, 27.2421) * CHOOSE(CONTROL!$C$21, $C$9, 100%, $E$9)</f>
        <v>27.242100000000001</v>
      </c>
      <c r="T53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56">
        <f>(1000*CHOOSE(CONTROL!$C$42, 695, 695)*CHOOSE(CONTROL!$C$42, 0.5599, 0.5599)*CHOOSE(CONTROL!$C$42, 31, 31))/1000000</f>
        <v>12.063045499999998</v>
      </c>
      <c r="V536" s="56">
        <f>(1000*CHOOSE(CONTROL!$C$42, 500, 500)*CHOOSE(CONTROL!$C$42, 0.275, 0.275)*CHOOSE(CONTROL!$C$42, 31, 31))/1000000</f>
        <v>4.2625000000000002</v>
      </c>
      <c r="W536" s="56">
        <f>(1000*CHOOSE(CONTROL!$C$42, 0.1146, 0.1146)*CHOOSE(CONTROL!$C$42, 121.5, 121.5)*CHOOSE(CONTROL!$C$42, 31, 31))/1000000</f>
        <v>0.43164089999999994</v>
      </c>
      <c r="X536" s="56">
        <f>(31*0.1790888*245000/1000000)+(31*0.2374*100000/1000000)</f>
        <v>2.0961194359999999</v>
      </c>
      <c r="Y536" s="56"/>
      <c r="Z536" s="14"/>
      <c r="AA536" s="55"/>
      <c r="AB536" s="49">
        <f>(B536*194.205+C536*267.466+D536*133.845+E536*53.484+F536*40+G536*185+H536*0+I536*100+J536*300)/(194.205+267.466+133.845+53.484+0+40+185+100+300)</f>
        <v>28.420396409183674</v>
      </c>
      <c r="AC536" s="44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27.889754676258992</v>
      </c>
    </row>
    <row r="537" spans="1:29" ht="15.75" x14ac:dyDescent="0.25">
      <c r="A537" s="31">
        <v>57253</v>
      </c>
      <c r="B537" s="14">
        <f>CHOOSE(CONTROL!$C$42, 26.5616, 26.5616) * CHOOSE(CONTROL!$C$21, $C$9, 100%, $E$9)</f>
        <v>26.561599999999999</v>
      </c>
      <c r="C537" s="14">
        <f>CHOOSE(CONTROL!$C$42, 26.5696, 26.5696) * CHOOSE(CONTROL!$C$21, $C$9, 100%, $E$9)</f>
        <v>26.569600000000001</v>
      </c>
      <c r="D537" s="14">
        <f>CHOOSE(CONTROL!$C$42, 26.7954, 26.7954) * CHOOSE(CONTROL!$C$21, $C$9, 100%, $E$9)</f>
        <v>26.795400000000001</v>
      </c>
      <c r="E537" s="14">
        <f>CHOOSE(CONTROL!$C$42, 26.8268, 26.8268) * CHOOSE(CONTROL!$C$21, $C$9, 100%, $E$9)</f>
        <v>26.826799999999999</v>
      </c>
      <c r="F537" s="14">
        <f>CHOOSE(CONTROL!$C$42, 26.5884, 26.5884)*CHOOSE(CONTROL!$C$21, $C$9, 100%, $E$9)</f>
        <v>26.5884</v>
      </c>
      <c r="G537" s="14">
        <f>CHOOSE(CONTROL!$C$42, 26.6056, 26.6056)*CHOOSE(CONTROL!$C$21, $C$9, 100%, $E$9)</f>
        <v>26.605599999999999</v>
      </c>
      <c r="H537" s="14">
        <f>CHOOSE(CONTROL!$C$42, 26.8155, 26.8155) * CHOOSE(CONTROL!$C$21, $C$9, 100%, $E$9)</f>
        <v>26.8155</v>
      </c>
      <c r="I537" s="14">
        <f>CHOOSE(CONTROL!$C$42, 26.6763, 26.6763)* CHOOSE(CONTROL!$C$21, $C$9, 100%, $E$9)</f>
        <v>26.676300000000001</v>
      </c>
      <c r="J537" s="14">
        <f>CHOOSE(CONTROL!$C$42, 26.5814, 26.5814)* CHOOSE(CONTROL!$C$21, $C$9, 100%, $E$9)</f>
        <v>26.581399999999999</v>
      </c>
      <c r="K537" s="52">
        <f>CHOOSE(CONTROL!$C$42, 26.6724, 26.6724) * CHOOSE(CONTROL!$C$21, $C$9, 100%, $E$9)</f>
        <v>26.6724</v>
      </c>
      <c r="L537" s="14">
        <f>CHOOSE(CONTROL!$C$42, 27.4025, 27.4025) * CHOOSE(CONTROL!$C$21, $C$9, 100%, $E$9)</f>
        <v>27.4025</v>
      </c>
      <c r="M537" s="14">
        <f>CHOOSE(CONTROL!$C$42, 26.0444, 26.0444) * CHOOSE(CONTROL!$C$21, $C$9, 100%, $E$9)</f>
        <v>26.0444</v>
      </c>
      <c r="N537" s="14">
        <f>CHOOSE(CONTROL!$C$42, 26.0613, 26.0613) * CHOOSE(CONTROL!$C$21, $C$9, 100%, $E$9)</f>
        <v>26.061299999999999</v>
      </c>
      <c r="O537" s="14">
        <f>CHOOSE(CONTROL!$C$42, 26.2737, 26.2737) * CHOOSE(CONTROL!$C$21, $C$9, 100%, $E$9)</f>
        <v>26.273700000000002</v>
      </c>
      <c r="P537" s="14">
        <f>CHOOSE(CONTROL!$C$42, 26.1358, 26.1358) * CHOOSE(CONTROL!$C$21, $C$9, 100%, $E$9)</f>
        <v>26.1358</v>
      </c>
      <c r="Q537" s="14">
        <f>CHOOSE(CONTROL!$C$42, 26.8684, 26.8684) * CHOOSE(CONTROL!$C$21, $C$9, 100%, $E$9)</f>
        <v>26.868400000000001</v>
      </c>
      <c r="R537" s="14">
        <f>CHOOSE(CONTROL!$C$42, 27.5226, 27.5226) * CHOOSE(CONTROL!$C$21, $C$9, 100%, $E$9)</f>
        <v>27.522600000000001</v>
      </c>
      <c r="S537" s="14">
        <f>CHOOSE(CONTROL!$C$42, 25.5124, 25.5124) * CHOOSE(CONTROL!$C$21, $C$9, 100%, $E$9)</f>
        <v>25.5124</v>
      </c>
      <c r="T53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56">
        <f>(1000*CHOOSE(CONTROL!$C$42, 695, 695)*CHOOSE(CONTROL!$C$42, 0.5599, 0.5599)*CHOOSE(CONTROL!$C$42, 30, 30))/1000000</f>
        <v>11.673914999999997</v>
      </c>
      <c r="V537" s="56">
        <f>(1000*CHOOSE(CONTROL!$C$42, 500, 500)*CHOOSE(CONTROL!$C$42, 0.275, 0.275)*CHOOSE(CONTROL!$C$42, 30, 30))/1000000</f>
        <v>4.125</v>
      </c>
      <c r="W537" s="56">
        <f>(1000*CHOOSE(CONTROL!$C$42, 0.1146, 0.1146)*CHOOSE(CONTROL!$C$42, 121.5, 121.5)*CHOOSE(CONTROL!$C$42, 30, 30))/1000000</f>
        <v>0.417717</v>
      </c>
      <c r="X537" s="56">
        <f>(30*0.1790888*245000/1000000)+(30*0.2374*100000/1000000)</f>
        <v>2.0285026799999999</v>
      </c>
      <c r="Y537" s="56"/>
      <c r="Z537" s="14"/>
      <c r="AA537" s="55"/>
      <c r="AB537" s="49">
        <f>(B537*194.205+C537*267.466+D537*133.845+E537*53.484+F537*40+G537*185+H537*0+I537*100+J537*300)/(194.205+267.466+133.845+53.484+0+40+185+100+300)</f>
        <v>26.619872092464682</v>
      </c>
      <c r="AC537" s="44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26.12577769784173</v>
      </c>
    </row>
    <row r="538" spans="1:29" ht="15.75" x14ac:dyDescent="0.25">
      <c r="A538" s="31">
        <v>57284</v>
      </c>
      <c r="B538" s="14">
        <f>CHOOSE(CONTROL!$C$42, 26.0207, 26.0207) * CHOOSE(CONTROL!$C$21, $C$9, 100%, $E$9)</f>
        <v>26.020700000000001</v>
      </c>
      <c r="C538" s="14">
        <f>CHOOSE(CONTROL!$C$42, 26.0261, 26.0261) * CHOOSE(CONTROL!$C$21, $C$9, 100%, $E$9)</f>
        <v>26.0261</v>
      </c>
      <c r="D538" s="14">
        <f>CHOOSE(CONTROL!$C$42, 26.2568, 26.2568) * CHOOSE(CONTROL!$C$21, $C$9, 100%, $E$9)</f>
        <v>26.256799999999998</v>
      </c>
      <c r="E538" s="14">
        <f>CHOOSE(CONTROL!$C$42, 26.2859, 26.2859) * CHOOSE(CONTROL!$C$21, $C$9, 100%, $E$9)</f>
        <v>26.285900000000002</v>
      </c>
      <c r="F538" s="14">
        <f>CHOOSE(CONTROL!$C$42, 26.0496, 26.0496)*CHOOSE(CONTROL!$C$21, $C$9, 100%, $E$9)</f>
        <v>26.049600000000002</v>
      </c>
      <c r="G538" s="14">
        <f>CHOOSE(CONTROL!$C$42, 26.0667, 26.0667)*CHOOSE(CONTROL!$C$21, $C$9, 100%, $E$9)</f>
        <v>26.066700000000001</v>
      </c>
      <c r="H538" s="14">
        <f>CHOOSE(CONTROL!$C$42, 26.2764, 26.2764) * CHOOSE(CONTROL!$C$21, $C$9, 100%, $E$9)</f>
        <v>26.276399999999999</v>
      </c>
      <c r="I538" s="14">
        <f>CHOOSE(CONTROL!$C$42, 26.1355, 26.1355)* CHOOSE(CONTROL!$C$21, $C$9, 100%, $E$9)</f>
        <v>26.1355</v>
      </c>
      <c r="J538" s="14">
        <f>CHOOSE(CONTROL!$C$42, 26.0426, 26.0426)* CHOOSE(CONTROL!$C$21, $C$9, 100%, $E$9)</f>
        <v>26.0426</v>
      </c>
      <c r="K538" s="52">
        <f>CHOOSE(CONTROL!$C$42, 26.1316, 26.1316) * CHOOSE(CONTROL!$C$21, $C$9, 100%, $E$9)</f>
        <v>26.131599999999999</v>
      </c>
      <c r="L538" s="14">
        <f>CHOOSE(CONTROL!$C$42, 26.8634, 26.8634) * CHOOSE(CONTROL!$C$21, $C$9, 100%, $E$9)</f>
        <v>26.863399999999999</v>
      </c>
      <c r="M538" s="14">
        <f>CHOOSE(CONTROL!$C$42, 25.5167, 25.5167) * CHOOSE(CONTROL!$C$21, $C$9, 100%, $E$9)</f>
        <v>25.5167</v>
      </c>
      <c r="N538" s="14">
        <f>CHOOSE(CONTROL!$C$42, 25.5335, 25.5335) * CHOOSE(CONTROL!$C$21, $C$9, 100%, $E$9)</f>
        <v>25.5335</v>
      </c>
      <c r="O538" s="14">
        <f>CHOOSE(CONTROL!$C$42, 25.7457, 25.7457) * CHOOSE(CONTROL!$C$21, $C$9, 100%, $E$9)</f>
        <v>25.745699999999999</v>
      </c>
      <c r="P538" s="14">
        <f>CHOOSE(CONTROL!$C$42, 25.6062, 25.6062) * CHOOSE(CONTROL!$C$21, $C$9, 100%, $E$9)</f>
        <v>25.606200000000001</v>
      </c>
      <c r="Q538" s="14">
        <f>CHOOSE(CONTROL!$C$42, 26.3404, 26.3404) * CHOOSE(CONTROL!$C$21, $C$9, 100%, $E$9)</f>
        <v>26.340399999999999</v>
      </c>
      <c r="R538" s="14">
        <f>CHOOSE(CONTROL!$C$42, 26.9933, 26.9933) * CHOOSE(CONTROL!$C$21, $C$9, 100%, $E$9)</f>
        <v>26.993300000000001</v>
      </c>
      <c r="S538" s="14">
        <f>CHOOSE(CONTROL!$C$42, 24.9944, 24.9944) * CHOOSE(CONTROL!$C$21, $C$9, 100%, $E$9)</f>
        <v>24.994399999999999</v>
      </c>
      <c r="T53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56">
        <f>(1000*CHOOSE(CONTROL!$C$42, 695, 695)*CHOOSE(CONTROL!$C$42, 0.5599, 0.5599)*CHOOSE(CONTROL!$C$42, 31, 31))/1000000</f>
        <v>12.063045499999998</v>
      </c>
      <c r="V538" s="56">
        <f>(1000*CHOOSE(CONTROL!$C$42, 500, 500)*CHOOSE(CONTROL!$C$42, 0.275, 0.275)*CHOOSE(CONTROL!$C$42, 31, 31))/1000000</f>
        <v>4.2625000000000002</v>
      </c>
      <c r="W538" s="56">
        <f>(1000*CHOOSE(CONTROL!$C$42, 0.1146, 0.1146)*CHOOSE(CONTROL!$C$42, 121.5, 121.5)*CHOOSE(CONTROL!$C$42, 31, 31))/1000000</f>
        <v>0.43164089999999994</v>
      </c>
      <c r="X538" s="56">
        <f>(31*0.1790888*245000/1000000)+(31*0.2374*100000/1000000)</f>
        <v>2.0961194359999999</v>
      </c>
      <c r="Y538" s="56"/>
      <c r="Z538" s="14"/>
      <c r="AA538" s="55"/>
      <c r="AB538" s="49">
        <f>(B538*131.881+C538*277.167+D538*79.08+E538*125.872+F538*40+G538*185+H538*0+I538*100+J538*300)/(131.881+277.167+79.08+125.872+0+40+185+100+300)</f>
        <v>26.086288978369648</v>
      </c>
      <c r="AC538" s="44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25.597697122302158</v>
      </c>
    </row>
    <row r="539" spans="1:29" ht="15.75" x14ac:dyDescent="0.25">
      <c r="A539" s="31">
        <v>57314</v>
      </c>
      <c r="B539" s="14">
        <f>CHOOSE(CONTROL!$C$42, 26.7056, 26.7056) * CHOOSE(CONTROL!$C$21, $C$9, 100%, $E$9)</f>
        <v>26.7056</v>
      </c>
      <c r="C539" s="14">
        <f>CHOOSE(CONTROL!$C$42, 26.7106, 26.7106) * CHOOSE(CONTROL!$C$21, $C$9, 100%, $E$9)</f>
        <v>26.710599999999999</v>
      </c>
      <c r="D539" s="14">
        <f>CHOOSE(CONTROL!$C$42, 26.7796, 26.7796) * CHOOSE(CONTROL!$C$21, $C$9, 100%, $E$9)</f>
        <v>26.779599999999999</v>
      </c>
      <c r="E539" s="14">
        <f>CHOOSE(CONTROL!$C$42, 26.8137, 26.8137) * CHOOSE(CONTROL!$C$21, $C$9, 100%, $E$9)</f>
        <v>26.813700000000001</v>
      </c>
      <c r="F539" s="14">
        <f>CHOOSE(CONTROL!$C$42, 26.7411, 26.7411)*CHOOSE(CONTROL!$C$21, $C$9, 100%, $E$9)</f>
        <v>26.741099999999999</v>
      </c>
      <c r="G539" s="14">
        <f>CHOOSE(CONTROL!$C$42, 26.7585, 26.7585)*CHOOSE(CONTROL!$C$21, $C$9, 100%, $E$9)</f>
        <v>26.758500000000002</v>
      </c>
      <c r="H539" s="14">
        <f>CHOOSE(CONTROL!$C$42, 26.8029, 26.8029) * CHOOSE(CONTROL!$C$21, $C$9, 100%, $E$9)</f>
        <v>26.802900000000001</v>
      </c>
      <c r="I539" s="14">
        <f>CHOOSE(CONTROL!$C$42, 26.8255, 26.8255)* CHOOSE(CONTROL!$C$21, $C$9, 100%, $E$9)</f>
        <v>26.825500000000002</v>
      </c>
      <c r="J539" s="14">
        <f>CHOOSE(CONTROL!$C$42, 26.7341, 26.7341)* CHOOSE(CONTROL!$C$21, $C$9, 100%, $E$9)</f>
        <v>26.734100000000002</v>
      </c>
      <c r="K539" s="52">
        <f>CHOOSE(CONTROL!$C$42, 26.8216, 26.8216) * CHOOSE(CONTROL!$C$21, $C$9, 100%, $E$9)</f>
        <v>26.8216</v>
      </c>
      <c r="L539" s="14">
        <f>CHOOSE(CONTROL!$C$42, 27.3899, 27.3899) * CHOOSE(CONTROL!$C$21, $C$9, 100%, $E$9)</f>
        <v>27.389900000000001</v>
      </c>
      <c r="M539" s="14">
        <f>CHOOSE(CONTROL!$C$42, 26.1941, 26.1941) * CHOOSE(CONTROL!$C$21, $C$9, 100%, $E$9)</f>
        <v>26.194099999999999</v>
      </c>
      <c r="N539" s="14">
        <f>CHOOSE(CONTROL!$C$42, 26.2111, 26.2111) * CHOOSE(CONTROL!$C$21, $C$9, 100%, $E$9)</f>
        <v>26.211099999999998</v>
      </c>
      <c r="O539" s="14">
        <f>CHOOSE(CONTROL!$C$42, 26.2615, 26.2615) * CHOOSE(CONTROL!$C$21, $C$9, 100%, $E$9)</f>
        <v>26.261500000000002</v>
      </c>
      <c r="P539" s="14">
        <f>CHOOSE(CONTROL!$C$42, 26.282, 26.282) * CHOOSE(CONTROL!$C$21, $C$9, 100%, $E$9)</f>
        <v>26.282</v>
      </c>
      <c r="Q539" s="14">
        <f>CHOOSE(CONTROL!$C$42, 26.8562, 26.8562) * CHOOSE(CONTROL!$C$21, $C$9, 100%, $E$9)</f>
        <v>26.856200000000001</v>
      </c>
      <c r="R539" s="14">
        <f>CHOOSE(CONTROL!$C$42, 27.5103, 27.5103) * CHOOSE(CONTROL!$C$21, $C$9, 100%, $E$9)</f>
        <v>27.510300000000001</v>
      </c>
      <c r="S539" s="14">
        <f>CHOOSE(CONTROL!$C$42, 25.6528, 25.6528) * CHOOSE(CONTROL!$C$21, $C$9, 100%, $E$9)</f>
        <v>25.652799999999999</v>
      </c>
      <c r="T53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56">
        <f>(1000*CHOOSE(CONTROL!$C$42, 695, 695)*CHOOSE(CONTROL!$C$42, 0.5599, 0.5599)*CHOOSE(CONTROL!$C$42, 30, 30))/1000000</f>
        <v>11.673914999999997</v>
      </c>
      <c r="V539" s="56">
        <f>(1000*CHOOSE(CONTROL!$C$42, 500, 500)*CHOOSE(CONTROL!$C$42, 0.275, 0.275)*CHOOSE(CONTROL!$C$42, 30, 30))/1000000</f>
        <v>4.125</v>
      </c>
      <c r="W539" s="56">
        <f>(1000*CHOOSE(CONTROL!$C$42, 0.1146, 0.1146)*CHOOSE(CONTROL!$C$42, 121.5, 121.5)*CHOOSE(CONTROL!$C$42, 30, 30))/1000000</f>
        <v>0.417717</v>
      </c>
      <c r="X539" s="56">
        <f>(30*0.1790888*100000/1000000)+(30*0.2374*100000/1000000)</f>
        <v>1.2494664</v>
      </c>
      <c r="Y539" s="56"/>
      <c r="Z539" s="14"/>
      <c r="AA539" s="55"/>
      <c r="AB539" s="49">
        <f>(B539*122.58+C539*297.941+D539*89.177+E539*40.302+F539*40+G539*160+H539*0+I539*100+J539*300)/(122.58+297.941+89.177+40.302+0+40+160+100+300)</f>
        <v>26.742877781913041</v>
      </c>
      <c r="AC539" s="44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26.238274100719426</v>
      </c>
    </row>
    <row r="540" spans="1:29" ht="15.75" x14ac:dyDescent="0.25">
      <c r="A540" s="31">
        <v>57345</v>
      </c>
      <c r="B540" s="14">
        <f>CHOOSE(CONTROL!$C$42, 28.5257, 28.5257) * CHOOSE(CONTROL!$C$21, $C$9, 100%, $E$9)</f>
        <v>28.525700000000001</v>
      </c>
      <c r="C540" s="14">
        <f>CHOOSE(CONTROL!$C$42, 28.5307, 28.5307) * CHOOSE(CONTROL!$C$21, $C$9, 100%, $E$9)</f>
        <v>28.5307</v>
      </c>
      <c r="D540" s="14">
        <f>CHOOSE(CONTROL!$C$42, 28.5998, 28.5998) * CHOOSE(CONTROL!$C$21, $C$9, 100%, $E$9)</f>
        <v>28.599799999999998</v>
      </c>
      <c r="E540" s="14">
        <f>CHOOSE(CONTROL!$C$42, 28.6339, 28.6339) * CHOOSE(CONTROL!$C$21, $C$9, 100%, $E$9)</f>
        <v>28.633900000000001</v>
      </c>
      <c r="F540" s="14">
        <f>CHOOSE(CONTROL!$C$42, 28.5635, 28.5635)*CHOOSE(CONTROL!$C$21, $C$9, 100%, $E$9)</f>
        <v>28.563500000000001</v>
      </c>
      <c r="G540" s="14">
        <f>CHOOSE(CONTROL!$C$42, 28.5815, 28.5815)*CHOOSE(CONTROL!$C$21, $C$9, 100%, $E$9)</f>
        <v>28.581499999999998</v>
      </c>
      <c r="H540" s="14">
        <f>CHOOSE(CONTROL!$C$42, 28.6231, 28.6231) * CHOOSE(CONTROL!$C$21, $C$9, 100%, $E$9)</f>
        <v>28.623100000000001</v>
      </c>
      <c r="I540" s="14">
        <f>CHOOSE(CONTROL!$C$42, 28.6513, 28.6513)* CHOOSE(CONTROL!$C$21, $C$9, 100%, $E$9)</f>
        <v>28.651299999999999</v>
      </c>
      <c r="J540" s="14">
        <f>CHOOSE(CONTROL!$C$42, 28.5565, 28.5565)* CHOOSE(CONTROL!$C$21, $C$9, 100%, $E$9)</f>
        <v>28.5565</v>
      </c>
      <c r="K540" s="52">
        <f>CHOOSE(CONTROL!$C$42, 28.6475, 28.6475) * CHOOSE(CONTROL!$C$21, $C$9, 100%, $E$9)</f>
        <v>28.647500000000001</v>
      </c>
      <c r="L540" s="14">
        <f>CHOOSE(CONTROL!$C$42, 29.2101, 29.2101) * CHOOSE(CONTROL!$C$21, $C$9, 100%, $E$9)</f>
        <v>29.210100000000001</v>
      </c>
      <c r="M540" s="14">
        <f>CHOOSE(CONTROL!$C$42, 27.9791, 27.9791) * CHOOSE(CONTROL!$C$21, $C$9, 100%, $E$9)</f>
        <v>27.979099999999999</v>
      </c>
      <c r="N540" s="14">
        <f>CHOOSE(CONTROL!$C$42, 27.9967, 27.9967) * CHOOSE(CONTROL!$C$21, $C$9, 100%, $E$9)</f>
        <v>27.996700000000001</v>
      </c>
      <c r="O540" s="14">
        <f>CHOOSE(CONTROL!$C$42, 28.0443, 28.0443) * CHOOSE(CONTROL!$C$21, $C$9, 100%, $E$9)</f>
        <v>28.0443</v>
      </c>
      <c r="P540" s="14">
        <f>CHOOSE(CONTROL!$C$42, 28.0703, 28.0703) * CHOOSE(CONTROL!$C$21, $C$9, 100%, $E$9)</f>
        <v>28.0703</v>
      </c>
      <c r="Q540" s="14">
        <f>CHOOSE(CONTROL!$C$42, 28.639, 28.639) * CHOOSE(CONTROL!$C$21, $C$9, 100%, $E$9)</f>
        <v>28.638999999999999</v>
      </c>
      <c r="R540" s="14">
        <f>CHOOSE(CONTROL!$C$42, 29.2976, 29.2976) * CHOOSE(CONTROL!$C$21, $C$9, 100%, $E$9)</f>
        <v>29.297599999999999</v>
      </c>
      <c r="S540" s="14">
        <f>CHOOSE(CONTROL!$C$42, 27.4018, 27.4018) * CHOOSE(CONTROL!$C$21, $C$9, 100%, $E$9)</f>
        <v>27.401800000000001</v>
      </c>
      <c r="T54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56">
        <f>(1000*CHOOSE(CONTROL!$C$42, 695, 695)*CHOOSE(CONTROL!$C$42, 0.5599, 0.5599)*CHOOSE(CONTROL!$C$42, 31, 31))/1000000</f>
        <v>12.063045499999998</v>
      </c>
      <c r="V540" s="56">
        <f>(1000*CHOOSE(CONTROL!$C$42, 500, 500)*CHOOSE(CONTROL!$C$42, 0.275, 0.275)*CHOOSE(CONTROL!$C$42, 31, 31))/1000000</f>
        <v>4.2625000000000002</v>
      </c>
      <c r="W540" s="56">
        <f>(1000*CHOOSE(CONTROL!$C$42, 0.1146, 0.1146)*CHOOSE(CONTROL!$C$42, 121.5, 121.5)*CHOOSE(CONTROL!$C$42, 31, 31))/1000000</f>
        <v>0.43164089999999994</v>
      </c>
      <c r="X540" s="56">
        <f>(31*0.1790888*100000/1000000)+(31*0.2374*100000/1000000)</f>
        <v>1.2911152800000001</v>
      </c>
      <c r="Y540" s="56"/>
      <c r="Z540" s="14"/>
      <c r="AA540" s="55"/>
      <c r="AB540" s="49">
        <f>(B540*122.58+C540*297.941+D540*89.177+E540*40.302+F540*40+G540*160+H540*0+I540*100+J540*300)/(122.58+297.941+89.177+40.302+0+40+160+100+300)</f>
        <v>28.564568171391304</v>
      </c>
      <c r="AC540" s="44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28.022786330935247</v>
      </c>
    </row>
    <row r="541" spans="1:29" ht="15.75" x14ac:dyDescent="0.25">
      <c r="A541" s="31">
        <v>57376</v>
      </c>
      <c r="B541" s="14">
        <f>CHOOSE(CONTROL!$C$42, 30.8897, 30.8897) * CHOOSE(CONTROL!$C$21, $C$9, 100%, $E$9)</f>
        <v>30.889700000000001</v>
      </c>
      <c r="C541" s="14">
        <f>CHOOSE(CONTROL!$C$42, 30.8947, 30.8947) * CHOOSE(CONTROL!$C$21, $C$9, 100%, $E$9)</f>
        <v>30.8947</v>
      </c>
      <c r="D541" s="14">
        <f>CHOOSE(CONTROL!$C$42, 30.9742, 30.9742) * CHOOSE(CONTROL!$C$21, $C$9, 100%, $E$9)</f>
        <v>30.9742</v>
      </c>
      <c r="E541" s="14">
        <f>CHOOSE(CONTROL!$C$42, 31.0083, 31.0083) * CHOOSE(CONTROL!$C$21, $C$9, 100%, $E$9)</f>
        <v>31.008299999999998</v>
      </c>
      <c r="F541" s="14">
        <f>CHOOSE(CONTROL!$C$42, 30.9127, 30.9127)*CHOOSE(CONTROL!$C$21, $C$9, 100%, $E$9)</f>
        <v>30.912700000000001</v>
      </c>
      <c r="G541" s="14">
        <f>CHOOSE(CONTROL!$C$42, 30.9302, 30.9302)*CHOOSE(CONTROL!$C$21, $C$9, 100%, $E$9)</f>
        <v>30.930199999999999</v>
      </c>
      <c r="H541" s="14">
        <f>CHOOSE(CONTROL!$C$42, 30.9975, 30.9975) * CHOOSE(CONTROL!$C$21, $C$9, 100%, $E$9)</f>
        <v>30.997499999999999</v>
      </c>
      <c r="I541" s="14">
        <f>CHOOSE(CONTROL!$C$42, 31.0217, 31.0217)* CHOOSE(CONTROL!$C$21, $C$9, 100%, $E$9)</f>
        <v>31.021699999999999</v>
      </c>
      <c r="J541" s="14">
        <f>CHOOSE(CONTROL!$C$42, 30.9057, 30.9057)* CHOOSE(CONTROL!$C$21, $C$9, 100%, $E$9)</f>
        <v>30.9057</v>
      </c>
      <c r="K541" s="52">
        <f>CHOOSE(CONTROL!$C$42, 31.0178, 31.0178) * CHOOSE(CONTROL!$C$21, $C$9, 100%, $E$9)</f>
        <v>31.017800000000001</v>
      </c>
      <c r="L541" s="14">
        <f>CHOOSE(CONTROL!$C$42, 31.5845, 31.5845) * CHOOSE(CONTROL!$C$21, $C$9, 100%, $E$9)</f>
        <v>31.584499999999998</v>
      </c>
      <c r="M541" s="14">
        <f>CHOOSE(CONTROL!$C$42, 30.2802, 30.2802) * CHOOSE(CONTROL!$C$21, $C$9, 100%, $E$9)</f>
        <v>30.280200000000001</v>
      </c>
      <c r="N541" s="14">
        <f>CHOOSE(CONTROL!$C$42, 30.2973, 30.2973) * CHOOSE(CONTROL!$C$21, $C$9, 100%, $E$9)</f>
        <v>30.2973</v>
      </c>
      <c r="O541" s="14">
        <f>CHOOSE(CONTROL!$C$42, 30.37, 30.37) * CHOOSE(CONTROL!$C$21, $C$9, 100%, $E$9)</f>
        <v>30.37</v>
      </c>
      <c r="P541" s="14">
        <f>CHOOSE(CONTROL!$C$42, 30.3919, 30.3919) * CHOOSE(CONTROL!$C$21, $C$9, 100%, $E$9)</f>
        <v>30.3919</v>
      </c>
      <c r="Q541" s="14">
        <f>CHOOSE(CONTROL!$C$42, 30.9647, 30.9647) * CHOOSE(CONTROL!$C$21, $C$9, 100%, $E$9)</f>
        <v>30.964700000000001</v>
      </c>
      <c r="R541" s="14">
        <f>CHOOSE(CONTROL!$C$42, 31.6292, 31.6292) * CHOOSE(CONTROL!$C$21, $C$9, 100%, $E$9)</f>
        <v>31.629200000000001</v>
      </c>
      <c r="S541" s="14">
        <f>CHOOSE(CONTROL!$C$42, 29.6734, 29.6734) * CHOOSE(CONTROL!$C$21, $C$9, 100%, $E$9)</f>
        <v>29.673400000000001</v>
      </c>
      <c r="T54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56">
        <f>(1000*CHOOSE(CONTROL!$C$42, 695, 695)*CHOOSE(CONTROL!$C$42, 0.5599, 0.5599)*CHOOSE(CONTROL!$C$42, 31, 31))/1000000</f>
        <v>12.063045499999998</v>
      </c>
      <c r="V541" s="56">
        <f>(1000*CHOOSE(CONTROL!$C$42, 500, 500)*CHOOSE(CONTROL!$C$42, 0.275, 0.275)*CHOOSE(CONTROL!$C$42, 31, 31))/1000000</f>
        <v>4.2625000000000002</v>
      </c>
      <c r="W541" s="56">
        <f>(1000*CHOOSE(CONTROL!$C$42, 0.1146, 0.1146)*CHOOSE(CONTROL!$C$42, 121.5, 121.5)*CHOOSE(CONTROL!$C$42, 31, 31))/1000000</f>
        <v>0.43164089999999994</v>
      </c>
      <c r="X541" s="56">
        <f>(31*0.1790888*100000/1000000)+(31*0.2374*100000/1000000)</f>
        <v>1.2911152800000001</v>
      </c>
      <c r="Y541" s="56"/>
      <c r="Z541" s="14"/>
      <c r="AA541" s="55"/>
      <c r="AB541" s="49">
        <f>(B541*122.58+C541*297.941+D541*89.177+E541*40.302+F541*40+G541*160+H541*0+I541*100+J541*300)/(122.58+297.941+89.177+40.302+0+40+160+100+300)</f>
        <v>30.923791285826084</v>
      </c>
      <c r="AC541" s="44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30.337956834532374</v>
      </c>
    </row>
    <row r="542" spans="1:29" ht="15.75" x14ac:dyDescent="0.25">
      <c r="A542" s="31">
        <v>57404</v>
      </c>
      <c r="B542" s="14">
        <f>CHOOSE(CONTROL!$C$42, 31.4394, 31.4394) * CHOOSE(CONTROL!$C$21, $C$9, 100%, $E$9)</f>
        <v>31.439399999999999</v>
      </c>
      <c r="C542" s="14">
        <f>CHOOSE(CONTROL!$C$42, 31.4445, 31.4445) * CHOOSE(CONTROL!$C$21, $C$9, 100%, $E$9)</f>
        <v>31.444500000000001</v>
      </c>
      <c r="D542" s="14">
        <f>CHOOSE(CONTROL!$C$42, 31.5239, 31.5239) * CHOOSE(CONTROL!$C$21, $C$9, 100%, $E$9)</f>
        <v>31.523900000000001</v>
      </c>
      <c r="E542" s="14">
        <f>CHOOSE(CONTROL!$C$42, 31.558, 31.558) * CHOOSE(CONTROL!$C$21, $C$9, 100%, $E$9)</f>
        <v>31.558</v>
      </c>
      <c r="F542" s="14">
        <f>CHOOSE(CONTROL!$C$42, 31.4622, 31.4622)*CHOOSE(CONTROL!$C$21, $C$9, 100%, $E$9)</f>
        <v>31.462199999999999</v>
      </c>
      <c r="G542" s="14">
        <f>CHOOSE(CONTROL!$C$42, 31.4796, 31.4796)*CHOOSE(CONTROL!$C$21, $C$9, 100%, $E$9)</f>
        <v>31.479600000000001</v>
      </c>
      <c r="H542" s="14">
        <f>CHOOSE(CONTROL!$C$42, 31.5472, 31.5472) * CHOOSE(CONTROL!$C$21, $C$9, 100%, $E$9)</f>
        <v>31.5472</v>
      </c>
      <c r="I542" s="14">
        <f>CHOOSE(CONTROL!$C$42, 31.5731, 31.5731)* CHOOSE(CONTROL!$C$21, $C$9, 100%, $E$9)</f>
        <v>31.5731</v>
      </c>
      <c r="J542" s="14">
        <f>CHOOSE(CONTROL!$C$42, 31.4552, 31.4552)* CHOOSE(CONTROL!$C$21, $C$9, 100%, $E$9)</f>
        <v>31.455200000000001</v>
      </c>
      <c r="K542" s="52">
        <f>CHOOSE(CONTROL!$C$42, 31.5693, 31.5693) * CHOOSE(CONTROL!$C$21, $C$9, 100%, $E$9)</f>
        <v>31.569299999999998</v>
      </c>
      <c r="L542" s="14">
        <f>CHOOSE(CONTROL!$C$42, 32.1342, 32.1342) * CHOOSE(CONTROL!$C$21, $C$9, 100%, $E$9)</f>
        <v>32.1342</v>
      </c>
      <c r="M542" s="14">
        <f>CHOOSE(CONTROL!$C$42, 30.8184, 30.8184) * CHOOSE(CONTROL!$C$21, $C$9, 100%, $E$9)</f>
        <v>30.8184</v>
      </c>
      <c r="N542" s="14">
        <f>CHOOSE(CONTROL!$C$42, 30.8355, 30.8355) * CHOOSE(CONTROL!$C$21, $C$9, 100%, $E$9)</f>
        <v>30.8355</v>
      </c>
      <c r="O542" s="14">
        <f>CHOOSE(CONTROL!$C$42, 30.9085, 30.9085) * CHOOSE(CONTROL!$C$21, $C$9, 100%, $E$9)</f>
        <v>30.9085</v>
      </c>
      <c r="P542" s="14">
        <f>CHOOSE(CONTROL!$C$42, 30.932, 30.932) * CHOOSE(CONTROL!$C$21, $C$9, 100%, $E$9)</f>
        <v>30.931999999999999</v>
      </c>
      <c r="Q542" s="14">
        <f>CHOOSE(CONTROL!$C$42, 31.5032, 31.5032) * CHOOSE(CONTROL!$C$21, $C$9, 100%, $E$9)</f>
        <v>31.5032</v>
      </c>
      <c r="R542" s="14">
        <f>CHOOSE(CONTROL!$C$42, 32.169, 32.169) * CHOOSE(CONTROL!$C$21, $C$9, 100%, $E$9)</f>
        <v>32.168999999999997</v>
      </c>
      <c r="S542" s="14">
        <f>CHOOSE(CONTROL!$C$42, 30.2016, 30.2016) * CHOOSE(CONTROL!$C$21, $C$9, 100%, $E$9)</f>
        <v>30.201599999999999</v>
      </c>
      <c r="T54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56">
        <f>(1000*CHOOSE(CONTROL!$C$42, 695, 695)*CHOOSE(CONTROL!$C$42, 0.5599, 0.5599)*CHOOSE(CONTROL!$C$42, 28, 28))/1000000</f>
        <v>10.895653999999999</v>
      </c>
      <c r="V542" s="56">
        <f>(1000*CHOOSE(CONTROL!$C$42, 500, 500)*CHOOSE(CONTROL!$C$42, 0.275, 0.275)*CHOOSE(CONTROL!$C$42, 28, 28))/1000000</f>
        <v>3.85</v>
      </c>
      <c r="W542" s="56">
        <f>(1000*CHOOSE(CONTROL!$C$42, 0.1146, 0.1146)*CHOOSE(CONTROL!$C$42, 121.5, 121.5)*CHOOSE(CONTROL!$C$42, 28, 28))/1000000</f>
        <v>0.38986920000000003</v>
      </c>
      <c r="X542" s="56">
        <f>(28*0.1790888*100000/1000000)+(28*0.2374*100000/1000000)</f>
        <v>1.16616864</v>
      </c>
      <c r="Y542" s="56"/>
      <c r="Z542" s="14"/>
      <c r="AA542" s="55"/>
      <c r="AB542" s="49">
        <f>(B542*122.58+C542*297.941+D542*89.177+E542*40.302+F542*40+G542*160+H542*0+I542*100+J542*300)/(122.58+297.941+89.177+40.302+0+40+160+100+300)</f>
        <v>31.473564150260874</v>
      </c>
      <c r="AC542" s="44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30.876566187050361</v>
      </c>
    </row>
    <row r="543" spans="1:29" ht="15.75" x14ac:dyDescent="0.25">
      <c r="A543" s="31">
        <v>57435</v>
      </c>
      <c r="B543" s="14">
        <f>CHOOSE(CONTROL!$C$42, 30.5471, 30.5471) * CHOOSE(CONTROL!$C$21, $C$9, 100%, $E$9)</f>
        <v>30.5471</v>
      </c>
      <c r="C543" s="14">
        <f>CHOOSE(CONTROL!$C$42, 30.5521, 30.5521) * CHOOSE(CONTROL!$C$21, $C$9, 100%, $E$9)</f>
        <v>30.552099999999999</v>
      </c>
      <c r="D543" s="14">
        <f>CHOOSE(CONTROL!$C$42, 30.6316, 30.6316) * CHOOSE(CONTROL!$C$21, $C$9, 100%, $E$9)</f>
        <v>30.631599999999999</v>
      </c>
      <c r="E543" s="14">
        <f>CHOOSE(CONTROL!$C$42, 30.6657, 30.6657) * CHOOSE(CONTROL!$C$21, $C$9, 100%, $E$9)</f>
        <v>30.665700000000001</v>
      </c>
      <c r="F543" s="14">
        <f>CHOOSE(CONTROL!$C$42, 30.5691, 30.5691)*CHOOSE(CONTROL!$C$21, $C$9, 100%, $E$9)</f>
        <v>30.569099999999999</v>
      </c>
      <c r="G543" s="14">
        <f>CHOOSE(CONTROL!$C$42, 30.5864, 30.5864)*CHOOSE(CONTROL!$C$21, $C$9, 100%, $E$9)</f>
        <v>30.586400000000001</v>
      </c>
      <c r="H543" s="14">
        <f>CHOOSE(CONTROL!$C$42, 30.6549, 30.6549) * CHOOSE(CONTROL!$C$21, $C$9, 100%, $E$9)</f>
        <v>30.654900000000001</v>
      </c>
      <c r="I543" s="14">
        <f>CHOOSE(CONTROL!$C$42, 30.678, 30.678)* CHOOSE(CONTROL!$C$21, $C$9, 100%, $E$9)</f>
        <v>30.678000000000001</v>
      </c>
      <c r="J543" s="14">
        <f>CHOOSE(CONTROL!$C$42, 30.5621, 30.5621)* CHOOSE(CONTROL!$C$21, $C$9, 100%, $E$9)</f>
        <v>30.562100000000001</v>
      </c>
      <c r="K543" s="52">
        <f>CHOOSE(CONTROL!$C$42, 30.6741, 30.6741) * CHOOSE(CONTROL!$C$21, $C$9, 100%, $E$9)</f>
        <v>30.674099999999999</v>
      </c>
      <c r="L543" s="14">
        <f>CHOOSE(CONTROL!$C$42, 31.2419, 31.2419) * CHOOSE(CONTROL!$C$21, $C$9, 100%, $E$9)</f>
        <v>31.241900000000001</v>
      </c>
      <c r="M543" s="14">
        <f>CHOOSE(CONTROL!$C$42, 29.9436, 29.9436) * CHOOSE(CONTROL!$C$21, $C$9, 100%, $E$9)</f>
        <v>29.9436</v>
      </c>
      <c r="N543" s="14">
        <f>CHOOSE(CONTROL!$C$42, 29.9605, 29.9605) * CHOOSE(CONTROL!$C$21, $C$9, 100%, $E$9)</f>
        <v>29.9605</v>
      </c>
      <c r="O543" s="14">
        <f>CHOOSE(CONTROL!$C$42, 30.0345, 30.0345) * CHOOSE(CONTROL!$C$21, $C$9, 100%, $E$9)</f>
        <v>30.034500000000001</v>
      </c>
      <c r="P543" s="14">
        <f>CHOOSE(CONTROL!$C$42, 30.0553, 30.0553) * CHOOSE(CONTROL!$C$21, $C$9, 100%, $E$9)</f>
        <v>30.055299999999999</v>
      </c>
      <c r="Q543" s="14">
        <f>CHOOSE(CONTROL!$C$42, 30.6292, 30.6292) * CHOOSE(CONTROL!$C$21, $C$9, 100%, $E$9)</f>
        <v>30.629200000000001</v>
      </c>
      <c r="R543" s="14">
        <f>CHOOSE(CONTROL!$C$42, 31.2927, 31.2927) * CHOOSE(CONTROL!$C$21, $C$9, 100%, $E$9)</f>
        <v>31.2927</v>
      </c>
      <c r="S543" s="14">
        <f>CHOOSE(CONTROL!$C$42, 29.3441, 29.3441) * CHOOSE(CONTROL!$C$21, $C$9, 100%, $E$9)</f>
        <v>29.344100000000001</v>
      </c>
      <c r="T54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56">
        <f>(1000*CHOOSE(CONTROL!$C$42, 695, 695)*CHOOSE(CONTROL!$C$42, 0.5599, 0.5599)*CHOOSE(CONTROL!$C$42, 31, 31))/1000000</f>
        <v>12.063045499999998</v>
      </c>
      <c r="V543" s="56">
        <f>(1000*CHOOSE(CONTROL!$C$42, 500, 500)*CHOOSE(CONTROL!$C$42, 0.275, 0.275)*CHOOSE(CONTROL!$C$42, 31, 31))/1000000</f>
        <v>4.2625000000000002</v>
      </c>
      <c r="W543" s="56">
        <f>(1000*CHOOSE(CONTROL!$C$42, 0.1146, 0.1146)*CHOOSE(CONTROL!$C$42, 121.5, 121.5)*CHOOSE(CONTROL!$C$42, 31, 31))/1000000</f>
        <v>0.43164089999999994</v>
      </c>
      <c r="X543" s="56">
        <f>(31*0.1790888*100000/1000000)+(31*0.2374*100000/1000000)</f>
        <v>1.2911152800000001</v>
      </c>
      <c r="Y543" s="56"/>
      <c r="Z543" s="14"/>
      <c r="AA543" s="55"/>
      <c r="AB543" s="49">
        <f>(B543*122.58+C543*297.941+D543*89.177+E543*40.302+F543*40+G543*160+H543*0+I543*100+J543*300)/(122.58+297.941+89.177+40.302+0+40+160+100+300)</f>
        <v>30.580633024956523</v>
      </c>
      <c r="AC543" s="44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30.001843884892082</v>
      </c>
    </row>
    <row r="544" spans="1:29" ht="15.75" x14ac:dyDescent="0.25">
      <c r="A544" s="31">
        <v>57465</v>
      </c>
      <c r="B544" s="14">
        <f>CHOOSE(CONTROL!$C$42, 30.4567, 30.4567) * CHOOSE(CONTROL!$C$21, $C$9, 100%, $E$9)</f>
        <v>30.456700000000001</v>
      </c>
      <c r="C544" s="14">
        <f>CHOOSE(CONTROL!$C$42, 30.4611, 30.4611) * CHOOSE(CONTROL!$C$21, $C$9, 100%, $E$9)</f>
        <v>30.461099999999998</v>
      </c>
      <c r="D544" s="14">
        <f>CHOOSE(CONTROL!$C$42, 30.6901, 30.6901) * CHOOSE(CONTROL!$C$21, $C$9, 100%, $E$9)</f>
        <v>30.690100000000001</v>
      </c>
      <c r="E544" s="14">
        <f>CHOOSE(CONTROL!$C$42, 30.7222, 30.7222) * CHOOSE(CONTROL!$C$21, $C$9, 100%, $E$9)</f>
        <v>30.722200000000001</v>
      </c>
      <c r="F544" s="14">
        <f>CHOOSE(CONTROL!$C$42, 30.4837, 30.4837)*CHOOSE(CONTROL!$C$21, $C$9, 100%, $E$9)</f>
        <v>30.483699999999999</v>
      </c>
      <c r="G544" s="14">
        <f>CHOOSE(CONTROL!$C$42, 30.5004, 30.5004)*CHOOSE(CONTROL!$C$21, $C$9, 100%, $E$9)</f>
        <v>30.500399999999999</v>
      </c>
      <c r="H544" s="14">
        <f>CHOOSE(CONTROL!$C$42, 30.712, 30.712) * CHOOSE(CONTROL!$C$21, $C$9, 100%, $E$9)</f>
        <v>30.712</v>
      </c>
      <c r="I544" s="14">
        <f>CHOOSE(CONTROL!$C$42, 30.585, 30.585)* CHOOSE(CONTROL!$C$21, $C$9, 100%, $E$9)</f>
        <v>30.585000000000001</v>
      </c>
      <c r="J544" s="14">
        <f>CHOOSE(CONTROL!$C$42, 30.4767, 30.4767)* CHOOSE(CONTROL!$C$21, $C$9, 100%, $E$9)</f>
        <v>30.476700000000001</v>
      </c>
      <c r="K544" s="52">
        <f>CHOOSE(CONTROL!$C$42, 30.5811, 30.5811) * CHOOSE(CONTROL!$C$21, $C$9, 100%, $E$9)</f>
        <v>30.581099999999999</v>
      </c>
      <c r="L544" s="14">
        <f>CHOOSE(CONTROL!$C$42, 31.299, 31.299) * CHOOSE(CONTROL!$C$21, $C$9, 100%, $E$9)</f>
        <v>31.298999999999999</v>
      </c>
      <c r="M544" s="14">
        <f>CHOOSE(CONTROL!$C$42, 29.8599, 29.8599) * CHOOSE(CONTROL!$C$21, $C$9, 100%, $E$9)</f>
        <v>29.8599</v>
      </c>
      <c r="N544" s="14">
        <f>CHOOSE(CONTROL!$C$42, 29.8763, 29.8763) * CHOOSE(CONTROL!$C$21, $C$9, 100%, $E$9)</f>
        <v>29.876300000000001</v>
      </c>
      <c r="O544" s="14">
        <f>CHOOSE(CONTROL!$C$42, 30.0904, 30.0904) * CHOOSE(CONTROL!$C$21, $C$9, 100%, $E$9)</f>
        <v>30.090399999999999</v>
      </c>
      <c r="P544" s="14">
        <f>CHOOSE(CONTROL!$C$42, 29.9642, 29.9642) * CHOOSE(CONTROL!$C$21, $C$9, 100%, $E$9)</f>
        <v>29.964200000000002</v>
      </c>
      <c r="Q544" s="14">
        <f>CHOOSE(CONTROL!$C$42, 30.6851, 30.6851) * CHOOSE(CONTROL!$C$21, $C$9, 100%, $E$9)</f>
        <v>30.685099999999998</v>
      </c>
      <c r="R544" s="14">
        <f>CHOOSE(CONTROL!$C$42, 31.3488, 31.3488) * CHOOSE(CONTROL!$C$21, $C$9, 100%, $E$9)</f>
        <v>31.348800000000001</v>
      </c>
      <c r="S544" s="14">
        <f>CHOOSE(CONTROL!$C$42, 29.2565, 29.2565) * CHOOSE(CONTROL!$C$21, $C$9, 100%, $E$9)</f>
        <v>29.256499999999999</v>
      </c>
      <c r="T54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56">
        <f>(1000*CHOOSE(CONTROL!$C$42, 695, 695)*CHOOSE(CONTROL!$C$42, 0.5599, 0.5599)*CHOOSE(CONTROL!$C$42, 30, 30))/1000000</f>
        <v>11.673914999999997</v>
      </c>
      <c r="V544" s="56">
        <f>(1000*CHOOSE(CONTROL!$C$42, 500, 500)*CHOOSE(CONTROL!$C$42, 0.275, 0.275)*CHOOSE(CONTROL!$C$42, 30, 30))/1000000</f>
        <v>4.125</v>
      </c>
      <c r="W544" s="56">
        <f>(1000*CHOOSE(CONTROL!$C$42, 0.1146, 0.1146)*CHOOSE(CONTROL!$C$42, 121.5, 121.5)*CHOOSE(CONTROL!$C$42, 30, 30))/1000000</f>
        <v>0.417717</v>
      </c>
      <c r="X544" s="56">
        <f>(30*0.1790888*245000/1000000)+(30*0.2374*100000/1000000)</f>
        <v>2.0285026799999999</v>
      </c>
      <c r="Y544" s="56"/>
      <c r="Z544" s="14"/>
      <c r="AA544" s="55"/>
      <c r="AB544" s="49">
        <f>(B544*141.293+C544*267.993+D544*115.016+E544*89.698+F544*40+G544*185+H544*0+I544*100+J544*300)/(141.293+267.993+115.016+89.698+0+40+185+100+300)</f>
        <v>30.521133593704601</v>
      </c>
      <c r="AC544" s="44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29.943355395683451</v>
      </c>
    </row>
    <row r="545" spans="1:29" ht="15.75" x14ac:dyDescent="0.25">
      <c r="A545" s="31">
        <v>57496</v>
      </c>
      <c r="B545" s="14">
        <f>CHOOSE(CONTROL!$C$42, 30.7268, 30.7268) * CHOOSE(CONTROL!$C$21, $C$9, 100%, $E$9)</f>
        <v>30.726800000000001</v>
      </c>
      <c r="C545" s="14">
        <f>CHOOSE(CONTROL!$C$42, 30.7348, 30.7348) * CHOOSE(CONTROL!$C$21, $C$9, 100%, $E$9)</f>
        <v>30.7348</v>
      </c>
      <c r="D545" s="14">
        <f>CHOOSE(CONTROL!$C$42, 30.9606, 30.9606) * CHOOSE(CONTROL!$C$21, $C$9, 100%, $E$9)</f>
        <v>30.960599999999999</v>
      </c>
      <c r="E545" s="14">
        <f>CHOOSE(CONTROL!$C$42, 30.9921, 30.9921) * CHOOSE(CONTROL!$C$21, $C$9, 100%, $E$9)</f>
        <v>30.992100000000001</v>
      </c>
      <c r="F545" s="14">
        <f>CHOOSE(CONTROL!$C$42, 30.7524, 30.7524)*CHOOSE(CONTROL!$C$21, $C$9, 100%, $E$9)</f>
        <v>30.752400000000002</v>
      </c>
      <c r="G545" s="14">
        <f>CHOOSE(CONTROL!$C$42, 30.7694, 30.7694)*CHOOSE(CONTROL!$C$21, $C$9, 100%, $E$9)</f>
        <v>30.769400000000001</v>
      </c>
      <c r="H545" s="14">
        <f>CHOOSE(CONTROL!$C$42, 30.9807, 30.9807) * CHOOSE(CONTROL!$C$21, $C$9, 100%, $E$9)</f>
        <v>30.980699999999999</v>
      </c>
      <c r="I545" s="14">
        <f>CHOOSE(CONTROL!$C$42, 30.8545, 30.8545)* CHOOSE(CONTROL!$C$21, $C$9, 100%, $E$9)</f>
        <v>30.854500000000002</v>
      </c>
      <c r="J545" s="14">
        <f>CHOOSE(CONTROL!$C$42, 30.7454, 30.7454)* CHOOSE(CONTROL!$C$21, $C$9, 100%, $E$9)</f>
        <v>30.7454</v>
      </c>
      <c r="K545" s="52">
        <f>CHOOSE(CONTROL!$C$42, 30.8507, 30.8507) * CHOOSE(CONTROL!$C$21, $C$9, 100%, $E$9)</f>
        <v>30.8507</v>
      </c>
      <c r="L545" s="14">
        <f>CHOOSE(CONTROL!$C$42, 31.5677, 31.5677) * CHOOSE(CONTROL!$C$21, $C$9, 100%, $E$9)</f>
        <v>31.567699999999999</v>
      </c>
      <c r="M545" s="14">
        <f>CHOOSE(CONTROL!$C$42, 30.1232, 30.1232) * CHOOSE(CONTROL!$C$21, $C$9, 100%, $E$9)</f>
        <v>30.123200000000001</v>
      </c>
      <c r="N545" s="14">
        <f>CHOOSE(CONTROL!$C$42, 30.1398, 30.1398) * CHOOSE(CONTROL!$C$21, $C$9, 100%, $E$9)</f>
        <v>30.139800000000001</v>
      </c>
      <c r="O545" s="14">
        <f>CHOOSE(CONTROL!$C$42, 30.3536, 30.3536) * CHOOSE(CONTROL!$C$21, $C$9, 100%, $E$9)</f>
        <v>30.3536</v>
      </c>
      <c r="P545" s="14">
        <f>CHOOSE(CONTROL!$C$42, 30.2282, 30.2282) * CHOOSE(CONTROL!$C$21, $C$9, 100%, $E$9)</f>
        <v>30.228200000000001</v>
      </c>
      <c r="Q545" s="14">
        <f>CHOOSE(CONTROL!$C$42, 30.9483, 30.9483) * CHOOSE(CONTROL!$C$21, $C$9, 100%, $E$9)</f>
        <v>30.9483</v>
      </c>
      <c r="R545" s="14">
        <f>CHOOSE(CONTROL!$C$42, 31.6127, 31.6127) * CHOOSE(CONTROL!$C$21, $C$9, 100%, $E$9)</f>
        <v>31.6127</v>
      </c>
      <c r="S545" s="14">
        <f>CHOOSE(CONTROL!$C$42, 29.5147, 29.5147) * CHOOSE(CONTROL!$C$21, $C$9, 100%, $E$9)</f>
        <v>29.514700000000001</v>
      </c>
      <c r="T54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56">
        <f>(1000*CHOOSE(CONTROL!$C$42, 695, 695)*CHOOSE(CONTROL!$C$42, 0.5599, 0.5599)*CHOOSE(CONTROL!$C$42, 31, 31))/1000000</f>
        <v>12.063045499999998</v>
      </c>
      <c r="V545" s="56">
        <f>(1000*CHOOSE(CONTROL!$C$42, 500, 500)*CHOOSE(CONTROL!$C$42, 0.275, 0.275)*CHOOSE(CONTROL!$C$42, 31, 31))/1000000</f>
        <v>4.2625000000000002</v>
      </c>
      <c r="W545" s="56">
        <f>(1000*CHOOSE(CONTROL!$C$42, 0.1146, 0.1146)*CHOOSE(CONTROL!$C$42, 121.5, 121.5)*CHOOSE(CONTROL!$C$42, 31, 31))/1000000</f>
        <v>0.43164089999999994</v>
      </c>
      <c r="X545" s="56">
        <f>(31*0.1790888*245000/1000000)+(31*0.2374*100000/1000000)</f>
        <v>2.0961194359999999</v>
      </c>
      <c r="Y545" s="56"/>
      <c r="Z545" s="14"/>
      <c r="AA545" s="55"/>
      <c r="AB545" s="49">
        <f>(B545*194.205+C545*267.466+D545*133.845+E545*53.484+F545*40+G545*185+H545*0+I545*100+J545*300)/(194.205+267.466+133.845+53.484+0+40+185+100+300)</f>
        <v>30.785573150863424</v>
      </c>
      <c r="AC545" s="44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30.206774100719429</v>
      </c>
    </row>
    <row r="546" spans="1:29" ht="15.75" x14ac:dyDescent="0.25">
      <c r="A546" s="31">
        <v>57526</v>
      </c>
      <c r="B546" s="14">
        <f>CHOOSE(CONTROL!$C$42, 31.598, 31.598) * CHOOSE(CONTROL!$C$21, $C$9, 100%, $E$9)</f>
        <v>31.597999999999999</v>
      </c>
      <c r="C546" s="14">
        <f>CHOOSE(CONTROL!$C$42, 31.6061, 31.6061) * CHOOSE(CONTROL!$C$21, $C$9, 100%, $E$9)</f>
        <v>31.606100000000001</v>
      </c>
      <c r="D546" s="14">
        <f>CHOOSE(CONTROL!$C$42, 31.8319, 31.8319) * CHOOSE(CONTROL!$C$21, $C$9, 100%, $E$9)</f>
        <v>31.831900000000001</v>
      </c>
      <c r="E546" s="14">
        <f>CHOOSE(CONTROL!$C$42, 31.8633, 31.8633) * CHOOSE(CONTROL!$C$21, $C$9, 100%, $E$9)</f>
        <v>31.863299999999999</v>
      </c>
      <c r="F546" s="14">
        <f>CHOOSE(CONTROL!$C$42, 31.6241, 31.6241)*CHOOSE(CONTROL!$C$21, $C$9, 100%, $E$9)</f>
        <v>31.624099999999999</v>
      </c>
      <c r="G546" s="14">
        <f>CHOOSE(CONTROL!$C$42, 31.6412, 31.6412)*CHOOSE(CONTROL!$C$21, $C$9, 100%, $E$9)</f>
        <v>31.641200000000001</v>
      </c>
      <c r="H546" s="14">
        <f>CHOOSE(CONTROL!$C$42, 31.852, 31.852) * CHOOSE(CONTROL!$C$21, $C$9, 100%, $E$9)</f>
        <v>31.852</v>
      </c>
      <c r="I546" s="14">
        <f>CHOOSE(CONTROL!$C$42, 31.7285, 31.7285)* CHOOSE(CONTROL!$C$21, $C$9, 100%, $E$9)</f>
        <v>31.7285</v>
      </c>
      <c r="J546" s="14">
        <f>CHOOSE(CONTROL!$C$42, 31.6171, 31.6171)* CHOOSE(CONTROL!$C$21, $C$9, 100%, $E$9)</f>
        <v>31.617100000000001</v>
      </c>
      <c r="K546" s="52">
        <f>CHOOSE(CONTROL!$C$42, 31.7246, 31.7246) * CHOOSE(CONTROL!$C$21, $C$9, 100%, $E$9)</f>
        <v>31.724599999999999</v>
      </c>
      <c r="L546" s="14">
        <f>CHOOSE(CONTROL!$C$42, 32.439, 32.439) * CHOOSE(CONTROL!$C$21, $C$9, 100%, $E$9)</f>
        <v>32.439</v>
      </c>
      <c r="M546" s="14">
        <f>CHOOSE(CONTROL!$C$42, 30.977, 30.977) * CHOOSE(CONTROL!$C$21, $C$9, 100%, $E$9)</f>
        <v>30.977</v>
      </c>
      <c r="N546" s="14">
        <f>CHOOSE(CONTROL!$C$42, 30.9938, 30.9938) * CHOOSE(CONTROL!$C$21, $C$9, 100%, $E$9)</f>
        <v>30.9938</v>
      </c>
      <c r="O546" s="14">
        <f>CHOOSE(CONTROL!$C$42, 31.207, 31.207) * CHOOSE(CONTROL!$C$21, $C$9, 100%, $E$9)</f>
        <v>31.207000000000001</v>
      </c>
      <c r="P546" s="14">
        <f>CHOOSE(CONTROL!$C$42, 31.0842, 31.0842) * CHOOSE(CONTROL!$C$21, $C$9, 100%, $E$9)</f>
        <v>31.084199999999999</v>
      </c>
      <c r="Q546" s="14">
        <f>CHOOSE(CONTROL!$C$42, 31.8017, 31.8017) * CHOOSE(CONTROL!$C$21, $C$9, 100%, $E$9)</f>
        <v>31.8017</v>
      </c>
      <c r="R546" s="14">
        <f>CHOOSE(CONTROL!$C$42, 32.4682, 32.4682) * CHOOSE(CONTROL!$C$21, $C$9, 100%, $E$9)</f>
        <v>32.468200000000003</v>
      </c>
      <c r="S546" s="14">
        <f>CHOOSE(CONTROL!$C$42, 30.3519, 30.3519) * CHOOSE(CONTROL!$C$21, $C$9, 100%, $E$9)</f>
        <v>30.351900000000001</v>
      </c>
      <c r="T54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56">
        <f>(1000*CHOOSE(CONTROL!$C$42, 695, 695)*CHOOSE(CONTROL!$C$42, 0.5599, 0.5599)*CHOOSE(CONTROL!$C$42, 30, 30))/1000000</f>
        <v>11.673914999999997</v>
      </c>
      <c r="V546" s="56">
        <f>(1000*CHOOSE(CONTROL!$C$42, 500, 500)*CHOOSE(CONTROL!$C$42, 0.275, 0.275)*CHOOSE(CONTROL!$C$42, 30, 30))/1000000</f>
        <v>4.125</v>
      </c>
      <c r="W546" s="56">
        <f>(1000*CHOOSE(CONTROL!$C$42, 0.1146, 0.1146)*CHOOSE(CONTROL!$C$42, 121.5, 121.5)*CHOOSE(CONTROL!$C$42, 30, 30))/1000000</f>
        <v>0.417717</v>
      </c>
      <c r="X546" s="56">
        <f>(30*0.1790888*245000/1000000)+(30*0.2374*100000/1000000)</f>
        <v>2.0285026799999999</v>
      </c>
      <c r="Y546" s="56"/>
      <c r="Z546" s="14"/>
      <c r="AA546" s="55"/>
      <c r="AB546" s="49">
        <f>(B546*194.205+C546*267.466+D546*133.845+E546*53.484+F546*40+G546*185+H546*0+I546*100+J546*300)/(194.205+267.466+133.845+53.484+0+40+185+100+300)</f>
        <v>31.65724499631083</v>
      </c>
      <c r="AC546" s="44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31.060824460431657</v>
      </c>
    </row>
    <row r="547" spans="1:29" ht="15.75" x14ac:dyDescent="0.25">
      <c r="A547" s="31">
        <v>57557</v>
      </c>
      <c r="B547" s="14">
        <f>CHOOSE(CONTROL!$C$42, 30.9921, 30.9921) * CHOOSE(CONTROL!$C$21, $C$9, 100%, $E$9)</f>
        <v>30.992100000000001</v>
      </c>
      <c r="C547" s="14">
        <f>CHOOSE(CONTROL!$C$42, 31.0001, 31.0001) * CHOOSE(CONTROL!$C$21, $C$9, 100%, $E$9)</f>
        <v>31.0001</v>
      </c>
      <c r="D547" s="14">
        <f>CHOOSE(CONTROL!$C$42, 31.2259, 31.2259) * CHOOSE(CONTROL!$C$21, $C$9, 100%, $E$9)</f>
        <v>31.225899999999999</v>
      </c>
      <c r="E547" s="14">
        <f>CHOOSE(CONTROL!$C$42, 31.2573, 31.2573) * CHOOSE(CONTROL!$C$21, $C$9, 100%, $E$9)</f>
        <v>31.257300000000001</v>
      </c>
      <c r="F547" s="14">
        <f>CHOOSE(CONTROL!$C$42, 31.0186, 31.0186)*CHOOSE(CONTROL!$C$21, $C$9, 100%, $E$9)</f>
        <v>31.018599999999999</v>
      </c>
      <c r="G547" s="14">
        <f>CHOOSE(CONTROL!$C$42, 31.0358, 31.0358)*CHOOSE(CONTROL!$C$21, $C$9, 100%, $E$9)</f>
        <v>31.035799999999998</v>
      </c>
      <c r="H547" s="14">
        <f>CHOOSE(CONTROL!$C$42, 31.246, 31.246) * CHOOSE(CONTROL!$C$21, $C$9, 100%, $E$9)</f>
        <v>31.245999999999999</v>
      </c>
      <c r="I547" s="14">
        <f>CHOOSE(CONTROL!$C$42, 31.1207, 31.1207)* CHOOSE(CONTROL!$C$21, $C$9, 100%, $E$9)</f>
        <v>31.120699999999999</v>
      </c>
      <c r="J547" s="14">
        <f>CHOOSE(CONTROL!$C$42, 31.0116, 31.0116)* CHOOSE(CONTROL!$C$21, $C$9, 100%, $E$9)</f>
        <v>31.011600000000001</v>
      </c>
      <c r="K547" s="52">
        <f>CHOOSE(CONTROL!$C$42, 31.1168, 31.1168) * CHOOSE(CONTROL!$C$21, $C$9, 100%, $E$9)</f>
        <v>31.116800000000001</v>
      </c>
      <c r="L547" s="14">
        <f>CHOOSE(CONTROL!$C$42, 31.833, 31.833) * CHOOSE(CONTROL!$C$21, $C$9, 100%, $E$9)</f>
        <v>31.832999999999998</v>
      </c>
      <c r="M547" s="14">
        <f>CHOOSE(CONTROL!$C$42, 30.3839, 30.3839) * CHOOSE(CONTROL!$C$21, $C$9, 100%, $E$9)</f>
        <v>30.383900000000001</v>
      </c>
      <c r="N547" s="14">
        <f>CHOOSE(CONTROL!$C$42, 30.4008, 30.4008) * CHOOSE(CONTROL!$C$21, $C$9, 100%, $E$9)</f>
        <v>30.4008</v>
      </c>
      <c r="O547" s="14">
        <f>CHOOSE(CONTROL!$C$42, 30.6135, 30.6135) * CHOOSE(CONTROL!$C$21, $C$9, 100%, $E$9)</f>
        <v>30.613499999999998</v>
      </c>
      <c r="P547" s="14">
        <f>CHOOSE(CONTROL!$C$42, 30.4888, 30.4888) * CHOOSE(CONTROL!$C$21, $C$9, 100%, $E$9)</f>
        <v>30.488800000000001</v>
      </c>
      <c r="Q547" s="14">
        <f>CHOOSE(CONTROL!$C$42, 31.2082, 31.2082) * CHOOSE(CONTROL!$C$21, $C$9, 100%, $E$9)</f>
        <v>31.208200000000001</v>
      </c>
      <c r="R547" s="14">
        <f>CHOOSE(CONTROL!$C$42, 31.8732, 31.8732) * CHOOSE(CONTROL!$C$21, $C$9, 100%, $E$9)</f>
        <v>31.873200000000001</v>
      </c>
      <c r="S547" s="14">
        <f>CHOOSE(CONTROL!$C$42, 29.7696, 29.7696) * CHOOSE(CONTROL!$C$21, $C$9, 100%, $E$9)</f>
        <v>29.769600000000001</v>
      </c>
      <c r="T54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56">
        <f>(1000*CHOOSE(CONTROL!$C$42, 695, 695)*CHOOSE(CONTROL!$C$42, 0.5599, 0.5599)*CHOOSE(CONTROL!$C$42, 31, 31))/1000000</f>
        <v>12.063045499999998</v>
      </c>
      <c r="V547" s="56">
        <f>(1000*CHOOSE(CONTROL!$C$42, 500, 500)*CHOOSE(CONTROL!$C$42, 0.275, 0.275)*CHOOSE(CONTROL!$C$42, 31, 31))/1000000</f>
        <v>4.2625000000000002</v>
      </c>
      <c r="W547" s="56">
        <f>(1000*CHOOSE(CONTROL!$C$42, 0.1146, 0.1146)*CHOOSE(CONTROL!$C$42, 121.5, 121.5)*CHOOSE(CONTROL!$C$42, 31, 31))/1000000</f>
        <v>0.43164089999999994</v>
      </c>
      <c r="X547" s="56">
        <f>(31*0.1790888*245000/1000000)+(31*0.2374*100000/1000000)</f>
        <v>2.0961194359999999</v>
      </c>
      <c r="Y547" s="56"/>
      <c r="Z547" s="14"/>
      <c r="AA547" s="55"/>
      <c r="AB547" s="49">
        <f>(B547*194.205+C547*267.466+D547*133.845+E547*53.484+F547*40+G547*185+H547*0+I547*100+J547*300)/(194.205+267.466+133.845+53.484+0+40+185+100+300)</f>
        <v>31.051339517896388</v>
      </c>
      <c r="AC547" s="44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30.467304316546763</v>
      </c>
    </row>
    <row r="548" spans="1:29" ht="15.75" x14ac:dyDescent="0.25">
      <c r="A548" s="31">
        <v>57588</v>
      </c>
      <c r="B548" s="14">
        <f>CHOOSE(CONTROL!$C$42, 29.4618, 29.4618) * CHOOSE(CONTROL!$C$21, $C$9, 100%, $E$9)</f>
        <v>29.4618</v>
      </c>
      <c r="C548" s="14">
        <f>CHOOSE(CONTROL!$C$42, 29.4698, 29.4698) * CHOOSE(CONTROL!$C$21, $C$9, 100%, $E$9)</f>
        <v>29.469799999999999</v>
      </c>
      <c r="D548" s="14">
        <f>CHOOSE(CONTROL!$C$42, 29.6956, 29.6956) * CHOOSE(CONTROL!$C$21, $C$9, 100%, $E$9)</f>
        <v>29.695599999999999</v>
      </c>
      <c r="E548" s="14">
        <f>CHOOSE(CONTROL!$C$42, 29.7271, 29.7271) * CHOOSE(CONTROL!$C$21, $C$9, 100%, $E$9)</f>
        <v>29.7271</v>
      </c>
      <c r="F548" s="14">
        <f>CHOOSE(CONTROL!$C$42, 29.4886, 29.4886)*CHOOSE(CONTROL!$C$21, $C$9, 100%, $E$9)</f>
        <v>29.488600000000002</v>
      </c>
      <c r="G548" s="14">
        <f>CHOOSE(CONTROL!$C$42, 29.5059, 29.5059)*CHOOSE(CONTROL!$C$21, $C$9, 100%, $E$9)</f>
        <v>29.5059</v>
      </c>
      <c r="H548" s="14">
        <f>CHOOSE(CONTROL!$C$42, 29.7157, 29.7157) * CHOOSE(CONTROL!$C$21, $C$9, 100%, $E$9)</f>
        <v>29.715699999999998</v>
      </c>
      <c r="I548" s="14">
        <f>CHOOSE(CONTROL!$C$42, 29.5856, 29.5856)* CHOOSE(CONTROL!$C$21, $C$9, 100%, $E$9)</f>
        <v>29.585599999999999</v>
      </c>
      <c r="J548" s="14">
        <f>CHOOSE(CONTROL!$C$42, 29.4816, 29.4816)* CHOOSE(CONTROL!$C$21, $C$9, 100%, $E$9)</f>
        <v>29.4816</v>
      </c>
      <c r="K548" s="52">
        <f>CHOOSE(CONTROL!$C$42, 29.5817, 29.5817) * CHOOSE(CONTROL!$C$21, $C$9, 100%, $E$9)</f>
        <v>29.581700000000001</v>
      </c>
      <c r="L548" s="14">
        <f>CHOOSE(CONTROL!$C$42, 30.3027, 30.3027) * CHOOSE(CONTROL!$C$21, $C$9, 100%, $E$9)</f>
        <v>30.302700000000002</v>
      </c>
      <c r="M548" s="14">
        <f>CHOOSE(CONTROL!$C$42, 28.8852, 28.8852) * CHOOSE(CONTROL!$C$21, $C$9, 100%, $E$9)</f>
        <v>28.885200000000001</v>
      </c>
      <c r="N548" s="14">
        <f>CHOOSE(CONTROL!$C$42, 28.9022, 28.9022) * CHOOSE(CONTROL!$C$21, $C$9, 100%, $E$9)</f>
        <v>28.902200000000001</v>
      </c>
      <c r="O548" s="14">
        <f>CHOOSE(CONTROL!$C$42, 29.1145, 29.1145) * CHOOSE(CONTROL!$C$21, $C$9, 100%, $E$9)</f>
        <v>29.1145</v>
      </c>
      <c r="P548" s="14">
        <f>CHOOSE(CONTROL!$C$42, 28.9853, 28.9853) * CHOOSE(CONTROL!$C$21, $C$9, 100%, $E$9)</f>
        <v>28.985299999999999</v>
      </c>
      <c r="Q548" s="14">
        <f>CHOOSE(CONTROL!$C$42, 29.7092, 29.7092) * CHOOSE(CONTROL!$C$21, $C$9, 100%, $E$9)</f>
        <v>29.709199999999999</v>
      </c>
      <c r="R548" s="14">
        <f>CHOOSE(CONTROL!$C$42, 30.3705, 30.3705) * CHOOSE(CONTROL!$C$21, $C$9, 100%, $E$9)</f>
        <v>30.3705</v>
      </c>
      <c r="S548" s="14">
        <f>CHOOSE(CONTROL!$C$42, 28.2992, 28.2992) * CHOOSE(CONTROL!$C$21, $C$9, 100%, $E$9)</f>
        <v>28.299199999999999</v>
      </c>
      <c r="T54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56">
        <f>(1000*CHOOSE(CONTROL!$C$42, 695, 695)*CHOOSE(CONTROL!$C$42, 0.5599, 0.5599)*CHOOSE(CONTROL!$C$42, 31, 31))/1000000</f>
        <v>12.063045499999998</v>
      </c>
      <c r="V548" s="56">
        <f>(1000*CHOOSE(CONTROL!$C$42, 500, 500)*CHOOSE(CONTROL!$C$42, 0.275, 0.275)*CHOOSE(CONTROL!$C$42, 31, 31))/1000000</f>
        <v>4.2625000000000002</v>
      </c>
      <c r="W548" s="56">
        <f>(1000*CHOOSE(CONTROL!$C$42, 0.1146, 0.1146)*CHOOSE(CONTROL!$C$42, 121.5, 121.5)*CHOOSE(CONTROL!$C$42, 31, 31))/1000000</f>
        <v>0.43164089999999994</v>
      </c>
      <c r="X548" s="56">
        <f>(31*0.1790888*245000/1000000)+(31*0.2374*100000/1000000)</f>
        <v>2.0961194359999999</v>
      </c>
      <c r="Y548" s="56"/>
      <c r="Z548" s="14"/>
      <c r="AA548" s="55"/>
      <c r="AB548" s="49">
        <f>(B548*194.205+C548*267.466+D548*133.845+E548*53.484+F548*40+G548*185+H548*0+I548*100+J548*300)/(194.205+267.466+133.845+53.484+0+40+185+100+300)</f>
        <v>29.520805097488228</v>
      </c>
      <c r="AC548" s="44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28.967852517985609</v>
      </c>
    </row>
    <row r="549" spans="1:29" ht="15.75" x14ac:dyDescent="0.25">
      <c r="A549" s="31">
        <v>57618</v>
      </c>
      <c r="B549" s="14">
        <f>CHOOSE(CONTROL!$C$42, 27.5919, 27.5919) * CHOOSE(CONTROL!$C$21, $C$9, 100%, $E$9)</f>
        <v>27.591899999999999</v>
      </c>
      <c r="C549" s="14">
        <f>CHOOSE(CONTROL!$C$42, 27.5999, 27.5999) * CHOOSE(CONTROL!$C$21, $C$9, 100%, $E$9)</f>
        <v>27.599900000000002</v>
      </c>
      <c r="D549" s="14">
        <f>CHOOSE(CONTROL!$C$42, 27.8257, 27.8257) * CHOOSE(CONTROL!$C$21, $C$9, 100%, $E$9)</f>
        <v>27.825700000000001</v>
      </c>
      <c r="E549" s="14">
        <f>CHOOSE(CONTROL!$C$42, 27.8571, 27.8571) * CHOOSE(CONTROL!$C$21, $C$9, 100%, $E$9)</f>
        <v>27.857099999999999</v>
      </c>
      <c r="F549" s="14">
        <f>CHOOSE(CONTROL!$C$42, 27.6187, 27.6187)*CHOOSE(CONTROL!$C$21, $C$9, 100%, $E$9)</f>
        <v>27.6187</v>
      </c>
      <c r="G549" s="14">
        <f>CHOOSE(CONTROL!$C$42, 27.6359, 27.6359)*CHOOSE(CONTROL!$C$21, $C$9, 100%, $E$9)</f>
        <v>27.635899999999999</v>
      </c>
      <c r="H549" s="14">
        <f>CHOOSE(CONTROL!$C$42, 27.8458, 27.8458) * CHOOSE(CONTROL!$C$21, $C$9, 100%, $E$9)</f>
        <v>27.845800000000001</v>
      </c>
      <c r="I549" s="14">
        <f>CHOOSE(CONTROL!$C$42, 27.7098, 27.7098)* CHOOSE(CONTROL!$C$21, $C$9, 100%, $E$9)</f>
        <v>27.709800000000001</v>
      </c>
      <c r="J549" s="14">
        <f>CHOOSE(CONTROL!$C$42, 27.6117, 27.6117)* CHOOSE(CONTROL!$C$21, $C$9, 100%, $E$9)</f>
        <v>27.611699999999999</v>
      </c>
      <c r="K549" s="52">
        <f>CHOOSE(CONTROL!$C$42, 27.7059, 27.7059) * CHOOSE(CONTROL!$C$21, $C$9, 100%, $E$9)</f>
        <v>27.7059</v>
      </c>
      <c r="L549" s="14">
        <f>CHOOSE(CONTROL!$C$42, 28.4328, 28.4328) * CHOOSE(CONTROL!$C$21, $C$9, 100%, $E$9)</f>
        <v>28.4328</v>
      </c>
      <c r="M549" s="14">
        <f>CHOOSE(CONTROL!$C$42, 27.0536, 27.0536) * CHOOSE(CONTROL!$C$21, $C$9, 100%, $E$9)</f>
        <v>27.053599999999999</v>
      </c>
      <c r="N549" s="14">
        <f>CHOOSE(CONTROL!$C$42, 27.0705, 27.0705) * CHOOSE(CONTROL!$C$21, $C$9, 100%, $E$9)</f>
        <v>27.070499999999999</v>
      </c>
      <c r="O549" s="14">
        <f>CHOOSE(CONTROL!$C$42, 27.2829, 27.2829) * CHOOSE(CONTROL!$C$21, $C$9, 100%, $E$9)</f>
        <v>27.282900000000001</v>
      </c>
      <c r="P549" s="14">
        <f>CHOOSE(CONTROL!$C$42, 27.1481, 27.1481) * CHOOSE(CONTROL!$C$21, $C$9, 100%, $E$9)</f>
        <v>27.148099999999999</v>
      </c>
      <c r="Q549" s="14">
        <f>CHOOSE(CONTROL!$C$42, 27.8776, 27.8776) * CHOOSE(CONTROL!$C$21, $C$9, 100%, $E$9)</f>
        <v>27.877600000000001</v>
      </c>
      <c r="R549" s="14">
        <f>CHOOSE(CONTROL!$C$42, 28.5343, 28.5343) * CHOOSE(CONTROL!$C$21, $C$9, 100%, $E$9)</f>
        <v>28.534300000000002</v>
      </c>
      <c r="S549" s="14">
        <f>CHOOSE(CONTROL!$C$42, 26.5024, 26.5024) * CHOOSE(CONTROL!$C$21, $C$9, 100%, $E$9)</f>
        <v>26.502400000000002</v>
      </c>
      <c r="T54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56">
        <f>(1000*CHOOSE(CONTROL!$C$42, 695, 695)*CHOOSE(CONTROL!$C$42, 0.5599, 0.5599)*CHOOSE(CONTROL!$C$42, 30, 30))/1000000</f>
        <v>11.673914999999997</v>
      </c>
      <c r="V549" s="56">
        <f>(1000*CHOOSE(CONTROL!$C$42, 500, 500)*CHOOSE(CONTROL!$C$42, 0.275, 0.275)*CHOOSE(CONTROL!$C$42, 30, 30))/1000000</f>
        <v>4.125</v>
      </c>
      <c r="W549" s="56">
        <f>(1000*CHOOSE(CONTROL!$C$42, 0.1146, 0.1146)*CHOOSE(CONTROL!$C$42, 121.5, 121.5)*CHOOSE(CONTROL!$C$42, 30, 30))/1000000</f>
        <v>0.417717</v>
      </c>
      <c r="X549" s="56">
        <f>(30*0.1790888*245000/1000000)+(30*0.2374*100000/1000000)</f>
        <v>2.0285026799999999</v>
      </c>
      <c r="Y549" s="56"/>
      <c r="Z549" s="14"/>
      <c r="AA549" s="55"/>
      <c r="AB549" s="49">
        <f>(B549*194.205+C549*267.466+D549*133.845+E549*53.484+F549*40+G549*185+H549*0+I549*100+J549*300)/(194.205+267.466+133.845+53.484+0+40+185+100+300)</f>
        <v>27.65042326985871</v>
      </c>
      <c r="AC549" s="44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27.135423741007195</v>
      </c>
    </row>
    <row r="550" spans="1:29" ht="15.75" x14ac:dyDescent="0.25">
      <c r="A550" s="31">
        <v>57649</v>
      </c>
      <c r="B550" s="14">
        <f>CHOOSE(CONTROL!$C$42, 27.0301, 27.0301) * CHOOSE(CONTROL!$C$21, $C$9, 100%, $E$9)</f>
        <v>27.030100000000001</v>
      </c>
      <c r="C550" s="14">
        <f>CHOOSE(CONTROL!$C$42, 27.0354, 27.0354) * CHOOSE(CONTROL!$C$21, $C$9, 100%, $E$9)</f>
        <v>27.035399999999999</v>
      </c>
      <c r="D550" s="14">
        <f>CHOOSE(CONTROL!$C$42, 27.2662, 27.2662) * CHOOSE(CONTROL!$C$21, $C$9, 100%, $E$9)</f>
        <v>27.266200000000001</v>
      </c>
      <c r="E550" s="14">
        <f>CHOOSE(CONTROL!$C$42, 27.2953, 27.2953) * CHOOSE(CONTROL!$C$21, $C$9, 100%, $E$9)</f>
        <v>27.295300000000001</v>
      </c>
      <c r="F550" s="14">
        <f>CHOOSE(CONTROL!$C$42, 27.059, 27.059)*CHOOSE(CONTROL!$C$21, $C$9, 100%, $E$9)</f>
        <v>27.059000000000001</v>
      </c>
      <c r="G550" s="14">
        <f>CHOOSE(CONTROL!$C$42, 27.0761, 27.0761)*CHOOSE(CONTROL!$C$21, $C$9, 100%, $E$9)</f>
        <v>27.0761</v>
      </c>
      <c r="H550" s="14">
        <f>CHOOSE(CONTROL!$C$42, 27.2858, 27.2858) * CHOOSE(CONTROL!$C$21, $C$9, 100%, $E$9)</f>
        <v>27.285799999999998</v>
      </c>
      <c r="I550" s="14">
        <f>CHOOSE(CONTROL!$C$42, 27.1481, 27.1481)* CHOOSE(CONTROL!$C$21, $C$9, 100%, $E$9)</f>
        <v>27.148099999999999</v>
      </c>
      <c r="J550" s="14">
        <f>CHOOSE(CONTROL!$C$42, 27.052, 27.052)* CHOOSE(CONTROL!$C$21, $C$9, 100%, $E$9)</f>
        <v>27.052</v>
      </c>
      <c r="K550" s="52">
        <f>CHOOSE(CONTROL!$C$42, 27.1442, 27.1442) * CHOOSE(CONTROL!$C$21, $C$9, 100%, $E$9)</f>
        <v>27.144200000000001</v>
      </c>
      <c r="L550" s="14">
        <f>CHOOSE(CONTROL!$C$42, 27.8728, 27.8728) * CHOOSE(CONTROL!$C$21, $C$9, 100%, $E$9)</f>
        <v>27.872800000000002</v>
      </c>
      <c r="M550" s="14">
        <f>CHOOSE(CONTROL!$C$42, 26.5054, 26.5054) * CHOOSE(CONTROL!$C$21, $C$9, 100%, $E$9)</f>
        <v>26.505400000000002</v>
      </c>
      <c r="N550" s="14">
        <f>CHOOSE(CONTROL!$C$42, 26.5222, 26.5222) * CHOOSE(CONTROL!$C$21, $C$9, 100%, $E$9)</f>
        <v>26.522200000000002</v>
      </c>
      <c r="O550" s="14">
        <f>CHOOSE(CONTROL!$C$42, 26.7344, 26.7344) * CHOOSE(CONTROL!$C$21, $C$9, 100%, $E$9)</f>
        <v>26.734400000000001</v>
      </c>
      <c r="P550" s="14">
        <f>CHOOSE(CONTROL!$C$42, 26.5979, 26.5979) * CHOOSE(CONTROL!$C$21, $C$9, 100%, $E$9)</f>
        <v>26.597899999999999</v>
      </c>
      <c r="Q550" s="14">
        <f>CHOOSE(CONTROL!$C$42, 27.3291, 27.3291) * CHOOSE(CONTROL!$C$21, $C$9, 100%, $E$9)</f>
        <v>27.3291</v>
      </c>
      <c r="R550" s="14">
        <f>CHOOSE(CONTROL!$C$42, 27.9844, 27.9844) * CHOOSE(CONTROL!$C$21, $C$9, 100%, $E$9)</f>
        <v>27.984400000000001</v>
      </c>
      <c r="S550" s="14">
        <f>CHOOSE(CONTROL!$C$42, 25.9643, 25.9643) * CHOOSE(CONTROL!$C$21, $C$9, 100%, $E$9)</f>
        <v>25.964300000000001</v>
      </c>
      <c r="T55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56">
        <f>(1000*CHOOSE(CONTROL!$C$42, 695, 695)*CHOOSE(CONTROL!$C$42, 0.5599, 0.5599)*CHOOSE(CONTROL!$C$42, 31, 31))/1000000</f>
        <v>12.063045499999998</v>
      </c>
      <c r="V550" s="56">
        <f>(1000*CHOOSE(CONTROL!$C$42, 500, 500)*CHOOSE(CONTROL!$C$42, 0.275, 0.275)*CHOOSE(CONTROL!$C$42, 31, 31))/1000000</f>
        <v>4.2625000000000002</v>
      </c>
      <c r="W550" s="56">
        <f>(1000*CHOOSE(CONTROL!$C$42, 0.1146, 0.1146)*CHOOSE(CONTROL!$C$42, 121.5, 121.5)*CHOOSE(CONTROL!$C$42, 31, 31))/1000000</f>
        <v>0.43164089999999994</v>
      </c>
      <c r="X550" s="56">
        <f>(31*0.1790888*245000/1000000)+(31*0.2374*100000/1000000)</f>
        <v>2.0961194359999999</v>
      </c>
      <c r="Y550" s="56"/>
      <c r="Z550" s="14"/>
      <c r="AA550" s="55"/>
      <c r="AB550" s="49">
        <f>(B550*131.881+C550*277.167+D550*79.08+E550*125.872+F550*40+G550*185+H550*0+I550*100+J550*300)/(131.881+277.167+79.08+125.872+0+40+185+100+300)</f>
        <v>27.095924880952385</v>
      </c>
      <c r="AC550" s="44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26.586828776978418</v>
      </c>
    </row>
    <row r="551" spans="1:29" ht="15.75" x14ac:dyDescent="0.25">
      <c r="A551" s="31">
        <v>57679</v>
      </c>
      <c r="B551" s="14">
        <f>CHOOSE(CONTROL!$C$42, 27.7415, 27.7415) * CHOOSE(CONTROL!$C$21, $C$9, 100%, $E$9)</f>
        <v>27.741499999999998</v>
      </c>
      <c r="C551" s="14">
        <f>CHOOSE(CONTROL!$C$42, 27.7466, 27.7466) * CHOOSE(CONTROL!$C$21, $C$9, 100%, $E$9)</f>
        <v>27.746600000000001</v>
      </c>
      <c r="D551" s="14">
        <f>CHOOSE(CONTROL!$C$42, 27.8156, 27.8156) * CHOOSE(CONTROL!$C$21, $C$9, 100%, $E$9)</f>
        <v>27.8156</v>
      </c>
      <c r="E551" s="14">
        <f>CHOOSE(CONTROL!$C$42, 27.8497, 27.8497) * CHOOSE(CONTROL!$C$21, $C$9, 100%, $E$9)</f>
        <v>27.849699999999999</v>
      </c>
      <c r="F551" s="14">
        <f>CHOOSE(CONTROL!$C$42, 27.7771, 27.7771)*CHOOSE(CONTROL!$C$21, $C$9, 100%, $E$9)</f>
        <v>27.777100000000001</v>
      </c>
      <c r="G551" s="14">
        <f>CHOOSE(CONTROL!$C$42, 27.7945, 27.7945)*CHOOSE(CONTROL!$C$21, $C$9, 100%, $E$9)</f>
        <v>27.794499999999999</v>
      </c>
      <c r="H551" s="14">
        <f>CHOOSE(CONTROL!$C$42, 27.8389, 27.8389) * CHOOSE(CONTROL!$C$21, $C$9, 100%, $E$9)</f>
        <v>27.838899999999999</v>
      </c>
      <c r="I551" s="14">
        <f>CHOOSE(CONTROL!$C$42, 27.8648, 27.8648)* CHOOSE(CONTROL!$C$21, $C$9, 100%, $E$9)</f>
        <v>27.864799999999999</v>
      </c>
      <c r="J551" s="14">
        <f>CHOOSE(CONTROL!$C$42, 27.7701, 27.7701)* CHOOSE(CONTROL!$C$21, $C$9, 100%, $E$9)</f>
        <v>27.770099999999999</v>
      </c>
      <c r="K551" s="52">
        <f>CHOOSE(CONTROL!$C$42, 27.8609, 27.8609) * CHOOSE(CONTROL!$C$21, $C$9, 100%, $E$9)</f>
        <v>27.860900000000001</v>
      </c>
      <c r="L551" s="14">
        <f>CHOOSE(CONTROL!$C$42, 28.4259, 28.4259) * CHOOSE(CONTROL!$C$21, $C$9, 100%, $E$9)</f>
        <v>28.425899999999999</v>
      </c>
      <c r="M551" s="14">
        <f>CHOOSE(CONTROL!$C$42, 27.2088, 27.2088) * CHOOSE(CONTROL!$C$21, $C$9, 100%, $E$9)</f>
        <v>27.2088</v>
      </c>
      <c r="N551" s="14">
        <f>CHOOSE(CONTROL!$C$42, 27.2259, 27.2259) * CHOOSE(CONTROL!$C$21, $C$9, 100%, $E$9)</f>
        <v>27.225899999999999</v>
      </c>
      <c r="O551" s="14">
        <f>CHOOSE(CONTROL!$C$42, 27.2762, 27.2762) * CHOOSE(CONTROL!$C$21, $C$9, 100%, $E$9)</f>
        <v>27.276199999999999</v>
      </c>
      <c r="P551" s="14">
        <f>CHOOSE(CONTROL!$C$42, 27.2998, 27.2998) * CHOOSE(CONTROL!$C$21, $C$9, 100%, $E$9)</f>
        <v>27.299800000000001</v>
      </c>
      <c r="Q551" s="14">
        <f>CHOOSE(CONTROL!$C$42, 27.8709, 27.8709) * CHOOSE(CONTROL!$C$21, $C$9, 100%, $E$9)</f>
        <v>27.870899999999999</v>
      </c>
      <c r="R551" s="14">
        <f>CHOOSE(CONTROL!$C$42, 28.5276, 28.5276) * CHOOSE(CONTROL!$C$21, $C$9, 100%, $E$9)</f>
        <v>28.5276</v>
      </c>
      <c r="S551" s="14">
        <f>CHOOSE(CONTROL!$C$42, 26.6483, 26.6483) * CHOOSE(CONTROL!$C$21, $C$9, 100%, $E$9)</f>
        <v>26.648299999999999</v>
      </c>
      <c r="T55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56">
        <f>(1000*CHOOSE(CONTROL!$C$42, 695, 695)*CHOOSE(CONTROL!$C$42, 0.5599, 0.5599)*CHOOSE(CONTROL!$C$42, 30, 30))/1000000</f>
        <v>11.673914999999997</v>
      </c>
      <c r="V551" s="56">
        <f>(1000*CHOOSE(CONTROL!$C$42, 500, 500)*CHOOSE(CONTROL!$C$42, 0.275, 0.275)*CHOOSE(CONTROL!$C$42, 30, 30))/1000000</f>
        <v>4.125</v>
      </c>
      <c r="W551" s="56">
        <f>(1000*CHOOSE(CONTROL!$C$42, 0.1146, 0.1146)*CHOOSE(CONTROL!$C$42, 121.5, 121.5)*CHOOSE(CONTROL!$C$42, 30, 30))/1000000</f>
        <v>0.417717</v>
      </c>
      <c r="X551" s="56">
        <f>(30*0.1790888*100000/1000000)+(30*0.2374*100000/1000000)</f>
        <v>1.2494664</v>
      </c>
      <c r="Y551" s="56"/>
      <c r="Z551" s="14"/>
      <c r="AA551" s="55"/>
      <c r="AB551" s="49">
        <f>(B551*122.58+C551*297.941+D551*89.177+E551*40.302+F551*40+G551*160+H551*0+I551*100+J551*300)/(122.58+297.941+89.177+40.302+0+40+160+100+300)</f>
        <v>27.779154079304352</v>
      </c>
      <c r="AC551" s="44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27.253425899280579</v>
      </c>
    </row>
    <row r="552" spans="1:29" ht="15.75" x14ac:dyDescent="0.25">
      <c r="A552" s="31">
        <v>57710</v>
      </c>
      <c r="B552" s="14">
        <f>CHOOSE(CONTROL!$C$42, 29.6323, 29.6323) * CHOOSE(CONTROL!$C$21, $C$9, 100%, $E$9)</f>
        <v>29.632300000000001</v>
      </c>
      <c r="C552" s="14">
        <f>CHOOSE(CONTROL!$C$42, 29.6374, 29.6374) * CHOOSE(CONTROL!$C$21, $C$9, 100%, $E$9)</f>
        <v>29.6374</v>
      </c>
      <c r="D552" s="14">
        <f>CHOOSE(CONTROL!$C$42, 29.7064, 29.7064) * CHOOSE(CONTROL!$C$21, $C$9, 100%, $E$9)</f>
        <v>29.706399999999999</v>
      </c>
      <c r="E552" s="14">
        <f>CHOOSE(CONTROL!$C$42, 29.7405, 29.7405) * CHOOSE(CONTROL!$C$21, $C$9, 100%, $E$9)</f>
        <v>29.740500000000001</v>
      </c>
      <c r="F552" s="14">
        <f>CHOOSE(CONTROL!$C$42, 29.6701, 29.6701)*CHOOSE(CONTROL!$C$21, $C$9, 100%, $E$9)</f>
        <v>29.670100000000001</v>
      </c>
      <c r="G552" s="14">
        <f>CHOOSE(CONTROL!$C$42, 29.6881, 29.6881)*CHOOSE(CONTROL!$C$21, $C$9, 100%, $E$9)</f>
        <v>29.688099999999999</v>
      </c>
      <c r="H552" s="14">
        <f>CHOOSE(CONTROL!$C$42, 29.7297, 29.7297) * CHOOSE(CONTROL!$C$21, $C$9, 100%, $E$9)</f>
        <v>29.729700000000001</v>
      </c>
      <c r="I552" s="14">
        <f>CHOOSE(CONTROL!$C$42, 29.7614, 29.7614)* CHOOSE(CONTROL!$C$21, $C$9, 100%, $E$9)</f>
        <v>29.761399999999998</v>
      </c>
      <c r="J552" s="14">
        <f>CHOOSE(CONTROL!$C$42, 29.6631, 29.6631)* CHOOSE(CONTROL!$C$21, $C$9, 100%, $E$9)</f>
        <v>29.6631</v>
      </c>
      <c r="K552" s="52">
        <f>CHOOSE(CONTROL!$C$42, 29.7575, 29.7575) * CHOOSE(CONTROL!$C$21, $C$9, 100%, $E$9)</f>
        <v>29.7575</v>
      </c>
      <c r="L552" s="14">
        <f>CHOOSE(CONTROL!$C$42, 30.3167, 30.3167) * CHOOSE(CONTROL!$C$21, $C$9, 100%, $E$9)</f>
        <v>30.316700000000001</v>
      </c>
      <c r="M552" s="14">
        <f>CHOOSE(CONTROL!$C$42, 29.063, 29.063) * CHOOSE(CONTROL!$C$21, $C$9, 100%, $E$9)</f>
        <v>29.062999999999999</v>
      </c>
      <c r="N552" s="14">
        <f>CHOOSE(CONTROL!$C$42, 29.0807, 29.0807) * CHOOSE(CONTROL!$C$21, $C$9, 100%, $E$9)</f>
        <v>29.0807</v>
      </c>
      <c r="O552" s="14">
        <f>CHOOSE(CONTROL!$C$42, 29.1282, 29.1282) * CHOOSE(CONTROL!$C$21, $C$9, 100%, $E$9)</f>
        <v>29.1282</v>
      </c>
      <c r="P552" s="14">
        <f>CHOOSE(CONTROL!$C$42, 29.1575, 29.1575) * CHOOSE(CONTROL!$C$21, $C$9, 100%, $E$9)</f>
        <v>29.157499999999999</v>
      </c>
      <c r="Q552" s="14">
        <f>CHOOSE(CONTROL!$C$42, 29.7229, 29.7229) * CHOOSE(CONTROL!$C$21, $C$9, 100%, $E$9)</f>
        <v>29.722899999999999</v>
      </c>
      <c r="R552" s="14">
        <f>CHOOSE(CONTROL!$C$42, 30.3842, 30.3842) * CHOOSE(CONTROL!$C$21, $C$9, 100%, $E$9)</f>
        <v>30.3842</v>
      </c>
      <c r="S552" s="14">
        <f>CHOOSE(CONTROL!$C$42, 28.4651, 28.4651) * CHOOSE(CONTROL!$C$21, $C$9, 100%, $E$9)</f>
        <v>28.4651</v>
      </c>
      <c r="T55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56">
        <f>(1000*CHOOSE(CONTROL!$C$42, 695, 695)*CHOOSE(CONTROL!$C$42, 0.5599, 0.5599)*CHOOSE(CONTROL!$C$42, 31, 31))/1000000</f>
        <v>12.063045499999998</v>
      </c>
      <c r="V552" s="56">
        <f>(1000*CHOOSE(CONTROL!$C$42, 500, 500)*CHOOSE(CONTROL!$C$42, 0.275, 0.275)*CHOOSE(CONTROL!$C$42, 31, 31))/1000000</f>
        <v>4.2625000000000002</v>
      </c>
      <c r="W552" s="56">
        <f>(1000*CHOOSE(CONTROL!$C$42, 0.1146, 0.1146)*CHOOSE(CONTROL!$C$42, 121.5, 121.5)*CHOOSE(CONTROL!$C$42, 31, 31))/1000000</f>
        <v>0.43164089999999994</v>
      </c>
      <c r="X552" s="56">
        <f>(31*0.1790888*100000/1000000)+(31*0.2374*100000/1000000)</f>
        <v>1.2911152800000001</v>
      </c>
      <c r="Y552" s="56"/>
      <c r="Z552" s="14"/>
      <c r="AA552" s="55"/>
      <c r="AB552" s="49">
        <f>(B552*122.58+C552*297.941+D552*89.177+E552*40.302+F552*40+G552*160+H552*0+I552*100+J552*300)/(122.58+297.941+89.177+40.302+0+40+160+100+300)</f>
        <v>29.671498427130434</v>
      </c>
      <c r="AC552" s="44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29.10716690647482</v>
      </c>
    </row>
    <row r="553" spans="1:29" ht="15.75" x14ac:dyDescent="0.25">
      <c r="A553" s="31">
        <v>57741</v>
      </c>
      <c r="B553" s="14">
        <f>CHOOSE(CONTROL!$C$42, 32.088, 32.088) * CHOOSE(CONTROL!$C$21, $C$9, 100%, $E$9)</f>
        <v>32.088000000000001</v>
      </c>
      <c r="C553" s="14">
        <f>CHOOSE(CONTROL!$C$42, 32.0931, 32.0931) * CHOOSE(CONTROL!$C$21, $C$9, 100%, $E$9)</f>
        <v>32.0931</v>
      </c>
      <c r="D553" s="14">
        <f>CHOOSE(CONTROL!$C$42, 32.1725, 32.1725) * CHOOSE(CONTROL!$C$21, $C$9, 100%, $E$9)</f>
        <v>32.172499999999999</v>
      </c>
      <c r="E553" s="14">
        <f>CHOOSE(CONTROL!$C$42, 32.2066, 32.2066) * CHOOSE(CONTROL!$C$21, $C$9, 100%, $E$9)</f>
        <v>32.206600000000002</v>
      </c>
      <c r="F553" s="14">
        <f>CHOOSE(CONTROL!$C$42, 32.1111, 32.1111)*CHOOSE(CONTROL!$C$21, $C$9, 100%, $E$9)</f>
        <v>32.1111</v>
      </c>
      <c r="G553" s="14">
        <f>CHOOSE(CONTROL!$C$42, 32.1286, 32.1286)*CHOOSE(CONTROL!$C$21, $C$9, 100%, $E$9)</f>
        <v>32.128599999999999</v>
      </c>
      <c r="H553" s="14">
        <f>CHOOSE(CONTROL!$C$42, 32.1958, 32.1958) * CHOOSE(CONTROL!$C$21, $C$9, 100%, $E$9)</f>
        <v>32.195799999999998</v>
      </c>
      <c r="I553" s="14">
        <f>CHOOSE(CONTROL!$C$42, 32.2238, 32.2238)* CHOOSE(CONTROL!$C$21, $C$9, 100%, $E$9)</f>
        <v>32.223799999999997</v>
      </c>
      <c r="J553" s="14">
        <f>CHOOSE(CONTROL!$C$42, 32.1041, 32.1041)* CHOOSE(CONTROL!$C$21, $C$9, 100%, $E$9)</f>
        <v>32.104100000000003</v>
      </c>
      <c r="K553" s="52">
        <f>CHOOSE(CONTROL!$C$42, 32.2199, 32.2199) * CHOOSE(CONTROL!$C$21, $C$9, 100%, $E$9)</f>
        <v>32.219900000000003</v>
      </c>
      <c r="L553" s="14">
        <f>CHOOSE(CONTROL!$C$42, 32.7828, 32.7828) * CHOOSE(CONTROL!$C$21, $C$9, 100%, $E$9)</f>
        <v>32.782800000000002</v>
      </c>
      <c r="M553" s="14">
        <f>CHOOSE(CONTROL!$C$42, 31.454, 31.454) * CHOOSE(CONTROL!$C$21, $C$9, 100%, $E$9)</f>
        <v>31.454000000000001</v>
      </c>
      <c r="N553" s="14">
        <f>CHOOSE(CONTROL!$C$42, 31.4711, 31.4711) * CHOOSE(CONTROL!$C$21, $C$9, 100%, $E$9)</f>
        <v>31.4711</v>
      </c>
      <c r="O553" s="14">
        <f>CHOOSE(CONTROL!$C$42, 31.5438, 31.5438) * CHOOSE(CONTROL!$C$21, $C$9, 100%, $E$9)</f>
        <v>31.543800000000001</v>
      </c>
      <c r="P553" s="14">
        <f>CHOOSE(CONTROL!$C$42, 31.5693, 31.5693) * CHOOSE(CONTROL!$C$21, $C$9, 100%, $E$9)</f>
        <v>31.569299999999998</v>
      </c>
      <c r="Q553" s="14">
        <f>CHOOSE(CONTROL!$C$42, 32.1385, 32.1385) * CHOOSE(CONTROL!$C$21, $C$9, 100%, $E$9)</f>
        <v>32.138500000000001</v>
      </c>
      <c r="R553" s="14">
        <f>CHOOSE(CONTROL!$C$42, 32.8059, 32.8059) * CHOOSE(CONTROL!$C$21, $C$9, 100%, $E$9)</f>
        <v>32.805900000000001</v>
      </c>
      <c r="S553" s="14">
        <f>CHOOSE(CONTROL!$C$42, 30.8248, 30.8248) * CHOOSE(CONTROL!$C$21, $C$9, 100%, $E$9)</f>
        <v>30.8248</v>
      </c>
      <c r="T55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56">
        <f>(1000*CHOOSE(CONTROL!$C$42, 695, 695)*CHOOSE(CONTROL!$C$42, 0.5599, 0.5599)*CHOOSE(CONTROL!$C$42, 31, 31))/1000000</f>
        <v>12.063045499999998</v>
      </c>
      <c r="V553" s="56">
        <f>(1000*CHOOSE(CONTROL!$C$42, 500, 500)*CHOOSE(CONTROL!$C$42, 0.275, 0.275)*CHOOSE(CONTROL!$C$42, 31, 31))/1000000</f>
        <v>4.2625000000000002</v>
      </c>
      <c r="W553" s="56">
        <f>(1000*CHOOSE(CONTROL!$C$42, 0.1146, 0.1146)*CHOOSE(CONTROL!$C$42, 121.5, 121.5)*CHOOSE(CONTROL!$C$42, 31, 31))/1000000</f>
        <v>0.43164089999999994</v>
      </c>
      <c r="X553" s="56">
        <f>(31*0.1790888*100000/1000000)+(31*0.2374*100000/1000000)</f>
        <v>1.2911152800000001</v>
      </c>
      <c r="Y553" s="56"/>
      <c r="Z553" s="14"/>
      <c r="AA553" s="55"/>
      <c r="AB553" s="49">
        <f>(B553*122.58+C553*297.941+D553*89.177+E553*40.302+F553*40+G553*160+H553*0+I553*100+J553*300)/(122.58+297.941+89.177+40.302+0+40+160+100+300)</f>
        <v>32.122491106782611</v>
      </c>
      <c r="AC553" s="44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31.51227482014389</v>
      </c>
    </row>
    <row r="554" spans="1:29" ht="15.75" x14ac:dyDescent="0.25">
      <c r="A554" s="31">
        <v>57769</v>
      </c>
      <c r="B554" s="14">
        <f>CHOOSE(CONTROL!$C$42, 32.6591, 32.6591) * CHOOSE(CONTROL!$C$21, $C$9, 100%, $E$9)</f>
        <v>32.659100000000002</v>
      </c>
      <c r="C554" s="14">
        <f>CHOOSE(CONTROL!$C$42, 32.6641, 32.6641) * CHOOSE(CONTROL!$C$21, $C$9, 100%, $E$9)</f>
        <v>32.664099999999998</v>
      </c>
      <c r="D554" s="14">
        <f>CHOOSE(CONTROL!$C$42, 32.7436, 32.7436) * CHOOSE(CONTROL!$C$21, $C$9, 100%, $E$9)</f>
        <v>32.743600000000001</v>
      </c>
      <c r="E554" s="14">
        <f>CHOOSE(CONTROL!$C$42, 32.7777, 32.7777) * CHOOSE(CONTROL!$C$21, $C$9, 100%, $E$9)</f>
        <v>32.777700000000003</v>
      </c>
      <c r="F554" s="14">
        <f>CHOOSE(CONTROL!$C$42, 32.6819, 32.6819)*CHOOSE(CONTROL!$C$21, $C$9, 100%, $E$9)</f>
        <v>32.681899999999999</v>
      </c>
      <c r="G554" s="14">
        <f>CHOOSE(CONTROL!$C$42, 32.6993, 32.6993)*CHOOSE(CONTROL!$C$21, $C$9, 100%, $E$9)</f>
        <v>32.699300000000001</v>
      </c>
      <c r="H554" s="14">
        <f>CHOOSE(CONTROL!$C$42, 32.7669, 32.7669) * CHOOSE(CONTROL!$C$21, $C$9, 100%, $E$9)</f>
        <v>32.7669</v>
      </c>
      <c r="I554" s="14">
        <f>CHOOSE(CONTROL!$C$42, 32.7966, 32.7966)* CHOOSE(CONTROL!$C$21, $C$9, 100%, $E$9)</f>
        <v>32.796599999999998</v>
      </c>
      <c r="J554" s="14">
        <f>CHOOSE(CONTROL!$C$42, 32.6749, 32.6749)* CHOOSE(CONTROL!$C$21, $C$9, 100%, $E$9)</f>
        <v>32.674900000000001</v>
      </c>
      <c r="K554" s="52">
        <f>CHOOSE(CONTROL!$C$42, 32.7928, 32.7928) * CHOOSE(CONTROL!$C$21, $C$9, 100%, $E$9)</f>
        <v>32.7928</v>
      </c>
      <c r="L554" s="14">
        <f>CHOOSE(CONTROL!$C$42, 33.3539, 33.3539) * CHOOSE(CONTROL!$C$21, $C$9, 100%, $E$9)</f>
        <v>33.353900000000003</v>
      </c>
      <c r="M554" s="14">
        <f>CHOOSE(CONTROL!$C$42, 32.0131, 32.0131) * CHOOSE(CONTROL!$C$21, $C$9, 100%, $E$9)</f>
        <v>32.013100000000001</v>
      </c>
      <c r="N554" s="14">
        <f>CHOOSE(CONTROL!$C$42, 32.0302, 32.0302) * CHOOSE(CONTROL!$C$21, $C$9, 100%, $E$9)</f>
        <v>32.030200000000001</v>
      </c>
      <c r="O554" s="14">
        <f>CHOOSE(CONTROL!$C$42, 32.1032, 32.1032) * CHOOSE(CONTROL!$C$21, $C$9, 100%, $E$9)</f>
        <v>32.103200000000001</v>
      </c>
      <c r="P554" s="14">
        <f>CHOOSE(CONTROL!$C$42, 32.1304, 32.1304) * CHOOSE(CONTROL!$C$21, $C$9, 100%, $E$9)</f>
        <v>32.130400000000002</v>
      </c>
      <c r="Q554" s="14">
        <f>CHOOSE(CONTROL!$C$42, 32.6979, 32.6979) * CHOOSE(CONTROL!$C$21, $C$9, 100%, $E$9)</f>
        <v>32.697899999999997</v>
      </c>
      <c r="R554" s="14">
        <f>CHOOSE(CONTROL!$C$42, 33.3666, 33.3666) * CHOOSE(CONTROL!$C$21, $C$9, 100%, $E$9)</f>
        <v>33.366599999999998</v>
      </c>
      <c r="S554" s="14">
        <f>CHOOSE(CONTROL!$C$42, 31.3736, 31.3736) * CHOOSE(CONTROL!$C$21, $C$9, 100%, $E$9)</f>
        <v>31.3736</v>
      </c>
      <c r="T55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56">
        <f>(1000*CHOOSE(CONTROL!$C$42, 695, 695)*CHOOSE(CONTROL!$C$42, 0.5599, 0.5599)*CHOOSE(CONTROL!$C$42, 28, 28))/1000000</f>
        <v>10.895653999999999</v>
      </c>
      <c r="V554" s="56">
        <f>(1000*CHOOSE(CONTROL!$C$42, 500, 500)*CHOOSE(CONTROL!$C$42, 0.275, 0.275)*CHOOSE(CONTROL!$C$42, 28, 28))/1000000</f>
        <v>3.85</v>
      </c>
      <c r="W554" s="56">
        <f>(1000*CHOOSE(CONTROL!$C$42, 0.1146, 0.1146)*CHOOSE(CONTROL!$C$42, 121.5, 121.5)*CHOOSE(CONTROL!$C$42, 28, 28))/1000000</f>
        <v>0.38986920000000003</v>
      </c>
      <c r="X554" s="56">
        <f>(28*0.1790888*100000/1000000)+(28*0.2374*100000/1000000)</f>
        <v>1.16616864</v>
      </c>
      <c r="Y554" s="56"/>
      <c r="Z554" s="14"/>
      <c r="AA554" s="55"/>
      <c r="AB554" s="49">
        <f>(B554*122.58+C554*297.941+D554*89.177+E554*40.302+F554*40+G554*160+H554*0+I554*100+J554*300)/(122.58+297.941+89.177+40.302+0+40+160+100+300)</f>
        <v>32.693568677130436</v>
      </c>
      <c r="AC554" s="44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32.071798561151084</v>
      </c>
    </row>
    <row r="555" spans="1:29" ht="15.75" x14ac:dyDescent="0.25">
      <c r="A555" s="31">
        <v>57800</v>
      </c>
      <c r="B555" s="14">
        <f>CHOOSE(CONTROL!$C$42, 31.7321, 31.7321) * CHOOSE(CONTROL!$C$21, $C$9, 100%, $E$9)</f>
        <v>31.732099999999999</v>
      </c>
      <c r="C555" s="14">
        <f>CHOOSE(CONTROL!$C$42, 31.7372, 31.7372) * CHOOSE(CONTROL!$C$21, $C$9, 100%, $E$9)</f>
        <v>31.737200000000001</v>
      </c>
      <c r="D555" s="14">
        <f>CHOOSE(CONTROL!$C$42, 31.8166, 31.8166) * CHOOSE(CONTROL!$C$21, $C$9, 100%, $E$9)</f>
        <v>31.816600000000001</v>
      </c>
      <c r="E555" s="14">
        <f>CHOOSE(CONTROL!$C$42, 31.8507, 31.8507) * CHOOSE(CONTROL!$C$21, $C$9, 100%, $E$9)</f>
        <v>31.8507</v>
      </c>
      <c r="F555" s="14">
        <f>CHOOSE(CONTROL!$C$42, 31.7542, 31.7542)*CHOOSE(CONTROL!$C$21, $C$9, 100%, $E$9)</f>
        <v>31.754200000000001</v>
      </c>
      <c r="G555" s="14">
        <f>CHOOSE(CONTROL!$C$42, 31.7714, 31.7714)*CHOOSE(CONTROL!$C$21, $C$9, 100%, $E$9)</f>
        <v>31.7714</v>
      </c>
      <c r="H555" s="14">
        <f>CHOOSE(CONTROL!$C$42, 31.8399, 31.8399) * CHOOSE(CONTROL!$C$21, $C$9, 100%, $E$9)</f>
        <v>31.8399</v>
      </c>
      <c r="I555" s="14">
        <f>CHOOSE(CONTROL!$C$42, 31.8668, 31.8668)* CHOOSE(CONTROL!$C$21, $C$9, 100%, $E$9)</f>
        <v>31.866800000000001</v>
      </c>
      <c r="J555" s="14">
        <f>CHOOSE(CONTROL!$C$42, 31.7472, 31.7472)* CHOOSE(CONTROL!$C$21, $C$9, 100%, $E$9)</f>
        <v>31.747199999999999</v>
      </c>
      <c r="K555" s="52">
        <f>CHOOSE(CONTROL!$C$42, 31.8629, 31.8629) * CHOOSE(CONTROL!$C$21, $C$9, 100%, $E$9)</f>
        <v>31.8629</v>
      </c>
      <c r="L555" s="14">
        <f>CHOOSE(CONTROL!$C$42, 32.4269, 32.4269) * CHOOSE(CONTROL!$C$21, $C$9, 100%, $E$9)</f>
        <v>32.426900000000003</v>
      </c>
      <c r="M555" s="14">
        <f>CHOOSE(CONTROL!$C$42, 31.1044, 31.1044) * CHOOSE(CONTROL!$C$21, $C$9, 100%, $E$9)</f>
        <v>31.104399999999998</v>
      </c>
      <c r="N555" s="14">
        <f>CHOOSE(CONTROL!$C$42, 31.1213, 31.1213) * CHOOSE(CONTROL!$C$21, $C$9, 100%, $E$9)</f>
        <v>31.121300000000002</v>
      </c>
      <c r="O555" s="14">
        <f>CHOOSE(CONTROL!$C$42, 31.1952, 31.1952) * CHOOSE(CONTROL!$C$21, $C$9, 100%, $E$9)</f>
        <v>31.1952</v>
      </c>
      <c r="P555" s="14">
        <f>CHOOSE(CONTROL!$C$42, 31.2196, 31.2196) * CHOOSE(CONTROL!$C$21, $C$9, 100%, $E$9)</f>
        <v>31.2196</v>
      </c>
      <c r="Q555" s="14">
        <f>CHOOSE(CONTROL!$C$42, 31.7899, 31.7899) * CHOOSE(CONTROL!$C$21, $C$9, 100%, $E$9)</f>
        <v>31.789899999999999</v>
      </c>
      <c r="R555" s="14">
        <f>CHOOSE(CONTROL!$C$42, 32.4564, 32.4564) * CHOOSE(CONTROL!$C$21, $C$9, 100%, $E$9)</f>
        <v>32.456400000000002</v>
      </c>
      <c r="S555" s="14">
        <f>CHOOSE(CONTROL!$C$42, 30.4829, 30.4829) * CHOOSE(CONTROL!$C$21, $C$9, 100%, $E$9)</f>
        <v>30.482900000000001</v>
      </c>
      <c r="T55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56">
        <f>(1000*CHOOSE(CONTROL!$C$42, 695, 695)*CHOOSE(CONTROL!$C$42, 0.5599, 0.5599)*CHOOSE(CONTROL!$C$42, 31, 31))/1000000</f>
        <v>12.063045499999998</v>
      </c>
      <c r="V555" s="56">
        <f>(1000*CHOOSE(CONTROL!$C$42, 500, 500)*CHOOSE(CONTROL!$C$42, 0.275, 0.275)*CHOOSE(CONTROL!$C$42, 31, 31))/1000000</f>
        <v>4.2625000000000002</v>
      </c>
      <c r="W555" s="56">
        <f>(1000*CHOOSE(CONTROL!$C$42, 0.1146, 0.1146)*CHOOSE(CONTROL!$C$42, 121.5, 121.5)*CHOOSE(CONTROL!$C$42, 31, 31))/1000000</f>
        <v>0.43164089999999994</v>
      </c>
      <c r="X555" s="56">
        <f>(31*0.1790888*100000/1000000)+(31*0.2374*100000/1000000)</f>
        <v>1.2911152800000001</v>
      </c>
      <c r="Y555" s="56"/>
      <c r="Z555" s="14"/>
      <c r="AA555" s="55"/>
      <c r="AB555" s="49">
        <f>(B555*122.58+C555*297.941+D555*89.177+E555*40.302+F555*40+G555*160+H555*0+I555*100+J555*300)/(122.58+297.941+89.177+40.302+0+40+160+100+300)</f>
        <v>31.766018932869567</v>
      </c>
      <c r="AC555" s="44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31.163102158273382</v>
      </c>
    </row>
    <row r="556" spans="1:29" ht="15.75" x14ac:dyDescent="0.25">
      <c r="A556" s="31">
        <v>57830</v>
      </c>
      <c r="B556" s="14">
        <f>CHOOSE(CONTROL!$C$42, 31.6382, 31.6382) * CHOOSE(CONTROL!$C$21, $C$9, 100%, $E$9)</f>
        <v>31.638200000000001</v>
      </c>
      <c r="C556" s="14">
        <f>CHOOSE(CONTROL!$C$42, 31.6426, 31.6426) * CHOOSE(CONTROL!$C$21, $C$9, 100%, $E$9)</f>
        <v>31.642600000000002</v>
      </c>
      <c r="D556" s="14">
        <f>CHOOSE(CONTROL!$C$42, 31.8716, 31.8716) * CHOOSE(CONTROL!$C$21, $C$9, 100%, $E$9)</f>
        <v>31.871600000000001</v>
      </c>
      <c r="E556" s="14">
        <f>CHOOSE(CONTROL!$C$42, 31.9037, 31.9037) * CHOOSE(CONTROL!$C$21, $C$9, 100%, $E$9)</f>
        <v>31.903700000000001</v>
      </c>
      <c r="F556" s="14">
        <f>CHOOSE(CONTROL!$C$42, 31.6652, 31.6652)*CHOOSE(CONTROL!$C$21, $C$9, 100%, $E$9)</f>
        <v>31.665199999999999</v>
      </c>
      <c r="G556" s="14">
        <f>CHOOSE(CONTROL!$C$42, 31.6819, 31.6819)*CHOOSE(CONTROL!$C$21, $C$9, 100%, $E$9)</f>
        <v>31.681899999999999</v>
      </c>
      <c r="H556" s="14">
        <f>CHOOSE(CONTROL!$C$42, 31.8935, 31.8935) * CHOOSE(CONTROL!$C$21, $C$9, 100%, $E$9)</f>
        <v>31.8935</v>
      </c>
      <c r="I556" s="14">
        <f>CHOOSE(CONTROL!$C$42, 31.7702, 31.7702)* CHOOSE(CONTROL!$C$21, $C$9, 100%, $E$9)</f>
        <v>31.770199999999999</v>
      </c>
      <c r="J556" s="14">
        <f>CHOOSE(CONTROL!$C$42, 31.6582, 31.6582)* CHOOSE(CONTROL!$C$21, $C$9, 100%, $E$9)</f>
        <v>31.658200000000001</v>
      </c>
      <c r="K556" s="52">
        <f>CHOOSE(CONTROL!$C$42, 31.7663, 31.7663) * CHOOSE(CONTROL!$C$21, $C$9, 100%, $E$9)</f>
        <v>31.766300000000001</v>
      </c>
      <c r="L556" s="14">
        <f>CHOOSE(CONTROL!$C$42, 32.4805, 32.4805) * CHOOSE(CONTROL!$C$21, $C$9, 100%, $E$9)</f>
        <v>32.480499999999999</v>
      </c>
      <c r="M556" s="14">
        <f>CHOOSE(CONTROL!$C$42, 31.0172, 31.0172) * CHOOSE(CONTROL!$C$21, $C$9, 100%, $E$9)</f>
        <v>31.017199999999999</v>
      </c>
      <c r="N556" s="14">
        <f>CHOOSE(CONTROL!$C$42, 31.0336, 31.0336) * CHOOSE(CONTROL!$C$21, $C$9, 100%, $E$9)</f>
        <v>31.0336</v>
      </c>
      <c r="O556" s="14">
        <f>CHOOSE(CONTROL!$C$42, 31.2477, 31.2477) * CHOOSE(CONTROL!$C$21, $C$9, 100%, $E$9)</f>
        <v>31.247699999999998</v>
      </c>
      <c r="P556" s="14">
        <f>CHOOSE(CONTROL!$C$42, 31.125, 31.125) * CHOOSE(CONTROL!$C$21, $C$9, 100%, $E$9)</f>
        <v>31.125</v>
      </c>
      <c r="Q556" s="14">
        <f>CHOOSE(CONTROL!$C$42, 31.8424, 31.8424) * CHOOSE(CONTROL!$C$21, $C$9, 100%, $E$9)</f>
        <v>31.842400000000001</v>
      </c>
      <c r="R556" s="14">
        <f>CHOOSE(CONTROL!$C$42, 32.509, 32.509) * CHOOSE(CONTROL!$C$21, $C$9, 100%, $E$9)</f>
        <v>32.509</v>
      </c>
      <c r="S556" s="14">
        <f>CHOOSE(CONTROL!$C$42, 30.3918, 30.3918) * CHOOSE(CONTROL!$C$21, $C$9, 100%, $E$9)</f>
        <v>30.3918</v>
      </c>
      <c r="T55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56">
        <f>(1000*CHOOSE(CONTROL!$C$42, 695, 695)*CHOOSE(CONTROL!$C$42, 0.5599, 0.5599)*CHOOSE(CONTROL!$C$42, 30, 30))/1000000</f>
        <v>11.673914999999997</v>
      </c>
      <c r="V556" s="56">
        <f>(1000*CHOOSE(CONTROL!$C$42, 500, 500)*CHOOSE(CONTROL!$C$42, 0.275, 0.275)*CHOOSE(CONTROL!$C$42, 30, 30))/1000000</f>
        <v>4.125</v>
      </c>
      <c r="W556" s="56">
        <f>(1000*CHOOSE(CONTROL!$C$42, 0.1146, 0.1146)*CHOOSE(CONTROL!$C$42, 121.5, 121.5)*CHOOSE(CONTROL!$C$42, 30, 30))/1000000</f>
        <v>0.417717</v>
      </c>
      <c r="X556" s="56">
        <f>(30*0.1790888*245000/1000000)+(30*0.2374*100000/1000000)</f>
        <v>2.0285026799999999</v>
      </c>
      <c r="Y556" s="56"/>
      <c r="Z556" s="14"/>
      <c r="AA556" s="55"/>
      <c r="AB556" s="49">
        <f>(B556*141.293+C556*267.993+D556*115.016+E556*89.698+F556*40+G556*185+H556*0+I556*100+J556*300)/(141.293+267.993+115.016+89.698+0+40+185+100+300)</f>
        <v>31.702932221630348</v>
      </c>
      <c r="AC556" s="44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31.101158992805757</v>
      </c>
    </row>
    <row r="557" spans="1:29" ht="15.75" x14ac:dyDescent="0.25">
      <c r="A557" s="31">
        <v>57861</v>
      </c>
      <c r="B557" s="14">
        <f>CHOOSE(CONTROL!$C$42, 31.9187, 31.9187) * CHOOSE(CONTROL!$C$21, $C$9, 100%, $E$9)</f>
        <v>31.918700000000001</v>
      </c>
      <c r="C557" s="14">
        <f>CHOOSE(CONTROL!$C$42, 31.9267, 31.9267) * CHOOSE(CONTROL!$C$21, $C$9, 100%, $E$9)</f>
        <v>31.9267</v>
      </c>
      <c r="D557" s="14">
        <f>CHOOSE(CONTROL!$C$42, 32.1525, 32.1525) * CHOOSE(CONTROL!$C$21, $C$9, 100%, $E$9)</f>
        <v>32.152500000000003</v>
      </c>
      <c r="E557" s="14">
        <f>CHOOSE(CONTROL!$C$42, 32.184, 32.184) * CHOOSE(CONTROL!$C$21, $C$9, 100%, $E$9)</f>
        <v>32.183999999999997</v>
      </c>
      <c r="F557" s="14">
        <f>CHOOSE(CONTROL!$C$42, 31.9444, 31.9444)*CHOOSE(CONTROL!$C$21, $C$9, 100%, $E$9)</f>
        <v>31.944400000000002</v>
      </c>
      <c r="G557" s="14">
        <f>CHOOSE(CONTROL!$C$42, 31.9613, 31.9613)*CHOOSE(CONTROL!$C$21, $C$9, 100%, $E$9)</f>
        <v>31.961300000000001</v>
      </c>
      <c r="H557" s="14">
        <f>CHOOSE(CONTROL!$C$42, 32.1726, 32.1726) * CHOOSE(CONTROL!$C$21, $C$9, 100%, $E$9)</f>
        <v>32.172600000000003</v>
      </c>
      <c r="I557" s="14">
        <f>CHOOSE(CONTROL!$C$42, 32.0502, 32.0502)* CHOOSE(CONTROL!$C$21, $C$9, 100%, $E$9)</f>
        <v>32.050199999999997</v>
      </c>
      <c r="J557" s="14">
        <f>CHOOSE(CONTROL!$C$42, 31.9374, 31.9374)* CHOOSE(CONTROL!$C$21, $C$9, 100%, $E$9)</f>
        <v>31.9374</v>
      </c>
      <c r="K557" s="52">
        <f>CHOOSE(CONTROL!$C$42, 32.0463, 32.0463) * CHOOSE(CONTROL!$C$21, $C$9, 100%, $E$9)</f>
        <v>32.046300000000002</v>
      </c>
      <c r="L557" s="14">
        <f>CHOOSE(CONTROL!$C$42, 32.7596, 32.7596) * CHOOSE(CONTROL!$C$21, $C$9, 100%, $E$9)</f>
        <v>32.759599999999999</v>
      </c>
      <c r="M557" s="14">
        <f>CHOOSE(CONTROL!$C$42, 31.2907, 31.2907) * CHOOSE(CONTROL!$C$21, $C$9, 100%, $E$9)</f>
        <v>31.290700000000001</v>
      </c>
      <c r="N557" s="14">
        <f>CHOOSE(CONTROL!$C$42, 31.3073, 31.3073) * CHOOSE(CONTROL!$C$21, $C$9, 100%, $E$9)</f>
        <v>31.307300000000001</v>
      </c>
      <c r="O557" s="14">
        <f>CHOOSE(CONTROL!$C$42, 31.5211, 31.5211) * CHOOSE(CONTROL!$C$21, $C$9, 100%, $E$9)</f>
        <v>31.521100000000001</v>
      </c>
      <c r="P557" s="14">
        <f>CHOOSE(CONTROL!$C$42, 31.3993, 31.3993) * CHOOSE(CONTROL!$C$21, $C$9, 100%, $E$9)</f>
        <v>31.3993</v>
      </c>
      <c r="Q557" s="14">
        <f>CHOOSE(CONTROL!$C$42, 32.1158, 32.1158) * CHOOSE(CONTROL!$C$21, $C$9, 100%, $E$9)</f>
        <v>32.1158</v>
      </c>
      <c r="R557" s="14">
        <f>CHOOSE(CONTROL!$C$42, 32.7831, 32.7831) * CHOOSE(CONTROL!$C$21, $C$9, 100%, $E$9)</f>
        <v>32.783099999999997</v>
      </c>
      <c r="S557" s="14">
        <f>CHOOSE(CONTROL!$C$42, 30.66, 30.66) * CHOOSE(CONTROL!$C$21, $C$9, 100%, $E$9)</f>
        <v>30.66</v>
      </c>
      <c r="T55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56">
        <f>(1000*CHOOSE(CONTROL!$C$42, 695, 695)*CHOOSE(CONTROL!$C$42, 0.5599, 0.5599)*CHOOSE(CONTROL!$C$42, 31, 31))/1000000</f>
        <v>12.063045499999998</v>
      </c>
      <c r="V557" s="56">
        <f>(1000*CHOOSE(CONTROL!$C$42, 500, 500)*CHOOSE(CONTROL!$C$42, 0.275, 0.275)*CHOOSE(CONTROL!$C$42, 31, 31))/1000000</f>
        <v>4.2625000000000002</v>
      </c>
      <c r="W557" s="56">
        <f>(1000*CHOOSE(CONTROL!$C$42, 0.1146, 0.1146)*CHOOSE(CONTROL!$C$42, 121.5, 121.5)*CHOOSE(CONTROL!$C$42, 31, 31))/1000000</f>
        <v>0.43164089999999994</v>
      </c>
      <c r="X557" s="56">
        <f>(31*0.1790888*245000/1000000)+(31*0.2374*100000/1000000)</f>
        <v>2.0961194359999999</v>
      </c>
      <c r="Y557" s="56"/>
      <c r="Z557" s="14"/>
      <c r="AA557" s="55"/>
      <c r="AB557" s="49">
        <f>(B557*194.205+C557*267.466+D557*133.845+E557*53.484+F557*40+G557*185+H557*0+I557*100+J557*300)/(194.205+267.466+133.845+53.484+0+40+185+100+300)</f>
        <v>31.977798111616956</v>
      </c>
      <c r="AC557" s="44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31.374792086330938</v>
      </c>
    </row>
    <row r="558" spans="1:29" ht="15.75" x14ac:dyDescent="0.25">
      <c r="A558" s="31">
        <v>57891</v>
      </c>
      <c r="B558" s="14">
        <f>CHOOSE(CONTROL!$C$42, 32.8238, 32.8238) * CHOOSE(CONTROL!$C$21, $C$9, 100%, $E$9)</f>
        <v>32.823799999999999</v>
      </c>
      <c r="C558" s="14">
        <f>CHOOSE(CONTROL!$C$42, 32.8318, 32.8318) * CHOOSE(CONTROL!$C$21, $C$9, 100%, $E$9)</f>
        <v>32.831800000000001</v>
      </c>
      <c r="D558" s="14">
        <f>CHOOSE(CONTROL!$C$42, 33.0576, 33.0576) * CHOOSE(CONTROL!$C$21, $C$9, 100%, $E$9)</f>
        <v>33.057600000000001</v>
      </c>
      <c r="E558" s="14">
        <f>CHOOSE(CONTROL!$C$42, 33.0891, 33.0891) * CHOOSE(CONTROL!$C$21, $C$9, 100%, $E$9)</f>
        <v>33.089100000000002</v>
      </c>
      <c r="F558" s="14">
        <f>CHOOSE(CONTROL!$C$42, 32.8499, 32.8499)*CHOOSE(CONTROL!$C$21, $C$9, 100%, $E$9)</f>
        <v>32.849899999999998</v>
      </c>
      <c r="G558" s="14">
        <f>CHOOSE(CONTROL!$C$42, 32.867, 32.867)*CHOOSE(CONTROL!$C$21, $C$9, 100%, $E$9)</f>
        <v>32.866999999999997</v>
      </c>
      <c r="H558" s="14">
        <f>CHOOSE(CONTROL!$C$42, 33.0777, 33.0777) * CHOOSE(CONTROL!$C$21, $C$9, 100%, $E$9)</f>
        <v>33.0777</v>
      </c>
      <c r="I558" s="14">
        <f>CHOOSE(CONTROL!$C$42, 32.9581, 32.9581)* CHOOSE(CONTROL!$C$21, $C$9, 100%, $E$9)</f>
        <v>32.958100000000002</v>
      </c>
      <c r="J558" s="14">
        <f>CHOOSE(CONTROL!$C$42, 32.8429, 32.8429)* CHOOSE(CONTROL!$C$21, $C$9, 100%, $E$9)</f>
        <v>32.8429</v>
      </c>
      <c r="K558" s="52">
        <f>CHOOSE(CONTROL!$C$42, 32.9542, 32.9542) * CHOOSE(CONTROL!$C$21, $C$9, 100%, $E$9)</f>
        <v>32.9542</v>
      </c>
      <c r="L558" s="14">
        <f>CHOOSE(CONTROL!$C$42, 33.6647, 33.6647) * CHOOSE(CONTROL!$C$21, $C$9, 100%, $E$9)</f>
        <v>33.664700000000003</v>
      </c>
      <c r="M558" s="14">
        <f>CHOOSE(CONTROL!$C$42, 32.1777, 32.1777) * CHOOSE(CONTROL!$C$21, $C$9, 100%, $E$9)</f>
        <v>32.177700000000002</v>
      </c>
      <c r="N558" s="14">
        <f>CHOOSE(CONTROL!$C$42, 32.1944, 32.1944) * CHOOSE(CONTROL!$C$21, $C$9, 100%, $E$9)</f>
        <v>32.194400000000002</v>
      </c>
      <c r="O558" s="14">
        <f>CHOOSE(CONTROL!$C$42, 32.4076, 32.4076) * CHOOSE(CONTROL!$C$21, $C$9, 100%, $E$9)</f>
        <v>32.407600000000002</v>
      </c>
      <c r="P558" s="14">
        <f>CHOOSE(CONTROL!$C$42, 32.2885, 32.2885) * CHOOSE(CONTROL!$C$21, $C$9, 100%, $E$9)</f>
        <v>32.288499999999999</v>
      </c>
      <c r="Q558" s="14">
        <f>CHOOSE(CONTROL!$C$42, 33.0023, 33.0023) * CHOOSE(CONTROL!$C$21, $C$9, 100%, $E$9)</f>
        <v>33.002299999999998</v>
      </c>
      <c r="R558" s="14">
        <f>CHOOSE(CONTROL!$C$42, 33.6719, 33.6719) * CHOOSE(CONTROL!$C$21, $C$9, 100%, $E$9)</f>
        <v>33.671900000000001</v>
      </c>
      <c r="S558" s="14">
        <f>CHOOSE(CONTROL!$C$42, 31.5297, 31.5297) * CHOOSE(CONTROL!$C$21, $C$9, 100%, $E$9)</f>
        <v>31.529699999999998</v>
      </c>
      <c r="T55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56">
        <f>(1000*CHOOSE(CONTROL!$C$42, 695, 695)*CHOOSE(CONTROL!$C$42, 0.5599, 0.5599)*CHOOSE(CONTROL!$C$42, 30, 30))/1000000</f>
        <v>11.673914999999997</v>
      </c>
      <c r="V558" s="56">
        <f>(1000*CHOOSE(CONTROL!$C$42, 500, 500)*CHOOSE(CONTROL!$C$42, 0.275, 0.275)*CHOOSE(CONTROL!$C$42, 30, 30))/1000000</f>
        <v>4.125</v>
      </c>
      <c r="W558" s="56">
        <f>(1000*CHOOSE(CONTROL!$C$42, 0.1146, 0.1146)*CHOOSE(CONTROL!$C$42, 121.5, 121.5)*CHOOSE(CONTROL!$C$42, 30, 30))/1000000</f>
        <v>0.417717</v>
      </c>
      <c r="X558" s="56">
        <f>(30*0.1790888*245000/1000000)+(30*0.2374*100000/1000000)</f>
        <v>2.0285026799999999</v>
      </c>
      <c r="Y558" s="56"/>
      <c r="Z558" s="14"/>
      <c r="AA558" s="55"/>
      <c r="AB558" s="49">
        <f>(B558*194.205+C558*267.466+D558*133.845+E558*53.484+F558*40+G558*185+H558*0+I558*100+J558*300)/(194.205+267.466+133.845+53.484+0+40+185+100+300)</f>
        <v>32.88331176938776</v>
      </c>
      <c r="AC558" s="44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32.261991366906472</v>
      </c>
    </row>
    <row r="559" spans="1:29" ht="15.75" x14ac:dyDescent="0.25">
      <c r="A559" s="31">
        <v>57922</v>
      </c>
      <c r="B559" s="14">
        <f>CHOOSE(CONTROL!$C$42, 32.1943, 32.1943) * CHOOSE(CONTROL!$C$21, $C$9, 100%, $E$9)</f>
        <v>32.194299999999998</v>
      </c>
      <c r="C559" s="14">
        <f>CHOOSE(CONTROL!$C$42, 32.2023, 32.2023) * CHOOSE(CONTROL!$C$21, $C$9, 100%, $E$9)</f>
        <v>32.202300000000001</v>
      </c>
      <c r="D559" s="14">
        <f>CHOOSE(CONTROL!$C$42, 32.4281, 32.4281) * CHOOSE(CONTROL!$C$21, $C$9, 100%, $E$9)</f>
        <v>32.428100000000001</v>
      </c>
      <c r="E559" s="14">
        <f>CHOOSE(CONTROL!$C$42, 32.4596, 32.4596) * CHOOSE(CONTROL!$C$21, $C$9, 100%, $E$9)</f>
        <v>32.459600000000002</v>
      </c>
      <c r="F559" s="14">
        <f>CHOOSE(CONTROL!$C$42, 32.2209, 32.2209)*CHOOSE(CONTROL!$C$21, $C$9, 100%, $E$9)</f>
        <v>32.2209</v>
      </c>
      <c r="G559" s="14">
        <f>CHOOSE(CONTROL!$C$42, 32.2381, 32.2381)*CHOOSE(CONTROL!$C$21, $C$9, 100%, $E$9)</f>
        <v>32.238100000000003</v>
      </c>
      <c r="H559" s="14">
        <f>CHOOSE(CONTROL!$C$42, 32.4482, 32.4482) * CHOOSE(CONTROL!$C$21, $C$9, 100%, $E$9)</f>
        <v>32.4482</v>
      </c>
      <c r="I559" s="14">
        <f>CHOOSE(CONTROL!$C$42, 32.3267, 32.3267)* CHOOSE(CONTROL!$C$21, $C$9, 100%, $E$9)</f>
        <v>32.326700000000002</v>
      </c>
      <c r="J559" s="14">
        <f>CHOOSE(CONTROL!$C$42, 32.2139, 32.2139)* CHOOSE(CONTROL!$C$21, $C$9, 100%, $E$9)</f>
        <v>32.213900000000002</v>
      </c>
      <c r="K559" s="52">
        <f>CHOOSE(CONTROL!$C$42, 32.3228, 32.3228) * CHOOSE(CONTROL!$C$21, $C$9, 100%, $E$9)</f>
        <v>32.322800000000001</v>
      </c>
      <c r="L559" s="14">
        <f>CHOOSE(CONTROL!$C$42, 33.0352, 33.0352) * CHOOSE(CONTROL!$C$21, $C$9, 100%, $E$9)</f>
        <v>33.035200000000003</v>
      </c>
      <c r="M559" s="14">
        <f>CHOOSE(CONTROL!$C$42, 31.5615, 31.5615) * CHOOSE(CONTROL!$C$21, $C$9, 100%, $E$9)</f>
        <v>31.561499999999999</v>
      </c>
      <c r="N559" s="14">
        <f>CHOOSE(CONTROL!$C$42, 31.5784, 31.5784) * CHOOSE(CONTROL!$C$21, $C$9, 100%, $E$9)</f>
        <v>31.578399999999998</v>
      </c>
      <c r="O559" s="14">
        <f>CHOOSE(CONTROL!$C$42, 31.7911, 31.7911) * CHOOSE(CONTROL!$C$21, $C$9, 100%, $E$9)</f>
        <v>31.7911</v>
      </c>
      <c r="P559" s="14">
        <f>CHOOSE(CONTROL!$C$42, 31.6701, 31.6701) * CHOOSE(CONTROL!$C$21, $C$9, 100%, $E$9)</f>
        <v>31.670100000000001</v>
      </c>
      <c r="Q559" s="14">
        <f>CHOOSE(CONTROL!$C$42, 32.3858, 32.3858) * CHOOSE(CONTROL!$C$21, $C$9, 100%, $E$9)</f>
        <v>32.385800000000003</v>
      </c>
      <c r="R559" s="14">
        <f>CHOOSE(CONTROL!$C$42, 33.0537, 33.0537) * CHOOSE(CONTROL!$C$21, $C$9, 100%, $E$9)</f>
        <v>33.053699999999999</v>
      </c>
      <c r="S559" s="14">
        <f>CHOOSE(CONTROL!$C$42, 30.9249, 30.9249) * CHOOSE(CONTROL!$C$21, $C$9, 100%, $E$9)</f>
        <v>30.924900000000001</v>
      </c>
      <c r="T55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56">
        <f>(1000*CHOOSE(CONTROL!$C$42, 695, 695)*CHOOSE(CONTROL!$C$42, 0.5599, 0.5599)*CHOOSE(CONTROL!$C$42, 31, 31))/1000000</f>
        <v>12.063045499999998</v>
      </c>
      <c r="V559" s="56">
        <f>(1000*CHOOSE(CONTROL!$C$42, 500, 500)*CHOOSE(CONTROL!$C$42, 0.275, 0.275)*CHOOSE(CONTROL!$C$42, 31, 31))/1000000</f>
        <v>4.2625000000000002</v>
      </c>
      <c r="W559" s="56">
        <f>(1000*CHOOSE(CONTROL!$C$42, 0.1146, 0.1146)*CHOOSE(CONTROL!$C$42, 121.5, 121.5)*CHOOSE(CONTROL!$C$42, 31, 31))/1000000</f>
        <v>0.43164089999999994</v>
      </c>
      <c r="X559" s="56">
        <f>(31*0.1790888*245000/1000000)+(31*0.2374*100000/1000000)</f>
        <v>2.0961194359999999</v>
      </c>
      <c r="Y559" s="56"/>
      <c r="Z559" s="14"/>
      <c r="AA559" s="55"/>
      <c r="AB559" s="49">
        <f>(B559*194.205+C559*267.466+D559*133.845+E559*53.484+F559*40+G559*185+H559*0+I559*100+J559*300)/(194.205+267.466+133.845+53.484+0+40+185+100+300)</f>
        <v>32.253883197959183</v>
      </c>
      <c r="AC559" s="44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31.645436690647486</v>
      </c>
    </row>
    <row r="560" spans="1:29" ht="15.75" x14ac:dyDescent="0.25">
      <c r="A560" s="31">
        <v>57953</v>
      </c>
      <c r="B560" s="14">
        <f>CHOOSE(CONTROL!$C$42, 30.6046, 30.6046) * CHOOSE(CONTROL!$C$21, $C$9, 100%, $E$9)</f>
        <v>30.604600000000001</v>
      </c>
      <c r="C560" s="14">
        <f>CHOOSE(CONTROL!$C$42, 30.6127, 30.6127) * CHOOSE(CONTROL!$C$21, $C$9, 100%, $E$9)</f>
        <v>30.6127</v>
      </c>
      <c r="D560" s="14">
        <f>CHOOSE(CONTROL!$C$42, 30.8385, 30.8385) * CHOOSE(CONTROL!$C$21, $C$9, 100%, $E$9)</f>
        <v>30.8385</v>
      </c>
      <c r="E560" s="14">
        <f>CHOOSE(CONTROL!$C$42, 30.8699, 30.8699) * CHOOSE(CONTROL!$C$21, $C$9, 100%, $E$9)</f>
        <v>30.869900000000001</v>
      </c>
      <c r="F560" s="14">
        <f>CHOOSE(CONTROL!$C$42, 30.6315, 30.6315)*CHOOSE(CONTROL!$C$21, $C$9, 100%, $E$9)</f>
        <v>30.631499999999999</v>
      </c>
      <c r="G560" s="14">
        <f>CHOOSE(CONTROL!$C$42, 30.6487, 30.6487)*CHOOSE(CONTROL!$C$21, $C$9, 100%, $E$9)</f>
        <v>30.648700000000002</v>
      </c>
      <c r="H560" s="14">
        <f>CHOOSE(CONTROL!$C$42, 30.8586, 30.8586) * CHOOSE(CONTROL!$C$21, $C$9, 100%, $E$9)</f>
        <v>30.858599999999999</v>
      </c>
      <c r="I560" s="14">
        <f>CHOOSE(CONTROL!$C$42, 30.732, 30.732)* CHOOSE(CONTROL!$C$21, $C$9, 100%, $E$9)</f>
        <v>30.731999999999999</v>
      </c>
      <c r="J560" s="14">
        <f>CHOOSE(CONTROL!$C$42, 30.6245, 30.6245)* CHOOSE(CONTROL!$C$21, $C$9, 100%, $E$9)</f>
        <v>30.624500000000001</v>
      </c>
      <c r="K560" s="52">
        <f>CHOOSE(CONTROL!$C$42, 30.7281, 30.7281) * CHOOSE(CONTROL!$C$21, $C$9, 100%, $E$9)</f>
        <v>30.728100000000001</v>
      </c>
      <c r="L560" s="14">
        <f>CHOOSE(CONTROL!$C$42, 31.4456, 31.4456) * CHOOSE(CONTROL!$C$21, $C$9, 100%, $E$9)</f>
        <v>31.445599999999999</v>
      </c>
      <c r="M560" s="14">
        <f>CHOOSE(CONTROL!$C$42, 30.0047, 30.0047) * CHOOSE(CONTROL!$C$21, $C$9, 100%, $E$9)</f>
        <v>30.0047</v>
      </c>
      <c r="N560" s="14">
        <f>CHOOSE(CONTROL!$C$42, 30.0216, 30.0216) * CHOOSE(CONTROL!$C$21, $C$9, 100%, $E$9)</f>
        <v>30.021599999999999</v>
      </c>
      <c r="O560" s="14">
        <f>CHOOSE(CONTROL!$C$42, 30.234, 30.234) * CHOOSE(CONTROL!$C$21, $C$9, 100%, $E$9)</f>
        <v>30.234000000000002</v>
      </c>
      <c r="P560" s="14">
        <f>CHOOSE(CONTROL!$C$42, 30.1082, 30.1082) * CHOOSE(CONTROL!$C$21, $C$9, 100%, $E$9)</f>
        <v>30.1082</v>
      </c>
      <c r="Q560" s="14">
        <f>CHOOSE(CONTROL!$C$42, 30.8287, 30.8287) * CHOOSE(CONTROL!$C$21, $C$9, 100%, $E$9)</f>
        <v>30.828700000000001</v>
      </c>
      <c r="R560" s="14">
        <f>CHOOSE(CONTROL!$C$42, 31.4927, 31.4927) * CHOOSE(CONTROL!$C$21, $C$9, 100%, $E$9)</f>
        <v>31.492699999999999</v>
      </c>
      <c r="S560" s="14">
        <f>CHOOSE(CONTROL!$C$42, 29.3974, 29.3974) * CHOOSE(CONTROL!$C$21, $C$9, 100%, $E$9)</f>
        <v>29.397400000000001</v>
      </c>
      <c r="T56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56">
        <f>(1000*CHOOSE(CONTROL!$C$42, 695, 695)*CHOOSE(CONTROL!$C$42, 0.5599, 0.5599)*CHOOSE(CONTROL!$C$42, 31, 31))/1000000</f>
        <v>12.063045499999998</v>
      </c>
      <c r="V560" s="56">
        <f>(1000*CHOOSE(CONTROL!$C$42, 500, 500)*CHOOSE(CONTROL!$C$42, 0.275, 0.275)*CHOOSE(CONTROL!$C$42, 31, 31))/1000000</f>
        <v>4.2625000000000002</v>
      </c>
      <c r="W560" s="56">
        <f>(1000*CHOOSE(CONTROL!$C$42, 0.1146, 0.1146)*CHOOSE(CONTROL!$C$42, 121.5, 121.5)*CHOOSE(CONTROL!$C$42, 31, 31))/1000000</f>
        <v>0.43164089999999994</v>
      </c>
      <c r="X560" s="56">
        <f>(31*0.1790888*245000/1000000)+(31*0.2374*100000/1000000)</f>
        <v>2.0961194359999999</v>
      </c>
      <c r="Y560" s="56"/>
      <c r="Z560" s="14"/>
      <c r="AA560" s="55"/>
      <c r="AB560" s="49">
        <f>(B560*194.205+C560*267.466+D560*133.845+E560*53.484+F560*40+G560*185+H560*0+I560*100+J560*300)/(194.205+267.466+133.845+53.484+0+40+185+100+300)</f>
        <v>30.663945859733126</v>
      </c>
      <c r="AC560" s="44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30.087818705035971</v>
      </c>
    </row>
    <row r="561" spans="1:29" ht="15.75" x14ac:dyDescent="0.25">
      <c r="A561" s="31">
        <v>57983</v>
      </c>
      <c r="B561" s="14">
        <f>CHOOSE(CONTROL!$C$42, 28.6621, 28.6621) * CHOOSE(CONTROL!$C$21, $C$9, 100%, $E$9)</f>
        <v>28.662099999999999</v>
      </c>
      <c r="C561" s="14">
        <f>CHOOSE(CONTROL!$C$42, 28.6702, 28.6702) * CHOOSE(CONTROL!$C$21, $C$9, 100%, $E$9)</f>
        <v>28.670200000000001</v>
      </c>
      <c r="D561" s="14">
        <f>CHOOSE(CONTROL!$C$42, 28.896, 28.896) * CHOOSE(CONTROL!$C$21, $C$9, 100%, $E$9)</f>
        <v>28.896000000000001</v>
      </c>
      <c r="E561" s="14">
        <f>CHOOSE(CONTROL!$C$42, 28.9274, 28.9274) * CHOOSE(CONTROL!$C$21, $C$9, 100%, $E$9)</f>
        <v>28.927399999999999</v>
      </c>
      <c r="F561" s="14">
        <f>CHOOSE(CONTROL!$C$42, 28.689, 28.689)*CHOOSE(CONTROL!$C$21, $C$9, 100%, $E$9)</f>
        <v>28.689</v>
      </c>
      <c r="G561" s="14">
        <f>CHOOSE(CONTROL!$C$42, 28.7062, 28.7062)*CHOOSE(CONTROL!$C$21, $C$9, 100%, $E$9)</f>
        <v>28.706199999999999</v>
      </c>
      <c r="H561" s="14">
        <f>CHOOSE(CONTROL!$C$42, 28.9161, 28.9161) * CHOOSE(CONTROL!$C$21, $C$9, 100%, $E$9)</f>
        <v>28.9161</v>
      </c>
      <c r="I561" s="14">
        <f>CHOOSE(CONTROL!$C$42, 28.7835, 28.7835)* CHOOSE(CONTROL!$C$21, $C$9, 100%, $E$9)</f>
        <v>28.7835</v>
      </c>
      <c r="J561" s="14">
        <f>CHOOSE(CONTROL!$C$42, 28.682, 28.682)* CHOOSE(CONTROL!$C$21, $C$9, 100%, $E$9)</f>
        <v>28.681999999999999</v>
      </c>
      <c r="K561" s="52">
        <f>CHOOSE(CONTROL!$C$42, 28.7796, 28.7796) * CHOOSE(CONTROL!$C$21, $C$9, 100%, $E$9)</f>
        <v>28.779599999999999</v>
      </c>
      <c r="L561" s="14">
        <f>CHOOSE(CONTROL!$C$42, 29.5031, 29.5031) * CHOOSE(CONTROL!$C$21, $C$9, 100%, $E$9)</f>
        <v>29.5031</v>
      </c>
      <c r="M561" s="14">
        <f>CHOOSE(CONTROL!$C$42, 28.102, 28.102) * CHOOSE(CONTROL!$C$21, $C$9, 100%, $E$9)</f>
        <v>28.102</v>
      </c>
      <c r="N561" s="14">
        <f>CHOOSE(CONTROL!$C$42, 28.1189, 28.1189) * CHOOSE(CONTROL!$C$21, $C$9, 100%, $E$9)</f>
        <v>28.1189</v>
      </c>
      <c r="O561" s="14">
        <f>CHOOSE(CONTROL!$C$42, 28.3313, 28.3313) * CHOOSE(CONTROL!$C$21, $C$9, 100%, $E$9)</f>
        <v>28.331299999999999</v>
      </c>
      <c r="P561" s="14">
        <f>CHOOSE(CONTROL!$C$42, 28.1997, 28.1997) * CHOOSE(CONTROL!$C$21, $C$9, 100%, $E$9)</f>
        <v>28.1997</v>
      </c>
      <c r="Q561" s="14">
        <f>CHOOSE(CONTROL!$C$42, 28.926, 28.926) * CHOOSE(CONTROL!$C$21, $C$9, 100%, $E$9)</f>
        <v>28.925999999999998</v>
      </c>
      <c r="R561" s="14">
        <f>CHOOSE(CONTROL!$C$42, 29.5853, 29.5853) * CHOOSE(CONTROL!$C$21, $C$9, 100%, $E$9)</f>
        <v>29.5853</v>
      </c>
      <c r="S561" s="14">
        <f>CHOOSE(CONTROL!$C$42, 27.5308, 27.5308) * CHOOSE(CONTROL!$C$21, $C$9, 100%, $E$9)</f>
        <v>27.530799999999999</v>
      </c>
      <c r="T56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56">
        <f>(1000*CHOOSE(CONTROL!$C$42, 695, 695)*CHOOSE(CONTROL!$C$42, 0.5599, 0.5599)*CHOOSE(CONTROL!$C$42, 30, 30))/1000000</f>
        <v>11.673914999999997</v>
      </c>
      <c r="V561" s="56">
        <f>(1000*CHOOSE(CONTROL!$C$42, 500, 500)*CHOOSE(CONTROL!$C$42, 0.275, 0.275)*CHOOSE(CONTROL!$C$42, 30, 30))/1000000</f>
        <v>4.125</v>
      </c>
      <c r="W561" s="56">
        <f>(1000*CHOOSE(CONTROL!$C$42, 0.1146, 0.1146)*CHOOSE(CONTROL!$C$42, 121.5, 121.5)*CHOOSE(CONTROL!$C$42, 30, 30))/1000000</f>
        <v>0.417717</v>
      </c>
      <c r="X561" s="56">
        <f>(30*0.1790888*245000/1000000)+(30*0.2374*100000/1000000)</f>
        <v>2.0285026799999999</v>
      </c>
      <c r="Y561" s="56"/>
      <c r="Z561" s="14"/>
      <c r="AA561" s="55"/>
      <c r="AB561" s="49">
        <f>(B561*194.205+C561*267.466+D561*133.845+E561*53.484+F561*40+G561*185+H561*0+I561*100+J561*300)/(194.205+267.466+133.845+53.484+0+40+185+100+300)</f>
        <v>28.720974902119309</v>
      </c>
      <c r="AC561" s="44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28.184284172661876</v>
      </c>
    </row>
    <row r="562" spans="1:29" ht="15.75" x14ac:dyDescent="0.25">
      <c r="A562" s="31">
        <v>58014</v>
      </c>
      <c r="B562" s="14">
        <f>CHOOSE(CONTROL!$C$42, 28.0787, 28.0787) * CHOOSE(CONTROL!$C$21, $C$9, 100%, $E$9)</f>
        <v>28.078700000000001</v>
      </c>
      <c r="C562" s="14">
        <f>CHOOSE(CONTROL!$C$42, 28.084, 28.084) * CHOOSE(CONTROL!$C$21, $C$9, 100%, $E$9)</f>
        <v>28.084</v>
      </c>
      <c r="D562" s="14">
        <f>CHOOSE(CONTROL!$C$42, 28.3147, 28.3147) * CHOOSE(CONTROL!$C$21, $C$9, 100%, $E$9)</f>
        <v>28.314699999999998</v>
      </c>
      <c r="E562" s="14">
        <f>CHOOSE(CONTROL!$C$42, 28.3439, 28.3439) * CHOOSE(CONTROL!$C$21, $C$9, 100%, $E$9)</f>
        <v>28.343900000000001</v>
      </c>
      <c r="F562" s="14">
        <f>CHOOSE(CONTROL!$C$42, 28.1075, 28.1075)*CHOOSE(CONTROL!$C$21, $C$9, 100%, $E$9)</f>
        <v>28.107500000000002</v>
      </c>
      <c r="G562" s="14">
        <f>CHOOSE(CONTROL!$C$42, 28.1246, 28.1246)*CHOOSE(CONTROL!$C$21, $C$9, 100%, $E$9)</f>
        <v>28.124600000000001</v>
      </c>
      <c r="H562" s="14">
        <f>CHOOSE(CONTROL!$C$42, 28.3343, 28.3343) * CHOOSE(CONTROL!$C$21, $C$9, 100%, $E$9)</f>
        <v>28.334299999999999</v>
      </c>
      <c r="I562" s="14">
        <f>CHOOSE(CONTROL!$C$42, 28.1999, 28.1999)* CHOOSE(CONTROL!$C$21, $C$9, 100%, $E$9)</f>
        <v>28.1999</v>
      </c>
      <c r="J562" s="14">
        <f>CHOOSE(CONTROL!$C$42, 28.1005, 28.1005)* CHOOSE(CONTROL!$C$21, $C$9, 100%, $E$9)</f>
        <v>28.1005</v>
      </c>
      <c r="K562" s="52">
        <f>CHOOSE(CONTROL!$C$42, 28.196, 28.196) * CHOOSE(CONTROL!$C$21, $C$9, 100%, $E$9)</f>
        <v>28.196000000000002</v>
      </c>
      <c r="L562" s="14">
        <f>CHOOSE(CONTROL!$C$42, 28.9213, 28.9213) * CHOOSE(CONTROL!$C$21, $C$9, 100%, $E$9)</f>
        <v>28.921299999999999</v>
      </c>
      <c r="M562" s="14">
        <f>CHOOSE(CONTROL!$C$42, 27.5325, 27.5325) * CHOOSE(CONTROL!$C$21, $C$9, 100%, $E$9)</f>
        <v>27.532499999999999</v>
      </c>
      <c r="N562" s="14">
        <f>CHOOSE(CONTROL!$C$42, 27.5492, 27.5492) * CHOOSE(CONTROL!$C$21, $C$9, 100%, $E$9)</f>
        <v>27.549199999999999</v>
      </c>
      <c r="O562" s="14">
        <f>CHOOSE(CONTROL!$C$42, 27.7615, 27.7615) * CHOOSE(CONTROL!$C$21, $C$9, 100%, $E$9)</f>
        <v>27.761500000000002</v>
      </c>
      <c r="P562" s="14">
        <f>CHOOSE(CONTROL!$C$42, 27.6281, 27.6281) * CHOOSE(CONTROL!$C$21, $C$9, 100%, $E$9)</f>
        <v>27.6281</v>
      </c>
      <c r="Q562" s="14">
        <f>CHOOSE(CONTROL!$C$42, 28.3562, 28.3562) * CHOOSE(CONTROL!$C$21, $C$9, 100%, $E$9)</f>
        <v>28.356200000000001</v>
      </c>
      <c r="R562" s="14">
        <f>CHOOSE(CONTROL!$C$42, 29.0141, 29.0141) * CHOOSE(CONTROL!$C$21, $C$9, 100%, $E$9)</f>
        <v>29.014099999999999</v>
      </c>
      <c r="S562" s="14">
        <f>CHOOSE(CONTROL!$C$42, 26.9719, 26.9719) * CHOOSE(CONTROL!$C$21, $C$9, 100%, $E$9)</f>
        <v>26.971900000000002</v>
      </c>
      <c r="T56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56">
        <f>(1000*CHOOSE(CONTROL!$C$42, 695, 695)*CHOOSE(CONTROL!$C$42, 0.5599, 0.5599)*CHOOSE(CONTROL!$C$42, 31, 31))/1000000</f>
        <v>12.063045499999998</v>
      </c>
      <c r="V562" s="56">
        <f>(1000*CHOOSE(CONTROL!$C$42, 500, 500)*CHOOSE(CONTROL!$C$42, 0.275, 0.275)*CHOOSE(CONTROL!$C$42, 31, 31))/1000000</f>
        <v>4.2625000000000002</v>
      </c>
      <c r="W562" s="56">
        <f>(1000*CHOOSE(CONTROL!$C$42, 0.1146, 0.1146)*CHOOSE(CONTROL!$C$42, 121.5, 121.5)*CHOOSE(CONTROL!$C$42, 31, 31))/1000000</f>
        <v>0.43164089999999994</v>
      </c>
      <c r="X562" s="56">
        <f>(31*0.1790888*245000/1000000)+(31*0.2374*100000/1000000)</f>
        <v>2.0961194359999999</v>
      </c>
      <c r="Y562" s="56"/>
      <c r="Z562" s="14"/>
      <c r="AA562" s="55"/>
      <c r="AB562" s="49">
        <f>(B562*131.881+C562*277.167+D562*79.08+E562*125.872+F562*40+G562*185+H562*0+I562*100+J562*300)/(131.881+277.167+79.08+125.872+0+40+185+100+300)</f>
        <v>28.144734398305083</v>
      </c>
      <c r="AC562" s="44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27.614351798561152</v>
      </c>
    </row>
    <row r="563" spans="1:29" ht="15.75" x14ac:dyDescent="0.25">
      <c r="A563" s="31">
        <v>58044</v>
      </c>
      <c r="B563" s="14">
        <f>CHOOSE(CONTROL!$C$42, 28.8177, 28.8177) * CHOOSE(CONTROL!$C$21, $C$9, 100%, $E$9)</f>
        <v>28.817699999999999</v>
      </c>
      <c r="C563" s="14">
        <f>CHOOSE(CONTROL!$C$42, 28.8228, 28.8228) * CHOOSE(CONTROL!$C$21, $C$9, 100%, $E$9)</f>
        <v>28.822800000000001</v>
      </c>
      <c r="D563" s="14">
        <f>CHOOSE(CONTROL!$C$42, 28.8918, 28.8918) * CHOOSE(CONTROL!$C$21, $C$9, 100%, $E$9)</f>
        <v>28.8918</v>
      </c>
      <c r="E563" s="14">
        <f>CHOOSE(CONTROL!$C$42, 28.9259, 28.9259) * CHOOSE(CONTROL!$C$21, $C$9, 100%, $E$9)</f>
        <v>28.925899999999999</v>
      </c>
      <c r="F563" s="14">
        <f>CHOOSE(CONTROL!$C$42, 28.8533, 28.8533)*CHOOSE(CONTROL!$C$21, $C$9, 100%, $E$9)</f>
        <v>28.853300000000001</v>
      </c>
      <c r="G563" s="14">
        <f>CHOOSE(CONTROL!$C$42, 28.8707, 28.8707)*CHOOSE(CONTROL!$C$21, $C$9, 100%, $E$9)</f>
        <v>28.870699999999999</v>
      </c>
      <c r="H563" s="14">
        <f>CHOOSE(CONTROL!$C$42, 28.9151, 28.9151) * CHOOSE(CONTROL!$C$21, $C$9, 100%, $E$9)</f>
        <v>28.915099999999999</v>
      </c>
      <c r="I563" s="14">
        <f>CHOOSE(CONTROL!$C$42, 28.9443, 28.9443)* CHOOSE(CONTROL!$C$21, $C$9, 100%, $E$9)</f>
        <v>28.944299999999998</v>
      </c>
      <c r="J563" s="14">
        <f>CHOOSE(CONTROL!$C$42, 28.8463, 28.8463)* CHOOSE(CONTROL!$C$21, $C$9, 100%, $E$9)</f>
        <v>28.846299999999999</v>
      </c>
      <c r="K563" s="52">
        <f>CHOOSE(CONTROL!$C$42, 28.9404, 28.9404) * CHOOSE(CONTROL!$C$21, $C$9, 100%, $E$9)</f>
        <v>28.9404</v>
      </c>
      <c r="L563" s="14">
        <f>CHOOSE(CONTROL!$C$42, 29.5021, 29.5021) * CHOOSE(CONTROL!$C$21, $C$9, 100%, $E$9)</f>
        <v>29.502099999999999</v>
      </c>
      <c r="M563" s="14">
        <f>CHOOSE(CONTROL!$C$42, 28.263, 28.263) * CHOOSE(CONTROL!$C$21, $C$9, 100%, $E$9)</f>
        <v>28.263000000000002</v>
      </c>
      <c r="N563" s="14">
        <f>CHOOSE(CONTROL!$C$42, 28.28, 28.28) * CHOOSE(CONTROL!$C$21, $C$9, 100%, $E$9)</f>
        <v>28.28</v>
      </c>
      <c r="O563" s="14">
        <f>CHOOSE(CONTROL!$C$42, 28.3303, 28.3303) * CHOOSE(CONTROL!$C$21, $C$9, 100%, $E$9)</f>
        <v>28.330300000000001</v>
      </c>
      <c r="P563" s="14">
        <f>CHOOSE(CONTROL!$C$42, 28.3572, 28.3572) * CHOOSE(CONTROL!$C$21, $C$9, 100%, $E$9)</f>
        <v>28.357199999999999</v>
      </c>
      <c r="Q563" s="14">
        <f>CHOOSE(CONTROL!$C$42, 28.925, 28.925) * CHOOSE(CONTROL!$C$21, $C$9, 100%, $E$9)</f>
        <v>28.925000000000001</v>
      </c>
      <c r="R563" s="14">
        <f>CHOOSE(CONTROL!$C$42, 29.5844, 29.5844) * CHOOSE(CONTROL!$C$21, $C$9, 100%, $E$9)</f>
        <v>29.584399999999999</v>
      </c>
      <c r="S563" s="14">
        <f>CHOOSE(CONTROL!$C$42, 27.6824, 27.6824) * CHOOSE(CONTROL!$C$21, $C$9, 100%, $E$9)</f>
        <v>27.682400000000001</v>
      </c>
      <c r="T56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56">
        <f>(1000*CHOOSE(CONTROL!$C$42, 695, 695)*CHOOSE(CONTROL!$C$42, 0.5599, 0.5599)*CHOOSE(CONTROL!$C$42, 30, 30))/1000000</f>
        <v>11.673914999999997</v>
      </c>
      <c r="V563" s="56">
        <f>(1000*CHOOSE(CONTROL!$C$42, 500, 500)*CHOOSE(CONTROL!$C$42, 0.275, 0.275)*CHOOSE(CONTROL!$C$42, 30, 30))/1000000</f>
        <v>4.125</v>
      </c>
      <c r="W563" s="56">
        <f>(1000*CHOOSE(CONTROL!$C$42, 0.1146, 0.1146)*CHOOSE(CONTROL!$C$42, 121.5, 121.5)*CHOOSE(CONTROL!$C$42, 30, 30))/1000000</f>
        <v>0.417717</v>
      </c>
      <c r="X563" s="56">
        <f>(30*0.1790888*100000/1000000)+(30*0.2374*100000/1000000)</f>
        <v>1.2494664</v>
      </c>
      <c r="Y563" s="56"/>
      <c r="Z563" s="14"/>
      <c r="AA563" s="55"/>
      <c r="AB563" s="49">
        <f>(B563*122.58+C563*297.941+D563*89.177+E563*40.302+F563*40+G563*160+H563*0+I563*100+J563*300)/(122.58+297.941+89.177+40.302+0+40+160+100+300)</f>
        <v>28.855641035826089</v>
      </c>
      <c r="AC563" s="44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28.308035251798561</v>
      </c>
    </row>
    <row r="564" spans="1:29" ht="15.75" x14ac:dyDescent="0.25">
      <c r="A564" s="31">
        <v>58075</v>
      </c>
      <c r="B564" s="14">
        <f>CHOOSE(CONTROL!$C$42, 30.7818, 30.7818) * CHOOSE(CONTROL!$C$21, $C$9, 100%, $E$9)</f>
        <v>30.7818</v>
      </c>
      <c r="C564" s="14">
        <f>CHOOSE(CONTROL!$C$42, 30.7869, 30.7869) * CHOOSE(CONTROL!$C$21, $C$9, 100%, $E$9)</f>
        <v>30.786899999999999</v>
      </c>
      <c r="D564" s="14">
        <f>CHOOSE(CONTROL!$C$42, 30.8559, 30.8559) * CHOOSE(CONTROL!$C$21, $C$9, 100%, $E$9)</f>
        <v>30.855899999999998</v>
      </c>
      <c r="E564" s="14">
        <f>CHOOSE(CONTROL!$C$42, 30.89, 30.89) * CHOOSE(CONTROL!$C$21, $C$9, 100%, $E$9)</f>
        <v>30.89</v>
      </c>
      <c r="F564" s="14">
        <f>CHOOSE(CONTROL!$C$42, 30.8197, 30.8197)*CHOOSE(CONTROL!$C$21, $C$9, 100%, $E$9)</f>
        <v>30.819700000000001</v>
      </c>
      <c r="G564" s="14">
        <f>CHOOSE(CONTROL!$C$42, 30.8377, 30.8377)*CHOOSE(CONTROL!$C$21, $C$9, 100%, $E$9)</f>
        <v>30.837700000000002</v>
      </c>
      <c r="H564" s="14">
        <f>CHOOSE(CONTROL!$C$42, 30.8792, 30.8792) * CHOOSE(CONTROL!$C$21, $C$9, 100%, $E$9)</f>
        <v>30.879200000000001</v>
      </c>
      <c r="I564" s="14">
        <f>CHOOSE(CONTROL!$C$42, 30.9146, 30.9146)* CHOOSE(CONTROL!$C$21, $C$9, 100%, $E$9)</f>
        <v>30.9146</v>
      </c>
      <c r="J564" s="14">
        <f>CHOOSE(CONTROL!$C$42, 30.8127, 30.8127)* CHOOSE(CONTROL!$C$21, $C$9, 100%, $E$9)</f>
        <v>30.8127</v>
      </c>
      <c r="K564" s="52">
        <f>CHOOSE(CONTROL!$C$42, 30.9107, 30.9107) * CHOOSE(CONTROL!$C$21, $C$9, 100%, $E$9)</f>
        <v>30.910699999999999</v>
      </c>
      <c r="L564" s="14">
        <f>CHOOSE(CONTROL!$C$42, 31.4662, 31.4662) * CHOOSE(CONTROL!$C$21, $C$9, 100%, $E$9)</f>
        <v>31.466200000000001</v>
      </c>
      <c r="M564" s="14">
        <f>CHOOSE(CONTROL!$C$42, 30.189, 30.189) * CHOOSE(CONTROL!$C$21, $C$9, 100%, $E$9)</f>
        <v>30.189</v>
      </c>
      <c r="N564" s="14">
        <f>CHOOSE(CONTROL!$C$42, 30.2067, 30.2067) * CHOOSE(CONTROL!$C$21, $C$9, 100%, $E$9)</f>
        <v>30.206700000000001</v>
      </c>
      <c r="O564" s="14">
        <f>CHOOSE(CONTROL!$C$42, 30.2542, 30.2542) * CHOOSE(CONTROL!$C$21, $C$9, 100%, $E$9)</f>
        <v>30.254200000000001</v>
      </c>
      <c r="P564" s="14">
        <f>CHOOSE(CONTROL!$C$42, 30.287, 30.287) * CHOOSE(CONTROL!$C$21, $C$9, 100%, $E$9)</f>
        <v>30.286999999999999</v>
      </c>
      <c r="Q564" s="14">
        <f>CHOOSE(CONTROL!$C$42, 30.8489, 30.8489) * CHOOSE(CONTROL!$C$21, $C$9, 100%, $E$9)</f>
        <v>30.8489</v>
      </c>
      <c r="R564" s="14">
        <f>CHOOSE(CONTROL!$C$42, 31.513, 31.513) * CHOOSE(CONTROL!$C$21, $C$9, 100%, $E$9)</f>
        <v>31.513000000000002</v>
      </c>
      <c r="S564" s="14">
        <f>CHOOSE(CONTROL!$C$42, 29.5697, 29.5697) * CHOOSE(CONTROL!$C$21, $C$9, 100%, $E$9)</f>
        <v>29.569700000000001</v>
      </c>
      <c r="T56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56">
        <f>(1000*CHOOSE(CONTROL!$C$42, 695, 695)*CHOOSE(CONTROL!$C$42, 0.5599, 0.5599)*CHOOSE(CONTROL!$C$42, 31, 31))/1000000</f>
        <v>12.063045499999998</v>
      </c>
      <c r="V564" s="56">
        <f>(1000*CHOOSE(CONTROL!$C$42, 500, 500)*CHOOSE(CONTROL!$C$42, 0.275, 0.275)*CHOOSE(CONTROL!$C$42, 31, 31))/1000000</f>
        <v>4.2625000000000002</v>
      </c>
      <c r="W564" s="56">
        <f>(1000*CHOOSE(CONTROL!$C$42, 0.1146, 0.1146)*CHOOSE(CONTROL!$C$42, 121.5, 121.5)*CHOOSE(CONTROL!$C$42, 31, 31))/1000000</f>
        <v>0.43164089999999994</v>
      </c>
      <c r="X564" s="56">
        <f>(31*0.1790888*100000/1000000)+(31*0.2374*100000/1000000)</f>
        <v>1.2911152800000001</v>
      </c>
      <c r="Y564" s="56"/>
      <c r="Z564" s="14"/>
      <c r="AA564" s="55"/>
      <c r="AB564" s="49">
        <f>(B564*122.58+C564*297.941+D564*89.177+E564*40.302+F564*40+G564*160+H564*0+I564*100+J564*300)/(122.58+297.941+89.177+40.302+0+40+160+100+300)</f>
        <v>30.821363644521739</v>
      </c>
      <c r="AC564" s="44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30.233670503597125</v>
      </c>
    </row>
    <row r="565" spans="1:29" ht="15.75" x14ac:dyDescent="0.25">
      <c r="A565" s="31">
        <v>58106</v>
      </c>
      <c r="B565" s="14">
        <f>CHOOSE(CONTROL!$C$42, 33.3329, 33.3329) * CHOOSE(CONTROL!$C$21, $C$9, 100%, $E$9)</f>
        <v>33.332900000000002</v>
      </c>
      <c r="C565" s="14">
        <f>CHOOSE(CONTROL!$C$42, 33.3379, 33.3379) * CHOOSE(CONTROL!$C$21, $C$9, 100%, $E$9)</f>
        <v>33.337899999999998</v>
      </c>
      <c r="D565" s="14">
        <f>CHOOSE(CONTROL!$C$42, 33.4174, 33.4174) * CHOOSE(CONTROL!$C$21, $C$9, 100%, $E$9)</f>
        <v>33.417400000000001</v>
      </c>
      <c r="E565" s="14">
        <f>CHOOSE(CONTROL!$C$42, 33.4515, 33.4515) * CHOOSE(CONTROL!$C$21, $C$9, 100%, $E$9)</f>
        <v>33.451500000000003</v>
      </c>
      <c r="F565" s="14">
        <f>CHOOSE(CONTROL!$C$42, 33.3559, 33.3559)*CHOOSE(CONTROL!$C$21, $C$9, 100%, $E$9)</f>
        <v>33.355899999999998</v>
      </c>
      <c r="G565" s="14">
        <f>CHOOSE(CONTROL!$C$42, 33.3734, 33.3734)*CHOOSE(CONTROL!$C$21, $C$9, 100%, $E$9)</f>
        <v>33.373399999999997</v>
      </c>
      <c r="H565" s="14">
        <f>CHOOSE(CONTROL!$C$42, 33.4407, 33.4407) * CHOOSE(CONTROL!$C$21, $C$9, 100%, $E$9)</f>
        <v>33.4407</v>
      </c>
      <c r="I565" s="14">
        <f>CHOOSE(CONTROL!$C$42, 33.4726, 33.4726)* CHOOSE(CONTROL!$C$21, $C$9, 100%, $E$9)</f>
        <v>33.4726</v>
      </c>
      <c r="J565" s="14">
        <f>CHOOSE(CONTROL!$C$42, 33.3489, 33.3489)* CHOOSE(CONTROL!$C$21, $C$9, 100%, $E$9)</f>
        <v>33.3489</v>
      </c>
      <c r="K565" s="52">
        <f>CHOOSE(CONTROL!$C$42, 33.4687, 33.4687) * CHOOSE(CONTROL!$C$21, $C$9, 100%, $E$9)</f>
        <v>33.468699999999998</v>
      </c>
      <c r="L565" s="14">
        <f>CHOOSE(CONTROL!$C$42, 34.0277, 34.0277) * CHOOSE(CONTROL!$C$21, $C$9, 100%, $E$9)</f>
        <v>34.027700000000003</v>
      </c>
      <c r="M565" s="14">
        <f>CHOOSE(CONTROL!$C$42, 32.6733, 32.6733) * CHOOSE(CONTROL!$C$21, $C$9, 100%, $E$9)</f>
        <v>32.673299999999998</v>
      </c>
      <c r="N565" s="14">
        <f>CHOOSE(CONTROL!$C$42, 32.6905, 32.6905) * CHOOSE(CONTROL!$C$21, $C$9, 100%, $E$9)</f>
        <v>32.6905</v>
      </c>
      <c r="O565" s="14">
        <f>CHOOSE(CONTROL!$C$42, 32.7632, 32.7632) * CHOOSE(CONTROL!$C$21, $C$9, 100%, $E$9)</f>
        <v>32.763199999999998</v>
      </c>
      <c r="P565" s="14">
        <f>CHOOSE(CONTROL!$C$42, 32.7924, 32.7924) * CHOOSE(CONTROL!$C$21, $C$9, 100%, $E$9)</f>
        <v>32.792400000000001</v>
      </c>
      <c r="Q565" s="14">
        <f>CHOOSE(CONTROL!$C$42, 33.3579, 33.3579) * CHOOSE(CONTROL!$C$21, $C$9, 100%, $E$9)</f>
        <v>33.357900000000001</v>
      </c>
      <c r="R565" s="14">
        <f>CHOOSE(CONTROL!$C$42, 34.0283, 34.0283) * CHOOSE(CONTROL!$C$21, $C$9, 100%, $E$9)</f>
        <v>34.028300000000002</v>
      </c>
      <c r="S565" s="14">
        <f>CHOOSE(CONTROL!$C$42, 32.021, 32.021) * CHOOSE(CONTROL!$C$21, $C$9, 100%, $E$9)</f>
        <v>32.021000000000001</v>
      </c>
      <c r="T56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56">
        <f>(1000*CHOOSE(CONTROL!$C$42, 695, 695)*CHOOSE(CONTROL!$C$42, 0.5599, 0.5599)*CHOOSE(CONTROL!$C$42, 31, 31))/1000000</f>
        <v>12.063045499999998</v>
      </c>
      <c r="V565" s="56">
        <f>(1000*CHOOSE(CONTROL!$C$42, 500, 500)*CHOOSE(CONTROL!$C$42, 0.275, 0.275)*CHOOSE(CONTROL!$C$42, 31, 31))/1000000</f>
        <v>4.2625000000000002</v>
      </c>
      <c r="W565" s="56">
        <f>(1000*CHOOSE(CONTROL!$C$42, 0.1146, 0.1146)*CHOOSE(CONTROL!$C$42, 121.5, 121.5)*CHOOSE(CONTROL!$C$42, 31, 31))/1000000</f>
        <v>0.43164089999999994</v>
      </c>
      <c r="X565" s="56">
        <f>(31*0.1790888*100000/1000000)+(31*0.2374*100000/1000000)</f>
        <v>1.2911152800000001</v>
      </c>
      <c r="Y565" s="56"/>
      <c r="Z565" s="14"/>
      <c r="AA565" s="55"/>
      <c r="AB565" s="49">
        <f>(B565*122.58+C565*297.941+D565*89.177+E565*40.302+F565*40+G565*160+H565*0+I565*100+J565*300)/(122.58+297.941+89.177+40.302+0+40+160+100+300)</f>
        <v>33.367660851043475</v>
      </c>
      <c r="AC565" s="44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32.732172661870507</v>
      </c>
    </row>
    <row r="566" spans="1:29" ht="15.75" x14ac:dyDescent="0.25">
      <c r="A566" s="31">
        <v>58134</v>
      </c>
      <c r="B566" s="14">
        <f>CHOOSE(CONTROL!$C$42, 33.9261, 33.9261) * CHOOSE(CONTROL!$C$21, $C$9, 100%, $E$9)</f>
        <v>33.926099999999998</v>
      </c>
      <c r="C566" s="14">
        <f>CHOOSE(CONTROL!$C$42, 33.9311, 33.9311) * CHOOSE(CONTROL!$C$21, $C$9, 100%, $E$9)</f>
        <v>33.931100000000001</v>
      </c>
      <c r="D566" s="14">
        <f>CHOOSE(CONTROL!$C$42, 34.0106, 34.0106) * CHOOSE(CONTROL!$C$21, $C$9, 100%, $E$9)</f>
        <v>34.010599999999997</v>
      </c>
      <c r="E566" s="14">
        <f>CHOOSE(CONTROL!$C$42, 34.0447, 34.0447) * CHOOSE(CONTROL!$C$21, $C$9, 100%, $E$9)</f>
        <v>34.044699999999999</v>
      </c>
      <c r="F566" s="14">
        <f>CHOOSE(CONTROL!$C$42, 33.9489, 33.9489)*CHOOSE(CONTROL!$C$21, $C$9, 100%, $E$9)</f>
        <v>33.948900000000002</v>
      </c>
      <c r="G566" s="14">
        <f>CHOOSE(CONTROL!$C$42, 33.9663, 33.9663)*CHOOSE(CONTROL!$C$21, $C$9, 100%, $E$9)</f>
        <v>33.966299999999997</v>
      </c>
      <c r="H566" s="14">
        <f>CHOOSE(CONTROL!$C$42, 34.0339, 34.0339) * CHOOSE(CONTROL!$C$21, $C$9, 100%, $E$9)</f>
        <v>34.033900000000003</v>
      </c>
      <c r="I566" s="14">
        <f>CHOOSE(CONTROL!$C$42, 34.0676, 34.0676)* CHOOSE(CONTROL!$C$21, $C$9, 100%, $E$9)</f>
        <v>34.067599999999999</v>
      </c>
      <c r="J566" s="14">
        <f>CHOOSE(CONTROL!$C$42, 33.9419, 33.9419)* CHOOSE(CONTROL!$C$21, $C$9, 100%, $E$9)</f>
        <v>33.941899999999997</v>
      </c>
      <c r="K566" s="52">
        <f>CHOOSE(CONTROL!$C$42, 34.0637, 34.0637) * CHOOSE(CONTROL!$C$21, $C$9, 100%, $E$9)</f>
        <v>34.063699999999997</v>
      </c>
      <c r="L566" s="14">
        <f>CHOOSE(CONTROL!$C$42, 34.6209, 34.6209) * CHOOSE(CONTROL!$C$21, $C$9, 100%, $E$9)</f>
        <v>34.620899999999999</v>
      </c>
      <c r="M566" s="14">
        <f>CHOOSE(CONTROL!$C$42, 33.2541, 33.2541) * CHOOSE(CONTROL!$C$21, $C$9, 100%, $E$9)</f>
        <v>33.254100000000001</v>
      </c>
      <c r="N566" s="14">
        <f>CHOOSE(CONTROL!$C$42, 33.2712, 33.2712) * CHOOSE(CONTROL!$C$21, $C$9, 100%, $E$9)</f>
        <v>33.2712</v>
      </c>
      <c r="O566" s="14">
        <f>CHOOSE(CONTROL!$C$42, 33.3442, 33.3442) * CHOOSE(CONTROL!$C$21, $C$9, 100%, $E$9)</f>
        <v>33.344200000000001</v>
      </c>
      <c r="P566" s="14">
        <f>CHOOSE(CONTROL!$C$42, 33.3752, 33.3752) * CHOOSE(CONTROL!$C$21, $C$9, 100%, $E$9)</f>
        <v>33.3752</v>
      </c>
      <c r="Q566" s="14">
        <f>CHOOSE(CONTROL!$C$42, 33.9389, 33.9389) * CHOOSE(CONTROL!$C$21, $C$9, 100%, $E$9)</f>
        <v>33.938899999999997</v>
      </c>
      <c r="R566" s="14">
        <f>CHOOSE(CONTROL!$C$42, 34.6108, 34.6108) * CHOOSE(CONTROL!$C$21, $C$9, 100%, $E$9)</f>
        <v>34.610799999999998</v>
      </c>
      <c r="S566" s="14">
        <f>CHOOSE(CONTROL!$C$42, 32.591, 32.591) * CHOOSE(CONTROL!$C$21, $C$9, 100%, $E$9)</f>
        <v>32.591000000000001</v>
      </c>
      <c r="T56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66" s="56">
        <f>(1000*CHOOSE(CONTROL!$C$42, 695, 695)*CHOOSE(CONTROL!$C$42, 0.5599, 0.5599)*CHOOSE(CONTROL!$C$42, 28, 28))/1000000</f>
        <v>10.895653999999999</v>
      </c>
      <c r="V566" s="56">
        <f>(1000*CHOOSE(CONTROL!$C$42, 500, 500)*CHOOSE(CONTROL!$C$42, 0.275, 0.275)*CHOOSE(CONTROL!$C$42, 28, 28))/1000000</f>
        <v>3.85</v>
      </c>
      <c r="W566" s="56">
        <f>(1000*CHOOSE(CONTROL!$C$42, 0.1146, 0.1146)*CHOOSE(CONTROL!$C$42, 121.5, 121.5)*CHOOSE(CONTROL!$C$42, 28, 28))/1000000</f>
        <v>0.38986920000000003</v>
      </c>
      <c r="X566" s="56">
        <f>(28*0.1790888*100000/1000000)+(28*0.2374*100000/1000000)</f>
        <v>1.16616864</v>
      </c>
      <c r="Y566" s="56"/>
      <c r="Z566" s="14"/>
      <c r="AA566" s="55"/>
      <c r="AB566" s="49">
        <f>(B566*122.58+C566*297.941+D566*89.177+E566*40.302+F566*40+G566*160+H566*0+I566*100+J566*300)/(122.58+297.941+89.177+40.302+0+40+160+100+300)</f>
        <v>33.960916503217391</v>
      </c>
      <c r="AC566" s="44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33.313345323741011</v>
      </c>
    </row>
    <row r="567" spans="1:29" ht="15.75" x14ac:dyDescent="0.25">
      <c r="A567" s="31">
        <v>58165</v>
      </c>
      <c r="B567" s="14">
        <f>CHOOSE(CONTROL!$C$42, 32.9632, 32.9632) * CHOOSE(CONTROL!$C$21, $C$9, 100%, $E$9)</f>
        <v>32.963200000000001</v>
      </c>
      <c r="C567" s="14">
        <f>CHOOSE(CONTROL!$C$42, 32.9682, 32.9682) * CHOOSE(CONTROL!$C$21, $C$9, 100%, $E$9)</f>
        <v>32.968200000000003</v>
      </c>
      <c r="D567" s="14">
        <f>CHOOSE(CONTROL!$C$42, 33.0477, 33.0477) * CHOOSE(CONTROL!$C$21, $C$9, 100%, $E$9)</f>
        <v>33.047699999999999</v>
      </c>
      <c r="E567" s="14">
        <f>CHOOSE(CONTROL!$C$42, 33.0818, 33.0818) * CHOOSE(CONTROL!$C$21, $C$9, 100%, $E$9)</f>
        <v>33.081800000000001</v>
      </c>
      <c r="F567" s="14">
        <f>CHOOSE(CONTROL!$C$42, 32.9852, 32.9852)*CHOOSE(CONTROL!$C$21, $C$9, 100%, $E$9)</f>
        <v>32.985199999999999</v>
      </c>
      <c r="G567" s="14">
        <f>CHOOSE(CONTROL!$C$42, 33.0025, 33.0025)*CHOOSE(CONTROL!$C$21, $C$9, 100%, $E$9)</f>
        <v>33.002499999999998</v>
      </c>
      <c r="H567" s="14">
        <f>CHOOSE(CONTROL!$C$42, 33.071, 33.071) * CHOOSE(CONTROL!$C$21, $C$9, 100%, $E$9)</f>
        <v>33.070999999999998</v>
      </c>
      <c r="I567" s="14">
        <f>CHOOSE(CONTROL!$C$42, 33.1017, 33.1017)* CHOOSE(CONTROL!$C$21, $C$9, 100%, $E$9)</f>
        <v>33.101700000000001</v>
      </c>
      <c r="J567" s="14">
        <f>CHOOSE(CONTROL!$C$42, 32.9782, 32.9782)* CHOOSE(CONTROL!$C$21, $C$9, 100%, $E$9)</f>
        <v>32.978200000000001</v>
      </c>
      <c r="K567" s="52">
        <f>CHOOSE(CONTROL!$C$42, 33.0978, 33.0978) * CHOOSE(CONTROL!$C$21, $C$9, 100%, $E$9)</f>
        <v>33.097799999999999</v>
      </c>
      <c r="L567" s="14">
        <f>CHOOSE(CONTROL!$C$42, 33.658, 33.658) * CHOOSE(CONTROL!$C$21, $C$9, 100%, $E$9)</f>
        <v>33.658000000000001</v>
      </c>
      <c r="M567" s="14">
        <f>CHOOSE(CONTROL!$C$42, 32.3102, 32.3102) * CHOOSE(CONTROL!$C$21, $C$9, 100%, $E$9)</f>
        <v>32.310200000000002</v>
      </c>
      <c r="N567" s="14">
        <f>CHOOSE(CONTROL!$C$42, 32.3271, 32.3271) * CHOOSE(CONTROL!$C$21, $C$9, 100%, $E$9)</f>
        <v>32.327100000000002</v>
      </c>
      <c r="O567" s="14">
        <f>CHOOSE(CONTROL!$C$42, 32.4011, 32.4011) * CHOOSE(CONTROL!$C$21, $C$9, 100%, $E$9)</f>
        <v>32.4011</v>
      </c>
      <c r="P567" s="14">
        <f>CHOOSE(CONTROL!$C$42, 32.4292, 32.4292) * CHOOSE(CONTROL!$C$21, $C$9, 100%, $E$9)</f>
        <v>32.429200000000002</v>
      </c>
      <c r="Q567" s="14">
        <f>CHOOSE(CONTROL!$C$42, 32.9958, 32.9958) * CHOOSE(CONTROL!$C$21, $C$9, 100%, $E$9)</f>
        <v>32.995800000000003</v>
      </c>
      <c r="R567" s="14">
        <f>CHOOSE(CONTROL!$C$42, 33.6652, 33.6652) * CHOOSE(CONTROL!$C$21, $C$9, 100%, $E$9)</f>
        <v>33.665199999999999</v>
      </c>
      <c r="S567" s="14">
        <f>CHOOSE(CONTROL!$C$42, 31.6658, 31.6658) * CHOOSE(CONTROL!$C$21, $C$9, 100%, $E$9)</f>
        <v>31.665800000000001</v>
      </c>
      <c r="T56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56">
        <f>(1000*CHOOSE(CONTROL!$C$42, 695, 695)*CHOOSE(CONTROL!$C$42, 0.5599, 0.5599)*CHOOSE(CONTROL!$C$42, 31, 31))/1000000</f>
        <v>12.063045499999998</v>
      </c>
      <c r="V567" s="56">
        <f>(1000*CHOOSE(CONTROL!$C$42, 500, 500)*CHOOSE(CONTROL!$C$42, 0.275, 0.275)*CHOOSE(CONTROL!$C$42, 31, 31))/1000000</f>
        <v>4.2625000000000002</v>
      </c>
      <c r="W567" s="56">
        <f>(1000*CHOOSE(CONTROL!$C$42, 0.1146, 0.1146)*CHOOSE(CONTROL!$C$42, 121.5, 121.5)*CHOOSE(CONTROL!$C$42, 31, 31))/1000000</f>
        <v>0.43164089999999994</v>
      </c>
      <c r="X567" s="56">
        <f>(31*0.1790888*100000/1000000)+(31*0.2374*100000/1000000)</f>
        <v>1.2911152800000001</v>
      </c>
      <c r="Y567" s="56"/>
      <c r="Z567" s="14"/>
      <c r="AA567" s="55"/>
      <c r="AB567" s="49">
        <f>(B567*122.58+C567*297.941+D567*89.177+E567*40.302+F567*40+G567*160+H567*0+I567*100+J567*300)/(122.58+297.941+89.177+40.302+0+40+160+100+300)</f>
        <v>32.997393894521736</v>
      </c>
      <c r="AC567" s="44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32.369494244604311</v>
      </c>
    </row>
    <row r="568" spans="1:29" ht="15.75" x14ac:dyDescent="0.25">
      <c r="A568" s="31">
        <v>58195</v>
      </c>
      <c r="B568" s="14">
        <f>CHOOSE(CONTROL!$C$42, 32.8655, 32.8655) * CHOOSE(CONTROL!$C$21, $C$9, 100%, $E$9)</f>
        <v>32.865499999999997</v>
      </c>
      <c r="C568" s="14">
        <f>CHOOSE(CONTROL!$C$42, 32.87, 32.87) * CHOOSE(CONTROL!$C$21, $C$9, 100%, $E$9)</f>
        <v>32.869999999999997</v>
      </c>
      <c r="D568" s="14">
        <f>CHOOSE(CONTROL!$C$42, 33.0989, 33.0989) * CHOOSE(CONTROL!$C$21, $C$9, 100%, $E$9)</f>
        <v>33.0989</v>
      </c>
      <c r="E568" s="14">
        <f>CHOOSE(CONTROL!$C$42, 33.131, 33.131) * CHOOSE(CONTROL!$C$21, $C$9, 100%, $E$9)</f>
        <v>33.131</v>
      </c>
      <c r="F568" s="14">
        <f>CHOOSE(CONTROL!$C$42, 32.8925, 32.8925)*CHOOSE(CONTROL!$C$21, $C$9, 100%, $E$9)</f>
        <v>32.892499999999998</v>
      </c>
      <c r="G568" s="14">
        <f>CHOOSE(CONTROL!$C$42, 32.9092, 32.9092)*CHOOSE(CONTROL!$C$21, $C$9, 100%, $E$9)</f>
        <v>32.909199999999998</v>
      </c>
      <c r="H568" s="14">
        <f>CHOOSE(CONTROL!$C$42, 33.1208, 33.1208) * CHOOSE(CONTROL!$C$21, $C$9, 100%, $E$9)</f>
        <v>33.120800000000003</v>
      </c>
      <c r="I568" s="14">
        <f>CHOOSE(CONTROL!$C$42, 33.0014, 33.0014)* CHOOSE(CONTROL!$C$21, $C$9, 100%, $E$9)</f>
        <v>33.001399999999997</v>
      </c>
      <c r="J568" s="14">
        <f>CHOOSE(CONTROL!$C$42, 32.8855, 32.8855)* CHOOSE(CONTROL!$C$21, $C$9, 100%, $E$9)</f>
        <v>32.8855</v>
      </c>
      <c r="K568" s="52">
        <f>CHOOSE(CONTROL!$C$42, 32.9975, 32.9975) * CHOOSE(CONTROL!$C$21, $C$9, 100%, $E$9)</f>
        <v>32.997500000000002</v>
      </c>
      <c r="L568" s="14">
        <f>CHOOSE(CONTROL!$C$42, 33.7078, 33.7078) * CHOOSE(CONTROL!$C$21, $C$9, 100%, $E$9)</f>
        <v>33.707799999999999</v>
      </c>
      <c r="M568" s="14">
        <f>CHOOSE(CONTROL!$C$42, 32.2194, 32.2194) * CHOOSE(CONTROL!$C$21, $C$9, 100%, $E$9)</f>
        <v>32.2194</v>
      </c>
      <c r="N568" s="14">
        <f>CHOOSE(CONTROL!$C$42, 32.2358, 32.2358) * CHOOSE(CONTROL!$C$21, $C$9, 100%, $E$9)</f>
        <v>32.235799999999998</v>
      </c>
      <c r="O568" s="14">
        <f>CHOOSE(CONTROL!$C$42, 32.4499, 32.4499) * CHOOSE(CONTROL!$C$21, $C$9, 100%, $E$9)</f>
        <v>32.4499</v>
      </c>
      <c r="P568" s="14">
        <f>CHOOSE(CONTROL!$C$42, 32.3309, 32.3309) * CHOOSE(CONTROL!$C$21, $C$9, 100%, $E$9)</f>
        <v>32.3309</v>
      </c>
      <c r="Q568" s="14">
        <f>CHOOSE(CONTROL!$C$42, 33.0446, 33.0446) * CHOOSE(CONTROL!$C$21, $C$9, 100%, $E$9)</f>
        <v>33.044600000000003</v>
      </c>
      <c r="R568" s="14">
        <f>CHOOSE(CONTROL!$C$42, 33.7142, 33.7142) * CHOOSE(CONTROL!$C$21, $C$9, 100%, $E$9)</f>
        <v>33.714199999999998</v>
      </c>
      <c r="S568" s="14">
        <f>CHOOSE(CONTROL!$C$42, 31.5712, 31.5712) * CHOOSE(CONTROL!$C$21, $C$9, 100%, $E$9)</f>
        <v>31.571200000000001</v>
      </c>
      <c r="T56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56">
        <f>(1000*CHOOSE(CONTROL!$C$42, 695, 695)*CHOOSE(CONTROL!$C$42, 0.5599, 0.5599)*CHOOSE(CONTROL!$C$42, 30, 30))/1000000</f>
        <v>11.673914999999997</v>
      </c>
      <c r="V568" s="56">
        <f>(1000*CHOOSE(CONTROL!$C$42, 500, 500)*CHOOSE(CONTROL!$C$42, 0.275, 0.275)*CHOOSE(CONTROL!$C$42, 30, 30))/1000000</f>
        <v>4.125</v>
      </c>
      <c r="W568" s="56">
        <f>(1000*CHOOSE(CONTROL!$C$42, 0.1146, 0.1146)*CHOOSE(CONTROL!$C$42, 121.5, 121.5)*CHOOSE(CONTROL!$C$42, 30, 30))/1000000</f>
        <v>0.417717</v>
      </c>
      <c r="X568" s="56">
        <f>(30*0.1790888*245000/1000000)+(30*0.2374*100000/1000000)</f>
        <v>2.0285026799999999</v>
      </c>
      <c r="Y568" s="56"/>
      <c r="Z568" s="14"/>
      <c r="AA568" s="55"/>
      <c r="AB568" s="49">
        <f>(B568*141.293+C568*267.993+D568*115.016+E568*89.698+F568*40+G568*185+H568*0+I568*100+J568*300)/(141.293+267.993+115.016+89.698+0+40+185+100+300)</f>
        <v>32.930568621388211</v>
      </c>
      <c r="AC568" s="44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32.30389136690647</v>
      </c>
    </row>
    <row r="569" spans="1:29" ht="15.75" x14ac:dyDescent="0.25">
      <c r="A569" s="31">
        <v>58226</v>
      </c>
      <c r="B569" s="14">
        <f>CHOOSE(CONTROL!$C$42, 33.1569, 33.1569) * CHOOSE(CONTROL!$C$21, $C$9, 100%, $E$9)</f>
        <v>33.1569</v>
      </c>
      <c r="C569" s="14">
        <f>CHOOSE(CONTROL!$C$42, 33.1649, 33.1649) * CHOOSE(CONTROL!$C$21, $C$9, 100%, $E$9)</f>
        <v>33.164900000000003</v>
      </c>
      <c r="D569" s="14">
        <f>CHOOSE(CONTROL!$C$42, 33.3907, 33.3907) * CHOOSE(CONTROL!$C$21, $C$9, 100%, $E$9)</f>
        <v>33.390700000000002</v>
      </c>
      <c r="E569" s="14">
        <f>CHOOSE(CONTROL!$C$42, 33.4222, 33.4222) * CHOOSE(CONTROL!$C$21, $C$9, 100%, $E$9)</f>
        <v>33.422199999999997</v>
      </c>
      <c r="F569" s="14">
        <f>CHOOSE(CONTROL!$C$42, 33.1826, 33.1826)*CHOOSE(CONTROL!$C$21, $C$9, 100%, $E$9)</f>
        <v>33.182600000000001</v>
      </c>
      <c r="G569" s="14">
        <f>CHOOSE(CONTROL!$C$42, 33.1995, 33.1995)*CHOOSE(CONTROL!$C$21, $C$9, 100%, $E$9)</f>
        <v>33.1995</v>
      </c>
      <c r="H569" s="14">
        <f>CHOOSE(CONTROL!$C$42, 33.4108, 33.4108) * CHOOSE(CONTROL!$C$21, $C$9, 100%, $E$9)</f>
        <v>33.410800000000002</v>
      </c>
      <c r="I569" s="14">
        <f>CHOOSE(CONTROL!$C$42, 33.2923, 33.2923)* CHOOSE(CONTROL!$C$21, $C$9, 100%, $E$9)</f>
        <v>33.292299999999997</v>
      </c>
      <c r="J569" s="14">
        <f>CHOOSE(CONTROL!$C$42, 33.1756, 33.1756)* CHOOSE(CONTROL!$C$21, $C$9, 100%, $E$9)</f>
        <v>33.175600000000003</v>
      </c>
      <c r="K569" s="52">
        <f>CHOOSE(CONTROL!$C$42, 33.2884, 33.2884) * CHOOSE(CONTROL!$C$21, $C$9, 100%, $E$9)</f>
        <v>33.288400000000003</v>
      </c>
      <c r="L569" s="14">
        <f>CHOOSE(CONTROL!$C$42, 33.9978, 33.9978) * CHOOSE(CONTROL!$C$21, $C$9, 100%, $E$9)</f>
        <v>33.997799999999998</v>
      </c>
      <c r="M569" s="14">
        <f>CHOOSE(CONTROL!$C$42, 32.5035, 32.5035) * CHOOSE(CONTROL!$C$21, $C$9, 100%, $E$9)</f>
        <v>32.503500000000003</v>
      </c>
      <c r="N569" s="14">
        <f>CHOOSE(CONTROL!$C$42, 32.5201, 32.5201) * CHOOSE(CONTROL!$C$21, $C$9, 100%, $E$9)</f>
        <v>32.520099999999999</v>
      </c>
      <c r="O569" s="14">
        <f>CHOOSE(CONTROL!$C$42, 32.7339, 32.7339) * CHOOSE(CONTROL!$C$21, $C$9, 100%, $E$9)</f>
        <v>32.733899999999998</v>
      </c>
      <c r="P569" s="14">
        <f>CHOOSE(CONTROL!$C$42, 32.6158, 32.6158) * CHOOSE(CONTROL!$C$21, $C$9, 100%, $E$9)</f>
        <v>32.6158</v>
      </c>
      <c r="Q569" s="14">
        <f>CHOOSE(CONTROL!$C$42, 33.3286, 33.3286) * CHOOSE(CONTROL!$C$21, $C$9, 100%, $E$9)</f>
        <v>33.328600000000002</v>
      </c>
      <c r="R569" s="14">
        <f>CHOOSE(CONTROL!$C$42, 33.999, 33.999) * CHOOSE(CONTROL!$C$21, $C$9, 100%, $E$9)</f>
        <v>33.999000000000002</v>
      </c>
      <c r="S569" s="14">
        <f>CHOOSE(CONTROL!$C$42, 31.8498, 31.8498) * CHOOSE(CONTROL!$C$21, $C$9, 100%, $E$9)</f>
        <v>31.849799999999998</v>
      </c>
      <c r="T56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56">
        <f>(1000*CHOOSE(CONTROL!$C$42, 695, 695)*CHOOSE(CONTROL!$C$42, 0.5599, 0.5599)*CHOOSE(CONTROL!$C$42, 31, 31))/1000000</f>
        <v>12.063045499999998</v>
      </c>
      <c r="V569" s="56">
        <f>(1000*CHOOSE(CONTROL!$C$42, 500, 500)*CHOOSE(CONTROL!$C$42, 0.275, 0.275)*CHOOSE(CONTROL!$C$42, 31, 31))/1000000</f>
        <v>4.2625000000000002</v>
      </c>
      <c r="W569" s="56">
        <f>(1000*CHOOSE(CONTROL!$C$42, 0.1146, 0.1146)*CHOOSE(CONTROL!$C$42, 121.5, 121.5)*CHOOSE(CONTROL!$C$42, 31, 31))/1000000</f>
        <v>0.43164089999999994</v>
      </c>
      <c r="X569" s="56">
        <f>(31*0.1790888*245000/1000000)+(31*0.2374*100000/1000000)</f>
        <v>2.0961194359999999</v>
      </c>
      <c r="Y569" s="56"/>
      <c r="Z569" s="14"/>
      <c r="AA569" s="55"/>
      <c r="AB569" s="49">
        <f>(B569*194.205+C569*267.466+D569*133.845+E569*53.484+F569*40+G569*185+H569*0+I569*100+J569*300)/(194.205+267.466+133.845+53.484+0+40+185+100+300)</f>
        <v>33.216304234065944</v>
      </c>
      <c r="AC569" s="44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32.588124460431658</v>
      </c>
    </row>
    <row r="570" spans="1:29" ht="15.75" x14ac:dyDescent="0.25">
      <c r="A570" s="31">
        <v>58256</v>
      </c>
      <c r="B570" s="14">
        <f>CHOOSE(CONTROL!$C$42, 34.0971, 34.0971) * CHOOSE(CONTROL!$C$21, $C$9, 100%, $E$9)</f>
        <v>34.097099999999998</v>
      </c>
      <c r="C570" s="14">
        <f>CHOOSE(CONTROL!$C$42, 34.1051, 34.1051) * CHOOSE(CONTROL!$C$21, $C$9, 100%, $E$9)</f>
        <v>34.1051</v>
      </c>
      <c r="D570" s="14">
        <f>CHOOSE(CONTROL!$C$42, 34.3309, 34.3309) * CHOOSE(CONTROL!$C$21, $C$9, 100%, $E$9)</f>
        <v>34.3309</v>
      </c>
      <c r="E570" s="14">
        <f>CHOOSE(CONTROL!$C$42, 34.3624, 34.3624) * CHOOSE(CONTROL!$C$21, $C$9, 100%, $E$9)</f>
        <v>34.362400000000001</v>
      </c>
      <c r="F570" s="14">
        <f>CHOOSE(CONTROL!$C$42, 34.1232, 34.1232)*CHOOSE(CONTROL!$C$21, $C$9, 100%, $E$9)</f>
        <v>34.123199999999997</v>
      </c>
      <c r="G570" s="14">
        <f>CHOOSE(CONTROL!$C$42, 34.1403, 34.1403)*CHOOSE(CONTROL!$C$21, $C$9, 100%, $E$9)</f>
        <v>34.140300000000003</v>
      </c>
      <c r="H570" s="14">
        <f>CHOOSE(CONTROL!$C$42, 34.351, 34.351) * CHOOSE(CONTROL!$C$21, $C$9, 100%, $E$9)</f>
        <v>34.350999999999999</v>
      </c>
      <c r="I570" s="14">
        <f>CHOOSE(CONTROL!$C$42, 34.2354, 34.2354)* CHOOSE(CONTROL!$C$21, $C$9, 100%, $E$9)</f>
        <v>34.235399999999998</v>
      </c>
      <c r="J570" s="14">
        <f>CHOOSE(CONTROL!$C$42, 34.1162, 34.1162)* CHOOSE(CONTROL!$C$21, $C$9, 100%, $E$9)</f>
        <v>34.116199999999999</v>
      </c>
      <c r="K570" s="52">
        <f>CHOOSE(CONTROL!$C$42, 34.2315, 34.2315) * CHOOSE(CONTROL!$C$21, $C$9, 100%, $E$9)</f>
        <v>34.231499999999997</v>
      </c>
      <c r="L570" s="14">
        <f>CHOOSE(CONTROL!$C$42, 34.938, 34.938) * CHOOSE(CONTROL!$C$21, $C$9, 100%, $E$9)</f>
        <v>34.938000000000002</v>
      </c>
      <c r="M570" s="14">
        <f>CHOOSE(CONTROL!$C$42, 33.4249, 33.4249) * CHOOSE(CONTROL!$C$21, $C$9, 100%, $E$9)</f>
        <v>33.424900000000001</v>
      </c>
      <c r="N570" s="14">
        <f>CHOOSE(CONTROL!$C$42, 33.4416, 33.4416) * CHOOSE(CONTROL!$C$21, $C$9, 100%, $E$9)</f>
        <v>33.441600000000001</v>
      </c>
      <c r="O570" s="14">
        <f>CHOOSE(CONTROL!$C$42, 33.6549, 33.6549) * CHOOSE(CONTROL!$C$21, $C$9, 100%, $E$9)</f>
        <v>33.654899999999998</v>
      </c>
      <c r="P570" s="14">
        <f>CHOOSE(CONTROL!$C$42, 33.5396, 33.5396) * CHOOSE(CONTROL!$C$21, $C$9, 100%, $E$9)</f>
        <v>33.5396</v>
      </c>
      <c r="Q570" s="14">
        <f>CHOOSE(CONTROL!$C$42, 34.2496, 34.2496) * CHOOSE(CONTROL!$C$21, $C$9, 100%, $E$9)</f>
        <v>34.249600000000001</v>
      </c>
      <c r="R570" s="14">
        <f>CHOOSE(CONTROL!$C$42, 34.9222, 34.9222) * CHOOSE(CONTROL!$C$21, $C$9, 100%, $E$9)</f>
        <v>34.922199999999997</v>
      </c>
      <c r="S570" s="14">
        <f>CHOOSE(CONTROL!$C$42, 32.7533, 32.7533) * CHOOSE(CONTROL!$C$21, $C$9, 100%, $E$9)</f>
        <v>32.753300000000003</v>
      </c>
      <c r="T57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56">
        <f>(1000*CHOOSE(CONTROL!$C$42, 695, 695)*CHOOSE(CONTROL!$C$42, 0.5599, 0.5599)*CHOOSE(CONTROL!$C$42, 30, 30))/1000000</f>
        <v>11.673914999999997</v>
      </c>
      <c r="V570" s="56">
        <f>(1000*CHOOSE(CONTROL!$C$42, 500, 500)*CHOOSE(CONTROL!$C$42, 0.275, 0.275)*CHOOSE(CONTROL!$C$42, 30, 30))/1000000</f>
        <v>4.125</v>
      </c>
      <c r="W570" s="56">
        <f>(1000*CHOOSE(CONTROL!$C$42, 0.1146, 0.1146)*CHOOSE(CONTROL!$C$42, 121.5, 121.5)*CHOOSE(CONTROL!$C$42, 30, 30))/1000000</f>
        <v>0.417717</v>
      </c>
      <c r="X570" s="56">
        <f>(30*0.1790888*245000/1000000)+(30*0.2374*100000/1000000)</f>
        <v>2.0285026799999999</v>
      </c>
      <c r="Y570" s="56"/>
      <c r="Z570" s="14"/>
      <c r="AA570" s="55"/>
      <c r="AB570" s="49">
        <f>(B570*194.205+C570*267.466+D570*133.845+E570*53.484+F570*40+G570*185+H570*0+I570*100+J570*300)/(194.205+267.466+133.845+53.484+0+40+185+100+300)</f>
        <v>34.156925741130294</v>
      </c>
      <c r="AC570" s="44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33.509780575539573</v>
      </c>
    </row>
    <row r="571" spans="1:29" ht="15.75" x14ac:dyDescent="0.25">
      <c r="A571" s="31">
        <v>58287</v>
      </c>
      <c r="B571" s="14">
        <f>CHOOSE(CONTROL!$C$42, 33.4432, 33.4432) * CHOOSE(CONTROL!$C$21, $C$9, 100%, $E$9)</f>
        <v>33.443199999999997</v>
      </c>
      <c r="C571" s="14">
        <f>CHOOSE(CONTROL!$C$42, 33.4512, 33.4512) * CHOOSE(CONTROL!$C$21, $C$9, 100%, $E$9)</f>
        <v>33.4512</v>
      </c>
      <c r="D571" s="14">
        <f>CHOOSE(CONTROL!$C$42, 33.677, 33.677) * CHOOSE(CONTROL!$C$21, $C$9, 100%, $E$9)</f>
        <v>33.677</v>
      </c>
      <c r="E571" s="14">
        <f>CHOOSE(CONTROL!$C$42, 33.7085, 33.7085) * CHOOSE(CONTROL!$C$21, $C$9, 100%, $E$9)</f>
        <v>33.708500000000001</v>
      </c>
      <c r="F571" s="14">
        <f>CHOOSE(CONTROL!$C$42, 33.4697, 33.4697)*CHOOSE(CONTROL!$C$21, $C$9, 100%, $E$9)</f>
        <v>33.469700000000003</v>
      </c>
      <c r="G571" s="14">
        <f>CHOOSE(CONTROL!$C$42, 33.4869, 33.4869)*CHOOSE(CONTROL!$C$21, $C$9, 100%, $E$9)</f>
        <v>33.486899999999999</v>
      </c>
      <c r="H571" s="14">
        <f>CHOOSE(CONTROL!$C$42, 33.6971, 33.6971) * CHOOSE(CONTROL!$C$21, $C$9, 100%, $E$9)</f>
        <v>33.697099999999999</v>
      </c>
      <c r="I571" s="14">
        <f>CHOOSE(CONTROL!$C$42, 33.5795, 33.5795)* CHOOSE(CONTROL!$C$21, $C$9, 100%, $E$9)</f>
        <v>33.579500000000003</v>
      </c>
      <c r="J571" s="14">
        <f>CHOOSE(CONTROL!$C$42, 33.4627, 33.4627)* CHOOSE(CONTROL!$C$21, $C$9, 100%, $E$9)</f>
        <v>33.462699999999998</v>
      </c>
      <c r="K571" s="52">
        <f>CHOOSE(CONTROL!$C$42, 33.5756, 33.5756) * CHOOSE(CONTROL!$C$21, $C$9, 100%, $E$9)</f>
        <v>33.575600000000001</v>
      </c>
      <c r="L571" s="14">
        <f>CHOOSE(CONTROL!$C$42, 34.2841, 34.2841) * CHOOSE(CONTROL!$C$21, $C$9, 100%, $E$9)</f>
        <v>34.284100000000002</v>
      </c>
      <c r="M571" s="14">
        <f>CHOOSE(CONTROL!$C$42, 32.7848, 32.7848) * CHOOSE(CONTROL!$C$21, $C$9, 100%, $E$9)</f>
        <v>32.784799999999997</v>
      </c>
      <c r="N571" s="14">
        <f>CHOOSE(CONTROL!$C$42, 32.8017, 32.8017) * CHOOSE(CONTROL!$C$21, $C$9, 100%, $E$9)</f>
        <v>32.801699999999997</v>
      </c>
      <c r="O571" s="14">
        <f>CHOOSE(CONTROL!$C$42, 33.0143, 33.0143) * CHOOSE(CONTROL!$C$21, $C$9, 100%, $E$9)</f>
        <v>33.014299999999999</v>
      </c>
      <c r="P571" s="14">
        <f>CHOOSE(CONTROL!$C$42, 32.8971, 32.8971) * CHOOSE(CONTROL!$C$21, $C$9, 100%, $E$9)</f>
        <v>32.897100000000002</v>
      </c>
      <c r="Q571" s="14">
        <f>CHOOSE(CONTROL!$C$42, 33.609, 33.609) * CHOOSE(CONTROL!$C$21, $C$9, 100%, $E$9)</f>
        <v>33.609000000000002</v>
      </c>
      <c r="R571" s="14">
        <f>CHOOSE(CONTROL!$C$42, 34.2801, 34.2801) * CHOOSE(CONTROL!$C$21, $C$9, 100%, $E$9)</f>
        <v>34.280099999999997</v>
      </c>
      <c r="S571" s="14">
        <f>CHOOSE(CONTROL!$C$42, 32.1249, 32.1249) * CHOOSE(CONTROL!$C$21, $C$9, 100%, $E$9)</f>
        <v>32.124899999999997</v>
      </c>
      <c r="T57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56">
        <f>(1000*CHOOSE(CONTROL!$C$42, 695, 695)*CHOOSE(CONTROL!$C$42, 0.5599, 0.5599)*CHOOSE(CONTROL!$C$42, 31, 31))/1000000</f>
        <v>12.063045499999998</v>
      </c>
      <c r="V571" s="56">
        <f>(1000*CHOOSE(CONTROL!$C$42, 500, 500)*CHOOSE(CONTROL!$C$42, 0.275, 0.275)*CHOOSE(CONTROL!$C$42, 31, 31))/1000000</f>
        <v>4.2625000000000002</v>
      </c>
      <c r="W571" s="56">
        <f>(1000*CHOOSE(CONTROL!$C$42, 0.1146, 0.1146)*CHOOSE(CONTROL!$C$42, 121.5, 121.5)*CHOOSE(CONTROL!$C$42, 31, 31))/1000000</f>
        <v>0.43164089999999994</v>
      </c>
      <c r="X571" s="56">
        <f>(31*0.1790888*245000/1000000)+(31*0.2374*100000/1000000)</f>
        <v>2.0961194359999999</v>
      </c>
      <c r="Y571" s="56"/>
      <c r="Z571" s="14"/>
      <c r="AA571" s="55"/>
      <c r="AB571" s="49">
        <f>(B571*194.205+C571*267.466+D571*133.845+E571*53.484+F571*40+G571*185+H571*0+I571*100+J571*300)/(194.205+267.466+133.845+53.484+0+40+185+100+300)</f>
        <v>33.503048111616955</v>
      </c>
      <c r="AC571" s="44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32.86924100719424</v>
      </c>
    </row>
    <row r="572" spans="1:29" ht="15.75" x14ac:dyDescent="0.25">
      <c r="A572" s="31">
        <v>58318</v>
      </c>
      <c r="B572" s="14">
        <f>CHOOSE(CONTROL!$C$42, 31.7918, 31.7918) * CHOOSE(CONTROL!$C$21, $C$9, 100%, $E$9)</f>
        <v>31.791799999999999</v>
      </c>
      <c r="C572" s="14">
        <f>CHOOSE(CONTROL!$C$42, 31.7999, 31.7999) * CHOOSE(CONTROL!$C$21, $C$9, 100%, $E$9)</f>
        <v>31.799900000000001</v>
      </c>
      <c r="D572" s="14">
        <f>CHOOSE(CONTROL!$C$42, 32.0256, 32.0256) * CHOOSE(CONTROL!$C$21, $C$9, 100%, $E$9)</f>
        <v>32.025599999999997</v>
      </c>
      <c r="E572" s="14">
        <f>CHOOSE(CONTROL!$C$42, 32.0571, 32.0571) * CHOOSE(CONTROL!$C$21, $C$9, 100%, $E$9)</f>
        <v>32.057099999999998</v>
      </c>
      <c r="F572" s="14">
        <f>CHOOSE(CONTROL!$C$42, 31.8186, 31.8186)*CHOOSE(CONTROL!$C$21, $C$9, 100%, $E$9)</f>
        <v>31.8186</v>
      </c>
      <c r="G572" s="14">
        <f>CHOOSE(CONTROL!$C$42, 31.8359, 31.8359)*CHOOSE(CONTROL!$C$21, $C$9, 100%, $E$9)</f>
        <v>31.835899999999999</v>
      </c>
      <c r="H572" s="14">
        <f>CHOOSE(CONTROL!$C$42, 32.0457, 32.0457) * CHOOSE(CONTROL!$C$21, $C$9, 100%, $E$9)</f>
        <v>32.045699999999997</v>
      </c>
      <c r="I572" s="14">
        <f>CHOOSE(CONTROL!$C$42, 31.9229, 31.9229)* CHOOSE(CONTROL!$C$21, $C$9, 100%, $E$9)</f>
        <v>31.922899999999998</v>
      </c>
      <c r="J572" s="14">
        <f>CHOOSE(CONTROL!$C$42, 31.8116, 31.8116)* CHOOSE(CONTROL!$C$21, $C$9, 100%, $E$9)</f>
        <v>31.811599999999999</v>
      </c>
      <c r="K572" s="52">
        <f>CHOOSE(CONTROL!$C$42, 31.919, 31.919) * CHOOSE(CONTROL!$C$21, $C$9, 100%, $E$9)</f>
        <v>31.919</v>
      </c>
      <c r="L572" s="14">
        <f>CHOOSE(CONTROL!$C$42, 32.6327, 32.6327) * CHOOSE(CONTROL!$C$21, $C$9, 100%, $E$9)</f>
        <v>32.6327</v>
      </c>
      <c r="M572" s="14">
        <f>CHOOSE(CONTROL!$C$42, 31.1675, 31.1675) * CHOOSE(CONTROL!$C$21, $C$9, 100%, $E$9)</f>
        <v>31.1675</v>
      </c>
      <c r="N572" s="14">
        <f>CHOOSE(CONTROL!$C$42, 31.1844, 31.1844) * CHOOSE(CONTROL!$C$21, $C$9, 100%, $E$9)</f>
        <v>31.1844</v>
      </c>
      <c r="O572" s="14">
        <f>CHOOSE(CONTROL!$C$42, 31.3968, 31.3968) * CHOOSE(CONTROL!$C$21, $C$9, 100%, $E$9)</f>
        <v>31.396799999999999</v>
      </c>
      <c r="P572" s="14">
        <f>CHOOSE(CONTROL!$C$42, 31.2746, 31.2746) * CHOOSE(CONTROL!$C$21, $C$9, 100%, $E$9)</f>
        <v>31.2746</v>
      </c>
      <c r="Q572" s="14">
        <f>CHOOSE(CONTROL!$C$42, 31.9915, 31.9915) * CHOOSE(CONTROL!$C$21, $C$9, 100%, $E$9)</f>
        <v>31.991499999999998</v>
      </c>
      <c r="R572" s="14">
        <f>CHOOSE(CONTROL!$C$42, 32.6585, 32.6585) * CHOOSE(CONTROL!$C$21, $C$9, 100%, $E$9)</f>
        <v>32.658499999999997</v>
      </c>
      <c r="S572" s="14">
        <f>CHOOSE(CONTROL!$C$42, 30.5381, 30.5381) * CHOOSE(CONTROL!$C$21, $C$9, 100%, $E$9)</f>
        <v>30.5381</v>
      </c>
      <c r="T57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56">
        <f>(1000*CHOOSE(CONTROL!$C$42, 695, 695)*CHOOSE(CONTROL!$C$42, 0.5599, 0.5599)*CHOOSE(CONTROL!$C$42, 31, 31))/1000000</f>
        <v>12.063045499999998</v>
      </c>
      <c r="V572" s="56">
        <f>(1000*CHOOSE(CONTROL!$C$42, 500, 500)*CHOOSE(CONTROL!$C$42, 0.275, 0.275)*CHOOSE(CONTROL!$C$42, 31, 31))/1000000</f>
        <v>4.2625000000000002</v>
      </c>
      <c r="W572" s="56">
        <f>(1000*CHOOSE(CONTROL!$C$42, 0.1146, 0.1146)*CHOOSE(CONTROL!$C$42, 121.5, 121.5)*CHOOSE(CONTROL!$C$42, 31, 31))/1000000</f>
        <v>0.43164089999999994</v>
      </c>
      <c r="X572" s="56">
        <f>(31*0.1790888*245000/1000000)+(31*0.2374*100000/1000000)</f>
        <v>2.0961194359999999</v>
      </c>
      <c r="Y572" s="56"/>
      <c r="Z572" s="14"/>
      <c r="AA572" s="55"/>
      <c r="AB572" s="49">
        <f>(B572*194.205+C572*267.466+D572*133.845+E572*53.484+F572*40+G572*185+H572*0+I572*100+J572*300)/(194.205+267.466+133.845+53.484+0+40+185+100+300)</f>
        <v>31.851399090109886</v>
      </c>
      <c r="AC572" s="44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31.251136690647485</v>
      </c>
    </row>
    <row r="573" spans="1:29" ht="15.75" x14ac:dyDescent="0.25">
      <c r="A573" s="31">
        <v>58348</v>
      </c>
      <c r="B573" s="14">
        <f>CHOOSE(CONTROL!$C$42, 29.774, 29.774) * CHOOSE(CONTROL!$C$21, $C$9, 100%, $E$9)</f>
        <v>29.774000000000001</v>
      </c>
      <c r="C573" s="14">
        <f>CHOOSE(CONTROL!$C$42, 29.782, 29.782) * CHOOSE(CONTROL!$C$21, $C$9, 100%, $E$9)</f>
        <v>29.782</v>
      </c>
      <c r="D573" s="14">
        <f>CHOOSE(CONTROL!$C$42, 30.0078, 30.0078) * CHOOSE(CONTROL!$C$21, $C$9, 100%, $E$9)</f>
        <v>30.0078</v>
      </c>
      <c r="E573" s="14">
        <f>CHOOSE(CONTROL!$C$42, 30.0392, 30.0392) * CHOOSE(CONTROL!$C$21, $C$9, 100%, $E$9)</f>
        <v>30.039200000000001</v>
      </c>
      <c r="F573" s="14">
        <f>CHOOSE(CONTROL!$C$42, 29.8008, 29.8008)*CHOOSE(CONTROL!$C$21, $C$9, 100%, $E$9)</f>
        <v>29.800799999999999</v>
      </c>
      <c r="G573" s="14">
        <f>CHOOSE(CONTROL!$C$42, 29.818, 29.818)*CHOOSE(CONTROL!$C$21, $C$9, 100%, $E$9)</f>
        <v>29.818000000000001</v>
      </c>
      <c r="H573" s="14">
        <f>CHOOSE(CONTROL!$C$42, 30.0279, 30.0279) * CHOOSE(CONTROL!$C$21, $C$9, 100%, $E$9)</f>
        <v>30.027899999999999</v>
      </c>
      <c r="I573" s="14">
        <f>CHOOSE(CONTROL!$C$42, 29.8988, 29.8988)* CHOOSE(CONTROL!$C$21, $C$9, 100%, $E$9)</f>
        <v>29.898800000000001</v>
      </c>
      <c r="J573" s="14">
        <f>CHOOSE(CONTROL!$C$42, 29.7938, 29.7938)* CHOOSE(CONTROL!$C$21, $C$9, 100%, $E$9)</f>
        <v>29.793800000000001</v>
      </c>
      <c r="K573" s="52">
        <f>CHOOSE(CONTROL!$C$42, 29.8949, 29.8949) * CHOOSE(CONTROL!$C$21, $C$9, 100%, $E$9)</f>
        <v>29.8949</v>
      </c>
      <c r="L573" s="14">
        <f>CHOOSE(CONTROL!$C$42, 30.6149, 30.6149) * CHOOSE(CONTROL!$C$21, $C$9, 100%, $E$9)</f>
        <v>30.614899999999999</v>
      </c>
      <c r="M573" s="14">
        <f>CHOOSE(CONTROL!$C$42, 29.191, 29.191) * CHOOSE(CONTROL!$C$21, $C$9, 100%, $E$9)</f>
        <v>29.190999999999999</v>
      </c>
      <c r="N573" s="14">
        <f>CHOOSE(CONTROL!$C$42, 29.2079, 29.2079) * CHOOSE(CONTROL!$C$21, $C$9, 100%, $E$9)</f>
        <v>29.207899999999999</v>
      </c>
      <c r="O573" s="14">
        <f>CHOOSE(CONTROL!$C$42, 29.4203, 29.4203) * CHOOSE(CONTROL!$C$21, $C$9, 100%, $E$9)</f>
        <v>29.420300000000001</v>
      </c>
      <c r="P573" s="14">
        <f>CHOOSE(CONTROL!$C$42, 29.292, 29.292) * CHOOSE(CONTROL!$C$21, $C$9, 100%, $E$9)</f>
        <v>29.292000000000002</v>
      </c>
      <c r="Q573" s="14">
        <f>CHOOSE(CONTROL!$C$42, 30.015, 30.015) * CHOOSE(CONTROL!$C$21, $C$9, 100%, $E$9)</f>
        <v>30.015000000000001</v>
      </c>
      <c r="R573" s="14">
        <f>CHOOSE(CONTROL!$C$42, 30.6771, 30.6771) * CHOOSE(CONTROL!$C$21, $C$9, 100%, $E$9)</f>
        <v>30.677099999999999</v>
      </c>
      <c r="S573" s="14">
        <f>CHOOSE(CONTROL!$C$42, 28.5992, 28.5992) * CHOOSE(CONTROL!$C$21, $C$9, 100%, $E$9)</f>
        <v>28.5992</v>
      </c>
      <c r="T57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56">
        <f>(1000*CHOOSE(CONTROL!$C$42, 695, 695)*CHOOSE(CONTROL!$C$42, 0.5599, 0.5599)*CHOOSE(CONTROL!$C$42, 30, 30))/1000000</f>
        <v>11.673914999999997</v>
      </c>
      <c r="V573" s="56">
        <f>(1000*CHOOSE(CONTROL!$C$42, 500, 500)*CHOOSE(CONTROL!$C$42, 0.275, 0.275)*CHOOSE(CONTROL!$C$42, 30, 30))/1000000</f>
        <v>4.125</v>
      </c>
      <c r="W573" s="56">
        <f>(1000*CHOOSE(CONTROL!$C$42, 0.1146, 0.1146)*CHOOSE(CONTROL!$C$42, 121.5, 121.5)*CHOOSE(CONTROL!$C$42, 30, 30))/1000000</f>
        <v>0.417717</v>
      </c>
      <c r="X573" s="56">
        <f>(30*0.1790888*245000/1000000)+(30*0.2374*100000/1000000)</f>
        <v>2.0285026799999999</v>
      </c>
      <c r="Y573" s="56"/>
      <c r="Z573" s="14"/>
      <c r="AA573" s="55"/>
      <c r="AB573" s="49">
        <f>(B573*194.205+C573*267.466+D573*133.845+E573*53.484+F573*40+G573*185+H573*0+I573*100+J573*300)/(194.205+267.466+133.845+53.484+0+40+185+100+300)</f>
        <v>29.833064871114605</v>
      </c>
      <c r="AC573" s="44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29.273758992805757</v>
      </c>
    </row>
    <row r="574" spans="1:29" ht="15.75" x14ac:dyDescent="0.25">
      <c r="A574" s="31">
        <v>58379</v>
      </c>
      <c r="B574" s="14">
        <f>CHOOSE(CONTROL!$C$42, 29.1679, 29.1679) * CHOOSE(CONTROL!$C$21, $C$9, 100%, $E$9)</f>
        <v>29.167899999999999</v>
      </c>
      <c r="C574" s="14">
        <f>CHOOSE(CONTROL!$C$42, 29.1732, 29.1732) * CHOOSE(CONTROL!$C$21, $C$9, 100%, $E$9)</f>
        <v>29.173200000000001</v>
      </c>
      <c r="D574" s="14">
        <f>CHOOSE(CONTROL!$C$42, 29.404, 29.404) * CHOOSE(CONTROL!$C$21, $C$9, 100%, $E$9)</f>
        <v>29.404</v>
      </c>
      <c r="E574" s="14">
        <f>CHOOSE(CONTROL!$C$42, 29.4331, 29.4331) * CHOOSE(CONTROL!$C$21, $C$9, 100%, $E$9)</f>
        <v>29.4331</v>
      </c>
      <c r="F574" s="14">
        <f>CHOOSE(CONTROL!$C$42, 29.1968, 29.1968)*CHOOSE(CONTROL!$C$21, $C$9, 100%, $E$9)</f>
        <v>29.1968</v>
      </c>
      <c r="G574" s="14">
        <f>CHOOSE(CONTROL!$C$42, 29.2139, 29.2139)*CHOOSE(CONTROL!$C$21, $C$9, 100%, $E$9)</f>
        <v>29.213899999999999</v>
      </c>
      <c r="H574" s="14">
        <f>CHOOSE(CONTROL!$C$42, 29.4236, 29.4236) * CHOOSE(CONTROL!$C$21, $C$9, 100%, $E$9)</f>
        <v>29.4236</v>
      </c>
      <c r="I574" s="14">
        <f>CHOOSE(CONTROL!$C$42, 29.2926, 29.2926)* CHOOSE(CONTROL!$C$21, $C$9, 100%, $E$9)</f>
        <v>29.2926</v>
      </c>
      <c r="J574" s="14">
        <f>CHOOSE(CONTROL!$C$42, 29.1898, 29.1898)* CHOOSE(CONTROL!$C$21, $C$9, 100%, $E$9)</f>
        <v>29.189800000000002</v>
      </c>
      <c r="K574" s="52">
        <f>CHOOSE(CONTROL!$C$42, 29.2887, 29.2887) * CHOOSE(CONTROL!$C$21, $C$9, 100%, $E$9)</f>
        <v>29.288699999999999</v>
      </c>
      <c r="L574" s="14">
        <f>CHOOSE(CONTROL!$C$42, 30.0106, 30.0106) * CHOOSE(CONTROL!$C$21, $C$9, 100%, $E$9)</f>
        <v>30.0106</v>
      </c>
      <c r="M574" s="14">
        <f>CHOOSE(CONTROL!$C$42, 28.5994, 28.5994) * CHOOSE(CONTROL!$C$21, $C$9, 100%, $E$9)</f>
        <v>28.599399999999999</v>
      </c>
      <c r="N574" s="14">
        <f>CHOOSE(CONTROL!$C$42, 28.6162, 28.6162) * CHOOSE(CONTROL!$C$21, $C$9, 100%, $E$9)</f>
        <v>28.616199999999999</v>
      </c>
      <c r="O574" s="14">
        <f>CHOOSE(CONTROL!$C$42, 28.8284, 28.8284) * CHOOSE(CONTROL!$C$21, $C$9, 100%, $E$9)</f>
        <v>28.828399999999998</v>
      </c>
      <c r="P574" s="14">
        <f>CHOOSE(CONTROL!$C$42, 28.6983, 28.6983) * CHOOSE(CONTROL!$C$21, $C$9, 100%, $E$9)</f>
        <v>28.6983</v>
      </c>
      <c r="Q574" s="14">
        <f>CHOOSE(CONTROL!$C$42, 29.4231, 29.4231) * CHOOSE(CONTROL!$C$21, $C$9, 100%, $E$9)</f>
        <v>29.423100000000002</v>
      </c>
      <c r="R574" s="14">
        <f>CHOOSE(CONTROL!$C$42, 30.0837, 30.0837) * CHOOSE(CONTROL!$C$21, $C$9, 100%, $E$9)</f>
        <v>30.0837</v>
      </c>
      <c r="S574" s="14">
        <f>CHOOSE(CONTROL!$C$42, 28.0185, 28.0185) * CHOOSE(CONTROL!$C$21, $C$9, 100%, $E$9)</f>
        <v>28.0185</v>
      </c>
      <c r="T57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56">
        <f>(1000*CHOOSE(CONTROL!$C$42, 695, 695)*CHOOSE(CONTROL!$C$42, 0.5599, 0.5599)*CHOOSE(CONTROL!$C$42, 31, 31))/1000000</f>
        <v>12.063045499999998</v>
      </c>
      <c r="V574" s="56">
        <f>(1000*CHOOSE(CONTROL!$C$42, 500, 500)*CHOOSE(CONTROL!$C$42, 0.275, 0.275)*CHOOSE(CONTROL!$C$42, 31, 31))/1000000</f>
        <v>4.2625000000000002</v>
      </c>
      <c r="W574" s="56">
        <f>(1000*CHOOSE(CONTROL!$C$42, 0.1146, 0.1146)*CHOOSE(CONTROL!$C$42, 121.5, 121.5)*CHOOSE(CONTROL!$C$42, 31, 31))/1000000</f>
        <v>0.43164089999999994</v>
      </c>
      <c r="X574" s="56">
        <f>(31*0.1790888*245000/1000000)+(31*0.2374*100000/1000000)</f>
        <v>2.0961194359999999</v>
      </c>
      <c r="Y574" s="56"/>
      <c r="Z574" s="14"/>
      <c r="AA574" s="55"/>
      <c r="AB574" s="49">
        <f>(B574*131.881+C574*277.167+D574*79.08+E574*125.872+F574*40+G574*185+H574*0+I574*100+J574*300)/(131.881+277.167+79.08+125.872+0+40+185+100+300)</f>
        <v>29.234265639628735</v>
      </c>
      <c r="AC574" s="44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28.681749640287769</v>
      </c>
    </row>
    <row r="575" spans="1:29" ht="15.75" x14ac:dyDescent="0.25">
      <c r="A575" s="31">
        <v>58409</v>
      </c>
      <c r="B575" s="14">
        <f>CHOOSE(CONTROL!$C$42, 29.9357, 29.9357) * CHOOSE(CONTROL!$C$21, $C$9, 100%, $E$9)</f>
        <v>29.935700000000001</v>
      </c>
      <c r="C575" s="14">
        <f>CHOOSE(CONTROL!$C$42, 29.9407, 29.9407) * CHOOSE(CONTROL!$C$21, $C$9, 100%, $E$9)</f>
        <v>29.9407</v>
      </c>
      <c r="D575" s="14">
        <f>CHOOSE(CONTROL!$C$42, 30.0097, 30.0097) * CHOOSE(CONTROL!$C$21, $C$9, 100%, $E$9)</f>
        <v>30.009699999999999</v>
      </c>
      <c r="E575" s="14">
        <f>CHOOSE(CONTROL!$C$42, 30.0438, 30.0438) * CHOOSE(CONTROL!$C$21, $C$9, 100%, $E$9)</f>
        <v>30.043800000000001</v>
      </c>
      <c r="F575" s="14">
        <f>CHOOSE(CONTROL!$C$42, 29.9712, 29.9712)*CHOOSE(CONTROL!$C$21, $C$9, 100%, $E$9)</f>
        <v>29.9712</v>
      </c>
      <c r="G575" s="14">
        <f>CHOOSE(CONTROL!$C$42, 29.9886, 29.9886)*CHOOSE(CONTROL!$C$21, $C$9, 100%, $E$9)</f>
        <v>29.988600000000002</v>
      </c>
      <c r="H575" s="14">
        <f>CHOOSE(CONTROL!$C$42, 30.033, 30.033) * CHOOSE(CONTROL!$C$21, $C$9, 100%, $E$9)</f>
        <v>30.033000000000001</v>
      </c>
      <c r="I575" s="14">
        <f>CHOOSE(CONTROL!$C$42, 30.0657, 30.0657)* CHOOSE(CONTROL!$C$21, $C$9, 100%, $E$9)</f>
        <v>30.0657</v>
      </c>
      <c r="J575" s="14">
        <f>CHOOSE(CONTROL!$C$42, 29.9642, 29.9642)* CHOOSE(CONTROL!$C$21, $C$9, 100%, $E$9)</f>
        <v>29.964200000000002</v>
      </c>
      <c r="K575" s="52">
        <f>CHOOSE(CONTROL!$C$42, 30.0619, 30.0619) * CHOOSE(CONTROL!$C$21, $C$9, 100%, $E$9)</f>
        <v>30.061900000000001</v>
      </c>
      <c r="L575" s="14">
        <f>CHOOSE(CONTROL!$C$42, 30.62, 30.62) * CHOOSE(CONTROL!$C$21, $C$9, 100%, $E$9)</f>
        <v>30.62</v>
      </c>
      <c r="M575" s="14">
        <f>CHOOSE(CONTROL!$C$42, 29.358, 29.358) * CHOOSE(CONTROL!$C$21, $C$9, 100%, $E$9)</f>
        <v>29.358000000000001</v>
      </c>
      <c r="N575" s="14">
        <f>CHOOSE(CONTROL!$C$42, 29.375, 29.375) * CHOOSE(CONTROL!$C$21, $C$9, 100%, $E$9)</f>
        <v>29.375</v>
      </c>
      <c r="O575" s="14">
        <f>CHOOSE(CONTROL!$C$42, 29.4254, 29.4254) * CHOOSE(CONTROL!$C$21, $C$9, 100%, $E$9)</f>
        <v>29.4254</v>
      </c>
      <c r="P575" s="14">
        <f>CHOOSE(CONTROL!$C$42, 29.4556, 29.4556) * CHOOSE(CONTROL!$C$21, $C$9, 100%, $E$9)</f>
        <v>29.4556</v>
      </c>
      <c r="Q575" s="14">
        <f>CHOOSE(CONTROL!$C$42, 30.0201, 30.0201) * CHOOSE(CONTROL!$C$21, $C$9, 100%, $E$9)</f>
        <v>30.020099999999999</v>
      </c>
      <c r="R575" s="14">
        <f>CHOOSE(CONTROL!$C$42, 30.6821, 30.6821) * CHOOSE(CONTROL!$C$21, $C$9, 100%, $E$9)</f>
        <v>30.682099999999998</v>
      </c>
      <c r="S575" s="14">
        <f>CHOOSE(CONTROL!$C$42, 28.7566, 28.7566) * CHOOSE(CONTROL!$C$21, $C$9, 100%, $E$9)</f>
        <v>28.756599999999999</v>
      </c>
      <c r="T57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56">
        <f>(1000*CHOOSE(CONTROL!$C$42, 695, 695)*CHOOSE(CONTROL!$C$42, 0.5599, 0.5599)*CHOOSE(CONTROL!$C$42, 30, 30))/1000000</f>
        <v>11.673914999999997</v>
      </c>
      <c r="V575" s="56">
        <f>(1000*CHOOSE(CONTROL!$C$42, 500, 500)*CHOOSE(CONTROL!$C$42, 0.275, 0.275)*CHOOSE(CONTROL!$C$42, 30, 30))/1000000</f>
        <v>4.125</v>
      </c>
      <c r="W575" s="56">
        <f>(1000*CHOOSE(CONTROL!$C$42, 0.1146, 0.1146)*CHOOSE(CONTROL!$C$42, 121.5, 121.5)*CHOOSE(CONTROL!$C$42, 30, 30))/1000000</f>
        <v>0.417717</v>
      </c>
      <c r="X575" s="56">
        <f>(30*0.1790888*100000/1000000)+(30*0.2374*100000/1000000)</f>
        <v>1.2494664</v>
      </c>
      <c r="Y575" s="56"/>
      <c r="Z575" s="14"/>
      <c r="AA575" s="55"/>
      <c r="AB575" s="49">
        <f>(B575*122.58+C575*297.941+D575*89.177+E575*40.302+F575*40+G575*160+H575*0+I575*100+J575*300)/(122.58+297.941+89.177+40.302+0+40+160+100+300)</f>
        <v>29.973856042782611</v>
      </c>
      <c r="AC575" s="44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29.403569784172667</v>
      </c>
    </row>
    <row r="576" spans="1:29" ht="15.75" x14ac:dyDescent="0.25">
      <c r="A576" s="31">
        <v>58440</v>
      </c>
      <c r="B576" s="14">
        <f>CHOOSE(CONTROL!$C$42, 31.976, 31.976) * CHOOSE(CONTROL!$C$21, $C$9, 100%, $E$9)</f>
        <v>31.975999999999999</v>
      </c>
      <c r="C576" s="14">
        <f>CHOOSE(CONTROL!$C$42, 31.9811, 31.9811) * CHOOSE(CONTROL!$C$21, $C$9, 100%, $E$9)</f>
        <v>31.981100000000001</v>
      </c>
      <c r="D576" s="14">
        <f>CHOOSE(CONTROL!$C$42, 32.0501, 32.0501) * CHOOSE(CONTROL!$C$21, $C$9, 100%, $E$9)</f>
        <v>32.0501</v>
      </c>
      <c r="E576" s="14">
        <f>CHOOSE(CONTROL!$C$42, 32.0842, 32.0842) * CHOOSE(CONTROL!$C$21, $C$9, 100%, $E$9)</f>
        <v>32.084200000000003</v>
      </c>
      <c r="F576" s="14">
        <f>CHOOSE(CONTROL!$C$42, 32.0138, 32.0138)*CHOOSE(CONTROL!$C$21, $C$9, 100%, $E$9)</f>
        <v>32.013800000000003</v>
      </c>
      <c r="G576" s="14">
        <f>CHOOSE(CONTROL!$C$42, 32.0318, 32.0318)*CHOOSE(CONTROL!$C$21, $C$9, 100%, $E$9)</f>
        <v>32.031799999999997</v>
      </c>
      <c r="H576" s="14">
        <f>CHOOSE(CONTROL!$C$42, 32.0734, 32.0734) * CHOOSE(CONTROL!$C$21, $C$9, 100%, $E$9)</f>
        <v>32.073399999999999</v>
      </c>
      <c r="I576" s="14">
        <f>CHOOSE(CONTROL!$C$42, 32.1125, 32.1125)* CHOOSE(CONTROL!$C$21, $C$9, 100%, $E$9)</f>
        <v>32.112499999999997</v>
      </c>
      <c r="J576" s="14">
        <f>CHOOSE(CONTROL!$C$42, 32.0068, 32.0068)* CHOOSE(CONTROL!$C$21, $C$9, 100%, $E$9)</f>
        <v>32.006799999999998</v>
      </c>
      <c r="K576" s="52">
        <f>CHOOSE(CONTROL!$C$42, 32.1086, 32.1086) * CHOOSE(CONTROL!$C$21, $C$9, 100%, $E$9)</f>
        <v>32.108600000000003</v>
      </c>
      <c r="L576" s="14">
        <f>CHOOSE(CONTROL!$C$42, 32.6604, 32.6604) * CHOOSE(CONTROL!$C$21, $C$9, 100%, $E$9)</f>
        <v>32.660400000000003</v>
      </c>
      <c r="M576" s="14">
        <f>CHOOSE(CONTROL!$C$42, 31.3587, 31.3587) * CHOOSE(CONTROL!$C$21, $C$9, 100%, $E$9)</f>
        <v>31.358699999999999</v>
      </c>
      <c r="N576" s="14">
        <f>CHOOSE(CONTROL!$C$42, 31.3764, 31.3764) * CHOOSE(CONTROL!$C$21, $C$9, 100%, $E$9)</f>
        <v>31.3764</v>
      </c>
      <c r="O576" s="14">
        <f>CHOOSE(CONTROL!$C$42, 31.4239, 31.4239) * CHOOSE(CONTROL!$C$21, $C$9, 100%, $E$9)</f>
        <v>31.4239</v>
      </c>
      <c r="P576" s="14">
        <f>CHOOSE(CONTROL!$C$42, 31.4603, 31.4603) * CHOOSE(CONTROL!$C$21, $C$9, 100%, $E$9)</f>
        <v>31.4603</v>
      </c>
      <c r="Q576" s="14">
        <f>CHOOSE(CONTROL!$C$42, 32.0186, 32.0186) * CHOOSE(CONTROL!$C$21, $C$9, 100%, $E$9)</f>
        <v>32.018599999999999</v>
      </c>
      <c r="R576" s="14">
        <f>CHOOSE(CONTROL!$C$42, 32.6857, 32.6857) * CHOOSE(CONTROL!$C$21, $C$9, 100%, $E$9)</f>
        <v>32.685699999999997</v>
      </c>
      <c r="S576" s="14">
        <f>CHOOSE(CONTROL!$C$42, 30.7172, 30.7172) * CHOOSE(CONTROL!$C$21, $C$9, 100%, $E$9)</f>
        <v>30.717199999999998</v>
      </c>
      <c r="T57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56">
        <f>(1000*CHOOSE(CONTROL!$C$42, 695, 695)*CHOOSE(CONTROL!$C$42, 0.5599, 0.5599)*CHOOSE(CONTROL!$C$42, 31, 31))/1000000</f>
        <v>12.063045499999998</v>
      </c>
      <c r="V576" s="56">
        <f>(1000*CHOOSE(CONTROL!$C$42, 500, 500)*CHOOSE(CONTROL!$C$42, 0.275, 0.275)*CHOOSE(CONTROL!$C$42, 31, 31))/1000000</f>
        <v>4.2625000000000002</v>
      </c>
      <c r="W576" s="56">
        <f>(1000*CHOOSE(CONTROL!$C$42, 0.1146, 0.1146)*CHOOSE(CONTROL!$C$42, 121.5, 121.5)*CHOOSE(CONTROL!$C$42, 31, 31))/1000000</f>
        <v>0.43164089999999994</v>
      </c>
      <c r="X576" s="56">
        <f>(31*0.1790888*100000/1000000)+(31*0.2374*100000/1000000)</f>
        <v>1.2911152800000001</v>
      </c>
      <c r="Y576" s="56"/>
      <c r="Z576" s="14"/>
      <c r="AA576" s="55"/>
      <c r="AB576" s="49">
        <f>(B576*122.58+C576*297.941+D576*89.177+E576*40.302+F576*40+G576*160+H576*0+I576*100+J576*300)/(122.58+297.941+89.177+40.302+0+40+160+100+300)</f>
        <v>32.015841905391305</v>
      </c>
      <c r="AC576" s="44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31.403888489208633</v>
      </c>
    </row>
    <row r="577" spans="1:29" ht="15.75" x14ac:dyDescent="0.25">
      <c r="A577" s="31">
        <v>58471</v>
      </c>
      <c r="B577" s="14">
        <f>CHOOSE(CONTROL!$C$42, 34.626, 34.626) * CHOOSE(CONTROL!$C$21, $C$9, 100%, $E$9)</f>
        <v>34.625999999999998</v>
      </c>
      <c r="C577" s="14">
        <f>CHOOSE(CONTROL!$C$42, 34.6311, 34.6311) * CHOOSE(CONTROL!$C$21, $C$9, 100%, $E$9)</f>
        <v>34.631100000000004</v>
      </c>
      <c r="D577" s="14">
        <f>CHOOSE(CONTROL!$C$42, 34.7105, 34.7105) * CHOOSE(CONTROL!$C$21, $C$9, 100%, $E$9)</f>
        <v>34.710500000000003</v>
      </c>
      <c r="E577" s="14">
        <f>CHOOSE(CONTROL!$C$42, 34.7446, 34.7446) * CHOOSE(CONTROL!$C$21, $C$9, 100%, $E$9)</f>
        <v>34.744599999999998</v>
      </c>
      <c r="F577" s="14">
        <f>CHOOSE(CONTROL!$C$42, 34.6491, 34.6491)*CHOOSE(CONTROL!$C$21, $C$9, 100%, $E$9)</f>
        <v>34.649099999999997</v>
      </c>
      <c r="G577" s="14">
        <f>CHOOSE(CONTROL!$C$42, 34.6666, 34.6666)*CHOOSE(CONTROL!$C$21, $C$9, 100%, $E$9)</f>
        <v>34.666600000000003</v>
      </c>
      <c r="H577" s="14">
        <f>CHOOSE(CONTROL!$C$42, 34.7338, 34.7338) * CHOOSE(CONTROL!$C$21, $C$9, 100%, $E$9)</f>
        <v>34.733800000000002</v>
      </c>
      <c r="I577" s="14">
        <f>CHOOSE(CONTROL!$C$42, 34.7698, 34.7698)* CHOOSE(CONTROL!$C$21, $C$9, 100%, $E$9)</f>
        <v>34.769799999999996</v>
      </c>
      <c r="J577" s="14">
        <f>CHOOSE(CONTROL!$C$42, 34.6421, 34.6421)* CHOOSE(CONTROL!$C$21, $C$9, 100%, $E$9)</f>
        <v>34.642099999999999</v>
      </c>
      <c r="K577" s="52">
        <f>CHOOSE(CONTROL!$C$42, 34.7659, 34.7659) * CHOOSE(CONTROL!$C$21, $C$9, 100%, $E$9)</f>
        <v>34.765900000000002</v>
      </c>
      <c r="L577" s="14">
        <f>CHOOSE(CONTROL!$C$42, 35.3208, 35.3208) * CHOOSE(CONTROL!$C$21, $C$9, 100%, $E$9)</f>
        <v>35.320799999999998</v>
      </c>
      <c r="M577" s="14">
        <f>CHOOSE(CONTROL!$C$42, 33.94, 33.94) * CHOOSE(CONTROL!$C$21, $C$9, 100%, $E$9)</f>
        <v>33.94</v>
      </c>
      <c r="N577" s="14">
        <f>CHOOSE(CONTROL!$C$42, 33.9571, 33.9571) * CHOOSE(CONTROL!$C$21, $C$9, 100%, $E$9)</f>
        <v>33.957099999999997</v>
      </c>
      <c r="O577" s="14">
        <f>CHOOSE(CONTROL!$C$42, 34.0298, 34.0298) * CHOOSE(CONTROL!$C$21, $C$9, 100%, $E$9)</f>
        <v>34.029800000000002</v>
      </c>
      <c r="P577" s="14">
        <f>CHOOSE(CONTROL!$C$42, 34.0629, 34.0629) * CHOOSE(CONTROL!$C$21, $C$9, 100%, $E$9)</f>
        <v>34.062899999999999</v>
      </c>
      <c r="Q577" s="14">
        <f>CHOOSE(CONTROL!$C$42, 34.6245, 34.6245) * CHOOSE(CONTROL!$C$21, $C$9, 100%, $E$9)</f>
        <v>34.624499999999998</v>
      </c>
      <c r="R577" s="14">
        <f>CHOOSE(CONTROL!$C$42, 35.2981, 35.2981) * CHOOSE(CONTROL!$C$21, $C$9, 100%, $E$9)</f>
        <v>35.298099999999998</v>
      </c>
      <c r="S577" s="14">
        <f>CHOOSE(CONTROL!$C$42, 33.2636, 33.2636) * CHOOSE(CONTROL!$C$21, $C$9, 100%, $E$9)</f>
        <v>33.263599999999997</v>
      </c>
      <c r="T57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56">
        <f>(1000*CHOOSE(CONTROL!$C$42, 695, 695)*CHOOSE(CONTROL!$C$42, 0.5599, 0.5599)*CHOOSE(CONTROL!$C$42, 31, 31))/1000000</f>
        <v>12.063045499999998</v>
      </c>
      <c r="V577" s="56">
        <f>(1000*CHOOSE(CONTROL!$C$42, 500, 500)*CHOOSE(CONTROL!$C$42, 0.275, 0.275)*CHOOSE(CONTROL!$C$42, 31, 31))/1000000</f>
        <v>4.2625000000000002</v>
      </c>
      <c r="W577" s="56">
        <f>(1000*CHOOSE(CONTROL!$C$42, 0.1146, 0.1146)*CHOOSE(CONTROL!$C$42, 121.5, 121.5)*CHOOSE(CONTROL!$C$42, 31, 31))/1000000</f>
        <v>0.43164089999999994</v>
      </c>
      <c r="X577" s="56">
        <f>(31*0.1790888*100000/1000000)+(31*0.2374*100000/1000000)</f>
        <v>1.2911152800000001</v>
      </c>
      <c r="Y577" s="56"/>
      <c r="Z577" s="14"/>
      <c r="AA577" s="55"/>
      <c r="AB577" s="49">
        <f>(B577*122.58+C577*297.941+D577*89.177+E577*40.302+F577*40+G577*160+H577*0+I577*100+J577*300)/(122.58+297.941+89.177+40.302+0+40+160+100+300)</f>
        <v>34.661186758956518</v>
      </c>
      <c r="AC577" s="44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33.999368345323745</v>
      </c>
    </row>
    <row r="578" spans="1:29" ht="15.75" x14ac:dyDescent="0.25">
      <c r="A578" s="31">
        <v>58499</v>
      </c>
      <c r="B578" s="14">
        <f>CHOOSE(CONTROL!$C$42, 35.2423, 35.2423) * CHOOSE(CONTROL!$C$21, $C$9, 100%, $E$9)</f>
        <v>35.2423</v>
      </c>
      <c r="C578" s="14">
        <f>CHOOSE(CONTROL!$C$42, 35.2473, 35.2473) * CHOOSE(CONTROL!$C$21, $C$9, 100%, $E$9)</f>
        <v>35.247300000000003</v>
      </c>
      <c r="D578" s="14">
        <f>CHOOSE(CONTROL!$C$42, 35.3268, 35.3268) * CHOOSE(CONTROL!$C$21, $C$9, 100%, $E$9)</f>
        <v>35.326799999999999</v>
      </c>
      <c r="E578" s="14">
        <f>CHOOSE(CONTROL!$C$42, 35.3609, 35.3609) * CHOOSE(CONTROL!$C$21, $C$9, 100%, $E$9)</f>
        <v>35.360900000000001</v>
      </c>
      <c r="F578" s="14">
        <f>CHOOSE(CONTROL!$C$42, 35.265, 35.265)*CHOOSE(CONTROL!$C$21, $C$9, 100%, $E$9)</f>
        <v>35.265000000000001</v>
      </c>
      <c r="G578" s="14">
        <f>CHOOSE(CONTROL!$C$42, 35.2825, 35.2825)*CHOOSE(CONTROL!$C$21, $C$9, 100%, $E$9)</f>
        <v>35.282499999999999</v>
      </c>
      <c r="H578" s="14">
        <f>CHOOSE(CONTROL!$C$42, 35.3501, 35.3501) * CHOOSE(CONTROL!$C$21, $C$9, 100%, $E$9)</f>
        <v>35.350099999999998</v>
      </c>
      <c r="I578" s="14">
        <f>CHOOSE(CONTROL!$C$42, 35.3879, 35.3879)* CHOOSE(CONTROL!$C$21, $C$9, 100%, $E$9)</f>
        <v>35.387900000000002</v>
      </c>
      <c r="J578" s="14">
        <f>CHOOSE(CONTROL!$C$42, 35.258, 35.258)* CHOOSE(CONTROL!$C$21, $C$9, 100%, $E$9)</f>
        <v>35.258000000000003</v>
      </c>
      <c r="K578" s="52">
        <f>CHOOSE(CONTROL!$C$42, 35.384, 35.384) * CHOOSE(CONTROL!$C$21, $C$9, 100%, $E$9)</f>
        <v>35.384</v>
      </c>
      <c r="L578" s="14">
        <f>CHOOSE(CONTROL!$C$42, 35.9371, 35.9371) * CHOOSE(CONTROL!$C$21, $C$9, 100%, $E$9)</f>
        <v>35.937100000000001</v>
      </c>
      <c r="M578" s="14">
        <f>CHOOSE(CONTROL!$C$42, 34.5433, 34.5433) * CHOOSE(CONTROL!$C$21, $C$9, 100%, $E$9)</f>
        <v>34.543300000000002</v>
      </c>
      <c r="N578" s="14">
        <f>CHOOSE(CONTROL!$C$42, 34.5604, 34.5604) * CHOOSE(CONTROL!$C$21, $C$9, 100%, $E$9)</f>
        <v>34.560400000000001</v>
      </c>
      <c r="O578" s="14">
        <f>CHOOSE(CONTROL!$C$42, 34.6334, 34.6334) * CHOOSE(CONTROL!$C$21, $C$9, 100%, $E$9)</f>
        <v>34.633400000000002</v>
      </c>
      <c r="P578" s="14">
        <f>CHOOSE(CONTROL!$C$42, 34.6684, 34.6684) * CHOOSE(CONTROL!$C$21, $C$9, 100%, $E$9)</f>
        <v>34.668399999999998</v>
      </c>
      <c r="Q578" s="14">
        <f>CHOOSE(CONTROL!$C$42, 35.2281, 35.2281) * CHOOSE(CONTROL!$C$21, $C$9, 100%, $E$9)</f>
        <v>35.228099999999998</v>
      </c>
      <c r="R578" s="14">
        <f>CHOOSE(CONTROL!$C$42, 35.9032, 35.9032) * CHOOSE(CONTROL!$C$21, $C$9, 100%, $E$9)</f>
        <v>35.903199999999998</v>
      </c>
      <c r="S578" s="14">
        <f>CHOOSE(CONTROL!$C$42, 33.8557, 33.8557) * CHOOSE(CONTROL!$C$21, $C$9, 100%, $E$9)</f>
        <v>33.855699999999999</v>
      </c>
      <c r="T578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78" s="56">
        <f>(1000*CHOOSE(CONTROL!$C$42, 695, 695)*CHOOSE(CONTROL!$C$42, 0.5599, 0.5599)*CHOOSE(CONTROL!$C$42, 29, 29))/1000000</f>
        <v>11.284784499999999</v>
      </c>
      <c r="V578" s="56">
        <f>(1000*CHOOSE(CONTROL!$C$42, 500, 500)*CHOOSE(CONTROL!$C$42, 0.275, 0.275)*CHOOSE(CONTROL!$C$42, 29, 29))/1000000</f>
        <v>3.9874999999999998</v>
      </c>
      <c r="W578" s="56">
        <f>(1000*CHOOSE(CONTROL!$C$42, 0.1146, 0.1146)*CHOOSE(CONTROL!$C$42, 121.5, 121.5)*CHOOSE(CONTROL!$C$42, 29, 29))/1000000</f>
        <v>0.40379309999999996</v>
      </c>
      <c r="X578" s="56">
        <f>(29*0.1790888*100000/1000000)+(29*0.2374*100000/1000000)</f>
        <v>1.2078175199999999</v>
      </c>
      <c r="Y578" s="56"/>
      <c r="Z578" s="14"/>
      <c r="AA578" s="55"/>
      <c r="AB578" s="49">
        <f>(B578*122.58+C578*297.941+D578*89.177+E578*40.302+F578*40+G578*160+H578*0+I578*100+J578*300)/(122.58+297.941+89.177+40.302+0+40+160+100+300)</f>
        <v>35.277443459739132</v>
      </c>
      <c r="AC578" s="44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34.603120863309357</v>
      </c>
    </row>
    <row r="579" spans="1:29" ht="15.75" x14ac:dyDescent="0.25">
      <c r="A579" s="31">
        <v>58531</v>
      </c>
      <c r="B579" s="14">
        <f>CHOOSE(CONTROL!$C$42, 34.242, 34.242) * CHOOSE(CONTROL!$C$21, $C$9, 100%, $E$9)</f>
        <v>34.241999999999997</v>
      </c>
      <c r="C579" s="14">
        <f>CHOOSE(CONTROL!$C$42, 34.247, 34.247) * CHOOSE(CONTROL!$C$21, $C$9, 100%, $E$9)</f>
        <v>34.247</v>
      </c>
      <c r="D579" s="14">
        <f>CHOOSE(CONTROL!$C$42, 34.3265, 34.3265) * CHOOSE(CONTROL!$C$21, $C$9, 100%, $E$9)</f>
        <v>34.326500000000003</v>
      </c>
      <c r="E579" s="14">
        <f>CHOOSE(CONTROL!$C$42, 34.3606, 34.3606) * CHOOSE(CONTROL!$C$21, $C$9, 100%, $E$9)</f>
        <v>34.360599999999998</v>
      </c>
      <c r="F579" s="14">
        <f>CHOOSE(CONTROL!$C$42, 34.264, 34.264)*CHOOSE(CONTROL!$C$21, $C$9, 100%, $E$9)</f>
        <v>34.264000000000003</v>
      </c>
      <c r="G579" s="14">
        <f>CHOOSE(CONTROL!$C$42, 34.2813, 34.2813)*CHOOSE(CONTROL!$C$21, $C$9, 100%, $E$9)</f>
        <v>34.281300000000002</v>
      </c>
      <c r="H579" s="14">
        <f>CHOOSE(CONTROL!$C$42, 34.3498, 34.3498) * CHOOSE(CONTROL!$C$21, $C$9, 100%, $E$9)</f>
        <v>34.349800000000002</v>
      </c>
      <c r="I579" s="14">
        <f>CHOOSE(CONTROL!$C$42, 34.3845, 34.3845)* CHOOSE(CONTROL!$C$21, $C$9, 100%, $E$9)</f>
        <v>34.384500000000003</v>
      </c>
      <c r="J579" s="14">
        <f>CHOOSE(CONTROL!$C$42, 34.257, 34.257)* CHOOSE(CONTROL!$C$21, $C$9, 100%, $E$9)</f>
        <v>34.256999999999998</v>
      </c>
      <c r="K579" s="52">
        <f>CHOOSE(CONTROL!$C$42, 34.3806, 34.3806) * CHOOSE(CONTROL!$C$21, $C$9, 100%, $E$9)</f>
        <v>34.380600000000001</v>
      </c>
      <c r="L579" s="14">
        <f>CHOOSE(CONTROL!$C$42, 34.9368, 34.9368) * CHOOSE(CONTROL!$C$21, $C$9, 100%, $E$9)</f>
        <v>34.936799999999998</v>
      </c>
      <c r="M579" s="14">
        <f>CHOOSE(CONTROL!$C$42, 33.5628, 33.5628) * CHOOSE(CONTROL!$C$21, $C$9, 100%, $E$9)</f>
        <v>33.562800000000003</v>
      </c>
      <c r="N579" s="14">
        <f>CHOOSE(CONTROL!$C$42, 33.5797, 33.5797) * CHOOSE(CONTROL!$C$21, $C$9, 100%, $E$9)</f>
        <v>33.579700000000003</v>
      </c>
      <c r="O579" s="14">
        <f>CHOOSE(CONTROL!$C$42, 33.6537, 33.6537) * CHOOSE(CONTROL!$C$21, $C$9, 100%, $E$9)</f>
        <v>33.653700000000001</v>
      </c>
      <c r="P579" s="14">
        <f>CHOOSE(CONTROL!$C$42, 33.6856, 33.6856) * CHOOSE(CONTROL!$C$21, $C$9, 100%, $E$9)</f>
        <v>33.685600000000001</v>
      </c>
      <c r="Q579" s="14">
        <f>CHOOSE(CONTROL!$C$42, 34.2484, 34.2484) * CHOOSE(CONTROL!$C$21, $C$9, 100%, $E$9)</f>
        <v>34.248399999999997</v>
      </c>
      <c r="R579" s="14">
        <f>CHOOSE(CONTROL!$C$42, 34.921, 34.921) * CHOOSE(CONTROL!$C$21, $C$9, 100%, $E$9)</f>
        <v>34.920999999999999</v>
      </c>
      <c r="S579" s="14">
        <f>CHOOSE(CONTROL!$C$42, 32.8946, 32.8946) * CHOOSE(CONTROL!$C$21, $C$9, 100%, $E$9)</f>
        <v>32.894599999999997</v>
      </c>
      <c r="T57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56">
        <f>(1000*CHOOSE(CONTROL!$C$42, 695, 695)*CHOOSE(CONTROL!$C$42, 0.5599, 0.5599)*CHOOSE(CONTROL!$C$42, 31, 31))/1000000</f>
        <v>12.063045499999998</v>
      </c>
      <c r="V579" s="56">
        <f>(1000*CHOOSE(CONTROL!$C$42, 500, 500)*CHOOSE(CONTROL!$C$42, 0.275, 0.275)*CHOOSE(CONTROL!$C$42, 31, 31))/1000000</f>
        <v>4.2625000000000002</v>
      </c>
      <c r="W579" s="56">
        <f>(1000*CHOOSE(CONTROL!$C$42, 0.1146, 0.1146)*CHOOSE(CONTROL!$C$42, 121.5, 121.5)*CHOOSE(CONTROL!$C$42, 31, 31))/1000000</f>
        <v>0.43164089999999994</v>
      </c>
      <c r="X579" s="56">
        <f>(31*0.1790888*100000/1000000)+(31*0.2374*100000/1000000)</f>
        <v>1.2911152800000001</v>
      </c>
      <c r="Y579" s="56"/>
      <c r="Z579" s="14"/>
      <c r="AA579" s="55"/>
      <c r="AB579" s="49">
        <f>(B579*122.58+C579*297.941+D579*89.177+E579*40.302+F579*40+G579*160+H579*0+I579*100+J579*300)/(122.58+297.941+89.177+40.302+0+40+160+100+300)</f>
        <v>34.276541720608698</v>
      </c>
      <c r="AC579" s="44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33.622641007194254</v>
      </c>
    </row>
    <row r="580" spans="1:29" ht="15.75" x14ac:dyDescent="0.25">
      <c r="A580" s="31">
        <v>58561</v>
      </c>
      <c r="B580" s="14">
        <f>CHOOSE(CONTROL!$C$42, 34.1405, 34.1405) * CHOOSE(CONTROL!$C$21, $C$9, 100%, $E$9)</f>
        <v>34.140500000000003</v>
      </c>
      <c r="C580" s="14">
        <f>CHOOSE(CONTROL!$C$42, 34.145, 34.145) * CHOOSE(CONTROL!$C$21, $C$9, 100%, $E$9)</f>
        <v>34.145000000000003</v>
      </c>
      <c r="D580" s="14">
        <f>CHOOSE(CONTROL!$C$42, 34.3739, 34.3739) * CHOOSE(CONTROL!$C$21, $C$9, 100%, $E$9)</f>
        <v>34.373899999999999</v>
      </c>
      <c r="E580" s="14">
        <f>CHOOSE(CONTROL!$C$42, 34.406, 34.406) * CHOOSE(CONTROL!$C$21, $C$9, 100%, $E$9)</f>
        <v>34.405999999999999</v>
      </c>
      <c r="F580" s="14">
        <f>CHOOSE(CONTROL!$C$42, 34.1675, 34.1675)*CHOOSE(CONTROL!$C$21, $C$9, 100%, $E$9)</f>
        <v>34.167499999999997</v>
      </c>
      <c r="G580" s="14">
        <f>CHOOSE(CONTROL!$C$42, 34.1842, 34.1842)*CHOOSE(CONTROL!$C$21, $C$9, 100%, $E$9)</f>
        <v>34.184199999999997</v>
      </c>
      <c r="H580" s="14">
        <f>CHOOSE(CONTROL!$C$42, 34.3958, 34.3958) * CHOOSE(CONTROL!$C$21, $C$9, 100%, $E$9)</f>
        <v>34.395800000000001</v>
      </c>
      <c r="I580" s="14">
        <f>CHOOSE(CONTROL!$C$42, 34.2804, 34.2804)* CHOOSE(CONTROL!$C$21, $C$9, 100%, $E$9)</f>
        <v>34.2804</v>
      </c>
      <c r="J580" s="14">
        <f>CHOOSE(CONTROL!$C$42, 34.1605, 34.1605)* CHOOSE(CONTROL!$C$21, $C$9, 100%, $E$9)</f>
        <v>34.160499999999999</v>
      </c>
      <c r="K580" s="52">
        <f>CHOOSE(CONTROL!$C$42, 34.2765, 34.2765) * CHOOSE(CONTROL!$C$21, $C$9, 100%, $E$9)</f>
        <v>34.276499999999999</v>
      </c>
      <c r="L580" s="14">
        <f>CHOOSE(CONTROL!$C$42, 34.9828, 34.9828) * CHOOSE(CONTROL!$C$21, $C$9, 100%, $E$9)</f>
        <v>34.982799999999997</v>
      </c>
      <c r="M580" s="14">
        <f>CHOOSE(CONTROL!$C$42, 33.4683, 33.4683) * CHOOSE(CONTROL!$C$21, $C$9, 100%, $E$9)</f>
        <v>33.468299999999999</v>
      </c>
      <c r="N580" s="14">
        <f>CHOOSE(CONTROL!$C$42, 33.4846, 33.4846) * CHOOSE(CONTROL!$C$21, $C$9, 100%, $E$9)</f>
        <v>33.4846</v>
      </c>
      <c r="O580" s="14">
        <f>CHOOSE(CONTROL!$C$42, 33.6987, 33.6987) * CHOOSE(CONTROL!$C$21, $C$9, 100%, $E$9)</f>
        <v>33.698700000000002</v>
      </c>
      <c r="P580" s="14">
        <f>CHOOSE(CONTROL!$C$42, 33.5836, 33.5836) * CHOOSE(CONTROL!$C$21, $C$9, 100%, $E$9)</f>
        <v>33.583599999999997</v>
      </c>
      <c r="Q580" s="14">
        <f>CHOOSE(CONTROL!$C$42, 34.2934, 34.2934) * CHOOSE(CONTROL!$C$21, $C$9, 100%, $E$9)</f>
        <v>34.293399999999998</v>
      </c>
      <c r="R580" s="14">
        <f>CHOOSE(CONTROL!$C$42, 34.9662, 34.9662) * CHOOSE(CONTROL!$C$21, $C$9, 100%, $E$9)</f>
        <v>34.966200000000001</v>
      </c>
      <c r="S580" s="14">
        <f>CHOOSE(CONTROL!$C$42, 32.7963, 32.7963) * CHOOSE(CONTROL!$C$21, $C$9, 100%, $E$9)</f>
        <v>32.796300000000002</v>
      </c>
      <c r="T58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56">
        <f>(1000*CHOOSE(CONTROL!$C$42, 695, 695)*CHOOSE(CONTROL!$C$42, 0.5599, 0.5599)*CHOOSE(CONTROL!$C$42, 30, 30))/1000000</f>
        <v>11.673914999999997</v>
      </c>
      <c r="V580" s="56">
        <f>(1000*CHOOSE(CONTROL!$C$42, 500, 500)*CHOOSE(CONTROL!$C$42, 0.275, 0.275)*CHOOSE(CONTROL!$C$42, 30, 30))/1000000</f>
        <v>4.125</v>
      </c>
      <c r="W580" s="56">
        <f>(1000*CHOOSE(CONTROL!$C$42, 0.1146, 0.1146)*CHOOSE(CONTROL!$C$42, 121.5, 121.5)*CHOOSE(CONTROL!$C$42, 30, 30))/1000000</f>
        <v>0.417717</v>
      </c>
      <c r="X580" s="56">
        <f>(30*0.1790888*245000/1000000)+(30*0.2374*100000/1000000)</f>
        <v>2.0285026799999999</v>
      </c>
      <c r="Y580" s="56"/>
      <c r="Z580" s="14"/>
      <c r="AA580" s="55"/>
      <c r="AB580" s="49">
        <f>(B580*141.293+C580*267.993+D580*115.016+E580*89.698+F580*40+G580*185+H580*0+I580*100+J580*300)/(141.293+267.993+115.016+89.698+0+40+185+100+300)</f>
        <v>34.205891462389026</v>
      </c>
      <c r="AC580" s="44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33.553287050359714</v>
      </c>
    </row>
    <row r="581" spans="1:29" ht="15.75" x14ac:dyDescent="0.25">
      <c r="A581" s="31">
        <v>58592</v>
      </c>
      <c r="B581" s="14">
        <f>CHOOSE(CONTROL!$C$42, 34.4431, 34.4431) * CHOOSE(CONTROL!$C$21, $C$9, 100%, $E$9)</f>
        <v>34.443100000000001</v>
      </c>
      <c r="C581" s="14">
        <f>CHOOSE(CONTROL!$C$42, 34.4512, 34.4512) * CHOOSE(CONTROL!$C$21, $C$9, 100%, $E$9)</f>
        <v>34.4512</v>
      </c>
      <c r="D581" s="14">
        <f>CHOOSE(CONTROL!$C$42, 34.6769, 34.6769) * CHOOSE(CONTROL!$C$21, $C$9, 100%, $E$9)</f>
        <v>34.676900000000003</v>
      </c>
      <c r="E581" s="14">
        <f>CHOOSE(CONTROL!$C$42, 34.7084, 34.7084) * CHOOSE(CONTROL!$C$21, $C$9, 100%, $E$9)</f>
        <v>34.708399999999997</v>
      </c>
      <c r="F581" s="14">
        <f>CHOOSE(CONTROL!$C$42, 34.4688, 34.4688)*CHOOSE(CONTROL!$C$21, $C$9, 100%, $E$9)</f>
        <v>34.468800000000002</v>
      </c>
      <c r="G581" s="14">
        <f>CHOOSE(CONTROL!$C$42, 34.4857, 34.4857)*CHOOSE(CONTROL!$C$21, $C$9, 100%, $E$9)</f>
        <v>34.485700000000001</v>
      </c>
      <c r="H581" s="14">
        <f>CHOOSE(CONTROL!$C$42, 34.697, 34.697) * CHOOSE(CONTROL!$C$21, $C$9, 100%, $E$9)</f>
        <v>34.697000000000003</v>
      </c>
      <c r="I581" s="14">
        <f>CHOOSE(CONTROL!$C$42, 34.5825, 34.5825)* CHOOSE(CONTROL!$C$21, $C$9, 100%, $E$9)</f>
        <v>34.582500000000003</v>
      </c>
      <c r="J581" s="14">
        <f>CHOOSE(CONTROL!$C$42, 34.4618, 34.4618)* CHOOSE(CONTROL!$C$21, $C$9, 100%, $E$9)</f>
        <v>34.461799999999997</v>
      </c>
      <c r="K581" s="52">
        <f>CHOOSE(CONTROL!$C$42, 34.5786, 34.5786) * CHOOSE(CONTROL!$C$21, $C$9, 100%, $E$9)</f>
        <v>34.578600000000002</v>
      </c>
      <c r="L581" s="14">
        <f>CHOOSE(CONTROL!$C$42, 35.284, 35.284) * CHOOSE(CONTROL!$C$21, $C$9, 100%, $E$9)</f>
        <v>35.283999999999999</v>
      </c>
      <c r="M581" s="14">
        <f>CHOOSE(CONTROL!$C$42, 33.7634, 33.7634) * CHOOSE(CONTROL!$C$21, $C$9, 100%, $E$9)</f>
        <v>33.763399999999997</v>
      </c>
      <c r="N581" s="14">
        <f>CHOOSE(CONTROL!$C$42, 33.78, 33.78) * CHOOSE(CONTROL!$C$21, $C$9, 100%, $E$9)</f>
        <v>33.78</v>
      </c>
      <c r="O581" s="14">
        <f>CHOOSE(CONTROL!$C$42, 33.9938, 33.9938) * CHOOSE(CONTROL!$C$21, $C$9, 100%, $E$9)</f>
        <v>33.9938</v>
      </c>
      <c r="P581" s="14">
        <f>CHOOSE(CONTROL!$C$42, 33.8796, 33.8796) * CHOOSE(CONTROL!$C$21, $C$9, 100%, $E$9)</f>
        <v>33.879600000000003</v>
      </c>
      <c r="Q581" s="14">
        <f>CHOOSE(CONTROL!$C$42, 34.5885, 34.5885) * CHOOSE(CONTROL!$C$21, $C$9, 100%, $E$9)</f>
        <v>34.588500000000003</v>
      </c>
      <c r="R581" s="14">
        <f>CHOOSE(CONTROL!$C$42, 35.262, 35.262) * CHOOSE(CONTROL!$C$21, $C$9, 100%, $E$9)</f>
        <v>35.262</v>
      </c>
      <c r="S581" s="14">
        <f>CHOOSE(CONTROL!$C$42, 33.0858, 33.0858) * CHOOSE(CONTROL!$C$21, $C$9, 100%, $E$9)</f>
        <v>33.085799999999999</v>
      </c>
      <c r="T58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56">
        <f>(1000*CHOOSE(CONTROL!$C$42, 695, 695)*CHOOSE(CONTROL!$C$42, 0.5599, 0.5599)*CHOOSE(CONTROL!$C$42, 31, 31))/1000000</f>
        <v>12.063045499999998</v>
      </c>
      <c r="V581" s="56">
        <f>(1000*CHOOSE(CONTROL!$C$42, 500, 500)*CHOOSE(CONTROL!$C$42, 0.275, 0.275)*CHOOSE(CONTROL!$C$42, 31, 31))/1000000</f>
        <v>4.2625000000000002</v>
      </c>
      <c r="W581" s="56">
        <f>(1000*CHOOSE(CONTROL!$C$42, 0.1146, 0.1146)*CHOOSE(CONTROL!$C$42, 121.5, 121.5)*CHOOSE(CONTROL!$C$42, 31, 31))/1000000</f>
        <v>0.43164089999999994</v>
      </c>
      <c r="X581" s="56">
        <f>(31*0.1790888*245000/1000000)+(31*0.2374*100000/1000000)</f>
        <v>2.0961194359999999</v>
      </c>
      <c r="Y581" s="56"/>
      <c r="Z581" s="14"/>
      <c r="AA581" s="55"/>
      <c r="AB581" s="49">
        <f>(B581*194.205+C581*267.466+D581*133.845+E581*53.484+F581*40+G581*185+H581*0+I581*100+J581*300)/(194.205+267.466+133.845+53.484+0+40+185+100+300)</f>
        <v>34.502839200000004</v>
      </c>
      <c r="AC581" s="44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33.848585611510792</v>
      </c>
    </row>
    <row r="582" spans="1:29" ht="15.75" x14ac:dyDescent="0.25">
      <c r="A582" s="31">
        <v>58622</v>
      </c>
      <c r="B582" s="14">
        <f>CHOOSE(CONTROL!$C$42, 35.4198, 35.4198) * CHOOSE(CONTROL!$C$21, $C$9, 100%, $E$9)</f>
        <v>35.419800000000002</v>
      </c>
      <c r="C582" s="14">
        <f>CHOOSE(CONTROL!$C$42, 35.4278, 35.4278) * CHOOSE(CONTROL!$C$21, $C$9, 100%, $E$9)</f>
        <v>35.427799999999998</v>
      </c>
      <c r="D582" s="14">
        <f>CHOOSE(CONTROL!$C$42, 35.6536, 35.6536) * CHOOSE(CONTROL!$C$21, $C$9, 100%, $E$9)</f>
        <v>35.653599999999997</v>
      </c>
      <c r="E582" s="14">
        <f>CHOOSE(CONTROL!$C$42, 35.6851, 35.6851) * CHOOSE(CONTROL!$C$21, $C$9, 100%, $E$9)</f>
        <v>35.685099999999998</v>
      </c>
      <c r="F582" s="14">
        <f>CHOOSE(CONTROL!$C$42, 35.4459, 35.4459)*CHOOSE(CONTROL!$C$21, $C$9, 100%, $E$9)</f>
        <v>35.445900000000002</v>
      </c>
      <c r="G582" s="14">
        <f>CHOOSE(CONTROL!$C$42, 35.463, 35.463)*CHOOSE(CONTROL!$C$21, $C$9, 100%, $E$9)</f>
        <v>35.463000000000001</v>
      </c>
      <c r="H582" s="14">
        <f>CHOOSE(CONTROL!$C$42, 35.6737, 35.6737) * CHOOSE(CONTROL!$C$21, $C$9, 100%, $E$9)</f>
        <v>35.673699999999997</v>
      </c>
      <c r="I582" s="14">
        <f>CHOOSE(CONTROL!$C$42, 35.5623, 35.5623)* CHOOSE(CONTROL!$C$21, $C$9, 100%, $E$9)</f>
        <v>35.5623</v>
      </c>
      <c r="J582" s="14">
        <f>CHOOSE(CONTROL!$C$42, 35.4389, 35.4389)* CHOOSE(CONTROL!$C$21, $C$9, 100%, $E$9)</f>
        <v>35.438899999999997</v>
      </c>
      <c r="K582" s="52">
        <f>CHOOSE(CONTROL!$C$42, 35.5584, 35.5584) * CHOOSE(CONTROL!$C$21, $C$9, 100%, $E$9)</f>
        <v>35.558399999999999</v>
      </c>
      <c r="L582" s="14">
        <f>CHOOSE(CONTROL!$C$42, 36.2607, 36.2607) * CHOOSE(CONTROL!$C$21, $C$9, 100%, $E$9)</f>
        <v>36.2607</v>
      </c>
      <c r="M582" s="14">
        <f>CHOOSE(CONTROL!$C$42, 34.7205, 34.7205) * CHOOSE(CONTROL!$C$21, $C$9, 100%, $E$9)</f>
        <v>34.720500000000001</v>
      </c>
      <c r="N582" s="14">
        <f>CHOOSE(CONTROL!$C$42, 34.7372, 34.7372) * CHOOSE(CONTROL!$C$21, $C$9, 100%, $E$9)</f>
        <v>34.737200000000001</v>
      </c>
      <c r="O582" s="14">
        <f>CHOOSE(CONTROL!$C$42, 34.9505, 34.9505) * CHOOSE(CONTROL!$C$21, $C$9, 100%, $E$9)</f>
        <v>34.950499999999998</v>
      </c>
      <c r="P582" s="14">
        <f>CHOOSE(CONTROL!$C$42, 34.8392, 34.8392) * CHOOSE(CONTROL!$C$21, $C$9, 100%, $E$9)</f>
        <v>34.839199999999998</v>
      </c>
      <c r="Q582" s="14">
        <f>CHOOSE(CONTROL!$C$42, 35.5452, 35.5452) * CHOOSE(CONTROL!$C$21, $C$9, 100%, $E$9)</f>
        <v>35.545200000000001</v>
      </c>
      <c r="R582" s="14">
        <f>CHOOSE(CONTROL!$C$42, 36.2211, 36.2211) * CHOOSE(CONTROL!$C$21, $C$9, 100%, $E$9)</f>
        <v>36.2211</v>
      </c>
      <c r="S582" s="14">
        <f>CHOOSE(CONTROL!$C$42, 34.0243, 34.0243) * CHOOSE(CONTROL!$C$21, $C$9, 100%, $E$9)</f>
        <v>34.024299999999997</v>
      </c>
      <c r="T58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56">
        <f>(1000*CHOOSE(CONTROL!$C$42, 695, 695)*CHOOSE(CONTROL!$C$42, 0.5599, 0.5599)*CHOOSE(CONTROL!$C$42, 30, 30))/1000000</f>
        <v>11.673914999999997</v>
      </c>
      <c r="V582" s="56">
        <f>(1000*CHOOSE(CONTROL!$C$42, 500, 500)*CHOOSE(CONTROL!$C$42, 0.275, 0.275)*CHOOSE(CONTROL!$C$42, 30, 30))/1000000</f>
        <v>4.125</v>
      </c>
      <c r="W582" s="56">
        <f>(1000*CHOOSE(CONTROL!$C$42, 0.1146, 0.1146)*CHOOSE(CONTROL!$C$42, 121.5, 121.5)*CHOOSE(CONTROL!$C$42, 30, 30))/1000000</f>
        <v>0.417717</v>
      </c>
      <c r="X582" s="56">
        <f>(30*0.1790888*245000/1000000)+(30*0.2374*100000/1000000)</f>
        <v>2.0285026799999999</v>
      </c>
      <c r="Y582" s="56"/>
      <c r="Z582" s="14"/>
      <c r="AA582" s="55"/>
      <c r="AB582" s="49">
        <f>(B582*194.205+C582*267.466+D582*133.845+E582*53.484+F582*40+G582*185+H582*0+I582*100+J582*300)/(194.205+267.466+133.845+53.484+0+40+185+100+300)</f>
        <v>35.479955411459969</v>
      </c>
      <c r="AC582" s="44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34.805956115107911</v>
      </c>
    </row>
    <row r="583" spans="1:29" ht="15.75" x14ac:dyDescent="0.25">
      <c r="A583" s="31">
        <v>58653</v>
      </c>
      <c r="B583" s="14">
        <f>CHOOSE(CONTROL!$C$42, 34.7405, 34.7405) * CHOOSE(CONTROL!$C$21, $C$9, 100%, $E$9)</f>
        <v>34.740499999999997</v>
      </c>
      <c r="C583" s="14">
        <f>CHOOSE(CONTROL!$C$42, 34.7485, 34.7485) * CHOOSE(CONTROL!$C$21, $C$9, 100%, $E$9)</f>
        <v>34.7485</v>
      </c>
      <c r="D583" s="14">
        <f>CHOOSE(CONTROL!$C$42, 34.9743, 34.9743) * CHOOSE(CONTROL!$C$21, $C$9, 100%, $E$9)</f>
        <v>34.974299999999999</v>
      </c>
      <c r="E583" s="14">
        <f>CHOOSE(CONTROL!$C$42, 35.0058, 35.0058) * CHOOSE(CONTROL!$C$21, $C$9, 100%, $E$9)</f>
        <v>35.005800000000001</v>
      </c>
      <c r="F583" s="14">
        <f>CHOOSE(CONTROL!$C$42, 34.7671, 34.7671)*CHOOSE(CONTROL!$C$21, $C$9, 100%, $E$9)</f>
        <v>34.767099999999999</v>
      </c>
      <c r="G583" s="14">
        <f>CHOOSE(CONTROL!$C$42, 34.7843, 34.7843)*CHOOSE(CONTROL!$C$21, $C$9, 100%, $E$9)</f>
        <v>34.784300000000002</v>
      </c>
      <c r="H583" s="14">
        <f>CHOOSE(CONTROL!$C$42, 34.9944, 34.9944) * CHOOSE(CONTROL!$C$21, $C$9, 100%, $E$9)</f>
        <v>34.994399999999999</v>
      </c>
      <c r="I583" s="14">
        <f>CHOOSE(CONTROL!$C$42, 34.8809, 34.8809)* CHOOSE(CONTROL!$C$21, $C$9, 100%, $E$9)</f>
        <v>34.880899999999997</v>
      </c>
      <c r="J583" s="14">
        <f>CHOOSE(CONTROL!$C$42, 34.7601, 34.7601)* CHOOSE(CONTROL!$C$21, $C$9, 100%, $E$9)</f>
        <v>34.760100000000001</v>
      </c>
      <c r="K583" s="52">
        <f>CHOOSE(CONTROL!$C$42, 34.877, 34.877) * CHOOSE(CONTROL!$C$21, $C$9, 100%, $E$9)</f>
        <v>34.877000000000002</v>
      </c>
      <c r="L583" s="14">
        <f>CHOOSE(CONTROL!$C$42, 35.5814, 35.5814) * CHOOSE(CONTROL!$C$21, $C$9, 100%, $E$9)</f>
        <v>35.581400000000002</v>
      </c>
      <c r="M583" s="14">
        <f>CHOOSE(CONTROL!$C$42, 34.0556, 34.0556) * CHOOSE(CONTROL!$C$21, $C$9, 100%, $E$9)</f>
        <v>34.055599999999998</v>
      </c>
      <c r="N583" s="14">
        <f>CHOOSE(CONTROL!$C$42, 34.0724, 34.0724) * CHOOSE(CONTROL!$C$21, $C$9, 100%, $E$9)</f>
        <v>34.072400000000002</v>
      </c>
      <c r="O583" s="14">
        <f>CHOOSE(CONTROL!$C$42, 34.2851, 34.2851) * CHOOSE(CONTROL!$C$21, $C$9, 100%, $E$9)</f>
        <v>34.2851</v>
      </c>
      <c r="P583" s="14">
        <f>CHOOSE(CONTROL!$C$42, 34.1718, 34.1718) * CHOOSE(CONTROL!$C$21, $C$9, 100%, $E$9)</f>
        <v>34.171799999999998</v>
      </c>
      <c r="Q583" s="14">
        <f>CHOOSE(CONTROL!$C$42, 34.8798, 34.8798) * CHOOSE(CONTROL!$C$21, $C$9, 100%, $E$9)</f>
        <v>34.879800000000003</v>
      </c>
      <c r="R583" s="14">
        <f>CHOOSE(CONTROL!$C$42, 35.554, 35.554) * CHOOSE(CONTROL!$C$21, $C$9, 100%, $E$9)</f>
        <v>35.554000000000002</v>
      </c>
      <c r="S583" s="14">
        <f>CHOOSE(CONTROL!$C$42, 33.3715, 33.3715) * CHOOSE(CONTROL!$C$21, $C$9, 100%, $E$9)</f>
        <v>33.371499999999997</v>
      </c>
      <c r="T58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56">
        <f>(1000*CHOOSE(CONTROL!$C$42, 695, 695)*CHOOSE(CONTROL!$C$42, 0.5599, 0.5599)*CHOOSE(CONTROL!$C$42, 31, 31))/1000000</f>
        <v>12.063045499999998</v>
      </c>
      <c r="V583" s="56">
        <f>(1000*CHOOSE(CONTROL!$C$42, 500, 500)*CHOOSE(CONTROL!$C$42, 0.275, 0.275)*CHOOSE(CONTROL!$C$42, 31, 31))/1000000</f>
        <v>4.2625000000000002</v>
      </c>
      <c r="W583" s="56">
        <f>(1000*CHOOSE(CONTROL!$C$42, 0.1146, 0.1146)*CHOOSE(CONTROL!$C$42, 121.5, 121.5)*CHOOSE(CONTROL!$C$42, 31, 31))/1000000</f>
        <v>0.43164089999999994</v>
      </c>
      <c r="X583" s="56">
        <f>(31*0.1790888*245000/1000000)+(31*0.2374*100000/1000000)</f>
        <v>2.0961194359999999</v>
      </c>
      <c r="Y583" s="56"/>
      <c r="Z583" s="14"/>
      <c r="AA583" s="55"/>
      <c r="AB583" s="49">
        <f>(B583*194.205+C583*267.466+D583*133.845+E583*53.484+F583*40+G583*185+H583*0+I583*100+J583*300)/(194.205+267.466+133.845+53.484+0+40+185+100+300)</f>
        <v>34.80071114144426</v>
      </c>
      <c r="AC583" s="44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34.140579136690647</v>
      </c>
    </row>
    <row r="584" spans="1:29" ht="15.75" x14ac:dyDescent="0.25">
      <c r="A584" s="31">
        <v>58684</v>
      </c>
      <c r="B584" s="14">
        <f>CHOOSE(CONTROL!$C$42, 33.0251, 33.0251) * CHOOSE(CONTROL!$C$21, $C$9, 100%, $E$9)</f>
        <v>33.025100000000002</v>
      </c>
      <c r="C584" s="14">
        <f>CHOOSE(CONTROL!$C$42, 33.0331, 33.0331) * CHOOSE(CONTROL!$C$21, $C$9, 100%, $E$9)</f>
        <v>33.033099999999997</v>
      </c>
      <c r="D584" s="14">
        <f>CHOOSE(CONTROL!$C$42, 33.2589, 33.2589) * CHOOSE(CONTROL!$C$21, $C$9, 100%, $E$9)</f>
        <v>33.258899999999997</v>
      </c>
      <c r="E584" s="14">
        <f>CHOOSE(CONTROL!$C$42, 33.2904, 33.2904) * CHOOSE(CONTROL!$C$21, $C$9, 100%, $E$9)</f>
        <v>33.290399999999998</v>
      </c>
      <c r="F584" s="14">
        <f>CHOOSE(CONTROL!$C$42, 33.0519, 33.0519)*CHOOSE(CONTROL!$C$21, $C$9, 100%, $E$9)</f>
        <v>33.051900000000003</v>
      </c>
      <c r="G584" s="14">
        <f>CHOOSE(CONTROL!$C$42, 33.0692, 33.0692)*CHOOSE(CONTROL!$C$21, $C$9, 100%, $E$9)</f>
        <v>33.069200000000002</v>
      </c>
      <c r="H584" s="14">
        <f>CHOOSE(CONTROL!$C$42, 33.279, 33.279) * CHOOSE(CONTROL!$C$21, $C$9, 100%, $E$9)</f>
        <v>33.279000000000003</v>
      </c>
      <c r="I584" s="14">
        <f>CHOOSE(CONTROL!$C$42, 33.1601, 33.1601)* CHOOSE(CONTROL!$C$21, $C$9, 100%, $E$9)</f>
        <v>33.1601</v>
      </c>
      <c r="J584" s="14">
        <f>CHOOSE(CONTROL!$C$42, 33.0449, 33.0449)* CHOOSE(CONTROL!$C$21, $C$9, 100%, $E$9)</f>
        <v>33.044899999999998</v>
      </c>
      <c r="K584" s="52">
        <f>CHOOSE(CONTROL!$C$42, 33.1562, 33.1562) * CHOOSE(CONTROL!$C$21, $C$9, 100%, $E$9)</f>
        <v>33.156199999999998</v>
      </c>
      <c r="L584" s="14">
        <f>CHOOSE(CONTROL!$C$42, 33.866, 33.866) * CHOOSE(CONTROL!$C$21, $C$9, 100%, $E$9)</f>
        <v>33.866</v>
      </c>
      <c r="M584" s="14">
        <f>CHOOSE(CONTROL!$C$42, 32.3755, 32.3755) * CHOOSE(CONTROL!$C$21, $C$9, 100%, $E$9)</f>
        <v>32.375500000000002</v>
      </c>
      <c r="N584" s="14">
        <f>CHOOSE(CONTROL!$C$42, 32.3924, 32.3924) * CHOOSE(CONTROL!$C$21, $C$9, 100%, $E$9)</f>
        <v>32.392400000000002</v>
      </c>
      <c r="O584" s="14">
        <f>CHOOSE(CONTROL!$C$42, 32.6048, 32.6048) * CHOOSE(CONTROL!$C$21, $C$9, 100%, $E$9)</f>
        <v>32.604799999999997</v>
      </c>
      <c r="P584" s="14">
        <f>CHOOSE(CONTROL!$C$42, 32.4863, 32.4863) * CHOOSE(CONTROL!$C$21, $C$9, 100%, $E$9)</f>
        <v>32.4863</v>
      </c>
      <c r="Q584" s="14">
        <f>CHOOSE(CONTROL!$C$42, 33.1995, 33.1995) * CHOOSE(CONTROL!$C$21, $C$9, 100%, $E$9)</f>
        <v>33.1995</v>
      </c>
      <c r="R584" s="14">
        <f>CHOOSE(CONTROL!$C$42, 33.8695, 33.8695) * CHOOSE(CONTROL!$C$21, $C$9, 100%, $E$9)</f>
        <v>33.869500000000002</v>
      </c>
      <c r="S584" s="14">
        <f>CHOOSE(CONTROL!$C$42, 31.7232, 31.7232) * CHOOSE(CONTROL!$C$21, $C$9, 100%, $E$9)</f>
        <v>31.723199999999999</v>
      </c>
      <c r="T58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56">
        <f>(1000*CHOOSE(CONTROL!$C$42, 695, 695)*CHOOSE(CONTROL!$C$42, 0.5599, 0.5599)*CHOOSE(CONTROL!$C$42, 31, 31))/1000000</f>
        <v>12.063045499999998</v>
      </c>
      <c r="V584" s="56">
        <f>(1000*CHOOSE(CONTROL!$C$42, 500, 500)*CHOOSE(CONTROL!$C$42, 0.275, 0.275)*CHOOSE(CONTROL!$C$42, 31, 31))/1000000</f>
        <v>4.2625000000000002</v>
      </c>
      <c r="W584" s="56">
        <f>(1000*CHOOSE(CONTROL!$C$42, 0.1146, 0.1146)*CHOOSE(CONTROL!$C$42, 121.5, 121.5)*CHOOSE(CONTROL!$C$42, 31, 31))/1000000</f>
        <v>0.43164089999999994</v>
      </c>
      <c r="X584" s="56">
        <f>(31*0.1790888*245000/1000000)+(31*0.2374*100000/1000000)</f>
        <v>2.0961194359999999</v>
      </c>
      <c r="Y584" s="56"/>
      <c r="Z584" s="14"/>
      <c r="AA584" s="55"/>
      <c r="AB584" s="49">
        <f>(B584*194.205+C584*267.466+D584*133.845+E584*53.484+F584*40+G584*185+H584*0+I584*100+J584*300)/(194.205+267.466+133.845+53.484+0+40+185+100+300)</f>
        <v>33.084984218367346</v>
      </c>
      <c r="AC584" s="44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32.459669064748205</v>
      </c>
    </row>
    <row r="585" spans="1:29" ht="15.75" x14ac:dyDescent="0.25">
      <c r="A585" s="31">
        <v>58714</v>
      </c>
      <c r="B585" s="14">
        <f>CHOOSE(CONTROL!$C$42, 30.9289, 30.9289) * CHOOSE(CONTROL!$C$21, $C$9, 100%, $E$9)</f>
        <v>30.928899999999999</v>
      </c>
      <c r="C585" s="14">
        <f>CHOOSE(CONTROL!$C$42, 30.937, 30.937) * CHOOSE(CONTROL!$C$21, $C$9, 100%, $E$9)</f>
        <v>30.937000000000001</v>
      </c>
      <c r="D585" s="14">
        <f>CHOOSE(CONTROL!$C$42, 31.1627, 31.1627) * CHOOSE(CONTROL!$C$21, $C$9, 100%, $E$9)</f>
        <v>31.162700000000001</v>
      </c>
      <c r="E585" s="14">
        <f>CHOOSE(CONTROL!$C$42, 31.1942, 31.1942) * CHOOSE(CONTROL!$C$21, $C$9, 100%, $E$9)</f>
        <v>31.194199999999999</v>
      </c>
      <c r="F585" s="14">
        <f>CHOOSE(CONTROL!$C$42, 30.9557, 30.9557)*CHOOSE(CONTROL!$C$21, $C$9, 100%, $E$9)</f>
        <v>30.9557</v>
      </c>
      <c r="G585" s="14">
        <f>CHOOSE(CONTROL!$C$42, 30.973, 30.973)*CHOOSE(CONTROL!$C$21, $C$9, 100%, $E$9)</f>
        <v>30.972999999999999</v>
      </c>
      <c r="H585" s="14">
        <f>CHOOSE(CONTROL!$C$42, 31.1828, 31.1828) * CHOOSE(CONTROL!$C$21, $C$9, 100%, $E$9)</f>
        <v>31.1828</v>
      </c>
      <c r="I585" s="14">
        <f>CHOOSE(CONTROL!$C$42, 31.0573, 31.0573)* CHOOSE(CONTROL!$C$21, $C$9, 100%, $E$9)</f>
        <v>31.057300000000001</v>
      </c>
      <c r="J585" s="14">
        <f>CHOOSE(CONTROL!$C$42, 30.9487, 30.9487)* CHOOSE(CONTROL!$C$21, $C$9, 100%, $E$9)</f>
        <v>30.948699999999999</v>
      </c>
      <c r="K585" s="52">
        <f>CHOOSE(CONTROL!$C$42, 31.0534, 31.0534) * CHOOSE(CONTROL!$C$21, $C$9, 100%, $E$9)</f>
        <v>31.0534</v>
      </c>
      <c r="L585" s="14">
        <f>CHOOSE(CONTROL!$C$42, 31.7698, 31.7698) * CHOOSE(CONTROL!$C$21, $C$9, 100%, $E$9)</f>
        <v>31.7698</v>
      </c>
      <c r="M585" s="14">
        <f>CHOOSE(CONTROL!$C$42, 30.3223, 30.3223) * CHOOSE(CONTROL!$C$21, $C$9, 100%, $E$9)</f>
        <v>30.322299999999998</v>
      </c>
      <c r="N585" s="14">
        <f>CHOOSE(CONTROL!$C$42, 30.3392, 30.3392) * CHOOSE(CONTROL!$C$21, $C$9, 100%, $E$9)</f>
        <v>30.339200000000002</v>
      </c>
      <c r="O585" s="14">
        <f>CHOOSE(CONTROL!$C$42, 30.5516, 30.5516) * CHOOSE(CONTROL!$C$21, $C$9, 100%, $E$9)</f>
        <v>30.551600000000001</v>
      </c>
      <c r="P585" s="14">
        <f>CHOOSE(CONTROL!$C$42, 30.4268, 30.4268) * CHOOSE(CONTROL!$C$21, $C$9, 100%, $E$9)</f>
        <v>30.4268</v>
      </c>
      <c r="Q585" s="14">
        <f>CHOOSE(CONTROL!$C$42, 31.1463, 31.1463) * CHOOSE(CONTROL!$C$21, $C$9, 100%, $E$9)</f>
        <v>31.1463</v>
      </c>
      <c r="R585" s="14">
        <f>CHOOSE(CONTROL!$C$42, 31.8112, 31.8112) * CHOOSE(CONTROL!$C$21, $C$9, 100%, $E$9)</f>
        <v>31.811199999999999</v>
      </c>
      <c r="S585" s="14">
        <f>CHOOSE(CONTROL!$C$42, 29.709, 29.709) * CHOOSE(CONTROL!$C$21, $C$9, 100%, $E$9)</f>
        <v>29.709</v>
      </c>
      <c r="T58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56">
        <f>(1000*CHOOSE(CONTROL!$C$42, 695, 695)*CHOOSE(CONTROL!$C$42, 0.5599, 0.5599)*CHOOSE(CONTROL!$C$42, 30, 30))/1000000</f>
        <v>11.673914999999997</v>
      </c>
      <c r="V585" s="56">
        <f>(1000*CHOOSE(CONTROL!$C$42, 500, 500)*CHOOSE(CONTROL!$C$42, 0.275, 0.275)*CHOOSE(CONTROL!$C$42, 30, 30))/1000000</f>
        <v>4.125</v>
      </c>
      <c r="W585" s="56">
        <f>(1000*CHOOSE(CONTROL!$C$42, 0.1146, 0.1146)*CHOOSE(CONTROL!$C$42, 121.5, 121.5)*CHOOSE(CONTROL!$C$42, 30, 30))/1000000</f>
        <v>0.417717</v>
      </c>
      <c r="X585" s="56">
        <f>(30*0.1790888*245000/1000000)+(30*0.2374*100000/1000000)</f>
        <v>2.0285026799999999</v>
      </c>
      <c r="Y585" s="56"/>
      <c r="Z585" s="14"/>
      <c r="AA585" s="55"/>
      <c r="AB585" s="49">
        <f>(B585*194.205+C585*267.466+D585*133.845+E585*53.484+F585*40+G585*185+H585*0+I585*100+J585*300)/(194.205+267.466+133.845+53.484+0+40+185+100+300)</f>
        <v>30.98828715918367</v>
      </c>
      <c r="AC585" s="44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30.40556258992806</v>
      </c>
    </row>
    <row r="586" spans="1:29" ht="15.75" x14ac:dyDescent="0.25">
      <c r="A586" s="31">
        <v>58745</v>
      </c>
      <c r="B586" s="14">
        <f>CHOOSE(CONTROL!$C$42, 30.2994, 30.2994) * CHOOSE(CONTROL!$C$21, $C$9, 100%, $E$9)</f>
        <v>30.299399999999999</v>
      </c>
      <c r="C586" s="14">
        <f>CHOOSE(CONTROL!$C$42, 30.3048, 30.3048) * CHOOSE(CONTROL!$C$21, $C$9, 100%, $E$9)</f>
        <v>30.3048</v>
      </c>
      <c r="D586" s="14">
        <f>CHOOSE(CONTROL!$C$42, 30.5355, 30.5355) * CHOOSE(CONTROL!$C$21, $C$9, 100%, $E$9)</f>
        <v>30.535499999999999</v>
      </c>
      <c r="E586" s="14">
        <f>CHOOSE(CONTROL!$C$42, 30.5646, 30.5646) * CHOOSE(CONTROL!$C$21, $C$9, 100%, $E$9)</f>
        <v>30.564599999999999</v>
      </c>
      <c r="F586" s="14">
        <f>CHOOSE(CONTROL!$C$42, 30.3283, 30.3283)*CHOOSE(CONTROL!$C$21, $C$9, 100%, $E$9)</f>
        <v>30.328299999999999</v>
      </c>
      <c r="G586" s="14">
        <f>CHOOSE(CONTROL!$C$42, 30.3454, 30.3454)*CHOOSE(CONTROL!$C$21, $C$9, 100%, $E$9)</f>
        <v>30.345400000000001</v>
      </c>
      <c r="H586" s="14">
        <f>CHOOSE(CONTROL!$C$42, 30.5551, 30.5551) * CHOOSE(CONTROL!$C$21, $C$9, 100%, $E$9)</f>
        <v>30.555099999999999</v>
      </c>
      <c r="I586" s="14">
        <f>CHOOSE(CONTROL!$C$42, 30.4276, 30.4276)* CHOOSE(CONTROL!$C$21, $C$9, 100%, $E$9)</f>
        <v>30.427600000000002</v>
      </c>
      <c r="J586" s="14">
        <f>CHOOSE(CONTROL!$C$42, 30.3213, 30.3213)* CHOOSE(CONTROL!$C$21, $C$9, 100%, $E$9)</f>
        <v>30.321300000000001</v>
      </c>
      <c r="K586" s="52">
        <f>CHOOSE(CONTROL!$C$42, 30.4237, 30.4237) * CHOOSE(CONTROL!$C$21, $C$9, 100%, $E$9)</f>
        <v>30.4237</v>
      </c>
      <c r="L586" s="14">
        <f>CHOOSE(CONTROL!$C$42, 31.1421, 31.1421) * CHOOSE(CONTROL!$C$21, $C$9, 100%, $E$9)</f>
        <v>31.142099999999999</v>
      </c>
      <c r="M586" s="14">
        <f>CHOOSE(CONTROL!$C$42, 29.7077, 29.7077) * CHOOSE(CONTROL!$C$21, $C$9, 100%, $E$9)</f>
        <v>29.707699999999999</v>
      </c>
      <c r="N586" s="14">
        <f>CHOOSE(CONTROL!$C$42, 29.7245, 29.7245) * CHOOSE(CONTROL!$C$21, $C$9, 100%, $E$9)</f>
        <v>29.724499999999999</v>
      </c>
      <c r="O586" s="14">
        <f>CHOOSE(CONTROL!$C$42, 29.9367, 29.9367) * CHOOSE(CONTROL!$C$21, $C$9, 100%, $E$9)</f>
        <v>29.936699999999998</v>
      </c>
      <c r="P586" s="14">
        <f>CHOOSE(CONTROL!$C$42, 29.81, 29.81) * CHOOSE(CONTROL!$C$21, $C$9, 100%, $E$9)</f>
        <v>29.81</v>
      </c>
      <c r="Q586" s="14">
        <f>CHOOSE(CONTROL!$C$42, 30.5314, 30.5314) * CHOOSE(CONTROL!$C$21, $C$9, 100%, $E$9)</f>
        <v>30.531400000000001</v>
      </c>
      <c r="R586" s="14">
        <f>CHOOSE(CONTROL!$C$42, 31.1948, 31.1948) * CHOOSE(CONTROL!$C$21, $C$9, 100%, $E$9)</f>
        <v>31.194800000000001</v>
      </c>
      <c r="S586" s="14">
        <f>CHOOSE(CONTROL!$C$42, 29.1058, 29.1058) * CHOOSE(CONTROL!$C$21, $C$9, 100%, $E$9)</f>
        <v>29.105799999999999</v>
      </c>
      <c r="T58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56">
        <f>(1000*CHOOSE(CONTROL!$C$42, 695, 695)*CHOOSE(CONTROL!$C$42, 0.5599, 0.5599)*CHOOSE(CONTROL!$C$42, 31, 31))/1000000</f>
        <v>12.063045499999998</v>
      </c>
      <c r="V586" s="56">
        <f>(1000*CHOOSE(CONTROL!$C$42, 500, 500)*CHOOSE(CONTROL!$C$42, 0.275, 0.275)*CHOOSE(CONTROL!$C$42, 31, 31))/1000000</f>
        <v>4.2625000000000002</v>
      </c>
      <c r="W586" s="56">
        <f>(1000*CHOOSE(CONTROL!$C$42, 0.1146, 0.1146)*CHOOSE(CONTROL!$C$42, 121.5, 121.5)*CHOOSE(CONTROL!$C$42, 31, 31))/1000000</f>
        <v>0.43164089999999994</v>
      </c>
      <c r="X586" s="56">
        <f>(31*0.1790888*245000/1000000)+(31*0.2374*100000/1000000)</f>
        <v>2.0961194359999999</v>
      </c>
      <c r="Y586" s="56"/>
      <c r="Z586" s="14"/>
      <c r="AA586" s="55"/>
      <c r="AB586" s="49">
        <f>(B586*131.881+C586*277.167+D586*79.08+E586*125.872+F586*40+G586*185+H586*0+I586*100+J586*300)/(131.881+277.167+79.08+125.872+0+40+185+100+300)</f>
        <v>30.366070495722358</v>
      </c>
      <c r="AC586" s="44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29.790538848920864</v>
      </c>
    </row>
    <row r="587" spans="1:29" ht="15.75" x14ac:dyDescent="0.25">
      <c r="A587" s="31">
        <v>58775</v>
      </c>
      <c r="B587" s="14">
        <f>CHOOSE(CONTROL!$C$42, 31.097, 31.097) * CHOOSE(CONTROL!$C$21, $C$9, 100%, $E$9)</f>
        <v>31.097000000000001</v>
      </c>
      <c r="C587" s="14">
        <f>CHOOSE(CONTROL!$C$42, 31.102, 31.102) * CHOOSE(CONTROL!$C$21, $C$9, 100%, $E$9)</f>
        <v>31.102</v>
      </c>
      <c r="D587" s="14">
        <f>CHOOSE(CONTROL!$C$42, 31.1711, 31.1711) * CHOOSE(CONTROL!$C$21, $C$9, 100%, $E$9)</f>
        <v>31.171099999999999</v>
      </c>
      <c r="E587" s="14">
        <f>CHOOSE(CONTROL!$C$42, 31.2052, 31.2052) * CHOOSE(CONTROL!$C$21, $C$9, 100%, $E$9)</f>
        <v>31.205200000000001</v>
      </c>
      <c r="F587" s="14">
        <f>CHOOSE(CONTROL!$C$42, 31.1326, 31.1326)*CHOOSE(CONTROL!$C$21, $C$9, 100%, $E$9)</f>
        <v>31.1326</v>
      </c>
      <c r="G587" s="14">
        <f>CHOOSE(CONTROL!$C$42, 31.15, 31.15)*CHOOSE(CONTROL!$C$21, $C$9, 100%, $E$9)</f>
        <v>31.15</v>
      </c>
      <c r="H587" s="14">
        <f>CHOOSE(CONTROL!$C$42, 31.1944, 31.1944) * CHOOSE(CONTROL!$C$21, $C$9, 100%, $E$9)</f>
        <v>31.194400000000002</v>
      </c>
      <c r="I587" s="14">
        <f>CHOOSE(CONTROL!$C$42, 31.2307, 31.2307)* CHOOSE(CONTROL!$C$21, $C$9, 100%, $E$9)</f>
        <v>31.230699999999999</v>
      </c>
      <c r="J587" s="14">
        <f>CHOOSE(CONTROL!$C$42, 31.1256, 31.1256)* CHOOSE(CONTROL!$C$21, $C$9, 100%, $E$9)</f>
        <v>31.125599999999999</v>
      </c>
      <c r="K587" s="52">
        <f>CHOOSE(CONTROL!$C$42, 31.2268, 31.2268) * CHOOSE(CONTROL!$C$21, $C$9, 100%, $E$9)</f>
        <v>31.226800000000001</v>
      </c>
      <c r="L587" s="14">
        <f>CHOOSE(CONTROL!$C$42, 31.7814, 31.7814) * CHOOSE(CONTROL!$C$21, $C$9, 100%, $E$9)</f>
        <v>31.781400000000001</v>
      </c>
      <c r="M587" s="14">
        <f>CHOOSE(CONTROL!$C$42, 30.4955, 30.4955) * CHOOSE(CONTROL!$C$21, $C$9, 100%, $E$9)</f>
        <v>30.4955</v>
      </c>
      <c r="N587" s="14">
        <f>CHOOSE(CONTROL!$C$42, 30.5126, 30.5126) * CHOOSE(CONTROL!$C$21, $C$9, 100%, $E$9)</f>
        <v>30.512599999999999</v>
      </c>
      <c r="O587" s="14">
        <f>CHOOSE(CONTROL!$C$42, 30.5629, 30.5629) * CHOOSE(CONTROL!$C$21, $C$9, 100%, $E$9)</f>
        <v>30.562899999999999</v>
      </c>
      <c r="P587" s="14">
        <f>CHOOSE(CONTROL!$C$42, 30.5966, 30.5966) * CHOOSE(CONTROL!$C$21, $C$9, 100%, $E$9)</f>
        <v>30.596599999999999</v>
      </c>
      <c r="Q587" s="14">
        <f>CHOOSE(CONTROL!$C$42, 31.1576, 31.1576) * CHOOSE(CONTROL!$C$21, $C$9, 100%, $E$9)</f>
        <v>31.157599999999999</v>
      </c>
      <c r="R587" s="14">
        <f>CHOOSE(CONTROL!$C$42, 31.8225, 31.8225) * CHOOSE(CONTROL!$C$21, $C$9, 100%, $E$9)</f>
        <v>31.822500000000002</v>
      </c>
      <c r="S587" s="14">
        <f>CHOOSE(CONTROL!$C$42, 29.8725, 29.8725) * CHOOSE(CONTROL!$C$21, $C$9, 100%, $E$9)</f>
        <v>29.872499999999999</v>
      </c>
      <c r="T58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56">
        <f>(1000*CHOOSE(CONTROL!$C$42, 695, 695)*CHOOSE(CONTROL!$C$42, 0.5599, 0.5599)*CHOOSE(CONTROL!$C$42, 30, 30))/1000000</f>
        <v>11.673914999999997</v>
      </c>
      <c r="V587" s="56">
        <f>(1000*CHOOSE(CONTROL!$C$42, 500, 500)*CHOOSE(CONTROL!$C$42, 0.275, 0.275)*CHOOSE(CONTROL!$C$42, 30, 30))/1000000</f>
        <v>4.125</v>
      </c>
      <c r="W587" s="56">
        <f>(1000*CHOOSE(CONTROL!$C$42, 0.1146, 0.1146)*CHOOSE(CONTROL!$C$42, 121.5, 121.5)*CHOOSE(CONTROL!$C$42, 30, 30))/1000000</f>
        <v>0.417717</v>
      </c>
      <c r="X587" s="56">
        <f>(30*0.1790888*100000/1000000)+(30*0.2374*100000/1000000)</f>
        <v>1.2494664</v>
      </c>
      <c r="Y587" s="56"/>
      <c r="Z587" s="14"/>
      <c r="AA587" s="55"/>
      <c r="AB587" s="49">
        <f>(B587*122.58+C587*297.941+D587*89.177+E587*40.302+F587*40+G587*160+H587*0+I587*100+J587*300)/(122.58+297.941+89.177+40.302+0+40+160+100+300)</f>
        <v>31.135532519217396</v>
      </c>
      <c r="AC587" s="44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30.541579136690647</v>
      </c>
    </row>
    <row r="588" spans="1:29" ht="15.75" x14ac:dyDescent="0.25">
      <c r="A588" s="31">
        <v>58806</v>
      </c>
      <c r="B588" s="14">
        <f>CHOOSE(CONTROL!$C$42, 33.2165, 33.2165) * CHOOSE(CONTROL!$C$21, $C$9, 100%, $E$9)</f>
        <v>33.216500000000003</v>
      </c>
      <c r="C588" s="14">
        <f>CHOOSE(CONTROL!$C$42, 33.2216, 33.2216) * CHOOSE(CONTROL!$C$21, $C$9, 100%, $E$9)</f>
        <v>33.221600000000002</v>
      </c>
      <c r="D588" s="14">
        <f>CHOOSE(CONTROL!$C$42, 33.2906, 33.2906) * CHOOSE(CONTROL!$C$21, $C$9, 100%, $E$9)</f>
        <v>33.290599999999998</v>
      </c>
      <c r="E588" s="14">
        <f>CHOOSE(CONTROL!$C$42, 33.3247, 33.3247) * CHOOSE(CONTROL!$C$21, $C$9, 100%, $E$9)</f>
        <v>33.3247</v>
      </c>
      <c r="F588" s="14">
        <f>CHOOSE(CONTROL!$C$42, 33.2543, 33.2543)*CHOOSE(CONTROL!$C$21, $C$9, 100%, $E$9)</f>
        <v>33.254300000000001</v>
      </c>
      <c r="G588" s="14">
        <f>CHOOSE(CONTROL!$C$42, 33.2723, 33.2723)*CHOOSE(CONTROL!$C$21, $C$9, 100%, $E$9)</f>
        <v>33.272300000000001</v>
      </c>
      <c r="H588" s="14">
        <f>CHOOSE(CONTROL!$C$42, 33.3139, 33.3139) * CHOOSE(CONTROL!$C$21, $C$9, 100%, $E$9)</f>
        <v>33.313899999999997</v>
      </c>
      <c r="I588" s="14">
        <f>CHOOSE(CONTROL!$C$42, 33.3569, 33.3569)* CHOOSE(CONTROL!$C$21, $C$9, 100%, $E$9)</f>
        <v>33.356900000000003</v>
      </c>
      <c r="J588" s="14">
        <f>CHOOSE(CONTROL!$C$42, 33.2473, 33.2473)* CHOOSE(CONTROL!$C$21, $C$9, 100%, $E$9)</f>
        <v>33.247300000000003</v>
      </c>
      <c r="K588" s="52">
        <f>CHOOSE(CONTROL!$C$42, 33.353, 33.353) * CHOOSE(CONTROL!$C$21, $C$9, 100%, $E$9)</f>
        <v>33.353000000000002</v>
      </c>
      <c r="L588" s="14">
        <f>CHOOSE(CONTROL!$C$42, 33.9009, 33.9009) * CHOOSE(CONTROL!$C$21, $C$9, 100%, $E$9)</f>
        <v>33.9009</v>
      </c>
      <c r="M588" s="14">
        <f>CHOOSE(CONTROL!$C$42, 32.5738, 32.5738) * CHOOSE(CONTROL!$C$21, $C$9, 100%, $E$9)</f>
        <v>32.573799999999999</v>
      </c>
      <c r="N588" s="14">
        <f>CHOOSE(CONTROL!$C$42, 32.5914, 32.5914) * CHOOSE(CONTROL!$C$21, $C$9, 100%, $E$9)</f>
        <v>32.5914</v>
      </c>
      <c r="O588" s="14">
        <f>CHOOSE(CONTROL!$C$42, 32.639, 32.639) * CHOOSE(CONTROL!$C$21, $C$9, 100%, $E$9)</f>
        <v>32.639000000000003</v>
      </c>
      <c r="P588" s="14">
        <f>CHOOSE(CONTROL!$C$42, 32.6791, 32.6791) * CHOOSE(CONTROL!$C$21, $C$9, 100%, $E$9)</f>
        <v>32.679099999999998</v>
      </c>
      <c r="Q588" s="14">
        <f>CHOOSE(CONTROL!$C$42, 33.2337, 33.2337) * CHOOSE(CONTROL!$C$21, $C$9, 100%, $E$9)</f>
        <v>33.233699999999999</v>
      </c>
      <c r="R588" s="14">
        <f>CHOOSE(CONTROL!$C$42, 33.9038, 33.9038) * CHOOSE(CONTROL!$C$21, $C$9, 100%, $E$9)</f>
        <v>33.903799999999997</v>
      </c>
      <c r="S588" s="14">
        <f>CHOOSE(CONTROL!$C$42, 31.9092, 31.9092) * CHOOSE(CONTROL!$C$21, $C$9, 100%, $E$9)</f>
        <v>31.909199999999998</v>
      </c>
      <c r="T58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56">
        <f>(1000*CHOOSE(CONTROL!$C$42, 695, 695)*CHOOSE(CONTROL!$C$42, 0.5599, 0.5599)*CHOOSE(CONTROL!$C$42, 31, 31))/1000000</f>
        <v>12.063045499999998</v>
      </c>
      <c r="V588" s="56">
        <f>(1000*CHOOSE(CONTROL!$C$42, 500, 500)*CHOOSE(CONTROL!$C$42, 0.275, 0.275)*CHOOSE(CONTROL!$C$42, 31, 31))/1000000</f>
        <v>4.2625000000000002</v>
      </c>
      <c r="W588" s="56">
        <f>(1000*CHOOSE(CONTROL!$C$42, 0.1146, 0.1146)*CHOOSE(CONTROL!$C$42, 121.5, 121.5)*CHOOSE(CONTROL!$C$42, 31, 31))/1000000</f>
        <v>0.43164089999999994</v>
      </c>
      <c r="X588" s="56">
        <f>(31*0.1790888*100000/1000000)+(31*0.2374*100000/1000000)</f>
        <v>1.2911152800000001</v>
      </c>
      <c r="Y588" s="56"/>
      <c r="Z588" s="14"/>
      <c r="AA588" s="55"/>
      <c r="AB588" s="49">
        <f>(B588*122.58+C588*297.941+D588*89.177+E588*40.302+F588*40+G588*160+H588*0+I588*100+J588*300)/(122.58+297.941+89.177+40.302+0+40+160+100+300)</f>
        <v>33.256681035826084</v>
      </c>
      <c r="AC588" s="44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32.619515107913664</v>
      </c>
    </row>
    <row r="589" spans="1:29" ht="15.75" x14ac:dyDescent="0.25">
      <c r="A589" s="31">
        <v>58837</v>
      </c>
      <c r="B589" s="14">
        <f>CHOOSE(CONTROL!$C$42, 35.9694, 35.9694) * CHOOSE(CONTROL!$C$21, $C$9, 100%, $E$9)</f>
        <v>35.9694</v>
      </c>
      <c r="C589" s="14">
        <f>CHOOSE(CONTROL!$C$42, 35.9744, 35.9744) * CHOOSE(CONTROL!$C$21, $C$9, 100%, $E$9)</f>
        <v>35.974400000000003</v>
      </c>
      <c r="D589" s="14">
        <f>CHOOSE(CONTROL!$C$42, 36.0539, 36.0539) * CHOOSE(CONTROL!$C$21, $C$9, 100%, $E$9)</f>
        <v>36.053899999999999</v>
      </c>
      <c r="E589" s="14">
        <f>CHOOSE(CONTROL!$C$42, 36.088, 36.088) * CHOOSE(CONTROL!$C$21, $C$9, 100%, $E$9)</f>
        <v>36.088000000000001</v>
      </c>
      <c r="F589" s="14">
        <f>CHOOSE(CONTROL!$C$42, 35.9924, 35.9924)*CHOOSE(CONTROL!$C$21, $C$9, 100%, $E$9)</f>
        <v>35.992400000000004</v>
      </c>
      <c r="G589" s="14">
        <f>CHOOSE(CONTROL!$C$42, 36.0099, 36.0099)*CHOOSE(CONTROL!$C$21, $C$9, 100%, $E$9)</f>
        <v>36.009900000000002</v>
      </c>
      <c r="H589" s="14">
        <f>CHOOSE(CONTROL!$C$42, 36.0772, 36.0772) * CHOOSE(CONTROL!$C$21, $C$9, 100%, $E$9)</f>
        <v>36.077199999999998</v>
      </c>
      <c r="I589" s="14">
        <f>CHOOSE(CONTROL!$C$42, 36.1173, 36.1173)* CHOOSE(CONTROL!$C$21, $C$9, 100%, $E$9)</f>
        <v>36.1173</v>
      </c>
      <c r="J589" s="14">
        <f>CHOOSE(CONTROL!$C$42, 35.9854, 35.9854)* CHOOSE(CONTROL!$C$21, $C$9, 100%, $E$9)</f>
        <v>35.985399999999998</v>
      </c>
      <c r="K589" s="52">
        <f>CHOOSE(CONTROL!$C$42, 36.1134, 36.1134) * CHOOSE(CONTROL!$C$21, $C$9, 100%, $E$9)</f>
        <v>36.113399999999999</v>
      </c>
      <c r="L589" s="14">
        <f>CHOOSE(CONTROL!$C$42, 36.6642, 36.6642) * CHOOSE(CONTROL!$C$21, $C$9, 100%, $E$9)</f>
        <v>36.664200000000001</v>
      </c>
      <c r="M589" s="14">
        <f>CHOOSE(CONTROL!$C$42, 35.2558, 35.2558) * CHOOSE(CONTROL!$C$21, $C$9, 100%, $E$9)</f>
        <v>35.255800000000001</v>
      </c>
      <c r="N589" s="14">
        <f>CHOOSE(CONTROL!$C$42, 35.2729, 35.2729) * CHOOSE(CONTROL!$C$21, $C$9, 100%, $E$9)</f>
        <v>35.2729</v>
      </c>
      <c r="O589" s="14">
        <f>CHOOSE(CONTROL!$C$42, 35.3457, 35.3457) * CHOOSE(CONTROL!$C$21, $C$9, 100%, $E$9)</f>
        <v>35.345700000000001</v>
      </c>
      <c r="P589" s="14">
        <f>CHOOSE(CONTROL!$C$42, 35.3828, 35.3828) * CHOOSE(CONTROL!$C$21, $C$9, 100%, $E$9)</f>
        <v>35.382800000000003</v>
      </c>
      <c r="Q589" s="14">
        <f>CHOOSE(CONTROL!$C$42, 35.9404, 35.9404) * CHOOSE(CONTROL!$C$21, $C$9, 100%, $E$9)</f>
        <v>35.940399999999997</v>
      </c>
      <c r="R589" s="14">
        <f>CHOOSE(CONTROL!$C$42, 36.6172, 36.6172) * CHOOSE(CONTROL!$C$21, $C$9, 100%, $E$9)</f>
        <v>36.617199999999997</v>
      </c>
      <c r="S589" s="14">
        <f>CHOOSE(CONTROL!$C$42, 34.5544, 34.5544) * CHOOSE(CONTROL!$C$21, $C$9, 100%, $E$9)</f>
        <v>34.554400000000001</v>
      </c>
      <c r="T58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56">
        <f>(1000*CHOOSE(CONTROL!$C$42, 695, 695)*CHOOSE(CONTROL!$C$42, 0.5599, 0.5599)*CHOOSE(CONTROL!$C$42, 31, 31))/1000000</f>
        <v>12.063045499999998</v>
      </c>
      <c r="V589" s="56">
        <f>(1000*CHOOSE(CONTROL!$C$42, 500, 500)*CHOOSE(CONTROL!$C$42, 0.275, 0.275)*CHOOSE(CONTROL!$C$42, 31, 31))/1000000</f>
        <v>4.2625000000000002</v>
      </c>
      <c r="W589" s="56">
        <f>(1000*CHOOSE(CONTROL!$C$42, 0.1146, 0.1146)*CHOOSE(CONTROL!$C$42, 121.5, 121.5)*CHOOSE(CONTROL!$C$42, 31, 31))/1000000</f>
        <v>0.43164089999999994</v>
      </c>
      <c r="X589" s="56">
        <f>(31*0.1790888*100000/1000000)+(31*0.2374*100000/1000000)</f>
        <v>1.2911152800000001</v>
      </c>
      <c r="Y589" s="56"/>
      <c r="Z589" s="14"/>
      <c r="AA589" s="55"/>
      <c r="AB589" s="49">
        <f>(B589*122.58+C589*297.941+D589*89.177+E589*40.302+F589*40+G589*160+H589*0+I589*100+J589*300)/(122.58+297.941+89.177+40.302+0+40+160+100+300)</f>
        <v>36.004873894521737</v>
      </c>
      <c r="AC589" s="44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35.315803597122297</v>
      </c>
    </row>
    <row r="590" spans="1:29" ht="15.75" x14ac:dyDescent="0.25">
      <c r="A590" s="31">
        <v>58865</v>
      </c>
      <c r="B590" s="14">
        <f>CHOOSE(CONTROL!$C$42, 36.6095, 36.6095) * CHOOSE(CONTROL!$C$21, $C$9, 100%, $E$9)</f>
        <v>36.609499999999997</v>
      </c>
      <c r="C590" s="14">
        <f>CHOOSE(CONTROL!$C$42, 36.6146, 36.6146) * CHOOSE(CONTROL!$C$21, $C$9, 100%, $E$9)</f>
        <v>36.614600000000003</v>
      </c>
      <c r="D590" s="14">
        <f>CHOOSE(CONTROL!$C$42, 36.694, 36.694) * CHOOSE(CONTROL!$C$21, $C$9, 100%, $E$9)</f>
        <v>36.694000000000003</v>
      </c>
      <c r="E590" s="14">
        <f>CHOOSE(CONTROL!$C$42, 36.7281, 36.7281) * CHOOSE(CONTROL!$C$21, $C$9, 100%, $E$9)</f>
        <v>36.728099999999998</v>
      </c>
      <c r="F590" s="14">
        <f>CHOOSE(CONTROL!$C$42, 36.6323, 36.6323)*CHOOSE(CONTROL!$C$21, $C$9, 100%, $E$9)</f>
        <v>36.632300000000001</v>
      </c>
      <c r="G590" s="14">
        <f>CHOOSE(CONTROL!$C$42, 36.6498, 36.6498)*CHOOSE(CONTROL!$C$21, $C$9, 100%, $E$9)</f>
        <v>36.649799999999999</v>
      </c>
      <c r="H590" s="14">
        <f>CHOOSE(CONTROL!$C$42, 36.7173, 36.7173) * CHOOSE(CONTROL!$C$21, $C$9, 100%, $E$9)</f>
        <v>36.717300000000002</v>
      </c>
      <c r="I590" s="14">
        <f>CHOOSE(CONTROL!$C$42, 36.7595, 36.7595)* CHOOSE(CONTROL!$C$21, $C$9, 100%, $E$9)</f>
        <v>36.759500000000003</v>
      </c>
      <c r="J590" s="14">
        <f>CHOOSE(CONTROL!$C$42, 36.6253, 36.6253)* CHOOSE(CONTROL!$C$21, $C$9, 100%, $E$9)</f>
        <v>36.625300000000003</v>
      </c>
      <c r="K590" s="52">
        <f>CHOOSE(CONTROL!$C$42, 36.7556, 36.7556) * CHOOSE(CONTROL!$C$21, $C$9, 100%, $E$9)</f>
        <v>36.755600000000001</v>
      </c>
      <c r="L590" s="14">
        <f>CHOOSE(CONTROL!$C$42, 37.3043, 37.3043) * CHOOSE(CONTROL!$C$21, $C$9, 100%, $E$9)</f>
        <v>37.304299999999998</v>
      </c>
      <c r="M590" s="14">
        <f>CHOOSE(CONTROL!$C$42, 35.8826, 35.8826) * CHOOSE(CONTROL!$C$21, $C$9, 100%, $E$9)</f>
        <v>35.882599999999996</v>
      </c>
      <c r="N590" s="14">
        <f>CHOOSE(CONTROL!$C$42, 35.8997, 35.8997) * CHOOSE(CONTROL!$C$21, $C$9, 100%, $E$9)</f>
        <v>35.899700000000003</v>
      </c>
      <c r="O590" s="14">
        <f>CHOOSE(CONTROL!$C$42, 35.9727, 35.9727) * CHOOSE(CONTROL!$C$21, $C$9, 100%, $E$9)</f>
        <v>35.972700000000003</v>
      </c>
      <c r="P590" s="14">
        <f>CHOOSE(CONTROL!$C$42, 36.0117, 36.0117) * CHOOSE(CONTROL!$C$21, $C$9, 100%, $E$9)</f>
        <v>36.011699999999998</v>
      </c>
      <c r="Q590" s="14">
        <f>CHOOSE(CONTROL!$C$42, 36.5674, 36.5674) * CHOOSE(CONTROL!$C$21, $C$9, 100%, $E$9)</f>
        <v>36.567399999999999</v>
      </c>
      <c r="R590" s="14">
        <f>CHOOSE(CONTROL!$C$42, 37.2458, 37.2458) * CHOOSE(CONTROL!$C$21, $C$9, 100%, $E$9)</f>
        <v>37.245800000000003</v>
      </c>
      <c r="S590" s="14">
        <f>CHOOSE(CONTROL!$C$42, 35.1695, 35.1695) * CHOOSE(CONTROL!$C$21, $C$9, 100%, $E$9)</f>
        <v>35.169499999999999</v>
      </c>
      <c r="T59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56">
        <f>(1000*CHOOSE(CONTROL!$C$42, 695, 695)*CHOOSE(CONTROL!$C$42, 0.5599, 0.5599)*CHOOSE(CONTROL!$C$42, 28, 28))/1000000</f>
        <v>10.895653999999999</v>
      </c>
      <c r="V590" s="56">
        <f>(1000*CHOOSE(CONTROL!$C$42, 500, 500)*CHOOSE(CONTROL!$C$42, 0.275, 0.275)*CHOOSE(CONTROL!$C$42, 28, 28))/1000000</f>
        <v>3.85</v>
      </c>
      <c r="W590" s="56">
        <f>(1000*CHOOSE(CONTROL!$C$42, 0.1146, 0.1146)*CHOOSE(CONTROL!$C$42, 121.5, 121.5)*CHOOSE(CONTROL!$C$42, 28, 28))/1000000</f>
        <v>0.38986920000000003</v>
      </c>
      <c r="X590" s="56">
        <f>(28*0.1790888*100000/1000000)+(28*0.2374*100000/1000000)</f>
        <v>1.16616864</v>
      </c>
      <c r="Y590" s="56"/>
      <c r="Z590" s="14"/>
      <c r="AA590" s="55"/>
      <c r="AB590" s="49">
        <f>(B590*122.58+C590*297.941+D590*89.177+E590*40.302+F590*40+G590*160+H590*0+I590*100+J590*300)/(122.58+297.941+89.177+40.302+0+40+160+100+300)</f>
        <v>36.6450954546087</v>
      </c>
      <c r="AC590" s="44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35.942996402877696</v>
      </c>
    </row>
    <row r="591" spans="1:29" ht="15.75" x14ac:dyDescent="0.25">
      <c r="A591" s="31">
        <v>58893</v>
      </c>
      <c r="B591" s="14">
        <f>CHOOSE(CONTROL!$C$42, 35.5704, 35.5704) * CHOOSE(CONTROL!$C$21, $C$9, 100%, $E$9)</f>
        <v>35.570399999999999</v>
      </c>
      <c r="C591" s="14">
        <f>CHOOSE(CONTROL!$C$42, 35.5755, 35.5755) * CHOOSE(CONTROL!$C$21, $C$9, 100%, $E$9)</f>
        <v>35.575499999999998</v>
      </c>
      <c r="D591" s="14">
        <f>CHOOSE(CONTROL!$C$42, 35.6549, 35.6549) * CHOOSE(CONTROL!$C$21, $C$9, 100%, $E$9)</f>
        <v>35.654899999999998</v>
      </c>
      <c r="E591" s="14">
        <f>CHOOSE(CONTROL!$C$42, 35.689, 35.689) * CHOOSE(CONTROL!$C$21, $C$9, 100%, $E$9)</f>
        <v>35.689</v>
      </c>
      <c r="F591" s="14">
        <f>CHOOSE(CONTROL!$C$42, 35.5925, 35.5925)*CHOOSE(CONTROL!$C$21, $C$9, 100%, $E$9)</f>
        <v>35.592500000000001</v>
      </c>
      <c r="G591" s="14">
        <f>CHOOSE(CONTROL!$C$42, 35.6097, 35.6097)*CHOOSE(CONTROL!$C$21, $C$9, 100%, $E$9)</f>
        <v>35.609699999999997</v>
      </c>
      <c r="H591" s="14">
        <f>CHOOSE(CONTROL!$C$42, 35.6782, 35.6782) * CHOOSE(CONTROL!$C$21, $C$9, 100%, $E$9)</f>
        <v>35.678199999999997</v>
      </c>
      <c r="I591" s="14">
        <f>CHOOSE(CONTROL!$C$42, 35.7171, 35.7171)* CHOOSE(CONTROL!$C$21, $C$9, 100%, $E$9)</f>
        <v>35.717100000000002</v>
      </c>
      <c r="J591" s="14">
        <f>CHOOSE(CONTROL!$C$42, 35.5855, 35.5855)* CHOOSE(CONTROL!$C$21, $C$9, 100%, $E$9)</f>
        <v>35.585500000000003</v>
      </c>
      <c r="K591" s="52">
        <f>CHOOSE(CONTROL!$C$42, 35.7132, 35.7132) * CHOOSE(CONTROL!$C$21, $C$9, 100%, $E$9)</f>
        <v>35.713200000000001</v>
      </c>
      <c r="L591" s="14">
        <f>CHOOSE(CONTROL!$C$42, 36.2652, 36.2652) * CHOOSE(CONTROL!$C$21, $C$9, 100%, $E$9)</f>
        <v>36.2652</v>
      </c>
      <c r="M591" s="14">
        <f>CHOOSE(CONTROL!$C$42, 34.864, 34.864) * CHOOSE(CONTROL!$C$21, $C$9, 100%, $E$9)</f>
        <v>34.863999999999997</v>
      </c>
      <c r="N591" s="14">
        <f>CHOOSE(CONTROL!$C$42, 34.8809, 34.8809) * CHOOSE(CONTROL!$C$21, $C$9, 100%, $E$9)</f>
        <v>34.880899999999997</v>
      </c>
      <c r="O591" s="14">
        <f>CHOOSE(CONTROL!$C$42, 34.9549, 34.9549) * CHOOSE(CONTROL!$C$21, $C$9, 100%, $E$9)</f>
        <v>34.954900000000002</v>
      </c>
      <c r="P591" s="14">
        <f>CHOOSE(CONTROL!$C$42, 34.9908, 34.9908) * CHOOSE(CONTROL!$C$21, $C$9, 100%, $E$9)</f>
        <v>34.9908</v>
      </c>
      <c r="Q591" s="14">
        <f>CHOOSE(CONTROL!$C$42, 35.5496, 35.5496) * CHOOSE(CONTROL!$C$21, $C$9, 100%, $E$9)</f>
        <v>35.549599999999998</v>
      </c>
      <c r="R591" s="14">
        <f>CHOOSE(CONTROL!$C$42, 36.2255, 36.2255) * CHOOSE(CONTROL!$C$21, $C$9, 100%, $E$9)</f>
        <v>36.225499999999997</v>
      </c>
      <c r="S591" s="14">
        <f>CHOOSE(CONTROL!$C$42, 34.1711, 34.1711) * CHOOSE(CONTROL!$C$21, $C$9, 100%, $E$9)</f>
        <v>34.171100000000003</v>
      </c>
      <c r="T59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56">
        <f>(1000*CHOOSE(CONTROL!$C$42, 695, 695)*CHOOSE(CONTROL!$C$42, 0.5599, 0.5599)*CHOOSE(CONTROL!$C$42, 31, 31))/1000000</f>
        <v>12.063045499999998</v>
      </c>
      <c r="V591" s="56">
        <f>(1000*CHOOSE(CONTROL!$C$42, 500, 500)*CHOOSE(CONTROL!$C$42, 0.275, 0.275)*CHOOSE(CONTROL!$C$42, 31, 31))/1000000</f>
        <v>4.2625000000000002</v>
      </c>
      <c r="W591" s="56">
        <f>(1000*CHOOSE(CONTROL!$C$42, 0.1146, 0.1146)*CHOOSE(CONTROL!$C$42, 121.5, 121.5)*CHOOSE(CONTROL!$C$42, 31, 31))/1000000</f>
        <v>0.43164089999999994</v>
      </c>
      <c r="X591" s="56">
        <f>(31*0.1790888*100000/1000000)+(31*0.2374*100000/1000000)</f>
        <v>1.2911152800000001</v>
      </c>
      <c r="Y591" s="56"/>
      <c r="Z591" s="14"/>
      <c r="AA591" s="55"/>
      <c r="AB591" s="49">
        <f>(B591*122.58+C591*297.941+D591*89.177+E591*40.302+F591*40+G591*160+H591*0+I591*100+J591*300)/(122.58+297.941+89.177+40.302+0+40+160+100+300)</f>
        <v>35.605362411130436</v>
      </c>
      <c r="AC591" s="44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34.924416546762586</v>
      </c>
    </row>
    <row r="592" spans="1:29" ht="15.75" x14ac:dyDescent="0.25">
      <c r="A592" s="31">
        <v>58926</v>
      </c>
      <c r="B592" s="14">
        <f>CHOOSE(CONTROL!$C$42, 35.465, 35.465) * CHOOSE(CONTROL!$C$21, $C$9, 100%, $E$9)</f>
        <v>35.465000000000003</v>
      </c>
      <c r="C592" s="14">
        <f>CHOOSE(CONTROL!$C$42, 35.4694, 35.4694) * CHOOSE(CONTROL!$C$21, $C$9, 100%, $E$9)</f>
        <v>35.4694</v>
      </c>
      <c r="D592" s="14">
        <f>CHOOSE(CONTROL!$C$42, 35.6984, 35.6984) * CHOOSE(CONTROL!$C$21, $C$9, 100%, $E$9)</f>
        <v>35.698399999999999</v>
      </c>
      <c r="E592" s="14">
        <f>CHOOSE(CONTROL!$C$42, 35.7305, 35.7305) * CHOOSE(CONTROL!$C$21, $C$9, 100%, $E$9)</f>
        <v>35.730499999999999</v>
      </c>
      <c r="F592" s="14">
        <f>CHOOSE(CONTROL!$C$42, 35.492, 35.492)*CHOOSE(CONTROL!$C$21, $C$9, 100%, $E$9)</f>
        <v>35.491999999999997</v>
      </c>
      <c r="G592" s="14">
        <f>CHOOSE(CONTROL!$C$42, 35.5087, 35.5087)*CHOOSE(CONTROL!$C$21, $C$9, 100%, $E$9)</f>
        <v>35.508699999999997</v>
      </c>
      <c r="H592" s="14">
        <f>CHOOSE(CONTROL!$C$42, 35.7203, 35.7203) * CHOOSE(CONTROL!$C$21, $C$9, 100%, $E$9)</f>
        <v>35.720300000000002</v>
      </c>
      <c r="I592" s="14">
        <f>CHOOSE(CONTROL!$C$42, 35.609, 35.609)* CHOOSE(CONTROL!$C$21, $C$9, 100%, $E$9)</f>
        <v>35.609000000000002</v>
      </c>
      <c r="J592" s="14">
        <f>CHOOSE(CONTROL!$C$42, 35.485, 35.485)* CHOOSE(CONTROL!$C$21, $C$9, 100%, $E$9)</f>
        <v>35.484999999999999</v>
      </c>
      <c r="K592" s="52">
        <f>CHOOSE(CONTROL!$C$42, 35.6051, 35.6051) * CHOOSE(CONTROL!$C$21, $C$9, 100%, $E$9)</f>
        <v>35.6051</v>
      </c>
      <c r="L592" s="14">
        <f>CHOOSE(CONTROL!$C$42, 36.3073, 36.3073) * CHOOSE(CONTROL!$C$21, $C$9, 100%, $E$9)</f>
        <v>36.307299999999998</v>
      </c>
      <c r="M592" s="14">
        <f>CHOOSE(CONTROL!$C$42, 34.7656, 34.7656) * CHOOSE(CONTROL!$C$21, $C$9, 100%, $E$9)</f>
        <v>34.765599999999999</v>
      </c>
      <c r="N592" s="14">
        <f>CHOOSE(CONTROL!$C$42, 34.782, 34.782) * CHOOSE(CONTROL!$C$21, $C$9, 100%, $E$9)</f>
        <v>34.781999999999996</v>
      </c>
      <c r="O592" s="14">
        <f>CHOOSE(CONTROL!$C$42, 34.9961, 34.9961) * CHOOSE(CONTROL!$C$21, $C$9, 100%, $E$9)</f>
        <v>34.996099999999998</v>
      </c>
      <c r="P592" s="14">
        <f>CHOOSE(CONTROL!$C$42, 34.8849, 34.8849) * CHOOSE(CONTROL!$C$21, $C$9, 100%, $E$9)</f>
        <v>34.884900000000002</v>
      </c>
      <c r="Q592" s="14">
        <f>CHOOSE(CONTROL!$C$42, 35.5908, 35.5908) * CHOOSE(CONTROL!$C$21, $C$9, 100%, $E$9)</f>
        <v>35.590800000000002</v>
      </c>
      <c r="R592" s="14">
        <f>CHOOSE(CONTROL!$C$42, 36.2667, 36.2667) * CHOOSE(CONTROL!$C$21, $C$9, 100%, $E$9)</f>
        <v>36.2667</v>
      </c>
      <c r="S592" s="14">
        <f>CHOOSE(CONTROL!$C$42, 34.069, 34.069) * CHOOSE(CONTROL!$C$21, $C$9, 100%, $E$9)</f>
        <v>34.069000000000003</v>
      </c>
      <c r="T59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56">
        <f>(1000*CHOOSE(CONTROL!$C$42, 695, 695)*CHOOSE(CONTROL!$C$42, 0.5599, 0.5599)*CHOOSE(CONTROL!$C$42, 30, 30))/1000000</f>
        <v>11.673914999999997</v>
      </c>
      <c r="V592" s="56">
        <f>(1000*CHOOSE(CONTROL!$C$42, 500, 500)*CHOOSE(CONTROL!$C$42, 0.275, 0.275)*CHOOSE(CONTROL!$C$42, 30, 30))/1000000</f>
        <v>4.125</v>
      </c>
      <c r="W592" s="56">
        <f>(1000*CHOOSE(CONTROL!$C$42, 0.1146, 0.1146)*CHOOSE(CONTROL!$C$42, 121.5, 121.5)*CHOOSE(CONTROL!$C$42, 30, 30))/1000000</f>
        <v>0.417717</v>
      </c>
      <c r="X592" s="56">
        <f>(30*0.1790888*245000/1000000)+(30*0.2374*100000/1000000)</f>
        <v>2.0285026799999999</v>
      </c>
      <c r="Y592" s="56"/>
      <c r="Z592" s="14"/>
      <c r="AA592" s="55"/>
      <c r="AB592" s="49">
        <f>(B592*141.293+C592*267.993+D592*115.016+E592*89.698+F592*40+G592*185+H592*0+I592*100+J592*300)/(141.293+267.993+115.016+89.698+0+40+185+100+300)</f>
        <v>35.53070074463276</v>
      </c>
      <c r="AC592" s="44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34.851213669064748</v>
      </c>
    </row>
    <row r="593" spans="1:29" ht="15.75" x14ac:dyDescent="0.25">
      <c r="A593" s="31">
        <v>58957</v>
      </c>
      <c r="B593" s="14">
        <f>CHOOSE(CONTROL!$C$42, 35.7793, 35.7793) * CHOOSE(CONTROL!$C$21, $C$9, 100%, $E$9)</f>
        <v>35.779299999999999</v>
      </c>
      <c r="C593" s="14">
        <f>CHOOSE(CONTROL!$C$42, 35.7873, 35.7873) * CHOOSE(CONTROL!$C$21, $C$9, 100%, $E$9)</f>
        <v>35.787300000000002</v>
      </c>
      <c r="D593" s="14">
        <f>CHOOSE(CONTROL!$C$42, 36.0131, 36.0131) * CHOOSE(CONTROL!$C$21, $C$9, 100%, $E$9)</f>
        <v>36.013100000000001</v>
      </c>
      <c r="E593" s="14">
        <f>CHOOSE(CONTROL!$C$42, 36.0446, 36.0446) * CHOOSE(CONTROL!$C$21, $C$9, 100%, $E$9)</f>
        <v>36.044600000000003</v>
      </c>
      <c r="F593" s="14">
        <f>CHOOSE(CONTROL!$C$42, 35.8049, 35.8049)*CHOOSE(CONTROL!$C$21, $C$9, 100%, $E$9)</f>
        <v>35.804900000000004</v>
      </c>
      <c r="G593" s="14">
        <f>CHOOSE(CONTROL!$C$42, 35.8219, 35.8219)*CHOOSE(CONTROL!$C$21, $C$9, 100%, $E$9)</f>
        <v>35.821899999999999</v>
      </c>
      <c r="H593" s="14">
        <f>CHOOSE(CONTROL!$C$42, 36.0332, 36.0332) * CHOOSE(CONTROL!$C$21, $C$9, 100%, $E$9)</f>
        <v>36.033200000000001</v>
      </c>
      <c r="I593" s="14">
        <f>CHOOSE(CONTROL!$C$42, 35.9229, 35.9229)* CHOOSE(CONTROL!$C$21, $C$9, 100%, $E$9)</f>
        <v>35.922899999999998</v>
      </c>
      <c r="J593" s="14">
        <f>CHOOSE(CONTROL!$C$42, 35.7979, 35.7979)* CHOOSE(CONTROL!$C$21, $C$9, 100%, $E$9)</f>
        <v>35.797899999999998</v>
      </c>
      <c r="K593" s="52">
        <f>CHOOSE(CONTROL!$C$42, 35.919, 35.919) * CHOOSE(CONTROL!$C$21, $C$9, 100%, $E$9)</f>
        <v>35.918999999999997</v>
      </c>
      <c r="L593" s="14">
        <f>CHOOSE(CONTROL!$C$42, 36.6202, 36.6202) * CHOOSE(CONTROL!$C$21, $C$9, 100%, $E$9)</f>
        <v>36.620199999999997</v>
      </c>
      <c r="M593" s="14">
        <f>CHOOSE(CONTROL!$C$42, 35.0722, 35.0722) * CHOOSE(CONTROL!$C$21, $C$9, 100%, $E$9)</f>
        <v>35.072200000000002</v>
      </c>
      <c r="N593" s="14">
        <f>CHOOSE(CONTROL!$C$42, 35.0888, 35.0888) * CHOOSE(CONTROL!$C$21, $C$9, 100%, $E$9)</f>
        <v>35.088799999999999</v>
      </c>
      <c r="O593" s="14">
        <f>CHOOSE(CONTROL!$C$42, 35.3026, 35.3026) * CHOOSE(CONTROL!$C$21, $C$9, 100%, $E$9)</f>
        <v>35.302599999999998</v>
      </c>
      <c r="P593" s="14">
        <f>CHOOSE(CONTROL!$C$42, 35.1923, 35.1923) * CHOOSE(CONTROL!$C$21, $C$9, 100%, $E$9)</f>
        <v>35.192300000000003</v>
      </c>
      <c r="Q593" s="14">
        <f>CHOOSE(CONTROL!$C$42, 35.8973, 35.8973) * CHOOSE(CONTROL!$C$21, $C$9, 100%, $E$9)</f>
        <v>35.897300000000001</v>
      </c>
      <c r="R593" s="14">
        <f>CHOOSE(CONTROL!$C$42, 36.574, 36.574) * CHOOSE(CONTROL!$C$21, $C$9, 100%, $E$9)</f>
        <v>36.573999999999998</v>
      </c>
      <c r="S593" s="14">
        <f>CHOOSE(CONTROL!$C$42, 34.3697, 34.3697) * CHOOSE(CONTROL!$C$21, $C$9, 100%, $E$9)</f>
        <v>34.369700000000002</v>
      </c>
      <c r="T59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56">
        <f>(1000*CHOOSE(CONTROL!$C$42, 695, 695)*CHOOSE(CONTROL!$C$42, 0.5599, 0.5599)*CHOOSE(CONTROL!$C$42, 31, 31))/1000000</f>
        <v>12.063045499999998</v>
      </c>
      <c r="V593" s="56">
        <f>(1000*CHOOSE(CONTROL!$C$42, 500, 500)*CHOOSE(CONTROL!$C$42, 0.275, 0.275)*CHOOSE(CONTROL!$C$42, 31, 31))/1000000</f>
        <v>4.2625000000000002</v>
      </c>
      <c r="W593" s="56">
        <f>(1000*CHOOSE(CONTROL!$C$42, 0.1146, 0.1146)*CHOOSE(CONTROL!$C$42, 121.5, 121.5)*CHOOSE(CONTROL!$C$42, 31, 31))/1000000</f>
        <v>0.43164089999999994</v>
      </c>
      <c r="X593" s="56">
        <f>(31*0.1790888*245000/1000000)+(31*0.2374*100000/1000000)</f>
        <v>2.0961194359999999</v>
      </c>
      <c r="Y593" s="56"/>
      <c r="Z593" s="14"/>
      <c r="AA593" s="55"/>
      <c r="AB593" s="49">
        <f>(B593*194.205+C593*267.466+D593*133.845+E593*53.484+F593*40+G593*185+H593*0+I593*100+J593*300)/(194.205+267.466+133.845+53.484+0+40+185+100+300)</f>
        <v>35.83932118854004</v>
      </c>
      <c r="AC593" s="44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35.157946762589923</v>
      </c>
    </row>
    <row r="594" spans="1:29" ht="15.75" x14ac:dyDescent="0.25">
      <c r="A594" s="31">
        <v>58987</v>
      </c>
      <c r="B594" s="14">
        <f>CHOOSE(CONTROL!$C$42, 36.7939, 36.7939) * CHOOSE(CONTROL!$C$21, $C$9, 100%, $E$9)</f>
        <v>36.793900000000001</v>
      </c>
      <c r="C594" s="14">
        <f>CHOOSE(CONTROL!$C$42, 36.8019, 36.8019) * CHOOSE(CONTROL!$C$21, $C$9, 100%, $E$9)</f>
        <v>36.801900000000003</v>
      </c>
      <c r="D594" s="14">
        <f>CHOOSE(CONTROL!$C$42, 37.0277, 37.0277) * CHOOSE(CONTROL!$C$21, $C$9, 100%, $E$9)</f>
        <v>37.027700000000003</v>
      </c>
      <c r="E594" s="14">
        <f>CHOOSE(CONTROL!$C$42, 37.0591, 37.0591) * CHOOSE(CONTROL!$C$21, $C$9, 100%, $E$9)</f>
        <v>37.059100000000001</v>
      </c>
      <c r="F594" s="14">
        <f>CHOOSE(CONTROL!$C$42, 36.82, 36.82)*CHOOSE(CONTROL!$C$21, $C$9, 100%, $E$9)</f>
        <v>36.82</v>
      </c>
      <c r="G594" s="14">
        <f>CHOOSE(CONTROL!$C$42, 36.837, 36.837)*CHOOSE(CONTROL!$C$21, $C$9, 100%, $E$9)</f>
        <v>36.837000000000003</v>
      </c>
      <c r="H594" s="14">
        <f>CHOOSE(CONTROL!$C$42, 37.0478, 37.0478) * CHOOSE(CONTROL!$C$21, $C$9, 100%, $E$9)</f>
        <v>37.047800000000002</v>
      </c>
      <c r="I594" s="14">
        <f>CHOOSE(CONTROL!$C$42, 36.9406, 36.9406)* CHOOSE(CONTROL!$C$21, $C$9, 100%, $E$9)</f>
        <v>36.940600000000003</v>
      </c>
      <c r="J594" s="14">
        <f>CHOOSE(CONTROL!$C$42, 36.813, 36.813)* CHOOSE(CONTROL!$C$21, $C$9, 100%, $E$9)</f>
        <v>36.813000000000002</v>
      </c>
      <c r="K594" s="52">
        <f>CHOOSE(CONTROL!$C$42, 36.9367, 36.9367) * CHOOSE(CONTROL!$C$21, $C$9, 100%, $E$9)</f>
        <v>36.936700000000002</v>
      </c>
      <c r="L594" s="14">
        <f>CHOOSE(CONTROL!$C$42, 37.6348, 37.6348) * CHOOSE(CONTROL!$C$21, $C$9, 100%, $E$9)</f>
        <v>37.634799999999998</v>
      </c>
      <c r="M594" s="14">
        <f>CHOOSE(CONTROL!$C$42, 36.0664, 36.0664) * CHOOSE(CONTROL!$C$21, $C$9, 100%, $E$9)</f>
        <v>36.066400000000002</v>
      </c>
      <c r="N594" s="14">
        <f>CHOOSE(CONTROL!$C$42, 36.0831, 36.0831) * CHOOSE(CONTROL!$C$21, $C$9, 100%, $E$9)</f>
        <v>36.083100000000002</v>
      </c>
      <c r="O594" s="14">
        <f>CHOOSE(CONTROL!$C$42, 36.2964, 36.2964) * CHOOSE(CONTROL!$C$21, $C$9, 100%, $E$9)</f>
        <v>36.296399999999998</v>
      </c>
      <c r="P594" s="14">
        <f>CHOOSE(CONTROL!$C$42, 36.1892, 36.1892) * CHOOSE(CONTROL!$C$21, $C$9, 100%, $E$9)</f>
        <v>36.1892</v>
      </c>
      <c r="Q594" s="14">
        <f>CHOOSE(CONTROL!$C$42, 36.8911, 36.8911) * CHOOSE(CONTROL!$C$21, $C$9, 100%, $E$9)</f>
        <v>36.891100000000002</v>
      </c>
      <c r="R594" s="14">
        <f>CHOOSE(CONTROL!$C$42, 37.5703, 37.5703) * CHOOSE(CONTROL!$C$21, $C$9, 100%, $E$9)</f>
        <v>37.570300000000003</v>
      </c>
      <c r="S594" s="14">
        <f>CHOOSE(CONTROL!$C$42, 35.3446, 35.3446) * CHOOSE(CONTROL!$C$21, $C$9, 100%, $E$9)</f>
        <v>35.3446</v>
      </c>
      <c r="T59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56">
        <f>(1000*CHOOSE(CONTROL!$C$42, 695, 695)*CHOOSE(CONTROL!$C$42, 0.5599, 0.5599)*CHOOSE(CONTROL!$C$42, 30, 30))/1000000</f>
        <v>11.673914999999997</v>
      </c>
      <c r="V594" s="56">
        <f>(1000*CHOOSE(CONTROL!$C$42, 500, 500)*CHOOSE(CONTROL!$C$42, 0.275, 0.275)*CHOOSE(CONTROL!$C$42, 30, 30))/1000000</f>
        <v>4.125</v>
      </c>
      <c r="W594" s="56">
        <f>(1000*CHOOSE(CONTROL!$C$42, 0.1146, 0.1146)*CHOOSE(CONTROL!$C$42, 121.5, 121.5)*CHOOSE(CONTROL!$C$42, 30, 30))/1000000</f>
        <v>0.417717</v>
      </c>
      <c r="X594" s="56">
        <f>(30*0.1790888*245000/1000000)+(30*0.2374*100000/1000000)</f>
        <v>2.0285026799999999</v>
      </c>
      <c r="Y594" s="56"/>
      <c r="Z594" s="14"/>
      <c r="AA594" s="55"/>
      <c r="AB594" s="49">
        <f>(B594*194.205+C594*267.466+D594*133.845+E594*53.484+F594*40+G594*185+H594*0+I594*100+J594*300)/(194.205+267.466+133.845+53.484+0+40+185+100+300)</f>
        <v>36.854366362480377</v>
      </c>
      <c r="AC594" s="44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36.152446043165462</v>
      </c>
    </row>
    <row r="595" spans="1:29" ht="15.75" x14ac:dyDescent="0.25">
      <c r="A595" s="31">
        <v>59018</v>
      </c>
      <c r="B595" s="14">
        <f>CHOOSE(CONTROL!$C$42, 36.0882, 36.0882) * CHOOSE(CONTROL!$C$21, $C$9, 100%, $E$9)</f>
        <v>36.088200000000001</v>
      </c>
      <c r="C595" s="14">
        <f>CHOOSE(CONTROL!$C$42, 36.0962, 36.0962) * CHOOSE(CONTROL!$C$21, $C$9, 100%, $E$9)</f>
        <v>36.096200000000003</v>
      </c>
      <c r="D595" s="14">
        <f>CHOOSE(CONTROL!$C$42, 36.322, 36.322) * CHOOSE(CONTROL!$C$21, $C$9, 100%, $E$9)</f>
        <v>36.322000000000003</v>
      </c>
      <c r="E595" s="14">
        <f>CHOOSE(CONTROL!$C$42, 36.3535, 36.3535) * CHOOSE(CONTROL!$C$21, $C$9, 100%, $E$9)</f>
        <v>36.353499999999997</v>
      </c>
      <c r="F595" s="14">
        <f>CHOOSE(CONTROL!$C$42, 36.1148, 36.1148)*CHOOSE(CONTROL!$C$21, $C$9, 100%, $E$9)</f>
        <v>36.114800000000002</v>
      </c>
      <c r="G595" s="14">
        <f>CHOOSE(CONTROL!$C$42, 36.132, 36.132)*CHOOSE(CONTROL!$C$21, $C$9, 100%, $E$9)</f>
        <v>36.131999999999998</v>
      </c>
      <c r="H595" s="14">
        <f>CHOOSE(CONTROL!$C$42, 36.3421, 36.3421) * CHOOSE(CONTROL!$C$21, $C$9, 100%, $E$9)</f>
        <v>36.342100000000002</v>
      </c>
      <c r="I595" s="14">
        <f>CHOOSE(CONTROL!$C$42, 36.2328, 36.2328)* CHOOSE(CONTROL!$C$21, $C$9, 100%, $E$9)</f>
        <v>36.232799999999997</v>
      </c>
      <c r="J595" s="14">
        <f>CHOOSE(CONTROL!$C$42, 36.1078, 36.1078)* CHOOSE(CONTROL!$C$21, $C$9, 100%, $E$9)</f>
        <v>36.107799999999997</v>
      </c>
      <c r="K595" s="52">
        <f>CHOOSE(CONTROL!$C$42, 36.2289, 36.2289) * CHOOSE(CONTROL!$C$21, $C$9, 100%, $E$9)</f>
        <v>36.228900000000003</v>
      </c>
      <c r="L595" s="14">
        <f>CHOOSE(CONTROL!$C$42, 36.9291, 36.9291) * CHOOSE(CONTROL!$C$21, $C$9, 100%, $E$9)</f>
        <v>36.929099999999998</v>
      </c>
      <c r="M595" s="14">
        <f>CHOOSE(CONTROL!$C$42, 35.3757, 35.3757) * CHOOSE(CONTROL!$C$21, $C$9, 100%, $E$9)</f>
        <v>35.375700000000002</v>
      </c>
      <c r="N595" s="14">
        <f>CHOOSE(CONTROL!$C$42, 35.3925, 35.3925) * CHOOSE(CONTROL!$C$21, $C$9, 100%, $E$9)</f>
        <v>35.392499999999998</v>
      </c>
      <c r="O595" s="14">
        <f>CHOOSE(CONTROL!$C$42, 35.6052, 35.6052) * CHOOSE(CONTROL!$C$21, $C$9, 100%, $E$9)</f>
        <v>35.605200000000004</v>
      </c>
      <c r="P595" s="14">
        <f>CHOOSE(CONTROL!$C$42, 35.4959, 35.4959) * CHOOSE(CONTROL!$C$21, $C$9, 100%, $E$9)</f>
        <v>35.495899999999999</v>
      </c>
      <c r="Q595" s="14">
        <f>CHOOSE(CONTROL!$C$42, 36.1999, 36.1999) * CHOOSE(CONTROL!$C$21, $C$9, 100%, $E$9)</f>
        <v>36.1999</v>
      </c>
      <c r="R595" s="14">
        <f>CHOOSE(CONTROL!$C$42, 36.8774, 36.8774) * CHOOSE(CONTROL!$C$21, $C$9, 100%, $E$9)</f>
        <v>36.877400000000002</v>
      </c>
      <c r="S595" s="14">
        <f>CHOOSE(CONTROL!$C$42, 34.6665, 34.6665) * CHOOSE(CONTROL!$C$21, $C$9, 100%, $E$9)</f>
        <v>34.666499999999999</v>
      </c>
      <c r="T59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56">
        <f>(1000*CHOOSE(CONTROL!$C$42, 695, 695)*CHOOSE(CONTROL!$C$42, 0.5599, 0.5599)*CHOOSE(CONTROL!$C$42, 31, 31))/1000000</f>
        <v>12.063045499999998</v>
      </c>
      <c r="V595" s="56">
        <f>(1000*CHOOSE(CONTROL!$C$42, 500, 500)*CHOOSE(CONTROL!$C$42, 0.275, 0.275)*CHOOSE(CONTROL!$C$42, 31, 31))/1000000</f>
        <v>4.2625000000000002</v>
      </c>
      <c r="W595" s="56">
        <f>(1000*CHOOSE(CONTROL!$C$42, 0.1146, 0.1146)*CHOOSE(CONTROL!$C$42, 121.5, 121.5)*CHOOSE(CONTROL!$C$42, 31, 31))/1000000</f>
        <v>0.43164089999999994</v>
      </c>
      <c r="X595" s="56">
        <f>(31*0.1790888*245000/1000000)+(31*0.2374*100000/1000000)</f>
        <v>2.0961194359999999</v>
      </c>
      <c r="Y595" s="56"/>
      <c r="Z595" s="14"/>
      <c r="AA595" s="55"/>
      <c r="AB595" s="49">
        <f>(B595*194.205+C595*267.466+D595*133.845+E595*53.484+F595*40+G595*185+H595*0+I595*100+J595*300)/(194.205+267.466+133.845+53.484+0+40+185+100+300)</f>
        <v>36.148740811773941</v>
      </c>
      <c r="AC595" s="44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35.461254676258996</v>
      </c>
    </row>
    <row r="596" spans="1:29" ht="15.75" x14ac:dyDescent="0.25">
      <c r="A596" s="31">
        <v>59049</v>
      </c>
      <c r="B596" s="14">
        <f>CHOOSE(CONTROL!$C$42, 34.3062, 34.3062) * CHOOSE(CONTROL!$C$21, $C$9, 100%, $E$9)</f>
        <v>34.306199999999997</v>
      </c>
      <c r="C596" s="14">
        <f>CHOOSE(CONTROL!$C$42, 34.3142, 34.3142) * CHOOSE(CONTROL!$C$21, $C$9, 100%, $E$9)</f>
        <v>34.3142</v>
      </c>
      <c r="D596" s="14">
        <f>CHOOSE(CONTROL!$C$42, 34.54, 34.54) * CHOOSE(CONTROL!$C$21, $C$9, 100%, $E$9)</f>
        <v>34.54</v>
      </c>
      <c r="E596" s="14">
        <f>CHOOSE(CONTROL!$C$42, 34.5715, 34.5715) * CHOOSE(CONTROL!$C$21, $C$9, 100%, $E$9)</f>
        <v>34.5715</v>
      </c>
      <c r="F596" s="14">
        <f>CHOOSE(CONTROL!$C$42, 34.333, 34.333)*CHOOSE(CONTROL!$C$21, $C$9, 100%, $E$9)</f>
        <v>34.332999999999998</v>
      </c>
      <c r="G596" s="14">
        <f>CHOOSE(CONTROL!$C$42, 34.3503, 34.3503)*CHOOSE(CONTROL!$C$21, $C$9, 100%, $E$9)</f>
        <v>34.350299999999997</v>
      </c>
      <c r="H596" s="14">
        <f>CHOOSE(CONTROL!$C$42, 34.5601, 34.5601) * CHOOSE(CONTROL!$C$21, $C$9, 100%, $E$9)</f>
        <v>34.560099999999998</v>
      </c>
      <c r="I596" s="14">
        <f>CHOOSE(CONTROL!$C$42, 34.4452, 34.4452)* CHOOSE(CONTROL!$C$21, $C$9, 100%, $E$9)</f>
        <v>34.4452</v>
      </c>
      <c r="J596" s="14">
        <f>CHOOSE(CONTROL!$C$42, 34.326, 34.326)* CHOOSE(CONTROL!$C$21, $C$9, 100%, $E$9)</f>
        <v>34.326000000000001</v>
      </c>
      <c r="K596" s="52">
        <f>CHOOSE(CONTROL!$C$42, 34.4413, 34.4413) * CHOOSE(CONTROL!$C$21, $C$9, 100%, $E$9)</f>
        <v>34.441299999999998</v>
      </c>
      <c r="L596" s="14">
        <f>CHOOSE(CONTROL!$C$42, 35.1471, 35.1471) * CHOOSE(CONTROL!$C$21, $C$9, 100%, $E$9)</f>
        <v>35.147100000000002</v>
      </c>
      <c r="M596" s="14">
        <f>CHOOSE(CONTROL!$C$42, 33.6304, 33.6304) * CHOOSE(CONTROL!$C$21, $C$9, 100%, $E$9)</f>
        <v>33.630400000000002</v>
      </c>
      <c r="N596" s="14">
        <f>CHOOSE(CONTROL!$C$42, 33.6473, 33.6473) * CHOOSE(CONTROL!$C$21, $C$9, 100%, $E$9)</f>
        <v>33.647300000000001</v>
      </c>
      <c r="O596" s="14">
        <f>CHOOSE(CONTROL!$C$42, 33.8597, 33.8597) * CHOOSE(CONTROL!$C$21, $C$9, 100%, $E$9)</f>
        <v>33.859699999999997</v>
      </c>
      <c r="P596" s="14">
        <f>CHOOSE(CONTROL!$C$42, 33.745, 33.745) * CHOOSE(CONTROL!$C$21, $C$9, 100%, $E$9)</f>
        <v>33.744999999999997</v>
      </c>
      <c r="Q596" s="14">
        <f>CHOOSE(CONTROL!$C$42, 34.4544, 34.4544) * CHOOSE(CONTROL!$C$21, $C$9, 100%, $E$9)</f>
        <v>34.4544</v>
      </c>
      <c r="R596" s="14">
        <f>CHOOSE(CONTROL!$C$42, 35.1275, 35.1275) * CHOOSE(CONTROL!$C$21, $C$9, 100%, $E$9)</f>
        <v>35.127499999999998</v>
      </c>
      <c r="S596" s="14">
        <f>CHOOSE(CONTROL!$C$42, 32.9542, 32.9542) * CHOOSE(CONTROL!$C$21, $C$9, 100%, $E$9)</f>
        <v>32.9542</v>
      </c>
      <c r="T59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56">
        <f>(1000*CHOOSE(CONTROL!$C$42, 695, 695)*CHOOSE(CONTROL!$C$42, 0.5599, 0.5599)*CHOOSE(CONTROL!$C$42, 31, 31))/1000000</f>
        <v>12.063045499999998</v>
      </c>
      <c r="V596" s="56">
        <f>(1000*CHOOSE(CONTROL!$C$42, 500, 500)*CHOOSE(CONTROL!$C$42, 0.275, 0.275)*CHOOSE(CONTROL!$C$42, 31, 31))/1000000</f>
        <v>4.2625000000000002</v>
      </c>
      <c r="W596" s="56">
        <f>(1000*CHOOSE(CONTROL!$C$42, 0.1146, 0.1146)*CHOOSE(CONTROL!$C$42, 121.5, 121.5)*CHOOSE(CONTROL!$C$42, 31, 31))/1000000</f>
        <v>0.43164089999999994</v>
      </c>
      <c r="X596" s="56">
        <f>(31*0.1790888*245000/1000000)+(31*0.2374*100000/1000000)</f>
        <v>2.0961194359999999</v>
      </c>
      <c r="Y596" s="56"/>
      <c r="Z596" s="14"/>
      <c r="AA596" s="55"/>
      <c r="AB596" s="49">
        <f>(B596*194.205+C596*267.466+D596*133.845+E596*53.484+F596*40+G596*185+H596*0+I596*100+J596*300)/(194.205+267.466+133.845+53.484+0+40+185+100+300)</f>
        <v>34.366398190109891</v>
      </c>
      <c r="AC596" s="44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33.715115827338131</v>
      </c>
    </row>
    <row r="597" spans="1:29" ht="15.75" x14ac:dyDescent="0.25">
      <c r="A597" s="31">
        <v>59079</v>
      </c>
      <c r="B597" s="14">
        <f>CHOOSE(CONTROL!$C$42, 32.1287, 32.1287) * CHOOSE(CONTROL!$C$21, $C$9, 100%, $E$9)</f>
        <v>32.128700000000002</v>
      </c>
      <c r="C597" s="14">
        <f>CHOOSE(CONTROL!$C$42, 32.1367, 32.1367) * CHOOSE(CONTROL!$C$21, $C$9, 100%, $E$9)</f>
        <v>32.136699999999998</v>
      </c>
      <c r="D597" s="14">
        <f>CHOOSE(CONTROL!$C$42, 32.3625, 32.3625) * CHOOSE(CONTROL!$C$21, $C$9, 100%, $E$9)</f>
        <v>32.362499999999997</v>
      </c>
      <c r="E597" s="14">
        <f>CHOOSE(CONTROL!$C$42, 32.394, 32.394) * CHOOSE(CONTROL!$C$21, $C$9, 100%, $E$9)</f>
        <v>32.393999999999998</v>
      </c>
      <c r="F597" s="14">
        <f>CHOOSE(CONTROL!$C$42, 32.1555, 32.1555)*CHOOSE(CONTROL!$C$21, $C$9, 100%, $E$9)</f>
        <v>32.155500000000004</v>
      </c>
      <c r="G597" s="14">
        <f>CHOOSE(CONTROL!$C$42, 32.1728, 32.1728)*CHOOSE(CONTROL!$C$21, $C$9, 100%, $E$9)</f>
        <v>32.172800000000002</v>
      </c>
      <c r="H597" s="14">
        <f>CHOOSE(CONTROL!$C$42, 32.3826, 32.3826) * CHOOSE(CONTROL!$C$21, $C$9, 100%, $E$9)</f>
        <v>32.382599999999996</v>
      </c>
      <c r="I597" s="14">
        <f>CHOOSE(CONTROL!$C$42, 32.2609, 32.2609)* CHOOSE(CONTROL!$C$21, $C$9, 100%, $E$9)</f>
        <v>32.260899999999999</v>
      </c>
      <c r="J597" s="14">
        <f>CHOOSE(CONTROL!$C$42, 32.1485, 32.1485)* CHOOSE(CONTROL!$C$21, $C$9, 100%, $E$9)</f>
        <v>32.148499999999999</v>
      </c>
      <c r="K597" s="52">
        <f>CHOOSE(CONTROL!$C$42, 32.257, 32.257) * CHOOSE(CONTROL!$C$21, $C$9, 100%, $E$9)</f>
        <v>32.256999999999998</v>
      </c>
      <c r="L597" s="14">
        <f>CHOOSE(CONTROL!$C$42, 32.9696, 32.9696) * CHOOSE(CONTROL!$C$21, $C$9, 100%, $E$9)</f>
        <v>32.9696</v>
      </c>
      <c r="M597" s="14">
        <f>CHOOSE(CONTROL!$C$42, 31.4975, 31.4975) * CHOOSE(CONTROL!$C$21, $C$9, 100%, $E$9)</f>
        <v>31.497499999999999</v>
      </c>
      <c r="N597" s="14">
        <f>CHOOSE(CONTROL!$C$42, 31.5144, 31.5144) * CHOOSE(CONTROL!$C$21, $C$9, 100%, $E$9)</f>
        <v>31.514399999999998</v>
      </c>
      <c r="O597" s="14">
        <f>CHOOSE(CONTROL!$C$42, 31.7268, 31.7268) * CHOOSE(CONTROL!$C$21, $C$9, 100%, $E$9)</f>
        <v>31.726800000000001</v>
      </c>
      <c r="P597" s="14">
        <f>CHOOSE(CONTROL!$C$42, 31.6056, 31.6056) * CHOOSE(CONTROL!$C$21, $C$9, 100%, $E$9)</f>
        <v>31.605599999999999</v>
      </c>
      <c r="Q597" s="14">
        <f>CHOOSE(CONTROL!$C$42, 32.3215, 32.3215) * CHOOSE(CONTROL!$C$21, $C$9, 100%, $E$9)</f>
        <v>32.3215</v>
      </c>
      <c r="R597" s="14">
        <f>CHOOSE(CONTROL!$C$42, 32.9893, 32.9893) * CHOOSE(CONTROL!$C$21, $C$9, 100%, $E$9)</f>
        <v>32.9893</v>
      </c>
      <c r="S597" s="14">
        <f>CHOOSE(CONTROL!$C$42, 30.8619, 30.8619) * CHOOSE(CONTROL!$C$21, $C$9, 100%, $E$9)</f>
        <v>30.861899999999999</v>
      </c>
      <c r="T59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56">
        <f>(1000*CHOOSE(CONTROL!$C$42, 695, 695)*CHOOSE(CONTROL!$C$42, 0.5599, 0.5599)*CHOOSE(CONTROL!$C$42, 30, 30))/1000000</f>
        <v>11.673914999999997</v>
      </c>
      <c r="V597" s="56">
        <f>(1000*CHOOSE(CONTROL!$C$42, 500, 500)*CHOOSE(CONTROL!$C$42, 0.275, 0.275)*CHOOSE(CONTROL!$C$42, 30, 30))/1000000</f>
        <v>4.125</v>
      </c>
      <c r="W597" s="56">
        <f>(1000*CHOOSE(CONTROL!$C$42, 0.1146, 0.1146)*CHOOSE(CONTROL!$C$42, 121.5, 121.5)*CHOOSE(CONTROL!$C$42, 30, 30))/1000000</f>
        <v>0.417717</v>
      </c>
      <c r="X597" s="56">
        <f>(30*0.1790888*245000/1000000)+(30*0.2374*100000/1000000)</f>
        <v>2.0285026799999999</v>
      </c>
      <c r="Y597" s="56"/>
      <c r="Z597" s="14"/>
      <c r="AA597" s="55"/>
      <c r="AB597" s="49">
        <f>(B597*194.205+C597*267.466+D597*133.845+E597*53.484+F597*40+G597*185+H597*0+I597*100+J597*300)/(194.205+267.466+133.845+53.484+0+40+185+100+300)</f>
        <v>32.188364438147566</v>
      </c>
      <c r="AC597" s="44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31.581280575539569</v>
      </c>
    </row>
    <row r="598" spans="1:29" ht="15.75" x14ac:dyDescent="0.25">
      <c r="A598" s="31">
        <v>59110</v>
      </c>
      <c r="B598" s="14">
        <f>CHOOSE(CONTROL!$C$42, 31.4749, 31.4749) * CHOOSE(CONTROL!$C$21, $C$9, 100%, $E$9)</f>
        <v>31.474900000000002</v>
      </c>
      <c r="C598" s="14">
        <f>CHOOSE(CONTROL!$C$42, 31.4802, 31.4802) * CHOOSE(CONTROL!$C$21, $C$9, 100%, $E$9)</f>
        <v>31.4802</v>
      </c>
      <c r="D598" s="14">
        <f>CHOOSE(CONTROL!$C$42, 31.7109, 31.7109) * CHOOSE(CONTROL!$C$21, $C$9, 100%, $E$9)</f>
        <v>31.710899999999999</v>
      </c>
      <c r="E598" s="14">
        <f>CHOOSE(CONTROL!$C$42, 31.7401, 31.7401) * CHOOSE(CONTROL!$C$21, $C$9, 100%, $E$9)</f>
        <v>31.740100000000002</v>
      </c>
      <c r="F598" s="14">
        <f>CHOOSE(CONTROL!$C$42, 31.5037, 31.5037)*CHOOSE(CONTROL!$C$21, $C$9, 100%, $E$9)</f>
        <v>31.503699999999998</v>
      </c>
      <c r="G598" s="14">
        <f>CHOOSE(CONTROL!$C$42, 31.5208, 31.5208)*CHOOSE(CONTROL!$C$21, $C$9, 100%, $E$9)</f>
        <v>31.520800000000001</v>
      </c>
      <c r="H598" s="14">
        <f>CHOOSE(CONTROL!$C$42, 31.7305, 31.7305) * CHOOSE(CONTROL!$C$21, $C$9, 100%, $E$9)</f>
        <v>31.730499999999999</v>
      </c>
      <c r="I598" s="14">
        <f>CHOOSE(CONTROL!$C$42, 31.6067, 31.6067)* CHOOSE(CONTROL!$C$21, $C$9, 100%, $E$9)</f>
        <v>31.6067</v>
      </c>
      <c r="J598" s="14">
        <f>CHOOSE(CONTROL!$C$42, 31.4967, 31.4967)* CHOOSE(CONTROL!$C$21, $C$9, 100%, $E$9)</f>
        <v>31.496700000000001</v>
      </c>
      <c r="K598" s="52">
        <f>CHOOSE(CONTROL!$C$42, 31.6028, 31.6028) * CHOOSE(CONTROL!$C$21, $C$9, 100%, $E$9)</f>
        <v>31.602799999999998</v>
      </c>
      <c r="L598" s="14">
        <f>CHOOSE(CONTROL!$C$42, 32.3175, 32.3175) * CHOOSE(CONTROL!$C$21, $C$9, 100%, $E$9)</f>
        <v>32.317500000000003</v>
      </c>
      <c r="M598" s="14">
        <f>CHOOSE(CONTROL!$C$42, 30.8591, 30.8591) * CHOOSE(CONTROL!$C$21, $C$9, 100%, $E$9)</f>
        <v>30.859100000000002</v>
      </c>
      <c r="N598" s="14">
        <f>CHOOSE(CONTROL!$C$42, 30.8758, 30.8758) * CHOOSE(CONTROL!$C$21, $C$9, 100%, $E$9)</f>
        <v>30.875800000000002</v>
      </c>
      <c r="O598" s="14">
        <f>CHOOSE(CONTROL!$C$42, 31.0881, 31.0881) * CHOOSE(CONTROL!$C$21, $C$9, 100%, $E$9)</f>
        <v>31.088100000000001</v>
      </c>
      <c r="P598" s="14">
        <f>CHOOSE(CONTROL!$C$42, 30.9649, 30.9649) * CHOOSE(CONTROL!$C$21, $C$9, 100%, $E$9)</f>
        <v>30.9649</v>
      </c>
      <c r="Q598" s="14">
        <f>CHOOSE(CONTROL!$C$42, 31.6828, 31.6828) * CHOOSE(CONTROL!$C$21, $C$9, 100%, $E$9)</f>
        <v>31.6828</v>
      </c>
      <c r="R598" s="14">
        <f>CHOOSE(CONTROL!$C$42, 32.349, 32.349) * CHOOSE(CONTROL!$C$21, $C$9, 100%, $E$9)</f>
        <v>32.348999999999997</v>
      </c>
      <c r="S598" s="14">
        <f>CHOOSE(CONTROL!$C$42, 30.2352, 30.2352) * CHOOSE(CONTROL!$C$21, $C$9, 100%, $E$9)</f>
        <v>30.235199999999999</v>
      </c>
      <c r="T59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56">
        <f>(1000*CHOOSE(CONTROL!$C$42, 695, 695)*CHOOSE(CONTROL!$C$42, 0.5599, 0.5599)*CHOOSE(CONTROL!$C$42, 31, 31))/1000000</f>
        <v>12.063045499999998</v>
      </c>
      <c r="V598" s="56">
        <f>(1000*CHOOSE(CONTROL!$C$42, 500, 500)*CHOOSE(CONTROL!$C$42, 0.275, 0.275)*CHOOSE(CONTROL!$C$42, 31, 31))/1000000</f>
        <v>4.2625000000000002</v>
      </c>
      <c r="W598" s="56">
        <f>(1000*CHOOSE(CONTROL!$C$42, 0.1146, 0.1146)*CHOOSE(CONTROL!$C$42, 121.5, 121.5)*CHOOSE(CONTROL!$C$42, 31, 31))/1000000</f>
        <v>0.43164089999999994</v>
      </c>
      <c r="X598" s="56">
        <f>(31*0.1790888*245000/1000000)+(31*0.2374*100000/1000000)</f>
        <v>2.0961194359999999</v>
      </c>
      <c r="Y598" s="56"/>
      <c r="Z598" s="14"/>
      <c r="AA598" s="55"/>
      <c r="AB598" s="49">
        <f>(B598*131.881+C598*277.167+D598*79.08+E598*125.872+F598*40+G598*185+H598*0+I598*100+J598*300)/(131.881+277.167+79.08+125.872+0+40+185+100+300)</f>
        <v>31.541789926957225</v>
      </c>
      <c r="AC598" s="44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30.942419424460436</v>
      </c>
    </row>
    <row r="599" spans="1:29" ht="15.75" x14ac:dyDescent="0.25">
      <c r="A599" s="31">
        <v>59140</v>
      </c>
      <c r="B599" s="14">
        <f>CHOOSE(CONTROL!$C$42, 32.3034, 32.3034) * CHOOSE(CONTROL!$C$21, $C$9, 100%, $E$9)</f>
        <v>32.303400000000003</v>
      </c>
      <c r="C599" s="14">
        <f>CHOOSE(CONTROL!$C$42, 32.3084, 32.3084) * CHOOSE(CONTROL!$C$21, $C$9, 100%, $E$9)</f>
        <v>32.308399999999999</v>
      </c>
      <c r="D599" s="14">
        <f>CHOOSE(CONTROL!$C$42, 32.3775, 32.3775) * CHOOSE(CONTROL!$C$21, $C$9, 100%, $E$9)</f>
        <v>32.377499999999998</v>
      </c>
      <c r="E599" s="14">
        <f>CHOOSE(CONTROL!$C$42, 32.4116, 32.4116) * CHOOSE(CONTROL!$C$21, $C$9, 100%, $E$9)</f>
        <v>32.4116</v>
      </c>
      <c r="F599" s="14">
        <f>CHOOSE(CONTROL!$C$42, 32.339, 32.339)*CHOOSE(CONTROL!$C$21, $C$9, 100%, $E$9)</f>
        <v>32.338999999999999</v>
      </c>
      <c r="G599" s="14">
        <f>CHOOSE(CONTROL!$C$42, 32.3564, 32.3564)*CHOOSE(CONTROL!$C$21, $C$9, 100%, $E$9)</f>
        <v>32.356400000000001</v>
      </c>
      <c r="H599" s="14">
        <f>CHOOSE(CONTROL!$C$42, 32.4008, 32.4008) * CHOOSE(CONTROL!$C$21, $C$9, 100%, $E$9)</f>
        <v>32.400799999999997</v>
      </c>
      <c r="I599" s="14">
        <f>CHOOSE(CONTROL!$C$42, 32.4409, 32.4409)* CHOOSE(CONTROL!$C$21, $C$9, 100%, $E$9)</f>
        <v>32.440899999999999</v>
      </c>
      <c r="J599" s="14">
        <f>CHOOSE(CONTROL!$C$42, 32.332, 32.332)* CHOOSE(CONTROL!$C$21, $C$9, 100%, $E$9)</f>
        <v>32.332000000000001</v>
      </c>
      <c r="K599" s="52">
        <f>CHOOSE(CONTROL!$C$42, 32.437, 32.437) * CHOOSE(CONTROL!$C$21, $C$9, 100%, $E$9)</f>
        <v>32.436999999999998</v>
      </c>
      <c r="L599" s="14">
        <f>CHOOSE(CONTROL!$C$42, 32.9878, 32.9878) * CHOOSE(CONTROL!$C$21, $C$9, 100%, $E$9)</f>
        <v>32.9878</v>
      </c>
      <c r="M599" s="14">
        <f>CHOOSE(CONTROL!$C$42, 31.6772, 31.6772) * CHOOSE(CONTROL!$C$21, $C$9, 100%, $E$9)</f>
        <v>31.677199999999999</v>
      </c>
      <c r="N599" s="14">
        <f>CHOOSE(CONTROL!$C$42, 31.6942, 31.6942) * CHOOSE(CONTROL!$C$21, $C$9, 100%, $E$9)</f>
        <v>31.694199999999999</v>
      </c>
      <c r="O599" s="14">
        <f>CHOOSE(CONTROL!$C$42, 31.7446, 31.7446) * CHOOSE(CONTROL!$C$21, $C$9, 100%, $E$9)</f>
        <v>31.744599999999998</v>
      </c>
      <c r="P599" s="14">
        <f>CHOOSE(CONTROL!$C$42, 31.7819, 31.7819) * CHOOSE(CONTROL!$C$21, $C$9, 100%, $E$9)</f>
        <v>31.7819</v>
      </c>
      <c r="Q599" s="14">
        <f>CHOOSE(CONTROL!$C$42, 32.3393, 32.3393) * CHOOSE(CONTROL!$C$21, $C$9, 100%, $E$9)</f>
        <v>32.339300000000001</v>
      </c>
      <c r="R599" s="14">
        <f>CHOOSE(CONTROL!$C$42, 33.0071, 33.0071) * CHOOSE(CONTROL!$C$21, $C$9, 100%, $E$9)</f>
        <v>33.007100000000001</v>
      </c>
      <c r="S599" s="14">
        <f>CHOOSE(CONTROL!$C$42, 31.0318, 31.0318) * CHOOSE(CONTROL!$C$21, $C$9, 100%, $E$9)</f>
        <v>31.0318</v>
      </c>
      <c r="T59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56">
        <f>(1000*CHOOSE(CONTROL!$C$42, 695, 695)*CHOOSE(CONTROL!$C$42, 0.5599, 0.5599)*CHOOSE(CONTROL!$C$42, 30, 30))/1000000</f>
        <v>11.673914999999997</v>
      </c>
      <c r="V599" s="56">
        <f>(1000*CHOOSE(CONTROL!$C$42, 500, 500)*CHOOSE(CONTROL!$C$42, 0.275, 0.275)*CHOOSE(CONTROL!$C$42, 30, 30))/1000000</f>
        <v>4.125</v>
      </c>
      <c r="W599" s="56">
        <f>(1000*CHOOSE(CONTROL!$C$42, 0.1146, 0.1146)*CHOOSE(CONTROL!$C$42, 121.5, 121.5)*CHOOSE(CONTROL!$C$42, 30, 30))/1000000</f>
        <v>0.417717</v>
      </c>
      <c r="X599" s="56">
        <f>(30*0.1790888*100000/1000000)+(30*0.2374*100000/1000000)</f>
        <v>1.2494664</v>
      </c>
      <c r="Y599" s="56"/>
      <c r="Z599" s="14"/>
      <c r="AA599" s="55"/>
      <c r="AB599" s="49">
        <f>(B599*122.58+C599*297.941+D599*89.177+E599*40.302+F599*40+G599*160+H599*0+I599*100+J599*300)/(122.58+297.941+89.177+40.302+0+40+160+100+300)</f>
        <v>32.342262954000006</v>
      </c>
      <c r="AC599" s="44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31.723791366906475</v>
      </c>
    </row>
    <row r="600" spans="1:29" ht="15.75" x14ac:dyDescent="0.25">
      <c r="A600" s="31">
        <v>59171</v>
      </c>
      <c r="B600" s="14">
        <f>CHOOSE(CONTROL!$C$42, 34.5051, 34.5051) * CHOOSE(CONTROL!$C$21, $C$9, 100%, $E$9)</f>
        <v>34.505099999999999</v>
      </c>
      <c r="C600" s="14">
        <f>CHOOSE(CONTROL!$C$42, 34.5102, 34.5102) * CHOOSE(CONTROL!$C$21, $C$9, 100%, $E$9)</f>
        <v>34.510199999999998</v>
      </c>
      <c r="D600" s="14">
        <f>CHOOSE(CONTROL!$C$42, 34.5792, 34.5792) * CHOOSE(CONTROL!$C$21, $C$9, 100%, $E$9)</f>
        <v>34.5792</v>
      </c>
      <c r="E600" s="14">
        <f>CHOOSE(CONTROL!$C$42, 34.6133, 34.6133) * CHOOSE(CONTROL!$C$21, $C$9, 100%, $E$9)</f>
        <v>34.613300000000002</v>
      </c>
      <c r="F600" s="14">
        <f>CHOOSE(CONTROL!$C$42, 34.543, 34.543)*CHOOSE(CONTROL!$C$21, $C$9, 100%, $E$9)</f>
        <v>34.542999999999999</v>
      </c>
      <c r="G600" s="14">
        <f>CHOOSE(CONTROL!$C$42, 34.561, 34.561)*CHOOSE(CONTROL!$C$21, $C$9, 100%, $E$9)</f>
        <v>34.561</v>
      </c>
      <c r="H600" s="14">
        <f>CHOOSE(CONTROL!$C$42, 34.6025, 34.6025) * CHOOSE(CONTROL!$C$21, $C$9, 100%, $E$9)</f>
        <v>34.602499999999999</v>
      </c>
      <c r="I600" s="14">
        <f>CHOOSE(CONTROL!$C$42, 34.6495, 34.6495)* CHOOSE(CONTROL!$C$21, $C$9, 100%, $E$9)</f>
        <v>34.649500000000003</v>
      </c>
      <c r="J600" s="14">
        <f>CHOOSE(CONTROL!$C$42, 34.536, 34.536)* CHOOSE(CONTROL!$C$21, $C$9, 100%, $E$9)</f>
        <v>34.536000000000001</v>
      </c>
      <c r="K600" s="52">
        <f>CHOOSE(CONTROL!$C$42, 34.6457, 34.6457) * CHOOSE(CONTROL!$C$21, $C$9, 100%, $E$9)</f>
        <v>34.645699999999998</v>
      </c>
      <c r="L600" s="14">
        <f>CHOOSE(CONTROL!$C$42, 35.1895, 35.1895) * CHOOSE(CONTROL!$C$21, $C$9, 100%, $E$9)</f>
        <v>35.189500000000002</v>
      </c>
      <c r="M600" s="14">
        <f>CHOOSE(CONTROL!$C$42, 33.8361, 33.8361) * CHOOSE(CONTROL!$C$21, $C$9, 100%, $E$9)</f>
        <v>33.836100000000002</v>
      </c>
      <c r="N600" s="14">
        <f>CHOOSE(CONTROL!$C$42, 33.8537, 33.8537) * CHOOSE(CONTROL!$C$21, $C$9, 100%, $E$9)</f>
        <v>33.853700000000003</v>
      </c>
      <c r="O600" s="14">
        <f>CHOOSE(CONTROL!$C$42, 33.9012, 33.9012) * CHOOSE(CONTROL!$C$21, $C$9, 100%, $E$9)</f>
        <v>33.901200000000003</v>
      </c>
      <c r="P600" s="14">
        <f>CHOOSE(CONTROL!$C$42, 33.9452, 33.9452) * CHOOSE(CONTROL!$C$21, $C$9, 100%, $E$9)</f>
        <v>33.9452</v>
      </c>
      <c r="Q600" s="14">
        <f>CHOOSE(CONTROL!$C$42, 34.4959, 34.4959) * CHOOSE(CONTROL!$C$21, $C$9, 100%, $E$9)</f>
        <v>34.495899999999999</v>
      </c>
      <c r="R600" s="14">
        <f>CHOOSE(CONTROL!$C$42, 35.1692, 35.1692) * CHOOSE(CONTROL!$C$21, $C$9, 100%, $E$9)</f>
        <v>35.169199999999996</v>
      </c>
      <c r="S600" s="14">
        <f>CHOOSE(CONTROL!$C$42, 33.1475, 33.1475) * CHOOSE(CONTROL!$C$21, $C$9, 100%, $E$9)</f>
        <v>33.147500000000001</v>
      </c>
      <c r="T60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56">
        <f>(1000*CHOOSE(CONTROL!$C$42, 695, 695)*CHOOSE(CONTROL!$C$42, 0.5599, 0.5599)*CHOOSE(CONTROL!$C$42, 31, 31))/1000000</f>
        <v>12.063045499999998</v>
      </c>
      <c r="V600" s="56">
        <f>(1000*CHOOSE(CONTROL!$C$42, 500, 500)*CHOOSE(CONTROL!$C$42, 0.275, 0.275)*CHOOSE(CONTROL!$C$42, 31, 31))/1000000</f>
        <v>4.2625000000000002</v>
      </c>
      <c r="W600" s="56">
        <f>(1000*CHOOSE(CONTROL!$C$42, 0.1146, 0.1146)*CHOOSE(CONTROL!$C$42, 121.5, 121.5)*CHOOSE(CONTROL!$C$42, 31, 31))/1000000</f>
        <v>0.43164089999999994</v>
      </c>
      <c r="X600" s="56">
        <f>(31*0.1790888*100000/1000000)+(31*0.2374*100000/1000000)</f>
        <v>1.2911152800000001</v>
      </c>
      <c r="Y600" s="56"/>
      <c r="Z600" s="14"/>
      <c r="AA600" s="55"/>
      <c r="AB600" s="49">
        <f>(B600*122.58+C600*297.941+D600*89.177+E600*40.302+F600*40+G600*160+H600*0+I600*100+J600*300)/(122.58+297.941+89.177+40.302+0+40+160+100+300)</f>
        <v>34.545672340173915</v>
      </c>
      <c r="AC600" s="44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33.882316546762596</v>
      </c>
    </row>
    <row r="601" spans="1:29" ht="15.75" x14ac:dyDescent="0.25">
      <c r="A601" s="31">
        <v>59202</v>
      </c>
      <c r="B601" s="14">
        <f>CHOOSE(CONTROL!$C$42, 37.3649, 37.3649) * CHOOSE(CONTROL!$C$21, $C$9, 100%, $E$9)</f>
        <v>37.364899999999999</v>
      </c>
      <c r="C601" s="14">
        <f>CHOOSE(CONTROL!$C$42, 37.3699, 37.3699) * CHOOSE(CONTROL!$C$21, $C$9, 100%, $E$9)</f>
        <v>37.369900000000001</v>
      </c>
      <c r="D601" s="14">
        <f>CHOOSE(CONTROL!$C$42, 37.4493, 37.4493) * CHOOSE(CONTROL!$C$21, $C$9, 100%, $E$9)</f>
        <v>37.449300000000001</v>
      </c>
      <c r="E601" s="14">
        <f>CHOOSE(CONTROL!$C$42, 37.4834, 37.4834) * CHOOSE(CONTROL!$C$21, $C$9, 100%, $E$9)</f>
        <v>37.483400000000003</v>
      </c>
      <c r="F601" s="14">
        <f>CHOOSE(CONTROL!$C$42, 37.3879, 37.3879)*CHOOSE(CONTROL!$C$21, $C$9, 100%, $E$9)</f>
        <v>37.387900000000002</v>
      </c>
      <c r="G601" s="14">
        <f>CHOOSE(CONTROL!$C$42, 37.4054, 37.4054)*CHOOSE(CONTROL!$C$21, $C$9, 100%, $E$9)</f>
        <v>37.4054</v>
      </c>
      <c r="H601" s="14">
        <f>CHOOSE(CONTROL!$C$42, 37.4726, 37.4726) * CHOOSE(CONTROL!$C$21, $C$9, 100%, $E$9)</f>
        <v>37.4726</v>
      </c>
      <c r="I601" s="14">
        <f>CHOOSE(CONTROL!$C$42, 37.5172, 37.5172)* CHOOSE(CONTROL!$C$21, $C$9, 100%, $E$9)</f>
        <v>37.517200000000003</v>
      </c>
      <c r="J601" s="14">
        <f>CHOOSE(CONTROL!$C$42, 37.3809, 37.3809)* CHOOSE(CONTROL!$C$21, $C$9, 100%, $E$9)</f>
        <v>37.380899999999997</v>
      </c>
      <c r="K601" s="52">
        <f>CHOOSE(CONTROL!$C$42, 37.5133, 37.5133) * CHOOSE(CONTROL!$C$21, $C$9, 100%, $E$9)</f>
        <v>37.513300000000001</v>
      </c>
      <c r="L601" s="14">
        <f>CHOOSE(CONTROL!$C$42, 38.0596, 38.0596) * CHOOSE(CONTROL!$C$21, $C$9, 100%, $E$9)</f>
        <v>38.059600000000003</v>
      </c>
      <c r="M601" s="14">
        <f>CHOOSE(CONTROL!$C$42, 36.6227, 36.6227) * CHOOSE(CONTROL!$C$21, $C$9, 100%, $E$9)</f>
        <v>36.622700000000002</v>
      </c>
      <c r="N601" s="14">
        <f>CHOOSE(CONTROL!$C$42, 36.6398, 36.6398) * CHOOSE(CONTROL!$C$21, $C$9, 100%, $E$9)</f>
        <v>36.639800000000001</v>
      </c>
      <c r="O601" s="14">
        <f>CHOOSE(CONTROL!$C$42, 36.7125, 36.7125) * CHOOSE(CONTROL!$C$21, $C$9, 100%, $E$9)</f>
        <v>36.712499999999999</v>
      </c>
      <c r="P601" s="14">
        <f>CHOOSE(CONTROL!$C$42, 36.7539, 36.7539) * CHOOSE(CONTROL!$C$21, $C$9, 100%, $E$9)</f>
        <v>36.753900000000002</v>
      </c>
      <c r="Q601" s="14">
        <f>CHOOSE(CONTROL!$C$42, 37.3072, 37.3072) * CHOOSE(CONTROL!$C$21, $C$9, 100%, $E$9)</f>
        <v>37.307200000000002</v>
      </c>
      <c r="R601" s="14">
        <f>CHOOSE(CONTROL!$C$42, 37.9875, 37.9875) * CHOOSE(CONTROL!$C$21, $C$9, 100%, $E$9)</f>
        <v>37.987499999999997</v>
      </c>
      <c r="S601" s="14">
        <f>CHOOSE(CONTROL!$C$42, 35.8953, 35.8953) * CHOOSE(CONTROL!$C$21, $C$9, 100%, $E$9)</f>
        <v>35.895299999999999</v>
      </c>
      <c r="T60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56">
        <f>(1000*CHOOSE(CONTROL!$C$42, 695, 695)*CHOOSE(CONTROL!$C$42, 0.5599, 0.5599)*CHOOSE(CONTROL!$C$42, 31, 31))/1000000</f>
        <v>12.063045499999998</v>
      </c>
      <c r="V601" s="56">
        <f>(1000*CHOOSE(CONTROL!$C$42, 500, 500)*CHOOSE(CONTROL!$C$42, 0.275, 0.275)*CHOOSE(CONTROL!$C$42, 31, 31))/1000000</f>
        <v>4.2625000000000002</v>
      </c>
      <c r="W601" s="56">
        <f>(1000*CHOOSE(CONTROL!$C$42, 0.1146, 0.1146)*CHOOSE(CONTROL!$C$42, 121.5, 121.5)*CHOOSE(CONTROL!$C$42, 31, 31))/1000000</f>
        <v>0.43164089999999994</v>
      </c>
      <c r="X601" s="56">
        <f>(31*0.1790888*100000/1000000)+(31*0.2374*100000/1000000)</f>
        <v>1.2911152800000001</v>
      </c>
      <c r="Y601" s="56"/>
      <c r="Z601" s="14"/>
      <c r="AA601" s="55"/>
      <c r="AB601" s="49">
        <f>(B601*122.58+C601*297.941+D601*89.177+E601*40.302+F601*40+G601*160+H601*0+I601*100+J601*300)/(122.58+297.941+89.177+40.302+0+40+160+100+300)</f>
        <v>37.400745244173912</v>
      </c>
      <c r="AC601" s="44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36.683262589928056</v>
      </c>
    </row>
    <row r="602" spans="1:29" ht="15.75" x14ac:dyDescent="0.25">
      <c r="A602" s="31">
        <v>59230</v>
      </c>
      <c r="B602" s="14">
        <f>CHOOSE(CONTROL!$C$42, 38.0298, 38.0298) * CHOOSE(CONTROL!$C$21, $C$9, 100%, $E$9)</f>
        <v>38.029800000000002</v>
      </c>
      <c r="C602" s="14">
        <f>CHOOSE(CONTROL!$C$42, 38.0349, 38.0349) * CHOOSE(CONTROL!$C$21, $C$9, 100%, $E$9)</f>
        <v>38.0349</v>
      </c>
      <c r="D602" s="14">
        <f>CHOOSE(CONTROL!$C$42, 38.1143, 38.1143) * CHOOSE(CONTROL!$C$21, $C$9, 100%, $E$9)</f>
        <v>38.1143</v>
      </c>
      <c r="E602" s="14">
        <f>CHOOSE(CONTROL!$C$42, 38.1484, 38.1484) * CHOOSE(CONTROL!$C$21, $C$9, 100%, $E$9)</f>
        <v>38.148400000000002</v>
      </c>
      <c r="F602" s="14">
        <f>CHOOSE(CONTROL!$C$42, 38.0526, 38.0526)*CHOOSE(CONTROL!$C$21, $C$9, 100%, $E$9)</f>
        <v>38.052599999999998</v>
      </c>
      <c r="G602" s="14">
        <f>CHOOSE(CONTROL!$C$42, 38.0701, 38.0701)*CHOOSE(CONTROL!$C$21, $C$9, 100%, $E$9)</f>
        <v>38.070099999999996</v>
      </c>
      <c r="H602" s="14">
        <f>CHOOSE(CONTROL!$C$42, 38.1376, 38.1376) * CHOOSE(CONTROL!$C$21, $C$9, 100%, $E$9)</f>
        <v>38.137599999999999</v>
      </c>
      <c r="I602" s="14">
        <f>CHOOSE(CONTROL!$C$42, 38.1842, 38.1842)* CHOOSE(CONTROL!$C$21, $C$9, 100%, $E$9)</f>
        <v>38.184199999999997</v>
      </c>
      <c r="J602" s="14">
        <f>CHOOSE(CONTROL!$C$42, 38.0456, 38.0456)* CHOOSE(CONTROL!$C$21, $C$9, 100%, $E$9)</f>
        <v>38.0456</v>
      </c>
      <c r="K602" s="52">
        <f>CHOOSE(CONTROL!$C$42, 38.1803, 38.1803) * CHOOSE(CONTROL!$C$21, $C$9, 100%, $E$9)</f>
        <v>38.180300000000003</v>
      </c>
      <c r="L602" s="14">
        <f>CHOOSE(CONTROL!$C$42, 38.7246, 38.7246) * CHOOSE(CONTROL!$C$21, $C$9, 100%, $E$9)</f>
        <v>38.724600000000002</v>
      </c>
      <c r="M602" s="14">
        <f>CHOOSE(CONTROL!$C$42, 37.2738, 37.2738) * CHOOSE(CONTROL!$C$21, $C$9, 100%, $E$9)</f>
        <v>37.273800000000001</v>
      </c>
      <c r="N602" s="14">
        <f>CHOOSE(CONTROL!$C$42, 37.2909, 37.2909) * CHOOSE(CONTROL!$C$21, $C$9, 100%, $E$9)</f>
        <v>37.290900000000001</v>
      </c>
      <c r="O602" s="14">
        <f>CHOOSE(CONTROL!$C$42, 37.3639, 37.3639) * CHOOSE(CONTROL!$C$21, $C$9, 100%, $E$9)</f>
        <v>37.363900000000001</v>
      </c>
      <c r="P602" s="14">
        <f>CHOOSE(CONTROL!$C$42, 37.4072, 37.4072) * CHOOSE(CONTROL!$C$21, $C$9, 100%, $E$9)</f>
        <v>37.407200000000003</v>
      </c>
      <c r="Q602" s="14">
        <f>CHOOSE(CONTROL!$C$42, 37.9586, 37.9586) * CHOOSE(CONTROL!$C$21, $C$9, 100%, $E$9)</f>
        <v>37.958599999999997</v>
      </c>
      <c r="R602" s="14">
        <f>CHOOSE(CONTROL!$C$42, 38.6405, 38.6405) * CHOOSE(CONTROL!$C$21, $C$9, 100%, $E$9)</f>
        <v>38.640500000000003</v>
      </c>
      <c r="S602" s="14">
        <f>CHOOSE(CONTROL!$C$42, 36.5343, 36.5343) * CHOOSE(CONTROL!$C$21, $C$9, 100%, $E$9)</f>
        <v>36.534300000000002</v>
      </c>
      <c r="T60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56">
        <f>(1000*CHOOSE(CONTROL!$C$42, 695, 695)*CHOOSE(CONTROL!$C$42, 0.5599, 0.5599)*CHOOSE(CONTROL!$C$42, 28, 28))/1000000</f>
        <v>10.895653999999999</v>
      </c>
      <c r="V602" s="56">
        <f>(1000*CHOOSE(CONTROL!$C$42, 500, 500)*CHOOSE(CONTROL!$C$42, 0.275, 0.275)*CHOOSE(CONTROL!$C$42, 28, 28))/1000000</f>
        <v>3.85</v>
      </c>
      <c r="W602" s="56">
        <f>(1000*CHOOSE(CONTROL!$C$42, 0.1146, 0.1146)*CHOOSE(CONTROL!$C$42, 121.5, 121.5)*CHOOSE(CONTROL!$C$42, 28, 28))/1000000</f>
        <v>0.38986920000000003</v>
      </c>
      <c r="X602" s="56">
        <f>(28*0.1790888*100000/1000000)+(28*0.2374*100000/1000000)</f>
        <v>1.16616864</v>
      </c>
      <c r="Y602" s="56"/>
      <c r="Z602" s="14"/>
      <c r="AA602" s="55"/>
      <c r="AB602" s="49">
        <f>(B602*122.58+C602*297.941+D602*89.177+E602*40.302+F602*40+G602*160+H602*0+I602*100+J602*300)/(122.58+297.941+89.177+40.302+0+40+160+100+300)</f>
        <v>38.065778063304343</v>
      </c>
      <c r="AC602" s="44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37.33481510791367</v>
      </c>
    </row>
    <row r="603" spans="1:29" ht="15.75" x14ac:dyDescent="0.25">
      <c r="A603" s="31">
        <v>59261</v>
      </c>
      <c r="B603" s="14">
        <f>CHOOSE(CONTROL!$C$42, 36.9504, 36.9504) * CHOOSE(CONTROL!$C$21, $C$9, 100%, $E$9)</f>
        <v>36.950400000000002</v>
      </c>
      <c r="C603" s="14">
        <f>CHOOSE(CONTROL!$C$42, 36.9555, 36.9555) * CHOOSE(CONTROL!$C$21, $C$9, 100%, $E$9)</f>
        <v>36.955500000000001</v>
      </c>
      <c r="D603" s="14">
        <f>CHOOSE(CONTROL!$C$42, 37.0349, 37.0349) * CHOOSE(CONTROL!$C$21, $C$9, 100%, $E$9)</f>
        <v>37.0349</v>
      </c>
      <c r="E603" s="14">
        <f>CHOOSE(CONTROL!$C$42, 37.069, 37.069) * CHOOSE(CONTROL!$C$21, $C$9, 100%, $E$9)</f>
        <v>37.069000000000003</v>
      </c>
      <c r="F603" s="14">
        <f>CHOOSE(CONTROL!$C$42, 36.9725, 36.9725)*CHOOSE(CONTROL!$C$21, $C$9, 100%, $E$9)</f>
        <v>36.972499999999997</v>
      </c>
      <c r="G603" s="14">
        <f>CHOOSE(CONTROL!$C$42, 36.9897, 36.9897)*CHOOSE(CONTROL!$C$21, $C$9, 100%, $E$9)</f>
        <v>36.989699999999999</v>
      </c>
      <c r="H603" s="14">
        <f>CHOOSE(CONTROL!$C$42, 37.0582, 37.0582) * CHOOSE(CONTROL!$C$21, $C$9, 100%, $E$9)</f>
        <v>37.058199999999999</v>
      </c>
      <c r="I603" s="14">
        <f>CHOOSE(CONTROL!$C$42, 37.1014, 37.1014)* CHOOSE(CONTROL!$C$21, $C$9, 100%, $E$9)</f>
        <v>37.101399999999998</v>
      </c>
      <c r="J603" s="14">
        <f>CHOOSE(CONTROL!$C$42, 36.9655, 36.9655)* CHOOSE(CONTROL!$C$21, $C$9, 100%, $E$9)</f>
        <v>36.965499999999999</v>
      </c>
      <c r="K603" s="52">
        <f>CHOOSE(CONTROL!$C$42, 37.0975, 37.0975) * CHOOSE(CONTROL!$C$21, $C$9, 100%, $E$9)</f>
        <v>37.097499999999997</v>
      </c>
      <c r="L603" s="14">
        <f>CHOOSE(CONTROL!$C$42, 37.6452, 37.6452) * CHOOSE(CONTROL!$C$21, $C$9, 100%, $E$9)</f>
        <v>37.645200000000003</v>
      </c>
      <c r="M603" s="14">
        <f>CHOOSE(CONTROL!$C$42, 36.2158, 36.2158) * CHOOSE(CONTROL!$C$21, $C$9, 100%, $E$9)</f>
        <v>36.215800000000002</v>
      </c>
      <c r="N603" s="14">
        <f>CHOOSE(CONTROL!$C$42, 36.2327, 36.2327) * CHOOSE(CONTROL!$C$21, $C$9, 100%, $E$9)</f>
        <v>36.232700000000001</v>
      </c>
      <c r="O603" s="14">
        <f>CHOOSE(CONTROL!$C$42, 36.3066, 36.3066) * CHOOSE(CONTROL!$C$21, $C$9, 100%, $E$9)</f>
        <v>36.306600000000003</v>
      </c>
      <c r="P603" s="14">
        <f>CHOOSE(CONTROL!$C$42, 36.3467, 36.3467) * CHOOSE(CONTROL!$C$21, $C$9, 100%, $E$9)</f>
        <v>36.346699999999998</v>
      </c>
      <c r="Q603" s="14">
        <f>CHOOSE(CONTROL!$C$42, 36.9013, 36.9013) * CHOOSE(CONTROL!$C$21, $C$9, 100%, $E$9)</f>
        <v>36.901299999999999</v>
      </c>
      <c r="R603" s="14">
        <f>CHOOSE(CONTROL!$C$42, 37.5805, 37.5805) * CHOOSE(CONTROL!$C$21, $C$9, 100%, $E$9)</f>
        <v>37.580500000000001</v>
      </c>
      <c r="S603" s="14">
        <f>CHOOSE(CONTROL!$C$42, 35.4971, 35.4971) * CHOOSE(CONTROL!$C$21, $C$9, 100%, $E$9)</f>
        <v>35.497100000000003</v>
      </c>
      <c r="T60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56">
        <f>(1000*CHOOSE(CONTROL!$C$42, 695, 695)*CHOOSE(CONTROL!$C$42, 0.5599, 0.5599)*CHOOSE(CONTROL!$C$42, 31, 31))/1000000</f>
        <v>12.063045499999998</v>
      </c>
      <c r="V603" s="56">
        <f>(1000*CHOOSE(CONTROL!$C$42, 500, 500)*CHOOSE(CONTROL!$C$42, 0.275, 0.275)*CHOOSE(CONTROL!$C$42, 31, 31))/1000000</f>
        <v>4.2625000000000002</v>
      </c>
      <c r="W603" s="56">
        <f>(1000*CHOOSE(CONTROL!$C$42, 0.1146, 0.1146)*CHOOSE(CONTROL!$C$42, 121.5, 121.5)*CHOOSE(CONTROL!$C$42, 31, 31))/1000000</f>
        <v>0.43164089999999994</v>
      </c>
      <c r="X603" s="56">
        <f>(31*0.1790888*100000/1000000)+(31*0.2374*100000/1000000)</f>
        <v>1.2911152800000001</v>
      </c>
      <c r="Y603" s="56"/>
      <c r="Z603" s="14"/>
      <c r="AA603" s="55"/>
      <c r="AB603" s="49">
        <f>(B603*122.58+C603*297.941+D603*89.177+E603*40.302+F603*40+G603*160+H603*0+I603*100+J603*300)/(122.58+297.941+89.177+40.302+0+40+160+100+300)</f>
        <v>36.985736324173914</v>
      </c>
      <c r="AC603" s="44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36.276761151079143</v>
      </c>
    </row>
    <row r="604" spans="1:29" ht="15.75" x14ac:dyDescent="0.25">
      <c r="A604" s="31">
        <v>59291</v>
      </c>
      <c r="B604" s="14">
        <f>CHOOSE(CONTROL!$C$42, 36.8408, 36.8408) * CHOOSE(CONTROL!$C$21, $C$9, 100%, $E$9)</f>
        <v>36.840800000000002</v>
      </c>
      <c r="C604" s="14">
        <f>CHOOSE(CONTROL!$C$42, 36.8453, 36.8453) * CHOOSE(CONTROL!$C$21, $C$9, 100%, $E$9)</f>
        <v>36.845300000000002</v>
      </c>
      <c r="D604" s="14">
        <f>CHOOSE(CONTROL!$C$42, 37.0742, 37.0742) * CHOOSE(CONTROL!$C$21, $C$9, 100%, $E$9)</f>
        <v>37.074199999999998</v>
      </c>
      <c r="E604" s="14">
        <f>CHOOSE(CONTROL!$C$42, 37.1063, 37.1063) * CHOOSE(CONTROL!$C$21, $C$9, 100%, $E$9)</f>
        <v>37.106299999999997</v>
      </c>
      <c r="F604" s="14">
        <f>CHOOSE(CONTROL!$C$42, 36.8678, 36.8678)*CHOOSE(CONTROL!$C$21, $C$9, 100%, $E$9)</f>
        <v>36.867800000000003</v>
      </c>
      <c r="G604" s="14">
        <f>CHOOSE(CONTROL!$C$42, 36.8845, 36.8845)*CHOOSE(CONTROL!$C$21, $C$9, 100%, $E$9)</f>
        <v>36.884500000000003</v>
      </c>
      <c r="H604" s="14">
        <f>CHOOSE(CONTROL!$C$42, 37.0961, 37.0961) * CHOOSE(CONTROL!$C$21, $C$9, 100%, $E$9)</f>
        <v>37.0961</v>
      </c>
      <c r="I604" s="14">
        <f>CHOOSE(CONTROL!$C$42, 36.9891, 36.9891)* CHOOSE(CONTROL!$C$21, $C$9, 100%, $E$9)</f>
        <v>36.989100000000001</v>
      </c>
      <c r="J604" s="14">
        <f>CHOOSE(CONTROL!$C$42, 36.8608, 36.8608)* CHOOSE(CONTROL!$C$21, $C$9, 100%, $E$9)</f>
        <v>36.860799999999998</v>
      </c>
      <c r="K604" s="52">
        <f>CHOOSE(CONTROL!$C$42, 36.9852, 36.9852) * CHOOSE(CONTROL!$C$21, $C$9, 100%, $E$9)</f>
        <v>36.985199999999999</v>
      </c>
      <c r="L604" s="14">
        <f>CHOOSE(CONTROL!$C$42, 37.6831, 37.6831) * CHOOSE(CONTROL!$C$21, $C$9, 100%, $E$9)</f>
        <v>37.683100000000003</v>
      </c>
      <c r="M604" s="14">
        <f>CHOOSE(CONTROL!$C$42, 36.1133, 36.1133) * CHOOSE(CONTROL!$C$21, $C$9, 100%, $E$9)</f>
        <v>36.113300000000002</v>
      </c>
      <c r="N604" s="14">
        <f>CHOOSE(CONTROL!$C$42, 36.1296, 36.1296) * CHOOSE(CONTROL!$C$21, $C$9, 100%, $E$9)</f>
        <v>36.129600000000003</v>
      </c>
      <c r="O604" s="14">
        <f>CHOOSE(CONTROL!$C$42, 36.3437, 36.3437) * CHOOSE(CONTROL!$C$21, $C$9, 100%, $E$9)</f>
        <v>36.343699999999998</v>
      </c>
      <c r="P604" s="14">
        <f>CHOOSE(CONTROL!$C$42, 36.2367, 36.2367) * CHOOSE(CONTROL!$C$21, $C$9, 100%, $E$9)</f>
        <v>36.236699999999999</v>
      </c>
      <c r="Q604" s="14">
        <f>CHOOSE(CONTROL!$C$42, 36.9384, 36.9384) * CHOOSE(CONTROL!$C$21, $C$9, 100%, $E$9)</f>
        <v>36.938400000000001</v>
      </c>
      <c r="R604" s="14">
        <f>CHOOSE(CONTROL!$C$42, 37.6178, 37.6178) * CHOOSE(CONTROL!$C$21, $C$9, 100%, $E$9)</f>
        <v>37.617800000000003</v>
      </c>
      <c r="S604" s="14">
        <f>CHOOSE(CONTROL!$C$42, 35.391, 35.391) * CHOOSE(CONTROL!$C$21, $C$9, 100%, $E$9)</f>
        <v>35.390999999999998</v>
      </c>
      <c r="T60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56">
        <f>(1000*CHOOSE(CONTROL!$C$42, 695, 695)*CHOOSE(CONTROL!$C$42, 0.5599, 0.5599)*CHOOSE(CONTROL!$C$42, 30, 30))/1000000</f>
        <v>11.673914999999997</v>
      </c>
      <c r="V604" s="56">
        <f>(1000*CHOOSE(CONTROL!$C$42, 500, 500)*CHOOSE(CONTROL!$C$42, 0.275, 0.275)*CHOOSE(CONTROL!$C$42, 30, 30))/1000000</f>
        <v>4.125</v>
      </c>
      <c r="W604" s="56">
        <f>(1000*CHOOSE(CONTROL!$C$42, 0.1146, 0.1146)*CHOOSE(CONTROL!$C$42, 121.5, 121.5)*CHOOSE(CONTROL!$C$42, 30, 30))/1000000</f>
        <v>0.417717</v>
      </c>
      <c r="X604" s="56">
        <f>(30*0.1790888*245000/1000000)+(30*0.2374*100000/1000000)</f>
        <v>2.0285026799999999</v>
      </c>
      <c r="Y604" s="56"/>
      <c r="Z604" s="14"/>
      <c r="AA604" s="55"/>
      <c r="AB604" s="49">
        <f>(B604*141.293+C604*267.993+D604*115.016+E604*89.698+F604*40+G604*185+H604*0+I604*100+J604*300)/(141.293+267.993+115.016+89.698+0+40+185+100+300)</f>
        <v>36.906869428490715</v>
      </c>
      <c r="AC604" s="44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36.236419424460429</v>
      </c>
    </row>
    <row r="605" spans="1:29" ht="15.75" x14ac:dyDescent="0.25">
      <c r="A605" s="31">
        <v>59322</v>
      </c>
      <c r="B605" s="14">
        <f>CHOOSE(CONTROL!$C$42, 37.1673, 37.1673) * CHOOSE(CONTROL!$C$21, $C$9, 100%, $E$9)</f>
        <v>37.167299999999997</v>
      </c>
      <c r="C605" s="14">
        <f>CHOOSE(CONTROL!$C$42, 37.1753, 37.1753) * CHOOSE(CONTROL!$C$21, $C$9, 100%, $E$9)</f>
        <v>37.1753</v>
      </c>
      <c r="D605" s="14">
        <f>CHOOSE(CONTROL!$C$42, 37.4011, 37.4011) * CHOOSE(CONTROL!$C$21, $C$9, 100%, $E$9)</f>
        <v>37.4011</v>
      </c>
      <c r="E605" s="14">
        <f>CHOOSE(CONTROL!$C$42, 37.4326, 37.4326) * CHOOSE(CONTROL!$C$21, $C$9, 100%, $E$9)</f>
        <v>37.432600000000001</v>
      </c>
      <c r="F605" s="14">
        <f>CHOOSE(CONTROL!$C$42, 37.1929, 37.1929)*CHOOSE(CONTROL!$C$21, $C$9, 100%, $E$9)</f>
        <v>37.192900000000002</v>
      </c>
      <c r="G605" s="14">
        <f>CHOOSE(CONTROL!$C$42, 37.2099, 37.2099)*CHOOSE(CONTROL!$C$21, $C$9, 100%, $E$9)</f>
        <v>37.209899999999998</v>
      </c>
      <c r="H605" s="14">
        <f>CHOOSE(CONTROL!$C$42, 37.4212, 37.4212) * CHOOSE(CONTROL!$C$21, $C$9, 100%, $E$9)</f>
        <v>37.421199999999999</v>
      </c>
      <c r="I605" s="14">
        <f>CHOOSE(CONTROL!$C$42, 37.3152, 37.3152)* CHOOSE(CONTROL!$C$21, $C$9, 100%, $E$9)</f>
        <v>37.315199999999997</v>
      </c>
      <c r="J605" s="14">
        <f>CHOOSE(CONTROL!$C$42, 37.1859, 37.1859)* CHOOSE(CONTROL!$C$21, $C$9, 100%, $E$9)</f>
        <v>37.185899999999997</v>
      </c>
      <c r="K605" s="52">
        <f>CHOOSE(CONTROL!$C$42, 37.3113, 37.3113) * CHOOSE(CONTROL!$C$21, $C$9, 100%, $E$9)</f>
        <v>37.311300000000003</v>
      </c>
      <c r="L605" s="14">
        <f>CHOOSE(CONTROL!$C$42, 38.0082, 38.0082) * CHOOSE(CONTROL!$C$21, $C$9, 100%, $E$9)</f>
        <v>38.008200000000002</v>
      </c>
      <c r="M605" s="14">
        <f>CHOOSE(CONTROL!$C$42, 36.4317, 36.4317) * CHOOSE(CONTROL!$C$21, $C$9, 100%, $E$9)</f>
        <v>36.431699999999999</v>
      </c>
      <c r="N605" s="14">
        <f>CHOOSE(CONTROL!$C$42, 36.4483, 36.4483) * CHOOSE(CONTROL!$C$21, $C$9, 100%, $E$9)</f>
        <v>36.448300000000003</v>
      </c>
      <c r="O605" s="14">
        <f>CHOOSE(CONTROL!$C$42, 36.6621, 36.6621) * CHOOSE(CONTROL!$C$21, $C$9, 100%, $E$9)</f>
        <v>36.662100000000002</v>
      </c>
      <c r="P605" s="14">
        <f>CHOOSE(CONTROL!$C$42, 36.5561, 36.5561) * CHOOSE(CONTROL!$C$21, $C$9, 100%, $E$9)</f>
        <v>36.556100000000001</v>
      </c>
      <c r="Q605" s="14">
        <f>CHOOSE(CONTROL!$C$42, 37.2568, 37.2568) * CHOOSE(CONTROL!$C$21, $C$9, 100%, $E$9)</f>
        <v>37.256799999999998</v>
      </c>
      <c r="R605" s="14">
        <f>CHOOSE(CONTROL!$C$42, 37.937, 37.937) * CHOOSE(CONTROL!$C$21, $C$9, 100%, $E$9)</f>
        <v>37.936999999999998</v>
      </c>
      <c r="S605" s="14">
        <f>CHOOSE(CONTROL!$C$42, 35.7034, 35.7034) * CHOOSE(CONTROL!$C$21, $C$9, 100%, $E$9)</f>
        <v>35.703400000000002</v>
      </c>
      <c r="T60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56">
        <f>(1000*CHOOSE(CONTROL!$C$42, 695, 695)*CHOOSE(CONTROL!$C$42, 0.5599, 0.5599)*CHOOSE(CONTROL!$C$42, 31, 31))/1000000</f>
        <v>12.063045499999998</v>
      </c>
      <c r="V605" s="56">
        <f>(1000*CHOOSE(CONTROL!$C$42, 500, 500)*CHOOSE(CONTROL!$C$42, 0.275, 0.275)*CHOOSE(CONTROL!$C$42, 31, 31))/1000000</f>
        <v>4.2625000000000002</v>
      </c>
      <c r="W605" s="56">
        <f>(1000*CHOOSE(CONTROL!$C$42, 0.1146, 0.1146)*CHOOSE(CONTROL!$C$42, 121.5, 121.5)*CHOOSE(CONTROL!$C$42, 31, 31))/1000000</f>
        <v>0.43164089999999994</v>
      </c>
      <c r="X605" s="56">
        <f>(31*0.1790888*245000/1000000)+(31*0.2374*100000/1000000)</f>
        <v>2.0961194359999999</v>
      </c>
      <c r="Y605" s="56"/>
      <c r="Z605" s="14"/>
      <c r="AA605" s="55"/>
      <c r="AB605" s="49">
        <f>(B605*194.205+C605*267.466+D605*133.845+E605*53.484+F605*40+G605*185+H605*0+I605*100+J605*300)/(194.205+267.466+133.845+53.484+0+40+185+100+300)</f>
        <v>37.227658708163261</v>
      </c>
      <c r="AC605" s="44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36.554980575539574</v>
      </c>
    </row>
    <row r="606" spans="1:29" ht="15.75" x14ac:dyDescent="0.25">
      <c r="A606" s="31">
        <v>59352</v>
      </c>
      <c r="B606" s="14">
        <f>CHOOSE(CONTROL!$C$42, 38.2212, 38.2212) * CHOOSE(CONTROL!$C$21, $C$9, 100%, $E$9)</f>
        <v>38.221200000000003</v>
      </c>
      <c r="C606" s="14">
        <f>CHOOSE(CONTROL!$C$42, 38.2293, 38.2293) * CHOOSE(CONTROL!$C$21, $C$9, 100%, $E$9)</f>
        <v>38.229300000000002</v>
      </c>
      <c r="D606" s="14">
        <f>CHOOSE(CONTROL!$C$42, 38.4551, 38.4551) * CHOOSE(CONTROL!$C$21, $C$9, 100%, $E$9)</f>
        <v>38.455100000000002</v>
      </c>
      <c r="E606" s="14">
        <f>CHOOSE(CONTROL!$C$42, 38.4865, 38.4865) * CHOOSE(CONTROL!$C$21, $C$9, 100%, $E$9)</f>
        <v>38.486499999999999</v>
      </c>
      <c r="F606" s="14">
        <f>CHOOSE(CONTROL!$C$42, 38.2473, 38.2473)*CHOOSE(CONTROL!$C$21, $C$9, 100%, $E$9)</f>
        <v>38.247300000000003</v>
      </c>
      <c r="G606" s="14">
        <f>CHOOSE(CONTROL!$C$42, 38.2644, 38.2644)*CHOOSE(CONTROL!$C$21, $C$9, 100%, $E$9)</f>
        <v>38.264400000000002</v>
      </c>
      <c r="H606" s="14">
        <f>CHOOSE(CONTROL!$C$42, 38.4752, 38.4752) * CHOOSE(CONTROL!$C$21, $C$9, 100%, $E$9)</f>
        <v>38.475200000000001</v>
      </c>
      <c r="I606" s="14">
        <f>CHOOSE(CONTROL!$C$42, 38.3725, 38.3725)* CHOOSE(CONTROL!$C$21, $C$9, 100%, $E$9)</f>
        <v>38.372500000000002</v>
      </c>
      <c r="J606" s="14">
        <f>CHOOSE(CONTROL!$C$42, 38.2403, 38.2403)* CHOOSE(CONTROL!$C$21, $C$9, 100%, $E$9)</f>
        <v>38.240299999999998</v>
      </c>
      <c r="K606" s="52">
        <f>CHOOSE(CONTROL!$C$42, 38.3686, 38.3686) * CHOOSE(CONTROL!$C$21, $C$9, 100%, $E$9)</f>
        <v>38.368600000000001</v>
      </c>
      <c r="L606" s="14">
        <f>CHOOSE(CONTROL!$C$42, 39.0622, 39.0622) * CHOOSE(CONTROL!$C$21, $C$9, 100%, $E$9)</f>
        <v>39.062199999999997</v>
      </c>
      <c r="M606" s="14">
        <f>CHOOSE(CONTROL!$C$42, 37.4645, 37.4645) * CHOOSE(CONTROL!$C$21, $C$9, 100%, $E$9)</f>
        <v>37.464500000000001</v>
      </c>
      <c r="N606" s="14">
        <f>CHOOSE(CONTROL!$C$42, 37.4812, 37.4812) * CHOOSE(CONTROL!$C$21, $C$9, 100%, $E$9)</f>
        <v>37.481200000000001</v>
      </c>
      <c r="O606" s="14">
        <f>CHOOSE(CONTROL!$C$42, 37.6945, 37.6945) * CHOOSE(CONTROL!$C$21, $C$9, 100%, $E$9)</f>
        <v>37.694499999999998</v>
      </c>
      <c r="P606" s="14">
        <f>CHOOSE(CONTROL!$C$42, 37.5916, 37.5916) * CHOOSE(CONTROL!$C$21, $C$9, 100%, $E$9)</f>
        <v>37.5916</v>
      </c>
      <c r="Q606" s="14">
        <f>CHOOSE(CONTROL!$C$42, 38.2892, 38.2892) * CHOOSE(CONTROL!$C$21, $C$9, 100%, $E$9)</f>
        <v>38.289200000000001</v>
      </c>
      <c r="R606" s="14">
        <f>CHOOSE(CONTROL!$C$42, 38.9719, 38.9719) * CHOOSE(CONTROL!$C$21, $C$9, 100%, $E$9)</f>
        <v>38.971899999999998</v>
      </c>
      <c r="S606" s="14">
        <f>CHOOSE(CONTROL!$C$42, 36.7162, 36.7162) * CHOOSE(CONTROL!$C$21, $C$9, 100%, $E$9)</f>
        <v>36.716200000000001</v>
      </c>
      <c r="T60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56">
        <f>(1000*CHOOSE(CONTROL!$C$42, 695, 695)*CHOOSE(CONTROL!$C$42, 0.5599, 0.5599)*CHOOSE(CONTROL!$C$42, 30, 30))/1000000</f>
        <v>11.673914999999997</v>
      </c>
      <c r="V606" s="56">
        <f>(1000*CHOOSE(CONTROL!$C$42, 500, 500)*CHOOSE(CONTROL!$C$42, 0.275, 0.275)*CHOOSE(CONTROL!$C$42, 30, 30))/1000000</f>
        <v>4.125</v>
      </c>
      <c r="W606" s="56">
        <f>(1000*CHOOSE(CONTROL!$C$42, 0.1146, 0.1146)*CHOOSE(CONTROL!$C$42, 121.5, 121.5)*CHOOSE(CONTROL!$C$42, 30, 30))/1000000</f>
        <v>0.417717</v>
      </c>
      <c r="X606" s="56">
        <f>(30*0.1790888*245000/1000000)+(30*0.2374*100000/1000000)</f>
        <v>2.0285026799999999</v>
      </c>
      <c r="Y606" s="56"/>
      <c r="Z606" s="14"/>
      <c r="AA606" s="55"/>
      <c r="AB606" s="49">
        <f>(B606*194.205+C606*267.466+D606*133.845+E606*53.484+F606*40+G606*185+H606*0+I606*100+J606*300)/(194.205+267.466+133.845+53.484+0+40+185+100+300)</f>
        <v>38.282077649372056</v>
      </c>
      <c r="AC606" s="44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37.587993525179854</v>
      </c>
    </row>
    <row r="607" spans="1:29" ht="15.75" x14ac:dyDescent="0.25">
      <c r="A607" s="31">
        <v>59383</v>
      </c>
      <c r="B607" s="14">
        <f>CHOOSE(CONTROL!$C$42, 37.4882, 37.4882) * CHOOSE(CONTROL!$C$21, $C$9, 100%, $E$9)</f>
        <v>37.488199999999999</v>
      </c>
      <c r="C607" s="14">
        <f>CHOOSE(CONTROL!$C$42, 37.4962, 37.4962) * CHOOSE(CONTROL!$C$21, $C$9, 100%, $E$9)</f>
        <v>37.496200000000002</v>
      </c>
      <c r="D607" s="14">
        <f>CHOOSE(CONTROL!$C$42, 37.722, 37.722) * CHOOSE(CONTROL!$C$21, $C$9, 100%, $E$9)</f>
        <v>37.722000000000001</v>
      </c>
      <c r="E607" s="14">
        <f>CHOOSE(CONTROL!$C$42, 37.7535, 37.7535) * CHOOSE(CONTROL!$C$21, $C$9, 100%, $E$9)</f>
        <v>37.753500000000003</v>
      </c>
      <c r="F607" s="14">
        <f>CHOOSE(CONTROL!$C$42, 37.5148, 37.5148)*CHOOSE(CONTROL!$C$21, $C$9, 100%, $E$9)</f>
        <v>37.514800000000001</v>
      </c>
      <c r="G607" s="14">
        <f>CHOOSE(CONTROL!$C$42, 37.532, 37.532)*CHOOSE(CONTROL!$C$21, $C$9, 100%, $E$9)</f>
        <v>37.531999999999996</v>
      </c>
      <c r="H607" s="14">
        <f>CHOOSE(CONTROL!$C$42, 37.7421, 37.7421) * CHOOSE(CONTROL!$C$21, $C$9, 100%, $E$9)</f>
        <v>37.742100000000001</v>
      </c>
      <c r="I607" s="14">
        <f>CHOOSE(CONTROL!$C$42, 37.6371, 37.6371)* CHOOSE(CONTROL!$C$21, $C$9, 100%, $E$9)</f>
        <v>37.637099999999997</v>
      </c>
      <c r="J607" s="14">
        <f>CHOOSE(CONTROL!$C$42, 37.5078, 37.5078)* CHOOSE(CONTROL!$C$21, $C$9, 100%, $E$9)</f>
        <v>37.507800000000003</v>
      </c>
      <c r="K607" s="52">
        <f>CHOOSE(CONTROL!$C$42, 37.6333, 37.6333) * CHOOSE(CONTROL!$C$21, $C$9, 100%, $E$9)</f>
        <v>37.633299999999998</v>
      </c>
      <c r="L607" s="14">
        <f>CHOOSE(CONTROL!$C$42, 38.3291, 38.3291) * CHOOSE(CONTROL!$C$21, $C$9, 100%, $E$9)</f>
        <v>38.329099999999997</v>
      </c>
      <c r="M607" s="14">
        <f>CHOOSE(CONTROL!$C$42, 36.747, 36.747) * CHOOSE(CONTROL!$C$21, $C$9, 100%, $E$9)</f>
        <v>36.747</v>
      </c>
      <c r="N607" s="14">
        <f>CHOOSE(CONTROL!$C$42, 36.7638, 36.7638) * CHOOSE(CONTROL!$C$21, $C$9, 100%, $E$9)</f>
        <v>36.763800000000003</v>
      </c>
      <c r="O607" s="14">
        <f>CHOOSE(CONTROL!$C$42, 36.9765, 36.9765) * CHOOSE(CONTROL!$C$21, $C$9, 100%, $E$9)</f>
        <v>36.976500000000001</v>
      </c>
      <c r="P607" s="14">
        <f>CHOOSE(CONTROL!$C$42, 36.8714, 36.8714) * CHOOSE(CONTROL!$C$21, $C$9, 100%, $E$9)</f>
        <v>36.871400000000001</v>
      </c>
      <c r="Q607" s="14">
        <f>CHOOSE(CONTROL!$C$42, 37.5712, 37.5712) * CHOOSE(CONTROL!$C$21, $C$9, 100%, $E$9)</f>
        <v>37.571199999999997</v>
      </c>
      <c r="R607" s="14">
        <f>CHOOSE(CONTROL!$C$42, 38.2521, 38.2521) * CHOOSE(CONTROL!$C$21, $C$9, 100%, $E$9)</f>
        <v>38.252099999999999</v>
      </c>
      <c r="S607" s="14">
        <f>CHOOSE(CONTROL!$C$42, 36.0118, 36.0118) * CHOOSE(CONTROL!$C$21, $C$9, 100%, $E$9)</f>
        <v>36.011800000000001</v>
      </c>
      <c r="T60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56">
        <f>(1000*CHOOSE(CONTROL!$C$42, 695, 695)*CHOOSE(CONTROL!$C$42, 0.5599, 0.5599)*CHOOSE(CONTROL!$C$42, 31, 31))/1000000</f>
        <v>12.063045499999998</v>
      </c>
      <c r="V607" s="56">
        <f>(1000*CHOOSE(CONTROL!$C$42, 500, 500)*CHOOSE(CONTROL!$C$42, 0.275, 0.275)*CHOOSE(CONTROL!$C$42, 31, 31))/1000000</f>
        <v>4.2625000000000002</v>
      </c>
      <c r="W607" s="56">
        <f>(1000*CHOOSE(CONTROL!$C$42, 0.1146, 0.1146)*CHOOSE(CONTROL!$C$42, 121.5, 121.5)*CHOOSE(CONTROL!$C$42, 31, 31))/1000000</f>
        <v>0.43164089999999994</v>
      </c>
      <c r="X607" s="56">
        <f>(31*0.1790888*245000/1000000)+(31*0.2374*100000/1000000)</f>
        <v>2.0961194359999999</v>
      </c>
      <c r="Y607" s="56"/>
      <c r="Z607" s="14"/>
      <c r="AA607" s="55"/>
      <c r="AB607" s="49">
        <f>(B607*194.205+C607*267.466+D607*133.845+E607*53.484+F607*40+G607*185+H607*0+I607*100+J607*300)/(194.205+267.466+133.845+53.484+0+40+185+100+300)</f>
        <v>37.549078331397176</v>
      </c>
      <c r="AC607" s="44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36.86988417266187</v>
      </c>
    </row>
    <row r="608" spans="1:29" ht="15.75" x14ac:dyDescent="0.25">
      <c r="A608" s="31">
        <v>59414</v>
      </c>
      <c r="B608" s="14">
        <f>CHOOSE(CONTROL!$C$42, 35.6371, 35.6371) * CHOOSE(CONTROL!$C$21, $C$9, 100%, $E$9)</f>
        <v>35.637099999999997</v>
      </c>
      <c r="C608" s="14">
        <f>CHOOSE(CONTROL!$C$42, 35.6451, 35.6451) * CHOOSE(CONTROL!$C$21, $C$9, 100%, $E$9)</f>
        <v>35.645099999999999</v>
      </c>
      <c r="D608" s="14">
        <f>CHOOSE(CONTROL!$C$42, 35.8709, 35.8709) * CHOOSE(CONTROL!$C$21, $C$9, 100%, $E$9)</f>
        <v>35.870899999999999</v>
      </c>
      <c r="E608" s="14">
        <f>CHOOSE(CONTROL!$C$42, 35.9023, 35.9023) * CHOOSE(CONTROL!$C$21, $C$9, 100%, $E$9)</f>
        <v>35.902299999999997</v>
      </c>
      <c r="F608" s="14">
        <f>CHOOSE(CONTROL!$C$42, 35.6639, 35.6639)*CHOOSE(CONTROL!$C$21, $C$9, 100%, $E$9)</f>
        <v>35.663899999999998</v>
      </c>
      <c r="G608" s="14">
        <f>CHOOSE(CONTROL!$C$42, 35.6811, 35.6811)*CHOOSE(CONTROL!$C$21, $C$9, 100%, $E$9)</f>
        <v>35.681100000000001</v>
      </c>
      <c r="H608" s="14">
        <f>CHOOSE(CONTROL!$C$42, 35.891, 35.891) * CHOOSE(CONTROL!$C$21, $C$9, 100%, $E$9)</f>
        <v>35.890999999999998</v>
      </c>
      <c r="I608" s="14">
        <f>CHOOSE(CONTROL!$C$42, 35.7802, 35.7802)* CHOOSE(CONTROL!$C$21, $C$9, 100%, $E$9)</f>
        <v>35.780200000000001</v>
      </c>
      <c r="J608" s="14">
        <f>CHOOSE(CONTROL!$C$42, 35.6569, 35.6569)* CHOOSE(CONTROL!$C$21, $C$9, 100%, $E$9)</f>
        <v>35.6569</v>
      </c>
      <c r="K608" s="52">
        <f>CHOOSE(CONTROL!$C$42, 35.7763, 35.7763) * CHOOSE(CONTROL!$C$21, $C$9, 100%, $E$9)</f>
        <v>35.776299999999999</v>
      </c>
      <c r="L608" s="14">
        <f>CHOOSE(CONTROL!$C$42, 36.478, 36.478) * CHOOSE(CONTROL!$C$21, $C$9, 100%, $E$9)</f>
        <v>36.478000000000002</v>
      </c>
      <c r="M608" s="14">
        <f>CHOOSE(CONTROL!$C$42, 34.934, 34.934) * CHOOSE(CONTROL!$C$21, $C$9, 100%, $E$9)</f>
        <v>34.933999999999997</v>
      </c>
      <c r="N608" s="14">
        <f>CHOOSE(CONTROL!$C$42, 34.9509, 34.9509) * CHOOSE(CONTROL!$C$21, $C$9, 100%, $E$9)</f>
        <v>34.950899999999997</v>
      </c>
      <c r="O608" s="14">
        <f>CHOOSE(CONTROL!$C$42, 35.1633, 35.1633) * CHOOSE(CONTROL!$C$21, $C$9, 100%, $E$9)</f>
        <v>35.1633</v>
      </c>
      <c r="P608" s="14">
        <f>CHOOSE(CONTROL!$C$42, 35.0526, 35.0526) * CHOOSE(CONTROL!$C$21, $C$9, 100%, $E$9)</f>
        <v>35.052599999999998</v>
      </c>
      <c r="Q608" s="14">
        <f>CHOOSE(CONTROL!$C$42, 35.758, 35.758) * CHOOSE(CONTROL!$C$21, $C$9, 100%, $E$9)</f>
        <v>35.758000000000003</v>
      </c>
      <c r="R608" s="14">
        <f>CHOOSE(CONTROL!$C$42, 36.4344, 36.4344) * CHOOSE(CONTROL!$C$21, $C$9, 100%, $E$9)</f>
        <v>36.434399999999997</v>
      </c>
      <c r="S608" s="14">
        <f>CHOOSE(CONTROL!$C$42, 34.233, 34.233) * CHOOSE(CONTROL!$C$21, $C$9, 100%, $E$9)</f>
        <v>34.232999999999997</v>
      </c>
      <c r="T60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56">
        <f>(1000*CHOOSE(CONTROL!$C$42, 695, 695)*CHOOSE(CONTROL!$C$42, 0.5599, 0.5599)*CHOOSE(CONTROL!$C$42, 31, 31))/1000000</f>
        <v>12.063045499999998</v>
      </c>
      <c r="V608" s="56">
        <f>(1000*CHOOSE(CONTROL!$C$42, 500, 500)*CHOOSE(CONTROL!$C$42, 0.275, 0.275)*CHOOSE(CONTROL!$C$42, 31, 31))/1000000</f>
        <v>4.2625000000000002</v>
      </c>
      <c r="W608" s="56">
        <f>(1000*CHOOSE(CONTROL!$C$42, 0.1146, 0.1146)*CHOOSE(CONTROL!$C$42, 121.5, 121.5)*CHOOSE(CONTROL!$C$42, 31, 31))/1000000</f>
        <v>0.43164089999999994</v>
      </c>
      <c r="X608" s="56">
        <f>(31*0.1790888*245000/1000000)+(31*0.2374*100000/1000000)</f>
        <v>2.0961194359999999</v>
      </c>
      <c r="Y608" s="56"/>
      <c r="Z608" s="14"/>
      <c r="AA608" s="55"/>
      <c r="AB608" s="49">
        <f>(B608*194.205+C608*267.466+D608*133.845+E608*53.484+F608*40+G608*185+H608*0+I608*100+J608*300)/(194.205+267.466+133.845+53.484+0+40+185+100+300)</f>
        <v>35.697601291836726</v>
      </c>
      <c r="AC608" s="44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35.05596474820144</v>
      </c>
    </row>
    <row r="609" spans="1:29" ht="15.75" x14ac:dyDescent="0.25">
      <c r="A609" s="31">
        <v>59444</v>
      </c>
      <c r="B609" s="14">
        <f>CHOOSE(CONTROL!$C$42, 33.3751, 33.3751) * CHOOSE(CONTROL!$C$21, $C$9, 100%, $E$9)</f>
        <v>33.375100000000003</v>
      </c>
      <c r="C609" s="14">
        <f>CHOOSE(CONTROL!$C$42, 33.3831, 33.3831) * CHOOSE(CONTROL!$C$21, $C$9, 100%, $E$9)</f>
        <v>33.383099999999999</v>
      </c>
      <c r="D609" s="14">
        <f>CHOOSE(CONTROL!$C$42, 33.6089, 33.6089) * CHOOSE(CONTROL!$C$21, $C$9, 100%, $E$9)</f>
        <v>33.608899999999998</v>
      </c>
      <c r="E609" s="14">
        <f>CHOOSE(CONTROL!$C$42, 33.6403, 33.6403) * CHOOSE(CONTROL!$C$21, $C$9, 100%, $E$9)</f>
        <v>33.640300000000003</v>
      </c>
      <c r="F609" s="14">
        <f>CHOOSE(CONTROL!$C$42, 33.4019, 33.4019)*CHOOSE(CONTROL!$C$21, $C$9, 100%, $E$9)</f>
        <v>33.401899999999998</v>
      </c>
      <c r="G609" s="14">
        <f>CHOOSE(CONTROL!$C$42, 33.4191, 33.4191)*CHOOSE(CONTROL!$C$21, $C$9, 100%, $E$9)</f>
        <v>33.4191</v>
      </c>
      <c r="H609" s="14">
        <f>CHOOSE(CONTROL!$C$42, 33.629, 33.629) * CHOOSE(CONTROL!$C$21, $C$9, 100%, $E$9)</f>
        <v>33.628999999999998</v>
      </c>
      <c r="I609" s="14">
        <f>CHOOSE(CONTROL!$C$42, 33.5111, 33.5111)* CHOOSE(CONTROL!$C$21, $C$9, 100%, $E$9)</f>
        <v>33.511099999999999</v>
      </c>
      <c r="J609" s="14">
        <f>CHOOSE(CONTROL!$C$42, 33.3949, 33.3949)* CHOOSE(CONTROL!$C$21, $C$9, 100%, $E$9)</f>
        <v>33.3949</v>
      </c>
      <c r="K609" s="52">
        <f>CHOOSE(CONTROL!$C$42, 33.5072, 33.5072) * CHOOSE(CONTROL!$C$21, $C$9, 100%, $E$9)</f>
        <v>33.507199999999997</v>
      </c>
      <c r="L609" s="14">
        <f>CHOOSE(CONTROL!$C$42, 34.216, 34.216) * CHOOSE(CONTROL!$C$21, $C$9, 100%, $E$9)</f>
        <v>34.216000000000001</v>
      </c>
      <c r="M609" s="14">
        <f>CHOOSE(CONTROL!$C$42, 32.7183, 32.7183) * CHOOSE(CONTROL!$C$21, $C$9, 100%, $E$9)</f>
        <v>32.718299999999999</v>
      </c>
      <c r="N609" s="14">
        <f>CHOOSE(CONTROL!$C$42, 32.7352, 32.7352) * CHOOSE(CONTROL!$C$21, $C$9, 100%, $E$9)</f>
        <v>32.735199999999999</v>
      </c>
      <c r="O609" s="14">
        <f>CHOOSE(CONTROL!$C$42, 32.9476, 32.9476) * CHOOSE(CONTROL!$C$21, $C$9, 100%, $E$9)</f>
        <v>32.947600000000001</v>
      </c>
      <c r="P609" s="14">
        <f>CHOOSE(CONTROL!$C$42, 32.8302, 32.8302) * CHOOSE(CONTROL!$C$21, $C$9, 100%, $E$9)</f>
        <v>32.830199999999998</v>
      </c>
      <c r="Q609" s="14">
        <f>CHOOSE(CONTROL!$C$42, 33.5423, 33.5423) * CHOOSE(CONTROL!$C$21, $C$9, 100%, $E$9)</f>
        <v>33.542299999999997</v>
      </c>
      <c r="R609" s="14">
        <f>CHOOSE(CONTROL!$C$42, 34.2132, 34.2132) * CHOOSE(CONTROL!$C$21, $C$9, 100%, $E$9)</f>
        <v>34.213200000000001</v>
      </c>
      <c r="S609" s="14">
        <f>CHOOSE(CONTROL!$C$42, 32.0595, 32.0595) * CHOOSE(CONTROL!$C$21, $C$9, 100%, $E$9)</f>
        <v>32.0595</v>
      </c>
      <c r="T60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56">
        <f>(1000*CHOOSE(CONTROL!$C$42, 695, 695)*CHOOSE(CONTROL!$C$42, 0.5599, 0.5599)*CHOOSE(CONTROL!$C$42, 30, 30))/1000000</f>
        <v>11.673914999999997</v>
      </c>
      <c r="V609" s="56">
        <f>(1000*CHOOSE(CONTROL!$C$42, 500, 500)*CHOOSE(CONTROL!$C$42, 0.275, 0.275)*CHOOSE(CONTROL!$C$42, 30, 30))/1000000</f>
        <v>4.125</v>
      </c>
      <c r="W609" s="56">
        <f>(1000*CHOOSE(CONTROL!$C$42, 0.1146, 0.1146)*CHOOSE(CONTROL!$C$42, 121.5, 121.5)*CHOOSE(CONTROL!$C$42, 30, 30))/1000000</f>
        <v>0.417717</v>
      </c>
      <c r="X609" s="56">
        <f>(30*0.1790888*245000/1000000)+(30*0.2374*100000/1000000)</f>
        <v>2.0285026799999999</v>
      </c>
      <c r="Y609" s="56"/>
      <c r="Z609" s="14"/>
      <c r="AA609" s="55"/>
      <c r="AB609" s="49">
        <f>(B609*194.205+C609*267.466+D609*133.845+E609*53.484+F609*40+G609*185+H609*0+I609*100+J609*300)/(194.205+267.466+133.845+53.484+0+40+185+100+300)</f>
        <v>33.435043991993723</v>
      </c>
      <c r="AC609" s="44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32.839300719424465</v>
      </c>
    </row>
    <row r="610" spans="1:29" ht="15.75" x14ac:dyDescent="0.25">
      <c r="A610" s="31">
        <v>59475</v>
      </c>
      <c r="B610" s="14">
        <f>CHOOSE(CONTROL!$C$42, 32.6959, 32.6959) * CHOOSE(CONTROL!$C$21, $C$9, 100%, $E$9)</f>
        <v>32.695900000000002</v>
      </c>
      <c r="C610" s="14">
        <f>CHOOSE(CONTROL!$C$42, 32.7012, 32.7012) * CHOOSE(CONTROL!$C$21, $C$9, 100%, $E$9)</f>
        <v>32.7012</v>
      </c>
      <c r="D610" s="14">
        <f>CHOOSE(CONTROL!$C$42, 32.932, 32.932) * CHOOSE(CONTROL!$C$21, $C$9, 100%, $E$9)</f>
        <v>32.932000000000002</v>
      </c>
      <c r="E610" s="14">
        <f>CHOOSE(CONTROL!$C$42, 32.9611, 32.9611) * CHOOSE(CONTROL!$C$21, $C$9, 100%, $E$9)</f>
        <v>32.961100000000002</v>
      </c>
      <c r="F610" s="14">
        <f>CHOOSE(CONTROL!$C$42, 32.7248, 32.7248)*CHOOSE(CONTROL!$C$21, $C$9, 100%, $E$9)</f>
        <v>32.724800000000002</v>
      </c>
      <c r="G610" s="14">
        <f>CHOOSE(CONTROL!$C$42, 32.7419, 32.7419)*CHOOSE(CONTROL!$C$21, $C$9, 100%, $E$9)</f>
        <v>32.741900000000001</v>
      </c>
      <c r="H610" s="14">
        <f>CHOOSE(CONTROL!$C$42, 32.9516, 32.9516) * CHOOSE(CONTROL!$C$21, $C$9, 100%, $E$9)</f>
        <v>32.951599999999999</v>
      </c>
      <c r="I610" s="14">
        <f>CHOOSE(CONTROL!$C$42, 32.8316, 32.8316)* CHOOSE(CONTROL!$C$21, $C$9, 100%, $E$9)</f>
        <v>32.831600000000002</v>
      </c>
      <c r="J610" s="14">
        <f>CHOOSE(CONTROL!$C$42, 32.7178, 32.7178)* CHOOSE(CONTROL!$C$21, $C$9, 100%, $E$9)</f>
        <v>32.717799999999997</v>
      </c>
      <c r="K610" s="52">
        <f>CHOOSE(CONTROL!$C$42, 32.8277, 32.8277) * CHOOSE(CONTROL!$C$21, $C$9, 100%, $E$9)</f>
        <v>32.8277</v>
      </c>
      <c r="L610" s="14">
        <f>CHOOSE(CONTROL!$C$42, 33.5386, 33.5386) * CHOOSE(CONTROL!$C$21, $C$9, 100%, $E$9)</f>
        <v>33.538600000000002</v>
      </c>
      <c r="M610" s="14">
        <f>CHOOSE(CONTROL!$C$42, 32.0551, 32.0551) * CHOOSE(CONTROL!$C$21, $C$9, 100%, $E$9)</f>
        <v>32.055100000000003</v>
      </c>
      <c r="N610" s="14">
        <f>CHOOSE(CONTROL!$C$42, 32.0719, 32.0719) * CHOOSE(CONTROL!$C$21, $C$9, 100%, $E$9)</f>
        <v>32.071899999999999</v>
      </c>
      <c r="O610" s="14">
        <f>CHOOSE(CONTROL!$C$42, 32.2841, 32.2841) * CHOOSE(CONTROL!$C$21, $C$9, 100%, $E$9)</f>
        <v>32.284100000000002</v>
      </c>
      <c r="P610" s="14">
        <f>CHOOSE(CONTROL!$C$42, 32.1646, 32.1646) * CHOOSE(CONTROL!$C$21, $C$9, 100%, $E$9)</f>
        <v>32.1646</v>
      </c>
      <c r="Q610" s="14">
        <f>CHOOSE(CONTROL!$C$42, 32.8788, 32.8788) * CHOOSE(CONTROL!$C$21, $C$9, 100%, $E$9)</f>
        <v>32.878799999999998</v>
      </c>
      <c r="R610" s="14">
        <f>CHOOSE(CONTROL!$C$42, 33.548, 33.548) * CHOOSE(CONTROL!$C$21, $C$9, 100%, $E$9)</f>
        <v>33.548000000000002</v>
      </c>
      <c r="S610" s="14">
        <f>CHOOSE(CONTROL!$C$42, 31.4085, 31.4085) * CHOOSE(CONTROL!$C$21, $C$9, 100%, $E$9)</f>
        <v>31.4085</v>
      </c>
      <c r="T61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56">
        <f>(1000*CHOOSE(CONTROL!$C$42, 695, 695)*CHOOSE(CONTROL!$C$42, 0.5599, 0.5599)*CHOOSE(CONTROL!$C$42, 31, 31))/1000000</f>
        <v>12.063045499999998</v>
      </c>
      <c r="V610" s="56">
        <f>(1000*CHOOSE(CONTROL!$C$42, 500, 500)*CHOOSE(CONTROL!$C$42, 0.275, 0.275)*CHOOSE(CONTROL!$C$42, 31, 31))/1000000</f>
        <v>4.2625000000000002</v>
      </c>
      <c r="W610" s="56">
        <f>(1000*CHOOSE(CONTROL!$C$42, 0.1146, 0.1146)*CHOOSE(CONTROL!$C$42, 121.5, 121.5)*CHOOSE(CONTROL!$C$42, 31, 31))/1000000</f>
        <v>0.43164089999999994</v>
      </c>
      <c r="X610" s="56">
        <f>(31*0.1790888*245000/1000000)+(31*0.2374*100000/1000000)</f>
        <v>2.0961194359999999</v>
      </c>
      <c r="Y610" s="56"/>
      <c r="Z610" s="14"/>
      <c r="AA610" s="55"/>
      <c r="AB610" s="49">
        <f>(B610*131.881+C610*277.167+D610*79.08+E610*125.872+F610*40+G610*185+H610*0+I610*100+J610*300)/(131.881+277.167+79.08+125.872+0+40+185+100+300)</f>
        <v>32.763153452380948</v>
      </c>
      <c r="AC610" s="44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32.175613669064752</v>
      </c>
    </row>
    <row r="611" spans="1:29" ht="15.75" x14ac:dyDescent="0.25">
      <c r="A611" s="31">
        <v>59505</v>
      </c>
      <c r="B611" s="14">
        <f>CHOOSE(CONTROL!$C$42, 33.5566, 33.5566) * CHOOSE(CONTROL!$C$21, $C$9, 100%, $E$9)</f>
        <v>33.556600000000003</v>
      </c>
      <c r="C611" s="14">
        <f>CHOOSE(CONTROL!$C$42, 33.5616, 33.5616) * CHOOSE(CONTROL!$C$21, $C$9, 100%, $E$9)</f>
        <v>33.561599999999999</v>
      </c>
      <c r="D611" s="14">
        <f>CHOOSE(CONTROL!$C$42, 33.6307, 33.6307) * CHOOSE(CONTROL!$C$21, $C$9, 100%, $E$9)</f>
        <v>33.630699999999997</v>
      </c>
      <c r="E611" s="14">
        <f>CHOOSE(CONTROL!$C$42, 33.6648, 33.6648) * CHOOSE(CONTROL!$C$21, $C$9, 100%, $E$9)</f>
        <v>33.6648</v>
      </c>
      <c r="F611" s="14">
        <f>CHOOSE(CONTROL!$C$42, 33.5922, 33.5922)*CHOOSE(CONTROL!$C$21, $C$9, 100%, $E$9)</f>
        <v>33.592199999999998</v>
      </c>
      <c r="G611" s="14">
        <f>CHOOSE(CONTROL!$C$42, 33.6096, 33.6096)*CHOOSE(CONTROL!$C$21, $C$9, 100%, $E$9)</f>
        <v>33.6096</v>
      </c>
      <c r="H611" s="14">
        <f>CHOOSE(CONTROL!$C$42, 33.654, 33.654) * CHOOSE(CONTROL!$C$21, $C$9, 100%, $E$9)</f>
        <v>33.654000000000003</v>
      </c>
      <c r="I611" s="14">
        <f>CHOOSE(CONTROL!$C$42, 33.698, 33.698)* CHOOSE(CONTROL!$C$21, $C$9, 100%, $E$9)</f>
        <v>33.698</v>
      </c>
      <c r="J611" s="14">
        <f>CHOOSE(CONTROL!$C$42, 33.5852, 33.5852)* CHOOSE(CONTROL!$C$21, $C$9, 100%, $E$9)</f>
        <v>33.5852</v>
      </c>
      <c r="K611" s="52">
        <f>CHOOSE(CONTROL!$C$42, 33.6941, 33.6941) * CHOOSE(CONTROL!$C$21, $C$9, 100%, $E$9)</f>
        <v>33.694099999999999</v>
      </c>
      <c r="L611" s="14">
        <f>CHOOSE(CONTROL!$C$42, 34.241, 34.241) * CHOOSE(CONTROL!$C$21, $C$9, 100%, $E$9)</f>
        <v>34.241</v>
      </c>
      <c r="M611" s="14">
        <f>CHOOSE(CONTROL!$C$42, 32.9047, 32.9047) * CHOOSE(CONTROL!$C$21, $C$9, 100%, $E$9)</f>
        <v>32.904699999999998</v>
      </c>
      <c r="N611" s="14">
        <f>CHOOSE(CONTROL!$C$42, 32.9218, 32.9218) * CHOOSE(CONTROL!$C$21, $C$9, 100%, $E$9)</f>
        <v>32.921799999999998</v>
      </c>
      <c r="O611" s="14">
        <f>CHOOSE(CONTROL!$C$42, 32.9721, 32.9721) * CHOOSE(CONTROL!$C$21, $C$9, 100%, $E$9)</f>
        <v>32.972099999999998</v>
      </c>
      <c r="P611" s="14">
        <f>CHOOSE(CONTROL!$C$42, 33.0132, 33.0132) * CHOOSE(CONTROL!$C$21, $C$9, 100%, $E$9)</f>
        <v>33.013199999999998</v>
      </c>
      <c r="Q611" s="14">
        <f>CHOOSE(CONTROL!$C$42, 33.5668, 33.5668) * CHOOSE(CONTROL!$C$21, $C$9, 100%, $E$9)</f>
        <v>33.566800000000001</v>
      </c>
      <c r="R611" s="14">
        <f>CHOOSE(CONTROL!$C$42, 34.2377, 34.2377) * CHOOSE(CONTROL!$C$21, $C$9, 100%, $E$9)</f>
        <v>34.237699999999997</v>
      </c>
      <c r="S611" s="14">
        <f>CHOOSE(CONTROL!$C$42, 32.236, 32.236) * CHOOSE(CONTROL!$C$21, $C$9, 100%, $E$9)</f>
        <v>32.235999999999997</v>
      </c>
      <c r="T61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56">
        <f>(1000*CHOOSE(CONTROL!$C$42, 695, 695)*CHOOSE(CONTROL!$C$42, 0.5599, 0.5599)*CHOOSE(CONTROL!$C$42, 30, 30))/1000000</f>
        <v>11.673914999999997</v>
      </c>
      <c r="V611" s="56">
        <f>(1000*CHOOSE(CONTROL!$C$42, 500, 500)*CHOOSE(CONTROL!$C$42, 0.275, 0.275)*CHOOSE(CONTROL!$C$42, 30, 30))/1000000</f>
        <v>4.125</v>
      </c>
      <c r="W611" s="56">
        <f>(1000*CHOOSE(CONTROL!$C$42, 0.1146, 0.1146)*CHOOSE(CONTROL!$C$42, 121.5, 121.5)*CHOOSE(CONTROL!$C$42, 30, 30))/1000000</f>
        <v>0.417717</v>
      </c>
      <c r="X611" s="56">
        <f>(30*0.1790888*100000/1000000)+(30*0.2374*100000/1000000)</f>
        <v>1.2494664</v>
      </c>
      <c r="Y611" s="56"/>
      <c r="Z611" s="14"/>
      <c r="AA611" s="55"/>
      <c r="AB611" s="49">
        <f>(B611*122.58+C611*297.941+D611*89.177+E611*40.302+F611*40+G611*160+H611*0+I611*100+J611*300)/(122.58+297.941+89.177+40.302+0+40+160+100+300)</f>
        <v>33.59580208443478</v>
      </c>
      <c r="AC611" s="44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32.951843884892085</v>
      </c>
    </row>
    <row r="612" spans="1:29" ht="15.75" x14ac:dyDescent="0.25">
      <c r="A612" s="31">
        <v>59536</v>
      </c>
      <c r="B612" s="14">
        <f>CHOOSE(CONTROL!$C$42, 35.8438, 35.8438) * CHOOSE(CONTROL!$C$21, $C$9, 100%, $E$9)</f>
        <v>35.843800000000002</v>
      </c>
      <c r="C612" s="14">
        <f>CHOOSE(CONTROL!$C$42, 35.8489, 35.8489) * CHOOSE(CONTROL!$C$21, $C$9, 100%, $E$9)</f>
        <v>35.8489</v>
      </c>
      <c r="D612" s="14">
        <f>CHOOSE(CONTROL!$C$42, 35.9179, 35.9179) * CHOOSE(CONTROL!$C$21, $C$9, 100%, $E$9)</f>
        <v>35.917900000000003</v>
      </c>
      <c r="E612" s="14">
        <f>CHOOSE(CONTROL!$C$42, 35.952, 35.952) * CHOOSE(CONTROL!$C$21, $C$9, 100%, $E$9)</f>
        <v>35.951999999999998</v>
      </c>
      <c r="F612" s="14">
        <f>CHOOSE(CONTROL!$C$42, 35.8816, 35.8816)*CHOOSE(CONTROL!$C$21, $C$9, 100%, $E$9)</f>
        <v>35.881599999999999</v>
      </c>
      <c r="G612" s="14">
        <f>CHOOSE(CONTROL!$C$42, 35.8996, 35.8996)*CHOOSE(CONTROL!$C$21, $C$9, 100%, $E$9)</f>
        <v>35.8996</v>
      </c>
      <c r="H612" s="14">
        <f>CHOOSE(CONTROL!$C$42, 35.9412, 35.9412) * CHOOSE(CONTROL!$C$21, $C$9, 100%, $E$9)</f>
        <v>35.941200000000002</v>
      </c>
      <c r="I612" s="14">
        <f>CHOOSE(CONTROL!$C$42, 35.9924, 35.9924)* CHOOSE(CONTROL!$C$21, $C$9, 100%, $E$9)</f>
        <v>35.992400000000004</v>
      </c>
      <c r="J612" s="14">
        <f>CHOOSE(CONTROL!$C$42, 35.8746, 35.8746)* CHOOSE(CONTROL!$C$21, $C$9, 100%, $E$9)</f>
        <v>35.874600000000001</v>
      </c>
      <c r="K612" s="52">
        <f>CHOOSE(CONTROL!$C$42, 35.9885, 35.9885) * CHOOSE(CONTROL!$C$21, $C$9, 100%, $E$9)</f>
        <v>35.988500000000002</v>
      </c>
      <c r="L612" s="14">
        <f>CHOOSE(CONTROL!$C$42, 36.5282, 36.5282) * CHOOSE(CONTROL!$C$21, $C$9, 100%, $E$9)</f>
        <v>36.528199999999998</v>
      </c>
      <c r="M612" s="14">
        <f>CHOOSE(CONTROL!$C$42, 35.1473, 35.1473) * CHOOSE(CONTROL!$C$21, $C$9, 100%, $E$9)</f>
        <v>35.147300000000001</v>
      </c>
      <c r="N612" s="14">
        <f>CHOOSE(CONTROL!$C$42, 35.1649, 35.1649) * CHOOSE(CONTROL!$C$21, $C$9, 100%, $E$9)</f>
        <v>35.164900000000003</v>
      </c>
      <c r="O612" s="14">
        <f>CHOOSE(CONTROL!$C$42, 35.2125, 35.2125) * CHOOSE(CONTROL!$C$21, $C$9, 100%, $E$9)</f>
        <v>35.212499999999999</v>
      </c>
      <c r="P612" s="14">
        <f>CHOOSE(CONTROL!$C$42, 35.2604, 35.2604) * CHOOSE(CONTROL!$C$21, $C$9, 100%, $E$9)</f>
        <v>35.260399999999997</v>
      </c>
      <c r="Q612" s="14">
        <f>CHOOSE(CONTROL!$C$42, 35.8072, 35.8072) * CHOOSE(CONTROL!$C$21, $C$9, 100%, $E$9)</f>
        <v>35.807200000000002</v>
      </c>
      <c r="R612" s="14">
        <f>CHOOSE(CONTROL!$C$42, 36.4837, 36.4837) * CHOOSE(CONTROL!$C$21, $C$9, 100%, $E$9)</f>
        <v>36.483699999999999</v>
      </c>
      <c r="S612" s="14">
        <f>CHOOSE(CONTROL!$C$42, 34.4338, 34.4338) * CHOOSE(CONTROL!$C$21, $C$9, 100%, $E$9)</f>
        <v>34.433799999999998</v>
      </c>
      <c r="T61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56">
        <f>(1000*CHOOSE(CONTROL!$C$42, 695, 695)*CHOOSE(CONTROL!$C$42, 0.5599, 0.5599)*CHOOSE(CONTROL!$C$42, 31, 31))/1000000</f>
        <v>12.063045499999998</v>
      </c>
      <c r="V612" s="56">
        <f>(1000*CHOOSE(CONTROL!$C$42, 500, 500)*CHOOSE(CONTROL!$C$42, 0.275, 0.275)*CHOOSE(CONTROL!$C$42, 31, 31))/1000000</f>
        <v>4.2625000000000002</v>
      </c>
      <c r="W612" s="56">
        <f>(1000*CHOOSE(CONTROL!$C$42, 0.1146, 0.1146)*CHOOSE(CONTROL!$C$42, 121.5, 121.5)*CHOOSE(CONTROL!$C$42, 31, 31))/1000000</f>
        <v>0.43164089999999994</v>
      </c>
      <c r="X612" s="56">
        <f>(31*0.1790888*100000/1000000)+(31*0.2374*100000/1000000)</f>
        <v>1.2911152800000001</v>
      </c>
      <c r="Y612" s="56"/>
      <c r="Z612" s="14"/>
      <c r="AA612" s="55"/>
      <c r="AB612" s="49">
        <f>(B612*122.58+C612*297.941+D612*89.177+E612*40.302+F612*40+G612*160+H612*0+I612*100+J612*300)/(122.58+297.941+89.177+40.302+0+40+160+100+300)</f>
        <v>35.884694079304346</v>
      </c>
      <c r="AC612" s="44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35.194137410071946</v>
      </c>
    </row>
    <row r="613" spans="1:29" ht="15.75" x14ac:dyDescent="0.25">
      <c r="A613" s="31">
        <v>59567</v>
      </c>
      <c r="B613" s="14">
        <f>CHOOSE(CONTROL!$C$42, 38.8145, 38.8145) * CHOOSE(CONTROL!$C$21, $C$9, 100%, $E$9)</f>
        <v>38.814500000000002</v>
      </c>
      <c r="C613" s="14">
        <f>CHOOSE(CONTROL!$C$42, 38.8195, 38.8195) * CHOOSE(CONTROL!$C$21, $C$9, 100%, $E$9)</f>
        <v>38.819499999999998</v>
      </c>
      <c r="D613" s="14">
        <f>CHOOSE(CONTROL!$C$42, 38.899, 38.899) * CHOOSE(CONTROL!$C$21, $C$9, 100%, $E$9)</f>
        <v>38.899000000000001</v>
      </c>
      <c r="E613" s="14">
        <f>CHOOSE(CONTROL!$C$42, 38.9331, 38.9331) * CHOOSE(CONTROL!$C$21, $C$9, 100%, $E$9)</f>
        <v>38.933100000000003</v>
      </c>
      <c r="F613" s="14">
        <f>CHOOSE(CONTROL!$C$42, 38.8375, 38.8375)*CHOOSE(CONTROL!$C$21, $C$9, 100%, $E$9)</f>
        <v>38.837499999999999</v>
      </c>
      <c r="G613" s="14">
        <f>CHOOSE(CONTROL!$C$42, 38.855, 38.855)*CHOOSE(CONTROL!$C$21, $C$9, 100%, $E$9)</f>
        <v>38.854999999999997</v>
      </c>
      <c r="H613" s="14">
        <f>CHOOSE(CONTROL!$C$42, 38.9223, 38.9223) * CHOOSE(CONTROL!$C$21, $C$9, 100%, $E$9)</f>
        <v>38.9223</v>
      </c>
      <c r="I613" s="14">
        <f>CHOOSE(CONTROL!$C$42, 38.9713, 38.9713)* CHOOSE(CONTROL!$C$21, $C$9, 100%, $E$9)</f>
        <v>38.971299999999999</v>
      </c>
      <c r="J613" s="14">
        <f>CHOOSE(CONTROL!$C$42, 38.8305, 38.8305)* CHOOSE(CONTROL!$C$21, $C$9, 100%, $E$9)</f>
        <v>38.830500000000001</v>
      </c>
      <c r="K613" s="52">
        <f>CHOOSE(CONTROL!$C$42, 38.9674, 38.9674) * CHOOSE(CONTROL!$C$21, $C$9, 100%, $E$9)</f>
        <v>38.967399999999998</v>
      </c>
      <c r="L613" s="14">
        <f>CHOOSE(CONTROL!$C$42, 39.5093, 39.5093) * CHOOSE(CONTROL!$C$21, $C$9, 100%, $E$9)</f>
        <v>39.509300000000003</v>
      </c>
      <c r="M613" s="14">
        <f>CHOOSE(CONTROL!$C$42, 38.0426, 38.0426) * CHOOSE(CONTROL!$C$21, $C$9, 100%, $E$9)</f>
        <v>38.0426</v>
      </c>
      <c r="N613" s="14">
        <f>CHOOSE(CONTROL!$C$42, 38.0597, 38.0597) * CHOOSE(CONTROL!$C$21, $C$9, 100%, $E$9)</f>
        <v>38.059699999999999</v>
      </c>
      <c r="O613" s="14">
        <f>CHOOSE(CONTROL!$C$42, 38.1325, 38.1325) * CHOOSE(CONTROL!$C$21, $C$9, 100%, $E$9)</f>
        <v>38.1325</v>
      </c>
      <c r="P613" s="14">
        <f>CHOOSE(CONTROL!$C$42, 38.1782, 38.1782) * CHOOSE(CONTROL!$C$21, $C$9, 100%, $E$9)</f>
        <v>38.178199999999997</v>
      </c>
      <c r="Q613" s="14">
        <f>CHOOSE(CONTROL!$C$42, 38.7272, 38.7272) * CHOOSE(CONTROL!$C$21, $C$9, 100%, $E$9)</f>
        <v>38.727200000000003</v>
      </c>
      <c r="R613" s="14">
        <f>CHOOSE(CONTROL!$C$42, 39.411, 39.411) * CHOOSE(CONTROL!$C$21, $C$9, 100%, $E$9)</f>
        <v>39.411000000000001</v>
      </c>
      <c r="S613" s="14">
        <f>CHOOSE(CONTROL!$C$42, 37.2883, 37.2883) * CHOOSE(CONTROL!$C$21, $C$9, 100%, $E$9)</f>
        <v>37.2883</v>
      </c>
      <c r="T61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56">
        <f>(1000*CHOOSE(CONTROL!$C$42, 695, 695)*CHOOSE(CONTROL!$C$42, 0.5599, 0.5599)*CHOOSE(CONTROL!$C$42, 31, 31))/1000000</f>
        <v>12.063045499999998</v>
      </c>
      <c r="V613" s="56">
        <f>(1000*CHOOSE(CONTROL!$C$42, 500, 500)*CHOOSE(CONTROL!$C$42, 0.275, 0.275)*CHOOSE(CONTROL!$C$42, 31, 31))/1000000</f>
        <v>4.2625000000000002</v>
      </c>
      <c r="W613" s="56">
        <f>(1000*CHOOSE(CONTROL!$C$42, 0.1146, 0.1146)*CHOOSE(CONTROL!$C$42, 121.5, 121.5)*CHOOSE(CONTROL!$C$42, 31, 31))/1000000</f>
        <v>0.43164089999999994</v>
      </c>
      <c r="X613" s="56">
        <f>(31*0.1790888*100000/1000000)+(31*0.2374*100000/1000000)</f>
        <v>1.2911152800000001</v>
      </c>
      <c r="Y613" s="56"/>
      <c r="Z613" s="14"/>
      <c r="AA613" s="55"/>
      <c r="AB613" s="49">
        <f>(B613*122.58+C613*297.941+D613*89.177+E613*40.302+F613*40+G613*160+H613*0+I613*100+J613*300)/(122.58+297.941+89.177+40.302+0+40+160+100+300)</f>
        <v>38.850747807565213</v>
      </c>
      <c r="AC613" s="44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38.103841007194248</v>
      </c>
    </row>
    <row r="614" spans="1:29" ht="15.75" x14ac:dyDescent="0.25">
      <c r="A614" s="31">
        <v>59595</v>
      </c>
      <c r="B614" s="14">
        <f>CHOOSE(CONTROL!$C$42, 39.5053, 39.5053) * CHOOSE(CONTROL!$C$21, $C$9, 100%, $E$9)</f>
        <v>39.505299999999998</v>
      </c>
      <c r="C614" s="14">
        <f>CHOOSE(CONTROL!$C$42, 39.5103, 39.5103) * CHOOSE(CONTROL!$C$21, $C$9, 100%, $E$9)</f>
        <v>39.510300000000001</v>
      </c>
      <c r="D614" s="14">
        <f>CHOOSE(CONTROL!$C$42, 39.5898, 39.5898) * CHOOSE(CONTROL!$C$21, $C$9, 100%, $E$9)</f>
        <v>39.589799999999997</v>
      </c>
      <c r="E614" s="14">
        <f>CHOOSE(CONTROL!$C$42, 39.6239, 39.6239) * CHOOSE(CONTROL!$C$21, $C$9, 100%, $E$9)</f>
        <v>39.623899999999999</v>
      </c>
      <c r="F614" s="14">
        <f>CHOOSE(CONTROL!$C$42, 39.528, 39.528)*CHOOSE(CONTROL!$C$21, $C$9, 100%, $E$9)</f>
        <v>39.527999999999999</v>
      </c>
      <c r="G614" s="14">
        <f>CHOOSE(CONTROL!$C$42, 39.5455, 39.5455)*CHOOSE(CONTROL!$C$21, $C$9, 100%, $E$9)</f>
        <v>39.545499999999997</v>
      </c>
      <c r="H614" s="14">
        <f>CHOOSE(CONTROL!$C$42, 39.6131, 39.6131) * CHOOSE(CONTROL!$C$21, $C$9, 100%, $E$9)</f>
        <v>39.613100000000003</v>
      </c>
      <c r="I614" s="14">
        <f>CHOOSE(CONTROL!$C$42, 39.6643, 39.6643)* CHOOSE(CONTROL!$C$21, $C$9, 100%, $E$9)</f>
        <v>39.664299999999997</v>
      </c>
      <c r="J614" s="14">
        <f>CHOOSE(CONTROL!$C$42, 39.521, 39.521)* CHOOSE(CONTROL!$C$21, $C$9, 100%, $E$9)</f>
        <v>39.521000000000001</v>
      </c>
      <c r="K614" s="52">
        <f>CHOOSE(CONTROL!$C$42, 39.6604, 39.6604) * CHOOSE(CONTROL!$C$21, $C$9, 100%, $E$9)</f>
        <v>39.660400000000003</v>
      </c>
      <c r="L614" s="14">
        <f>CHOOSE(CONTROL!$C$42, 40.2001, 40.2001) * CHOOSE(CONTROL!$C$21, $C$9, 100%, $E$9)</f>
        <v>40.200099999999999</v>
      </c>
      <c r="M614" s="14">
        <f>CHOOSE(CONTROL!$C$42, 38.719, 38.719) * CHOOSE(CONTROL!$C$21, $C$9, 100%, $E$9)</f>
        <v>38.719000000000001</v>
      </c>
      <c r="N614" s="14">
        <f>CHOOSE(CONTROL!$C$42, 38.7361, 38.7361) * CHOOSE(CONTROL!$C$21, $C$9, 100%, $E$9)</f>
        <v>38.7361</v>
      </c>
      <c r="O614" s="14">
        <f>CHOOSE(CONTROL!$C$42, 38.8091, 38.8091) * CHOOSE(CONTROL!$C$21, $C$9, 100%, $E$9)</f>
        <v>38.809100000000001</v>
      </c>
      <c r="P614" s="14">
        <f>CHOOSE(CONTROL!$C$42, 38.8569, 38.8569) * CHOOSE(CONTROL!$C$21, $C$9, 100%, $E$9)</f>
        <v>38.856900000000003</v>
      </c>
      <c r="Q614" s="14">
        <f>CHOOSE(CONTROL!$C$42, 39.4038, 39.4038) * CHOOSE(CONTROL!$C$21, $C$9, 100%, $E$9)</f>
        <v>39.403799999999997</v>
      </c>
      <c r="R614" s="14">
        <f>CHOOSE(CONTROL!$C$42, 40.0893, 40.0893) * CHOOSE(CONTROL!$C$21, $C$9, 100%, $E$9)</f>
        <v>40.089300000000001</v>
      </c>
      <c r="S614" s="14">
        <f>CHOOSE(CONTROL!$C$42, 37.9521, 37.9521) * CHOOSE(CONTROL!$C$21, $C$9, 100%, $E$9)</f>
        <v>37.952100000000002</v>
      </c>
      <c r="T61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14" s="56">
        <f>(1000*CHOOSE(CONTROL!$C$42, 695, 695)*CHOOSE(CONTROL!$C$42, 0.5599, 0.5599)*CHOOSE(CONTROL!$C$42, 28, 28))/1000000</f>
        <v>10.895653999999999</v>
      </c>
      <c r="V614" s="56">
        <f>(1000*CHOOSE(CONTROL!$C$42, 500, 500)*CHOOSE(CONTROL!$C$42, 0.275, 0.275)*CHOOSE(CONTROL!$C$42, 28, 28))/1000000</f>
        <v>3.85</v>
      </c>
      <c r="W614" s="56">
        <f>(1000*CHOOSE(CONTROL!$C$42, 0.1146, 0.1146)*CHOOSE(CONTROL!$C$42, 121.5, 121.5)*CHOOSE(CONTROL!$C$42, 28, 28))/1000000</f>
        <v>0.38986920000000003</v>
      </c>
      <c r="X614" s="56">
        <f>(28*0.1790888*100000/1000000)+(28*0.2374*100000/1000000)</f>
        <v>1.16616864</v>
      </c>
      <c r="Y614" s="56"/>
      <c r="Z614" s="14"/>
      <c r="AA614" s="55"/>
      <c r="AB614" s="49">
        <f>(B614*122.58+C614*297.941+D614*89.177+E614*40.302+F614*40+G614*160+H614*0+I614*100+J614*300)/(122.58+297.941+89.177+40.302+0+40+160+100+300)</f>
        <v>39.541608677130434</v>
      </c>
      <c r="AC614" s="44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38.780662589928056</v>
      </c>
    </row>
    <row r="615" spans="1:29" ht="15.75" x14ac:dyDescent="0.25">
      <c r="A615" s="31">
        <v>59626</v>
      </c>
      <c r="B615" s="14">
        <f>CHOOSE(CONTROL!$C$42, 38.384, 38.384) * CHOOSE(CONTROL!$C$21, $C$9, 100%, $E$9)</f>
        <v>38.384</v>
      </c>
      <c r="C615" s="14">
        <f>CHOOSE(CONTROL!$C$42, 38.389, 38.389) * CHOOSE(CONTROL!$C$21, $C$9, 100%, $E$9)</f>
        <v>38.389000000000003</v>
      </c>
      <c r="D615" s="14">
        <f>CHOOSE(CONTROL!$C$42, 38.4684, 38.4684) * CHOOSE(CONTROL!$C$21, $C$9, 100%, $E$9)</f>
        <v>38.468400000000003</v>
      </c>
      <c r="E615" s="14">
        <f>CHOOSE(CONTROL!$C$42, 38.5025, 38.5025) * CHOOSE(CONTROL!$C$21, $C$9, 100%, $E$9)</f>
        <v>38.502499999999998</v>
      </c>
      <c r="F615" s="14">
        <f>CHOOSE(CONTROL!$C$42, 38.406, 38.406)*CHOOSE(CONTROL!$C$21, $C$9, 100%, $E$9)</f>
        <v>38.405999999999999</v>
      </c>
      <c r="G615" s="14">
        <f>CHOOSE(CONTROL!$C$42, 38.4233, 38.4233)*CHOOSE(CONTROL!$C$21, $C$9, 100%, $E$9)</f>
        <v>38.423299999999998</v>
      </c>
      <c r="H615" s="14">
        <f>CHOOSE(CONTROL!$C$42, 38.4917, 38.4917) * CHOOSE(CONTROL!$C$21, $C$9, 100%, $E$9)</f>
        <v>38.491700000000002</v>
      </c>
      <c r="I615" s="14">
        <f>CHOOSE(CONTROL!$C$42, 38.5395, 38.5395)* CHOOSE(CONTROL!$C$21, $C$9, 100%, $E$9)</f>
        <v>38.539499999999997</v>
      </c>
      <c r="J615" s="14">
        <f>CHOOSE(CONTROL!$C$42, 38.399, 38.399)* CHOOSE(CONTROL!$C$21, $C$9, 100%, $E$9)</f>
        <v>38.399000000000001</v>
      </c>
      <c r="K615" s="52">
        <f>CHOOSE(CONTROL!$C$42, 38.5356, 38.5356) * CHOOSE(CONTROL!$C$21, $C$9, 100%, $E$9)</f>
        <v>38.535600000000002</v>
      </c>
      <c r="L615" s="14">
        <f>CHOOSE(CONTROL!$C$42, 39.0787, 39.0787) * CHOOSE(CONTROL!$C$21, $C$9, 100%, $E$9)</f>
        <v>39.078699999999998</v>
      </c>
      <c r="M615" s="14">
        <f>CHOOSE(CONTROL!$C$42, 37.6199, 37.6199) * CHOOSE(CONTROL!$C$21, $C$9, 100%, $E$9)</f>
        <v>37.619900000000001</v>
      </c>
      <c r="N615" s="14">
        <f>CHOOSE(CONTROL!$C$42, 37.6368, 37.6368) * CHOOSE(CONTROL!$C$21, $C$9, 100%, $E$9)</f>
        <v>37.636800000000001</v>
      </c>
      <c r="O615" s="14">
        <f>CHOOSE(CONTROL!$C$42, 37.7108, 37.7108) * CHOOSE(CONTROL!$C$21, $C$9, 100%, $E$9)</f>
        <v>37.710799999999999</v>
      </c>
      <c r="P615" s="14">
        <f>CHOOSE(CONTROL!$C$42, 37.7552, 37.7552) * CHOOSE(CONTROL!$C$21, $C$9, 100%, $E$9)</f>
        <v>37.755200000000002</v>
      </c>
      <c r="Q615" s="14">
        <f>CHOOSE(CONTROL!$C$42, 38.3055, 38.3055) * CHOOSE(CONTROL!$C$21, $C$9, 100%, $E$9)</f>
        <v>38.305500000000002</v>
      </c>
      <c r="R615" s="14">
        <f>CHOOSE(CONTROL!$C$42, 38.9882, 38.9882) * CHOOSE(CONTROL!$C$21, $C$9, 100%, $E$9)</f>
        <v>38.988199999999999</v>
      </c>
      <c r="S615" s="14">
        <f>CHOOSE(CONTROL!$C$42, 36.8746, 36.8746) * CHOOSE(CONTROL!$C$21, $C$9, 100%, $E$9)</f>
        <v>36.874600000000001</v>
      </c>
      <c r="T61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56">
        <f>(1000*CHOOSE(CONTROL!$C$42, 695, 695)*CHOOSE(CONTROL!$C$42, 0.5599, 0.5599)*CHOOSE(CONTROL!$C$42, 31, 31))/1000000</f>
        <v>12.063045499999998</v>
      </c>
      <c r="V615" s="56">
        <f>(1000*CHOOSE(CONTROL!$C$42, 500, 500)*CHOOSE(CONTROL!$C$42, 0.275, 0.275)*CHOOSE(CONTROL!$C$42, 31, 31))/1000000</f>
        <v>4.2625000000000002</v>
      </c>
      <c r="W615" s="56">
        <f>(1000*CHOOSE(CONTROL!$C$42, 0.1146, 0.1146)*CHOOSE(CONTROL!$C$42, 121.5, 121.5)*CHOOSE(CONTROL!$C$42, 31, 31))/1000000</f>
        <v>0.43164089999999994</v>
      </c>
      <c r="X615" s="56">
        <f>(31*0.1790888*100000/1000000)+(31*0.2374*100000/1000000)</f>
        <v>1.2911152800000001</v>
      </c>
      <c r="Y615" s="56"/>
      <c r="Z615" s="14"/>
      <c r="AA615" s="55"/>
      <c r="AB615" s="49">
        <f>(B615*122.58+C615*297.941+D615*89.177+E615*40.302+F615*40+G615*160+H615*0+I615*100+J615*300)/(122.58+297.941+89.177+40.302+0+40+160+100+300)</f>
        <v>38.419660896347828</v>
      </c>
      <c r="AC615" s="44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37.681539568345329</v>
      </c>
    </row>
    <row r="616" spans="1:29" ht="15.75" x14ac:dyDescent="0.25">
      <c r="A616" s="31">
        <v>59656</v>
      </c>
      <c r="B616" s="14">
        <f>CHOOSE(CONTROL!$C$42, 38.2701, 38.2701) * CHOOSE(CONTROL!$C$21, $C$9, 100%, $E$9)</f>
        <v>38.270099999999999</v>
      </c>
      <c r="C616" s="14">
        <f>CHOOSE(CONTROL!$C$42, 38.2745, 38.2745) * CHOOSE(CONTROL!$C$21, $C$9, 100%, $E$9)</f>
        <v>38.274500000000003</v>
      </c>
      <c r="D616" s="14">
        <f>CHOOSE(CONTROL!$C$42, 38.5035, 38.5035) * CHOOSE(CONTROL!$C$21, $C$9, 100%, $E$9)</f>
        <v>38.503500000000003</v>
      </c>
      <c r="E616" s="14">
        <f>CHOOSE(CONTROL!$C$42, 38.5356, 38.5356) * CHOOSE(CONTROL!$C$21, $C$9, 100%, $E$9)</f>
        <v>38.535600000000002</v>
      </c>
      <c r="F616" s="14">
        <f>CHOOSE(CONTROL!$C$42, 38.2971, 38.2971)*CHOOSE(CONTROL!$C$21, $C$9, 100%, $E$9)</f>
        <v>38.2971</v>
      </c>
      <c r="G616" s="14">
        <f>CHOOSE(CONTROL!$C$42, 38.3138, 38.3138)*CHOOSE(CONTROL!$C$21, $C$9, 100%, $E$9)</f>
        <v>38.313800000000001</v>
      </c>
      <c r="H616" s="14">
        <f>CHOOSE(CONTROL!$C$42, 38.5254, 38.5254) * CHOOSE(CONTROL!$C$21, $C$9, 100%, $E$9)</f>
        <v>38.525399999999998</v>
      </c>
      <c r="I616" s="14">
        <f>CHOOSE(CONTROL!$C$42, 38.4229, 38.4229)* CHOOSE(CONTROL!$C$21, $C$9, 100%, $E$9)</f>
        <v>38.422899999999998</v>
      </c>
      <c r="J616" s="14">
        <f>CHOOSE(CONTROL!$C$42, 38.2901, 38.2901)* CHOOSE(CONTROL!$C$21, $C$9, 100%, $E$9)</f>
        <v>38.290100000000002</v>
      </c>
      <c r="K616" s="52">
        <f>CHOOSE(CONTROL!$C$42, 38.419, 38.419) * CHOOSE(CONTROL!$C$21, $C$9, 100%, $E$9)</f>
        <v>38.418999999999997</v>
      </c>
      <c r="L616" s="14">
        <f>CHOOSE(CONTROL!$C$42, 39.1124, 39.1124) * CHOOSE(CONTROL!$C$21, $C$9, 100%, $E$9)</f>
        <v>39.112400000000001</v>
      </c>
      <c r="M616" s="14">
        <f>CHOOSE(CONTROL!$C$42, 37.5132, 37.5132) * CHOOSE(CONTROL!$C$21, $C$9, 100%, $E$9)</f>
        <v>37.513199999999998</v>
      </c>
      <c r="N616" s="14">
        <f>CHOOSE(CONTROL!$C$42, 37.5296, 37.5296) * CHOOSE(CONTROL!$C$21, $C$9, 100%, $E$9)</f>
        <v>37.529600000000002</v>
      </c>
      <c r="O616" s="14">
        <f>CHOOSE(CONTROL!$C$42, 37.7437, 37.7437) * CHOOSE(CONTROL!$C$21, $C$9, 100%, $E$9)</f>
        <v>37.743699999999997</v>
      </c>
      <c r="P616" s="14">
        <f>CHOOSE(CONTROL!$C$42, 37.641, 37.641) * CHOOSE(CONTROL!$C$21, $C$9, 100%, $E$9)</f>
        <v>37.640999999999998</v>
      </c>
      <c r="Q616" s="14">
        <f>CHOOSE(CONTROL!$C$42, 38.3384, 38.3384) * CHOOSE(CONTROL!$C$21, $C$9, 100%, $E$9)</f>
        <v>38.3384</v>
      </c>
      <c r="R616" s="14">
        <f>CHOOSE(CONTROL!$C$42, 39.0212, 39.0212) * CHOOSE(CONTROL!$C$21, $C$9, 100%, $E$9)</f>
        <v>39.0212</v>
      </c>
      <c r="S616" s="14">
        <f>CHOOSE(CONTROL!$C$42, 36.7644, 36.7644) * CHOOSE(CONTROL!$C$21, $C$9, 100%, $E$9)</f>
        <v>36.764400000000002</v>
      </c>
      <c r="T61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56">
        <f>(1000*CHOOSE(CONTROL!$C$42, 695, 695)*CHOOSE(CONTROL!$C$42, 0.5599, 0.5599)*CHOOSE(CONTROL!$C$42, 30, 30))/1000000</f>
        <v>11.673914999999997</v>
      </c>
      <c r="V616" s="56">
        <f>(1000*CHOOSE(CONTROL!$C$42, 500, 500)*CHOOSE(CONTROL!$C$42, 0.275, 0.275)*CHOOSE(CONTROL!$C$42, 30, 30))/1000000</f>
        <v>4.125</v>
      </c>
      <c r="W616" s="56">
        <f>(1000*CHOOSE(CONTROL!$C$42, 0.1146, 0.1146)*CHOOSE(CONTROL!$C$42, 121.5, 121.5)*CHOOSE(CONTROL!$C$42, 30, 30))/1000000</f>
        <v>0.417717</v>
      </c>
      <c r="X616" s="56">
        <f>(30*0.1790888*245000/1000000)+(30*0.2374*100000/1000000)</f>
        <v>2.0285026799999999</v>
      </c>
      <c r="Y616" s="56"/>
      <c r="Z616" s="14"/>
      <c r="AA616" s="55"/>
      <c r="AB616" s="49">
        <f>(B616*141.293+C616*267.993+D616*115.016+E616*89.698+F616*40+G616*185+H616*0+I616*100+J616*300)/(141.293+267.993+115.016+89.698+0+40+185+100+300)</f>
        <v>38.336510994834548</v>
      </c>
      <c r="AC616" s="44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37.637003597122302</v>
      </c>
    </row>
    <row r="617" spans="1:29" ht="15.75" x14ac:dyDescent="0.25">
      <c r="A617" s="31">
        <v>59687</v>
      </c>
      <c r="B617" s="14">
        <f>CHOOSE(CONTROL!$C$42, 38.6091, 38.6091) * CHOOSE(CONTROL!$C$21, $C$9, 100%, $E$9)</f>
        <v>38.609099999999998</v>
      </c>
      <c r="C617" s="14">
        <f>CHOOSE(CONTROL!$C$42, 38.6172, 38.6172) * CHOOSE(CONTROL!$C$21, $C$9, 100%, $E$9)</f>
        <v>38.617199999999997</v>
      </c>
      <c r="D617" s="14">
        <f>CHOOSE(CONTROL!$C$42, 38.843, 38.843) * CHOOSE(CONTROL!$C$21, $C$9, 100%, $E$9)</f>
        <v>38.843000000000004</v>
      </c>
      <c r="E617" s="14">
        <f>CHOOSE(CONTROL!$C$42, 38.8744, 38.8744) * CHOOSE(CONTROL!$C$21, $C$9, 100%, $E$9)</f>
        <v>38.874400000000001</v>
      </c>
      <c r="F617" s="14">
        <f>CHOOSE(CONTROL!$C$42, 38.6348, 38.6348)*CHOOSE(CONTROL!$C$21, $C$9, 100%, $E$9)</f>
        <v>38.634799999999998</v>
      </c>
      <c r="G617" s="14">
        <f>CHOOSE(CONTROL!$C$42, 38.6518, 38.6518)*CHOOSE(CONTROL!$C$21, $C$9, 100%, $E$9)</f>
        <v>38.651800000000001</v>
      </c>
      <c r="H617" s="14">
        <f>CHOOSE(CONTROL!$C$42, 38.8631, 38.8631) * CHOOSE(CONTROL!$C$21, $C$9, 100%, $E$9)</f>
        <v>38.863100000000003</v>
      </c>
      <c r="I617" s="14">
        <f>CHOOSE(CONTROL!$C$42, 38.7616, 38.7616)* CHOOSE(CONTROL!$C$21, $C$9, 100%, $E$9)</f>
        <v>38.761600000000001</v>
      </c>
      <c r="J617" s="14">
        <f>CHOOSE(CONTROL!$C$42, 38.6278, 38.6278)* CHOOSE(CONTROL!$C$21, $C$9, 100%, $E$9)</f>
        <v>38.627800000000001</v>
      </c>
      <c r="K617" s="52">
        <f>CHOOSE(CONTROL!$C$42, 38.7577, 38.7577) * CHOOSE(CONTROL!$C$21, $C$9, 100%, $E$9)</f>
        <v>38.7577</v>
      </c>
      <c r="L617" s="14">
        <f>CHOOSE(CONTROL!$C$42, 39.4501, 39.4501) * CHOOSE(CONTROL!$C$21, $C$9, 100%, $E$9)</f>
        <v>39.450099999999999</v>
      </c>
      <c r="M617" s="14">
        <f>CHOOSE(CONTROL!$C$42, 37.844, 37.844) * CHOOSE(CONTROL!$C$21, $C$9, 100%, $E$9)</f>
        <v>37.844000000000001</v>
      </c>
      <c r="N617" s="14">
        <f>CHOOSE(CONTROL!$C$42, 37.8607, 37.8607) * CHOOSE(CONTROL!$C$21, $C$9, 100%, $E$9)</f>
        <v>37.860700000000001</v>
      </c>
      <c r="O617" s="14">
        <f>CHOOSE(CONTROL!$C$42, 38.0745, 38.0745) * CHOOSE(CONTROL!$C$21, $C$9, 100%, $E$9)</f>
        <v>38.0745</v>
      </c>
      <c r="P617" s="14">
        <f>CHOOSE(CONTROL!$C$42, 37.9727, 37.9727) * CHOOSE(CONTROL!$C$21, $C$9, 100%, $E$9)</f>
        <v>37.972700000000003</v>
      </c>
      <c r="Q617" s="14">
        <f>CHOOSE(CONTROL!$C$42, 38.6692, 38.6692) * CHOOSE(CONTROL!$C$21, $C$9, 100%, $E$9)</f>
        <v>38.669199999999996</v>
      </c>
      <c r="R617" s="14">
        <f>CHOOSE(CONTROL!$C$42, 39.3528, 39.3528) * CHOOSE(CONTROL!$C$21, $C$9, 100%, $E$9)</f>
        <v>39.352800000000002</v>
      </c>
      <c r="S617" s="14">
        <f>CHOOSE(CONTROL!$C$42, 37.0889, 37.0889) * CHOOSE(CONTROL!$C$21, $C$9, 100%, $E$9)</f>
        <v>37.088900000000002</v>
      </c>
      <c r="T61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56">
        <f>(1000*CHOOSE(CONTROL!$C$42, 695, 695)*CHOOSE(CONTROL!$C$42, 0.5599, 0.5599)*CHOOSE(CONTROL!$C$42, 31, 31))/1000000</f>
        <v>12.063045499999998</v>
      </c>
      <c r="V617" s="56">
        <f>(1000*CHOOSE(CONTROL!$C$42, 500, 500)*CHOOSE(CONTROL!$C$42, 0.275, 0.275)*CHOOSE(CONTROL!$C$42, 31, 31))/1000000</f>
        <v>4.2625000000000002</v>
      </c>
      <c r="W617" s="56">
        <f>(1000*CHOOSE(CONTROL!$C$42, 0.1146, 0.1146)*CHOOSE(CONTROL!$C$42, 121.5, 121.5)*CHOOSE(CONTROL!$C$42, 31, 31))/1000000</f>
        <v>0.43164089999999994</v>
      </c>
      <c r="X617" s="56">
        <f>(31*0.1790888*245000/1000000)+(31*0.2374*100000/1000000)</f>
        <v>2.0961194359999999</v>
      </c>
      <c r="Y617" s="56"/>
      <c r="Z617" s="14"/>
      <c r="AA617" s="55"/>
      <c r="AB617" s="49">
        <f>(B617*194.205+C617*267.466+D617*133.845+E617*53.484+F617*40+G617*185+H617*0+I617*100+J617*300)/(194.205+267.466+133.845+53.484+0+40+185+100+300)</f>
        <v>38.669892484536895</v>
      </c>
      <c r="AC617" s="44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37.967950359712233</v>
      </c>
    </row>
    <row r="618" spans="1:29" ht="15.75" x14ac:dyDescent="0.25">
      <c r="A618" s="31">
        <v>59717</v>
      </c>
      <c r="B618" s="14">
        <f>CHOOSE(CONTROL!$C$42, 39.704, 39.704) * CHOOSE(CONTROL!$C$21, $C$9, 100%, $E$9)</f>
        <v>39.704000000000001</v>
      </c>
      <c r="C618" s="14">
        <f>CHOOSE(CONTROL!$C$42, 39.712, 39.712) * CHOOSE(CONTROL!$C$21, $C$9, 100%, $E$9)</f>
        <v>39.712000000000003</v>
      </c>
      <c r="D618" s="14">
        <f>CHOOSE(CONTROL!$C$42, 39.9378, 39.9378) * CHOOSE(CONTROL!$C$21, $C$9, 100%, $E$9)</f>
        <v>39.937800000000003</v>
      </c>
      <c r="E618" s="14">
        <f>CHOOSE(CONTROL!$C$42, 39.9693, 39.9693) * CHOOSE(CONTROL!$C$21, $C$9, 100%, $E$9)</f>
        <v>39.969299999999997</v>
      </c>
      <c r="F618" s="14">
        <f>CHOOSE(CONTROL!$C$42, 39.7301, 39.7301)*CHOOSE(CONTROL!$C$21, $C$9, 100%, $E$9)</f>
        <v>39.7301</v>
      </c>
      <c r="G618" s="14">
        <f>CHOOSE(CONTROL!$C$42, 39.7472, 39.7472)*CHOOSE(CONTROL!$C$21, $C$9, 100%, $E$9)</f>
        <v>39.747199999999999</v>
      </c>
      <c r="H618" s="14">
        <f>CHOOSE(CONTROL!$C$42, 39.9579, 39.9579) * CHOOSE(CONTROL!$C$21, $C$9, 100%, $E$9)</f>
        <v>39.957900000000002</v>
      </c>
      <c r="I618" s="14">
        <f>CHOOSE(CONTROL!$C$42, 39.8599, 39.8599)* CHOOSE(CONTROL!$C$21, $C$9, 100%, $E$9)</f>
        <v>39.859900000000003</v>
      </c>
      <c r="J618" s="14">
        <f>CHOOSE(CONTROL!$C$42, 39.7231, 39.7231)* CHOOSE(CONTROL!$C$21, $C$9, 100%, $E$9)</f>
        <v>39.723100000000002</v>
      </c>
      <c r="K618" s="52">
        <f>CHOOSE(CONTROL!$C$42, 39.856, 39.856) * CHOOSE(CONTROL!$C$21, $C$9, 100%, $E$9)</f>
        <v>39.856000000000002</v>
      </c>
      <c r="L618" s="14">
        <f>CHOOSE(CONTROL!$C$42, 40.5449, 40.5449) * CHOOSE(CONTROL!$C$21, $C$9, 100%, $E$9)</f>
        <v>40.544899999999998</v>
      </c>
      <c r="M618" s="14">
        <f>CHOOSE(CONTROL!$C$42, 38.9169, 38.9169) * CHOOSE(CONTROL!$C$21, $C$9, 100%, $E$9)</f>
        <v>38.916899999999998</v>
      </c>
      <c r="N618" s="14">
        <f>CHOOSE(CONTROL!$C$42, 38.9336, 38.9336) * CHOOSE(CONTROL!$C$21, $C$9, 100%, $E$9)</f>
        <v>38.933599999999998</v>
      </c>
      <c r="O618" s="14">
        <f>CHOOSE(CONTROL!$C$42, 39.1469, 39.1469) * CHOOSE(CONTROL!$C$21, $C$9, 100%, $E$9)</f>
        <v>39.146900000000002</v>
      </c>
      <c r="P618" s="14">
        <f>CHOOSE(CONTROL!$C$42, 39.0485, 39.0485) * CHOOSE(CONTROL!$C$21, $C$9, 100%, $E$9)</f>
        <v>39.048499999999997</v>
      </c>
      <c r="Q618" s="14">
        <f>CHOOSE(CONTROL!$C$42, 39.7416, 39.7416) * CHOOSE(CONTROL!$C$21, $C$9, 100%, $E$9)</f>
        <v>39.741599999999998</v>
      </c>
      <c r="R618" s="14">
        <f>CHOOSE(CONTROL!$C$42, 40.428, 40.428) * CHOOSE(CONTROL!$C$21, $C$9, 100%, $E$9)</f>
        <v>40.427999999999997</v>
      </c>
      <c r="S618" s="14">
        <f>CHOOSE(CONTROL!$C$42, 38.1409, 38.1409) * CHOOSE(CONTROL!$C$21, $C$9, 100%, $E$9)</f>
        <v>38.140900000000002</v>
      </c>
      <c r="T61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56">
        <f>(1000*CHOOSE(CONTROL!$C$42, 695, 695)*CHOOSE(CONTROL!$C$42, 0.5599, 0.5599)*CHOOSE(CONTROL!$C$42, 30, 30))/1000000</f>
        <v>11.673914999999997</v>
      </c>
      <c r="V618" s="56">
        <f>(1000*CHOOSE(CONTROL!$C$42, 500, 500)*CHOOSE(CONTROL!$C$42, 0.275, 0.275)*CHOOSE(CONTROL!$C$42, 30, 30))/1000000</f>
        <v>4.125</v>
      </c>
      <c r="W618" s="56">
        <f>(1000*CHOOSE(CONTROL!$C$42, 0.1146, 0.1146)*CHOOSE(CONTROL!$C$42, 121.5, 121.5)*CHOOSE(CONTROL!$C$42, 30, 30))/1000000</f>
        <v>0.417717</v>
      </c>
      <c r="X618" s="56">
        <f>(30*0.1790888*245000/1000000)+(30*0.2374*100000/1000000)</f>
        <v>2.0285026799999999</v>
      </c>
      <c r="Y618" s="56"/>
      <c r="Z618" s="14"/>
      <c r="AA618" s="55"/>
      <c r="AB618" s="49">
        <f>(B618*194.205+C618*267.466+D618*133.845+E618*53.484+F618*40+G618*185+H618*0+I618*100+J618*300)/(194.205+267.466+133.845+53.484+0+40+185+100+300)</f>
        <v>39.765207216797492</v>
      </c>
      <c r="AC618" s="44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39.041041007194252</v>
      </c>
    </row>
    <row r="619" spans="1:29" ht="15.75" x14ac:dyDescent="0.25">
      <c r="A619" s="31">
        <v>59748</v>
      </c>
      <c r="B619" s="14">
        <f>CHOOSE(CONTROL!$C$42, 38.9425, 38.9425) * CHOOSE(CONTROL!$C$21, $C$9, 100%, $E$9)</f>
        <v>38.942500000000003</v>
      </c>
      <c r="C619" s="14">
        <f>CHOOSE(CONTROL!$C$42, 38.9506, 38.9506) * CHOOSE(CONTROL!$C$21, $C$9, 100%, $E$9)</f>
        <v>38.950600000000001</v>
      </c>
      <c r="D619" s="14">
        <f>CHOOSE(CONTROL!$C$42, 39.1763, 39.1763) * CHOOSE(CONTROL!$C$21, $C$9, 100%, $E$9)</f>
        <v>39.176299999999998</v>
      </c>
      <c r="E619" s="14">
        <f>CHOOSE(CONTROL!$C$42, 39.2078, 39.2078) * CHOOSE(CONTROL!$C$21, $C$9, 100%, $E$9)</f>
        <v>39.207799999999999</v>
      </c>
      <c r="F619" s="14">
        <f>CHOOSE(CONTROL!$C$42, 38.9691, 38.9691)*CHOOSE(CONTROL!$C$21, $C$9, 100%, $E$9)</f>
        <v>38.969099999999997</v>
      </c>
      <c r="G619" s="14">
        <f>CHOOSE(CONTROL!$C$42, 38.9863, 38.9863)*CHOOSE(CONTROL!$C$21, $C$9, 100%, $E$9)</f>
        <v>38.9863</v>
      </c>
      <c r="H619" s="14">
        <f>CHOOSE(CONTROL!$C$42, 39.1964, 39.1964) * CHOOSE(CONTROL!$C$21, $C$9, 100%, $E$9)</f>
        <v>39.196399999999997</v>
      </c>
      <c r="I619" s="14">
        <f>CHOOSE(CONTROL!$C$42, 39.096, 39.096)* CHOOSE(CONTROL!$C$21, $C$9, 100%, $E$9)</f>
        <v>39.095999999999997</v>
      </c>
      <c r="J619" s="14">
        <f>CHOOSE(CONTROL!$C$42, 38.9621, 38.9621)* CHOOSE(CONTROL!$C$21, $C$9, 100%, $E$9)</f>
        <v>38.9621</v>
      </c>
      <c r="K619" s="52">
        <f>CHOOSE(CONTROL!$C$42, 39.0921, 39.0921) * CHOOSE(CONTROL!$C$21, $C$9, 100%, $E$9)</f>
        <v>39.092100000000002</v>
      </c>
      <c r="L619" s="14">
        <f>CHOOSE(CONTROL!$C$42, 39.7834, 39.7834) * CHOOSE(CONTROL!$C$21, $C$9, 100%, $E$9)</f>
        <v>39.7834</v>
      </c>
      <c r="M619" s="14">
        <f>CHOOSE(CONTROL!$C$42, 38.1715, 38.1715) * CHOOSE(CONTROL!$C$21, $C$9, 100%, $E$9)</f>
        <v>38.171500000000002</v>
      </c>
      <c r="N619" s="14">
        <f>CHOOSE(CONTROL!$C$42, 38.1883, 38.1883) * CHOOSE(CONTROL!$C$21, $C$9, 100%, $E$9)</f>
        <v>38.188299999999998</v>
      </c>
      <c r="O619" s="14">
        <f>CHOOSE(CONTROL!$C$42, 38.401, 38.401) * CHOOSE(CONTROL!$C$21, $C$9, 100%, $E$9)</f>
        <v>38.401000000000003</v>
      </c>
      <c r="P619" s="14">
        <f>CHOOSE(CONTROL!$C$42, 38.3003, 38.3003) * CHOOSE(CONTROL!$C$21, $C$9, 100%, $E$9)</f>
        <v>38.3003</v>
      </c>
      <c r="Q619" s="14">
        <f>CHOOSE(CONTROL!$C$42, 38.9957, 38.9957) * CHOOSE(CONTROL!$C$21, $C$9, 100%, $E$9)</f>
        <v>38.995699999999999</v>
      </c>
      <c r="R619" s="14">
        <f>CHOOSE(CONTROL!$C$42, 39.6802, 39.6802) * CHOOSE(CONTROL!$C$21, $C$9, 100%, $E$9)</f>
        <v>39.680199999999999</v>
      </c>
      <c r="S619" s="14">
        <f>CHOOSE(CONTROL!$C$42, 37.4092, 37.4092) * CHOOSE(CONTROL!$C$21, $C$9, 100%, $E$9)</f>
        <v>37.409199999999998</v>
      </c>
      <c r="T61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56">
        <f>(1000*CHOOSE(CONTROL!$C$42, 695, 695)*CHOOSE(CONTROL!$C$42, 0.5599, 0.5599)*CHOOSE(CONTROL!$C$42, 31, 31))/1000000</f>
        <v>12.063045499999998</v>
      </c>
      <c r="V619" s="56">
        <f>(1000*CHOOSE(CONTROL!$C$42, 500, 500)*CHOOSE(CONTROL!$C$42, 0.275, 0.275)*CHOOSE(CONTROL!$C$42, 31, 31))/1000000</f>
        <v>4.2625000000000002</v>
      </c>
      <c r="W619" s="56">
        <f>(1000*CHOOSE(CONTROL!$C$42, 0.1146, 0.1146)*CHOOSE(CONTROL!$C$42, 121.5, 121.5)*CHOOSE(CONTROL!$C$42, 31, 31))/1000000</f>
        <v>0.43164089999999994</v>
      </c>
      <c r="X619" s="56">
        <f>(31*0.1790888*245000/1000000)+(31*0.2374*100000/1000000)</f>
        <v>2.0961194359999999</v>
      </c>
      <c r="Y619" s="56"/>
      <c r="Z619" s="14"/>
      <c r="AA619" s="55"/>
      <c r="AB619" s="49">
        <f>(B619*194.205+C619*267.466+D619*133.845+E619*53.484+F619*40+G619*185+H619*0+I619*100+J619*300)/(194.205+267.466+133.845+53.484+0+40+185+100+300)</f>
        <v>39.003760393092627</v>
      </c>
      <c r="AC619" s="44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38.295017266187045</v>
      </c>
    </row>
    <row r="620" spans="1:29" ht="15.75" x14ac:dyDescent="0.25">
      <c r="A620" s="31">
        <v>59779</v>
      </c>
      <c r="B620" s="14">
        <f>CHOOSE(CONTROL!$C$42, 37.0195, 37.0195) * CHOOSE(CONTROL!$C$21, $C$9, 100%, $E$9)</f>
        <v>37.019500000000001</v>
      </c>
      <c r="C620" s="14">
        <f>CHOOSE(CONTROL!$C$42, 37.0276, 37.0276) * CHOOSE(CONTROL!$C$21, $C$9, 100%, $E$9)</f>
        <v>37.0276</v>
      </c>
      <c r="D620" s="14">
        <f>CHOOSE(CONTROL!$C$42, 37.2533, 37.2533) * CHOOSE(CONTROL!$C$21, $C$9, 100%, $E$9)</f>
        <v>37.253300000000003</v>
      </c>
      <c r="E620" s="14">
        <f>CHOOSE(CONTROL!$C$42, 37.2848, 37.2848) * CHOOSE(CONTROL!$C$21, $C$9, 100%, $E$9)</f>
        <v>37.284799999999997</v>
      </c>
      <c r="F620" s="14">
        <f>CHOOSE(CONTROL!$C$42, 37.0463, 37.0463)*CHOOSE(CONTROL!$C$21, $C$9, 100%, $E$9)</f>
        <v>37.046300000000002</v>
      </c>
      <c r="G620" s="14">
        <f>CHOOSE(CONTROL!$C$42, 37.0636, 37.0636)*CHOOSE(CONTROL!$C$21, $C$9, 100%, $E$9)</f>
        <v>37.063600000000001</v>
      </c>
      <c r="H620" s="14">
        <f>CHOOSE(CONTROL!$C$42, 37.2734, 37.2734) * CHOOSE(CONTROL!$C$21, $C$9, 100%, $E$9)</f>
        <v>37.273400000000002</v>
      </c>
      <c r="I620" s="14">
        <f>CHOOSE(CONTROL!$C$42, 37.167, 37.167)* CHOOSE(CONTROL!$C$21, $C$9, 100%, $E$9)</f>
        <v>37.167000000000002</v>
      </c>
      <c r="J620" s="14">
        <f>CHOOSE(CONTROL!$C$42, 37.0393, 37.0393)* CHOOSE(CONTROL!$C$21, $C$9, 100%, $E$9)</f>
        <v>37.039299999999997</v>
      </c>
      <c r="K620" s="52">
        <f>CHOOSE(CONTROL!$C$42, 37.1631, 37.1631) * CHOOSE(CONTROL!$C$21, $C$9, 100%, $E$9)</f>
        <v>37.1631</v>
      </c>
      <c r="L620" s="14">
        <f>CHOOSE(CONTROL!$C$42, 37.8604, 37.8604) * CHOOSE(CONTROL!$C$21, $C$9, 100%, $E$9)</f>
        <v>37.860399999999998</v>
      </c>
      <c r="M620" s="14">
        <f>CHOOSE(CONTROL!$C$42, 36.2881, 36.2881) * CHOOSE(CONTROL!$C$21, $C$9, 100%, $E$9)</f>
        <v>36.2881</v>
      </c>
      <c r="N620" s="14">
        <f>CHOOSE(CONTROL!$C$42, 36.305, 36.305) * CHOOSE(CONTROL!$C$21, $C$9, 100%, $E$9)</f>
        <v>36.305</v>
      </c>
      <c r="O620" s="14">
        <f>CHOOSE(CONTROL!$C$42, 36.5174, 36.5174) * CHOOSE(CONTROL!$C$21, $C$9, 100%, $E$9)</f>
        <v>36.517400000000002</v>
      </c>
      <c r="P620" s="14">
        <f>CHOOSE(CONTROL!$C$42, 36.4109, 36.4109) * CHOOSE(CONTROL!$C$21, $C$9, 100%, $E$9)</f>
        <v>36.410899999999998</v>
      </c>
      <c r="Q620" s="14">
        <f>CHOOSE(CONTROL!$C$42, 37.1121, 37.1121) * CHOOSE(CONTROL!$C$21, $C$9, 100%, $E$9)</f>
        <v>37.112099999999998</v>
      </c>
      <c r="R620" s="14">
        <f>CHOOSE(CONTROL!$C$42, 37.7919, 37.7919) * CHOOSE(CONTROL!$C$21, $C$9, 100%, $E$9)</f>
        <v>37.791899999999998</v>
      </c>
      <c r="S620" s="14">
        <f>CHOOSE(CONTROL!$C$42, 35.5614, 35.5614) * CHOOSE(CONTROL!$C$21, $C$9, 100%, $E$9)</f>
        <v>35.561399999999999</v>
      </c>
      <c r="T62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56">
        <f>(1000*CHOOSE(CONTROL!$C$42, 695, 695)*CHOOSE(CONTROL!$C$42, 0.5599, 0.5599)*CHOOSE(CONTROL!$C$42, 31, 31))/1000000</f>
        <v>12.063045499999998</v>
      </c>
      <c r="V620" s="56">
        <f>(1000*CHOOSE(CONTROL!$C$42, 500, 500)*CHOOSE(CONTROL!$C$42, 0.275, 0.275)*CHOOSE(CONTROL!$C$42, 31, 31))/1000000</f>
        <v>4.2625000000000002</v>
      </c>
      <c r="W620" s="56">
        <f>(1000*CHOOSE(CONTROL!$C$42, 0.1146, 0.1146)*CHOOSE(CONTROL!$C$42, 121.5, 121.5)*CHOOSE(CONTROL!$C$42, 31, 31))/1000000</f>
        <v>0.43164089999999994</v>
      </c>
      <c r="X620" s="56">
        <f>(31*0.1790888*245000/1000000)+(31*0.2374*100000/1000000)</f>
        <v>2.0961194359999999</v>
      </c>
      <c r="Y620" s="56"/>
      <c r="Z620" s="14"/>
      <c r="AA620" s="55"/>
      <c r="AB620" s="49">
        <f>(B620*194.205+C620*267.466+D620*133.845+E620*53.484+F620*40+G620*185+H620*0+I620*100+J620*300)/(194.205+267.466+133.845+53.484+0+40+185+100+300)</f>
        <v>37.080386374254317</v>
      </c>
      <c r="AC620" s="44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36.410669064748205</v>
      </c>
    </row>
    <row r="621" spans="1:29" ht="15.75" x14ac:dyDescent="0.25">
      <c r="A621" s="31">
        <v>59809</v>
      </c>
      <c r="B621" s="14">
        <f>CHOOSE(CONTROL!$C$42, 34.6698, 34.6698) * CHOOSE(CONTROL!$C$21, $C$9, 100%, $E$9)</f>
        <v>34.669800000000002</v>
      </c>
      <c r="C621" s="14">
        <f>CHOOSE(CONTROL!$C$42, 34.6778, 34.6778) * CHOOSE(CONTROL!$C$21, $C$9, 100%, $E$9)</f>
        <v>34.677799999999998</v>
      </c>
      <c r="D621" s="14">
        <f>CHOOSE(CONTROL!$C$42, 34.9036, 34.9036) * CHOOSE(CONTROL!$C$21, $C$9, 100%, $E$9)</f>
        <v>34.903599999999997</v>
      </c>
      <c r="E621" s="14">
        <f>CHOOSE(CONTROL!$C$42, 34.9351, 34.9351) * CHOOSE(CONTROL!$C$21, $C$9, 100%, $E$9)</f>
        <v>34.935099999999998</v>
      </c>
      <c r="F621" s="14">
        <f>CHOOSE(CONTROL!$C$42, 34.6966, 34.6966)*CHOOSE(CONTROL!$C$21, $C$9, 100%, $E$9)</f>
        <v>34.696599999999997</v>
      </c>
      <c r="G621" s="14">
        <f>CHOOSE(CONTROL!$C$42, 34.7139, 34.7139)*CHOOSE(CONTROL!$C$21, $C$9, 100%, $E$9)</f>
        <v>34.713900000000002</v>
      </c>
      <c r="H621" s="14">
        <f>CHOOSE(CONTROL!$C$42, 34.9237, 34.9237) * CHOOSE(CONTROL!$C$21, $C$9, 100%, $E$9)</f>
        <v>34.923699999999997</v>
      </c>
      <c r="I621" s="14">
        <f>CHOOSE(CONTROL!$C$42, 34.8099, 34.8099)* CHOOSE(CONTROL!$C$21, $C$9, 100%, $E$9)</f>
        <v>34.809899999999999</v>
      </c>
      <c r="J621" s="14">
        <f>CHOOSE(CONTROL!$C$42, 34.6896, 34.6896)* CHOOSE(CONTROL!$C$21, $C$9, 100%, $E$9)</f>
        <v>34.689599999999999</v>
      </c>
      <c r="K621" s="52">
        <f>CHOOSE(CONTROL!$C$42, 34.806, 34.806) * CHOOSE(CONTROL!$C$21, $C$9, 100%, $E$9)</f>
        <v>34.805999999999997</v>
      </c>
      <c r="L621" s="14">
        <f>CHOOSE(CONTROL!$C$42, 35.5107, 35.5107) * CHOOSE(CONTROL!$C$21, $C$9, 100%, $E$9)</f>
        <v>35.5107</v>
      </c>
      <c r="M621" s="14">
        <f>CHOOSE(CONTROL!$C$42, 33.9865, 33.9865) * CHOOSE(CONTROL!$C$21, $C$9, 100%, $E$9)</f>
        <v>33.986499999999999</v>
      </c>
      <c r="N621" s="14">
        <f>CHOOSE(CONTROL!$C$42, 34.0034, 34.0034) * CHOOSE(CONTROL!$C$21, $C$9, 100%, $E$9)</f>
        <v>34.003399999999999</v>
      </c>
      <c r="O621" s="14">
        <f>CHOOSE(CONTROL!$C$42, 34.2158, 34.2158) * CHOOSE(CONTROL!$C$21, $C$9, 100%, $E$9)</f>
        <v>34.215800000000002</v>
      </c>
      <c r="P621" s="14">
        <f>CHOOSE(CONTROL!$C$42, 34.1022, 34.1022) * CHOOSE(CONTROL!$C$21, $C$9, 100%, $E$9)</f>
        <v>34.102200000000003</v>
      </c>
      <c r="Q621" s="14">
        <f>CHOOSE(CONTROL!$C$42, 34.8105, 34.8105) * CHOOSE(CONTROL!$C$21, $C$9, 100%, $E$9)</f>
        <v>34.810499999999998</v>
      </c>
      <c r="R621" s="14">
        <f>CHOOSE(CONTROL!$C$42, 35.4845, 35.4845) * CHOOSE(CONTROL!$C$21, $C$9, 100%, $E$9)</f>
        <v>35.484499999999997</v>
      </c>
      <c r="S621" s="14">
        <f>CHOOSE(CONTROL!$C$42, 33.3036, 33.3036) * CHOOSE(CONTROL!$C$21, $C$9, 100%, $E$9)</f>
        <v>33.303600000000003</v>
      </c>
      <c r="T62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56">
        <f>(1000*CHOOSE(CONTROL!$C$42, 695, 695)*CHOOSE(CONTROL!$C$42, 0.5599, 0.5599)*CHOOSE(CONTROL!$C$42, 30, 30))/1000000</f>
        <v>11.673914999999997</v>
      </c>
      <c r="V621" s="56">
        <f>(1000*CHOOSE(CONTROL!$C$42, 500, 500)*CHOOSE(CONTROL!$C$42, 0.275, 0.275)*CHOOSE(CONTROL!$C$42, 30, 30))/1000000</f>
        <v>4.125</v>
      </c>
      <c r="W621" s="56">
        <f>(1000*CHOOSE(CONTROL!$C$42, 0.1146, 0.1146)*CHOOSE(CONTROL!$C$42, 121.5, 121.5)*CHOOSE(CONTROL!$C$42, 30, 30))/1000000</f>
        <v>0.417717</v>
      </c>
      <c r="X621" s="56">
        <f>(30*0.1790888*245000/1000000)+(30*0.2374*100000/1000000)</f>
        <v>2.0285026799999999</v>
      </c>
      <c r="Y621" s="56"/>
      <c r="Z621" s="14"/>
      <c r="AA621" s="55"/>
      <c r="AB621" s="49">
        <f>(B621*194.205+C621*267.466+D621*133.845+E621*53.484+F621*40+G621*185+H621*0+I621*100+J621*300)/(194.205+267.466+133.845+53.484+0+40+185+100+300)</f>
        <v>34.730084532339085</v>
      </c>
      <c r="AC621" s="44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34.108047482014392</v>
      </c>
    </row>
    <row r="622" spans="1:29" ht="15.75" x14ac:dyDescent="0.25">
      <c r="A622" s="31">
        <v>59840</v>
      </c>
      <c r="B622" s="14">
        <f>CHOOSE(CONTROL!$C$42, 33.9643, 33.9643) * CHOOSE(CONTROL!$C$21, $C$9, 100%, $E$9)</f>
        <v>33.964300000000001</v>
      </c>
      <c r="C622" s="14">
        <f>CHOOSE(CONTROL!$C$42, 33.9696, 33.9696) * CHOOSE(CONTROL!$C$21, $C$9, 100%, $E$9)</f>
        <v>33.9696</v>
      </c>
      <c r="D622" s="14">
        <f>CHOOSE(CONTROL!$C$42, 34.2004, 34.2004) * CHOOSE(CONTROL!$C$21, $C$9, 100%, $E$9)</f>
        <v>34.200400000000002</v>
      </c>
      <c r="E622" s="14">
        <f>CHOOSE(CONTROL!$C$42, 34.2295, 34.2295) * CHOOSE(CONTROL!$C$21, $C$9, 100%, $E$9)</f>
        <v>34.229500000000002</v>
      </c>
      <c r="F622" s="14">
        <f>CHOOSE(CONTROL!$C$42, 33.9932, 33.9932)*CHOOSE(CONTROL!$C$21, $C$9, 100%, $E$9)</f>
        <v>33.993200000000002</v>
      </c>
      <c r="G622" s="14">
        <f>CHOOSE(CONTROL!$C$42, 34.0103, 34.0103)*CHOOSE(CONTROL!$C$21, $C$9, 100%, $E$9)</f>
        <v>34.010300000000001</v>
      </c>
      <c r="H622" s="14">
        <f>CHOOSE(CONTROL!$C$42, 34.22, 34.22) * CHOOSE(CONTROL!$C$21, $C$9, 100%, $E$9)</f>
        <v>34.22</v>
      </c>
      <c r="I622" s="14">
        <f>CHOOSE(CONTROL!$C$42, 34.104, 34.104)* CHOOSE(CONTROL!$C$21, $C$9, 100%, $E$9)</f>
        <v>34.103999999999999</v>
      </c>
      <c r="J622" s="14">
        <f>CHOOSE(CONTROL!$C$42, 33.9862, 33.9862)* CHOOSE(CONTROL!$C$21, $C$9, 100%, $E$9)</f>
        <v>33.986199999999997</v>
      </c>
      <c r="K622" s="52">
        <f>CHOOSE(CONTROL!$C$42, 34.1001, 34.1001) * CHOOSE(CONTROL!$C$21, $C$9, 100%, $E$9)</f>
        <v>34.100099999999998</v>
      </c>
      <c r="L622" s="14">
        <f>CHOOSE(CONTROL!$C$42, 34.807, 34.807) * CHOOSE(CONTROL!$C$21, $C$9, 100%, $E$9)</f>
        <v>34.807000000000002</v>
      </c>
      <c r="M622" s="14">
        <f>CHOOSE(CONTROL!$C$42, 33.2975, 33.2975) * CHOOSE(CONTROL!$C$21, $C$9, 100%, $E$9)</f>
        <v>33.297499999999999</v>
      </c>
      <c r="N622" s="14">
        <f>CHOOSE(CONTROL!$C$42, 33.3143, 33.3143) * CHOOSE(CONTROL!$C$21, $C$9, 100%, $E$9)</f>
        <v>33.314300000000003</v>
      </c>
      <c r="O622" s="14">
        <f>CHOOSE(CONTROL!$C$42, 33.5265, 33.5265) * CHOOSE(CONTROL!$C$21, $C$9, 100%, $E$9)</f>
        <v>33.526499999999999</v>
      </c>
      <c r="P622" s="14">
        <f>CHOOSE(CONTROL!$C$42, 33.4109, 33.4109) * CHOOSE(CONTROL!$C$21, $C$9, 100%, $E$9)</f>
        <v>33.410899999999998</v>
      </c>
      <c r="Q622" s="14">
        <f>CHOOSE(CONTROL!$C$42, 34.1212, 34.1212) * CHOOSE(CONTROL!$C$21, $C$9, 100%, $E$9)</f>
        <v>34.121200000000002</v>
      </c>
      <c r="R622" s="14">
        <f>CHOOSE(CONTROL!$C$42, 34.7935, 34.7935) * CHOOSE(CONTROL!$C$21, $C$9, 100%, $E$9)</f>
        <v>34.793500000000002</v>
      </c>
      <c r="S622" s="14">
        <f>CHOOSE(CONTROL!$C$42, 32.6274, 32.6274) * CHOOSE(CONTROL!$C$21, $C$9, 100%, $E$9)</f>
        <v>32.627400000000002</v>
      </c>
      <c r="T62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56">
        <f>(1000*CHOOSE(CONTROL!$C$42, 695, 695)*CHOOSE(CONTROL!$C$42, 0.5599, 0.5599)*CHOOSE(CONTROL!$C$42, 31, 31))/1000000</f>
        <v>12.063045499999998</v>
      </c>
      <c r="V622" s="56">
        <f>(1000*CHOOSE(CONTROL!$C$42, 500, 500)*CHOOSE(CONTROL!$C$42, 0.275, 0.275)*CHOOSE(CONTROL!$C$42, 31, 31))/1000000</f>
        <v>4.2625000000000002</v>
      </c>
      <c r="W622" s="56">
        <f>(1000*CHOOSE(CONTROL!$C$42, 0.1146, 0.1146)*CHOOSE(CONTROL!$C$42, 121.5, 121.5)*CHOOSE(CONTROL!$C$42, 31, 31))/1000000</f>
        <v>0.43164089999999994</v>
      </c>
      <c r="X622" s="56">
        <f>(31*0.1790888*245000/1000000)+(31*0.2374*100000/1000000)</f>
        <v>2.0961194359999999</v>
      </c>
      <c r="Y622" s="56"/>
      <c r="Z622" s="14"/>
      <c r="AA622" s="55"/>
      <c r="AB622" s="49">
        <f>(B622*131.881+C622*277.167+D622*79.08+E622*125.872+F622*40+G622*185+H622*0+I622*100+J622*300)/(131.881+277.167+79.08+125.872+0+40+185+100+300)</f>
        <v>34.031876293381764</v>
      </c>
      <c r="AC622" s="44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33.418574820143881</v>
      </c>
    </row>
    <row r="623" spans="1:29" ht="15.75" x14ac:dyDescent="0.25">
      <c r="A623" s="31">
        <v>59870</v>
      </c>
      <c r="B623" s="14">
        <f>CHOOSE(CONTROL!$C$42, 34.8584, 34.8584) * CHOOSE(CONTROL!$C$21, $C$9, 100%, $E$9)</f>
        <v>34.858400000000003</v>
      </c>
      <c r="C623" s="14">
        <f>CHOOSE(CONTROL!$C$42, 34.8635, 34.8635) * CHOOSE(CONTROL!$C$21, $C$9, 100%, $E$9)</f>
        <v>34.863500000000002</v>
      </c>
      <c r="D623" s="14">
        <f>CHOOSE(CONTROL!$C$42, 34.9325, 34.9325) * CHOOSE(CONTROL!$C$21, $C$9, 100%, $E$9)</f>
        <v>34.932499999999997</v>
      </c>
      <c r="E623" s="14">
        <f>CHOOSE(CONTROL!$C$42, 34.9666, 34.9666) * CHOOSE(CONTROL!$C$21, $C$9, 100%, $E$9)</f>
        <v>34.9666</v>
      </c>
      <c r="F623" s="14">
        <f>CHOOSE(CONTROL!$C$42, 34.894, 34.894)*CHOOSE(CONTROL!$C$21, $C$9, 100%, $E$9)</f>
        <v>34.893999999999998</v>
      </c>
      <c r="G623" s="14">
        <f>CHOOSE(CONTROL!$C$42, 34.9114, 34.9114)*CHOOSE(CONTROL!$C$21, $C$9, 100%, $E$9)</f>
        <v>34.9114</v>
      </c>
      <c r="H623" s="14">
        <f>CHOOSE(CONTROL!$C$42, 34.9558, 34.9558) * CHOOSE(CONTROL!$C$21, $C$9, 100%, $E$9)</f>
        <v>34.955800000000004</v>
      </c>
      <c r="I623" s="14">
        <f>CHOOSE(CONTROL!$C$42, 35.0039, 35.0039)* CHOOSE(CONTROL!$C$21, $C$9, 100%, $E$9)</f>
        <v>35.003900000000002</v>
      </c>
      <c r="J623" s="14">
        <f>CHOOSE(CONTROL!$C$42, 34.887, 34.887)* CHOOSE(CONTROL!$C$21, $C$9, 100%, $E$9)</f>
        <v>34.887</v>
      </c>
      <c r="K623" s="52">
        <f>CHOOSE(CONTROL!$C$42, 35, 35) * CHOOSE(CONTROL!$C$21, $C$9, 100%, $E$9)</f>
        <v>35</v>
      </c>
      <c r="L623" s="14">
        <f>CHOOSE(CONTROL!$C$42, 35.5428, 35.5428) * CHOOSE(CONTROL!$C$21, $C$9, 100%, $E$9)</f>
        <v>35.5428</v>
      </c>
      <c r="M623" s="14">
        <f>CHOOSE(CONTROL!$C$42, 34.1799, 34.1799) * CHOOSE(CONTROL!$C$21, $C$9, 100%, $E$9)</f>
        <v>34.179900000000004</v>
      </c>
      <c r="N623" s="14">
        <f>CHOOSE(CONTROL!$C$42, 34.1969, 34.1969) * CHOOSE(CONTROL!$C$21, $C$9, 100%, $E$9)</f>
        <v>34.196899999999999</v>
      </c>
      <c r="O623" s="14">
        <f>CHOOSE(CONTROL!$C$42, 34.2473, 34.2473) * CHOOSE(CONTROL!$C$21, $C$9, 100%, $E$9)</f>
        <v>34.247300000000003</v>
      </c>
      <c r="P623" s="14">
        <f>CHOOSE(CONTROL!$C$42, 34.2923, 34.2923) * CHOOSE(CONTROL!$C$21, $C$9, 100%, $E$9)</f>
        <v>34.292299999999997</v>
      </c>
      <c r="Q623" s="14">
        <f>CHOOSE(CONTROL!$C$42, 34.842, 34.842) * CHOOSE(CONTROL!$C$21, $C$9, 100%, $E$9)</f>
        <v>34.841999999999999</v>
      </c>
      <c r="R623" s="14">
        <f>CHOOSE(CONTROL!$C$42, 35.5161, 35.5161) * CHOOSE(CONTROL!$C$21, $C$9, 100%, $E$9)</f>
        <v>35.516100000000002</v>
      </c>
      <c r="S623" s="14">
        <f>CHOOSE(CONTROL!$C$42, 33.4869, 33.4869) * CHOOSE(CONTROL!$C$21, $C$9, 100%, $E$9)</f>
        <v>33.486899999999999</v>
      </c>
      <c r="T62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56">
        <f>(1000*CHOOSE(CONTROL!$C$42, 695, 695)*CHOOSE(CONTROL!$C$42, 0.5599, 0.5599)*CHOOSE(CONTROL!$C$42, 30, 30))/1000000</f>
        <v>11.673914999999997</v>
      </c>
      <c r="V623" s="56">
        <f>(1000*CHOOSE(CONTROL!$C$42, 500, 500)*CHOOSE(CONTROL!$C$42, 0.275, 0.275)*CHOOSE(CONTROL!$C$42, 30, 30))/1000000</f>
        <v>4.125</v>
      </c>
      <c r="W623" s="56">
        <f>(1000*CHOOSE(CONTROL!$C$42, 0.1146, 0.1146)*CHOOSE(CONTROL!$C$42, 121.5, 121.5)*CHOOSE(CONTROL!$C$42, 30, 30))/1000000</f>
        <v>0.417717</v>
      </c>
      <c r="X623" s="56">
        <f>(30*0.1790888*100000/1000000)+(30*0.2374*100000/1000000)</f>
        <v>1.2494664</v>
      </c>
      <c r="Y623" s="56"/>
      <c r="Z623" s="14"/>
      <c r="AA623" s="55"/>
      <c r="AB623" s="49">
        <f>(B623*122.58+C623*297.941+D623*89.177+E623*40.302+F623*40+G623*160+H623*0+I623*100+J623*300)/(122.58+297.941+89.177+40.302+0+40+160+100+300)</f>
        <v>34.897984514086957</v>
      </c>
      <c r="AC623" s="44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34.227599280575546</v>
      </c>
    </row>
    <row r="624" spans="1:29" ht="15.75" x14ac:dyDescent="0.25">
      <c r="A624" s="31">
        <v>59901</v>
      </c>
      <c r="B624" s="14">
        <f>CHOOSE(CONTROL!$C$42, 37.2344, 37.2344) * CHOOSE(CONTROL!$C$21, $C$9, 100%, $E$9)</f>
        <v>37.234400000000001</v>
      </c>
      <c r="C624" s="14">
        <f>CHOOSE(CONTROL!$C$42, 37.2395, 37.2395) * CHOOSE(CONTROL!$C$21, $C$9, 100%, $E$9)</f>
        <v>37.2395</v>
      </c>
      <c r="D624" s="14">
        <f>CHOOSE(CONTROL!$C$42, 37.3085, 37.3085) * CHOOSE(CONTROL!$C$21, $C$9, 100%, $E$9)</f>
        <v>37.308500000000002</v>
      </c>
      <c r="E624" s="14">
        <f>CHOOSE(CONTROL!$C$42, 37.3426, 37.3426) * CHOOSE(CONTROL!$C$21, $C$9, 100%, $E$9)</f>
        <v>37.342599999999997</v>
      </c>
      <c r="F624" s="14">
        <f>CHOOSE(CONTROL!$C$42, 37.2722, 37.2722)*CHOOSE(CONTROL!$C$21, $C$9, 100%, $E$9)</f>
        <v>37.272199999999998</v>
      </c>
      <c r="G624" s="14">
        <f>CHOOSE(CONTROL!$C$42, 37.2902, 37.2902)*CHOOSE(CONTROL!$C$21, $C$9, 100%, $E$9)</f>
        <v>37.290199999999999</v>
      </c>
      <c r="H624" s="14">
        <f>CHOOSE(CONTROL!$C$42, 37.3318, 37.3318) * CHOOSE(CONTROL!$C$21, $C$9, 100%, $E$9)</f>
        <v>37.331800000000001</v>
      </c>
      <c r="I624" s="14">
        <f>CHOOSE(CONTROL!$C$42, 37.3873, 37.3873)* CHOOSE(CONTROL!$C$21, $C$9, 100%, $E$9)</f>
        <v>37.387300000000003</v>
      </c>
      <c r="J624" s="14">
        <f>CHOOSE(CONTROL!$C$42, 37.2652, 37.2652)* CHOOSE(CONTROL!$C$21, $C$9, 100%, $E$9)</f>
        <v>37.2652</v>
      </c>
      <c r="K624" s="52">
        <f>CHOOSE(CONTROL!$C$42, 37.3835, 37.3835) * CHOOSE(CONTROL!$C$21, $C$9, 100%, $E$9)</f>
        <v>37.383499999999998</v>
      </c>
      <c r="L624" s="14">
        <f>CHOOSE(CONTROL!$C$42, 37.9188, 37.9188) * CHOOSE(CONTROL!$C$21, $C$9, 100%, $E$9)</f>
        <v>37.918799999999997</v>
      </c>
      <c r="M624" s="14">
        <f>CHOOSE(CONTROL!$C$42, 36.5094, 36.5094) * CHOOSE(CONTROL!$C$21, $C$9, 100%, $E$9)</f>
        <v>36.509399999999999</v>
      </c>
      <c r="N624" s="14">
        <f>CHOOSE(CONTROL!$C$42, 36.527, 36.527) * CHOOSE(CONTROL!$C$21, $C$9, 100%, $E$9)</f>
        <v>36.527000000000001</v>
      </c>
      <c r="O624" s="14">
        <f>CHOOSE(CONTROL!$C$42, 36.5746, 36.5746) * CHOOSE(CONTROL!$C$21, $C$9, 100%, $E$9)</f>
        <v>36.574599999999997</v>
      </c>
      <c r="P624" s="14">
        <f>CHOOSE(CONTROL!$C$42, 36.6267, 36.6267) * CHOOSE(CONTROL!$C$21, $C$9, 100%, $E$9)</f>
        <v>36.6267</v>
      </c>
      <c r="Q624" s="14">
        <f>CHOOSE(CONTROL!$C$42, 37.1693, 37.1693) * CHOOSE(CONTROL!$C$21, $C$9, 100%, $E$9)</f>
        <v>37.1693</v>
      </c>
      <c r="R624" s="14">
        <f>CHOOSE(CONTROL!$C$42, 37.8492, 37.8492) * CHOOSE(CONTROL!$C$21, $C$9, 100%, $E$9)</f>
        <v>37.849200000000003</v>
      </c>
      <c r="S624" s="14">
        <f>CHOOSE(CONTROL!$C$42, 35.77, 35.77) * CHOOSE(CONTROL!$C$21, $C$9, 100%, $E$9)</f>
        <v>35.770000000000003</v>
      </c>
      <c r="T62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56">
        <f>(1000*CHOOSE(CONTROL!$C$42, 695, 695)*CHOOSE(CONTROL!$C$42, 0.5599, 0.5599)*CHOOSE(CONTROL!$C$42, 31, 31))/1000000</f>
        <v>12.063045499999998</v>
      </c>
      <c r="V624" s="56">
        <f>(1000*CHOOSE(CONTROL!$C$42, 500, 500)*CHOOSE(CONTROL!$C$42, 0.275, 0.275)*CHOOSE(CONTROL!$C$42, 31, 31))/1000000</f>
        <v>4.2625000000000002</v>
      </c>
      <c r="W624" s="56">
        <f>(1000*CHOOSE(CONTROL!$C$42, 0.1146, 0.1146)*CHOOSE(CONTROL!$C$42, 121.5, 121.5)*CHOOSE(CONTROL!$C$42, 31, 31))/1000000</f>
        <v>0.43164089999999994</v>
      </c>
      <c r="X624" s="56">
        <f>(31*0.1790888*100000/1000000)+(31*0.2374*100000/1000000)</f>
        <v>1.2911152800000001</v>
      </c>
      <c r="Y624" s="56"/>
      <c r="Z624" s="14"/>
      <c r="AA624" s="55"/>
      <c r="AB624" s="49">
        <f>(B624*122.58+C624*297.941+D624*89.177+E624*40.302+F624*40+G624*160+H624*0+I624*100+J624*300)/(122.58+297.941+89.177+40.302+0+40+160+100+300)</f>
        <v>37.27566799234782</v>
      </c>
      <c r="AC624" s="44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36.5568417266187</v>
      </c>
    </row>
    <row r="625" spans="1:29" ht="15.75" x14ac:dyDescent="0.25">
      <c r="A625" s="31">
        <v>59932</v>
      </c>
      <c r="B625" s="14">
        <f>CHOOSE(CONTROL!$C$42, 40.3204, 40.3204) * CHOOSE(CONTROL!$C$21, $C$9, 100%, $E$9)</f>
        <v>40.320399999999999</v>
      </c>
      <c r="C625" s="14">
        <f>CHOOSE(CONTROL!$C$42, 40.3254, 40.3254) * CHOOSE(CONTROL!$C$21, $C$9, 100%, $E$9)</f>
        <v>40.325400000000002</v>
      </c>
      <c r="D625" s="14">
        <f>CHOOSE(CONTROL!$C$42, 40.4048, 40.4048) * CHOOSE(CONTROL!$C$21, $C$9, 100%, $E$9)</f>
        <v>40.404800000000002</v>
      </c>
      <c r="E625" s="14">
        <f>CHOOSE(CONTROL!$C$42, 40.439, 40.439) * CHOOSE(CONTROL!$C$21, $C$9, 100%, $E$9)</f>
        <v>40.439</v>
      </c>
      <c r="F625" s="14">
        <f>CHOOSE(CONTROL!$C$42, 40.3434, 40.3434)*CHOOSE(CONTROL!$C$21, $C$9, 100%, $E$9)</f>
        <v>40.343400000000003</v>
      </c>
      <c r="G625" s="14">
        <f>CHOOSE(CONTROL!$C$42, 40.3609, 40.3609)*CHOOSE(CONTROL!$C$21, $C$9, 100%, $E$9)</f>
        <v>40.360900000000001</v>
      </c>
      <c r="H625" s="14">
        <f>CHOOSE(CONTROL!$C$42, 40.4281, 40.4281) * CHOOSE(CONTROL!$C$21, $C$9, 100%, $E$9)</f>
        <v>40.428100000000001</v>
      </c>
      <c r="I625" s="14">
        <f>CHOOSE(CONTROL!$C$42, 40.4819, 40.4819)* CHOOSE(CONTROL!$C$21, $C$9, 100%, $E$9)</f>
        <v>40.481900000000003</v>
      </c>
      <c r="J625" s="14">
        <f>CHOOSE(CONTROL!$C$42, 40.3364, 40.3364)* CHOOSE(CONTROL!$C$21, $C$9, 100%, $E$9)</f>
        <v>40.336399999999998</v>
      </c>
      <c r="K625" s="52">
        <f>CHOOSE(CONTROL!$C$42, 40.478, 40.478) * CHOOSE(CONTROL!$C$21, $C$9, 100%, $E$9)</f>
        <v>40.478000000000002</v>
      </c>
      <c r="L625" s="14">
        <f>CHOOSE(CONTROL!$C$42, 41.0151, 41.0151) * CHOOSE(CONTROL!$C$21, $C$9, 100%, $E$9)</f>
        <v>41.015099999999997</v>
      </c>
      <c r="M625" s="14">
        <f>CHOOSE(CONTROL!$C$42, 39.5176, 39.5176) * CHOOSE(CONTROL!$C$21, $C$9, 100%, $E$9)</f>
        <v>39.517600000000002</v>
      </c>
      <c r="N625" s="14">
        <f>CHOOSE(CONTROL!$C$42, 39.5348, 39.5348) * CHOOSE(CONTROL!$C$21, $C$9, 100%, $E$9)</f>
        <v>39.534799999999997</v>
      </c>
      <c r="O625" s="14">
        <f>CHOOSE(CONTROL!$C$42, 39.6075, 39.6075) * CHOOSE(CONTROL!$C$21, $C$9, 100%, $E$9)</f>
        <v>39.607500000000002</v>
      </c>
      <c r="P625" s="14">
        <f>CHOOSE(CONTROL!$C$42, 39.6577, 39.6577) * CHOOSE(CONTROL!$C$21, $C$9, 100%, $E$9)</f>
        <v>39.657699999999998</v>
      </c>
      <c r="Q625" s="14">
        <f>CHOOSE(CONTROL!$C$42, 40.2022, 40.2022) * CHOOSE(CONTROL!$C$21, $C$9, 100%, $E$9)</f>
        <v>40.202199999999998</v>
      </c>
      <c r="R625" s="14">
        <f>CHOOSE(CONTROL!$C$42, 40.8897, 40.8897) * CHOOSE(CONTROL!$C$21, $C$9, 100%, $E$9)</f>
        <v>40.889699999999998</v>
      </c>
      <c r="S625" s="14">
        <f>CHOOSE(CONTROL!$C$42, 38.7353, 38.7353) * CHOOSE(CONTROL!$C$21, $C$9, 100%, $E$9)</f>
        <v>38.735300000000002</v>
      </c>
      <c r="T62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56">
        <f>(1000*CHOOSE(CONTROL!$C$42, 695, 695)*CHOOSE(CONTROL!$C$42, 0.5599, 0.5599)*CHOOSE(CONTROL!$C$42, 31, 31))/1000000</f>
        <v>12.063045499999998</v>
      </c>
      <c r="V625" s="56">
        <f>(1000*CHOOSE(CONTROL!$C$42, 500, 500)*CHOOSE(CONTROL!$C$42, 0.275, 0.275)*CHOOSE(CONTROL!$C$42, 31, 31))/1000000</f>
        <v>4.2625000000000002</v>
      </c>
      <c r="W625" s="56">
        <f>(1000*CHOOSE(CONTROL!$C$42, 0.1146, 0.1146)*CHOOSE(CONTROL!$C$42, 121.5, 121.5)*CHOOSE(CONTROL!$C$42, 31, 31))/1000000</f>
        <v>0.43164089999999994</v>
      </c>
      <c r="X625" s="56">
        <f>(31*0.1790888*100000/1000000)+(31*0.2374*100000/1000000)</f>
        <v>1.2911152800000001</v>
      </c>
      <c r="Y625" s="56"/>
      <c r="Z625" s="14"/>
      <c r="AA625" s="55"/>
      <c r="AB625" s="49">
        <f>(B625*122.58+C625*297.941+D625*89.177+E625*40.302+F625*40+G625*160+H625*0+I625*100+J625*300)/(122.58+297.941+89.177+40.302+0+40+160+100+300)</f>
        <v>40.357048748695654</v>
      </c>
      <c r="AC625" s="44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39.579494244604319</v>
      </c>
    </row>
    <row r="626" spans="1:29" ht="15.75" x14ac:dyDescent="0.25">
      <c r="A626" s="31">
        <v>59961</v>
      </c>
      <c r="B626" s="14">
        <f>CHOOSE(CONTROL!$C$42, 41.038, 41.038) * CHOOSE(CONTROL!$C$21, $C$9, 100%, $E$9)</f>
        <v>41.037999999999997</v>
      </c>
      <c r="C626" s="14">
        <f>CHOOSE(CONTROL!$C$42, 41.043, 41.043) * CHOOSE(CONTROL!$C$21, $C$9, 100%, $E$9)</f>
        <v>41.042999999999999</v>
      </c>
      <c r="D626" s="14">
        <f>CHOOSE(CONTROL!$C$42, 41.1224, 41.1224) * CHOOSE(CONTROL!$C$21, $C$9, 100%, $E$9)</f>
        <v>41.122399999999999</v>
      </c>
      <c r="E626" s="14">
        <f>CHOOSE(CONTROL!$C$42, 41.1565, 41.1565) * CHOOSE(CONTROL!$C$21, $C$9, 100%, $E$9)</f>
        <v>41.156500000000001</v>
      </c>
      <c r="F626" s="14">
        <f>CHOOSE(CONTROL!$C$42, 41.0607, 41.0607)*CHOOSE(CONTROL!$C$21, $C$9, 100%, $E$9)</f>
        <v>41.060699999999997</v>
      </c>
      <c r="G626" s="14">
        <f>CHOOSE(CONTROL!$C$42, 41.0782, 41.0782)*CHOOSE(CONTROL!$C$21, $C$9, 100%, $E$9)</f>
        <v>41.078200000000002</v>
      </c>
      <c r="H626" s="14">
        <f>CHOOSE(CONTROL!$C$42, 41.1457, 41.1457) * CHOOSE(CONTROL!$C$21, $C$9, 100%, $E$9)</f>
        <v>41.145699999999998</v>
      </c>
      <c r="I626" s="14">
        <f>CHOOSE(CONTROL!$C$42, 41.2018, 41.2018)* CHOOSE(CONTROL!$C$21, $C$9, 100%, $E$9)</f>
        <v>41.201799999999999</v>
      </c>
      <c r="J626" s="14">
        <f>CHOOSE(CONTROL!$C$42, 41.0537, 41.0537)* CHOOSE(CONTROL!$C$21, $C$9, 100%, $E$9)</f>
        <v>41.053699999999999</v>
      </c>
      <c r="K626" s="52">
        <f>CHOOSE(CONTROL!$C$42, 41.1979, 41.1979) * CHOOSE(CONTROL!$C$21, $C$9, 100%, $E$9)</f>
        <v>41.197899999999997</v>
      </c>
      <c r="L626" s="14">
        <f>CHOOSE(CONTROL!$C$42, 41.7327, 41.7327) * CHOOSE(CONTROL!$C$21, $C$9, 100%, $E$9)</f>
        <v>41.732700000000001</v>
      </c>
      <c r="M626" s="14">
        <f>CHOOSE(CONTROL!$C$42, 40.2203, 40.2203) * CHOOSE(CONTROL!$C$21, $C$9, 100%, $E$9)</f>
        <v>40.220300000000002</v>
      </c>
      <c r="N626" s="14">
        <f>CHOOSE(CONTROL!$C$42, 40.2374, 40.2374) * CHOOSE(CONTROL!$C$21, $C$9, 100%, $E$9)</f>
        <v>40.237400000000001</v>
      </c>
      <c r="O626" s="14">
        <f>CHOOSE(CONTROL!$C$42, 40.3104, 40.3104) * CHOOSE(CONTROL!$C$21, $C$9, 100%, $E$9)</f>
        <v>40.310400000000001</v>
      </c>
      <c r="P626" s="14">
        <f>CHOOSE(CONTROL!$C$42, 40.3628, 40.3628) * CHOOSE(CONTROL!$C$21, $C$9, 100%, $E$9)</f>
        <v>40.3628</v>
      </c>
      <c r="Q626" s="14">
        <f>CHOOSE(CONTROL!$C$42, 40.9051, 40.9051) * CHOOSE(CONTROL!$C$21, $C$9, 100%, $E$9)</f>
        <v>40.905099999999997</v>
      </c>
      <c r="R626" s="14">
        <f>CHOOSE(CONTROL!$C$42, 41.5943, 41.5943) * CHOOSE(CONTROL!$C$21, $C$9, 100%, $E$9)</f>
        <v>41.594299999999997</v>
      </c>
      <c r="S626" s="14">
        <f>CHOOSE(CONTROL!$C$42, 39.4248, 39.4248) * CHOOSE(CONTROL!$C$21, $C$9, 100%, $E$9)</f>
        <v>39.424799999999998</v>
      </c>
      <c r="T626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26" s="56">
        <f>(1000*CHOOSE(CONTROL!$C$42, 695, 695)*CHOOSE(CONTROL!$C$42, 0.5599, 0.5599)*CHOOSE(CONTROL!$C$42, 29, 29))/1000000</f>
        <v>11.284784499999999</v>
      </c>
      <c r="V626" s="56">
        <f>(1000*CHOOSE(CONTROL!$C$42, 500, 500)*CHOOSE(CONTROL!$C$42, 0.275, 0.275)*CHOOSE(CONTROL!$C$42, 29, 29))/1000000</f>
        <v>3.9874999999999998</v>
      </c>
      <c r="W626" s="56">
        <f>(1000*CHOOSE(CONTROL!$C$42, 0.1146, 0.1146)*CHOOSE(CONTROL!$C$42, 121.5, 121.5)*CHOOSE(CONTROL!$C$42, 29, 29))/1000000</f>
        <v>0.40379309999999996</v>
      </c>
      <c r="X626" s="56">
        <f>(29*0.1790888*100000/1000000)+(29*0.2374*100000/1000000)</f>
        <v>1.2078175199999999</v>
      </c>
      <c r="Y626" s="56"/>
      <c r="Z626" s="14"/>
      <c r="AA626" s="55"/>
      <c r="AB626" s="49">
        <f>(B626*122.58+C626*297.941+D626*89.177+E626*40.302+F626*40+G626*160+H626*0+I626*100+J626*300)/(122.58+297.941+89.177+40.302+0+40+160+100+300)</f>
        <v>41.074714809391303</v>
      </c>
      <c r="AC626" s="44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40.282624460431656</v>
      </c>
    </row>
    <row r="627" spans="1:29" ht="15.75" x14ac:dyDescent="0.25">
      <c r="A627" s="31">
        <v>59992</v>
      </c>
      <c r="B627" s="14">
        <f>CHOOSE(CONTROL!$C$42, 39.8731, 39.8731) * CHOOSE(CONTROL!$C$21, $C$9, 100%, $E$9)</f>
        <v>39.873100000000001</v>
      </c>
      <c r="C627" s="14">
        <f>CHOOSE(CONTROL!$C$42, 39.8782, 39.8782) * CHOOSE(CONTROL!$C$21, $C$9, 100%, $E$9)</f>
        <v>39.8782</v>
      </c>
      <c r="D627" s="14">
        <f>CHOOSE(CONTROL!$C$42, 39.9576, 39.9576) * CHOOSE(CONTROL!$C$21, $C$9, 100%, $E$9)</f>
        <v>39.957599999999999</v>
      </c>
      <c r="E627" s="14">
        <f>CHOOSE(CONTROL!$C$42, 39.9917, 39.9917) * CHOOSE(CONTROL!$C$21, $C$9, 100%, $E$9)</f>
        <v>39.991700000000002</v>
      </c>
      <c r="F627" s="14">
        <f>CHOOSE(CONTROL!$C$42, 39.8952, 39.8952)*CHOOSE(CONTROL!$C$21, $C$9, 100%, $E$9)</f>
        <v>39.895200000000003</v>
      </c>
      <c r="G627" s="14">
        <f>CHOOSE(CONTROL!$C$42, 39.9124, 39.9124)*CHOOSE(CONTROL!$C$21, $C$9, 100%, $E$9)</f>
        <v>39.912399999999998</v>
      </c>
      <c r="H627" s="14">
        <f>CHOOSE(CONTROL!$C$42, 39.9809, 39.9809) * CHOOSE(CONTROL!$C$21, $C$9, 100%, $E$9)</f>
        <v>39.980899999999998</v>
      </c>
      <c r="I627" s="14">
        <f>CHOOSE(CONTROL!$C$42, 40.0333, 40.0333)* CHOOSE(CONTROL!$C$21, $C$9, 100%, $E$9)</f>
        <v>40.033299999999997</v>
      </c>
      <c r="J627" s="14">
        <f>CHOOSE(CONTROL!$C$42, 39.8882, 39.8882)* CHOOSE(CONTROL!$C$21, $C$9, 100%, $E$9)</f>
        <v>39.888199999999998</v>
      </c>
      <c r="K627" s="52">
        <f>CHOOSE(CONTROL!$C$42, 40.0294, 40.0294) * CHOOSE(CONTROL!$C$21, $C$9, 100%, $E$9)</f>
        <v>40.029400000000003</v>
      </c>
      <c r="L627" s="14">
        <f>CHOOSE(CONTROL!$C$42, 40.5679, 40.5679) * CHOOSE(CONTROL!$C$21, $C$9, 100%, $E$9)</f>
        <v>40.567900000000002</v>
      </c>
      <c r="M627" s="14">
        <f>CHOOSE(CONTROL!$C$42, 39.0786, 39.0786) * CHOOSE(CONTROL!$C$21, $C$9, 100%, $E$9)</f>
        <v>39.078600000000002</v>
      </c>
      <c r="N627" s="14">
        <f>CHOOSE(CONTROL!$C$42, 39.0955, 39.0955) * CHOOSE(CONTROL!$C$21, $C$9, 100%, $E$9)</f>
        <v>39.095500000000001</v>
      </c>
      <c r="O627" s="14">
        <f>CHOOSE(CONTROL!$C$42, 39.1694, 39.1694) * CHOOSE(CONTROL!$C$21, $C$9, 100%, $E$9)</f>
        <v>39.169400000000003</v>
      </c>
      <c r="P627" s="14">
        <f>CHOOSE(CONTROL!$C$42, 39.2183, 39.2183) * CHOOSE(CONTROL!$C$21, $C$9, 100%, $E$9)</f>
        <v>39.218299999999999</v>
      </c>
      <c r="Q627" s="14">
        <f>CHOOSE(CONTROL!$C$42, 39.7641, 39.7641) * CHOOSE(CONTROL!$C$21, $C$9, 100%, $E$9)</f>
        <v>39.764099999999999</v>
      </c>
      <c r="R627" s="14">
        <f>CHOOSE(CONTROL!$C$42, 40.4505, 40.4505) * CHOOSE(CONTROL!$C$21, $C$9, 100%, $E$9)</f>
        <v>40.450499999999998</v>
      </c>
      <c r="S627" s="14">
        <f>CHOOSE(CONTROL!$C$42, 38.3055, 38.3055) * CHOOSE(CONTROL!$C$21, $C$9, 100%, $E$9)</f>
        <v>38.305500000000002</v>
      </c>
      <c r="T62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56">
        <f>(1000*CHOOSE(CONTROL!$C$42, 695, 695)*CHOOSE(CONTROL!$C$42, 0.5599, 0.5599)*CHOOSE(CONTROL!$C$42, 31, 31))/1000000</f>
        <v>12.063045499999998</v>
      </c>
      <c r="V627" s="56">
        <f>(1000*CHOOSE(CONTROL!$C$42, 500, 500)*CHOOSE(CONTROL!$C$42, 0.275, 0.275)*CHOOSE(CONTROL!$C$42, 31, 31))/1000000</f>
        <v>4.2625000000000002</v>
      </c>
      <c r="W627" s="56">
        <f>(1000*CHOOSE(CONTROL!$C$42, 0.1146, 0.1146)*CHOOSE(CONTROL!$C$42, 121.5, 121.5)*CHOOSE(CONTROL!$C$42, 31, 31))/1000000</f>
        <v>0.43164089999999994</v>
      </c>
      <c r="X627" s="56">
        <f>(31*0.1790888*100000/1000000)+(31*0.2374*100000/1000000)</f>
        <v>1.2911152800000001</v>
      </c>
      <c r="Y627" s="56"/>
      <c r="Z627" s="14"/>
      <c r="AA627" s="55"/>
      <c r="AB627" s="49">
        <f>(B627*122.58+C627*297.941+D627*89.177+E627*40.302+F627*40+G627*160+H627*0+I627*100+J627*300)/(122.58+297.941+89.177+40.302+0+40+160+100+300)</f>
        <v>39.909236324173918</v>
      </c>
      <c r="AC627" s="44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39.140827338129498</v>
      </c>
    </row>
    <row r="628" spans="1:29" ht="15.75" x14ac:dyDescent="0.25">
      <c r="A628" s="31">
        <v>60022</v>
      </c>
      <c r="B628" s="14">
        <f>CHOOSE(CONTROL!$C$42, 39.7548, 39.7548) * CHOOSE(CONTROL!$C$21, $C$9, 100%, $E$9)</f>
        <v>39.754800000000003</v>
      </c>
      <c r="C628" s="14">
        <f>CHOOSE(CONTROL!$C$42, 39.7593, 39.7593) * CHOOSE(CONTROL!$C$21, $C$9, 100%, $E$9)</f>
        <v>39.759300000000003</v>
      </c>
      <c r="D628" s="14">
        <f>CHOOSE(CONTROL!$C$42, 39.9882, 39.9882) * CHOOSE(CONTROL!$C$21, $C$9, 100%, $E$9)</f>
        <v>39.988199999999999</v>
      </c>
      <c r="E628" s="14">
        <f>CHOOSE(CONTROL!$C$42, 40.0203, 40.0203) * CHOOSE(CONTROL!$C$21, $C$9, 100%, $E$9)</f>
        <v>40.020299999999999</v>
      </c>
      <c r="F628" s="14">
        <f>CHOOSE(CONTROL!$C$42, 39.7818, 39.7818)*CHOOSE(CONTROL!$C$21, $C$9, 100%, $E$9)</f>
        <v>39.781799999999997</v>
      </c>
      <c r="G628" s="14">
        <f>CHOOSE(CONTROL!$C$42, 39.7985, 39.7985)*CHOOSE(CONTROL!$C$21, $C$9, 100%, $E$9)</f>
        <v>39.798499999999997</v>
      </c>
      <c r="H628" s="14">
        <f>CHOOSE(CONTROL!$C$42, 40.0101, 40.0101) * CHOOSE(CONTROL!$C$21, $C$9, 100%, $E$9)</f>
        <v>40.010100000000001</v>
      </c>
      <c r="I628" s="14">
        <f>CHOOSE(CONTROL!$C$42, 39.9122, 39.9122)* CHOOSE(CONTROL!$C$21, $C$9, 100%, $E$9)</f>
        <v>39.912199999999999</v>
      </c>
      <c r="J628" s="14">
        <f>CHOOSE(CONTROL!$C$42, 39.7748, 39.7748)* CHOOSE(CONTROL!$C$21, $C$9, 100%, $E$9)</f>
        <v>39.774799999999999</v>
      </c>
      <c r="K628" s="52">
        <f>CHOOSE(CONTROL!$C$42, 39.9083, 39.9083) * CHOOSE(CONTROL!$C$21, $C$9, 100%, $E$9)</f>
        <v>39.908299999999997</v>
      </c>
      <c r="L628" s="14">
        <f>CHOOSE(CONTROL!$C$42, 40.5971, 40.5971) * CHOOSE(CONTROL!$C$21, $C$9, 100%, $E$9)</f>
        <v>40.597099999999998</v>
      </c>
      <c r="M628" s="14">
        <f>CHOOSE(CONTROL!$C$42, 38.9675, 38.9675) * CHOOSE(CONTROL!$C$21, $C$9, 100%, $E$9)</f>
        <v>38.967500000000001</v>
      </c>
      <c r="N628" s="14">
        <f>CHOOSE(CONTROL!$C$42, 38.9839, 38.9839) * CHOOSE(CONTROL!$C$21, $C$9, 100%, $E$9)</f>
        <v>38.983899999999998</v>
      </c>
      <c r="O628" s="14">
        <f>CHOOSE(CONTROL!$C$42, 39.198, 39.198) * CHOOSE(CONTROL!$C$21, $C$9, 100%, $E$9)</f>
        <v>39.198</v>
      </c>
      <c r="P628" s="14">
        <f>CHOOSE(CONTROL!$C$42, 39.0997, 39.0997) * CHOOSE(CONTROL!$C$21, $C$9, 100%, $E$9)</f>
        <v>39.099699999999999</v>
      </c>
      <c r="Q628" s="14">
        <f>CHOOSE(CONTROL!$C$42, 39.7927, 39.7927) * CHOOSE(CONTROL!$C$21, $C$9, 100%, $E$9)</f>
        <v>39.792700000000004</v>
      </c>
      <c r="R628" s="14">
        <f>CHOOSE(CONTROL!$C$42, 40.4792, 40.4792) * CHOOSE(CONTROL!$C$21, $C$9, 100%, $E$9)</f>
        <v>40.479199999999999</v>
      </c>
      <c r="S628" s="14">
        <f>CHOOSE(CONTROL!$C$42, 38.1911, 38.1911) * CHOOSE(CONTROL!$C$21, $C$9, 100%, $E$9)</f>
        <v>38.191099999999999</v>
      </c>
      <c r="T62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56">
        <f>(1000*CHOOSE(CONTROL!$C$42, 695, 695)*CHOOSE(CONTROL!$C$42, 0.5599, 0.5599)*CHOOSE(CONTROL!$C$42, 30, 30))/1000000</f>
        <v>11.673914999999997</v>
      </c>
      <c r="V628" s="56">
        <f>(1000*CHOOSE(CONTROL!$C$42, 500, 500)*CHOOSE(CONTROL!$C$42, 0.275, 0.275)*CHOOSE(CONTROL!$C$42, 30, 30))/1000000</f>
        <v>4.125</v>
      </c>
      <c r="W628" s="56">
        <f>(1000*CHOOSE(CONTROL!$C$42, 0.1146, 0.1146)*CHOOSE(CONTROL!$C$42, 121.5, 121.5)*CHOOSE(CONTROL!$C$42, 30, 30))/1000000</f>
        <v>0.417717</v>
      </c>
      <c r="X628" s="56">
        <f>(30*0.1790888*245000/1000000)+(30*0.2374*100000/1000000)</f>
        <v>2.0285026799999999</v>
      </c>
      <c r="Y628" s="56"/>
      <c r="Z628" s="14"/>
      <c r="AA628" s="55"/>
      <c r="AB628" s="49">
        <f>(B628*141.293+C628*267.993+D628*115.016+E628*89.698+F628*40+G628*185+H628*0+I628*100+J628*300)/(141.293+267.993+115.016+89.698+0+40+185+100+300)</f>
        <v>39.821603891767559</v>
      </c>
      <c r="AC628" s="44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39.091936690647486</v>
      </c>
    </row>
    <row r="629" spans="1:29" ht="15.75" x14ac:dyDescent="0.25">
      <c r="A629" s="31">
        <v>60053</v>
      </c>
      <c r="B629" s="14">
        <f>CHOOSE(CONTROL!$C$42, 40.107, 40.107) * CHOOSE(CONTROL!$C$21, $C$9, 100%, $E$9)</f>
        <v>40.106999999999999</v>
      </c>
      <c r="C629" s="14">
        <f>CHOOSE(CONTROL!$C$42, 40.115, 40.115) * CHOOSE(CONTROL!$C$21, $C$9, 100%, $E$9)</f>
        <v>40.115000000000002</v>
      </c>
      <c r="D629" s="14">
        <f>CHOOSE(CONTROL!$C$42, 40.3408, 40.3408) * CHOOSE(CONTROL!$C$21, $C$9, 100%, $E$9)</f>
        <v>40.340800000000002</v>
      </c>
      <c r="E629" s="14">
        <f>CHOOSE(CONTROL!$C$42, 40.3722, 40.3722) * CHOOSE(CONTROL!$C$21, $C$9, 100%, $E$9)</f>
        <v>40.372199999999999</v>
      </c>
      <c r="F629" s="14">
        <f>CHOOSE(CONTROL!$C$42, 40.1326, 40.1326)*CHOOSE(CONTROL!$C$21, $C$9, 100%, $E$9)</f>
        <v>40.132599999999996</v>
      </c>
      <c r="G629" s="14">
        <f>CHOOSE(CONTROL!$C$42, 40.1496, 40.1496)*CHOOSE(CONTROL!$C$21, $C$9, 100%, $E$9)</f>
        <v>40.1496</v>
      </c>
      <c r="H629" s="14">
        <f>CHOOSE(CONTROL!$C$42, 40.3609, 40.3609) * CHOOSE(CONTROL!$C$21, $C$9, 100%, $E$9)</f>
        <v>40.360900000000001</v>
      </c>
      <c r="I629" s="14">
        <f>CHOOSE(CONTROL!$C$42, 40.2641, 40.2641)* CHOOSE(CONTROL!$C$21, $C$9, 100%, $E$9)</f>
        <v>40.264099999999999</v>
      </c>
      <c r="J629" s="14">
        <f>CHOOSE(CONTROL!$C$42, 40.1256, 40.1256)* CHOOSE(CONTROL!$C$21, $C$9, 100%, $E$9)</f>
        <v>40.125599999999999</v>
      </c>
      <c r="K629" s="52">
        <f>CHOOSE(CONTROL!$C$42, 40.2602, 40.2602) * CHOOSE(CONTROL!$C$21, $C$9, 100%, $E$9)</f>
        <v>40.260199999999998</v>
      </c>
      <c r="L629" s="14">
        <f>CHOOSE(CONTROL!$C$42, 40.9479, 40.9479) * CHOOSE(CONTROL!$C$21, $C$9, 100%, $E$9)</f>
        <v>40.947899999999997</v>
      </c>
      <c r="M629" s="14">
        <f>CHOOSE(CONTROL!$C$42, 39.3112, 39.3112) * CHOOSE(CONTROL!$C$21, $C$9, 100%, $E$9)</f>
        <v>39.311199999999999</v>
      </c>
      <c r="N629" s="14">
        <f>CHOOSE(CONTROL!$C$42, 39.3278, 39.3278) * CHOOSE(CONTROL!$C$21, $C$9, 100%, $E$9)</f>
        <v>39.327800000000003</v>
      </c>
      <c r="O629" s="14">
        <f>CHOOSE(CONTROL!$C$42, 39.5416, 39.5416) * CHOOSE(CONTROL!$C$21, $C$9, 100%, $E$9)</f>
        <v>39.541600000000003</v>
      </c>
      <c r="P629" s="14">
        <f>CHOOSE(CONTROL!$C$42, 39.4444, 39.4444) * CHOOSE(CONTROL!$C$21, $C$9, 100%, $E$9)</f>
        <v>39.444400000000002</v>
      </c>
      <c r="Q629" s="14">
        <f>CHOOSE(CONTROL!$C$42, 40.1363, 40.1363) * CHOOSE(CONTROL!$C$21, $C$9, 100%, $E$9)</f>
        <v>40.136299999999999</v>
      </c>
      <c r="R629" s="14">
        <f>CHOOSE(CONTROL!$C$42, 40.8236, 40.8236) * CHOOSE(CONTROL!$C$21, $C$9, 100%, $E$9)</f>
        <v>40.823599999999999</v>
      </c>
      <c r="S629" s="14">
        <f>CHOOSE(CONTROL!$C$42, 38.5281, 38.5281) * CHOOSE(CONTROL!$C$21, $C$9, 100%, $E$9)</f>
        <v>38.528100000000002</v>
      </c>
      <c r="T62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56">
        <f>(1000*CHOOSE(CONTROL!$C$42, 695, 695)*CHOOSE(CONTROL!$C$42, 0.5599, 0.5599)*CHOOSE(CONTROL!$C$42, 31, 31))/1000000</f>
        <v>12.063045499999998</v>
      </c>
      <c r="V629" s="56">
        <f>(1000*CHOOSE(CONTROL!$C$42, 500, 500)*CHOOSE(CONTROL!$C$42, 0.275, 0.275)*CHOOSE(CONTROL!$C$42, 31, 31))/1000000</f>
        <v>4.2625000000000002</v>
      </c>
      <c r="W629" s="56">
        <f>(1000*CHOOSE(CONTROL!$C$42, 0.1146, 0.1146)*CHOOSE(CONTROL!$C$42, 121.5, 121.5)*CHOOSE(CONTROL!$C$42, 31, 31))/1000000</f>
        <v>0.43164089999999994</v>
      </c>
      <c r="X629" s="56">
        <f>(31*0.1790888*245000/1000000)+(31*0.2374*100000/1000000)</f>
        <v>2.0961194359999999</v>
      </c>
      <c r="Y629" s="56"/>
      <c r="Z629" s="14"/>
      <c r="AA629" s="55"/>
      <c r="AB629" s="49">
        <f>(B629*194.205+C629*267.466+D629*133.845+E629*53.484+F629*40+G629*185+H629*0+I629*100+J629*300)/(194.205+267.466+133.845+53.484+0+40+185+100+300)</f>
        <v>40.168076645054953</v>
      </c>
      <c r="AC629" s="44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39.435746762589929</v>
      </c>
    </row>
    <row r="630" spans="1:29" ht="15.75" x14ac:dyDescent="0.25">
      <c r="A630" s="31">
        <v>60083</v>
      </c>
      <c r="B630" s="14">
        <f>CHOOSE(CONTROL!$C$42, 41.2443, 41.2443) * CHOOSE(CONTROL!$C$21, $C$9, 100%, $E$9)</f>
        <v>41.244300000000003</v>
      </c>
      <c r="C630" s="14">
        <f>CHOOSE(CONTROL!$C$42, 41.2523, 41.2523) * CHOOSE(CONTROL!$C$21, $C$9, 100%, $E$9)</f>
        <v>41.252299999999998</v>
      </c>
      <c r="D630" s="14">
        <f>CHOOSE(CONTROL!$C$42, 41.4781, 41.4781) * CHOOSE(CONTROL!$C$21, $C$9, 100%, $E$9)</f>
        <v>41.478099999999998</v>
      </c>
      <c r="E630" s="14">
        <f>CHOOSE(CONTROL!$C$42, 41.5096, 41.5096) * CHOOSE(CONTROL!$C$21, $C$9, 100%, $E$9)</f>
        <v>41.509599999999999</v>
      </c>
      <c r="F630" s="14">
        <f>CHOOSE(CONTROL!$C$42, 41.2704, 41.2704)*CHOOSE(CONTROL!$C$21, $C$9, 100%, $E$9)</f>
        <v>41.270400000000002</v>
      </c>
      <c r="G630" s="14">
        <f>CHOOSE(CONTROL!$C$42, 41.2875, 41.2875)*CHOOSE(CONTROL!$C$21, $C$9, 100%, $E$9)</f>
        <v>41.287500000000001</v>
      </c>
      <c r="H630" s="14">
        <f>CHOOSE(CONTROL!$C$42, 41.4982, 41.4982) * CHOOSE(CONTROL!$C$21, $C$9, 100%, $E$9)</f>
        <v>41.498199999999997</v>
      </c>
      <c r="I630" s="14">
        <f>CHOOSE(CONTROL!$C$42, 41.405, 41.405)* CHOOSE(CONTROL!$C$21, $C$9, 100%, $E$9)</f>
        <v>41.405000000000001</v>
      </c>
      <c r="J630" s="14">
        <f>CHOOSE(CONTROL!$C$42, 41.2634, 41.2634)* CHOOSE(CONTROL!$C$21, $C$9, 100%, $E$9)</f>
        <v>41.263399999999997</v>
      </c>
      <c r="K630" s="52">
        <f>CHOOSE(CONTROL!$C$42, 41.4011, 41.4011) * CHOOSE(CONTROL!$C$21, $C$9, 100%, $E$9)</f>
        <v>41.4011</v>
      </c>
      <c r="L630" s="14">
        <f>CHOOSE(CONTROL!$C$42, 42.0852, 42.0852) * CHOOSE(CONTROL!$C$21, $C$9, 100%, $E$9)</f>
        <v>42.0852</v>
      </c>
      <c r="M630" s="14">
        <f>CHOOSE(CONTROL!$C$42, 40.4256, 40.4256) * CHOOSE(CONTROL!$C$21, $C$9, 100%, $E$9)</f>
        <v>40.425600000000003</v>
      </c>
      <c r="N630" s="14">
        <f>CHOOSE(CONTROL!$C$42, 40.4424, 40.4424) * CHOOSE(CONTROL!$C$21, $C$9, 100%, $E$9)</f>
        <v>40.442399999999999</v>
      </c>
      <c r="O630" s="14">
        <f>CHOOSE(CONTROL!$C$42, 40.6556, 40.6556) * CHOOSE(CONTROL!$C$21, $C$9, 100%, $E$9)</f>
        <v>40.6556</v>
      </c>
      <c r="P630" s="14">
        <f>CHOOSE(CONTROL!$C$42, 40.5618, 40.5618) * CHOOSE(CONTROL!$C$21, $C$9, 100%, $E$9)</f>
        <v>40.561799999999998</v>
      </c>
      <c r="Q630" s="14">
        <f>CHOOSE(CONTROL!$C$42, 41.2503, 41.2503) * CHOOSE(CONTROL!$C$21, $C$9, 100%, $E$9)</f>
        <v>41.250300000000003</v>
      </c>
      <c r="R630" s="14">
        <f>CHOOSE(CONTROL!$C$42, 41.9405, 41.9405) * CHOOSE(CONTROL!$C$21, $C$9, 100%, $E$9)</f>
        <v>41.9405</v>
      </c>
      <c r="S630" s="14">
        <f>CHOOSE(CONTROL!$C$42, 39.621, 39.621) * CHOOSE(CONTROL!$C$21, $C$9, 100%, $E$9)</f>
        <v>39.621000000000002</v>
      </c>
      <c r="T63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56">
        <f>(1000*CHOOSE(CONTROL!$C$42, 695, 695)*CHOOSE(CONTROL!$C$42, 0.5599, 0.5599)*CHOOSE(CONTROL!$C$42, 30, 30))/1000000</f>
        <v>11.673914999999997</v>
      </c>
      <c r="V630" s="56">
        <f>(1000*CHOOSE(CONTROL!$C$42, 500, 500)*CHOOSE(CONTROL!$C$42, 0.275, 0.275)*CHOOSE(CONTROL!$C$42, 30, 30))/1000000</f>
        <v>4.125</v>
      </c>
      <c r="W630" s="56">
        <f>(1000*CHOOSE(CONTROL!$C$42, 0.1146, 0.1146)*CHOOSE(CONTROL!$C$42, 121.5, 121.5)*CHOOSE(CONTROL!$C$42, 30, 30))/1000000</f>
        <v>0.417717</v>
      </c>
      <c r="X630" s="56">
        <f>(30*0.1790888*245000/1000000)+(30*0.2374*100000/1000000)</f>
        <v>2.0285026799999999</v>
      </c>
      <c r="Y630" s="56"/>
      <c r="Z630" s="14"/>
      <c r="AA630" s="55"/>
      <c r="AB630" s="49">
        <f>(B630*194.205+C630*267.466+D630*133.845+E630*53.484+F630*40+G630*185+H630*0+I630*100+J630*300)/(194.205+267.466+133.845+53.484+0+40+185+100+300)</f>
        <v>41.305883982888538</v>
      </c>
      <c r="AC630" s="44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40.550408633093525</v>
      </c>
    </row>
    <row r="631" spans="1:29" ht="15.75" x14ac:dyDescent="0.25">
      <c r="A631" s="31">
        <v>60114</v>
      </c>
      <c r="B631" s="14">
        <f>CHOOSE(CONTROL!$C$42, 40.4533, 40.4533) * CHOOSE(CONTROL!$C$21, $C$9, 100%, $E$9)</f>
        <v>40.453299999999999</v>
      </c>
      <c r="C631" s="14">
        <f>CHOOSE(CONTROL!$C$42, 40.4613, 40.4613) * CHOOSE(CONTROL!$C$21, $C$9, 100%, $E$9)</f>
        <v>40.461300000000001</v>
      </c>
      <c r="D631" s="14">
        <f>CHOOSE(CONTROL!$C$42, 40.6871, 40.6871) * CHOOSE(CONTROL!$C$21, $C$9, 100%, $E$9)</f>
        <v>40.687100000000001</v>
      </c>
      <c r="E631" s="14">
        <f>CHOOSE(CONTROL!$C$42, 40.7186, 40.7186) * CHOOSE(CONTROL!$C$21, $C$9, 100%, $E$9)</f>
        <v>40.718600000000002</v>
      </c>
      <c r="F631" s="14">
        <f>CHOOSE(CONTROL!$C$42, 40.4798, 40.4798)*CHOOSE(CONTROL!$C$21, $C$9, 100%, $E$9)</f>
        <v>40.479799999999997</v>
      </c>
      <c r="G631" s="14">
        <f>CHOOSE(CONTROL!$C$42, 40.4971, 40.4971)*CHOOSE(CONTROL!$C$21, $C$9, 100%, $E$9)</f>
        <v>40.497100000000003</v>
      </c>
      <c r="H631" s="14">
        <f>CHOOSE(CONTROL!$C$42, 40.7072, 40.7072) * CHOOSE(CONTROL!$C$21, $C$9, 100%, $E$9)</f>
        <v>40.7072</v>
      </c>
      <c r="I631" s="14">
        <f>CHOOSE(CONTROL!$C$42, 40.6115, 40.6115)* CHOOSE(CONTROL!$C$21, $C$9, 100%, $E$9)</f>
        <v>40.611499999999999</v>
      </c>
      <c r="J631" s="14">
        <f>CHOOSE(CONTROL!$C$42, 40.4728, 40.4728)* CHOOSE(CONTROL!$C$21, $C$9, 100%, $E$9)</f>
        <v>40.472799999999999</v>
      </c>
      <c r="K631" s="52">
        <f>CHOOSE(CONTROL!$C$42, 40.6076, 40.6076) * CHOOSE(CONTROL!$C$21, $C$9, 100%, $E$9)</f>
        <v>40.607599999999998</v>
      </c>
      <c r="L631" s="14">
        <f>CHOOSE(CONTROL!$C$42, 41.2942, 41.2942) * CHOOSE(CONTROL!$C$21, $C$9, 100%, $E$9)</f>
        <v>41.294199999999996</v>
      </c>
      <c r="M631" s="14">
        <f>CHOOSE(CONTROL!$C$42, 39.6513, 39.6513) * CHOOSE(CONTROL!$C$21, $C$9, 100%, $E$9)</f>
        <v>39.651299999999999</v>
      </c>
      <c r="N631" s="14">
        <f>CHOOSE(CONTROL!$C$42, 39.6681, 39.6681) * CHOOSE(CONTROL!$C$21, $C$9, 100%, $E$9)</f>
        <v>39.668100000000003</v>
      </c>
      <c r="O631" s="14">
        <f>CHOOSE(CONTROL!$C$42, 39.8808, 39.8808) * CHOOSE(CONTROL!$C$21, $C$9, 100%, $E$9)</f>
        <v>39.880800000000001</v>
      </c>
      <c r="P631" s="14">
        <f>CHOOSE(CONTROL!$C$42, 39.7846, 39.7846) * CHOOSE(CONTROL!$C$21, $C$9, 100%, $E$9)</f>
        <v>39.784599999999998</v>
      </c>
      <c r="Q631" s="14">
        <f>CHOOSE(CONTROL!$C$42, 40.4755, 40.4755) * CHOOSE(CONTROL!$C$21, $C$9, 100%, $E$9)</f>
        <v>40.475499999999997</v>
      </c>
      <c r="R631" s="14">
        <f>CHOOSE(CONTROL!$C$42, 41.1637, 41.1637) * CHOOSE(CONTROL!$C$21, $C$9, 100%, $E$9)</f>
        <v>41.163699999999999</v>
      </c>
      <c r="S631" s="14">
        <f>CHOOSE(CONTROL!$C$42, 38.8609, 38.8609) * CHOOSE(CONTROL!$C$21, $C$9, 100%, $E$9)</f>
        <v>38.860900000000001</v>
      </c>
      <c r="T63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56">
        <f>(1000*CHOOSE(CONTROL!$C$42, 695, 695)*CHOOSE(CONTROL!$C$42, 0.5599, 0.5599)*CHOOSE(CONTROL!$C$42, 31, 31))/1000000</f>
        <v>12.063045499999998</v>
      </c>
      <c r="V631" s="56">
        <f>(1000*CHOOSE(CONTROL!$C$42, 500, 500)*CHOOSE(CONTROL!$C$42, 0.275, 0.275)*CHOOSE(CONTROL!$C$42, 31, 31))/1000000</f>
        <v>4.2625000000000002</v>
      </c>
      <c r="W631" s="56">
        <f>(1000*CHOOSE(CONTROL!$C$42, 0.1146, 0.1146)*CHOOSE(CONTROL!$C$42, 121.5, 121.5)*CHOOSE(CONTROL!$C$42, 31, 31))/1000000</f>
        <v>0.43164089999999994</v>
      </c>
      <c r="X631" s="56">
        <f>(31*0.1790888*245000/1000000)+(31*0.2374*100000/1000000)</f>
        <v>2.0961194359999999</v>
      </c>
      <c r="Y631" s="56"/>
      <c r="Z631" s="14"/>
      <c r="AA631" s="55"/>
      <c r="AB631" s="49">
        <f>(B631*194.205+C631*267.466+D631*133.845+E631*53.484+F631*40+G631*185+H631*0+I631*100+J631*300)/(194.205+267.466+133.845+53.484+0+40+185+100+300)</f>
        <v>40.514881628100468</v>
      </c>
      <c r="AC631" s="44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39.775464748201436</v>
      </c>
    </row>
    <row r="632" spans="1:29" ht="15.75" x14ac:dyDescent="0.25">
      <c r="A632" s="31">
        <v>60145</v>
      </c>
      <c r="B632" s="14">
        <f>CHOOSE(CONTROL!$C$42, 38.4557, 38.4557) * CHOOSE(CONTROL!$C$21, $C$9, 100%, $E$9)</f>
        <v>38.4557</v>
      </c>
      <c r="C632" s="14">
        <f>CHOOSE(CONTROL!$C$42, 38.4637, 38.4637) * CHOOSE(CONTROL!$C$21, $C$9, 100%, $E$9)</f>
        <v>38.463700000000003</v>
      </c>
      <c r="D632" s="14">
        <f>CHOOSE(CONTROL!$C$42, 38.6895, 38.6895) * CHOOSE(CONTROL!$C$21, $C$9, 100%, $E$9)</f>
        <v>38.689500000000002</v>
      </c>
      <c r="E632" s="14">
        <f>CHOOSE(CONTROL!$C$42, 38.7209, 38.7209) * CHOOSE(CONTROL!$C$21, $C$9, 100%, $E$9)</f>
        <v>38.7209</v>
      </c>
      <c r="F632" s="14">
        <f>CHOOSE(CONTROL!$C$42, 38.4825, 38.4825)*CHOOSE(CONTROL!$C$21, $C$9, 100%, $E$9)</f>
        <v>38.482500000000002</v>
      </c>
      <c r="G632" s="14">
        <f>CHOOSE(CONTROL!$C$42, 38.4997, 38.4997)*CHOOSE(CONTROL!$C$21, $C$9, 100%, $E$9)</f>
        <v>38.499699999999997</v>
      </c>
      <c r="H632" s="14">
        <f>CHOOSE(CONTROL!$C$42, 38.7096, 38.7096) * CHOOSE(CONTROL!$C$21, $C$9, 100%, $E$9)</f>
        <v>38.709600000000002</v>
      </c>
      <c r="I632" s="14">
        <f>CHOOSE(CONTROL!$C$42, 38.6076, 38.6076)* CHOOSE(CONTROL!$C$21, $C$9, 100%, $E$9)</f>
        <v>38.607599999999998</v>
      </c>
      <c r="J632" s="14">
        <f>CHOOSE(CONTROL!$C$42, 38.4755, 38.4755)* CHOOSE(CONTROL!$C$21, $C$9, 100%, $E$9)</f>
        <v>38.475499999999997</v>
      </c>
      <c r="K632" s="52">
        <f>CHOOSE(CONTROL!$C$42, 38.6038, 38.6038) * CHOOSE(CONTROL!$C$21, $C$9, 100%, $E$9)</f>
        <v>38.6038</v>
      </c>
      <c r="L632" s="14">
        <f>CHOOSE(CONTROL!$C$42, 39.2966, 39.2966) * CHOOSE(CONTROL!$C$21, $C$9, 100%, $E$9)</f>
        <v>39.296599999999998</v>
      </c>
      <c r="M632" s="14">
        <f>CHOOSE(CONTROL!$C$42, 37.6948, 37.6948) * CHOOSE(CONTROL!$C$21, $C$9, 100%, $E$9)</f>
        <v>37.694800000000001</v>
      </c>
      <c r="N632" s="14">
        <f>CHOOSE(CONTROL!$C$42, 37.7117, 37.7117) * CHOOSE(CONTROL!$C$21, $C$9, 100%, $E$9)</f>
        <v>37.7117</v>
      </c>
      <c r="O632" s="14">
        <f>CHOOSE(CONTROL!$C$42, 37.9241, 37.9241) * CHOOSE(CONTROL!$C$21, $C$9, 100%, $E$9)</f>
        <v>37.924100000000003</v>
      </c>
      <c r="P632" s="14">
        <f>CHOOSE(CONTROL!$C$42, 37.8219, 37.8219) * CHOOSE(CONTROL!$C$21, $C$9, 100%, $E$9)</f>
        <v>37.821899999999999</v>
      </c>
      <c r="Q632" s="14">
        <f>CHOOSE(CONTROL!$C$42, 38.5188, 38.5188) * CHOOSE(CONTROL!$C$21, $C$9, 100%, $E$9)</f>
        <v>38.518799999999999</v>
      </c>
      <c r="R632" s="14">
        <f>CHOOSE(CONTROL!$C$42, 39.2021, 39.2021) * CHOOSE(CONTROL!$C$21, $C$9, 100%, $E$9)</f>
        <v>39.202100000000002</v>
      </c>
      <c r="S632" s="14">
        <f>CHOOSE(CONTROL!$C$42, 36.9414, 36.9414) * CHOOSE(CONTROL!$C$21, $C$9, 100%, $E$9)</f>
        <v>36.941400000000002</v>
      </c>
      <c r="T63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56">
        <f>(1000*CHOOSE(CONTROL!$C$42, 695, 695)*CHOOSE(CONTROL!$C$42, 0.5599, 0.5599)*CHOOSE(CONTROL!$C$42, 31, 31))/1000000</f>
        <v>12.063045499999998</v>
      </c>
      <c r="V632" s="56">
        <f>(1000*CHOOSE(CONTROL!$C$42, 500, 500)*CHOOSE(CONTROL!$C$42, 0.275, 0.275)*CHOOSE(CONTROL!$C$42, 31, 31))/1000000</f>
        <v>4.2625000000000002</v>
      </c>
      <c r="W632" s="56">
        <f>(1000*CHOOSE(CONTROL!$C$42, 0.1146, 0.1146)*CHOOSE(CONTROL!$C$42, 121.5, 121.5)*CHOOSE(CONTROL!$C$42, 31, 31))/1000000</f>
        <v>0.43164089999999994</v>
      </c>
      <c r="X632" s="56">
        <f>(31*0.1790888*245000/1000000)+(31*0.2374*100000/1000000)</f>
        <v>2.0961194359999999</v>
      </c>
      <c r="Y632" s="56"/>
      <c r="Z632" s="14"/>
      <c r="AA632" s="55"/>
      <c r="AB632" s="49">
        <f>(B632*194.205+C632*267.466+D632*133.845+E632*53.484+F632*40+G632*185+H632*0+I632*100+J632*300)/(194.205+267.466+133.845+53.484+0+40+185+100+300)</f>
        <v>38.516892029670338</v>
      </c>
      <c r="AC632" s="44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37.817987769784175</v>
      </c>
    </row>
    <row r="633" spans="1:29" ht="15.75" x14ac:dyDescent="0.25">
      <c r="A633" s="31">
        <v>60175</v>
      </c>
      <c r="B633" s="14">
        <f>CHOOSE(CONTROL!$C$42, 36.0147, 36.0147) * CHOOSE(CONTROL!$C$21, $C$9, 100%, $E$9)</f>
        <v>36.014699999999998</v>
      </c>
      <c r="C633" s="14">
        <f>CHOOSE(CONTROL!$C$42, 36.0228, 36.0228) * CHOOSE(CONTROL!$C$21, $C$9, 100%, $E$9)</f>
        <v>36.022799999999997</v>
      </c>
      <c r="D633" s="14">
        <f>CHOOSE(CONTROL!$C$42, 36.2485, 36.2485) * CHOOSE(CONTROL!$C$21, $C$9, 100%, $E$9)</f>
        <v>36.2485</v>
      </c>
      <c r="E633" s="14">
        <f>CHOOSE(CONTROL!$C$42, 36.28, 36.28) * CHOOSE(CONTROL!$C$21, $C$9, 100%, $E$9)</f>
        <v>36.28</v>
      </c>
      <c r="F633" s="14">
        <f>CHOOSE(CONTROL!$C$42, 36.0415, 36.0415)*CHOOSE(CONTROL!$C$21, $C$9, 100%, $E$9)</f>
        <v>36.041499999999999</v>
      </c>
      <c r="G633" s="14">
        <f>CHOOSE(CONTROL!$C$42, 36.0588, 36.0588)*CHOOSE(CONTROL!$C$21, $C$9, 100%, $E$9)</f>
        <v>36.058799999999998</v>
      </c>
      <c r="H633" s="14">
        <f>CHOOSE(CONTROL!$C$42, 36.2686, 36.2686) * CHOOSE(CONTROL!$C$21, $C$9, 100%, $E$9)</f>
        <v>36.268599999999999</v>
      </c>
      <c r="I633" s="14">
        <f>CHOOSE(CONTROL!$C$42, 36.1591, 36.1591)* CHOOSE(CONTROL!$C$21, $C$9, 100%, $E$9)</f>
        <v>36.159100000000002</v>
      </c>
      <c r="J633" s="14">
        <f>CHOOSE(CONTROL!$C$42, 36.0345, 36.0345)* CHOOSE(CONTROL!$C$21, $C$9, 100%, $E$9)</f>
        <v>36.034500000000001</v>
      </c>
      <c r="K633" s="52">
        <f>CHOOSE(CONTROL!$C$42, 36.1552, 36.1552) * CHOOSE(CONTROL!$C$21, $C$9, 100%, $E$9)</f>
        <v>36.155200000000001</v>
      </c>
      <c r="L633" s="14">
        <f>CHOOSE(CONTROL!$C$42, 36.8556, 36.8556) * CHOOSE(CONTROL!$C$21, $C$9, 100%, $E$9)</f>
        <v>36.855600000000003</v>
      </c>
      <c r="M633" s="14">
        <f>CHOOSE(CONTROL!$C$42, 35.3039, 35.3039) * CHOOSE(CONTROL!$C$21, $C$9, 100%, $E$9)</f>
        <v>35.303899999999999</v>
      </c>
      <c r="N633" s="14">
        <f>CHOOSE(CONTROL!$C$42, 35.3208, 35.3208) * CHOOSE(CONTROL!$C$21, $C$9, 100%, $E$9)</f>
        <v>35.320799999999998</v>
      </c>
      <c r="O633" s="14">
        <f>CHOOSE(CONTROL!$C$42, 35.5332, 35.5332) * CHOOSE(CONTROL!$C$21, $C$9, 100%, $E$9)</f>
        <v>35.533200000000001</v>
      </c>
      <c r="P633" s="14">
        <f>CHOOSE(CONTROL!$C$42, 35.4237, 35.4237) * CHOOSE(CONTROL!$C$21, $C$9, 100%, $E$9)</f>
        <v>35.423699999999997</v>
      </c>
      <c r="Q633" s="14">
        <f>CHOOSE(CONTROL!$C$42, 36.1279, 36.1279) * CHOOSE(CONTROL!$C$21, $C$9, 100%, $E$9)</f>
        <v>36.127899999999997</v>
      </c>
      <c r="R633" s="14">
        <f>CHOOSE(CONTROL!$C$42, 36.8052, 36.8052) * CHOOSE(CONTROL!$C$21, $C$9, 100%, $E$9)</f>
        <v>36.805199999999999</v>
      </c>
      <c r="S633" s="14">
        <f>CHOOSE(CONTROL!$C$42, 34.5959, 34.5959) * CHOOSE(CONTROL!$C$21, $C$9, 100%, $E$9)</f>
        <v>34.5959</v>
      </c>
      <c r="T63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56">
        <f>(1000*CHOOSE(CONTROL!$C$42, 695, 695)*CHOOSE(CONTROL!$C$42, 0.5599, 0.5599)*CHOOSE(CONTROL!$C$42, 30, 30))/1000000</f>
        <v>11.673914999999997</v>
      </c>
      <c r="V633" s="56">
        <f>(1000*CHOOSE(CONTROL!$C$42, 500, 500)*CHOOSE(CONTROL!$C$42, 0.275, 0.275)*CHOOSE(CONTROL!$C$42, 30, 30))/1000000</f>
        <v>4.125</v>
      </c>
      <c r="W633" s="56">
        <f>(1000*CHOOSE(CONTROL!$C$42, 0.1146, 0.1146)*CHOOSE(CONTROL!$C$42, 121.5, 121.5)*CHOOSE(CONTROL!$C$42, 30, 30))/1000000</f>
        <v>0.417717</v>
      </c>
      <c r="X633" s="56">
        <f>(30*0.1790888*245000/1000000)+(30*0.2374*100000/1000000)</f>
        <v>2.0285026799999999</v>
      </c>
      <c r="Y633" s="56"/>
      <c r="Z633" s="14"/>
      <c r="AA633" s="55"/>
      <c r="AB633" s="49">
        <f>(B633*194.205+C633*267.466+D633*133.845+E633*53.484+F633*40+G633*185+H633*0+I633*100+J633*300)/(194.205+267.466+133.845+53.484+0+40+185+100+300)</f>
        <v>36.075343046153847</v>
      </c>
      <c r="AC633" s="44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35.426037410071942</v>
      </c>
    </row>
    <row r="634" spans="1:29" ht="15.75" x14ac:dyDescent="0.25">
      <c r="A634" s="31">
        <v>60206</v>
      </c>
      <c r="B634" s="14">
        <f>CHOOSE(CONTROL!$C$42, 35.282, 35.282) * CHOOSE(CONTROL!$C$21, $C$9, 100%, $E$9)</f>
        <v>35.281999999999996</v>
      </c>
      <c r="C634" s="14">
        <f>CHOOSE(CONTROL!$C$42, 35.2873, 35.2873) * CHOOSE(CONTROL!$C$21, $C$9, 100%, $E$9)</f>
        <v>35.287300000000002</v>
      </c>
      <c r="D634" s="14">
        <f>CHOOSE(CONTROL!$C$42, 35.518, 35.518) * CHOOSE(CONTROL!$C$21, $C$9, 100%, $E$9)</f>
        <v>35.518000000000001</v>
      </c>
      <c r="E634" s="14">
        <f>CHOOSE(CONTROL!$C$42, 35.5472, 35.5472) * CHOOSE(CONTROL!$C$21, $C$9, 100%, $E$9)</f>
        <v>35.547199999999997</v>
      </c>
      <c r="F634" s="14">
        <f>CHOOSE(CONTROL!$C$42, 35.3108, 35.3108)*CHOOSE(CONTROL!$C$21, $C$9, 100%, $E$9)</f>
        <v>35.3108</v>
      </c>
      <c r="G634" s="14">
        <f>CHOOSE(CONTROL!$C$42, 35.3279, 35.3279)*CHOOSE(CONTROL!$C$21, $C$9, 100%, $E$9)</f>
        <v>35.3279</v>
      </c>
      <c r="H634" s="14">
        <f>CHOOSE(CONTROL!$C$42, 35.5376, 35.5376) * CHOOSE(CONTROL!$C$21, $C$9, 100%, $E$9)</f>
        <v>35.537599999999998</v>
      </c>
      <c r="I634" s="14">
        <f>CHOOSE(CONTROL!$C$42, 35.4258, 35.4258)* CHOOSE(CONTROL!$C$21, $C$9, 100%, $E$9)</f>
        <v>35.425800000000002</v>
      </c>
      <c r="J634" s="14">
        <f>CHOOSE(CONTROL!$C$42, 35.3038, 35.3038)* CHOOSE(CONTROL!$C$21, $C$9, 100%, $E$9)</f>
        <v>35.303800000000003</v>
      </c>
      <c r="K634" s="52">
        <f>CHOOSE(CONTROL!$C$42, 35.4219, 35.4219) * CHOOSE(CONTROL!$C$21, $C$9, 100%, $E$9)</f>
        <v>35.421900000000001</v>
      </c>
      <c r="L634" s="14">
        <f>CHOOSE(CONTROL!$C$42, 36.1246, 36.1246) * CHOOSE(CONTROL!$C$21, $C$9, 100%, $E$9)</f>
        <v>36.124600000000001</v>
      </c>
      <c r="M634" s="14">
        <f>CHOOSE(CONTROL!$C$42, 34.5882, 34.5882) * CHOOSE(CONTROL!$C$21, $C$9, 100%, $E$9)</f>
        <v>34.588200000000001</v>
      </c>
      <c r="N634" s="14">
        <f>CHOOSE(CONTROL!$C$42, 34.6049, 34.6049) * CHOOSE(CONTROL!$C$21, $C$9, 100%, $E$9)</f>
        <v>34.604900000000001</v>
      </c>
      <c r="O634" s="14">
        <f>CHOOSE(CONTROL!$C$42, 34.8172, 34.8172) * CHOOSE(CONTROL!$C$21, $C$9, 100%, $E$9)</f>
        <v>34.8172</v>
      </c>
      <c r="P634" s="14">
        <f>CHOOSE(CONTROL!$C$42, 34.7055, 34.7055) * CHOOSE(CONTROL!$C$21, $C$9, 100%, $E$9)</f>
        <v>34.705500000000001</v>
      </c>
      <c r="Q634" s="14">
        <f>CHOOSE(CONTROL!$C$42, 35.4119, 35.4119) * CHOOSE(CONTROL!$C$21, $C$9, 100%, $E$9)</f>
        <v>35.411900000000003</v>
      </c>
      <c r="R634" s="14">
        <f>CHOOSE(CONTROL!$C$42, 36.0874, 36.0874) * CHOOSE(CONTROL!$C$21, $C$9, 100%, $E$9)</f>
        <v>36.087400000000002</v>
      </c>
      <c r="S634" s="14">
        <f>CHOOSE(CONTROL!$C$42, 33.8935, 33.8935) * CHOOSE(CONTROL!$C$21, $C$9, 100%, $E$9)</f>
        <v>33.893500000000003</v>
      </c>
      <c r="T63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56">
        <f>(1000*CHOOSE(CONTROL!$C$42, 695, 695)*CHOOSE(CONTROL!$C$42, 0.5599, 0.5599)*CHOOSE(CONTROL!$C$42, 31, 31))/1000000</f>
        <v>12.063045499999998</v>
      </c>
      <c r="V634" s="56">
        <f>(1000*CHOOSE(CONTROL!$C$42, 500, 500)*CHOOSE(CONTROL!$C$42, 0.275, 0.275)*CHOOSE(CONTROL!$C$42, 31, 31))/1000000</f>
        <v>4.2625000000000002</v>
      </c>
      <c r="W634" s="56">
        <f>(1000*CHOOSE(CONTROL!$C$42, 0.1146, 0.1146)*CHOOSE(CONTROL!$C$42, 121.5, 121.5)*CHOOSE(CONTROL!$C$42, 31, 31))/1000000</f>
        <v>0.43164089999999994</v>
      </c>
      <c r="X634" s="56">
        <f>(31*0.1790888*245000/1000000)+(31*0.2374*100000/1000000)</f>
        <v>2.0961194359999999</v>
      </c>
      <c r="Y634" s="56"/>
      <c r="Z634" s="14"/>
      <c r="AA634" s="55"/>
      <c r="AB634" s="49">
        <f>(B634*131.881+C634*277.167+D634*79.08+E634*125.872+F634*40+G634*185+H634*0+I634*100+J634*300)/(131.881+277.167+79.08+125.872+0+40+185+100+300)</f>
        <v>35.34985844995964</v>
      </c>
      <c r="AC634" s="44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34.709830215827338</v>
      </c>
    </row>
    <row r="635" spans="1:29" ht="15.75" x14ac:dyDescent="0.25">
      <c r="A635" s="31">
        <v>60236</v>
      </c>
      <c r="B635" s="14">
        <f>CHOOSE(CONTROL!$C$42, 36.2108, 36.2108) * CHOOSE(CONTROL!$C$21, $C$9, 100%, $E$9)</f>
        <v>36.210799999999999</v>
      </c>
      <c r="C635" s="14">
        <f>CHOOSE(CONTROL!$C$42, 36.2158, 36.2158) * CHOOSE(CONTROL!$C$21, $C$9, 100%, $E$9)</f>
        <v>36.215800000000002</v>
      </c>
      <c r="D635" s="14">
        <f>CHOOSE(CONTROL!$C$42, 36.2849, 36.2849) * CHOOSE(CONTROL!$C$21, $C$9, 100%, $E$9)</f>
        <v>36.2849</v>
      </c>
      <c r="E635" s="14">
        <f>CHOOSE(CONTROL!$C$42, 36.319, 36.319) * CHOOSE(CONTROL!$C$21, $C$9, 100%, $E$9)</f>
        <v>36.319000000000003</v>
      </c>
      <c r="F635" s="14">
        <f>CHOOSE(CONTROL!$C$42, 36.2464, 36.2464)*CHOOSE(CONTROL!$C$21, $C$9, 100%, $E$9)</f>
        <v>36.246400000000001</v>
      </c>
      <c r="G635" s="14">
        <f>CHOOSE(CONTROL!$C$42, 36.2638, 36.2638)*CHOOSE(CONTROL!$C$21, $C$9, 100%, $E$9)</f>
        <v>36.263800000000003</v>
      </c>
      <c r="H635" s="14">
        <f>CHOOSE(CONTROL!$C$42, 36.3082, 36.3082) * CHOOSE(CONTROL!$C$21, $C$9, 100%, $E$9)</f>
        <v>36.308199999999999</v>
      </c>
      <c r="I635" s="14">
        <f>CHOOSE(CONTROL!$C$42, 36.3605, 36.3605)* CHOOSE(CONTROL!$C$21, $C$9, 100%, $E$9)</f>
        <v>36.360500000000002</v>
      </c>
      <c r="J635" s="14">
        <f>CHOOSE(CONTROL!$C$42, 36.2394, 36.2394)* CHOOSE(CONTROL!$C$21, $C$9, 100%, $E$9)</f>
        <v>36.239400000000003</v>
      </c>
      <c r="K635" s="52">
        <f>CHOOSE(CONTROL!$C$42, 36.3566, 36.3566) * CHOOSE(CONTROL!$C$21, $C$9, 100%, $E$9)</f>
        <v>36.3566</v>
      </c>
      <c r="L635" s="14">
        <f>CHOOSE(CONTROL!$C$42, 36.8952, 36.8952) * CHOOSE(CONTROL!$C$21, $C$9, 100%, $E$9)</f>
        <v>36.895200000000003</v>
      </c>
      <c r="M635" s="14">
        <f>CHOOSE(CONTROL!$C$42, 35.5045, 35.5045) * CHOOSE(CONTROL!$C$21, $C$9, 100%, $E$9)</f>
        <v>35.5045</v>
      </c>
      <c r="N635" s="14">
        <f>CHOOSE(CONTROL!$C$42, 35.5216, 35.5216) * CHOOSE(CONTROL!$C$21, $C$9, 100%, $E$9)</f>
        <v>35.521599999999999</v>
      </c>
      <c r="O635" s="14">
        <f>CHOOSE(CONTROL!$C$42, 35.5719, 35.5719) * CHOOSE(CONTROL!$C$21, $C$9, 100%, $E$9)</f>
        <v>35.571899999999999</v>
      </c>
      <c r="P635" s="14">
        <f>CHOOSE(CONTROL!$C$42, 35.621, 35.621) * CHOOSE(CONTROL!$C$21, $C$9, 100%, $E$9)</f>
        <v>35.621000000000002</v>
      </c>
      <c r="Q635" s="14">
        <f>CHOOSE(CONTROL!$C$42, 36.1666, 36.1666) * CHOOSE(CONTROL!$C$21, $C$9, 100%, $E$9)</f>
        <v>36.166600000000003</v>
      </c>
      <c r="R635" s="14">
        <f>CHOOSE(CONTROL!$C$42, 36.844, 36.844) * CHOOSE(CONTROL!$C$21, $C$9, 100%, $E$9)</f>
        <v>36.844000000000001</v>
      </c>
      <c r="S635" s="14">
        <f>CHOOSE(CONTROL!$C$42, 34.7864, 34.7864) * CHOOSE(CONTROL!$C$21, $C$9, 100%, $E$9)</f>
        <v>34.7864</v>
      </c>
      <c r="T63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56">
        <f>(1000*CHOOSE(CONTROL!$C$42, 695, 695)*CHOOSE(CONTROL!$C$42, 0.5599, 0.5599)*CHOOSE(CONTROL!$C$42, 30, 30))/1000000</f>
        <v>11.673914999999997</v>
      </c>
      <c r="V635" s="56">
        <f>(1000*CHOOSE(CONTROL!$C$42, 500, 500)*CHOOSE(CONTROL!$C$42, 0.275, 0.275)*CHOOSE(CONTROL!$C$42, 30, 30))/1000000</f>
        <v>4.125</v>
      </c>
      <c r="W635" s="56">
        <f>(1000*CHOOSE(CONTROL!$C$42, 0.1146, 0.1146)*CHOOSE(CONTROL!$C$42, 121.5, 121.5)*CHOOSE(CONTROL!$C$42, 30, 30))/1000000</f>
        <v>0.417717</v>
      </c>
      <c r="X635" s="56">
        <f>(30*0.1790888*100000/1000000)+(30*0.2374*100000/1000000)</f>
        <v>1.2494664</v>
      </c>
      <c r="Y635" s="56"/>
      <c r="Z635" s="14"/>
      <c r="AA635" s="55"/>
      <c r="AB635" s="49">
        <f>(B635*122.58+C635*297.941+D635*89.177+E635*40.302+F635*40+G635*160+H635*0+I635*100+J635*300)/(122.58+297.941+89.177+40.302+0+40+160+100+300)</f>
        <v>36.250723823565224</v>
      </c>
      <c r="AC635" s="44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35.55279496402877</v>
      </c>
    </row>
    <row r="636" spans="1:29" ht="15.75" x14ac:dyDescent="0.25">
      <c r="A636" s="31">
        <v>60267</v>
      </c>
      <c r="B636" s="14">
        <f>CHOOSE(CONTROL!$C$42, 38.679, 38.679) * CHOOSE(CONTROL!$C$21, $C$9, 100%, $E$9)</f>
        <v>38.679000000000002</v>
      </c>
      <c r="C636" s="14">
        <f>CHOOSE(CONTROL!$C$42, 38.684, 38.684) * CHOOSE(CONTROL!$C$21, $C$9, 100%, $E$9)</f>
        <v>38.683999999999997</v>
      </c>
      <c r="D636" s="14">
        <f>CHOOSE(CONTROL!$C$42, 38.753, 38.753) * CHOOSE(CONTROL!$C$21, $C$9, 100%, $E$9)</f>
        <v>38.753</v>
      </c>
      <c r="E636" s="14">
        <f>CHOOSE(CONTROL!$C$42, 38.7871, 38.7871) * CHOOSE(CONTROL!$C$21, $C$9, 100%, $E$9)</f>
        <v>38.787100000000002</v>
      </c>
      <c r="F636" s="14">
        <f>CHOOSE(CONTROL!$C$42, 38.7168, 38.7168)*CHOOSE(CONTROL!$C$21, $C$9, 100%, $E$9)</f>
        <v>38.716799999999999</v>
      </c>
      <c r="G636" s="14">
        <f>CHOOSE(CONTROL!$C$42, 38.7348, 38.7348)*CHOOSE(CONTROL!$C$21, $C$9, 100%, $E$9)</f>
        <v>38.7348</v>
      </c>
      <c r="H636" s="14">
        <f>CHOOSE(CONTROL!$C$42, 38.7763, 38.7763) * CHOOSE(CONTROL!$C$21, $C$9, 100%, $E$9)</f>
        <v>38.776299999999999</v>
      </c>
      <c r="I636" s="14">
        <f>CHOOSE(CONTROL!$C$42, 38.8364, 38.8364)* CHOOSE(CONTROL!$C$21, $C$9, 100%, $E$9)</f>
        <v>38.836399999999998</v>
      </c>
      <c r="J636" s="14">
        <f>CHOOSE(CONTROL!$C$42, 38.7098, 38.7098)* CHOOSE(CONTROL!$C$21, $C$9, 100%, $E$9)</f>
        <v>38.709800000000001</v>
      </c>
      <c r="K636" s="52">
        <f>CHOOSE(CONTROL!$C$42, 38.8325, 38.8325) * CHOOSE(CONTROL!$C$21, $C$9, 100%, $E$9)</f>
        <v>38.832500000000003</v>
      </c>
      <c r="L636" s="14">
        <f>CHOOSE(CONTROL!$C$42, 39.3633, 39.3633) * CHOOSE(CONTROL!$C$21, $C$9, 100%, $E$9)</f>
        <v>39.363300000000002</v>
      </c>
      <c r="M636" s="14">
        <f>CHOOSE(CONTROL!$C$42, 37.9243, 37.9243) * CHOOSE(CONTROL!$C$21, $C$9, 100%, $E$9)</f>
        <v>37.924300000000002</v>
      </c>
      <c r="N636" s="14">
        <f>CHOOSE(CONTROL!$C$42, 37.942, 37.942) * CHOOSE(CONTROL!$C$21, $C$9, 100%, $E$9)</f>
        <v>37.942</v>
      </c>
      <c r="O636" s="14">
        <f>CHOOSE(CONTROL!$C$42, 37.9895, 37.9895) * CHOOSE(CONTROL!$C$21, $C$9, 100%, $E$9)</f>
        <v>37.9895</v>
      </c>
      <c r="P636" s="14">
        <f>CHOOSE(CONTROL!$C$42, 38.046, 38.046) * CHOOSE(CONTROL!$C$21, $C$9, 100%, $E$9)</f>
        <v>38.045999999999999</v>
      </c>
      <c r="Q636" s="14">
        <f>CHOOSE(CONTROL!$C$42, 38.5842, 38.5842) * CHOOSE(CONTROL!$C$21, $C$9, 100%, $E$9)</f>
        <v>38.584200000000003</v>
      </c>
      <c r="R636" s="14">
        <f>CHOOSE(CONTROL!$C$42, 39.2677, 39.2677) * CHOOSE(CONTROL!$C$21, $C$9, 100%, $E$9)</f>
        <v>39.267699999999998</v>
      </c>
      <c r="S636" s="14">
        <f>CHOOSE(CONTROL!$C$42, 37.1581, 37.1581) * CHOOSE(CONTROL!$C$21, $C$9, 100%, $E$9)</f>
        <v>37.158099999999997</v>
      </c>
      <c r="T63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56">
        <f>(1000*CHOOSE(CONTROL!$C$42, 695, 695)*CHOOSE(CONTROL!$C$42, 0.5599, 0.5599)*CHOOSE(CONTROL!$C$42, 31, 31))/1000000</f>
        <v>12.063045499999998</v>
      </c>
      <c r="V636" s="56">
        <f>(1000*CHOOSE(CONTROL!$C$42, 500, 500)*CHOOSE(CONTROL!$C$42, 0.275, 0.275)*CHOOSE(CONTROL!$C$42, 31, 31))/1000000</f>
        <v>4.2625000000000002</v>
      </c>
      <c r="W636" s="56">
        <f>(1000*CHOOSE(CONTROL!$C$42, 0.1146, 0.1146)*CHOOSE(CONTROL!$C$42, 121.5, 121.5)*CHOOSE(CONTROL!$C$42, 31, 31))/1000000</f>
        <v>0.43164089999999994</v>
      </c>
      <c r="X636" s="56">
        <f>(31*0.1790888*100000/1000000)+(31*0.2374*100000/1000000)</f>
        <v>1.2911152800000001</v>
      </c>
      <c r="Y636" s="56"/>
      <c r="Z636" s="14"/>
      <c r="AA636" s="55"/>
      <c r="AB636" s="49">
        <f>(B636*122.58+C636*297.941+D636*89.177+E636*40.302+F636*40+G636*160+H636*0+I636*100+J636*300)/(122.58+297.941+89.177+40.302+0+40+160+100+300)</f>
        <v>38.720622129739127</v>
      </c>
      <c r="AC636" s="44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37.972380575539567</v>
      </c>
    </row>
    <row r="637" spans="1:29" ht="15.75" x14ac:dyDescent="0.25">
      <c r="A637" s="31">
        <v>60298</v>
      </c>
      <c r="B637" s="14">
        <f>CHOOSE(CONTROL!$C$42, 41.8847, 41.8847) * CHOOSE(CONTROL!$C$21, $C$9, 100%, $E$9)</f>
        <v>41.884700000000002</v>
      </c>
      <c r="C637" s="14">
        <f>CHOOSE(CONTROL!$C$42, 41.8897, 41.8897) * CHOOSE(CONTROL!$C$21, $C$9, 100%, $E$9)</f>
        <v>41.889699999999998</v>
      </c>
      <c r="D637" s="14">
        <f>CHOOSE(CONTROL!$C$42, 41.9692, 41.9692) * CHOOSE(CONTROL!$C$21, $C$9, 100%, $E$9)</f>
        <v>41.969200000000001</v>
      </c>
      <c r="E637" s="14">
        <f>CHOOSE(CONTROL!$C$42, 42.0033, 42.0033) * CHOOSE(CONTROL!$C$21, $C$9, 100%, $E$9)</f>
        <v>42.003300000000003</v>
      </c>
      <c r="F637" s="14">
        <f>CHOOSE(CONTROL!$C$42, 41.9077, 41.9077)*CHOOSE(CONTROL!$C$21, $C$9, 100%, $E$9)</f>
        <v>41.907699999999998</v>
      </c>
      <c r="G637" s="14">
        <f>CHOOSE(CONTROL!$C$42, 41.9252, 41.9252)*CHOOSE(CONTROL!$C$21, $C$9, 100%, $E$9)</f>
        <v>41.925199999999997</v>
      </c>
      <c r="H637" s="14">
        <f>CHOOSE(CONTROL!$C$42, 41.9925, 41.9925) * CHOOSE(CONTROL!$C$21, $C$9, 100%, $E$9)</f>
        <v>41.9925</v>
      </c>
      <c r="I637" s="14">
        <f>CHOOSE(CONTROL!$C$42, 42.0511, 42.0511)* CHOOSE(CONTROL!$C$21, $C$9, 100%, $E$9)</f>
        <v>42.051099999999998</v>
      </c>
      <c r="J637" s="14">
        <f>CHOOSE(CONTROL!$C$42, 41.9007, 41.9007)* CHOOSE(CONTROL!$C$21, $C$9, 100%, $E$9)</f>
        <v>41.900700000000001</v>
      </c>
      <c r="K637" s="52">
        <f>CHOOSE(CONTROL!$C$42, 42.0473, 42.0473) * CHOOSE(CONTROL!$C$21, $C$9, 100%, $E$9)</f>
        <v>42.0473</v>
      </c>
      <c r="L637" s="14">
        <f>CHOOSE(CONTROL!$C$42, 42.5795, 42.5795) * CHOOSE(CONTROL!$C$21, $C$9, 100%, $E$9)</f>
        <v>42.579500000000003</v>
      </c>
      <c r="M637" s="14">
        <f>CHOOSE(CONTROL!$C$42, 41.0499, 41.0499) * CHOOSE(CONTROL!$C$21, $C$9, 100%, $E$9)</f>
        <v>41.049900000000001</v>
      </c>
      <c r="N637" s="14">
        <f>CHOOSE(CONTROL!$C$42, 41.067, 41.067) * CHOOSE(CONTROL!$C$21, $C$9, 100%, $E$9)</f>
        <v>41.067</v>
      </c>
      <c r="O637" s="14">
        <f>CHOOSE(CONTROL!$C$42, 41.1398, 41.1398) * CHOOSE(CONTROL!$C$21, $C$9, 100%, $E$9)</f>
        <v>41.139800000000001</v>
      </c>
      <c r="P637" s="14">
        <f>CHOOSE(CONTROL!$C$42, 41.1947, 41.1947) * CHOOSE(CONTROL!$C$21, $C$9, 100%, $E$9)</f>
        <v>41.194699999999997</v>
      </c>
      <c r="Q637" s="14">
        <f>CHOOSE(CONTROL!$C$42, 41.7345, 41.7345) * CHOOSE(CONTROL!$C$21, $C$9, 100%, $E$9)</f>
        <v>41.734499999999997</v>
      </c>
      <c r="R637" s="14">
        <f>CHOOSE(CONTROL!$C$42, 42.4258, 42.4258) * CHOOSE(CONTROL!$C$21, $C$9, 100%, $E$9)</f>
        <v>42.425800000000002</v>
      </c>
      <c r="S637" s="14">
        <f>CHOOSE(CONTROL!$C$42, 40.2384, 40.2384) * CHOOSE(CONTROL!$C$21, $C$9, 100%, $E$9)</f>
        <v>40.238399999999999</v>
      </c>
      <c r="T63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56">
        <f>(1000*CHOOSE(CONTROL!$C$42, 695, 695)*CHOOSE(CONTROL!$C$42, 0.5599, 0.5599)*CHOOSE(CONTROL!$C$42, 31, 31))/1000000</f>
        <v>12.063045499999998</v>
      </c>
      <c r="V637" s="56">
        <f>(1000*CHOOSE(CONTROL!$C$42, 500, 500)*CHOOSE(CONTROL!$C$42, 0.275, 0.275)*CHOOSE(CONTROL!$C$42, 31, 31))/1000000</f>
        <v>4.2625000000000002</v>
      </c>
      <c r="W637" s="56">
        <f>(1000*CHOOSE(CONTROL!$C$42, 0.1146, 0.1146)*CHOOSE(CONTROL!$C$42, 121.5, 121.5)*CHOOSE(CONTROL!$C$42, 31, 31))/1000000</f>
        <v>0.43164089999999994</v>
      </c>
      <c r="X637" s="56">
        <f>(31*0.1790888*100000/1000000)+(31*0.2374*100000/1000000)</f>
        <v>1.2911152800000001</v>
      </c>
      <c r="Y637" s="56"/>
      <c r="Z637" s="14"/>
      <c r="AA637" s="55"/>
      <c r="AB637" s="49">
        <f>(B637*122.58+C637*297.941+D637*89.177+E637*40.302+F637*40+G637*160+H637*0+I637*100+J637*300)/(122.58+297.941+89.177+40.302+0+40+160+100+300)</f>
        <v>41.921782590173905</v>
      </c>
      <c r="AC637" s="44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41.11246474820144</v>
      </c>
    </row>
    <row r="638" spans="1:29" ht="15.75" x14ac:dyDescent="0.25">
      <c r="A638" s="31">
        <v>60326</v>
      </c>
      <c r="B638" s="14">
        <f>CHOOSE(CONTROL!$C$42, 42.6301, 42.6301) * CHOOSE(CONTROL!$C$21, $C$9, 100%, $E$9)</f>
        <v>42.630099999999999</v>
      </c>
      <c r="C638" s="14">
        <f>CHOOSE(CONTROL!$C$42, 42.6352, 42.6352) * CHOOSE(CONTROL!$C$21, $C$9, 100%, $E$9)</f>
        <v>42.635199999999998</v>
      </c>
      <c r="D638" s="14">
        <f>CHOOSE(CONTROL!$C$42, 42.7146, 42.7146) * CHOOSE(CONTROL!$C$21, $C$9, 100%, $E$9)</f>
        <v>42.714599999999997</v>
      </c>
      <c r="E638" s="14">
        <f>CHOOSE(CONTROL!$C$42, 42.7487, 42.7487) * CHOOSE(CONTROL!$C$21, $C$9, 100%, $E$9)</f>
        <v>42.748699999999999</v>
      </c>
      <c r="F638" s="14">
        <f>CHOOSE(CONTROL!$C$42, 42.6529, 42.6529)*CHOOSE(CONTROL!$C$21, $C$9, 100%, $E$9)</f>
        <v>42.652900000000002</v>
      </c>
      <c r="G638" s="14">
        <f>CHOOSE(CONTROL!$C$42, 42.6704, 42.6704)*CHOOSE(CONTROL!$C$21, $C$9, 100%, $E$9)</f>
        <v>42.670400000000001</v>
      </c>
      <c r="H638" s="14">
        <f>CHOOSE(CONTROL!$C$42, 42.7379, 42.7379) * CHOOSE(CONTROL!$C$21, $C$9, 100%, $E$9)</f>
        <v>42.737900000000003</v>
      </c>
      <c r="I638" s="14">
        <f>CHOOSE(CONTROL!$C$42, 42.7989, 42.7989)* CHOOSE(CONTROL!$C$21, $C$9, 100%, $E$9)</f>
        <v>42.798900000000003</v>
      </c>
      <c r="J638" s="14">
        <f>CHOOSE(CONTROL!$C$42, 42.6459, 42.6459)* CHOOSE(CONTROL!$C$21, $C$9, 100%, $E$9)</f>
        <v>42.645899999999997</v>
      </c>
      <c r="K638" s="52">
        <f>CHOOSE(CONTROL!$C$42, 42.795, 42.795) * CHOOSE(CONTROL!$C$21, $C$9, 100%, $E$9)</f>
        <v>42.795000000000002</v>
      </c>
      <c r="L638" s="14">
        <f>CHOOSE(CONTROL!$C$42, 43.3249, 43.3249) * CHOOSE(CONTROL!$C$21, $C$9, 100%, $E$9)</f>
        <v>43.3249</v>
      </c>
      <c r="M638" s="14">
        <f>CHOOSE(CONTROL!$C$42, 41.7798, 41.7798) * CHOOSE(CONTROL!$C$21, $C$9, 100%, $E$9)</f>
        <v>41.779800000000002</v>
      </c>
      <c r="N638" s="14">
        <f>CHOOSE(CONTROL!$C$42, 41.7969, 41.7969) * CHOOSE(CONTROL!$C$21, $C$9, 100%, $E$9)</f>
        <v>41.796900000000001</v>
      </c>
      <c r="O638" s="14">
        <f>CHOOSE(CONTROL!$C$42, 41.8699, 41.8699) * CHOOSE(CONTROL!$C$21, $C$9, 100%, $E$9)</f>
        <v>41.869900000000001</v>
      </c>
      <c r="P638" s="14">
        <f>CHOOSE(CONTROL!$C$42, 41.9271, 41.9271) * CHOOSE(CONTROL!$C$21, $C$9, 100%, $E$9)</f>
        <v>41.927100000000003</v>
      </c>
      <c r="Q638" s="14">
        <f>CHOOSE(CONTROL!$C$42, 42.4646, 42.4646) * CHOOSE(CONTROL!$C$21, $C$9, 100%, $E$9)</f>
        <v>42.464599999999997</v>
      </c>
      <c r="R638" s="14">
        <f>CHOOSE(CONTROL!$C$42, 43.1578, 43.1578) * CHOOSE(CONTROL!$C$21, $C$9, 100%, $E$9)</f>
        <v>43.157800000000002</v>
      </c>
      <c r="S638" s="14">
        <f>CHOOSE(CONTROL!$C$42, 40.9547, 40.9547) * CHOOSE(CONTROL!$C$21, $C$9, 100%, $E$9)</f>
        <v>40.954700000000003</v>
      </c>
      <c r="T63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56">
        <f>(1000*CHOOSE(CONTROL!$C$42, 695, 695)*CHOOSE(CONTROL!$C$42, 0.5599, 0.5599)*CHOOSE(CONTROL!$C$42, 28, 28))/1000000</f>
        <v>10.895653999999999</v>
      </c>
      <c r="V638" s="56">
        <f>(1000*CHOOSE(CONTROL!$C$42, 500, 500)*CHOOSE(CONTROL!$C$42, 0.275, 0.275)*CHOOSE(CONTROL!$C$42, 28, 28))/1000000</f>
        <v>3.85</v>
      </c>
      <c r="W638" s="56">
        <f>(1000*CHOOSE(CONTROL!$C$42, 0.1146, 0.1146)*CHOOSE(CONTROL!$C$42, 121.5, 121.5)*CHOOSE(CONTROL!$C$42, 28, 28))/1000000</f>
        <v>0.38986920000000003</v>
      </c>
      <c r="X638" s="56">
        <f>(28*0.1790888*100000/1000000)+(28*0.2374*100000/1000000)</f>
        <v>1.16616864</v>
      </c>
      <c r="Y638" s="56"/>
      <c r="Z638" s="14"/>
      <c r="AA638" s="55"/>
      <c r="AB638" s="49">
        <f>(B638*122.58+C638*297.941+D638*89.177+E638*40.302+F638*40+G638*160+H638*0+I638*100+J638*300)/(122.58+297.941+89.177+40.302+0+40+160+100+300)</f>
        <v>42.667330237217385</v>
      </c>
      <c r="AC638" s="44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41.842815107913665</v>
      </c>
    </row>
    <row r="639" spans="1:29" ht="15.75" x14ac:dyDescent="0.25">
      <c r="A639" s="31">
        <v>60357</v>
      </c>
      <c r="B639" s="14">
        <f>CHOOSE(CONTROL!$C$42, 41.4201, 41.4201) * CHOOSE(CONTROL!$C$21, $C$9, 100%, $E$9)</f>
        <v>41.420099999999998</v>
      </c>
      <c r="C639" s="14">
        <f>CHOOSE(CONTROL!$C$42, 41.4252, 41.4252) * CHOOSE(CONTROL!$C$21, $C$9, 100%, $E$9)</f>
        <v>41.425199999999997</v>
      </c>
      <c r="D639" s="14">
        <f>CHOOSE(CONTROL!$C$42, 41.5046, 41.5046) * CHOOSE(CONTROL!$C$21, $C$9, 100%, $E$9)</f>
        <v>41.504600000000003</v>
      </c>
      <c r="E639" s="14">
        <f>CHOOSE(CONTROL!$C$42, 41.5387, 41.5387) * CHOOSE(CONTROL!$C$21, $C$9, 100%, $E$9)</f>
        <v>41.538699999999999</v>
      </c>
      <c r="F639" s="14">
        <f>CHOOSE(CONTROL!$C$42, 41.4421, 41.4421)*CHOOSE(CONTROL!$C$21, $C$9, 100%, $E$9)</f>
        <v>41.442100000000003</v>
      </c>
      <c r="G639" s="14">
        <f>CHOOSE(CONTROL!$C$42, 41.4594, 41.4594)*CHOOSE(CONTROL!$C$21, $C$9, 100%, $E$9)</f>
        <v>41.459400000000002</v>
      </c>
      <c r="H639" s="14">
        <f>CHOOSE(CONTROL!$C$42, 41.5279, 41.5279) * CHOOSE(CONTROL!$C$21, $C$9, 100%, $E$9)</f>
        <v>41.527900000000002</v>
      </c>
      <c r="I639" s="14">
        <f>CHOOSE(CONTROL!$C$42, 41.5851, 41.5851)* CHOOSE(CONTROL!$C$21, $C$9, 100%, $E$9)</f>
        <v>41.585099999999997</v>
      </c>
      <c r="J639" s="14">
        <f>CHOOSE(CONTROL!$C$42, 41.4351, 41.4351)* CHOOSE(CONTROL!$C$21, $C$9, 100%, $E$9)</f>
        <v>41.435099999999998</v>
      </c>
      <c r="K639" s="52">
        <f>CHOOSE(CONTROL!$C$42, 41.5812, 41.5812) * CHOOSE(CONTROL!$C$21, $C$9, 100%, $E$9)</f>
        <v>41.581200000000003</v>
      </c>
      <c r="L639" s="14">
        <f>CHOOSE(CONTROL!$C$42, 42.1149, 42.1149) * CHOOSE(CONTROL!$C$21, $C$9, 100%, $E$9)</f>
        <v>42.114899999999999</v>
      </c>
      <c r="M639" s="14">
        <f>CHOOSE(CONTROL!$C$42, 40.5939, 40.5939) * CHOOSE(CONTROL!$C$21, $C$9, 100%, $E$9)</f>
        <v>40.593899999999998</v>
      </c>
      <c r="N639" s="14">
        <f>CHOOSE(CONTROL!$C$42, 40.6108, 40.6108) * CHOOSE(CONTROL!$C$21, $C$9, 100%, $E$9)</f>
        <v>40.610799999999998</v>
      </c>
      <c r="O639" s="14">
        <f>CHOOSE(CONTROL!$C$42, 40.6847, 40.6847) * CHOOSE(CONTROL!$C$21, $C$9, 100%, $E$9)</f>
        <v>40.684699999999999</v>
      </c>
      <c r="P639" s="14">
        <f>CHOOSE(CONTROL!$C$42, 40.7382, 40.7382) * CHOOSE(CONTROL!$C$21, $C$9, 100%, $E$9)</f>
        <v>40.738199999999999</v>
      </c>
      <c r="Q639" s="14">
        <f>CHOOSE(CONTROL!$C$42, 41.2794, 41.2794) * CHOOSE(CONTROL!$C$21, $C$9, 100%, $E$9)</f>
        <v>41.279400000000003</v>
      </c>
      <c r="R639" s="14">
        <f>CHOOSE(CONTROL!$C$42, 41.9696, 41.9696) * CHOOSE(CONTROL!$C$21, $C$9, 100%, $E$9)</f>
        <v>41.9696</v>
      </c>
      <c r="S639" s="14">
        <f>CHOOSE(CONTROL!$C$42, 39.792, 39.792) * CHOOSE(CONTROL!$C$21, $C$9, 100%, $E$9)</f>
        <v>39.792000000000002</v>
      </c>
      <c r="T63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56">
        <f>(1000*CHOOSE(CONTROL!$C$42, 695, 695)*CHOOSE(CONTROL!$C$42, 0.5599, 0.5599)*CHOOSE(CONTROL!$C$42, 31, 31))/1000000</f>
        <v>12.063045499999998</v>
      </c>
      <c r="V639" s="56">
        <f>(1000*CHOOSE(CONTROL!$C$42, 500, 500)*CHOOSE(CONTROL!$C$42, 0.275, 0.275)*CHOOSE(CONTROL!$C$42, 31, 31))/1000000</f>
        <v>4.2625000000000002</v>
      </c>
      <c r="W639" s="56">
        <f>(1000*CHOOSE(CONTROL!$C$42, 0.1146, 0.1146)*CHOOSE(CONTROL!$C$42, 121.5, 121.5)*CHOOSE(CONTROL!$C$42, 31, 31))/1000000</f>
        <v>0.43164089999999994</v>
      </c>
      <c r="X639" s="56">
        <f>(31*0.1790888*100000/1000000)+(31*0.2374*100000/1000000)</f>
        <v>1.2911152800000001</v>
      </c>
      <c r="Y639" s="56"/>
      <c r="Z639" s="14"/>
      <c r="AA639" s="55"/>
      <c r="AB639" s="49">
        <f>(B639*122.58+C639*297.941+D639*89.177+E639*40.302+F639*40+G639*160+H639*0+I639*100+J639*300)/(122.58+297.941+89.177+40.302+0+40+160+100+300)</f>
        <v>41.456624150260865</v>
      </c>
      <c r="AC639" s="44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40.6567892086331</v>
      </c>
    </row>
    <row r="640" spans="1:29" ht="15.75" x14ac:dyDescent="0.25">
      <c r="A640" s="31">
        <v>60387</v>
      </c>
      <c r="B640" s="14">
        <f>CHOOSE(CONTROL!$C$42, 41.2971, 41.2971) * CHOOSE(CONTROL!$C$21, $C$9, 100%, $E$9)</f>
        <v>41.2971</v>
      </c>
      <c r="C640" s="14">
        <f>CHOOSE(CONTROL!$C$42, 41.3016, 41.3016) * CHOOSE(CONTROL!$C$21, $C$9, 100%, $E$9)</f>
        <v>41.301600000000001</v>
      </c>
      <c r="D640" s="14">
        <f>CHOOSE(CONTROL!$C$42, 41.5305, 41.5305) * CHOOSE(CONTROL!$C$21, $C$9, 100%, $E$9)</f>
        <v>41.530500000000004</v>
      </c>
      <c r="E640" s="14">
        <f>CHOOSE(CONTROL!$C$42, 41.5626, 41.5626) * CHOOSE(CONTROL!$C$21, $C$9, 100%, $E$9)</f>
        <v>41.562600000000003</v>
      </c>
      <c r="F640" s="14">
        <f>CHOOSE(CONTROL!$C$42, 41.3241, 41.3241)*CHOOSE(CONTROL!$C$21, $C$9, 100%, $E$9)</f>
        <v>41.324100000000001</v>
      </c>
      <c r="G640" s="14">
        <f>CHOOSE(CONTROL!$C$42, 41.3408, 41.3408)*CHOOSE(CONTROL!$C$21, $C$9, 100%, $E$9)</f>
        <v>41.340800000000002</v>
      </c>
      <c r="H640" s="14">
        <f>CHOOSE(CONTROL!$C$42, 41.5524, 41.5524) * CHOOSE(CONTROL!$C$21, $C$9, 100%, $E$9)</f>
        <v>41.552399999999999</v>
      </c>
      <c r="I640" s="14">
        <f>CHOOSE(CONTROL!$C$42, 41.4594, 41.4594)* CHOOSE(CONTROL!$C$21, $C$9, 100%, $E$9)</f>
        <v>41.459400000000002</v>
      </c>
      <c r="J640" s="14">
        <f>CHOOSE(CONTROL!$C$42, 41.3171, 41.3171)* CHOOSE(CONTROL!$C$21, $C$9, 100%, $E$9)</f>
        <v>41.317100000000003</v>
      </c>
      <c r="K640" s="52">
        <f>CHOOSE(CONTROL!$C$42, 41.4555, 41.4555) * CHOOSE(CONTROL!$C$21, $C$9, 100%, $E$9)</f>
        <v>41.455500000000001</v>
      </c>
      <c r="L640" s="14">
        <f>CHOOSE(CONTROL!$C$42, 42.1394, 42.1394) * CHOOSE(CONTROL!$C$21, $C$9, 100%, $E$9)</f>
        <v>42.139400000000002</v>
      </c>
      <c r="M640" s="14">
        <f>CHOOSE(CONTROL!$C$42, 40.4782, 40.4782) * CHOOSE(CONTROL!$C$21, $C$9, 100%, $E$9)</f>
        <v>40.478200000000001</v>
      </c>
      <c r="N640" s="14">
        <f>CHOOSE(CONTROL!$C$42, 40.4946, 40.4946) * CHOOSE(CONTROL!$C$21, $C$9, 100%, $E$9)</f>
        <v>40.494599999999998</v>
      </c>
      <c r="O640" s="14">
        <f>CHOOSE(CONTROL!$C$42, 40.7087, 40.7087) * CHOOSE(CONTROL!$C$21, $C$9, 100%, $E$9)</f>
        <v>40.7087</v>
      </c>
      <c r="P640" s="14">
        <f>CHOOSE(CONTROL!$C$42, 40.6151, 40.6151) * CHOOSE(CONTROL!$C$21, $C$9, 100%, $E$9)</f>
        <v>40.615099999999998</v>
      </c>
      <c r="Q640" s="14">
        <f>CHOOSE(CONTROL!$C$42, 41.3034, 41.3034) * CHOOSE(CONTROL!$C$21, $C$9, 100%, $E$9)</f>
        <v>41.303400000000003</v>
      </c>
      <c r="R640" s="14">
        <f>CHOOSE(CONTROL!$C$42, 41.9937, 41.9937) * CHOOSE(CONTROL!$C$21, $C$9, 100%, $E$9)</f>
        <v>41.993699999999997</v>
      </c>
      <c r="S640" s="14">
        <f>CHOOSE(CONTROL!$C$42, 39.6731, 39.6731) * CHOOSE(CONTROL!$C$21, $C$9, 100%, $E$9)</f>
        <v>39.673099999999998</v>
      </c>
      <c r="T64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56">
        <f>(1000*CHOOSE(CONTROL!$C$42, 695, 695)*CHOOSE(CONTROL!$C$42, 0.5599, 0.5599)*CHOOSE(CONTROL!$C$42, 30, 30))/1000000</f>
        <v>11.673914999999997</v>
      </c>
      <c r="V640" s="56">
        <f>(1000*CHOOSE(CONTROL!$C$42, 500, 500)*CHOOSE(CONTROL!$C$42, 0.275, 0.275)*CHOOSE(CONTROL!$C$42, 30, 30))/1000000</f>
        <v>4.125</v>
      </c>
      <c r="W640" s="56">
        <f>(1000*CHOOSE(CONTROL!$C$42, 0.1146, 0.1146)*CHOOSE(CONTROL!$C$42, 121.5, 121.5)*CHOOSE(CONTROL!$C$42, 30, 30))/1000000</f>
        <v>0.417717</v>
      </c>
      <c r="X640" s="56">
        <f>(30*0.1790888*245000/1000000)+(30*0.2374*100000/1000000)</f>
        <v>2.0285026799999999</v>
      </c>
      <c r="Y640" s="56"/>
      <c r="Z640" s="14"/>
      <c r="AA640" s="55"/>
      <c r="AB640" s="49">
        <f>(B640*141.293+C640*267.993+D640*115.016+E640*89.698+F640*40+G640*185+H640*0+I640*100+J640*300)/(141.293+267.993+115.016+89.698+0+40+185+100+300)</f>
        <v>41.364299371993546</v>
      </c>
      <c r="AC640" s="44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40.603312949640284</v>
      </c>
    </row>
    <row r="641" spans="1:29" ht="15.75" x14ac:dyDescent="0.25">
      <c r="A641" s="31">
        <v>60418</v>
      </c>
      <c r="B641" s="14">
        <f>CHOOSE(CONTROL!$C$42, 41.6629, 41.6629) * CHOOSE(CONTROL!$C$21, $C$9, 100%, $E$9)</f>
        <v>41.6629</v>
      </c>
      <c r="C641" s="14">
        <f>CHOOSE(CONTROL!$C$42, 41.6709, 41.6709) * CHOOSE(CONTROL!$C$21, $C$9, 100%, $E$9)</f>
        <v>41.670900000000003</v>
      </c>
      <c r="D641" s="14">
        <f>CHOOSE(CONTROL!$C$42, 41.8967, 41.8967) * CHOOSE(CONTROL!$C$21, $C$9, 100%, $E$9)</f>
        <v>41.896700000000003</v>
      </c>
      <c r="E641" s="14">
        <f>CHOOSE(CONTROL!$C$42, 41.9282, 41.9282) * CHOOSE(CONTROL!$C$21, $C$9, 100%, $E$9)</f>
        <v>41.928199999999997</v>
      </c>
      <c r="F641" s="14">
        <f>CHOOSE(CONTROL!$C$42, 41.6886, 41.6886)*CHOOSE(CONTROL!$C$21, $C$9, 100%, $E$9)</f>
        <v>41.688600000000001</v>
      </c>
      <c r="G641" s="14">
        <f>CHOOSE(CONTROL!$C$42, 41.7055, 41.7055)*CHOOSE(CONTROL!$C$21, $C$9, 100%, $E$9)</f>
        <v>41.705500000000001</v>
      </c>
      <c r="H641" s="14">
        <f>CHOOSE(CONTROL!$C$42, 41.9168, 41.9168) * CHOOSE(CONTROL!$C$21, $C$9, 100%, $E$9)</f>
        <v>41.916800000000002</v>
      </c>
      <c r="I641" s="14">
        <f>CHOOSE(CONTROL!$C$42, 41.8249, 41.8249)* CHOOSE(CONTROL!$C$21, $C$9, 100%, $E$9)</f>
        <v>41.8249</v>
      </c>
      <c r="J641" s="14">
        <f>CHOOSE(CONTROL!$C$42, 41.6816, 41.6816)* CHOOSE(CONTROL!$C$21, $C$9, 100%, $E$9)</f>
        <v>41.681600000000003</v>
      </c>
      <c r="K641" s="52">
        <f>CHOOSE(CONTROL!$C$42, 41.821, 41.821) * CHOOSE(CONTROL!$C$21, $C$9, 100%, $E$9)</f>
        <v>41.820999999999998</v>
      </c>
      <c r="L641" s="14">
        <f>CHOOSE(CONTROL!$C$42, 42.5038, 42.5038) * CHOOSE(CONTROL!$C$21, $C$9, 100%, $E$9)</f>
        <v>42.503799999999998</v>
      </c>
      <c r="M641" s="14">
        <f>CHOOSE(CONTROL!$C$42, 40.8352, 40.8352) * CHOOSE(CONTROL!$C$21, $C$9, 100%, $E$9)</f>
        <v>40.8352</v>
      </c>
      <c r="N641" s="14">
        <f>CHOOSE(CONTROL!$C$42, 40.8518, 40.8518) * CHOOSE(CONTROL!$C$21, $C$9, 100%, $E$9)</f>
        <v>40.851799999999997</v>
      </c>
      <c r="O641" s="14">
        <f>CHOOSE(CONTROL!$C$42, 41.0657, 41.0657) * CHOOSE(CONTROL!$C$21, $C$9, 100%, $E$9)</f>
        <v>41.0657</v>
      </c>
      <c r="P641" s="14">
        <f>CHOOSE(CONTROL!$C$42, 40.9731, 40.9731) * CHOOSE(CONTROL!$C$21, $C$9, 100%, $E$9)</f>
        <v>40.973100000000002</v>
      </c>
      <c r="Q641" s="14">
        <f>CHOOSE(CONTROL!$C$42, 41.6604, 41.6604) * CHOOSE(CONTROL!$C$21, $C$9, 100%, $E$9)</f>
        <v>41.660400000000003</v>
      </c>
      <c r="R641" s="14">
        <f>CHOOSE(CONTROL!$C$42, 42.3515, 42.3515) * CHOOSE(CONTROL!$C$21, $C$9, 100%, $E$9)</f>
        <v>42.351500000000001</v>
      </c>
      <c r="S641" s="14">
        <f>CHOOSE(CONTROL!$C$42, 40.0233, 40.0233) * CHOOSE(CONTROL!$C$21, $C$9, 100%, $E$9)</f>
        <v>40.023299999999999</v>
      </c>
      <c r="T64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56">
        <f>(1000*CHOOSE(CONTROL!$C$42, 695, 695)*CHOOSE(CONTROL!$C$42, 0.5599, 0.5599)*CHOOSE(CONTROL!$C$42, 31, 31))/1000000</f>
        <v>12.063045499999998</v>
      </c>
      <c r="V641" s="56">
        <f>(1000*CHOOSE(CONTROL!$C$42, 500, 500)*CHOOSE(CONTROL!$C$42, 0.275, 0.275)*CHOOSE(CONTROL!$C$42, 31, 31))/1000000</f>
        <v>4.2625000000000002</v>
      </c>
      <c r="W641" s="56">
        <f>(1000*CHOOSE(CONTROL!$C$42, 0.1146, 0.1146)*CHOOSE(CONTROL!$C$42, 121.5, 121.5)*CHOOSE(CONTROL!$C$42, 31, 31))/1000000</f>
        <v>0.43164089999999994</v>
      </c>
      <c r="X641" s="56">
        <f>(31*0.1790888*245000/1000000)+(31*0.2374*100000/1000000)</f>
        <v>2.0961194359999999</v>
      </c>
      <c r="Y641" s="56"/>
      <c r="Z641" s="14"/>
      <c r="AA641" s="55"/>
      <c r="AB641" s="49">
        <f>(B641*194.205+C641*267.466+D641*133.845+E641*53.484+F641*40+G641*185+H641*0+I641*100+J641*300)/(194.205+267.466+133.845+53.484+0+40+185+100+300)</f>
        <v>41.724392146153853</v>
      </c>
      <c r="AC641" s="44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40.96046834532374</v>
      </c>
    </row>
    <row r="642" spans="1:29" ht="15.75" x14ac:dyDescent="0.25">
      <c r="A642" s="31">
        <v>60448</v>
      </c>
      <c r="B642" s="14">
        <f>CHOOSE(CONTROL!$C$42, 42.8444, 42.8444) * CHOOSE(CONTROL!$C$21, $C$9, 100%, $E$9)</f>
        <v>42.8444</v>
      </c>
      <c r="C642" s="14">
        <f>CHOOSE(CONTROL!$C$42, 42.8524, 42.8524) * CHOOSE(CONTROL!$C$21, $C$9, 100%, $E$9)</f>
        <v>42.852400000000003</v>
      </c>
      <c r="D642" s="14">
        <f>CHOOSE(CONTROL!$C$42, 43.0782, 43.0782) * CHOOSE(CONTROL!$C$21, $C$9, 100%, $E$9)</f>
        <v>43.078200000000002</v>
      </c>
      <c r="E642" s="14">
        <f>CHOOSE(CONTROL!$C$42, 43.1097, 43.1097) * CHOOSE(CONTROL!$C$21, $C$9, 100%, $E$9)</f>
        <v>43.109699999999997</v>
      </c>
      <c r="F642" s="14">
        <f>CHOOSE(CONTROL!$C$42, 42.8705, 42.8705)*CHOOSE(CONTROL!$C$21, $C$9, 100%, $E$9)</f>
        <v>42.8705</v>
      </c>
      <c r="G642" s="14">
        <f>CHOOSE(CONTROL!$C$42, 42.8876, 42.8876)*CHOOSE(CONTROL!$C$21, $C$9, 100%, $E$9)</f>
        <v>42.887599999999999</v>
      </c>
      <c r="H642" s="14">
        <f>CHOOSE(CONTROL!$C$42, 43.0983, 43.0983) * CHOOSE(CONTROL!$C$21, $C$9, 100%, $E$9)</f>
        <v>43.098300000000002</v>
      </c>
      <c r="I642" s="14">
        <f>CHOOSE(CONTROL!$C$42, 43.0101, 43.0101)* CHOOSE(CONTROL!$C$21, $C$9, 100%, $E$9)</f>
        <v>43.010100000000001</v>
      </c>
      <c r="J642" s="14">
        <f>CHOOSE(CONTROL!$C$42, 42.8635, 42.8635)* CHOOSE(CONTROL!$C$21, $C$9, 100%, $E$9)</f>
        <v>42.863500000000002</v>
      </c>
      <c r="K642" s="52">
        <f>CHOOSE(CONTROL!$C$42, 43.0062, 43.0062) * CHOOSE(CONTROL!$C$21, $C$9, 100%, $E$9)</f>
        <v>43.0062</v>
      </c>
      <c r="L642" s="14">
        <f>CHOOSE(CONTROL!$C$42, 43.6853, 43.6853) * CHOOSE(CONTROL!$C$21, $C$9, 100%, $E$9)</f>
        <v>43.685299999999998</v>
      </c>
      <c r="M642" s="14">
        <f>CHOOSE(CONTROL!$C$42, 41.9929, 41.9929) * CHOOSE(CONTROL!$C$21, $C$9, 100%, $E$9)</f>
        <v>41.992899999999999</v>
      </c>
      <c r="N642" s="14">
        <f>CHOOSE(CONTROL!$C$42, 42.0097, 42.0097) * CHOOSE(CONTROL!$C$21, $C$9, 100%, $E$9)</f>
        <v>42.009700000000002</v>
      </c>
      <c r="O642" s="14">
        <f>CHOOSE(CONTROL!$C$42, 42.2229, 42.2229) * CHOOSE(CONTROL!$C$21, $C$9, 100%, $E$9)</f>
        <v>42.222900000000003</v>
      </c>
      <c r="P642" s="14">
        <f>CHOOSE(CONTROL!$C$42, 42.1339, 42.1339) * CHOOSE(CONTROL!$C$21, $C$9, 100%, $E$9)</f>
        <v>42.133899999999997</v>
      </c>
      <c r="Q642" s="14">
        <f>CHOOSE(CONTROL!$C$42, 42.8176, 42.8176) * CHOOSE(CONTROL!$C$21, $C$9, 100%, $E$9)</f>
        <v>42.817599999999999</v>
      </c>
      <c r="R642" s="14">
        <f>CHOOSE(CONTROL!$C$42, 43.5117, 43.5117) * CHOOSE(CONTROL!$C$21, $C$9, 100%, $E$9)</f>
        <v>43.511699999999998</v>
      </c>
      <c r="S642" s="14">
        <f>CHOOSE(CONTROL!$C$42, 41.1585, 41.1585) * CHOOSE(CONTROL!$C$21, $C$9, 100%, $E$9)</f>
        <v>41.158499999999997</v>
      </c>
      <c r="T64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56">
        <f>(1000*CHOOSE(CONTROL!$C$42, 695, 695)*CHOOSE(CONTROL!$C$42, 0.5599, 0.5599)*CHOOSE(CONTROL!$C$42, 30, 30))/1000000</f>
        <v>11.673914999999997</v>
      </c>
      <c r="V642" s="56">
        <f>(1000*CHOOSE(CONTROL!$C$42, 500, 500)*CHOOSE(CONTROL!$C$42, 0.275, 0.275)*CHOOSE(CONTROL!$C$42, 30, 30))/1000000</f>
        <v>4.125</v>
      </c>
      <c r="W642" s="56">
        <f>(1000*CHOOSE(CONTROL!$C$42, 0.1146, 0.1146)*CHOOSE(CONTROL!$C$42, 121.5, 121.5)*CHOOSE(CONTROL!$C$42, 30, 30))/1000000</f>
        <v>0.417717</v>
      </c>
      <c r="X642" s="56">
        <f>(30*0.1790888*245000/1000000)+(30*0.2374*100000/1000000)</f>
        <v>2.0285026799999999</v>
      </c>
      <c r="Y642" s="56"/>
      <c r="Z642" s="14"/>
      <c r="AA642" s="55"/>
      <c r="AB642" s="49">
        <f>(B642*194.205+C642*267.466+D642*133.845+E642*53.484+F642*40+G642*185+H642*0+I642*100+J642*300)/(194.205+267.466+133.845+53.484+0+40+185+100+300)</f>
        <v>42.906376447566721</v>
      </c>
      <c r="AC642" s="44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42.118399280575545</v>
      </c>
    </row>
    <row r="643" spans="1:29" ht="15.75" x14ac:dyDescent="0.25">
      <c r="A643" s="31">
        <v>60479</v>
      </c>
      <c r="B643" s="14">
        <f>CHOOSE(CONTROL!$C$42, 42.0227, 42.0227) * CHOOSE(CONTROL!$C$21, $C$9, 100%, $E$9)</f>
        <v>42.0227</v>
      </c>
      <c r="C643" s="14">
        <f>CHOOSE(CONTROL!$C$42, 42.0307, 42.0307) * CHOOSE(CONTROL!$C$21, $C$9, 100%, $E$9)</f>
        <v>42.030700000000003</v>
      </c>
      <c r="D643" s="14">
        <f>CHOOSE(CONTROL!$C$42, 42.2565, 42.2565) * CHOOSE(CONTROL!$C$21, $C$9, 100%, $E$9)</f>
        <v>42.256500000000003</v>
      </c>
      <c r="E643" s="14">
        <f>CHOOSE(CONTROL!$C$42, 42.2879, 42.2879) * CHOOSE(CONTROL!$C$21, $C$9, 100%, $E$9)</f>
        <v>42.2879</v>
      </c>
      <c r="F643" s="14">
        <f>CHOOSE(CONTROL!$C$42, 42.0492, 42.0492)*CHOOSE(CONTROL!$C$21, $C$9, 100%, $E$9)</f>
        <v>42.049199999999999</v>
      </c>
      <c r="G643" s="14">
        <f>CHOOSE(CONTROL!$C$42, 42.0664, 42.0664)*CHOOSE(CONTROL!$C$21, $C$9, 100%, $E$9)</f>
        <v>42.066400000000002</v>
      </c>
      <c r="H643" s="14">
        <f>CHOOSE(CONTROL!$C$42, 42.2766, 42.2766) * CHOOSE(CONTROL!$C$21, $C$9, 100%, $E$9)</f>
        <v>42.276600000000002</v>
      </c>
      <c r="I643" s="14">
        <f>CHOOSE(CONTROL!$C$42, 42.1858, 42.1858)* CHOOSE(CONTROL!$C$21, $C$9, 100%, $E$9)</f>
        <v>42.1858</v>
      </c>
      <c r="J643" s="14">
        <f>CHOOSE(CONTROL!$C$42, 42.0422, 42.0422)* CHOOSE(CONTROL!$C$21, $C$9, 100%, $E$9)</f>
        <v>42.042200000000001</v>
      </c>
      <c r="K643" s="52">
        <f>CHOOSE(CONTROL!$C$42, 42.1819, 42.1819) * CHOOSE(CONTROL!$C$21, $C$9, 100%, $E$9)</f>
        <v>42.181899999999999</v>
      </c>
      <c r="L643" s="14">
        <f>CHOOSE(CONTROL!$C$42, 42.8636, 42.8636) * CHOOSE(CONTROL!$C$21, $C$9, 100%, $E$9)</f>
        <v>42.863599999999998</v>
      </c>
      <c r="M643" s="14">
        <f>CHOOSE(CONTROL!$C$42, 41.1885, 41.1885) * CHOOSE(CONTROL!$C$21, $C$9, 100%, $E$9)</f>
        <v>41.188499999999998</v>
      </c>
      <c r="N643" s="14">
        <f>CHOOSE(CONTROL!$C$42, 41.2054, 41.2054) * CHOOSE(CONTROL!$C$21, $C$9, 100%, $E$9)</f>
        <v>41.205399999999997</v>
      </c>
      <c r="O643" s="14">
        <f>CHOOSE(CONTROL!$C$42, 41.418, 41.418) * CHOOSE(CONTROL!$C$21, $C$9, 100%, $E$9)</f>
        <v>41.417999999999999</v>
      </c>
      <c r="P643" s="14">
        <f>CHOOSE(CONTROL!$C$42, 41.3266, 41.3266) * CHOOSE(CONTROL!$C$21, $C$9, 100%, $E$9)</f>
        <v>41.326599999999999</v>
      </c>
      <c r="Q643" s="14">
        <f>CHOOSE(CONTROL!$C$42, 42.0127, 42.0127) * CHOOSE(CONTROL!$C$21, $C$9, 100%, $E$9)</f>
        <v>42.012700000000002</v>
      </c>
      <c r="R643" s="14">
        <f>CHOOSE(CONTROL!$C$42, 42.7048, 42.7048) * CHOOSE(CONTROL!$C$21, $C$9, 100%, $E$9)</f>
        <v>42.704799999999999</v>
      </c>
      <c r="S643" s="14">
        <f>CHOOSE(CONTROL!$C$42, 40.3689, 40.3689) * CHOOSE(CONTROL!$C$21, $C$9, 100%, $E$9)</f>
        <v>40.368899999999996</v>
      </c>
      <c r="T64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56">
        <f>(1000*CHOOSE(CONTROL!$C$42, 695, 695)*CHOOSE(CONTROL!$C$42, 0.5599, 0.5599)*CHOOSE(CONTROL!$C$42, 31, 31))/1000000</f>
        <v>12.063045499999998</v>
      </c>
      <c r="V643" s="56">
        <f>(1000*CHOOSE(CONTROL!$C$42, 500, 500)*CHOOSE(CONTROL!$C$42, 0.275, 0.275)*CHOOSE(CONTROL!$C$42, 31, 31))/1000000</f>
        <v>4.2625000000000002</v>
      </c>
      <c r="W643" s="56">
        <f>(1000*CHOOSE(CONTROL!$C$42, 0.1146, 0.1146)*CHOOSE(CONTROL!$C$42, 121.5, 121.5)*CHOOSE(CONTROL!$C$42, 31, 31))/1000000</f>
        <v>0.43164089999999994</v>
      </c>
      <c r="X643" s="56">
        <f>(31*0.1790888*245000/1000000)+(31*0.2374*100000/1000000)</f>
        <v>2.0961194359999999</v>
      </c>
      <c r="Y643" s="56"/>
      <c r="Z643" s="14"/>
      <c r="AA643" s="55"/>
      <c r="AB643" s="49">
        <f>(B643*194.205+C643*267.466+D643*133.845+E643*53.484+F643*40+G643*185+H643*0+I643*100+J643*300)/(194.205+267.466+133.845+53.484+0+40+185+100+300)</f>
        <v>42.084647524175828</v>
      </c>
      <c r="AC643" s="44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41.313361151079135</v>
      </c>
    </row>
    <row r="644" spans="1:29" ht="15.75" x14ac:dyDescent="0.25">
      <c r="A644" s="31">
        <v>60510</v>
      </c>
      <c r="B644" s="14">
        <f>CHOOSE(CONTROL!$C$42, 39.9475, 39.9475) * CHOOSE(CONTROL!$C$21, $C$9, 100%, $E$9)</f>
        <v>39.947499999999998</v>
      </c>
      <c r="C644" s="14">
        <f>CHOOSE(CONTROL!$C$42, 39.9556, 39.9556) * CHOOSE(CONTROL!$C$21, $C$9, 100%, $E$9)</f>
        <v>39.955599999999997</v>
      </c>
      <c r="D644" s="14">
        <f>CHOOSE(CONTROL!$C$42, 40.1813, 40.1813) * CHOOSE(CONTROL!$C$21, $C$9, 100%, $E$9)</f>
        <v>40.1813</v>
      </c>
      <c r="E644" s="14">
        <f>CHOOSE(CONTROL!$C$42, 40.2128, 40.2128) * CHOOSE(CONTROL!$C$21, $C$9, 100%, $E$9)</f>
        <v>40.212800000000001</v>
      </c>
      <c r="F644" s="14">
        <f>CHOOSE(CONTROL!$C$42, 39.9743, 39.9743)*CHOOSE(CONTROL!$C$21, $C$9, 100%, $E$9)</f>
        <v>39.974299999999999</v>
      </c>
      <c r="G644" s="14">
        <f>CHOOSE(CONTROL!$C$42, 39.9916, 39.9916)*CHOOSE(CONTROL!$C$21, $C$9, 100%, $E$9)</f>
        <v>39.991599999999998</v>
      </c>
      <c r="H644" s="14">
        <f>CHOOSE(CONTROL!$C$42, 40.2014, 40.2014) * CHOOSE(CONTROL!$C$21, $C$9, 100%, $E$9)</f>
        <v>40.2014</v>
      </c>
      <c r="I644" s="14">
        <f>CHOOSE(CONTROL!$C$42, 40.1042, 40.1042)* CHOOSE(CONTROL!$C$21, $C$9, 100%, $E$9)</f>
        <v>40.104199999999999</v>
      </c>
      <c r="J644" s="14">
        <f>CHOOSE(CONTROL!$C$42, 39.9673, 39.9673)* CHOOSE(CONTROL!$C$21, $C$9, 100%, $E$9)</f>
        <v>39.967300000000002</v>
      </c>
      <c r="K644" s="52">
        <f>CHOOSE(CONTROL!$C$42, 40.1003, 40.1003) * CHOOSE(CONTROL!$C$21, $C$9, 100%, $E$9)</f>
        <v>40.100299999999997</v>
      </c>
      <c r="L644" s="14">
        <f>CHOOSE(CONTROL!$C$42, 40.7884, 40.7884) * CHOOSE(CONTROL!$C$21, $C$9, 100%, $E$9)</f>
        <v>40.788400000000003</v>
      </c>
      <c r="M644" s="14">
        <f>CHOOSE(CONTROL!$C$42, 39.1561, 39.1561) * CHOOSE(CONTROL!$C$21, $C$9, 100%, $E$9)</f>
        <v>39.156100000000002</v>
      </c>
      <c r="N644" s="14">
        <f>CHOOSE(CONTROL!$C$42, 39.173, 39.173) * CHOOSE(CONTROL!$C$21, $C$9, 100%, $E$9)</f>
        <v>39.173000000000002</v>
      </c>
      <c r="O644" s="14">
        <f>CHOOSE(CONTROL!$C$42, 39.3854, 39.3854) * CHOOSE(CONTROL!$C$21, $C$9, 100%, $E$9)</f>
        <v>39.385399999999997</v>
      </c>
      <c r="P644" s="14">
        <f>CHOOSE(CONTROL!$C$42, 39.2877, 39.2877) * CHOOSE(CONTROL!$C$21, $C$9, 100%, $E$9)</f>
        <v>39.287700000000001</v>
      </c>
      <c r="Q644" s="14">
        <f>CHOOSE(CONTROL!$C$42, 39.9801, 39.9801) * CHOOSE(CONTROL!$C$21, $C$9, 100%, $E$9)</f>
        <v>39.9801</v>
      </c>
      <c r="R644" s="14">
        <f>CHOOSE(CONTROL!$C$42, 40.6671, 40.6671) * CHOOSE(CONTROL!$C$21, $C$9, 100%, $E$9)</f>
        <v>40.667099999999998</v>
      </c>
      <c r="S644" s="14">
        <f>CHOOSE(CONTROL!$C$42, 38.3749, 38.3749) * CHOOSE(CONTROL!$C$21, $C$9, 100%, $E$9)</f>
        <v>38.374899999999997</v>
      </c>
      <c r="T64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56">
        <f>(1000*CHOOSE(CONTROL!$C$42, 695, 695)*CHOOSE(CONTROL!$C$42, 0.5599, 0.5599)*CHOOSE(CONTROL!$C$42, 31, 31))/1000000</f>
        <v>12.063045499999998</v>
      </c>
      <c r="V644" s="56">
        <f>(1000*CHOOSE(CONTROL!$C$42, 500, 500)*CHOOSE(CONTROL!$C$42, 0.275, 0.275)*CHOOSE(CONTROL!$C$42, 31, 31))/1000000</f>
        <v>4.2625000000000002</v>
      </c>
      <c r="W644" s="56">
        <f>(1000*CHOOSE(CONTROL!$C$42, 0.1146, 0.1146)*CHOOSE(CONTROL!$C$42, 121.5, 121.5)*CHOOSE(CONTROL!$C$42, 31, 31))/1000000</f>
        <v>0.43164089999999994</v>
      </c>
      <c r="X644" s="56">
        <f>(31*0.1790888*245000/1000000)+(31*0.2374*100000/1000000)</f>
        <v>2.0961194359999999</v>
      </c>
      <c r="Y644" s="56"/>
      <c r="Z644" s="14"/>
      <c r="AA644" s="55"/>
      <c r="AB644" s="49">
        <f>(B644*194.205+C644*267.466+D644*133.845+E644*53.484+F644*40+G644*185+H644*0+I644*100+J644*300)/(194.205+267.466+133.845+53.484+0+40+185+100+300)</f>
        <v>40.009108509262163</v>
      </c>
      <c r="AC644" s="44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39.279935251798562</v>
      </c>
    </row>
    <row r="645" spans="1:29" ht="15.75" x14ac:dyDescent="0.25">
      <c r="A645" s="31">
        <v>60540</v>
      </c>
      <c r="B645" s="14">
        <f>CHOOSE(CONTROL!$C$42, 37.4119, 37.4119) * CHOOSE(CONTROL!$C$21, $C$9, 100%, $E$9)</f>
        <v>37.411900000000003</v>
      </c>
      <c r="C645" s="14">
        <f>CHOOSE(CONTROL!$C$42, 37.4199, 37.4199) * CHOOSE(CONTROL!$C$21, $C$9, 100%, $E$9)</f>
        <v>37.419899999999998</v>
      </c>
      <c r="D645" s="14">
        <f>CHOOSE(CONTROL!$C$42, 37.6457, 37.6457) * CHOOSE(CONTROL!$C$21, $C$9, 100%, $E$9)</f>
        <v>37.645699999999998</v>
      </c>
      <c r="E645" s="14">
        <f>CHOOSE(CONTROL!$C$42, 37.6772, 37.6772) * CHOOSE(CONTROL!$C$21, $C$9, 100%, $E$9)</f>
        <v>37.677199999999999</v>
      </c>
      <c r="F645" s="14">
        <f>CHOOSE(CONTROL!$C$42, 37.4387, 37.4387)*CHOOSE(CONTROL!$C$21, $C$9, 100%, $E$9)</f>
        <v>37.438699999999997</v>
      </c>
      <c r="G645" s="14">
        <f>CHOOSE(CONTROL!$C$42, 37.456, 37.456)*CHOOSE(CONTROL!$C$21, $C$9, 100%, $E$9)</f>
        <v>37.456000000000003</v>
      </c>
      <c r="H645" s="14">
        <f>CHOOSE(CONTROL!$C$42, 37.6658, 37.6658) * CHOOSE(CONTROL!$C$21, $C$9, 100%, $E$9)</f>
        <v>37.665799999999997</v>
      </c>
      <c r="I645" s="14">
        <f>CHOOSE(CONTROL!$C$42, 37.5606, 37.5606)* CHOOSE(CONTROL!$C$21, $C$9, 100%, $E$9)</f>
        <v>37.560600000000001</v>
      </c>
      <c r="J645" s="14">
        <f>CHOOSE(CONTROL!$C$42, 37.4317, 37.4317)* CHOOSE(CONTROL!$C$21, $C$9, 100%, $E$9)</f>
        <v>37.431699999999999</v>
      </c>
      <c r="K645" s="52">
        <f>CHOOSE(CONTROL!$C$42, 37.5567, 37.5567) * CHOOSE(CONTROL!$C$21, $C$9, 100%, $E$9)</f>
        <v>37.556699999999999</v>
      </c>
      <c r="L645" s="14">
        <f>CHOOSE(CONTROL!$C$42, 38.2528, 38.2528) * CHOOSE(CONTROL!$C$21, $C$9, 100%, $E$9)</f>
        <v>38.252800000000001</v>
      </c>
      <c r="M645" s="14">
        <f>CHOOSE(CONTROL!$C$42, 36.6724, 36.6724) * CHOOSE(CONTROL!$C$21, $C$9, 100%, $E$9)</f>
        <v>36.672400000000003</v>
      </c>
      <c r="N645" s="14">
        <f>CHOOSE(CONTROL!$C$42, 36.6893, 36.6893) * CHOOSE(CONTROL!$C$21, $C$9, 100%, $E$9)</f>
        <v>36.689300000000003</v>
      </c>
      <c r="O645" s="14">
        <f>CHOOSE(CONTROL!$C$42, 36.9017, 36.9017) * CHOOSE(CONTROL!$C$21, $C$9, 100%, $E$9)</f>
        <v>36.901699999999998</v>
      </c>
      <c r="P645" s="14">
        <f>CHOOSE(CONTROL!$C$42, 36.7964, 36.7964) * CHOOSE(CONTROL!$C$21, $C$9, 100%, $E$9)</f>
        <v>36.796399999999998</v>
      </c>
      <c r="Q645" s="14">
        <f>CHOOSE(CONTROL!$C$42, 37.4964, 37.4964) * CHOOSE(CONTROL!$C$21, $C$9, 100%, $E$9)</f>
        <v>37.496400000000001</v>
      </c>
      <c r="R645" s="14">
        <f>CHOOSE(CONTROL!$C$42, 38.1772, 38.1772) * CHOOSE(CONTROL!$C$21, $C$9, 100%, $E$9)</f>
        <v>38.177199999999999</v>
      </c>
      <c r="S645" s="14">
        <f>CHOOSE(CONTROL!$C$42, 35.9384, 35.9384) * CHOOSE(CONTROL!$C$21, $C$9, 100%, $E$9)</f>
        <v>35.938400000000001</v>
      </c>
      <c r="T64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56">
        <f>(1000*CHOOSE(CONTROL!$C$42, 695, 695)*CHOOSE(CONTROL!$C$42, 0.5599, 0.5599)*CHOOSE(CONTROL!$C$42, 30, 30))/1000000</f>
        <v>11.673914999999997</v>
      </c>
      <c r="V645" s="56">
        <f>(1000*CHOOSE(CONTROL!$C$42, 500, 500)*CHOOSE(CONTROL!$C$42, 0.275, 0.275)*CHOOSE(CONTROL!$C$42, 30, 30))/1000000</f>
        <v>4.125</v>
      </c>
      <c r="W645" s="56">
        <f>(1000*CHOOSE(CONTROL!$C$42, 0.1146, 0.1146)*CHOOSE(CONTROL!$C$42, 121.5, 121.5)*CHOOSE(CONTROL!$C$42, 30, 30))/1000000</f>
        <v>0.417717</v>
      </c>
      <c r="X645" s="56">
        <f>(30*0.1790888*245000/1000000)+(30*0.2374*100000/1000000)</f>
        <v>2.0285026799999999</v>
      </c>
      <c r="Y645" s="56"/>
      <c r="Z645" s="14"/>
      <c r="AA645" s="55"/>
      <c r="AB645" s="49">
        <f>(B645*194.205+C645*267.466+D645*133.845+E645*53.484+F645*40+G645*185+H645*0+I645*100+J645*300)/(194.205+267.466+133.845+53.484+0+40+185+100+300)</f>
        <v>37.472859571585559</v>
      </c>
      <c r="AC645" s="44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36.795141726618709</v>
      </c>
    </row>
    <row r="646" spans="1:29" ht="15.75" x14ac:dyDescent="0.25">
      <c r="A646" s="31">
        <v>60571</v>
      </c>
      <c r="B646" s="14">
        <f>CHOOSE(CONTROL!$C$42, 36.6507, 36.6507) * CHOOSE(CONTROL!$C$21, $C$9, 100%, $E$9)</f>
        <v>36.650700000000001</v>
      </c>
      <c r="C646" s="14">
        <f>CHOOSE(CONTROL!$C$42, 36.6561, 36.6561) * CHOOSE(CONTROL!$C$21, $C$9, 100%, $E$9)</f>
        <v>36.656100000000002</v>
      </c>
      <c r="D646" s="14">
        <f>CHOOSE(CONTROL!$C$42, 36.8868, 36.8868) * CHOOSE(CONTROL!$C$21, $C$9, 100%, $E$9)</f>
        <v>36.886800000000001</v>
      </c>
      <c r="E646" s="14">
        <f>CHOOSE(CONTROL!$C$42, 36.9159, 36.9159) * CHOOSE(CONTROL!$C$21, $C$9, 100%, $E$9)</f>
        <v>36.915900000000001</v>
      </c>
      <c r="F646" s="14">
        <f>CHOOSE(CONTROL!$C$42, 36.6796, 36.6796)*CHOOSE(CONTROL!$C$21, $C$9, 100%, $E$9)</f>
        <v>36.679600000000001</v>
      </c>
      <c r="G646" s="14">
        <f>CHOOSE(CONTROL!$C$42, 36.6967, 36.6967)*CHOOSE(CONTROL!$C$21, $C$9, 100%, $E$9)</f>
        <v>36.6967</v>
      </c>
      <c r="H646" s="14">
        <f>CHOOSE(CONTROL!$C$42, 36.9064, 36.9064) * CHOOSE(CONTROL!$C$21, $C$9, 100%, $E$9)</f>
        <v>36.906399999999998</v>
      </c>
      <c r="I646" s="14">
        <f>CHOOSE(CONTROL!$C$42, 36.7988, 36.7988)* CHOOSE(CONTROL!$C$21, $C$9, 100%, $E$9)</f>
        <v>36.7988</v>
      </c>
      <c r="J646" s="14">
        <f>CHOOSE(CONTROL!$C$42, 36.6726, 36.6726)* CHOOSE(CONTROL!$C$21, $C$9, 100%, $E$9)</f>
        <v>36.672600000000003</v>
      </c>
      <c r="K646" s="52">
        <f>CHOOSE(CONTROL!$C$42, 36.7949, 36.7949) * CHOOSE(CONTROL!$C$21, $C$9, 100%, $E$9)</f>
        <v>36.794899999999998</v>
      </c>
      <c r="L646" s="14">
        <f>CHOOSE(CONTROL!$C$42, 37.4934, 37.4934) * CHOOSE(CONTROL!$C$21, $C$9, 100%, $E$9)</f>
        <v>37.493400000000001</v>
      </c>
      <c r="M646" s="14">
        <f>CHOOSE(CONTROL!$C$42, 35.9289, 35.9289) * CHOOSE(CONTROL!$C$21, $C$9, 100%, $E$9)</f>
        <v>35.928899999999999</v>
      </c>
      <c r="N646" s="14">
        <f>CHOOSE(CONTROL!$C$42, 35.9457, 35.9457) * CHOOSE(CONTROL!$C$21, $C$9, 100%, $E$9)</f>
        <v>35.945700000000002</v>
      </c>
      <c r="O646" s="14">
        <f>CHOOSE(CONTROL!$C$42, 36.1579, 36.1579) * CHOOSE(CONTROL!$C$21, $C$9, 100%, $E$9)</f>
        <v>36.157899999999998</v>
      </c>
      <c r="P646" s="14">
        <f>CHOOSE(CONTROL!$C$42, 36.0503, 36.0503) * CHOOSE(CONTROL!$C$21, $C$9, 100%, $E$9)</f>
        <v>36.0503</v>
      </c>
      <c r="Q646" s="14">
        <f>CHOOSE(CONTROL!$C$42, 36.7526, 36.7526) * CHOOSE(CONTROL!$C$21, $C$9, 100%, $E$9)</f>
        <v>36.752600000000001</v>
      </c>
      <c r="R646" s="14">
        <f>CHOOSE(CONTROL!$C$42, 37.4315, 37.4315) * CHOOSE(CONTROL!$C$21, $C$9, 100%, $E$9)</f>
        <v>37.4315</v>
      </c>
      <c r="S646" s="14">
        <f>CHOOSE(CONTROL!$C$42, 35.2088, 35.2088) * CHOOSE(CONTROL!$C$21, $C$9, 100%, $E$9)</f>
        <v>35.208799999999997</v>
      </c>
      <c r="T64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56">
        <f>(1000*CHOOSE(CONTROL!$C$42, 695, 695)*CHOOSE(CONTROL!$C$42, 0.5599, 0.5599)*CHOOSE(CONTROL!$C$42, 31, 31))/1000000</f>
        <v>12.063045499999998</v>
      </c>
      <c r="V646" s="56">
        <f>(1000*CHOOSE(CONTROL!$C$42, 500, 500)*CHOOSE(CONTROL!$C$42, 0.275, 0.275)*CHOOSE(CONTROL!$C$42, 31, 31))/1000000</f>
        <v>4.2625000000000002</v>
      </c>
      <c r="W646" s="56">
        <f>(1000*CHOOSE(CONTROL!$C$42, 0.1146, 0.1146)*CHOOSE(CONTROL!$C$42, 121.5, 121.5)*CHOOSE(CONTROL!$C$42, 31, 31))/1000000</f>
        <v>0.43164089999999994</v>
      </c>
      <c r="X646" s="56">
        <f>(31*0.1790888*245000/1000000)+(31*0.2374*100000/1000000)</f>
        <v>2.0961194359999999</v>
      </c>
      <c r="Y646" s="56"/>
      <c r="Z646" s="14"/>
      <c r="AA646" s="55"/>
      <c r="AB646" s="49">
        <f>(B646*131.881+C646*277.167+D646*79.08+E646*125.872+F646*40+G646*185+H646*0+I646*100+J646*300)/(131.881+277.167+79.08+125.872+0+40+185+100+300)</f>
        <v>36.718976629701373</v>
      </c>
      <c r="AC646" s="44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36.051125899280571</v>
      </c>
    </row>
    <row r="647" spans="1:29" ht="15.75" x14ac:dyDescent="0.25">
      <c r="A647" s="31">
        <v>60601</v>
      </c>
      <c r="B647" s="14">
        <f>CHOOSE(CONTROL!$C$42, 37.6156, 37.6156) * CHOOSE(CONTROL!$C$21, $C$9, 100%, $E$9)</f>
        <v>37.615600000000001</v>
      </c>
      <c r="C647" s="14">
        <f>CHOOSE(CONTROL!$C$42, 37.6207, 37.6207) * CHOOSE(CONTROL!$C$21, $C$9, 100%, $E$9)</f>
        <v>37.620699999999999</v>
      </c>
      <c r="D647" s="14">
        <f>CHOOSE(CONTROL!$C$42, 37.6897, 37.6897) * CHOOSE(CONTROL!$C$21, $C$9, 100%, $E$9)</f>
        <v>37.689700000000002</v>
      </c>
      <c r="E647" s="14">
        <f>CHOOSE(CONTROL!$C$42, 37.7238, 37.7238) * CHOOSE(CONTROL!$C$21, $C$9, 100%, $E$9)</f>
        <v>37.723799999999997</v>
      </c>
      <c r="F647" s="14">
        <f>CHOOSE(CONTROL!$C$42, 37.6512, 37.6512)*CHOOSE(CONTROL!$C$21, $C$9, 100%, $E$9)</f>
        <v>37.651200000000003</v>
      </c>
      <c r="G647" s="14">
        <f>CHOOSE(CONTROL!$C$42, 37.6686, 37.6686)*CHOOSE(CONTROL!$C$21, $C$9, 100%, $E$9)</f>
        <v>37.668599999999998</v>
      </c>
      <c r="H647" s="14">
        <f>CHOOSE(CONTROL!$C$42, 37.713, 37.713) * CHOOSE(CONTROL!$C$21, $C$9, 100%, $E$9)</f>
        <v>37.713000000000001</v>
      </c>
      <c r="I647" s="14">
        <f>CHOOSE(CONTROL!$C$42, 37.7698, 37.7698)* CHOOSE(CONTROL!$C$21, $C$9, 100%, $E$9)</f>
        <v>37.769799999999996</v>
      </c>
      <c r="J647" s="14">
        <f>CHOOSE(CONTROL!$C$42, 37.6442, 37.6442)* CHOOSE(CONTROL!$C$21, $C$9, 100%, $E$9)</f>
        <v>37.644199999999998</v>
      </c>
      <c r="K647" s="52">
        <f>CHOOSE(CONTROL!$C$42, 37.7659, 37.7659) * CHOOSE(CONTROL!$C$21, $C$9, 100%, $E$9)</f>
        <v>37.765900000000002</v>
      </c>
      <c r="L647" s="14">
        <f>CHOOSE(CONTROL!$C$42, 38.3, 38.3) * CHOOSE(CONTROL!$C$21, $C$9, 100%, $E$9)</f>
        <v>38.299999999999997</v>
      </c>
      <c r="M647" s="14">
        <f>CHOOSE(CONTROL!$C$42, 36.8806, 36.8806) * CHOOSE(CONTROL!$C$21, $C$9, 100%, $E$9)</f>
        <v>36.880600000000001</v>
      </c>
      <c r="N647" s="14">
        <f>CHOOSE(CONTROL!$C$42, 36.8976, 36.8976) * CHOOSE(CONTROL!$C$21, $C$9, 100%, $E$9)</f>
        <v>36.897599999999997</v>
      </c>
      <c r="O647" s="14">
        <f>CHOOSE(CONTROL!$C$42, 36.948, 36.948) * CHOOSE(CONTROL!$C$21, $C$9, 100%, $E$9)</f>
        <v>36.948</v>
      </c>
      <c r="P647" s="14">
        <f>CHOOSE(CONTROL!$C$42, 37.0013, 37.0013) * CHOOSE(CONTROL!$C$21, $C$9, 100%, $E$9)</f>
        <v>37.001300000000001</v>
      </c>
      <c r="Q647" s="14">
        <f>CHOOSE(CONTROL!$C$42, 37.5427, 37.5427) * CHOOSE(CONTROL!$C$21, $C$9, 100%, $E$9)</f>
        <v>37.542700000000004</v>
      </c>
      <c r="R647" s="14">
        <f>CHOOSE(CONTROL!$C$42, 38.2235, 38.2235) * CHOOSE(CONTROL!$C$21, $C$9, 100%, $E$9)</f>
        <v>38.223500000000001</v>
      </c>
      <c r="S647" s="14">
        <f>CHOOSE(CONTROL!$C$42, 36.1363, 36.1363) * CHOOSE(CONTROL!$C$21, $C$9, 100%, $E$9)</f>
        <v>36.136299999999999</v>
      </c>
      <c r="T64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56">
        <f>(1000*CHOOSE(CONTROL!$C$42, 695, 695)*CHOOSE(CONTROL!$C$42, 0.5599, 0.5599)*CHOOSE(CONTROL!$C$42, 30, 30))/1000000</f>
        <v>11.673914999999997</v>
      </c>
      <c r="V647" s="56">
        <f>(1000*CHOOSE(CONTROL!$C$42, 500, 500)*CHOOSE(CONTROL!$C$42, 0.275, 0.275)*CHOOSE(CONTROL!$C$42, 30, 30))/1000000</f>
        <v>4.125</v>
      </c>
      <c r="W647" s="56">
        <f>(1000*CHOOSE(CONTROL!$C$42, 0.1146, 0.1146)*CHOOSE(CONTROL!$C$42, 121.5, 121.5)*CHOOSE(CONTROL!$C$42, 30, 30))/1000000</f>
        <v>0.417717</v>
      </c>
      <c r="X647" s="56">
        <f>(30*0.1790888*100000/1000000)+(30*0.2374*100000/1000000)</f>
        <v>1.2494664</v>
      </c>
      <c r="Y647" s="56"/>
      <c r="Z647" s="14"/>
      <c r="AA647" s="55"/>
      <c r="AB647" s="49">
        <f>(B647*122.58+C647*297.941+D647*89.177+E647*40.302+F647*40+G647*160+H647*0+I647*100+J647*300)/(122.58+297.941+89.177+40.302+0+40+160+100+300)</f>
        <v>37.655941035826082</v>
      </c>
      <c r="AC647" s="44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36.929493525179858</v>
      </c>
    </row>
    <row r="648" spans="1:29" ht="15.75" x14ac:dyDescent="0.25">
      <c r="A648" s="31">
        <v>60632</v>
      </c>
      <c r="B648" s="14">
        <f>CHOOSE(CONTROL!$C$42, 40.1796, 40.1796) * CHOOSE(CONTROL!$C$21, $C$9, 100%, $E$9)</f>
        <v>40.179600000000001</v>
      </c>
      <c r="C648" s="14">
        <f>CHOOSE(CONTROL!$C$42, 40.1846, 40.1846) * CHOOSE(CONTROL!$C$21, $C$9, 100%, $E$9)</f>
        <v>40.184600000000003</v>
      </c>
      <c r="D648" s="14">
        <f>CHOOSE(CONTROL!$C$42, 40.2537, 40.2537) * CHOOSE(CONTROL!$C$21, $C$9, 100%, $E$9)</f>
        <v>40.253700000000002</v>
      </c>
      <c r="E648" s="14">
        <f>CHOOSE(CONTROL!$C$42, 40.2878, 40.2878) * CHOOSE(CONTROL!$C$21, $C$9, 100%, $E$9)</f>
        <v>40.287799999999997</v>
      </c>
      <c r="F648" s="14">
        <f>CHOOSE(CONTROL!$C$42, 40.2174, 40.2174)*CHOOSE(CONTROL!$C$21, $C$9, 100%, $E$9)</f>
        <v>40.217399999999998</v>
      </c>
      <c r="G648" s="14">
        <f>CHOOSE(CONTROL!$C$42, 40.2354, 40.2354)*CHOOSE(CONTROL!$C$21, $C$9, 100%, $E$9)</f>
        <v>40.235399999999998</v>
      </c>
      <c r="H648" s="14">
        <f>CHOOSE(CONTROL!$C$42, 40.277, 40.277) * CHOOSE(CONTROL!$C$21, $C$9, 100%, $E$9)</f>
        <v>40.277000000000001</v>
      </c>
      <c r="I648" s="14">
        <f>CHOOSE(CONTROL!$C$42, 40.3417, 40.3417)* CHOOSE(CONTROL!$C$21, $C$9, 100%, $E$9)</f>
        <v>40.341700000000003</v>
      </c>
      <c r="J648" s="14">
        <f>CHOOSE(CONTROL!$C$42, 40.2104, 40.2104)* CHOOSE(CONTROL!$C$21, $C$9, 100%, $E$9)</f>
        <v>40.2104</v>
      </c>
      <c r="K648" s="52">
        <f>CHOOSE(CONTROL!$C$42, 40.3379, 40.3379) * CHOOSE(CONTROL!$C$21, $C$9, 100%, $E$9)</f>
        <v>40.337899999999998</v>
      </c>
      <c r="L648" s="14">
        <f>CHOOSE(CONTROL!$C$42, 40.864, 40.864) * CHOOSE(CONTROL!$C$21, $C$9, 100%, $E$9)</f>
        <v>40.863999999999997</v>
      </c>
      <c r="M648" s="14">
        <f>CHOOSE(CONTROL!$C$42, 39.3942, 39.3942) * CHOOSE(CONTROL!$C$21, $C$9, 100%, $E$9)</f>
        <v>39.394199999999998</v>
      </c>
      <c r="N648" s="14">
        <f>CHOOSE(CONTROL!$C$42, 39.4119, 39.4119) * CHOOSE(CONTROL!$C$21, $C$9, 100%, $E$9)</f>
        <v>39.411900000000003</v>
      </c>
      <c r="O648" s="14">
        <f>CHOOSE(CONTROL!$C$42, 39.4594, 39.4594) * CHOOSE(CONTROL!$C$21, $C$9, 100%, $E$9)</f>
        <v>39.459400000000002</v>
      </c>
      <c r="P648" s="14">
        <f>CHOOSE(CONTROL!$C$42, 39.5204, 39.5204) * CHOOSE(CONTROL!$C$21, $C$9, 100%, $E$9)</f>
        <v>39.520400000000002</v>
      </c>
      <c r="Q648" s="14">
        <f>CHOOSE(CONTROL!$C$42, 40.0541, 40.0541) * CHOOSE(CONTROL!$C$21, $C$9, 100%, $E$9)</f>
        <v>40.054099999999998</v>
      </c>
      <c r="R648" s="14">
        <f>CHOOSE(CONTROL!$C$42, 40.7412, 40.7412) * CHOOSE(CONTROL!$C$21, $C$9, 100%, $E$9)</f>
        <v>40.741199999999999</v>
      </c>
      <c r="S648" s="14">
        <f>CHOOSE(CONTROL!$C$42, 38.6, 38.6) * CHOOSE(CONTROL!$C$21, $C$9, 100%, $E$9)</f>
        <v>38.6</v>
      </c>
      <c r="T64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56">
        <f>(1000*CHOOSE(CONTROL!$C$42, 695, 695)*CHOOSE(CONTROL!$C$42, 0.5599, 0.5599)*CHOOSE(CONTROL!$C$42, 31, 31))/1000000</f>
        <v>12.063045499999998</v>
      </c>
      <c r="V648" s="56">
        <f>(1000*CHOOSE(CONTROL!$C$42, 500, 500)*CHOOSE(CONTROL!$C$42, 0.275, 0.275)*CHOOSE(CONTROL!$C$42, 31, 31))/1000000</f>
        <v>4.2625000000000002</v>
      </c>
      <c r="W648" s="56">
        <f>(1000*CHOOSE(CONTROL!$C$42, 0.1146, 0.1146)*CHOOSE(CONTROL!$C$42, 121.5, 121.5)*CHOOSE(CONTROL!$C$42, 31, 31))/1000000</f>
        <v>0.43164089999999994</v>
      </c>
      <c r="X648" s="56">
        <f>(31*0.1790888*100000/1000000)+(31*0.2374*100000/1000000)</f>
        <v>1.2911152800000001</v>
      </c>
      <c r="Y648" s="56"/>
      <c r="Z648" s="14"/>
      <c r="AA648" s="55"/>
      <c r="AB648" s="49">
        <f>(B648*122.58+C648*297.941+D648*89.177+E648*40.302+F648*40+G648*160+H648*0+I648*100+J648*300)/(122.58+297.941+89.177+40.302+0+40+160+100+300)</f>
        <v>40.221642084434784</v>
      </c>
      <c r="AC648" s="44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39.442928057553964</v>
      </c>
    </row>
    <row r="649" spans="1:29" ht="15.75" x14ac:dyDescent="0.25">
      <c r="A649" s="31">
        <v>60663</v>
      </c>
      <c r="B649" s="14">
        <f>CHOOSE(CONTROL!$C$42, 43.5097, 43.5097) * CHOOSE(CONTROL!$C$21, $C$9, 100%, $E$9)</f>
        <v>43.509700000000002</v>
      </c>
      <c r="C649" s="14">
        <f>CHOOSE(CONTROL!$C$42, 43.5148, 43.5148) * CHOOSE(CONTROL!$C$21, $C$9, 100%, $E$9)</f>
        <v>43.514800000000001</v>
      </c>
      <c r="D649" s="14">
        <f>CHOOSE(CONTROL!$C$42, 43.5942, 43.5942) * CHOOSE(CONTROL!$C$21, $C$9, 100%, $E$9)</f>
        <v>43.594200000000001</v>
      </c>
      <c r="E649" s="14">
        <f>CHOOSE(CONTROL!$C$42, 43.6283, 43.6283) * CHOOSE(CONTROL!$C$21, $C$9, 100%, $E$9)</f>
        <v>43.628300000000003</v>
      </c>
      <c r="F649" s="14">
        <f>CHOOSE(CONTROL!$C$42, 43.5327, 43.5327)*CHOOSE(CONTROL!$C$21, $C$9, 100%, $E$9)</f>
        <v>43.532699999999998</v>
      </c>
      <c r="G649" s="14">
        <f>CHOOSE(CONTROL!$C$42, 43.5502, 43.5502)*CHOOSE(CONTROL!$C$21, $C$9, 100%, $E$9)</f>
        <v>43.550199999999997</v>
      </c>
      <c r="H649" s="14">
        <f>CHOOSE(CONTROL!$C$42, 43.6175, 43.6175) * CHOOSE(CONTROL!$C$21, $C$9, 100%, $E$9)</f>
        <v>43.6175</v>
      </c>
      <c r="I649" s="14">
        <f>CHOOSE(CONTROL!$C$42, 43.6813, 43.6813)* CHOOSE(CONTROL!$C$21, $C$9, 100%, $E$9)</f>
        <v>43.6813</v>
      </c>
      <c r="J649" s="14">
        <f>CHOOSE(CONTROL!$C$42, 43.5257, 43.5257)* CHOOSE(CONTROL!$C$21, $C$9, 100%, $E$9)</f>
        <v>43.525700000000001</v>
      </c>
      <c r="K649" s="52">
        <f>CHOOSE(CONTROL!$C$42, 43.6774, 43.6774) * CHOOSE(CONTROL!$C$21, $C$9, 100%, $E$9)</f>
        <v>43.677399999999999</v>
      </c>
      <c r="L649" s="14">
        <f>CHOOSE(CONTROL!$C$42, 44.2045, 44.2045) * CHOOSE(CONTROL!$C$21, $C$9, 100%, $E$9)</f>
        <v>44.204500000000003</v>
      </c>
      <c r="M649" s="14">
        <f>CHOOSE(CONTROL!$C$42, 42.6416, 42.6416) * CHOOSE(CONTROL!$C$21, $C$9, 100%, $E$9)</f>
        <v>42.641599999999997</v>
      </c>
      <c r="N649" s="14">
        <f>CHOOSE(CONTROL!$C$42, 42.6588, 42.6588) * CHOOSE(CONTROL!$C$21, $C$9, 100%, $E$9)</f>
        <v>42.658799999999999</v>
      </c>
      <c r="O649" s="14">
        <f>CHOOSE(CONTROL!$C$42, 42.7315, 42.7315) * CHOOSE(CONTROL!$C$21, $C$9, 100%, $E$9)</f>
        <v>42.731499999999997</v>
      </c>
      <c r="P649" s="14">
        <f>CHOOSE(CONTROL!$C$42, 42.7913, 42.7913) * CHOOSE(CONTROL!$C$21, $C$9, 100%, $E$9)</f>
        <v>42.7913</v>
      </c>
      <c r="Q649" s="14">
        <f>CHOOSE(CONTROL!$C$42, 43.3262, 43.3262) * CHOOSE(CONTROL!$C$21, $C$9, 100%, $E$9)</f>
        <v>43.3262</v>
      </c>
      <c r="R649" s="14">
        <f>CHOOSE(CONTROL!$C$42, 44.0215, 44.0215) * CHOOSE(CONTROL!$C$21, $C$9, 100%, $E$9)</f>
        <v>44.021500000000003</v>
      </c>
      <c r="S649" s="14">
        <f>CHOOSE(CONTROL!$C$42, 41.7999, 41.7999) * CHOOSE(CONTROL!$C$21, $C$9, 100%, $E$9)</f>
        <v>41.799900000000001</v>
      </c>
      <c r="T64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56">
        <f>(1000*CHOOSE(CONTROL!$C$42, 695, 695)*CHOOSE(CONTROL!$C$42, 0.5599, 0.5599)*CHOOSE(CONTROL!$C$42, 31, 31))/1000000</f>
        <v>12.063045499999998</v>
      </c>
      <c r="V649" s="56">
        <f>(1000*CHOOSE(CONTROL!$C$42, 500, 500)*CHOOSE(CONTROL!$C$42, 0.275, 0.275)*CHOOSE(CONTROL!$C$42, 31, 31))/1000000</f>
        <v>4.2625000000000002</v>
      </c>
      <c r="W649" s="56">
        <f>(1000*CHOOSE(CONTROL!$C$42, 0.1146, 0.1146)*CHOOSE(CONTROL!$C$42, 121.5, 121.5)*CHOOSE(CONTROL!$C$42, 31, 31))/1000000</f>
        <v>0.43164089999999994</v>
      </c>
      <c r="X649" s="56">
        <f>(31*0.1790888*100000/1000000)+(31*0.2374*100000/1000000)</f>
        <v>1.2911152800000001</v>
      </c>
      <c r="Y649" s="56"/>
      <c r="Z649" s="14"/>
      <c r="AA649" s="55"/>
      <c r="AB649" s="49">
        <f>(B649*122.58+C649*297.941+D649*89.177+E649*40.302+F649*40+G649*160+H649*0+I649*100+J649*300)/(122.58+297.941+89.177+40.302+0+40+160+100+300)</f>
        <v>43.547260672</v>
      </c>
      <c r="AC649" s="44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42.704875539568341</v>
      </c>
    </row>
    <row r="650" spans="1:29" ht="15.75" x14ac:dyDescent="0.25">
      <c r="A650" s="31">
        <v>60691</v>
      </c>
      <c r="B650" s="14">
        <f>CHOOSE(CONTROL!$C$42, 44.2841, 44.2841) * CHOOSE(CONTROL!$C$21, $C$9, 100%, $E$9)</f>
        <v>44.284100000000002</v>
      </c>
      <c r="C650" s="14">
        <f>CHOOSE(CONTROL!$C$42, 44.2891, 44.2891) * CHOOSE(CONTROL!$C$21, $C$9, 100%, $E$9)</f>
        <v>44.289099999999998</v>
      </c>
      <c r="D650" s="14">
        <f>CHOOSE(CONTROL!$C$42, 44.3686, 44.3686) * CHOOSE(CONTROL!$C$21, $C$9, 100%, $E$9)</f>
        <v>44.368600000000001</v>
      </c>
      <c r="E650" s="14">
        <f>CHOOSE(CONTROL!$C$42, 44.4027, 44.4027) * CHOOSE(CONTROL!$C$21, $C$9, 100%, $E$9)</f>
        <v>44.402700000000003</v>
      </c>
      <c r="F650" s="14">
        <f>CHOOSE(CONTROL!$C$42, 44.3069, 44.3069)*CHOOSE(CONTROL!$C$21, $C$9, 100%, $E$9)</f>
        <v>44.306899999999999</v>
      </c>
      <c r="G650" s="14">
        <f>CHOOSE(CONTROL!$C$42, 44.3243, 44.3243)*CHOOSE(CONTROL!$C$21, $C$9, 100%, $E$9)</f>
        <v>44.324300000000001</v>
      </c>
      <c r="H650" s="14">
        <f>CHOOSE(CONTROL!$C$42, 44.3919, 44.3919) * CHOOSE(CONTROL!$C$21, $C$9, 100%, $E$9)</f>
        <v>44.3919</v>
      </c>
      <c r="I650" s="14">
        <f>CHOOSE(CONTROL!$C$42, 44.458, 44.458)* CHOOSE(CONTROL!$C$21, $C$9, 100%, $E$9)</f>
        <v>44.457999999999998</v>
      </c>
      <c r="J650" s="14">
        <f>CHOOSE(CONTROL!$C$42, 44.2999, 44.2999)* CHOOSE(CONTROL!$C$21, $C$9, 100%, $E$9)</f>
        <v>44.299900000000001</v>
      </c>
      <c r="K650" s="52">
        <f>CHOOSE(CONTROL!$C$42, 44.4542, 44.4542) * CHOOSE(CONTROL!$C$21, $C$9, 100%, $E$9)</f>
        <v>44.4542</v>
      </c>
      <c r="L650" s="14">
        <f>CHOOSE(CONTROL!$C$42, 44.9789, 44.9789) * CHOOSE(CONTROL!$C$21, $C$9, 100%, $E$9)</f>
        <v>44.978900000000003</v>
      </c>
      <c r="M650" s="14">
        <f>CHOOSE(CONTROL!$C$42, 43.3999, 43.3999) * CHOOSE(CONTROL!$C$21, $C$9, 100%, $E$9)</f>
        <v>43.399900000000002</v>
      </c>
      <c r="N650" s="14">
        <f>CHOOSE(CONTROL!$C$42, 43.417, 43.417) * CHOOSE(CONTROL!$C$21, $C$9, 100%, $E$9)</f>
        <v>43.417000000000002</v>
      </c>
      <c r="O650" s="14">
        <f>CHOOSE(CONTROL!$C$42, 43.49, 43.49) * CHOOSE(CONTROL!$C$21, $C$9, 100%, $E$9)</f>
        <v>43.49</v>
      </c>
      <c r="P650" s="14">
        <f>CHOOSE(CONTROL!$C$42, 43.5521, 43.5521) * CHOOSE(CONTROL!$C$21, $C$9, 100%, $E$9)</f>
        <v>43.552100000000003</v>
      </c>
      <c r="Q650" s="14">
        <f>CHOOSE(CONTROL!$C$42, 44.0847, 44.0847) * CHOOSE(CONTROL!$C$21, $C$9, 100%, $E$9)</f>
        <v>44.084699999999998</v>
      </c>
      <c r="R650" s="14">
        <f>CHOOSE(CONTROL!$C$42, 44.7819, 44.7819) * CHOOSE(CONTROL!$C$21, $C$9, 100%, $E$9)</f>
        <v>44.7819</v>
      </c>
      <c r="S650" s="14">
        <f>CHOOSE(CONTROL!$C$42, 42.544, 42.544) * CHOOSE(CONTROL!$C$21, $C$9, 100%, $E$9)</f>
        <v>42.543999999999997</v>
      </c>
      <c r="T65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56">
        <f>(1000*CHOOSE(CONTROL!$C$42, 695, 695)*CHOOSE(CONTROL!$C$42, 0.5599, 0.5599)*CHOOSE(CONTROL!$C$42, 28, 28))/1000000</f>
        <v>10.895653999999999</v>
      </c>
      <c r="V650" s="56">
        <f>(1000*CHOOSE(CONTROL!$C$42, 500, 500)*CHOOSE(CONTROL!$C$42, 0.275, 0.275)*CHOOSE(CONTROL!$C$42, 28, 28))/1000000</f>
        <v>3.85</v>
      </c>
      <c r="W650" s="56">
        <f>(1000*CHOOSE(CONTROL!$C$42, 0.1146, 0.1146)*CHOOSE(CONTROL!$C$42, 121.5, 121.5)*CHOOSE(CONTROL!$C$42, 28, 28))/1000000</f>
        <v>0.38986920000000003</v>
      </c>
      <c r="X650" s="56">
        <f>(28*0.1790888*100000/1000000)+(28*0.2374*100000/1000000)</f>
        <v>1.16616864</v>
      </c>
      <c r="Y650" s="56"/>
      <c r="Z650" s="14"/>
      <c r="AA650" s="55"/>
      <c r="AB650" s="49">
        <f>(B650*122.58+C650*297.941+D650*89.177+E650*40.302+F650*40+G650*160+H650*0+I650*100+J650*300)/(122.58+297.941+89.177+40.302+0+40+160+100+300)</f>
        <v>44.321733894521742</v>
      </c>
      <c r="AC650" s="44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43.463620143884896</v>
      </c>
    </row>
    <row r="651" spans="1:29" ht="15.75" x14ac:dyDescent="0.25">
      <c r="A651" s="31">
        <v>60722</v>
      </c>
      <c r="B651" s="14">
        <f>CHOOSE(CONTROL!$C$42, 43.0271, 43.0271) * CHOOSE(CONTROL!$C$21, $C$9, 100%, $E$9)</f>
        <v>43.027099999999997</v>
      </c>
      <c r="C651" s="14">
        <f>CHOOSE(CONTROL!$C$42, 43.0321, 43.0321) * CHOOSE(CONTROL!$C$21, $C$9, 100%, $E$9)</f>
        <v>43.0321</v>
      </c>
      <c r="D651" s="14">
        <f>CHOOSE(CONTROL!$C$42, 43.1116, 43.1116) * CHOOSE(CONTROL!$C$21, $C$9, 100%, $E$9)</f>
        <v>43.111600000000003</v>
      </c>
      <c r="E651" s="14">
        <f>CHOOSE(CONTROL!$C$42, 43.1457, 43.1457) * CHOOSE(CONTROL!$C$21, $C$9, 100%, $E$9)</f>
        <v>43.145699999999998</v>
      </c>
      <c r="F651" s="14">
        <f>CHOOSE(CONTROL!$C$42, 43.0491, 43.0491)*CHOOSE(CONTROL!$C$21, $C$9, 100%, $E$9)</f>
        <v>43.049100000000003</v>
      </c>
      <c r="G651" s="14">
        <f>CHOOSE(CONTROL!$C$42, 43.0664, 43.0664)*CHOOSE(CONTROL!$C$21, $C$9, 100%, $E$9)</f>
        <v>43.066400000000002</v>
      </c>
      <c r="H651" s="14">
        <f>CHOOSE(CONTROL!$C$42, 43.1349, 43.1349) * CHOOSE(CONTROL!$C$21, $C$9, 100%, $E$9)</f>
        <v>43.134900000000002</v>
      </c>
      <c r="I651" s="14">
        <f>CHOOSE(CONTROL!$C$42, 43.1971, 43.1971)* CHOOSE(CONTROL!$C$21, $C$9, 100%, $E$9)</f>
        <v>43.197099999999999</v>
      </c>
      <c r="J651" s="14">
        <f>CHOOSE(CONTROL!$C$42, 43.0421, 43.0421)* CHOOSE(CONTROL!$C$21, $C$9, 100%, $E$9)</f>
        <v>43.042099999999998</v>
      </c>
      <c r="K651" s="52">
        <f>CHOOSE(CONTROL!$C$42, 43.1932, 43.1932) * CHOOSE(CONTROL!$C$21, $C$9, 100%, $E$9)</f>
        <v>43.193199999999997</v>
      </c>
      <c r="L651" s="14">
        <f>CHOOSE(CONTROL!$C$42, 43.7219, 43.7219) * CHOOSE(CONTROL!$C$21, $C$9, 100%, $E$9)</f>
        <v>43.721899999999998</v>
      </c>
      <c r="M651" s="14">
        <f>CHOOSE(CONTROL!$C$42, 42.1679, 42.1679) * CHOOSE(CONTROL!$C$21, $C$9, 100%, $E$9)</f>
        <v>42.167900000000003</v>
      </c>
      <c r="N651" s="14">
        <f>CHOOSE(CONTROL!$C$42, 42.1848, 42.1848) * CHOOSE(CONTROL!$C$21, $C$9, 100%, $E$9)</f>
        <v>42.184800000000003</v>
      </c>
      <c r="O651" s="14">
        <f>CHOOSE(CONTROL!$C$42, 42.2588, 42.2588) * CHOOSE(CONTROL!$C$21, $C$9, 100%, $E$9)</f>
        <v>42.258800000000001</v>
      </c>
      <c r="P651" s="14">
        <f>CHOOSE(CONTROL!$C$42, 42.3171, 42.3171) * CHOOSE(CONTROL!$C$21, $C$9, 100%, $E$9)</f>
        <v>42.317100000000003</v>
      </c>
      <c r="Q651" s="14">
        <f>CHOOSE(CONTROL!$C$42, 42.8535, 42.8535) * CHOOSE(CONTROL!$C$21, $C$9, 100%, $E$9)</f>
        <v>42.853499999999997</v>
      </c>
      <c r="R651" s="14">
        <f>CHOOSE(CONTROL!$C$42, 43.5476, 43.5476) * CHOOSE(CONTROL!$C$21, $C$9, 100%, $E$9)</f>
        <v>43.547600000000003</v>
      </c>
      <c r="S651" s="14">
        <f>CHOOSE(CONTROL!$C$42, 41.3362, 41.3362) * CHOOSE(CONTROL!$C$21, $C$9, 100%, $E$9)</f>
        <v>41.336199999999998</v>
      </c>
      <c r="T65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56">
        <f>(1000*CHOOSE(CONTROL!$C$42, 695, 695)*CHOOSE(CONTROL!$C$42, 0.5599, 0.5599)*CHOOSE(CONTROL!$C$42, 31, 31))/1000000</f>
        <v>12.063045499999998</v>
      </c>
      <c r="V651" s="56">
        <f>(1000*CHOOSE(CONTROL!$C$42, 500, 500)*CHOOSE(CONTROL!$C$42, 0.275, 0.275)*CHOOSE(CONTROL!$C$42, 31, 31))/1000000</f>
        <v>4.2625000000000002</v>
      </c>
      <c r="W651" s="56">
        <f>(1000*CHOOSE(CONTROL!$C$42, 0.1146, 0.1146)*CHOOSE(CONTROL!$C$42, 121.5, 121.5)*CHOOSE(CONTROL!$C$42, 31, 31))/1000000</f>
        <v>0.43164089999999994</v>
      </c>
      <c r="X651" s="56">
        <f>(31*0.1790888*100000/1000000)+(31*0.2374*100000/1000000)</f>
        <v>1.2911152800000001</v>
      </c>
      <c r="Y651" s="56"/>
      <c r="Z651" s="14"/>
      <c r="AA651" s="55"/>
      <c r="AB651" s="49">
        <f>(B651*122.58+C651*297.941+D651*89.177+E651*40.302+F651*40+G651*160+H651*0+I651*100+J651*300)/(122.58+297.941+89.177+40.302+0+40+160+100+300)</f>
        <v>43.064033024956522</v>
      </c>
      <c r="AC651" s="44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42.231539568345319</v>
      </c>
    </row>
    <row r="652" spans="1:29" ht="15.75" x14ac:dyDescent="0.25">
      <c r="A652" s="31">
        <v>60752</v>
      </c>
      <c r="B652" s="14">
        <f>CHOOSE(CONTROL!$C$42, 42.8993, 42.8993) * CHOOSE(CONTROL!$C$21, $C$9, 100%, $E$9)</f>
        <v>42.899299999999997</v>
      </c>
      <c r="C652" s="14">
        <f>CHOOSE(CONTROL!$C$42, 42.9038, 42.9038) * CHOOSE(CONTROL!$C$21, $C$9, 100%, $E$9)</f>
        <v>42.903799999999997</v>
      </c>
      <c r="D652" s="14">
        <f>CHOOSE(CONTROL!$C$42, 43.1327, 43.1327) * CHOOSE(CONTROL!$C$21, $C$9, 100%, $E$9)</f>
        <v>43.1327</v>
      </c>
      <c r="E652" s="14">
        <f>CHOOSE(CONTROL!$C$42, 43.1648, 43.1648) * CHOOSE(CONTROL!$C$21, $C$9, 100%, $E$9)</f>
        <v>43.1648</v>
      </c>
      <c r="F652" s="14">
        <f>CHOOSE(CONTROL!$C$42, 42.9263, 42.9263)*CHOOSE(CONTROL!$C$21, $C$9, 100%, $E$9)</f>
        <v>42.926299999999998</v>
      </c>
      <c r="G652" s="14">
        <f>CHOOSE(CONTROL!$C$42, 42.943, 42.943)*CHOOSE(CONTROL!$C$21, $C$9, 100%, $E$9)</f>
        <v>42.942999999999998</v>
      </c>
      <c r="H652" s="14">
        <f>CHOOSE(CONTROL!$C$42, 43.1546, 43.1546) * CHOOSE(CONTROL!$C$21, $C$9, 100%, $E$9)</f>
        <v>43.154600000000002</v>
      </c>
      <c r="I652" s="14">
        <f>CHOOSE(CONTROL!$C$42, 43.0666, 43.0666)* CHOOSE(CONTROL!$C$21, $C$9, 100%, $E$9)</f>
        <v>43.066600000000001</v>
      </c>
      <c r="J652" s="14">
        <f>CHOOSE(CONTROL!$C$42, 42.9193, 42.9193)* CHOOSE(CONTROL!$C$21, $C$9, 100%, $E$9)</f>
        <v>42.9193</v>
      </c>
      <c r="K652" s="52">
        <f>CHOOSE(CONTROL!$C$42, 43.0627, 43.0627) * CHOOSE(CONTROL!$C$21, $C$9, 100%, $E$9)</f>
        <v>43.0627</v>
      </c>
      <c r="L652" s="14">
        <f>CHOOSE(CONTROL!$C$42, 43.7416, 43.7416) * CHOOSE(CONTROL!$C$21, $C$9, 100%, $E$9)</f>
        <v>43.741599999999998</v>
      </c>
      <c r="M652" s="14">
        <f>CHOOSE(CONTROL!$C$42, 42.0476, 42.0476) * CHOOSE(CONTROL!$C$21, $C$9, 100%, $E$9)</f>
        <v>42.047600000000003</v>
      </c>
      <c r="N652" s="14">
        <f>CHOOSE(CONTROL!$C$42, 42.064, 42.064) * CHOOSE(CONTROL!$C$21, $C$9, 100%, $E$9)</f>
        <v>42.064</v>
      </c>
      <c r="O652" s="14">
        <f>CHOOSE(CONTROL!$C$42, 42.2781, 42.2781) * CHOOSE(CONTROL!$C$21, $C$9, 100%, $E$9)</f>
        <v>42.278100000000002</v>
      </c>
      <c r="P652" s="14">
        <f>CHOOSE(CONTROL!$C$42, 42.1892, 42.1892) * CHOOSE(CONTROL!$C$21, $C$9, 100%, $E$9)</f>
        <v>42.1892</v>
      </c>
      <c r="Q652" s="14">
        <f>CHOOSE(CONTROL!$C$42, 42.8728, 42.8728) * CHOOSE(CONTROL!$C$21, $C$9, 100%, $E$9)</f>
        <v>42.872799999999998</v>
      </c>
      <c r="R652" s="14">
        <f>CHOOSE(CONTROL!$C$42, 43.567, 43.567) * CHOOSE(CONTROL!$C$21, $C$9, 100%, $E$9)</f>
        <v>43.567</v>
      </c>
      <c r="S652" s="14">
        <f>CHOOSE(CONTROL!$C$42, 41.2126, 41.2126) * CHOOSE(CONTROL!$C$21, $C$9, 100%, $E$9)</f>
        <v>41.212600000000002</v>
      </c>
      <c r="T65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56">
        <f>(1000*CHOOSE(CONTROL!$C$42, 695, 695)*CHOOSE(CONTROL!$C$42, 0.5599, 0.5599)*CHOOSE(CONTROL!$C$42, 30, 30))/1000000</f>
        <v>11.673914999999997</v>
      </c>
      <c r="V652" s="56">
        <f>(1000*CHOOSE(CONTROL!$C$42, 500, 500)*CHOOSE(CONTROL!$C$42, 0.275, 0.275)*CHOOSE(CONTROL!$C$42, 30, 30))/1000000</f>
        <v>4.125</v>
      </c>
      <c r="W652" s="56">
        <f>(1000*CHOOSE(CONTROL!$C$42, 0.1146, 0.1146)*CHOOSE(CONTROL!$C$42, 121.5, 121.5)*CHOOSE(CONTROL!$C$42, 30, 30))/1000000</f>
        <v>0.417717</v>
      </c>
      <c r="X652" s="56">
        <f>(30*0.1790888*245000/1000000)+(30*0.2374*100000/1000000)</f>
        <v>2.0285026799999999</v>
      </c>
      <c r="Y652" s="56"/>
      <c r="Z652" s="14"/>
      <c r="AA652" s="55"/>
      <c r="AB652" s="49">
        <f>(B652*141.293+C652*267.993+D652*115.016+E652*89.698+F652*40+G652*185+H652*0+I652*100+J652*300)/(141.293+267.993+115.016+89.698+0+40+185+100+300)</f>
        <v>42.966902923244554</v>
      </c>
      <c r="AC652" s="44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42.17338920863309</v>
      </c>
    </row>
    <row r="653" spans="1:29" ht="15.75" x14ac:dyDescent="0.25">
      <c r="A653" s="31">
        <v>60783</v>
      </c>
      <c r="B653" s="14">
        <f>CHOOSE(CONTROL!$C$42, 43.2792, 43.2792) * CHOOSE(CONTROL!$C$21, $C$9, 100%, $E$9)</f>
        <v>43.279200000000003</v>
      </c>
      <c r="C653" s="14">
        <f>CHOOSE(CONTROL!$C$42, 43.2873, 43.2873) * CHOOSE(CONTROL!$C$21, $C$9, 100%, $E$9)</f>
        <v>43.287300000000002</v>
      </c>
      <c r="D653" s="14">
        <f>CHOOSE(CONTROL!$C$42, 43.513, 43.513) * CHOOSE(CONTROL!$C$21, $C$9, 100%, $E$9)</f>
        <v>43.512999999999998</v>
      </c>
      <c r="E653" s="14">
        <f>CHOOSE(CONTROL!$C$42, 43.5445, 43.5445) * CHOOSE(CONTROL!$C$21, $C$9, 100%, $E$9)</f>
        <v>43.544499999999999</v>
      </c>
      <c r="F653" s="14">
        <f>CHOOSE(CONTROL!$C$42, 43.3049, 43.3049)*CHOOSE(CONTROL!$C$21, $C$9, 100%, $E$9)</f>
        <v>43.304900000000004</v>
      </c>
      <c r="G653" s="14">
        <f>CHOOSE(CONTROL!$C$42, 43.3219, 43.3219)*CHOOSE(CONTROL!$C$21, $C$9, 100%, $E$9)</f>
        <v>43.321899999999999</v>
      </c>
      <c r="H653" s="14">
        <f>CHOOSE(CONTROL!$C$42, 43.5331, 43.5331) * CHOOSE(CONTROL!$C$21, $C$9, 100%, $E$9)</f>
        <v>43.533099999999997</v>
      </c>
      <c r="I653" s="14">
        <f>CHOOSE(CONTROL!$C$42, 43.4463, 43.4463)* CHOOSE(CONTROL!$C$21, $C$9, 100%, $E$9)</f>
        <v>43.446300000000001</v>
      </c>
      <c r="J653" s="14">
        <f>CHOOSE(CONTROL!$C$42, 43.2979, 43.2979)* CHOOSE(CONTROL!$C$21, $C$9, 100%, $E$9)</f>
        <v>43.297899999999998</v>
      </c>
      <c r="K653" s="52">
        <f>CHOOSE(CONTROL!$C$42, 43.4424, 43.4424) * CHOOSE(CONTROL!$C$21, $C$9, 100%, $E$9)</f>
        <v>43.442399999999999</v>
      </c>
      <c r="L653" s="14">
        <f>CHOOSE(CONTROL!$C$42, 44.1201, 44.1201) * CHOOSE(CONTROL!$C$21, $C$9, 100%, $E$9)</f>
        <v>44.120100000000001</v>
      </c>
      <c r="M653" s="14">
        <f>CHOOSE(CONTROL!$C$42, 42.4184, 42.4184) * CHOOSE(CONTROL!$C$21, $C$9, 100%, $E$9)</f>
        <v>42.418399999999998</v>
      </c>
      <c r="N653" s="14">
        <f>CHOOSE(CONTROL!$C$42, 42.4351, 42.4351) * CHOOSE(CONTROL!$C$21, $C$9, 100%, $E$9)</f>
        <v>42.435099999999998</v>
      </c>
      <c r="O653" s="14">
        <f>CHOOSE(CONTROL!$C$42, 42.6489, 42.6489) * CHOOSE(CONTROL!$C$21, $C$9, 100%, $E$9)</f>
        <v>42.648899999999998</v>
      </c>
      <c r="P653" s="14">
        <f>CHOOSE(CONTROL!$C$42, 42.5612, 42.5612) * CHOOSE(CONTROL!$C$21, $C$9, 100%, $E$9)</f>
        <v>42.561199999999999</v>
      </c>
      <c r="Q653" s="14">
        <f>CHOOSE(CONTROL!$C$42, 43.2436, 43.2436) * CHOOSE(CONTROL!$C$21, $C$9, 100%, $E$9)</f>
        <v>43.243600000000001</v>
      </c>
      <c r="R653" s="14">
        <f>CHOOSE(CONTROL!$C$42, 43.9387, 43.9387) * CHOOSE(CONTROL!$C$21, $C$9, 100%, $E$9)</f>
        <v>43.938699999999997</v>
      </c>
      <c r="S653" s="14">
        <f>CHOOSE(CONTROL!$C$42, 41.5764, 41.5764) * CHOOSE(CONTROL!$C$21, $C$9, 100%, $E$9)</f>
        <v>41.5764</v>
      </c>
      <c r="T65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56">
        <f>(1000*CHOOSE(CONTROL!$C$42, 695, 695)*CHOOSE(CONTROL!$C$42, 0.5599, 0.5599)*CHOOSE(CONTROL!$C$42, 31, 31))/1000000</f>
        <v>12.063045499999998</v>
      </c>
      <c r="V653" s="56">
        <f>(1000*CHOOSE(CONTROL!$C$42, 500, 500)*CHOOSE(CONTROL!$C$42, 0.275, 0.275)*CHOOSE(CONTROL!$C$42, 31, 31))/1000000</f>
        <v>4.2625000000000002</v>
      </c>
      <c r="W653" s="56">
        <f>(1000*CHOOSE(CONTROL!$C$42, 0.1146, 0.1146)*CHOOSE(CONTROL!$C$42, 121.5, 121.5)*CHOOSE(CONTROL!$C$42, 31, 31))/1000000</f>
        <v>0.43164089999999994</v>
      </c>
      <c r="X653" s="56">
        <f>(31*0.1790888*245000/1000000)+(31*0.2374*100000/1000000)</f>
        <v>2.0961194359999999</v>
      </c>
      <c r="Y653" s="56"/>
      <c r="Z653" s="14"/>
      <c r="AA653" s="55"/>
      <c r="AB653" s="49">
        <f>(B653*194.205+C653*267.466+D653*133.845+E653*53.484+F653*40+G653*185+H653*0+I653*100+J653*300)/(194.205+267.466+133.845+53.484+0+40+185+100+300)</f>
        <v>43.341127975510204</v>
      </c>
      <c r="AC653" s="44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42.544379136690644</v>
      </c>
    </row>
    <row r="654" spans="1:29" ht="15.75" x14ac:dyDescent="0.25">
      <c r="A654" s="31">
        <v>60813</v>
      </c>
      <c r="B654" s="14">
        <f>CHOOSE(CONTROL!$C$42, 44.5066, 44.5066) * CHOOSE(CONTROL!$C$21, $C$9, 100%, $E$9)</f>
        <v>44.506599999999999</v>
      </c>
      <c r="C654" s="14">
        <f>CHOOSE(CONTROL!$C$42, 44.5146, 44.5146) * CHOOSE(CONTROL!$C$21, $C$9, 100%, $E$9)</f>
        <v>44.514600000000002</v>
      </c>
      <c r="D654" s="14">
        <f>CHOOSE(CONTROL!$C$42, 44.7404, 44.7404) * CHOOSE(CONTROL!$C$21, $C$9, 100%, $E$9)</f>
        <v>44.740400000000001</v>
      </c>
      <c r="E654" s="14">
        <f>CHOOSE(CONTROL!$C$42, 44.7718, 44.7718) * CHOOSE(CONTROL!$C$21, $C$9, 100%, $E$9)</f>
        <v>44.771799999999999</v>
      </c>
      <c r="F654" s="14">
        <f>CHOOSE(CONTROL!$C$42, 44.5327, 44.5327)*CHOOSE(CONTROL!$C$21, $C$9, 100%, $E$9)</f>
        <v>44.532699999999998</v>
      </c>
      <c r="G654" s="14">
        <f>CHOOSE(CONTROL!$C$42, 44.5497, 44.5497)*CHOOSE(CONTROL!$C$21, $C$9, 100%, $E$9)</f>
        <v>44.549700000000001</v>
      </c>
      <c r="H654" s="14">
        <f>CHOOSE(CONTROL!$C$42, 44.7605, 44.7605) * CHOOSE(CONTROL!$C$21, $C$9, 100%, $E$9)</f>
        <v>44.7605</v>
      </c>
      <c r="I654" s="14">
        <f>CHOOSE(CONTROL!$C$42, 44.6775, 44.6775)* CHOOSE(CONTROL!$C$21, $C$9, 100%, $E$9)</f>
        <v>44.677500000000002</v>
      </c>
      <c r="J654" s="14">
        <f>CHOOSE(CONTROL!$C$42, 44.5257, 44.5257)* CHOOSE(CONTROL!$C$21, $C$9, 100%, $E$9)</f>
        <v>44.525700000000001</v>
      </c>
      <c r="K654" s="52">
        <f>CHOOSE(CONTROL!$C$42, 44.6736, 44.6736) * CHOOSE(CONTROL!$C$21, $C$9, 100%, $E$9)</f>
        <v>44.6736</v>
      </c>
      <c r="L654" s="14">
        <f>CHOOSE(CONTROL!$C$42, 45.3475, 45.3475) * CHOOSE(CONTROL!$C$21, $C$9, 100%, $E$9)</f>
        <v>45.347499999999997</v>
      </c>
      <c r="M654" s="14">
        <f>CHOOSE(CONTROL!$C$42, 43.6211, 43.6211) * CHOOSE(CONTROL!$C$21, $C$9, 100%, $E$9)</f>
        <v>43.621099999999998</v>
      </c>
      <c r="N654" s="14">
        <f>CHOOSE(CONTROL!$C$42, 43.6378, 43.6378) * CHOOSE(CONTROL!$C$21, $C$9, 100%, $E$9)</f>
        <v>43.637799999999999</v>
      </c>
      <c r="O654" s="14">
        <f>CHOOSE(CONTROL!$C$42, 43.8511, 43.8511) * CHOOSE(CONTROL!$C$21, $C$9, 100%, $E$9)</f>
        <v>43.851100000000002</v>
      </c>
      <c r="P654" s="14">
        <f>CHOOSE(CONTROL!$C$42, 43.767, 43.767) * CHOOSE(CONTROL!$C$21, $C$9, 100%, $E$9)</f>
        <v>43.767000000000003</v>
      </c>
      <c r="Q654" s="14">
        <f>CHOOSE(CONTROL!$C$42, 44.4458, 44.4458) * CHOOSE(CONTROL!$C$21, $C$9, 100%, $E$9)</f>
        <v>44.445799999999998</v>
      </c>
      <c r="R654" s="14">
        <f>CHOOSE(CONTROL!$C$42, 45.1439, 45.1439) * CHOOSE(CONTROL!$C$21, $C$9, 100%, $E$9)</f>
        <v>45.143900000000002</v>
      </c>
      <c r="S654" s="14">
        <f>CHOOSE(CONTROL!$C$42, 42.7557, 42.7557) * CHOOSE(CONTROL!$C$21, $C$9, 100%, $E$9)</f>
        <v>42.755699999999997</v>
      </c>
      <c r="T65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56">
        <f>(1000*CHOOSE(CONTROL!$C$42, 695, 695)*CHOOSE(CONTROL!$C$42, 0.5599, 0.5599)*CHOOSE(CONTROL!$C$42, 30, 30))/1000000</f>
        <v>11.673914999999997</v>
      </c>
      <c r="V654" s="56">
        <f>(1000*CHOOSE(CONTROL!$C$42, 500, 500)*CHOOSE(CONTROL!$C$42, 0.275, 0.275)*CHOOSE(CONTROL!$C$42, 30, 30))/1000000</f>
        <v>4.125</v>
      </c>
      <c r="W654" s="56">
        <f>(1000*CHOOSE(CONTROL!$C$42, 0.1146, 0.1146)*CHOOSE(CONTROL!$C$42, 121.5, 121.5)*CHOOSE(CONTROL!$C$42, 30, 30))/1000000</f>
        <v>0.417717</v>
      </c>
      <c r="X654" s="56">
        <f>(30*0.1790888*245000/1000000)+(30*0.2374*100000/1000000)</f>
        <v>2.0285026799999999</v>
      </c>
      <c r="Y654" s="56"/>
      <c r="Z654" s="14"/>
      <c r="AA654" s="55"/>
      <c r="AB654" s="49">
        <f>(B654*194.205+C654*267.466+D654*133.845+E654*53.484+F654*40+G654*185+H654*0+I654*100+J654*300)/(194.205+267.466+133.845+53.484+0+40+185+100+300)</f>
        <v>44.568965891522758</v>
      </c>
      <c r="AC654" s="44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43.747298561151084</v>
      </c>
    </row>
    <row r="655" spans="1:29" ht="15.75" x14ac:dyDescent="0.25">
      <c r="A655" s="31">
        <v>60844</v>
      </c>
      <c r="B655" s="14">
        <f>CHOOSE(CONTROL!$C$42, 43.6529, 43.6529) * CHOOSE(CONTROL!$C$21, $C$9, 100%, $E$9)</f>
        <v>43.652900000000002</v>
      </c>
      <c r="C655" s="14">
        <f>CHOOSE(CONTROL!$C$42, 43.661, 43.661) * CHOOSE(CONTROL!$C$21, $C$9, 100%, $E$9)</f>
        <v>43.661000000000001</v>
      </c>
      <c r="D655" s="14">
        <f>CHOOSE(CONTROL!$C$42, 43.8868, 43.8868) * CHOOSE(CONTROL!$C$21, $C$9, 100%, $E$9)</f>
        <v>43.886800000000001</v>
      </c>
      <c r="E655" s="14">
        <f>CHOOSE(CONTROL!$C$42, 43.9182, 43.9182) * CHOOSE(CONTROL!$C$21, $C$9, 100%, $E$9)</f>
        <v>43.918199999999999</v>
      </c>
      <c r="F655" s="14">
        <f>CHOOSE(CONTROL!$C$42, 43.6795, 43.6795)*CHOOSE(CONTROL!$C$21, $C$9, 100%, $E$9)</f>
        <v>43.679499999999997</v>
      </c>
      <c r="G655" s="14">
        <f>CHOOSE(CONTROL!$C$42, 43.6967, 43.6967)*CHOOSE(CONTROL!$C$21, $C$9, 100%, $E$9)</f>
        <v>43.6967</v>
      </c>
      <c r="H655" s="14">
        <f>CHOOSE(CONTROL!$C$42, 43.9069, 43.9069) * CHOOSE(CONTROL!$C$21, $C$9, 100%, $E$9)</f>
        <v>43.9069</v>
      </c>
      <c r="I655" s="14">
        <f>CHOOSE(CONTROL!$C$42, 43.8212, 43.8212)* CHOOSE(CONTROL!$C$21, $C$9, 100%, $E$9)</f>
        <v>43.821199999999997</v>
      </c>
      <c r="J655" s="14">
        <f>CHOOSE(CONTROL!$C$42, 43.6725, 43.6725)* CHOOSE(CONTROL!$C$21, $C$9, 100%, $E$9)</f>
        <v>43.672499999999999</v>
      </c>
      <c r="K655" s="52">
        <f>CHOOSE(CONTROL!$C$42, 43.8173, 43.8173) * CHOOSE(CONTROL!$C$21, $C$9, 100%, $E$9)</f>
        <v>43.817300000000003</v>
      </c>
      <c r="L655" s="14">
        <f>CHOOSE(CONTROL!$C$42, 44.4939, 44.4939) * CHOOSE(CONTROL!$C$21, $C$9, 100%, $E$9)</f>
        <v>44.493899999999996</v>
      </c>
      <c r="M655" s="14">
        <f>CHOOSE(CONTROL!$C$42, 42.7854, 42.7854) * CHOOSE(CONTROL!$C$21, $C$9, 100%, $E$9)</f>
        <v>42.785400000000003</v>
      </c>
      <c r="N655" s="14">
        <f>CHOOSE(CONTROL!$C$42, 42.8022, 42.8022) * CHOOSE(CONTROL!$C$21, $C$9, 100%, $E$9)</f>
        <v>42.802199999999999</v>
      </c>
      <c r="O655" s="14">
        <f>CHOOSE(CONTROL!$C$42, 43.0149, 43.0149) * CHOOSE(CONTROL!$C$21, $C$9, 100%, $E$9)</f>
        <v>43.014899999999997</v>
      </c>
      <c r="P655" s="14">
        <f>CHOOSE(CONTROL!$C$42, 42.9284, 42.9284) * CHOOSE(CONTROL!$C$21, $C$9, 100%, $E$9)</f>
        <v>42.928400000000003</v>
      </c>
      <c r="Q655" s="14">
        <f>CHOOSE(CONTROL!$C$42, 43.6096, 43.6096) * CHOOSE(CONTROL!$C$21, $C$9, 100%, $E$9)</f>
        <v>43.6096</v>
      </c>
      <c r="R655" s="14">
        <f>CHOOSE(CONTROL!$C$42, 44.3057, 44.3057) * CHOOSE(CONTROL!$C$21, $C$9, 100%, $E$9)</f>
        <v>44.305700000000002</v>
      </c>
      <c r="S655" s="14">
        <f>CHOOSE(CONTROL!$C$42, 41.9355, 41.9355) * CHOOSE(CONTROL!$C$21, $C$9, 100%, $E$9)</f>
        <v>41.935499999999998</v>
      </c>
      <c r="T65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56">
        <f>(1000*CHOOSE(CONTROL!$C$42, 695, 695)*CHOOSE(CONTROL!$C$42, 0.5599, 0.5599)*CHOOSE(CONTROL!$C$42, 31, 31))/1000000</f>
        <v>12.063045499999998</v>
      </c>
      <c r="V655" s="56">
        <f>(1000*CHOOSE(CONTROL!$C$42, 500, 500)*CHOOSE(CONTROL!$C$42, 0.275, 0.275)*CHOOSE(CONTROL!$C$42, 31, 31))/1000000</f>
        <v>4.2625000000000002</v>
      </c>
      <c r="W655" s="56">
        <f>(1000*CHOOSE(CONTROL!$C$42, 0.1146, 0.1146)*CHOOSE(CONTROL!$C$42, 121.5, 121.5)*CHOOSE(CONTROL!$C$42, 31, 31))/1000000</f>
        <v>0.43164089999999994</v>
      </c>
      <c r="X655" s="56">
        <f>(31*0.1790888*245000/1000000)+(31*0.2374*100000/1000000)</f>
        <v>2.0961194359999999</v>
      </c>
      <c r="Y655" s="56"/>
      <c r="Z655" s="14"/>
      <c r="AA655" s="55"/>
      <c r="AB655" s="49">
        <f>(B655*194.205+C655*267.466+D655*133.845+E655*53.484+F655*40+G655*185+H655*0+I655*100+J655*300)/(194.205+267.466+133.845+53.484+0+40+185+100+300)</f>
        <v>43.715332594427004</v>
      </c>
      <c r="AC655" s="44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42.910960431654679</v>
      </c>
    </row>
    <row r="656" spans="1:29" ht="15.75" x14ac:dyDescent="0.25">
      <c r="A656" s="31">
        <v>60875</v>
      </c>
      <c r="B656" s="14">
        <f>CHOOSE(CONTROL!$C$42, 41.4973, 41.4973) * CHOOSE(CONTROL!$C$21, $C$9, 100%, $E$9)</f>
        <v>41.497300000000003</v>
      </c>
      <c r="C656" s="14">
        <f>CHOOSE(CONTROL!$C$42, 41.5053, 41.5053) * CHOOSE(CONTROL!$C$21, $C$9, 100%, $E$9)</f>
        <v>41.505299999999998</v>
      </c>
      <c r="D656" s="14">
        <f>CHOOSE(CONTROL!$C$42, 41.7311, 41.7311) * CHOOSE(CONTROL!$C$21, $C$9, 100%, $E$9)</f>
        <v>41.731099999999998</v>
      </c>
      <c r="E656" s="14">
        <f>CHOOSE(CONTROL!$C$42, 41.7626, 41.7626) * CHOOSE(CONTROL!$C$21, $C$9, 100%, $E$9)</f>
        <v>41.762599999999999</v>
      </c>
      <c r="F656" s="14">
        <f>CHOOSE(CONTROL!$C$42, 41.5241, 41.5241)*CHOOSE(CONTROL!$C$21, $C$9, 100%, $E$9)</f>
        <v>41.524099999999997</v>
      </c>
      <c r="G656" s="14">
        <f>CHOOSE(CONTROL!$C$42, 41.5414, 41.5414)*CHOOSE(CONTROL!$C$21, $C$9, 100%, $E$9)</f>
        <v>41.541400000000003</v>
      </c>
      <c r="H656" s="14">
        <f>CHOOSE(CONTROL!$C$42, 41.7512, 41.7512) * CHOOSE(CONTROL!$C$21, $C$9, 100%, $E$9)</f>
        <v>41.751199999999997</v>
      </c>
      <c r="I656" s="14">
        <f>CHOOSE(CONTROL!$C$42, 41.6588, 41.6588)* CHOOSE(CONTROL!$C$21, $C$9, 100%, $E$9)</f>
        <v>41.658799999999999</v>
      </c>
      <c r="J656" s="14">
        <f>CHOOSE(CONTROL!$C$42, 41.5171, 41.5171)* CHOOSE(CONTROL!$C$21, $C$9, 100%, $E$9)</f>
        <v>41.517099999999999</v>
      </c>
      <c r="K656" s="52">
        <f>CHOOSE(CONTROL!$C$42, 41.6549, 41.6549) * CHOOSE(CONTROL!$C$21, $C$9, 100%, $E$9)</f>
        <v>41.654899999999998</v>
      </c>
      <c r="L656" s="14">
        <f>CHOOSE(CONTROL!$C$42, 42.3382, 42.3382) * CHOOSE(CONTROL!$C$21, $C$9, 100%, $E$9)</f>
        <v>42.338200000000001</v>
      </c>
      <c r="M656" s="14">
        <f>CHOOSE(CONTROL!$C$42, 40.6741, 40.6741) * CHOOSE(CONTROL!$C$21, $C$9, 100%, $E$9)</f>
        <v>40.674100000000003</v>
      </c>
      <c r="N656" s="14">
        <f>CHOOSE(CONTROL!$C$42, 40.691, 40.691) * CHOOSE(CONTROL!$C$21, $C$9, 100%, $E$9)</f>
        <v>40.691000000000003</v>
      </c>
      <c r="O656" s="14">
        <f>CHOOSE(CONTROL!$C$42, 40.9034, 40.9034) * CHOOSE(CONTROL!$C$21, $C$9, 100%, $E$9)</f>
        <v>40.903399999999998</v>
      </c>
      <c r="P656" s="14">
        <f>CHOOSE(CONTROL!$C$42, 40.8104, 40.8104) * CHOOSE(CONTROL!$C$21, $C$9, 100%, $E$9)</f>
        <v>40.810400000000001</v>
      </c>
      <c r="Q656" s="14">
        <f>CHOOSE(CONTROL!$C$42, 41.4981, 41.4981) * CHOOSE(CONTROL!$C$21, $C$9, 100%, $E$9)</f>
        <v>41.498100000000001</v>
      </c>
      <c r="R656" s="14">
        <f>CHOOSE(CONTROL!$C$42, 42.1889, 42.1889) * CHOOSE(CONTROL!$C$21, $C$9, 100%, $E$9)</f>
        <v>42.188899999999997</v>
      </c>
      <c r="S656" s="14">
        <f>CHOOSE(CONTROL!$C$42, 39.8641, 39.8641) * CHOOSE(CONTROL!$C$21, $C$9, 100%, $E$9)</f>
        <v>39.864100000000001</v>
      </c>
      <c r="T65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56">
        <f>(1000*CHOOSE(CONTROL!$C$42, 695, 695)*CHOOSE(CONTROL!$C$42, 0.5599, 0.5599)*CHOOSE(CONTROL!$C$42, 31, 31))/1000000</f>
        <v>12.063045499999998</v>
      </c>
      <c r="V656" s="56">
        <f>(1000*CHOOSE(CONTROL!$C$42, 500, 500)*CHOOSE(CONTROL!$C$42, 0.275, 0.275)*CHOOSE(CONTROL!$C$42, 31, 31))/1000000</f>
        <v>4.2625000000000002</v>
      </c>
      <c r="W656" s="56">
        <f>(1000*CHOOSE(CONTROL!$C$42, 0.1146, 0.1146)*CHOOSE(CONTROL!$C$42, 121.5, 121.5)*CHOOSE(CONTROL!$C$42, 31, 31))/1000000</f>
        <v>0.43164089999999994</v>
      </c>
      <c r="X656" s="56">
        <f>(31*0.1790888*245000/1000000)+(31*0.2374*100000/1000000)</f>
        <v>2.0961194359999999</v>
      </c>
      <c r="Y656" s="56"/>
      <c r="Z656" s="14"/>
      <c r="AA656" s="55"/>
      <c r="AB656" s="49">
        <f>(B656*194.205+C656*267.466+D656*133.845+E656*53.484+F656*40+G656*185+H656*0+I656*100+J656*300)/(194.205+267.466+133.845+53.484+0+40+185+100+300)</f>
        <v>41.559264281161688</v>
      </c>
      <c r="AC656" s="44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40.798611510791375</v>
      </c>
    </row>
    <row r="657" spans="1:29" ht="15.75" x14ac:dyDescent="0.25">
      <c r="A657" s="31">
        <v>60905</v>
      </c>
      <c r="B657" s="14">
        <f>CHOOSE(CONTROL!$C$42, 38.8632, 38.8632) * CHOOSE(CONTROL!$C$21, $C$9, 100%, $E$9)</f>
        <v>38.863199999999999</v>
      </c>
      <c r="C657" s="14">
        <f>CHOOSE(CONTROL!$C$42, 38.8713, 38.8713) * CHOOSE(CONTROL!$C$21, $C$9, 100%, $E$9)</f>
        <v>38.871299999999998</v>
      </c>
      <c r="D657" s="14">
        <f>CHOOSE(CONTROL!$C$42, 39.0971, 39.0971) * CHOOSE(CONTROL!$C$21, $C$9, 100%, $E$9)</f>
        <v>39.097099999999998</v>
      </c>
      <c r="E657" s="14">
        <f>CHOOSE(CONTROL!$C$42, 39.1285, 39.1285) * CHOOSE(CONTROL!$C$21, $C$9, 100%, $E$9)</f>
        <v>39.128500000000003</v>
      </c>
      <c r="F657" s="14">
        <f>CHOOSE(CONTROL!$C$42, 38.8901, 38.8901)*CHOOSE(CONTROL!$C$21, $C$9, 100%, $E$9)</f>
        <v>38.890099999999997</v>
      </c>
      <c r="G657" s="14">
        <f>CHOOSE(CONTROL!$C$42, 38.9073, 38.9073)*CHOOSE(CONTROL!$C$21, $C$9, 100%, $E$9)</f>
        <v>38.907299999999999</v>
      </c>
      <c r="H657" s="14">
        <f>CHOOSE(CONTROL!$C$42, 39.1172, 39.1172) * CHOOSE(CONTROL!$C$21, $C$9, 100%, $E$9)</f>
        <v>39.117199999999997</v>
      </c>
      <c r="I657" s="14">
        <f>CHOOSE(CONTROL!$C$42, 39.0165, 39.0165)* CHOOSE(CONTROL!$C$21, $C$9, 100%, $E$9)</f>
        <v>39.016500000000001</v>
      </c>
      <c r="J657" s="14">
        <f>CHOOSE(CONTROL!$C$42, 38.8831, 38.8831)* CHOOSE(CONTROL!$C$21, $C$9, 100%, $E$9)</f>
        <v>38.883099999999999</v>
      </c>
      <c r="K657" s="52">
        <f>CHOOSE(CONTROL!$C$42, 39.0126, 39.0126) * CHOOSE(CONTROL!$C$21, $C$9, 100%, $E$9)</f>
        <v>39.012599999999999</v>
      </c>
      <c r="L657" s="14">
        <f>CHOOSE(CONTROL!$C$42, 39.7042, 39.7042) * CHOOSE(CONTROL!$C$21, $C$9, 100%, $E$9)</f>
        <v>39.7042</v>
      </c>
      <c r="M657" s="14">
        <f>CHOOSE(CONTROL!$C$42, 38.0941, 38.0941) * CHOOSE(CONTROL!$C$21, $C$9, 100%, $E$9)</f>
        <v>38.094099999999997</v>
      </c>
      <c r="N657" s="14">
        <f>CHOOSE(CONTROL!$C$42, 38.111, 38.111) * CHOOSE(CONTROL!$C$21, $C$9, 100%, $E$9)</f>
        <v>38.110999999999997</v>
      </c>
      <c r="O657" s="14">
        <f>CHOOSE(CONTROL!$C$42, 38.3234, 38.3234) * CHOOSE(CONTROL!$C$21, $C$9, 100%, $E$9)</f>
        <v>38.323399999999999</v>
      </c>
      <c r="P657" s="14">
        <f>CHOOSE(CONTROL!$C$42, 38.2224, 38.2224) * CHOOSE(CONTROL!$C$21, $C$9, 100%, $E$9)</f>
        <v>38.2224</v>
      </c>
      <c r="Q657" s="14">
        <f>CHOOSE(CONTROL!$C$42, 38.9181, 38.9181) * CHOOSE(CONTROL!$C$21, $C$9, 100%, $E$9)</f>
        <v>38.918100000000003</v>
      </c>
      <c r="R657" s="14">
        <f>CHOOSE(CONTROL!$C$42, 39.6024, 39.6024) * CHOOSE(CONTROL!$C$21, $C$9, 100%, $E$9)</f>
        <v>39.602400000000003</v>
      </c>
      <c r="S657" s="14">
        <f>CHOOSE(CONTROL!$C$42, 37.3331, 37.3331) * CHOOSE(CONTROL!$C$21, $C$9, 100%, $E$9)</f>
        <v>37.333100000000002</v>
      </c>
      <c r="T65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56">
        <f>(1000*CHOOSE(CONTROL!$C$42, 695, 695)*CHOOSE(CONTROL!$C$42, 0.5599, 0.5599)*CHOOSE(CONTROL!$C$42, 30, 30))/1000000</f>
        <v>11.673914999999997</v>
      </c>
      <c r="V657" s="56">
        <f>(1000*CHOOSE(CONTROL!$C$42, 500, 500)*CHOOSE(CONTROL!$C$42, 0.275, 0.275)*CHOOSE(CONTROL!$C$42, 30, 30))/1000000</f>
        <v>4.125</v>
      </c>
      <c r="W657" s="56">
        <f>(1000*CHOOSE(CONTROL!$C$42, 0.1146, 0.1146)*CHOOSE(CONTROL!$C$42, 121.5, 121.5)*CHOOSE(CONTROL!$C$42, 30, 30))/1000000</f>
        <v>0.417717</v>
      </c>
      <c r="X657" s="56">
        <f>(30*0.1790888*245000/1000000)+(30*0.2374*100000/1000000)</f>
        <v>2.0285026799999999</v>
      </c>
      <c r="Y657" s="56"/>
      <c r="Z657" s="14"/>
      <c r="AA657" s="55"/>
      <c r="AB657" s="49">
        <f>(B657*194.205+C657*267.466+D657*133.845+E657*53.484+F657*40+G657*185+H657*0+I657*100+J657*300)/(194.205+267.466+133.845+53.484+0+40+185+100+300)</f>
        <v>38.924578826766094</v>
      </c>
      <c r="AC657" s="44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38.217460431654672</v>
      </c>
    </row>
    <row r="658" spans="1:29" ht="15.75" x14ac:dyDescent="0.25">
      <c r="A658" s="31">
        <v>60936</v>
      </c>
      <c r="B658" s="14">
        <f>CHOOSE(CONTROL!$C$42, 38.0726, 38.0726) * CHOOSE(CONTROL!$C$21, $C$9, 100%, $E$9)</f>
        <v>38.072600000000001</v>
      </c>
      <c r="C658" s="14">
        <f>CHOOSE(CONTROL!$C$42, 38.078, 38.078) * CHOOSE(CONTROL!$C$21, $C$9, 100%, $E$9)</f>
        <v>38.078000000000003</v>
      </c>
      <c r="D658" s="14">
        <f>CHOOSE(CONTROL!$C$42, 38.3087, 38.3087) * CHOOSE(CONTROL!$C$21, $C$9, 100%, $E$9)</f>
        <v>38.308700000000002</v>
      </c>
      <c r="E658" s="14">
        <f>CHOOSE(CONTROL!$C$42, 38.3378, 38.3378) * CHOOSE(CONTROL!$C$21, $C$9, 100%, $E$9)</f>
        <v>38.337800000000001</v>
      </c>
      <c r="F658" s="14">
        <f>CHOOSE(CONTROL!$C$42, 38.1015, 38.1015)*CHOOSE(CONTROL!$C$21, $C$9, 100%, $E$9)</f>
        <v>38.101500000000001</v>
      </c>
      <c r="G658" s="14">
        <f>CHOOSE(CONTROL!$C$42, 38.1186, 38.1186)*CHOOSE(CONTROL!$C$21, $C$9, 100%, $E$9)</f>
        <v>38.118600000000001</v>
      </c>
      <c r="H658" s="14">
        <f>CHOOSE(CONTROL!$C$42, 38.3283, 38.3283) * CHOOSE(CONTROL!$C$21, $C$9, 100%, $E$9)</f>
        <v>38.328299999999999</v>
      </c>
      <c r="I658" s="14">
        <f>CHOOSE(CONTROL!$C$42, 38.2252, 38.2252)* CHOOSE(CONTROL!$C$21, $C$9, 100%, $E$9)</f>
        <v>38.225200000000001</v>
      </c>
      <c r="J658" s="14">
        <f>CHOOSE(CONTROL!$C$42, 38.0945, 38.0945)* CHOOSE(CONTROL!$C$21, $C$9, 100%, $E$9)</f>
        <v>38.094499999999996</v>
      </c>
      <c r="K658" s="52">
        <f>CHOOSE(CONTROL!$C$42, 38.2213, 38.2213) * CHOOSE(CONTROL!$C$21, $C$9, 100%, $E$9)</f>
        <v>38.221299999999999</v>
      </c>
      <c r="L658" s="14">
        <f>CHOOSE(CONTROL!$C$42, 38.9153, 38.9153) * CHOOSE(CONTROL!$C$21, $C$9, 100%, $E$9)</f>
        <v>38.915300000000002</v>
      </c>
      <c r="M658" s="14">
        <f>CHOOSE(CONTROL!$C$42, 37.3217, 37.3217) * CHOOSE(CONTROL!$C$21, $C$9, 100%, $E$9)</f>
        <v>37.3217</v>
      </c>
      <c r="N658" s="14">
        <f>CHOOSE(CONTROL!$C$42, 37.3384, 37.3384) * CHOOSE(CONTROL!$C$21, $C$9, 100%, $E$9)</f>
        <v>37.3384</v>
      </c>
      <c r="O658" s="14">
        <f>CHOOSE(CONTROL!$C$42, 37.5507, 37.5507) * CHOOSE(CONTROL!$C$21, $C$9, 100%, $E$9)</f>
        <v>37.550699999999999</v>
      </c>
      <c r="P658" s="14">
        <f>CHOOSE(CONTROL!$C$42, 37.4473, 37.4473) * CHOOSE(CONTROL!$C$21, $C$9, 100%, $E$9)</f>
        <v>37.447299999999998</v>
      </c>
      <c r="Q658" s="14">
        <f>CHOOSE(CONTROL!$C$42, 38.1454, 38.1454) * CHOOSE(CONTROL!$C$21, $C$9, 100%, $E$9)</f>
        <v>38.145400000000002</v>
      </c>
      <c r="R658" s="14">
        <f>CHOOSE(CONTROL!$C$42, 38.8277, 38.8277) * CHOOSE(CONTROL!$C$21, $C$9, 100%, $E$9)</f>
        <v>38.8277</v>
      </c>
      <c r="S658" s="14">
        <f>CHOOSE(CONTROL!$C$42, 36.5751, 36.5751) * CHOOSE(CONTROL!$C$21, $C$9, 100%, $E$9)</f>
        <v>36.575099999999999</v>
      </c>
      <c r="T65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56">
        <f>(1000*CHOOSE(CONTROL!$C$42, 695, 695)*CHOOSE(CONTROL!$C$42, 0.5599, 0.5599)*CHOOSE(CONTROL!$C$42, 31, 31))/1000000</f>
        <v>12.063045499999998</v>
      </c>
      <c r="V658" s="56">
        <f>(1000*CHOOSE(CONTROL!$C$42, 500, 500)*CHOOSE(CONTROL!$C$42, 0.275, 0.275)*CHOOSE(CONTROL!$C$42, 31, 31))/1000000</f>
        <v>4.2625000000000002</v>
      </c>
      <c r="W658" s="56">
        <f>(1000*CHOOSE(CONTROL!$C$42, 0.1146, 0.1146)*CHOOSE(CONTROL!$C$42, 121.5, 121.5)*CHOOSE(CONTROL!$C$42, 31, 31))/1000000</f>
        <v>0.43164089999999994</v>
      </c>
      <c r="X658" s="56">
        <f>(31*0.1790888*245000/1000000)+(31*0.2374*100000/1000000)</f>
        <v>2.0961194359999999</v>
      </c>
      <c r="Y658" s="56"/>
      <c r="Z658" s="14"/>
      <c r="AA658" s="55"/>
      <c r="AB658" s="49">
        <f>(B658*131.881+C658*277.167+D658*79.08+E658*125.872+F658*40+G658*185+H658*0+I658*100+J658*300)/(131.881+277.167+79.08+125.872+0+40+185+100+300)</f>
        <v>38.141239825827277</v>
      </c>
      <c r="AC658" s="44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37.444524460431658</v>
      </c>
    </row>
    <row r="659" spans="1:29" ht="15.75" x14ac:dyDescent="0.25">
      <c r="A659" s="31">
        <v>60966</v>
      </c>
      <c r="B659" s="14">
        <f>CHOOSE(CONTROL!$C$42, 39.075, 39.075) * CHOOSE(CONTROL!$C$21, $C$9, 100%, $E$9)</f>
        <v>39.075000000000003</v>
      </c>
      <c r="C659" s="14">
        <f>CHOOSE(CONTROL!$C$42, 39.08, 39.08) * CHOOSE(CONTROL!$C$21, $C$9, 100%, $E$9)</f>
        <v>39.08</v>
      </c>
      <c r="D659" s="14">
        <f>CHOOSE(CONTROL!$C$42, 39.1491, 39.1491) * CHOOSE(CONTROL!$C$21, $C$9, 100%, $E$9)</f>
        <v>39.149099999999997</v>
      </c>
      <c r="E659" s="14">
        <f>CHOOSE(CONTROL!$C$42, 39.1832, 39.1832) * CHOOSE(CONTROL!$C$21, $C$9, 100%, $E$9)</f>
        <v>39.183199999999999</v>
      </c>
      <c r="F659" s="14">
        <f>CHOOSE(CONTROL!$C$42, 39.1106, 39.1106)*CHOOSE(CONTROL!$C$21, $C$9, 100%, $E$9)</f>
        <v>39.110599999999998</v>
      </c>
      <c r="G659" s="14">
        <f>CHOOSE(CONTROL!$C$42, 39.128, 39.128)*CHOOSE(CONTROL!$C$21, $C$9, 100%, $E$9)</f>
        <v>39.128</v>
      </c>
      <c r="H659" s="14">
        <f>CHOOSE(CONTROL!$C$42, 39.1724, 39.1724) * CHOOSE(CONTROL!$C$21, $C$9, 100%, $E$9)</f>
        <v>39.172400000000003</v>
      </c>
      <c r="I659" s="14">
        <f>CHOOSE(CONTROL!$C$42, 39.2337, 39.2337)* CHOOSE(CONTROL!$C$21, $C$9, 100%, $E$9)</f>
        <v>39.233699999999999</v>
      </c>
      <c r="J659" s="14">
        <f>CHOOSE(CONTROL!$C$42, 39.1036, 39.1036)* CHOOSE(CONTROL!$C$21, $C$9, 100%, $E$9)</f>
        <v>39.1036</v>
      </c>
      <c r="K659" s="52">
        <f>CHOOSE(CONTROL!$C$42, 39.2298, 39.2298) * CHOOSE(CONTROL!$C$21, $C$9, 100%, $E$9)</f>
        <v>39.229799999999997</v>
      </c>
      <c r="L659" s="14">
        <f>CHOOSE(CONTROL!$C$42, 39.7594, 39.7594) * CHOOSE(CONTROL!$C$21, $C$9, 100%, $E$9)</f>
        <v>39.759399999999999</v>
      </c>
      <c r="M659" s="14">
        <f>CHOOSE(CONTROL!$C$42, 38.31, 38.31) * CHOOSE(CONTROL!$C$21, $C$9, 100%, $E$9)</f>
        <v>38.31</v>
      </c>
      <c r="N659" s="14">
        <f>CHOOSE(CONTROL!$C$42, 38.3271, 38.3271) * CHOOSE(CONTROL!$C$21, $C$9, 100%, $E$9)</f>
        <v>38.327100000000002</v>
      </c>
      <c r="O659" s="14">
        <f>CHOOSE(CONTROL!$C$42, 38.3774, 38.3774) * CHOOSE(CONTROL!$C$21, $C$9, 100%, $E$9)</f>
        <v>38.377400000000002</v>
      </c>
      <c r="P659" s="14">
        <f>CHOOSE(CONTROL!$C$42, 38.4351, 38.4351) * CHOOSE(CONTROL!$C$21, $C$9, 100%, $E$9)</f>
        <v>38.435099999999998</v>
      </c>
      <c r="Q659" s="14">
        <f>CHOOSE(CONTROL!$C$42, 38.9721, 38.9721) * CHOOSE(CONTROL!$C$21, $C$9, 100%, $E$9)</f>
        <v>38.972099999999998</v>
      </c>
      <c r="R659" s="14">
        <f>CHOOSE(CONTROL!$C$42, 39.6566, 39.6566) * CHOOSE(CONTROL!$C$21, $C$9, 100%, $E$9)</f>
        <v>39.656599999999997</v>
      </c>
      <c r="S659" s="14">
        <f>CHOOSE(CONTROL!$C$42, 37.5386, 37.5386) * CHOOSE(CONTROL!$C$21, $C$9, 100%, $E$9)</f>
        <v>37.538600000000002</v>
      </c>
      <c r="T65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56">
        <f>(1000*CHOOSE(CONTROL!$C$42, 695, 695)*CHOOSE(CONTROL!$C$42, 0.5599, 0.5599)*CHOOSE(CONTROL!$C$42, 30, 30))/1000000</f>
        <v>11.673914999999997</v>
      </c>
      <c r="V659" s="56">
        <f>(1000*CHOOSE(CONTROL!$C$42, 500, 500)*CHOOSE(CONTROL!$C$42, 0.275, 0.275)*CHOOSE(CONTROL!$C$42, 30, 30))/1000000</f>
        <v>4.125</v>
      </c>
      <c r="W659" s="56">
        <f>(1000*CHOOSE(CONTROL!$C$42, 0.1146, 0.1146)*CHOOSE(CONTROL!$C$42, 121.5, 121.5)*CHOOSE(CONTROL!$C$42, 30, 30))/1000000</f>
        <v>0.417717</v>
      </c>
      <c r="X659" s="56">
        <f>(30*0.1790888*100000/1000000)+(30*0.2374*100000/1000000)</f>
        <v>1.2494664</v>
      </c>
      <c r="Y659" s="56"/>
      <c r="Z659" s="14"/>
      <c r="AA659" s="55"/>
      <c r="AB659" s="49">
        <f>(B659*122.58+C659*297.941+D659*89.177+E659*40.302+F659*40+G659*160+H659*0+I659*100+J659*300)/(122.58+297.941+89.177+40.302+0+40+160+100+300)</f>
        <v>39.115706432260865</v>
      </c>
      <c r="AC659" s="44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38.359532374100723</v>
      </c>
    </row>
    <row r="660" spans="1:29" ht="15.75" x14ac:dyDescent="0.25">
      <c r="A660" s="31">
        <v>60997</v>
      </c>
      <c r="B660" s="14">
        <f>CHOOSE(CONTROL!$C$42, 41.7384, 41.7384) * CHOOSE(CONTROL!$C$21, $C$9, 100%, $E$9)</f>
        <v>41.738399999999999</v>
      </c>
      <c r="C660" s="14">
        <f>CHOOSE(CONTROL!$C$42, 41.7435, 41.7435) * CHOOSE(CONTROL!$C$21, $C$9, 100%, $E$9)</f>
        <v>41.743499999999997</v>
      </c>
      <c r="D660" s="14">
        <f>CHOOSE(CONTROL!$C$42, 41.8125, 41.8125) * CHOOSE(CONTROL!$C$21, $C$9, 100%, $E$9)</f>
        <v>41.8125</v>
      </c>
      <c r="E660" s="14">
        <f>CHOOSE(CONTROL!$C$42, 41.8466, 41.8466) * CHOOSE(CONTROL!$C$21, $C$9, 100%, $E$9)</f>
        <v>41.846600000000002</v>
      </c>
      <c r="F660" s="14">
        <f>CHOOSE(CONTROL!$C$42, 41.7763, 41.7763)*CHOOSE(CONTROL!$C$21, $C$9, 100%, $E$9)</f>
        <v>41.776299999999999</v>
      </c>
      <c r="G660" s="14">
        <f>CHOOSE(CONTROL!$C$42, 41.7943, 41.7943)*CHOOSE(CONTROL!$C$21, $C$9, 100%, $E$9)</f>
        <v>41.7943</v>
      </c>
      <c r="H660" s="14">
        <f>CHOOSE(CONTROL!$C$42, 41.8358, 41.8358) * CHOOSE(CONTROL!$C$21, $C$9, 100%, $E$9)</f>
        <v>41.835799999999999</v>
      </c>
      <c r="I660" s="14">
        <f>CHOOSE(CONTROL!$C$42, 41.9055, 41.9055)* CHOOSE(CONTROL!$C$21, $C$9, 100%, $E$9)</f>
        <v>41.905500000000004</v>
      </c>
      <c r="J660" s="14">
        <f>CHOOSE(CONTROL!$C$42, 41.7693, 41.7693)* CHOOSE(CONTROL!$C$21, $C$9, 100%, $E$9)</f>
        <v>41.769300000000001</v>
      </c>
      <c r="K660" s="52">
        <f>CHOOSE(CONTROL!$C$42, 41.9016, 41.9016) * CHOOSE(CONTROL!$C$21, $C$9, 100%, $E$9)</f>
        <v>41.901600000000002</v>
      </c>
      <c r="L660" s="14">
        <f>CHOOSE(CONTROL!$C$42, 42.4228, 42.4228) * CHOOSE(CONTROL!$C$21, $C$9, 100%, $E$9)</f>
        <v>42.422800000000002</v>
      </c>
      <c r="M660" s="14">
        <f>CHOOSE(CONTROL!$C$42, 40.9211, 40.9211) * CHOOSE(CONTROL!$C$21, $C$9, 100%, $E$9)</f>
        <v>40.921100000000003</v>
      </c>
      <c r="N660" s="14">
        <f>CHOOSE(CONTROL!$C$42, 40.9388, 40.9388) * CHOOSE(CONTROL!$C$21, $C$9, 100%, $E$9)</f>
        <v>40.938800000000001</v>
      </c>
      <c r="O660" s="14">
        <f>CHOOSE(CONTROL!$C$42, 40.9863, 40.9863) * CHOOSE(CONTROL!$C$21, $C$9, 100%, $E$9)</f>
        <v>40.9863</v>
      </c>
      <c r="P660" s="14">
        <f>CHOOSE(CONTROL!$C$42, 41.052, 41.052) * CHOOSE(CONTROL!$C$21, $C$9, 100%, $E$9)</f>
        <v>41.052</v>
      </c>
      <c r="Q660" s="14">
        <f>CHOOSE(CONTROL!$C$42, 41.581, 41.581) * CHOOSE(CONTROL!$C$21, $C$9, 100%, $E$9)</f>
        <v>41.581000000000003</v>
      </c>
      <c r="R660" s="14">
        <f>CHOOSE(CONTROL!$C$42, 42.272, 42.272) * CHOOSE(CONTROL!$C$21, $C$9, 100%, $E$9)</f>
        <v>42.271999999999998</v>
      </c>
      <c r="S660" s="14">
        <f>CHOOSE(CONTROL!$C$42, 40.0979, 40.0979) * CHOOSE(CONTROL!$C$21, $C$9, 100%, $E$9)</f>
        <v>40.097900000000003</v>
      </c>
      <c r="T66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56">
        <f>(1000*CHOOSE(CONTROL!$C$42, 695, 695)*CHOOSE(CONTROL!$C$42, 0.5599, 0.5599)*CHOOSE(CONTROL!$C$42, 31, 31))/1000000</f>
        <v>12.063045499999998</v>
      </c>
      <c r="V660" s="56">
        <f>(1000*CHOOSE(CONTROL!$C$42, 500, 500)*CHOOSE(CONTROL!$C$42, 0.275, 0.275)*CHOOSE(CONTROL!$C$42, 31, 31))/1000000</f>
        <v>4.2625000000000002</v>
      </c>
      <c r="W660" s="56">
        <f>(1000*CHOOSE(CONTROL!$C$42, 0.1146, 0.1146)*CHOOSE(CONTROL!$C$42, 121.5, 121.5)*CHOOSE(CONTROL!$C$42, 31, 31))/1000000</f>
        <v>0.43164089999999994</v>
      </c>
      <c r="X660" s="56">
        <f>(31*0.1790888*100000/1000000)+(31*0.2374*100000/1000000)</f>
        <v>1.2911152800000001</v>
      </c>
      <c r="Y660" s="56"/>
      <c r="Z660" s="14"/>
      <c r="AA660" s="55"/>
      <c r="AB660" s="49">
        <f>(B660*122.58+C660*297.941+D660*89.177+E660*40.302+F660*40+G660*160+H660*0+I660*100+J660*300)/(122.58+297.941+89.177+40.302+0+40+160+100+300)</f>
        <v>41.780946253217387</v>
      </c>
      <c r="AC660" s="44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40.970504316546759</v>
      </c>
    </row>
    <row r="661" spans="1:29" ht="15.75" x14ac:dyDescent="0.25">
      <c r="A661" s="31">
        <v>61028</v>
      </c>
      <c r="B661" s="14">
        <f>CHOOSE(CONTROL!$C$42, 45.1978, 45.1978) * CHOOSE(CONTROL!$C$21, $C$9, 100%, $E$9)</f>
        <v>45.197800000000001</v>
      </c>
      <c r="C661" s="14">
        <f>CHOOSE(CONTROL!$C$42, 45.2029, 45.2029) * CHOOSE(CONTROL!$C$21, $C$9, 100%, $E$9)</f>
        <v>45.2029</v>
      </c>
      <c r="D661" s="14">
        <f>CHOOSE(CONTROL!$C$42, 45.2823, 45.2823) * CHOOSE(CONTROL!$C$21, $C$9, 100%, $E$9)</f>
        <v>45.282299999999999</v>
      </c>
      <c r="E661" s="14">
        <f>CHOOSE(CONTROL!$C$42, 45.3164, 45.3164) * CHOOSE(CONTROL!$C$21, $C$9, 100%, $E$9)</f>
        <v>45.316400000000002</v>
      </c>
      <c r="F661" s="14">
        <f>CHOOSE(CONTROL!$C$42, 45.2208, 45.2208)*CHOOSE(CONTROL!$C$21, $C$9, 100%, $E$9)</f>
        <v>45.220799999999997</v>
      </c>
      <c r="G661" s="14">
        <f>CHOOSE(CONTROL!$C$42, 45.2383, 45.2383)*CHOOSE(CONTROL!$C$21, $C$9, 100%, $E$9)</f>
        <v>45.238300000000002</v>
      </c>
      <c r="H661" s="14">
        <f>CHOOSE(CONTROL!$C$42, 45.3056, 45.3056) * CHOOSE(CONTROL!$C$21, $C$9, 100%, $E$9)</f>
        <v>45.305599999999998</v>
      </c>
      <c r="I661" s="14">
        <f>CHOOSE(CONTROL!$C$42, 45.3746, 45.3746)* CHOOSE(CONTROL!$C$21, $C$9, 100%, $E$9)</f>
        <v>45.374600000000001</v>
      </c>
      <c r="J661" s="14">
        <f>CHOOSE(CONTROL!$C$42, 45.2138, 45.2138)* CHOOSE(CONTROL!$C$21, $C$9, 100%, $E$9)</f>
        <v>45.213799999999999</v>
      </c>
      <c r="K661" s="52">
        <f>CHOOSE(CONTROL!$C$42, 45.3707, 45.3707) * CHOOSE(CONTROL!$C$21, $C$9, 100%, $E$9)</f>
        <v>45.370699999999999</v>
      </c>
      <c r="L661" s="14">
        <f>CHOOSE(CONTROL!$C$42, 45.8926, 45.8926) * CHOOSE(CONTROL!$C$21, $C$9, 100%, $E$9)</f>
        <v>45.892600000000002</v>
      </c>
      <c r="M661" s="14">
        <f>CHOOSE(CONTROL!$C$42, 44.2951, 44.2951) * CHOOSE(CONTROL!$C$21, $C$9, 100%, $E$9)</f>
        <v>44.295099999999998</v>
      </c>
      <c r="N661" s="14">
        <f>CHOOSE(CONTROL!$C$42, 44.3123, 44.3123) * CHOOSE(CONTROL!$C$21, $C$9, 100%, $E$9)</f>
        <v>44.3123</v>
      </c>
      <c r="O661" s="14">
        <f>CHOOSE(CONTROL!$C$42, 44.385, 44.385) * CHOOSE(CONTROL!$C$21, $C$9, 100%, $E$9)</f>
        <v>44.384999999999998</v>
      </c>
      <c r="P661" s="14">
        <f>CHOOSE(CONTROL!$C$42, 44.4499, 44.4499) * CHOOSE(CONTROL!$C$21, $C$9, 100%, $E$9)</f>
        <v>44.4499</v>
      </c>
      <c r="Q661" s="14">
        <f>CHOOSE(CONTROL!$C$42, 44.9797, 44.9797) * CHOOSE(CONTROL!$C$21, $C$9, 100%, $E$9)</f>
        <v>44.979700000000001</v>
      </c>
      <c r="R661" s="14">
        <f>CHOOSE(CONTROL!$C$42, 45.6791, 45.6791) * CHOOSE(CONTROL!$C$21, $C$9, 100%, $E$9)</f>
        <v>45.679099999999998</v>
      </c>
      <c r="S661" s="14">
        <f>CHOOSE(CONTROL!$C$42, 43.422, 43.422) * CHOOSE(CONTROL!$C$21, $C$9, 100%, $E$9)</f>
        <v>43.421999999999997</v>
      </c>
      <c r="T66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56">
        <f>(1000*CHOOSE(CONTROL!$C$42, 695, 695)*CHOOSE(CONTROL!$C$42, 0.5599, 0.5599)*CHOOSE(CONTROL!$C$42, 31, 31))/1000000</f>
        <v>12.063045499999998</v>
      </c>
      <c r="V661" s="56">
        <f>(1000*CHOOSE(CONTROL!$C$42, 500, 500)*CHOOSE(CONTROL!$C$42, 0.275, 0.275)*CHOOSE(CONTROL!$C$42, 31, 31))/1000000</f>
        <v>4.2625000000000002</v>
      </c>
      <c r="W661" s="56">
        <f>(1000*CHOOSE(CONTROL!$C$42, 0.1146, 0.1146)*CHOOSE(CONTROL!$C$42, 121.5, 121.5)*CHOOSE(CONTROL!$C$42, 31, 31))/1000000</f>
        <v>0.43164089999999994</v>
      </c>
      <c r="X661" s="56">
        <f>(31*0.1790888*100000/1000000)+(31*0.2374*100000/1000000)</f>
        <v>1.2911152800000001</v>
      </c>
      <c r="Y661" s="56"/>
      <c r="Z661" s="14"/>
      <c r="AA661" s="55"/>
      <c r="AB661" s="49">
        <f>(B661*122.58+C661*297.941+D661*89.177+E661*40.302+F661*40+G661*160+H661*0+I661*100+J661*300)/(122.58+297.941+89.177+40.302+0+40+160+100+300)</f>
        <v>45.235812845913046</v>
      </c>
      <c r="AC661" s="44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44.359109352517983</v>
      </c>
    </row>
    <row r="662" spans="1:29" ht="15.75" x14ac:dyDescent="0.25">
      <c r="A662" s="31">
        <v>61056</v>
      </c>
      <c r="B662" s="14">
        <f>CHOOSE(CONTROL!$C$42, 46.0022, 46.0022) * CHOOSE(CONTROL!$C$21, $C$9, 100%, $E$9)</f>
        <v>46.002200000000002</v>
      </c>
      <c r="C662" s="14">
        <f>CHOOSE(CONTROL!$C$42, 46.0073, 46.0073) * CHOOSE(CONTROL!$C$21, $C$9, 100%, $E$9)</f>
        <v>46.007300000000001</v>
      </c>
      <c r="D662" s="14">
        <f>CHOOSE(CONTROL!$C$42, 46.0867, 46.0867) * CHOOSE(CONTROL!$C$21, $C$9, 100%, $E$9)</f>
        <v>46.0867</v>
      </c>
      <c r="E662" s="14">
        <f>CHOOSE(CONTROL!$C$42, 46.1208, 46.1208) * CHOOSE(CONTROL!$C$21, $C$9, 100%, $E$9)</f>
        <v>46.120800000000003</v>
      </c>
      <c r="F662" s="14">
        <f>CHOOSE(CONTROL!$C$42, 46.025, 46.025)*CHOOSE(CONTROL!$C$21, $C$9, 100%, $E$9)</f>
        <v>46.024999999999999</v>
      </c>
      <c r="G662" s="14">
        <f>CHOOSE(CONTROL!$C$42, 46.0424, 46.0424)*CHOOSE(CONTROL!$C$21, $C$9, 100%, $E$9)</f>
        <v>46.042400000000001</v>
      </c>
      <c r="H662" s="14">
        <f>CHOOSE(CONTROL!$C$42, 46.11, 46.11) * CHOOSE(CONTROL!$C$21, $C$9, 100%, $E$9)</f>
        <v>46.11</v>
      </c>
      <c r="I662" s="14">
        <f>CHOOSE(CONTROL!$C$42, 46.1816, 46.1816)* CHOOSE(CONTROL!$C$21, $C$9, 100%, $E$9)</f>
        <v>46.181600000000003</v>
      </c>
      <c r="J662" s="14">
        <f>CHOOSE(CONTROL!$C$42, 46.018, 46.018)* CHOOSE(CONTROL!$C$21, $C$9, 100%, $E$9)</f>
        <v>46.018000000000001</v>
      </c>
      <c r="K662" s="52">
        <f>CHOOSE(CONTROL!$C$42, 46.1777, 46.1777) * CHOOSE(CONTROL!$C$21, $C$9, 100%, $E$9)</f>
        <v>46.177700000000002</v>
      </c>
      <c r="L662" s="14">
        <f>CHOOSE(CONTROL!$C$42, 46.697, 46.697) * CHOOSE(CONTROL!$C$21, $C$9, 100%, $E$9)</f>
        <v>46.697000000000003</v>
      </c>
      <c r="M662" s="14">
        <f>CHOOSE(CONTROL!$C$42, 45.0828, 45.0828) * CHOOSE(CONTROL!$C$21, $C$9, 100%, $E$9)</f>
        <v>45.082799999999999</v>
      </c>
      <c r="N662" s="14">
        <f>CHOOSE(CONTROL!$C$42, 45.0999, 45.0999) * CHOOSE(CONTROL!$C$21, $C$9, 100%, $E$9)</f>
        <v>45.099899999999998</v>
      </c>
      <c r="O662" s="14">
        <f>CHOOSE(CONTROL!$C$42, 45.1729, 45.1729) * CHOOSE(CONTROL!$C$21, $C$9, 100%, $E$9)</f>
        <v>45.172899999999998</v>
      </c>
      <c r="P662" s="14">
        <f>CHOOSE(CONTROL!$C$42, 45.2402, 45.2402) * CHOOSE(CONTROL!$C$21, $C$9, 100%, $E$9)</f>
        <v>45.240200000000002</v>
      </c>
      <c r="Q662" s="14">
        <f>CHOOSE(CONTROL!$C$42, 45.7676, 45.7676) * CHOOSE(CONTROL!$C$21, $C$9, 100%, $E$9)</f>
        <v>45.767600000000002</v>
      </c>
      <c r="R662" s="14">
        <f>CHOOSE(CONTROL!$C$42, 46.469, 46.469) * CHOOSE(CONTROL!$C$21, $C$9, 100%, $E$9)</f>
        <v>46.469000000000001</v>
      </c>
      <c r="S662" s="14">
        <f>CHOOSE(CONTROL!$C$42, 44.195, 44.195) * CHOOSE(CONTROL!$C$21, $C$9, 100%, $E$9)</f>
        <v>44.195</v>
      </c>
      <c r="T66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62" s="56">
        <f>(1000*CHOOSE(CONTROL!$C$42, 695, 695)*CHOOSE(CONTROL!$C$42, 0.5599, 0.5599)*CHOOSE(CONTROL!$C$42, 28, 28))/1000000</f>
        <v>10.895653999999999</v>
      </c>
      <c r="V662" s="56">
        <f>(1000*CHOOSE(CONTROL!$C$42, 500, 500)*CHOOSE(CONTROL!$C$42, 0.275, 0.275)*CHOOSE(CONTROL!$C$42, 28, 28))/1000000</f>
        <v>3.85</v>
      </c>
      <c r="W662" s="56">
        <f>(1000*CHOOSE(CONTROL!$C$42, 0.1146, 0.1146)*CHOOSE(CONTROL!$C$42, 121.5, 121.5)*CHOOSE(CONTROL!$C$42, 28, 28))/1000000</f>
        <v>0.38986920000000003</v>
      </c>
      <c r="X662" s="56">
        <f>(28*0.1790888*100000/1000000)+(28*0.2374*100000/1000000)</f>
        <v>1.16616864</v>
      </c>
      <c r="Y662" s="56"/>
      <c r="Z662" s="14"/>
      <c r="AA662" s="55"/>
      <c r="AB662" s="49">
        <f>(B662*122.58+C662*297.941+D662*89.177+E662*40.302+F662*40+G662*160+H662*0+I662*100+J662*300)/(122.58+297.941+89.177+40.302+0+40+160+100+300)</f>
        <v>46.040338063304354</v>
      </c>
      <c r="AC662" s="44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45.147268345323745</v>
      </c>
    </row>
    <row r="663" spans="1:29" ht="15.75" x14ac:dyDescent="0.25">
      <c r="A663" s="31">
        <v>61087</v>
      </c>
      <c r="B663" s="14">
        <f>CHOOSE(CONTROL!$C$42, 44.6964, 44.6964) * CHOOSE(CONTROL!$C$21, $C$9, 100%, $E$9)</f>
        <v>44.696399999999997</v>
      </c>
      <c r="C663" s="14">
        <f>CHOOSE(CONTROL!$C$42, 44.7015, 44.7015) * CHOOSE(CONTROL!$C$21, $C$9, 100%, $E$9)</f>
        <v>44.701500000000003</v>
      </c>
      <c r="D663" s="14">
        <f>CHOOSE(CONTROL!$C$42, 44.7809, 44.7809) * CHOOSE(CONTROL!$C$21, $C$9, 100%, $E$9)</f>
        <v>44.780900000000003</v>
      </c>
      <c r="E663" s="14">
        <f>CHOOSE(CONTROL!$C$42, 44.815, 44.815) * CHOOSE(CONTROL!$C$21, $C$9, 100%, $E$9)</f>
        <v>44.814999999999998</v>
      </c>
      <c r="F663" s="14">
        <f>CHOOSE(CONTROL!$C$42, 44.7185, 44.7185)*CHOOSE(CONTROL!$C$21, $C$9, 100%, $E$9)</f>
        <v>44.718499999999999</v>
      </c>
      <c r="G663" s="14">
        <f>CHOOSE(CONTROL!$C$42, 44.7358, 44.7358)*CHOOSE(CONTROL!$C$21, $C$9, 100%, $E$9)</f>
        <v>44.735799999999998</v>
      </c>
      <c r="H663" s="14">
        <f>CHOOSE(CONTROL!$C$42, 44.8042, 44.8042) * CHOOSE(CONTROL!$C$21, $C$9, 100%, $E$9)</f>
        <v>44.804200000000002</v>
      </c>
      <c r="I663" s="14">
        <f>CHOOSE(CONTROL!$C$42, 44.8717, 44.8717)* CHOOSE(CONTROL!$C$21, $C$9, 100%, $E$9)</f>
        <v>44.871699999999997</v>
      </c>
      <c r="J663" s="14">
        <f>CHOOSE(CONTROL!$C$42, 44.7115, 44.7115)* CHOOSE(CONTROL!$C$21, $C$9, 100%, $E$9)</f>
        <v>44.711500000000001</v>
      </c>
      <c r="K663" s="52">
        <f>CHOOSE(CONTROL!$C$42, 44.8678, 44.8678) * CHOOSE(CONTROL!$C$21, $C$9, 100%, $E$9)</f>
        <v>44.867800000000003</v>
      </c>
      <c r="L663" s="14">
        <f>CHOOSE(CONTROL!$C$42, 45.3912, 45.3912) * CHOOSE(CONTROL!$C$21, $C$9, 100%, $E$9)</f>
        <v>45.391199999999998</v>
      </c>
      <c r="M663" s="14">
        <f>CHOOSE(CONTROL!$C$42, 43.8031, 43.8031) * CHOOSE(CONTROL!$C$21, $C$9, 100%, $E$9)</f>
        <v>43.803100000000001</v>
      </c>
      <c r="N663" s="14">
        <f>CHOOSE(CONTROL!$C$42, 43.82, 43.82) * CHOOSE(CONTROL!$C$21, $C$9, 100%, $E$9)</f>
        <v>43.82</v>
      </c>
      <c r="O663" s="14">
        <f>CHOOSE(CONTROL!$C$42, 43.8939, 43.8939) * CHOOSE(CONTROL!$C$21, $C$9, 100%, $E$9)</f>
        <v>43.893900000000002</v>
      </c>
      <c r="P663" s="14">
        <f>CHOOSE(CONTROL!$C$42, 43.9573, 43.9573) * CHOOSE(CONTROL!$C$21, $C$9, 100%, $E$9)</f>
        <v>43.957299999999996</v>
      </c>
      <c r="Q663" s="14">
        <f>CHOOSE(CONTROL!$C$42, 44.4886, 44.4886) * CHOOSE(CONTROL!$C$21, $C$9, 100%, $E$9)</f>
        <v>44.488599999999998</v>
      </c>
      <c r="R663" s="14">
        <f>CHOOSE(CONTROL!$C$42, 45.1868, 45.1868) * CHOOSE(CONTROL!$C$21, $C$9, 100%, $E$9)</f>
        <v>45.186799999999998</v>
      </c>
      <c r="S663" s="14">
        <f>CHOOSE(CONTROL!$C$42, 42.9403, 42.9403) * CHOOSE(CONTROL!$C$21, $C$9, 100%, $E$9)</f>
        <v>42.940300000000001</v>
      </c>
      <c r="T66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56">
        <f>(1000*CHOOSE(CONTROL!$C$42, 695, 695)*CHOOSE(CONTROL!$C$42, 0.5599, 0.5599)*CHOOSE(CONTROL!$C$42, 31, 31))/1000000</f>
        <v>12.063045499999998</v>
      </c>
      <c r="V663" s="56">
        <f>(1000*CHOOSE(CONTROL!$C$42, 500, 500)*CHOOSE(CONTROL!$C$42, 0.275, 0.275)*CHOOSE(CONTROL!$C$42, 31, 31))/1000000</f>
        <v>4.2625000000000002</v>
      </c>
      <c r="W663" s="56">
        <f>(1000*CHOOSE(CONTROL!$C$42, 0.1146, 0.1146)*CHOOSE(CONTROL!$C$42, 121.5, 121.5)*CHOOSE(CONTROL!$C$42, 31, 31))/1000000</f>
        <v>0.43164089999999994</v>
      </c>
      <c r="X663" s="56">
        <f>(31*0.1790888*100000/1000000)+(31*0.2374*100000/1000000)</f>
        <v>1.2911152800000001</v>
      </c>
      <c r="Y663" s="56"/>
      <c r="Z663" s="14"/>
      <c r="AA663" s="55"/>
      <c r="AB663" s="49">
        <f>(B663*122.58+C663*297.941+D663*89.177+E663*40.302+F663*40+G663*160+H663*0+I663*100+J663*300)/(122.58+297.941+89.177+40.302+0+40+160+100+300)</f>
        <v>44.733863280695651</v>
      </c>
      <c r="AC663" s="44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43.867413669064753</v>
      </c>
    </row>
    <row r="664" spans="1:29" ht="15.75" x14ac:dyDescent="0.25">
      <c r="A664" s="31">
        <v>61117</v>
      </c>
      <c r="B664" s="14">
        <f>CHOOSE(CONTROL!$C$42, 44.5637, 44.5637) * CHOOSE(CONTROL!$C$21, $C$9, 100%, $E$9)</f>
        <v>44.563699999999997</v>
      </c>
      <c r="C664" s="14">
        <f>CHOOSE(CONTROL!$C$42, 44.5681, 44.5681) * CHOOSE(CONTROL!$C$21, $C$9, 100%, $E$9)</f>
        <v>44.568100000000001</v>
      </c>
      <c r="D664" s="14">
        <f>CHOOSE(CONTROL!$C$42, 44.7971, 44.7971) * CHOOSE(CONTROL!$C$21, $C$9, 100%, $E$9)</f>
        <v>44.7971</v>
      </c>
      <c r="E664" s="14">
        <f>CHOOSE(CONTROL!$C$42, 44.8292, 44.8292) * CHOOSE(CONTROL!$C$21, $C$9, 100%, $E$9)</f>
        <v>44.8292</v>
      </c>
      <c r="F664" s="14">
        <f>CHOOSE(CONTROL!$C$42, 44.5907, 44.5907)*CHOOSE(CONTROL!$C$21, $C$9, 100%, $E$9)</f>
        <v>44.590699999999998</v>
      </c>
      <c r="G664" s="14">
        <f>CHOOSE(CONTROL!$C$42, 44.6074, 44.6074)*CHOOSE(CONTROL!$C$21, $C$9, 100%, $E$9)</f>
        <v>44.607399999999998</v>
      </c>
      <c r="H664" s="14">
        <f>CHOOSE(CONTROL!$C$42, 44.819, 44.819) * CHOOSE(CONTROL!$C$21, $C$9, 100%, $E$9)</f>
        <v>44.819000000000003</v>
      </c>
      <c r="I664" s="14">
        <f>CHOOSE(CONTROL!$C$42, 44.7362, 44.7362)* CHOOSE(CONTROL!$C$21, $C$9, 100%, $E$9)</f>
        <v>44.736199999999997</v>
      </c>
      <c r="J664" s="14">
        <f>CHOOSE(CONTROL!$C$42, 44.5837, 44.5837)* CHOOSE(CONTROL!$C$21, $C$9, 100%, $E$9)</f>
        <v>44.5837</v>
      </c>
      <c r="K664" s="52">
        <f>CHOOSE(CONTROL!$C$42, 44.7323, 44.7323) * CHOOSE(CONTROL!$C$21, $C$9, 100%, $E$9)</f>
        <v>44.732300000000002</v>
      </c>
      <c r="L664" s="14">
        <f>CHOOSE(CONTROL!$C$42, 45.406, 45.406) * CHOOSE(CONTROL!$C$21, $C$9, 100%, $E$9)</f>
        <v>45.405999999999999</v>
      </c>
      <c r="M664" s="14">
        <f>CHOOSE(CONTROL!$C$42, 43.6779, 43.6779) * CHOOSE(CONTROL!$C$21, $C$9, 100%, $E$9)</f>
        <v>43.677900000000001</v>
      </c>
      <c r="N664" s="14">
        <f>CHOOSE(CONTROL!$C$42, 43.6942, 43.6942) * CHOOSE(CONTROL!$C$21, $C$9, 100%, $E$9)</f>
        <v>43.694200000000002</v>
      </c>
      <c r="O664" s="14">
        <f>CHOOSE(CONTROL!$C$42, 43.9083, 43.9083) * CHOOSE(CONTROL!$C$21, $C$9, 100%, $E$9)</f>
        <v>43.908299999999997</v>
      </c>
      <c r="P664" s="14">
        <f>CHOOSE(CONTROL!$C$42, 43.8245, 43.8245) * CHOOSE(CONTROL!$C$21, $C$9, 100%, $E$9)</f>
        <v>43.8245</v>
      </c>
      <c r="Q664" s="14">
        <f>CHOOSE(CONTROL!$C$42, 44.503, 44.503) * CHOOSE(CONTROL!$C$21, $C$9, 100%, $E$9)</f>
        <v>44.503</v>
      </c>
      <c r="R664" s="14">
        <f>CHOOSE(CONTROL!$C$42, 45.2013, 45.2013) * CHOOSE(CONTROL!$C$21, $C$9, 100%, $E$9)</f>
        <v>45.201300000000003</v>
      </c>
      <c r="S664" s="14">
        <f>CHOOSE(CONTROL!$C$42, 42.8119, 42.8119) * CHOOSE(CONTROL!$C$21, $C$9, 100%, $E$9)</f>
        <v>42.811900000000001</v>
      </c>
      <c r="T66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56">
        <f>(1000*CHOOSE(CONTROL!$C$42, 695, 695)*CHOOSE(CONTROL!$C$42, 0.5599, 0.5599)*CHOOSE(CONTROL!$C$42, 30, 30))/1000000</f>
        <v>11.673914999999997</v>
      </c>
      <c r="V664" s="56">
        <f>(1000*CHOOSE(CONTROL!$C$42, 500, 500)*CHOOSE(CONTROL!$C$42, 0.275, 0.275)*CHOOSE(CONTROL!$C$42, 30, 30))/1000000</f>
        <v>4.125</v>
      </c>
      <c r="W664" s="56">
        <f>(1000*CHOOSE(CONTROL!$C$42, 0.1146, 0.1146)*CHOOSE(CONTROL!$C$42, 121.5, 121.5)*CHOOSE(CONTROL!$C$42, 30, 30))/1000000</f>
        <v>0.417717</v>
      </c>
      <c r="X664" s="56">
        <f>(30*0.1790888*245000/1000000)+(30*0.2374*100000/1000000)</f>
        <v>2.0285026799999999</v>
      </c>
      <c r="Y664" s="56"/>
      <c r="Z664" s="14"/>
      <c r="AA664" s="55"/>
      <c r="AB664" s="49">
        <f>(B664*141.293+C664*267.993+D664*115.016+E664*89.698+F664*40+G664*185+H664*0+I664*100+J664*300)/(141.293+267.993+115.016+89.698+0+40+185+100+300)</f>
        <v>44.631700986763526</v>
      </c>
      <c r="AC664" s="44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43.804357553956834</v>
      </c>
    </row>
    <row r="665" spans="1:29" ht="15.75" x14ac:dyDescent="0.25">
      <c r="A665" s="31">
        <v>61148</v>
      </c>
      <c r="B665" s="14">
        <f>CHOOSE(CONTROL!$C$42, 44.9583, 44.9583) * CHOOSE(CONTROL!$C$21, $C$9, 100%, $E$9)</f>
        <v>44.958300000000001</v>
      </c>
      <c r="C665" s="14">
        <f>CHOOSE(CONTROL!$C$42, 44.9663, 44.9663) * CHOOSE(CONTROL!$C$21, $C$9, 100%, $E$9)</f>
        <v>44.966299999999997</v>
      </c>
      <c r="D665" s="14">
        <f>CHOOSE(CONTROL!$C$42, 45.1921, 45.1921) * CHOOSE(CONTROL!$C$21, $C$9, 100%, $E$9)</f>
        <v>45.192100000000003</v>
      </c>
      <c r="E665" s="14">
        <f>CHOOSE(CONTROL!$C$42, 45.2236, 45.2236) * CHOOSE(CONTROL!$C$21, $C$9, 100%, $E$9)</f>
        <v>45.223599999999998</v>
      </c>
      <c r="F665" s="14">
        <f>CHOOSE(CONTROL!$C$42, 44.9839, 44.9839)*CHOOSE(CONTROL!$C$21, $C$9, 100%, $E$9)</f>
        <v>44.983899999999998</v>
      </c>
      <c r="G665" s="14">
        <f>CHOOSE(CONTROL!$C$42, 45.0009, 45.0009)*CHOOSE(CONTROL!$C$21, $C$9, 100%, $E$9)</f>
        <v>45.000900000000001</v>
      </c>
      <c r="H665" s="14">
        <f>CHOOSE(CONTROL!$C$42, 45.2122, 45.2122) * CHOOSE(CONTROL!$C$21, $C$9, 100%, $E$9)</f>
        <v>45.212200000000003</v>
      </c>
      <c r="I665" s="14">
        <f>CHOOSE(CONTROL!$C$42, 45.1306, 45.1306)* CHOOSE(CONTROL!$C$21, $C$9, 100%, $E$9)</f>
        <v>45.130600000000001</v>
      </c>
      <c r="J665" s="14">
        <f>CHOOSE(CONTROL!$C$42, 44.9769, 44.9769)* CHOOSE(CONTROL!$C$21, $C$9, 100%, $E$9)</f>
        <v>44.976900000000001</v>
      </c>
      <c r="K665" s="52">
        <f>CHOOSE(CONTROL!$C$42, 45.1267, 45.1267) * CHOOSE(CONTROL!$C$21, $C$9, 100%, $E$9)</f>
        <v>45.1267</v>
      </c>
      <c r="L665" s="14">
        <f>CHOOSE(CONTROL!$C$42, 45.7992, 45.7992) * CHOOSE(CONTROL!$C$21, $C$9, 100%, $E$9)</f>
        <v>45.799199999999999</v>
      </c>
      <c r="M665" s="14">
        <f>CHOOSE(CONTROL!$C$42, 44.0631, 44.0631) * CHOOSE(CONTROL!$C$21, $C$9, 100%, $E$9)</f>
        <v>44.063099999999999</v>
      </c>
      <c r="N665" s="14">
        <f>CHOOSE(CONTROL!$C$42, 44.0797, 44.0797) * CHOOSE(CONTROL!$C$21, $C$9, 100%, $E$9)</f>
        <v>44.079700000000003</v>
      </c>
      <c r="O665" s="14">
        <f>CHOOSE(CONTROL!$C$42, 44.2935, 44.2935) * CHOOSE(CONTROL!$C$21, $C$9, 100%, $E$9)</f>
        <v>44.293500000000002</v>
      </c>
      <c r="P665" s="14">
        <f>CHOOSE(CONTROL!$C$42, 44.2109, 44.2109) * CHOOSE(CONTROL!$C$21, $C$9, 100%, $E$9)</f>
        <v>44.210900000000002</v>
      </c>
      <c r="Q665" s="14">
        <f>CHOOSE(CONTROL!$C$42, 44.8882, 44.8882) * CHOOSE(CONTROL!$C$21, $C$9, 100%, $E$9)</f>
        <v>44.888199999999998</v>
      </c>
      <c r="R665" s="14">
        <f>CHOOSE(CONTROL!$C$42, 45.5874, 45.5874) * CHOOSE(CONTROL!$C$21, $C$9, 100%, $E$9)</f>
        <v>45.587400000000002</v>
      </c>
      <c r="S665" s="14">
        <f>CHOOSE(CONTROL!$C$42, 43.1898, 43.1898) * CHOOSE(CONTROL!$C$21, $C$9, 100%, $E$9)</f>
        <v>43.189799999999998</v>
      </c>
      <c r="T66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56">
        <f>(1000*CHOOSE(CONTROL!$C$42, 695, 695)*CHOOSE(CONTROL!$C$42, 0.5599, 0.5599)*CHOOSE(CONTROL!$C$42, 31, 31))/1000000</f>
        <v>12.063045499999998</v>
      </c>
      <c r="V665" s="56">
        <f>(1000*CHOOSE(CONTROL!$C$42, 500, 500)*CHOOSE(CONTROL!$C$42, 0.275, 0.275)*CHOOSE(CONTROL!$C$42, 31, 31))/1000000</f>
        <v>4.2625000000000002</v>
      </c>
      <c r="W665" s="56">
        <f>(1000*CHOOSE(CONTROL!$C$42, 0.1146, 0.1146)*CHOOSE(CONTROL!$C$42, 121.5, 121.5)*CHOOSE(CONTROL!$C$42, 31, 31))/1000000</f>
        <v>0.43164089999999994</v>
      </c>
      <c r="X665" s="56">
        <f>(31*0.1790888*245000/1000000)+(31*0.2374*100000/1000000)</f>
        <v>2.0961194359999999</v>
      </c>
      <c r="Y665" s="56"/>
      <c r="Z665" s="14"/>
      <c r="AA665" s="55"/>
      <c r="AB665" s="49">
        <f>(B665*194.205+C665*267.466+D665*133.845+E665*53.484+F665*40+G665*185+H665*0+I665*100+J665*300)/(194.205+267.466+133.845+53.484+0+40+185+100+300)</f>
        <v>45.020573935792775</v>
      </c>
      <c r="AC665" s="44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44.18974748201439</v>
      </c>
    </row>
    <row r="666" spans="1:29" ht="15.75" x14ac:dyDescent="0.25">
      <c r="A666" s="31">
        <v>61178</v>
      </c>
      <c r="B666" s="14">
        <f>CHOOSE(CONTROL!$C$42, 46.2332, 46.2332) * CHOOSE(CONTROL!$C$21, $C$9, 100%, $E$9)</f>
        <v>46.233199999999997</v>
      </c>
      <c r="C666" s="14">
        <f>CHOOSE(CONTROL!$C$42, 46.2413, 46.2413) * CHOOSE(CONTROL!$C$21, $C$9, 100%, $E$9)</f>
        <v>46.241300000000003</v>
      </c>
      <c r="D666" s="14">
        <f>CHOOSE(CONTROL!$C$42, 46.4671, 46.4671) * CHOOSE(CONTROL!$C$21, $C$9, 100%, $E$9)</f>
        <v>46.467100000000002</v>
      </c>
      <c r="E666" s="14">
        <f>CHOOSE(CONTROL!$C$42, 46.4985, 46.4985) * CHOOSE(CONTROL!$C$21, $C$9, 100%, $E$9)</f>
        <v>46.4985</v>
      </c>
      <c r="F666" s="14">
        <f>CHOOSE(CONTROL!$C$42, 46.2593, 46.2593)*CHOOSE(CONTROL!$C$21, $C$9, 100%, $E$9)</f>
        <v>46.259300000000003</v>
      </c>
      <c r="G666" s="14">
        <f>CHOOSE(CONTROL!$C$42, 46.2764, 46.2764)*CHOOSE(CONTROL!$C$21, $C$9, 100%, $E$9)</f>
        <v>46.276400000000002</v>
      </c>
      <c r="H666" s="14">
        <f>CHOOSE(CONTROL!$C$42, 46.4872, 46.4872) * CHOOSE(CONTROL!$C$21, $C$9, 100%, $E$9)</f>
        <v>46.487200000000001</v>
      </c>
      <c r="I666" s="14">
        <f>CHOOSE(CONTROL!$C$42, 46.4096, 46.4096)* CHOOSE(CONTROL!$C$21, $C$9, 100%, $E$9)</f>
        <v>46.409599999999998</v>
      </c>
      <c r="J666" s="14">
        <f>CHOOSE(CONTROL!$C$42, 46.2523, 46.2523)* CHOOSE(CONTROL!$C$21, $C$9, 100%, $E$9)</f>
        <v>46.252299999999998</v>
      </c>
      <c r="K666" s="52">
        <f>CHOOSE(CONTROL!$C$42, 46.4057, 46.4057) * CHOOSE(CONTROL!$C$21, $C$9, 100%, $E$9)</f>
        <v>46.405700000000003</v>
      </c>
      <c r="L666" s="14">
        <f>CHOOSE(CONTROL!$C$42, 47.0742, 47.0742) * CHOOSE(CONTROL!$C$21, $C$9, 100%, $E$9)</f>
        <v>47.074199999999998</v>
      </c>
      <c r="M666" s="14">
        <f>CHOOSE(CONTROL!$C$42, 45.3124, 45.3124) * CHOOSE(CONTROL!$C$21, $C$9, 100%, $E$9)</f>
        <v>45.312399999999997</v>
      </c>
      <c r="N666" s="14">
        <f>CHOOSE(CONTROL!$C$42, 45.3291, 45.3291) * CHOOSE(CONTROL!$C$21, $C$9, 100%, $E$9)</f>
        <v>45.329099999999997</v>
      </c>
      <c r="O666" s="14">
        <f>CHOOSE(CONTROL!$C$42, 45.5424, 45.5424) * CHOOSE(CONTROL!$C$21, $C$9, 100%, $E$9)</f>
        <v>45.542400000000001</v>
      </c>
      <c r="P666" s="14">
        <f>CHOOSE(CONTROL!$C$42, 45.4635, 45.4635) * CHOOSE(CONTROL!$C$21, $C$9, 100%, $E$9)</f>
        <v>45.463500000000003</v>
      </c>
      <c r="Q666" s="14">
        <f>CHOOSE(CONTROL!$C$42, 46.1371, 46.1371) * CHOOSE(CONTROL!$C$21, $C$9, 100%, $E$9)</f>
        <v>46.137099999999997</v>
      </c>
      <c r="R666" s="14">
        <f>CHOOSE(CONTROL!$C$42, 46.8394, 46.8394) * CHOOSE(CONTROL!$C$21, $C$9, 100%, $E$9)</f>
        <v>46.839399999999998</v>
      </c>
      <c r="S666" s="14">
        <f>CHOOSE(CONTROL!$C$42, 44.4149, 44.4149) * CHOOSE(CONTROL!$C$21, $C$9, 100%, $E$9)</f>
        <v>44.414900000000003</v>
      </c>
      <c r="T66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56">
        <f>(1000*CHOOSE(CONTROL!$C$42, 695, 695)*CHOOSE(CONTROL!$C$42, 0.5599, 0.5599)*CHOOSE(CONTROL!$C$42, 30, 30))/1000000</f>
        <v>11.673914999999997</v>
      </c>
      <c r="V666" s="56">
        <f>(1000*CHOOSE(CONTROL!$C$42, 500, 500)*CHOOSE(CONTROL!$C$42, 0.275, 0.275)*CHOOSE(CONTROL!$C$42, 30, 30))/1000000</f>
        <v>4.125</v>
      </c>
      <c r="W666" s="56">
        <f>(1000*CHOOSE(CONTROL!$C$42, 0.1146, 0.1146)*CHOOSE(CONTROL!$C$42, 121.5, 121.5)*CHOOSE(CONTROL!$C$42, 30, 30))/1000000</f>
        <v>0.417717</v>
      </c>
      <c r="X666" s="56">
        <f>(30*0.1790888*245000/1000000)+(30*0.2374*100000/1000000)</f>
        <v>2.0285026799999999</v>
      </c>
      <c r="Y666" s="56"/>
      <c r="Z666" s="14"/>
      <c r="AA666" s="55"/>
      <c r="AB666" s="49">
        <f>(B666*194.205+C666*267.466+D666*133.845+E666*53.484+F666*40+G666*185+H666*0+I666*100+J666*300)/(194.205+267.466+133.845+53.484+0+40+185+100+300)</f>
        <v>46.296047822056508</v>
      </c>
      <c r="AC666" s="44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45.439346762589928</v>
      </c>
    </row>
    <row r="667" spans="1:29" ht="15.75" x14ac:dyDescent="0.25">
      <c r="A667" s="31">
        <v>61209</v>
      </c>
      <c r="B667" s="14">
        <f>CHOOSE(CONTROL!$C$42, 45.3465, 45.3465) * CHOOSE(CONTROL!$C$21, $C$9, 100%, $E$9)</f>
        <v>45.346499999999999</v>
      </c>
      <c r="C667" s="14">
        <f>CHOOSE(CONTROL!$C$42, 45.3545, 45.3545) * CHOOSE(CONTROL!$C$21, $C$9, 100%, $E$9)</f>
        <v>45.354500000000002</v>
      </c>
      <c r="D667" s="14">
        <f>CHOOSE(CONTROL!$C$42, 45.5803, 45.5803) * CHOOSE(CONTROL!$C$21, $C$9, 100%, $E$9)</f>
        <v>45.580300000000001</v>
      </c>
      <c r="E667" s="14">
        <f>CHOOSE(CONTROL!$C$42, 45.6118, 45.6118) * CHOOSE(CONTROL!$C$21, $C$9, 100%, $E$9)</f>
        <v>45.611800000000002</v>
      </c>
      <c r="F667" s="14">
        <f>CHOOSE(CONTROL!$C$42, 45.3731, 45.3731)*CHOOSE(CONTROL!$C$21, $C$9, 100%, $E$9)</f>
        <v>45.373100000000001</v>
      </c>
      <c r="G667" s="14">
        <f>CHOOSE(CONTROL!$C$42, 45.3903, 45.3903)*CHOOSE(CONTROL!$C$21, $C$9, 100%, $E$9)</f>
        <v>45.390300000000003</v>
      </c>
      <c r="H667" s="14">
        <f>CHOOSE(CONTROL!$C$42, 45.6004, 45.6004) * CHOOSE(CONTROL!$C$21, $C$9, 100%, $E$9)</f>
        <v>45.6004</v>
      </c>
      <c r="I667" s="14">
        <f>CHOOSE(CONTROL!$C$42, 45.5201, 45.5201)* CHOOSE(CONTROL!$C$21, $C$9, 100%, $E$9)</f>
        <v>45.520099999999999</v>
      </c>
      <c r="J667" s="14">
        <f>CHOOSE(CONTROL!$C$42, 45.3661, 45.3661)* CHOOSE(CONTROL!$C$21, $C$9, 100%, $E$9)</f>
        <v>45.366100000000003</v>
      </c>
      <c r="K667" s="52">
        <f>CHOOSE(CONTROL!$C$42, 45.5162, 45.5162) * CHOOSE(CONTROL!$C$21, $C$9, 100%, $E$9)</f>
        <v>45.516199999999998</v>
      </c>
      <c r="L667" s="14">
        <f>CHOOSE(CONTROL!$C$42, 46.1874, 46.1874) * CHOOSE(CONTROL!$C$21, $C$9, 100%, $E$9)</f>
        <v>46.187399999999997</v>
      </c>
      <c r="M667" s="14">
        <f>CHOOSE(CONTROL!$C$42, 44.4442, 44.4442) * CHOOSE(CONTROL!$C$21, $C$9, 100%, $E$9)</f>
        <v>44.444200000000002</v>
      </c>
      <c r="N667" s="14">
        <f>CHOOSE(CONTROL!$C$42, 44.4611, 44.4611) * CHOOSE(CONTROL!$C$21, $C$9, 100%, $E$9)</f>
        <v>44.461100000000002</v>
      </c>
      <c r="O667" s="14">
        <f>CHOOSE(CONTROL!$C$42, 44.6738, 44.6738) * CHOOSE(CONTROL!$C$21, $C$9, 100%, $E$9)</f>
        <v>44.6738</v>
      </c>
      <c r="P667" s="14">
        <f>CHOOSE(CONTROL!$C$42, 44.5923, 44.5923) * CHOOSE(CONTROL!$C$21, $C$9, 100%, $E$9)</f>
        <v>44.592300000000002</v>
      </c>
      <c r="Q667" s="14">
        <f>CHOOSE(CONTROL!$C$42, 45.2685, 45.2685) * CHOOSE(CONTROL!$C$21, $C$9, 100%, $E$9)</f>
        <v>45.268500000000003</v>
      </c>
      <c r="R667" s="14">
        <f>CHOOSE(CONTROL!$C$42, 45.9687, 45.9687) * CHOOSE(CONTROL!$C$21, $C$9, 100%, $E$9)</f>
        <v>45.968699999999998</v>
      </c>
      <c r="S667" s="14">
        <f>CHOOSE(CONTROL!$C$42, 43.5628, 43.5628) * CHOOSE(CONTROL!$C$21, $C$9, 100%, $E$9)</f>
        <v>43.562800000000003</v>
      </c>
      <c r="T66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56">
        <f>(1000*CHOOSE(CONTROL!$C$42, 695, 695)*CHOOSE(CONTROL!$C$42, 0.5599, 0.5599)*CHOOSE(CONTROL!$C$42, 31, 31))/1000000</f>
        <v>12.063045499999998</v>
      </c>
      <c r="V667" s="56">
        <f>(1000*CHOOSE(CONTROL!$C$42, 500, 500)*CHOOSE(CONTROL!$C$42, 0.275, 0.275)*CHOOSE(CONTROL!$C$42, 31, 31))/1000000</f>
        <v>4.2625000000000002</v>
      </c>
      <c r="W667" s="56">
        <f>(1000*CHOOSE(CONTROL!$C$42, 0.1146, 0.1146)*CHOOSE(CONTROL!$C$42, 121.5, 121.5)*CHOOSE(CONTROL!$C$42, 31, 31))/1000000</f>
        <v>0.43164089999999994</v>
      </c>
      <c r="X667" s="56">
        <f>(31*0.1790888*245000/1000000)+(31*0.2374*100000/1000000)</f>
        <v>2.0961194359999999</v>
      </c>
      <c r="Y667" s="56"/>
      <c r="Z667" s="14"/>
      <c r="AA667" s="55"/>
      <c r="AB667" s="49">
        <f>(B667*194.205+C667*267.466+D667*133.845+E667*53.484+F667*40+G667*185+H667*0+I667*100+J667*300)/(194.205+267.466+133.845+53.484+0+40+185+100+300)</f>
        <v>45.409317106907388</v>
      </c>
      <c r="AC667" s="44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44.570545323741008</v>
      </c>
    </row>
    <row r="668" spans="1:29" ht="15.75" x14ac:dyDescent="0.25">
      <c r="A668" s="31">
        <v>61240</v>
      </c>
      <c r="B668" s="14">
        <f>CHOOSE(CONTROL!$C$42, 43.1072, 43.1072) * CHOOSE(CONTROL!$C$21, $C$9, 100%, $E$9)</f>
        <v>43.107199999999999</v>
      </c>
      <c r="C668" s="14">
        <f>CHOOSE(CONTROL!$C$42, 43.1152, 43.1152) * CHOOSE(CONTROL!$C$21, $C$9, 100%, $E$9)</f>
        <v>43.115200000000002</v>
      </c>
      <c r="D668" s="14">
        <f>CHOOSE(CONTROL!$C$42, 43.341, 43.341) * CHOOSE(CONTROL!$C$21, $C$9, 100%, $E$9)</f>
        <v>43.341000000000001</v>
      </c>
      <c r="E668" s="14">
        <f>CHOOSE(CONTROL!$C$42, 43.3725, 43.3725) * CHOOSE(CONTROL!$C$21, $C$9, 100%, $E$9)</f>
        <v>43.372500000000002</v>
      </c>
      <c r="F668" s="14">
        <f>CHOOSE(CONTROL!$C$42, 43.134, 43.134)*CHOOSE(CONTROL!$C$21, $C$9, 100%, $E$9)</f>
        <v>43.134</v>
      </c>
      <c r="G668" s="14">
        <f>CHOOSE(CONTROL!$C$42, 43.1513, 43.1513)*CHOOSE(CONTROL!$C$21, $C$9, 100%, $E$9)</f>
        <v>43.151299999999999</v>
      </c>
      <c r="H668" s="14">
        <f>CHOOSE(CONTROL!$C$42, 43.3611, 43.3611) * CHOOSE(CONTROL!$C$21, $C$9, 100%, $E$9)</f>
        <v>43.3611</v>
      </c>
      <c r="I668" s="14">
        <f>CHOOSE(CONTROL!$C$42, 43.2737, 43.2737)* CHOOSE(CONTROL!$C$21, $C$9, 100%, $E$9)</f>
        <v>43.273699999999998</v>
      </c>
      <c r="J668" s="14">
        <f>CHOOSE(CONTROL!$C$42, 43.127, 43.127)* CHOOSE(CONTROL!$C$21, $C$9, 100%, $E$9)</f>
        <v>43.127000000000002</v>
      </c>
      <c r="K668" s="52">
        <f>CHOOSE(CONTROL!$C$42, 43.2698, 43.2698) * CHOOSE(CONTROL!$C$21, $C$9, 100%, $E$9)</f>
        <v>43.269799999999996</v>
      </c>
      <c r="L668" s="14">
        <f>CHOOSE(CONTROL!$C$42, 43.9481, 43.9481) * CHOOSE(CONTROL!$C$21, $C$9, 100%, $E$9)</f>
        <v>43.948099999999997</v>
      </c>
      <c r="M668" s="14">
        <f>CHOOSE(CONTROL!$C$42, 42.251, 42.251) * CHOOSE(CONTROL!$C$21, $C$9, 100%, $E$9)</f>
        <v>42.250999999999998</v>
      </c>
      <c r="N668" s="14">
        <f>CHOOSE(CONTROL!$C$42, 42.268, 42.268) * CHOOSE(CONTROL!$C$21, $C$9, 100%, $E$9)</f>
        <v>42.268000000000001</v>
      </c>
      <c r="O668" s="14">
        <f>CHOOSE(CONTROL!$C$42, 42.4803, 42.4803) * CHOOSE(CONTROL!$C$21, $C$9, 100%, $E$9)</f>
        <v>42.4803</v>
      </c>
      <c r="P668" s="14">
        <f>CHOOSE(CONTROL!$C$42, 42.3921, 42.3921) * CHOOSE(CONTROL!$C$21, $C$9, 100%, $E$9)</f>
        <v>42.392099999999999</v>
      </c>
      <c r="Q668" s="14">
        <f>CHOOSE(CONTROL!$C$42, 43.075, 43.075) * CHOOSE(CONTROL!$C$21, $C$9, 100%, $E$9)</f>
        <v>43.075000000000003</v>
      </c>
      <c r="R668" s="14">
        <f>CHOOSE(CONTROL!$C$42, 43.7697, 43.7697) * CHOOSE(CONTROL!$C$21, $C$9, 100%, $E$9)</f>
        <v>43.7697</v>
      </c>
      <c r="S668" s="14">
        <f>CHOOSE(CONTROL!$C$42, 41.4111, 41.4111) * CHOOSE(CONTROL!$C$21, $C$9, 100%, $E$9)</f>
        <v>41.411099999999998</v>
      </c>
      <c r="T66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56">
        <f>(1000*CHOOSE(CONTROL!$C$42, 695, 695)*CHOOSE(CONTROL!$C$42, 0.5599, 0.5599)*CHOOSE(CONTROL!$C$42, 31, 31))/1000000</f>
        <v>12.063045499999998</v>
      </c>
      <c r="V668" s="56">
        <f>(1000*CHOOSE(CONTROL!$C$42, 500, 500)*CHOOSE(CONTROL!$C$42, 0.275, 0.275)*CHOOSE(CONTROL!$C$42, 31, 31))/1000000</f>
        <v>4.2625000000000002</v>
      </c>
      <c r="W668" s="56">
        <f>(1000*CHOOSE(CONTROL!$C$42, 0.1146, 0.1146)*CHOOSE(CONTROL!$C$42, 121.5, 121.5)*CHOOSE(CONTROL!$C$42, 31, 31))/1000000</f>
        <v>0.43164089999999994</v>
      </c>
      <c r="X668" s="56">
        <f>(31*0.1790888*245000/1000000)+(31*0.2374*100000/1000000)</f>
        <v>2.0961194359999999</v>
      </c>
      <c r="Y668" s="56"/>
      <c r="Z668" s="14"/>
      <c r="AA668" s="55"/>
      <c r="AB668" s="49">
        <f>(B668*194.205+C668*267.466+D668*133.845+E668*53.484+F668*40+G668*185+H668*0+I668*100+J668*300)/(194.205+267.466+133.845+53.484+0+40+185+100+300)</f>
        <v>43.16955674583987</v>
      </c>
      <c r="AC668" s="44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42.376207913669063</v>
      </c>
    </row>
    <row r="669" spans="1:29" ht="15.75" x14ac:dyDescent="0.25">
      <c r="A669" s="31">
        <v>61270</v>
      </c>
      <c r="B669" s="14">
        <f>CHOOSE(CONTROL!$C$42, 40.3709, 40.3709) * CHOOSE(CONTROL!$C$21, $C$9, 100%, $E$9)</f>
        <v>40.370899999999999</v>
      </c>
      <c r="C669" s="14">
        <f>CHOOSE(CONTROL!$C$42, 40.379, 40.379) * CHOOSE(CONTROL!$C$21, $C$9, 100%, $E$9)</f>
        <v>40.378999999999998</v>
      </c>
      <c r="D669" s="14">
        <f>CHOOSE(CONTROL!$C$42, 40.6047, 40.6047) * CHOOSE(CONTROL!$C$21, $C$9, 100%, $E$9)</f>
        <v>40.604700000000001</v>
      </c>
      <c r="E669" s="14">
        <f>CHOOSE(CONTROL!$C$42, 40.6362, 40.6362) * CHOOSE(CONTROL!$C$21, $C$9, 100%, $E$9)</f>
        <v>40.636200000000002</v>
      </c>
      <c r="F669" s="14">
        <f>CHOOSE(CONTROL!$C$42, 40.3977, 40.3977)*CHOOSE(CONTROL!$C$21, $C$9, 100%, $E$9)</f>
        <v>40.3977</v>
      </c>
      <c r="G669" s="14">
        <f>CHOOSE(CONTROL!$C$42, 40.415, 40.415)*CHOOSE(CONTROL!$C$21, $C$9, 100%, $E$9)</f>
        <v>40.414999999999999</v>
      </c>
      <c r="H669" s="14">
        <f>CHOOSE(CONTROL!$C$42, 40.6248, 40.6248) * CHOOSE(CONTROL!$C$21, $C$9, 100%, $E$9)</f>
        <v>40.6248</v>
      </c>
      <c r="I669" s="14">
        <f>CHOOSE(CONTROL!$C$42, 40.5289, 40.5289)* CHOOSE(CONTROL!$C$21, $C$9, 100%, $E$9)</f>
        <v>40.5289</v>
      </c>
      <c r="J669" s="14">
        <f>CHOOSE(CONTROL!$C$42, 40.3907, 40.3907)* CHOOSE(CONTROL!$C$21, $C$9, 100%, $E$9)</f>
        <v>40.390700000000002</v>
      </c>
      <c r="K669" s="52">
        <f>CHOOSE(CONTROL!$C$42, 40.525, 40.525) * CHOOSE(CONTROL!$C$21, $C$9, 100%, $E$9)</f>
        <v>40.524999999999999</v>
      </c>
      <c r="L669" s="14">
        <f>CHOOSE(CONTROL!$C$42, 41.2118, 41.2118) * CHOOSE(CONTROL!$C$21, $C$9, 100%, $E$9)</f>
        <v>41.211799999999997</v>
      </c>
      <c r="M669" s="14">
        <f>CHOOSE(CONTROL!$C$42, 39.5709, 39.5709) * CHOOSE(CONTROL!$C$21, $C$9, 100%, $E$9)</f>
        <v>39.570900000000002</v>
      </c>
      <c r="N669" s="14">
        <f>CHOOSE(CONTROL!$C$42, 39.5878, 39.5878) * CHOOSE(CONTROL!$C$21, $C$9, 100%, $E$9)</f>
        <v>39.587800000000001</v>
      </c>
      <c r="O669" s="14">
        <f>CHOOSE(CONTROL!$C$42, 39.8002, 39.8002) * CHOOSE(CONTROL!$C$21, $C$9, 100%, $E$9)</f>
        <v>39.800199999999997</v>
      </c>
      <c r="P669" s="14">
        <f>CHOOSE(CONTROL!$C$42, 39.7037, 39.7037) * CHOOSE(CONTROL!$C$21, $C$9, 100%, $E$9)</f>
        <v>39.703699999999998</v>
      </c>
      <c r="Q669" s="14">
        <f>CHOOSE(CONTROL!$C$42, 40.3949, 40.3949) * CHOOSE(CONTROL!$C$21, $C$9, 100%, $E$9)</f>
        <v>40.3949</v>
      </c>
      <c r="R669" s="14">
        <f>CHOOSE(CONTROL!$C$42, 41.0828, 41.0828) * CHOOSE(CONTROL!$C$21, $C$9, 100%, $E$9)</f>
        <v>41.082799999999999</v>
      </c>
      <c r="S669" s="14">
        <f>CHOOSE(CONTROL!$C$42, 38.7818, 38.7818) * CHOOSE(CONTROL!$C$21, $C$9, 100%, $E$9)</f>
        <v>38.781799999999997</v>
      </c>
      <c r="T66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56">
        <f>(1000*CHOOSE(CONTROL!$C$42, 695, 695)*CHOOSE(CONTROL!$C$42, 0.5599, 0.5599)*CHOOSE(CONTROL!$C$42, 30, 30))/1000000</f>
        <v>11.673914999999997</v>
      </c>
      <c r="V669" s="56">
        <f>(1000*CHOOSE(CONTROL!$C$42, 500, 500)*CHOOSE(CONTROL!$C$42, 0.275, 0.275)*CHOOSE(CONTROL!$C$42, 30, 30))/1000000</f>
        <v>4.125</v>
      </c>
      <c r="W669" s="56">
        <f>(1000*CHOOSE(CONTROL!$C$42, 0.1146, 0.1146)*CHOOSE(CONTROL!$C$42, 121.5, 121.5)*CHOOSE(CONTROL!$C$42, 30, 30))/1000000</f>
        <v>0.417717</v>
      </c>
      <c r="X669" s="56">
        <f>(30*0.1790888*245000/1000000)+(30*0.2374*100000/1000000)</f>
        <v>2.0285026799999999</v>
      </c>
      <c r="Y669" s="56"/>
      <c r="Z669" s="14"/>
      <c r="AA669" s="55"/>
      <c r="AB669" s="49">
        <f>(B669*194.205+C669*267.466+D669*133.845+E669*53.484+F669*40+G669*185+H669*0+I669*100+J669*300)/(194.205+267.466+133.845+53.484+0+40+185+100+300)</f>
        <v>40.432610550078493</v>
      </c>
      <c r="AC669" s="44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39.694907913669063</v>
      </c>
    </row>
    <row r="670" spans="1:29" ht="15.75" x14ac:dyDescent="0.25">
      <c r="A670" s="31">
        <v>61301</v>
      </c>
      <c r="B670" s="14">
        <f>CHOOSE(CONTROL!$C$42, 39.5497, 39.5497) * CHOOSE(CONTROL!$C$21, $C$9, 100%, $E$9)</f>
        <v>39.549700000000001</v>
      </c>
      <c r="C670" s="14">
        <f>CHOOSE(CONTROL!$C$42, 39.555, 39.555) * CHOOSE(CONTROL!$C$21, $C$9, 100%, $E$9)</f>
        <v>39.555</v>
      </c>
      <c r="D670" s="14">
        <f>CHOOSE(CONTROL!$C$42, 39.7858, 39.7858) * CHOOSE(CONTROL!$C$21, $C$9, 100%, $E$9)</f>
        <v>39.785800000000002</v>
      </c>
      <c r="E670" s="14">
        <f>CHOOSE(CONTROL!$C$42, 39.8149, 39.8149) * CHOOSE(CONTROL!$C$21, $C$9, 100%, $E$9)</f>
        <v>39.814900000000002</v>
      </c>
      <c r="F670" s="14">
        <f>CHOOSE(CONTROL!$C$42, 39.5786, 39.5786)*CHOOSE(CONTROL!$C$21, $C$9, 100%, $E$9)</f>
        <v>39.578600000000002</v>
      </c>
      <c r="G670" s="14">
        <f>CHOOSE(CONTROL!$C$42, 39.5957, 39.5957)*CHOOSE(CONTROL!$C$21, $C$9, 100%, $E$9)</f>
        <v>39.595700000000001</v>
      </c>
      <c r="H670" s="14">
        <f>CHOOSE(CONTROL!$C$42, 39.8054, 39.8054) * CHOOSE(CONTROL!$C$21, $C$9, 100%, $E$9)</f>
        <v>39.805399999999999</v>
      </c>
      <c r="I670" s="14">
        <f>CHOOSE(CONTROL!$C$42, 39.7069, 39.7069)* CHOOSE(CONTROL!$C$21, $C$9, 100%, $E$9)</f>
        <v>39.706899999999997</v>
      </c>
      <c r="J670" s="14">
        <f>CHOOSE(CONTROL!$C$42, 39.5716, 39.5716)* CHOOSE(CONTROL!$C$21, $C$9, 100%, $E$9)</f>
        <v>39.571599999999997</v>
      </c>
      <c r="K670" s="52">
        <f>CHOOSE(CONTROL!$C$42, 39.703, 39.703) * CHOOSE(CONTROL!$C$21, $C$9, 100%, $E$9)</f>
        <v>39.703000000000003</v>
      </c>
      <c r="L670" s="14">
        <f>CHOOSE(CONTROL!$C$42, 40.3924, 40.3924) * CHOOSE(CONTROL!$C$21, $C$9, 100%, $E$9)</f>
        <v>40.392400000000002</v>
      </c>
      <c r="M670" s="14">
        <f>CHOOSE(CONTROL!$C$42, 38.7685, 38.7685) * CHOOSE(CONTROL!$C$21, $C$9, 100%, $E$9)</f>
        <v>38.768500000000003</v>
      </c>
      <c r="N670" s="14">
        <f>CHOOSE(CONTROL!$C$42, 38.7852, 38.7852) * CHOOSE(CONTROL!$C$21, $C$9, 100%, $E$9)</f>
        <v>38.785200000000003</v>
      </c>
      <c r="O670" s="14">
        <f>CHOOSE(CONTROL!$C$42, 38.9975, 38.9975) * CHOOSE(CONTROL!$C$21, $C$9, 100%, $E$9)</f>
        <v>38.997500000000002</v>
      </c>
      <c r="P670" s="14">
        <f>CHOOSE(CONTROL!$C$42, 38.8986, 38.8986) * CHOOSE(CONTROL!$C$21, $C$9, 100%, $E$9)</f>
        <v>38.898600000000002</v>
      </c>
      <c r="Q670" s="14">
        <f>CHOOSE(CONTROL!$C$42, 39.5922, 39.5922) * CHOOSE(CONTROL!$C$21, $C$9, 100%, $E$9)</f>
        <v>39.592199999999998</v>
      </c>
      <c r="R670" s="14">
        <f>CHOOSE(CONTROL!$C$42, 40.2782, 40.2782) * CHOOSE(CONTROL!$C$21, $C$9, 100%, $E$9)</f>
        <v>40.278199999999998</v>
      </c>
      <c r="S670" s="14">
        <f>CHOOSE(CONTROL!$C$42, 37.9944, 37.9944) * CHOOSE(CONTROL!$C$21, $C$9, 100%, $E$9)</f>
        <v>37.994399999999999</v>
      </c>
      <c r="T67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56">
        <f>(1000*CHOOSE(CONTROL!$C$42, 695, 695)*CHOOSE(CONTROL!$C$42, 0.5599, 0.5599)*CHOOSE(CONTROL!$C$42, 31, 31))/1000000</f>
        <v>12.063045499999998</v>
      </c>
      <c r="V670" s="56">
        <f>(1000*CHOOSE(CONTROL!$C$42, 500, 500)*CHOOSE(CONTROL!$C$42, 0.275, 0.275)*CHOOSE(CONTROL!$C$42, 31, 31))/1000000</f>
        <v>4.2625000000000002</v>
      </c>
      <c r="W670" s="56">
        <f>(1000*CHOOSE(CONTROL!$C$42, 0.1146, 0.1146)*CHOOSE(CONTROL!$C$42, 121.5, 121.5)*CHOOSE(CONTROL!$C$42, 31, 31))/1000000</f>
        <v>0.43164089999999994</v>
      </c>
      <c r="X670" s="56">
        <f>(31*0.1790888*245000/1000000)+(31*0.2374*100000/1000000)</f>
        <v>2.0961194359999999</v>
      </c>
      <c r="Y670" s="56"/>
      <c r="Z670" s="14"/>
      <c r="AA670" s="55"/>
      <c r="AB670" s="49">
        <f>(B670*131.881+C670*277.167+D670*79.08+E670*125.872+F670*40+G670*185+H670*0+I670*100+J670*300)/(131.881+277.167+79.08+125.872+0+40+185+100+300)</f>
        <v>39.61868872276029</v>
      </c>
      <c r="AC670" s="44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38.891971942446041</v>
      </c>
    </row>
    <row r="671" spans="1:29" ht="15.75" x14ac:dyDescent="0.25">
      <c r="A671" s="31">
        <v>61331</v>
      </c>
      <c r="B671" s="14">
        <f>CHOOSE(CONTROL!$C$42, 40.591, 40.591) * CHOOSE(CONTROL!$C$21, $C$9, 100%, $E$9)</f>
        <v>40.591000000000001</v>
      </c>
      <c r="C671" s="14">
        <f>CHOOSE(CONTROL!$C$42, 40.596, 40.596) * CHOOSE(CONTROL!$C$21, $C$9, 100%, $E$9)</f>
        <v>40.595999999999997</v>
      </c>
      <c r="D671" s="14">
        <f>CHOOSE(CONTROL!$C$42, 40.665, 40.665) * CHOOSE(CONTROL!$C$21, $C$9, 100%, $E$9)</f>
        <v>40.664999999999999</v>
      </c>
      <c r="E671" s="14">
        <f>CHOOSE(CONTROL!$C$42, 40.6992, 40.6992) * CHOOSE(CONTROL!$C$21, $C$9, 100%, $E$9)</f>
        <v>40.699199999999998</v>
      </c>
      <c r="F671" s="14">
        <f>CHOOSE(CONTROL!$C$42, 40.6265, 40.6265)*CHOOSE(CONTROL!$C$21, $C$9, 100%, $E$9)</f>
        <v>40.6265</v>
      </c>
      <c r="G671" s="14">
        <f>CHOOSE(CONTROL!$C$42, 40.644, 40.644)*CHOOSE(CONTROL!$C$21, $C$9, 100%, $E$9)</f>
        <v>40.643999999999998</v>
      </c>
      <c r="H671" s="14">
        <f>CHOOSE(CONTROL!$C$42, 40.6883, 40.6883) * CHOOSE(CONTROL!$C$21, $C$9, 100%, $E$9)</f>
        <v>40.688299999999998</v>
      </c>
      <c r="I671" s="14">
        <f>CHOOSE(CONTROL!$C$42, 40.7544, 40.7544)* CHOOSE(CONTROL!$C$21, $C$9, 100%, $E$9)</f>
        <v>40.754399999999997</v>
      </c>
      <c r="J671" s="14">
        <f>CHOOSE(CONTROL!$C$42, 40.6195, 40.6195)* CHOOSE(CONTROL!$C$21, $C$9, 100%, $E$9)</f>
        <v>40.619500000000002</v>
      </c>
      <c r="K671" s="52">
        <f>CHOOSE(CONTROL!$C$42, 40.7505, 40.7505) * CHOOSE(CONTROL!$C$21, $C$9, 100%, $E$9)</f>
        <v>40.750500000000002</v>
      </c>
      <c r="L671" s="14">
        <f>CHOOSE(CONTROL!$C$42, 41.2753, 41.2753) * CHOOSE(CONTROL!$C$21, $C$9, 100%, $E$9)</f>
        <v>41.275300000000001</v>
      </c>
      <c r="M671" s="14">
        <f>CHOOSE(CONTROL!$C$42, 39.795, 39.795) * CHOOSE(CONTROL!$C$21, $C$9, 100%, $E$9)</f>
        <v>39.795000000000002</v>
      </c>
      <c r="N671" s="14">
        <f>CHOOSE(CONTROL!$C$42, 39.812, 39.812) * CHOOSE(CONTROL!$C$21, $C$9, 100%, $E$9)</f>
        <v>39.811999999999998</v>
      </c>
      <c r="O671" s="14">
        <f>CHOOSE(CONTROL!$C$42, 39.8624, 39.8624) * CHOOSE(CONTROL!$C$21, $C$9, 100%, $E$9)</f>
        <v>39.862400000000001</v>
      </c>
      <c r="P671" s="14">
        <f>CHOOSE(CONTROL!$C$42, 39.9246, 39.9246) * CHOOSE(CONTROL!$C$21, $C$9, 100%, $E$9)</f>
        <v>39.924599999999998</v>
      </c>
      <c r="Q671" s="14">
        <f>CHOOSE(CONTROL!$C$42, 40.4571, 40.4571) * CHOOSE(CONTROL!$C$21, $C$9, 100%, $E$9)</f>
        <v>40.457099999999997</v>
      </c>
      <c r="R671" s="14">
        <f>CHOOSE(CONTROL!$C$42, 41.1452, 41.1452) * CHOOSE(CONTROL!$C$21, $C$9, 100%, $E$9)</f>
        <v>41.145200000000003</v>
      </c>
      <c r="S671" s="14">
        <f>CHOOSE(CONTROL!$C$42, 38.9953, 38.9953) * CHOOSE(CONTROL!$C$21, $C$9, 100%, $E$9)</f>
        <v>38.9953</v>
      </c>
      <c r="T67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56">
        <f>(1000*CHOOSE(CONTROL!$C$42, 695, 695)*CHOOSE(CONTROL!$C$42, 0.5599, 0.5599)*CHOOSE(CONTROL!$C$42, 30, 30))/1000000</f>
        <v>11.673914999999997</v>
      </c>
      <c r="V671" s="56">
        <f>(1000*CHOOSE(CONTROL!$C$42, 500, 500)*CHOOSE(CONTROL!$C$42, 0.275, 0.275)*CHOOSE(CONTROL!$C$42, 30, 30))/1000000</f>
        <v>4.125</v>
      </c>
      <c r="W671" s="56">
        <f>(1000*CHOOSE(CONTROL!$C$42, 0.1146, 0.1146)*CHOOSE(CONTROL!$C$42, 121.5, 121.5)*CHOOSE(CONTROL!$C$42, 30, 30))/1000000</f>
        <v>0.417717</v>
      </c>
      <c r="X671" s="56">
        <f>(30*0.1790888*100000/1000000)+(30*0.2374*100000/1000000)</f>
        <v>1.2494664</v>
      </c>
      <c r="Y671" s="56"/>
      <c r="Z671" s="14"/>
      <c r="AA671" s="55"/>
      <c r="AB671" s="49">
        <f>(B671*122.58+C671*297.941+D671*89.177+E671*40.302+F671*40+G671*160+H671*0+I671*100+J671*300)/(122.58+297.941+89.177+40.302+0+40+160+100+300)</f>
        <v>40.632077808173911</v>
      </c>
      <c r="AC671" s="44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39.845174100719426</v>
      </c>
    </row>
    <row r="672" spans="1:29" ht="15.75" x14ac:dyDescent="0.25">
      <c r="A672" s="31">
        <v>61362</v>
      </c>
      <c r="B672" s="14">
        <f>CHOOSE(CONTROL!$C$42, 43.3578, 43.3578) * CHOOSE(CONTROL!$C$21, $C$9, 100%, $E$9)</f>
        <v>43.357799999999997</v>
      </c>
      <c r="C672" s="14">
        <f>CHOOSE(CONTROL!$C$42, 43.3628, 43.3628) * CHOOSE(CONTROL!$C$21, $C$9, 100%, $E$9)</f>
        <v>43.3628</v>
      </c>
      <c r="D672" s="14">
        <f>CHOOSE(CONTROL!$C$42, 43.4319, 43.4319) * CHOOSE(CONTROL!$C$21, $C$9, 100%, $E$9)</f>
        <v>43.431899999999999</v>
      </c>
      <c r="E672" s="14">
        <f>CHOOSE(CONTROL!$C$42, 43.466, 43.466) * CHOOSE(CONTROL!$C$21, $C$9, 100%, $E$9)</f>
        <v>43.466000000000001</v>
      </c>
      <c r="F672" s="14">
        <f>CHOOSE(CONTROL!$C$42, 43.3956, 43.3956)*CHOOSE(CONTROL!$C$21, $C$9, 100%, $E$9)</f>
        <v>43.395600000000002</v>
      </c>
      <c r="G672" s="14">
        <f>CHOOSE(CONTROL!$C$42, 43.4136, 43.4136)*CHOOSE(CONTROL!$C$21, $C$9, 100%, $E$9)</f>
        <v>43.413600000000002</v>
      </c>
      <c r="H672" s="14">
        <f>CHOOSE(CONTROL!$C$42, 43.4552, 43.4552) * CHOOSE(CONTROL!$C$21, $C$9, 100%, $E$9)</f>
        <v>43.455199999999998</v>
      </c>
      <c r="I672" s="14">
        <f>CHOOSE(CONTROL!$C$42, 43.5299, 43.5299)* CHOOSE(CONTROL!$C$21, $C$9, 100%, $E$9)</f>
        <v>43.529899999999998</v>
      </c>
      <c r="J672" s="14">
        <f>CHOOSE(CONTROL!$C$42, 43.3886, 43.3886)* CHOOSE(CONTROL!$C$21, $C$9, 100%, $E$9)</f>
        <v>43.388599999999997</v>
      </c>
      <c r="K672" s="52">
        <f>CHOOSE(CONTROL!$C$42, 43.526, 43.526) * CHOOSE(CONTROL!$C$21, $C$9, 100%, $E$9)</f>
        <v>43.526000000000003</v>
      </c>
      <c r="L672" s="14">
        <f>CHOOSE(CONTROL!$C$42, 44.0422, 44.0422) * CHOOSE(CONTROL!$C$21, $C$9, 100%, $E$9)</f>
        <v>44.042200000000001</v>
      </c>
      <c r="M672" s="14">
        <f>CHOOSE(CONTROL!$C$42, 42.5073, 42.5073) * CHOOSE(CONTROL!$C$21, $C$9, 100%, $E$9)</f>
        <v>42.507300000000001</v>
      </c>
      <c r="N672" s="14">
        <f>CHOOSE(CONTROL!$C$42, 42.5249, 42.5249) * CHOOSE(CONTROL!$C$21, $C$9, 100%, $E$9)</f>
        <v>42.524900000000002</v>
      </c>
      <c r="O672" s="14">
        <f>CHOOSE(CONTROL!$C$42, 42.5725, 42.5725) * CHOOSE(CONTROL!$C$21, $C$9, 100%, $E$9)</f>
        <v>42.572499999999998</v>
      </c>
      <c r="P672" s="14">
        <f>CHOOSE(CONTROL!$C$42, 42.643, 42.643) * CHOOSE(CONTROL!$C$21, $C$9, 100%, $E$9)</f>
        <v>42.643000000000001</v>
      </c>
      <c r="Q672" s="14">
        <f>CHOOSE(CONTROL!$C$42, 43.1672, 43.1672) * CHOOSE(CONTROL!$C$21, $C$9, 100%, $E$9)</f>
        <v>43.167200000000001</v>
      </c>
      <c r="R672" s="14">
        <f>CHOOSE(CONTROL!$C$42, 43.8621, 43.8621) * CHOOSE(CONTROL!$C$21, $C$9, 100%, $E$9)</f>
        <v>43.862099999999998</v>
      </c>
      <c r="S672" s="14">
        <f>CHOOSE(CONTROL!$C$42, 41.654, 41.654) * CHOOSE(CONTROL!$C$21, $C$9, 100%, $E$9)</f>
        <v>41.654000000000003</v>
      </c>
      <c r="T67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56">
        <f>(1000*CHOOSE(CONTROL!$C$42, 695, 695)*CHOOSE(CONTROL!$C$42, 0.5599, 0.5599)*CHOOSE(CONTROL!$C$42, 31, 31))/1000000</f>
        <v>12.063045499999998</v>
      </c>
      <c r="V672" s="56">
        <f>(1000*CHOOSE(CONTROL!$C$42, 500, 500)*CHOOSE(CONTROL!$C$42, 0.275, 0.275)*CHOOSE(CONTROL!$C$42, 31, 31))/1000000</f>
        <v>4.2625000000000002</v>
      </c>
      <c r="W672" s="56">
        <f>(1000*CHOOSE(CONTROL!$C$42, 0.1146, 0.1146)*CHOOSE(CONTROL!$C$42, 121.5, 121.5)*CHOOSE(CONTROL!$C$42, 31, 31))/1000000</f>
        <v>0.43164089999999994</v>
      </c>
      <c r="X672" s="56">
        <f>(31*0.1790888*100000/1000000)+(31*0.2374*100000/1000000)</f>
        <v>1.2911152800000001</v>
      </c>
      <c r="Y672" s="56"/>
      <c r="Z672" s="14"/>
      <c r="AA672" s="55"/>
      <c r="AB672" s="49">
        <f>(B672*122.58+C672*297.941+D672*89.177+E672*40.302+F672*40+G672*160+H672*0+I672*100+J672*300)/(122.58+297.941+89.177+40.302+0+40+160+100+300)</f>
        <v>43.400711649652173</v>
      </c>
      <c r="AC672" s="44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42.557389208633097</v>
      </c>
    </row>
    <row r="673" spans="1:29" ht="15.75" x14ac:dyDescent="0.25">
      <c r="A673" s="31">
        <v>61393</v>
      </c>
      <c r="B673" s="14">
        <f>CHOOSE(CONTROL!$C$42, 46.9514, 46.9514) * CHOOSE(CONTROL!$C$21, $C$9, 100%, $E$9)</f>
        <v>46.9514</v>
      </c>
      <c r="C673" s="14">
        <f>CHOOSE(CONTROL!$C$42, 46.9564, 46.9564) * CHOOSE(CONTROL!$C$21, $C$9, 100%, $E$9)</f>
        <v>46.956400000000002</v>
      </c>
      <c r="D673" s="14">
        <f>CHOOSE(CONTROL!$C$42, 47.0359, 47.0359) * CHOOSE(CONTROL!$C$21, $C$9, 100%, $E$9)</f>
        <v>47.035899999999998</v>
      </c>
      <c r="E673" s="14">
        <f>CHOOSE(CONTROL!$C$42, 47.07, 47.07) * CHOOSE(CONTROL!$C$21, $C$9, 100%, $E$9)</f>
        <v>47.07</v>
      </c>
      <c r="F673" s="14">
        <f>CHOOSE(CONTROL!$C$42, 46.9744, 46.9744)*CHOOSE(CONTROL!$C$21, $C$9, 100%, $E$9)</f>
        <v>46.974400000000003</v>
      </c>
      <c r="G673" s="14">
        <f>CHOOSE(CONTROL!$C$42, 46.9919, 46.9919)*CHOOSE(CONTROL!$C$21, $C$9, 100%, $E$9)</f>
        <v>46.991900000000001</v>
      </c>
      <c r="H673" s="14">
        <f>CHOOSE(CONTROL!$C$42, 47.0592, 47.0592) * CHOOSE(CONTROL!$C$21, $C$9, 100%, $E$9)</f>
        <v>47.059199999999997</v>
      </c>
      <c r="I673" s="14">
        <f>CHOOSE(CONTROL!$C$42, 47.1337, 47.1337)* CHOOSE(CONTROL!$C$21, $C$9, 100%, $E$9)</f>
        <v>47.133699999999997</v>
      </c>
      <c r="J673" s="14">
        <f>CHOOSE(CONTROL!$C$42, 46.9674, 46.9674)* CHOOSE(CONTROL!$C$21, $C$9, 100%, $E$9)</f>
        <v>46.967399999999998</v>
      </c>
      <c r="K673" s="52">
        <f>CHOOSE(CONTROL!$C$42, 47.1298, 47.1298) * CHOOSE(CONTROL!$C$21, $C$9, 100%, $E$9)</f>
        <v>47.129800000000003</v>
      </c>
      <c r="L673" s="14">
        <f>CHOOSE(CONTROL!$C$42, 47.6462, 47.6462) * CHOOSE(CONTROL!$C$21, $C$9, 100%, $E$9)</f>
        <v>47.6462</v>
      </c>
      <c r="M673" s="14">
        <f>CHOOSE(CONTROL!$C$42, 46.0128, 46.0128) * CHOOSE(CONTROL!$C$21, $C$9, 100%, $E$9)</f>
        <v>46.012799999999999</v>
      </c>
      <c r="N673" s="14">
        <f>CHOOSE(CONTROL!$C$42, 46.0299, 46.0299) * CHOOSE(CONTROL!$C$21, $C$9, 100%, $E$9)</f>
        <v>46.029899999999998</v>
      </c>
      <c r="O673" s="14">
        <f>CHOOSE(CONTROL!$C$42, 46.1027, 46.1027) * CHOOSE(CONTROL!$C$21, $C$9, 100%, $E$9)</f>
        <v>46.102699999999999</v>
      </c>
      <c r="P673" s="14">
        <f>CHOOSE(CONTROL!$C$42, 46.1728, 46.1728) * CHOOSE(CONTROL!$C$21, $C$9, 100%, $E$9)</f>
        <v>46.172800000000002</v>
      </c>
      <c r="Q673" s="14">
        <f>CHOOSE(CONTROL!$C$42, 46.6974, 46.6974) * CHOOSE(CONTROL!$C$21, $C$9, 100%, $E$9)</f>
        <v>46.697400000000002</v>
      </c>
      <c r="R673" s="14">
        <f>CHOOSE(CONTROL!$C$42, 47.4011, 47.4011) * CHOOSE(CONTROL!$C$21, $C$9, 100%, $E$9)</f>
        <v>47.4011</v>
      </c>
      <c r="S673" s="14">
        <f>CHOOSE(CONTROL!$C$42, 45.107, 45.107) * CHOOSE(CONTROL!$C$21, $C$9, 100%, $E$9)</f>
        <v>45.106999999999999</v>
      </c>
      <c r="T67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56">
        <f>(1000*CHOOSE(CONTROL!$C$42, 695, 695)*CHOOSE(CONTROL!$C$42, 0.5599, 0.5599)*CHOOSE(CONTROL!$C$42, 31, 31))/1000000</f>
        <v>12.063045499999998</v>
      </c>
      <c r="V673" s="56">
        <f>(1000*CHOOSE(CONTROL!$C$42, 500, 500)*CHOOSE(CONTROL!$C$42, 0.275, 0.275)*CHOOSE(CONTROL!$C$42, 31, 31))/1000000</f>
        <v>4.2625000000000002</v>
      </c>
      <c r="W673" s="56">
        <f>(1000*CHOOSE(CONTROL!$C$42, 0.1146, 0.1146)*CHOOSE(CONTROL!$C$42, 121.5, 121.5)*CHOOSE(CONTROL!$C$42, 31, 31))/1000000</f>
        <v>0.43164089999999994</v>
      </c>
      <c r="X673" s="56">
        <f>(31*0.1790888*100000/1000000)+(31*0.2374*100000/1000000)</f>
        <v>1.2911152800000001</v>
      </c>
      <c r="Y673" s="56"/>
      <c r="Z673" s="14"/>
      <c r="AA673" s="55"/>
      <c r="AB673" s="49">
        <f>(B673*122.58+C673*297.941+D673*89.177+E673*40.302+F673*40+G673*160+H673*0+I673*100+J673*300)/(122.58+297.941+89.177+40.302+0+40+160+100+300)</f>
        <v>46.989865198869566</v>
      </c>
      <c r="AC673" s="44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46.077551798561153</v>
      </c>
    </row>
    <row r="674" spans="1:29" ht="15.75" x14ac:dyDescent="0.25">
      <c r="A674" s="31">
        <v>61422</v>
      </c>
      <c r="B674" s="14">
        <f>CHOOSE(CONTROL!$C$42, 47.787, 47.787) * CHOOSE(CONTROL!$C$21, $C$9, 100%, $E$9)</f>
        <v>47.786999999999999</v>
      </c>
      <c r="C674" s="14">
        <f>CHOOSE(CONTROL!$C$42, 47.7921, 47.7921) * CHOOSE(CONTROL!$C$21, $C$9, 100%, $E$9)</f>
        <v>47.792099999999998</v>
      </c>
      <c r="D674" s="14">
        <f>CHOOSE(CONTROL!$C$42, 47.8715, 47.8715) * CHOOSE(CONTROL!$C$21, $C$9, 100%, $E$9)</f>
        <v>47.871499999999997</v>
      </c>
      <c r="E674" s="14">
        <f>CHOOSE(CONTROL!$C$42, 47.9056, 47.9056) * CHOOSE(CONTROL!$C$21, $C$9, 100%, $E$9)</f>
        <v>47.9056</v>
      </c>
      <c r="F674" s="14">
        <f>CHOOSE(CONTROL!$C$42, 47.8098, 47.8098)*CHOOSE(CONTROL!$C$21, $C$9, 100%, $E$9)</f>
        <v>47.809800000000003</v>
      </c>
      <c r="G674" s="14">
        <f>CHOOSE(CONTROL!$C$42, 47.8273, 47.8273)*CHOOSE(CONTROL!$C$21, $C$9, 100%, $E$9)</f>
        <v>47.827300000000001</v>
      </c>
      <c r="H674" s="14">
        <f>CHOOSE(CONTROL!$C$42, 47.8948, 47.8948) * CHOOSE(CONTROL!$C$21, $C$9, 100%, $E$9)</f>
        <v>47.894799999999996</v>
      </c>
      <c r="I674" s="14">
        <f>CHOOSE(CONTROL!$C$42, 47.972, 47.972)* CHOOSE(CONTROL!$C$21, $C$9, 100%, $E$9)</f>
        <v>47.972000000000001</v>
      </c>
      <c r="J674" s="14">
        <f>CHOOSE(CONTROL!$C$42, 47.8028, 47.8028)* CHOOSE(CONTROL!$C$21, $C$9, 100%, $E$9)</f>
        <v>47.802799999999998</v>
      </c>
      <c r="K674" s="52">
        <f>CHOOSE(CONTROL!$C$42, 47.9681, 47.9681) * CHOOSE(CONTROL!$C$21, $C$9, 100%, $E$9)</f>
        <v>47.9681</v>
      </c>
      <c r="L674" s="14">
        <f>CHOOSE(CONTROL!$C$42, 48.4818, 48.4818) * CHOOSE(CONTROL!$C$21, $C$9, 100%, $E$9)</f>
        <v>48.4818</v>
      </c>
      <c r="M674" s="14">
        <f>CHOOSE(CONTROL!$C$42, 46.831, 46.831) * CHOOSE(CONTROL!$C$21, $C$9, 100%, $E$9)</f>
        <v>46.831000000000003</v>
      </c>
      <c r="N674" s="14">
        <f>CHOOSE(CONTROL!$C$42, 46.8481, 46.8481) * CHOOSE(CONTROL!$C$21, $C$9, 100%, $E$9)</f>
        <v>46.848100000000002</v>
      </c>
      <c r="O674" s="14">
        <f>CHOOSE(CONTROL!$C$42, 46.9212, 46.9212) * CHOOSE(CONTROL!$C$21, $C$9, 100%, $E$9)</f>
        <v>46.921199999999999</v>
      </c>
      <c r="P674" s="14">
        <f>CHOOSE(CONTROL!$C$42, 46.9938, 46.9938) * CHOOSE(CONTROL!$C$21, $C$9, 100%, $E$9)</f>
        <v>46.9938</v>
      </c>
      <c r="Q674" s="14">
        <f>CHOOSE(CONTROL!$C$42, 47.5159, 47.5159) * CHOOSE(CONTROL!$C$21, $C$9, 100%, $E$9)</f>
        <v>47.515900000000002</v>
      </c>
      <c r="R674" s="14">
        <f>CHOOSE(CONTROL!$C$42, 48.2217, 48.2217) * CHOOSE(CONTROL!$C$21, $C$9, 100%, $E$9)</f>
        <v>48.221699999999998</v>
      </c>
      <c r="S674" s="14">
        <f>CHOOSE(CONTROL!$C$42, 45.91, 45.91) * CHOOSE(CONTROL!$C$21, $C$9, 100%, $E$9)</f>
        <v>45.91</v>
      </c>
      <c r="T674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74" s="56">
        <f>(1000*CHOOSE(CONTROL!$C$42, 695, 695)*CHOOSE(CONTROL!$C$42, 0.5599, 0.5599)*CHOOSE(CONTROL!$C$42, 29, 29))/1000000</f>
        <v>11.284784499999999</v>
      </c>
      <c r="V674" s="56">
        <f>(1000*CHOOSE(CONTROL!$C$42, 500, 500)*CHOOSE(CONTROL!$C$42, 0.275, 0.275)*CHOOSE(CONTROL!$C$42, 29, 29))/1000000</f>
        <v>3.9874999999999998</v>
      </c>
      <c r="W674" s="56">
        <f>(1000*CHOOSE(CONTROL!$C$42, 0.1146, 0.1146)*CHOOSE(CONTROL!$C$42, 121.5, 121.5)*CHOOSE(CONTROL!$C$42, 29, 29))/1000000</f>
        <v>0.40379309999999996</v>
      </c>
      <c r="X674" s="56">
        <f>(29*0.1790888*100000/1000000)+(29*0.2374*100000/1000000)</f>
        <v>1.2078175199999999</v>
      </c>
      <c r="Y674" s="56"/>
      <c r="Z674" s="14"/>
      <c r="AA674" s="55"/>
      <c r="AB674" s="49">
        <f>(B674*122.58+C674*297.941+D674*89.177+E674*40.302+F674*40+G674*160+H674*0+I674*100+J674*300)/(122.58+297.941+89.177+40.302+0+40+160+100+300)</f>
        <v>47.825638932869566</v>
      </c>
      <c r="AC674" s="44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46.896290647482019</v>
      </c>
    </row>
    <row r="675" spans="1:29" ht="15.75" x14ac:dyDescent="0.25">
      <c r="A675" s="31">
        <v>61453</v>
      </c>
      <c r="B675" s="14">
        <f>CHOOSE(CONTROL!$C$42, 46.4306, 46.4306) * CHOOSE(CONTROL!$C$21, $C$9, 100%, $E$9)</f>
        <v>46.430599999999998</v>
      </c>
      <c r="C675" s="14">
        <f>CHOOSE(CONTROL!$C$42, 46.4356, 46.4356) * CHOOSE(CONTROL!$C$21, $C$9, 100%, $E$9)</f>
        <v>46.435600000000001</v>
      </c>
      <c r="D675" s="14">
        <f>CHOOSE(CONTROL!$C$42, 46.5151, 46.5151) * CHOOSE(CONTROL!$C$21, $C$9, 100%, $E$9)</f>
        <v>46.515099999999997</v>
      </c>
      <c r="E675" s="14">
        <f>CHOOSE(CONTROL!$C$42, 46.5492, 46.5492) * CHOOSE(CONTROL!$C$21, $C$9, 100%, $E$9)</f>
        <v>46.549199999999999</v>
      </c>
      <c r="F675" s="14">
        <f>CHOOSE(CONTROL!$C$42, 46.4526, 46.4526)*CHOOSE(CONTROL!$C$21, $C$9, 100%, $E$9)</f>
        <v>46.452599999999997</v>
      </c>
      <c r="G675" s="14">
        <f>CHOOSE(CONTROL!$C$42, 46.4699, 46.4699)*CHOOSE(CONTROL!$C$21, $C$9, 100%, $E$9)</f>
        <v>46.469900000000003</v>
      </c>
      <c r="H675" s="14">
        <f>CHOOSE(CONTROL!$C$42, 46.5384, 46.5384) * CHOOSE(CONTROL!$C$21, $C$9, 100%, $E$9)</f>
        <v>46.538400000000003</v>
      </c>
      <c r="I675" s="14">
        <f>CHOOSE(CONTROL!$C$42, 46.6113, 46.6113)* CHOOSE(CONTROL!$C$21, $C$9, 100%, $E$9)</f>
        <v>46.6113</v>
      </c>
      <c r="J675" s="14">
        <f>CHOOSE(CONTROL!$C$42, 46.4456, 46.4456)* CHOOSE(CONTROL!$C$21, $C$9, 100%, $E$9)</f>
        <v>46.445599999999999</v>
      </c>
      <c r="K675" s="52">
        <f>CHOOSE(CONTROL!$C$42, 46.6074, 46.6074) * CHOOSE(CONTROL!$C$21, $C$9, 100%, $E$9)</f>
        <v>46.607399999999998</v>
      </c>
      <c r="L675" s="14">
        <f>CHOOSE(CONTROL!$C$42, 47.1254, 47.1254) * CHOOSE(CONTROL!$C$21, $C$9, 100%, $E$9)</f>
        <v>47.125399999999999</v>
      </c>
      <c r="M675" s="14">
        <f>CHOOSE(CONTROL!$C$42, 45.5017, 45.5017) * CHOOSE(CONTROL!$C$21, $C$9, 100%, $E$9)</f>
        <v>45.5017</v>
      </c>
      <c r="N675" s="14">
        <f>CHOOSE(CONTROL!$C$42, 45.5186, 45.5186) * CHOOSE(CONTROL!$C$21, $C$9, 100%, $E$9)</f>
        <v>45.518599999999999</v>
      </c>
      <c r="O675" s="14">
        <f>CHOOSE(CONTROL!$C$42, 45.5925, 45.5925) * CHOOSE(CONTROL!$C$21, $C$9, 100%, $E$9)</f>
        <v>45.592500000000001</v>
      </c>
      <c r="P675" s="14">
        <f>CHOOSE(CONTROL!$C$42, 45.6611, 45.6611) * CHOOSE(CONTROL!$C$21, $C$9, 100%, $E$9)</f>
        <v>45.661099999999998</v>
      </c>
      <c r="Q675" s="14">
        <f>CHOOSE(CONTROL!$C$42, 46.1872, 46.1872) * CHOOSE(CONTROL!$C$21, $C$9, 100%, $E$9)</f>
        <v>46.187199999999997</v>
      </c>
      <c r="R675" s="14">
        <f>CHOOSE(CONTROL!$C$42, 46.8897, 46.8897) * CHOOSE(CONTROL!$C$21, $C$9, 100%, $E$9)</f>
        <v>46.889699999999998</v>
      </c>
      <c r="S675" s="14">
        <f>CHOOSE(CONTROL!$C$42, 44.6066, 44.6066) * CHOOSE(CONTROL!$C$21, $C$9, 100%, $E$9)</f>
        <v>44.6066</v>
      </c>
      <c r="T67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56">
        <f>(1000*CHOOSE(CONTROL!$C$42, 695, 695)*CHOOSE(CONTROL!$C$42, 0.5599, 0.5599)*CHOOSE(CONTROL!$C$42, 31, 31))/1000000</f>
        <v>12.063045499999998</v>
      </c>
      <c r="V675" s="56">
        <f>(1000*CHOOSE(CONTROL!$C$42, 500, 500)*CHOOSE(CONTROL!$C$42, 0.275, 0.275)*CHOOSE(CONTROL!$C$42, 31, 31))/1000000</f>
        <v>4.2625000000000002</v>
      </c>
      <c r="W675" s="56">
        <f>(1000*CHOOSE(CONTROL!$C$42, 0.1146, 0.1146)*CHOOSE(CONTROL!$C$42, 121.5, 121.5)*CHOOSE(CONTROL!$C$42, 31, 31))/1000000</f>
        <v>0.43164089999999994</v>
      </c>
      <c r="X675" s="56">
        <f>(31*0.1790888*100000/1000000)+(31*0.2374*100000/1000000)</f>
        <v>1.2911152800000001</v>
      </c>
      <c r="Y675" s="56"/>
      <c r="Z675" s="14"/>
      <c r="AA675" s="55"/>
      <c r="AB675" s="49">
        <f>(B675*122.58+C675*297.941+D675*89.177+E675*40.302+F675*40+G675*160+H675*0+I675*100+J675*300)/(122.58+297.941+89.177+40.302+0+40+160+100+300)</f>
        <v>46.46846345973912</v>
      </c>
      <c r="AC675" s="44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45.566761870503598</v>
      </c>
    </row>
    <row r="676" spans="1:29" ht="15.75" x14ac:dyDescent="0.25">
      <c r="A676" s="31">
        <v>61483</v>
      </c>
      <c r="B676" s="14">
        <f>CHOOSE(CONTROL!$C$42, 46.2926, 46.2926) * CHOOSE(CONTROL!$C$21, $C$9, 100%, $E$9)</f>
        <v>46.2926</v>
      </c>
      <c r="C676" s="14">
        <f>CHOOSE(CONTROL!$C$42, 46.2971, 46.2971) * CHOOSE(CONTROL!$C$21, $C$9, 100%, $E$9)</f>
        <v>46.2971</v>
      </c>
      <c r="D676" s="14">
        <f>CHOOSE(CONTROL!$C$42, 46.526, 46.526) * CHOOSE(CONTROL!$C$21, $C$9, 100%, $E$9)</f>
        <v>46.526000000000003</v>
      </c>
      <c r="E676" s="14">
        <f>CHOOSE(CONTROL!$C$42, 46.5581, 46.5581) * CHOOSE(CONTROL!$C$21, $C$9, 100%, $E$9)</f>
        <v>46.558100000000003</v>
      </c>
      <c r="F676" s="14">
        <f>CHOOSE(CONTROL!$C$42, 46.3196, 46.3196)*CHOOSE(CONTROL!$C$21, $C$9, 100%, $E$9)</f>
        <v>46.319600000000001</v>
      </c>
      <c r="G676" s="14">
        <f>CHOOSE(CONTROL!$C$42, 46.3363, 46.3363)*CHOOSE(CONTROL!$C$21, $C$9, 100%, $E$9)</f>
        <v>46.336300000000001</v>
      </c>
      <c r="H676" s="14">
        <f>CHOOSE(CONTROL!$C$42, 46.5479, 46.5479) * CHOOSE(CONTROL!$C$21, $C$9, 100%, $E$9)</f>
        <v>46.547899999999998</v>
      </c>
      <c r="I676" s="14">
        <f>CHOOSE(CONTROL!$C$42, 46.4705, 46.4705)* CHOOSE(CONTROL!$C$21, $C$9, 100%, $E$9)</f>
        <v>46.470500000000001</v>
      </c>
      <c r="J676" s="14">
        <f>CHOOSE(CONTROL!$C$42, 46.3126, 46.3126)* CHOOSE(CONTROL!$C$21, $C$9, 100%, $E$9)</f>
        <v>46.312600000000003</v>
      </c>
      <c r="K676" s="52">
        <f>CHOOSE(CONTROL!$C$42, 46.4666, 46.4666) * CHOOSE(CONTROL!$C$21, $C$9, 100%, $E$9)</f>
        <v>46.4666</v>
      </c>
      <c r="L676" s="14">
        <f>CHOOSE(CONTROL!$C$42, 47.1349, 47.1349) * CHOOSE(CONTROL!$C$21, $C$9, 100%, $E$9)</f>
        <v>47.134900000000002</v>
      </c>
      <c r="M676" s="14">
        <f>CHOOSE(CONTROL!$C$42, 45.3714, 45.3714) * CHOOSE(CONTROL!$C$21, $C$9, 100%, $E$9)</f>
        <v>45.371400000000001</v>
      </c>
      <c r="N676" s="14">
        <f>CHOOSE(CONTROL!$C$42, 45.3878, 45.3878) * CHOOSE(CONTROL!$C$21, $C$9, 100%, $E$9)</f>
        <v>45.387799999999999</v>
      </c>
      <c r="O676" s="14">
        <f>CHOOSE(CONTROL!$C$42, 45.6019, 45.6019) * CHOOSE(CONTROL!$C$21, $C$9, 100%, $E$9)</f>
        <v>45.601900000000001</v>
      </c>
      <c r="P676" s="14">
        <f>CHOOSE(CONTROL!$C$42, 45.5232, 45.5232) * CHOOSE(CONTROL!$C$21, $C$9, 100%, $E$9)</f>
        <v>45.523200000000003</v>
      </c>
      <c r="Q676" s="14">
        <f>CHOOSE(CONTROL!$C$42, 46.1966, 46.1966) * CHOOSE(CONTROL!$C$21, $C$9, 100%, $E$9)</f>
        <v>46.196599999999997</v>
      </c>
      <c r="R676" s="14">
        <f>CHOOSE(CONTROL!$C$42, 46.8991, 46.8991) * CHOOSE(CONTROL!$C$21, $C$9, 100%, $E$9)</f>
        <v>46.899099999999997</v>
      </c>
      <c r="S676" s="14">
        <f>CHOOSE(CONTROL!$C$42, 44.4733, 44.4733) * CHOOSE(CONTROL!$C$21, $C$9, 100%, $E$9)</f>
        <v>44.473300000000002</v>
      </c>
      <c r="T67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56">
        <f>(1000*CHOOSE(CONTROL!$C$42, 695, 695)*CHOOSE(CONTROL!$C$42, 0.5599, 0.5599)*CHOOSE(CONTROL!$C$42, 30, 30))/1000000</f>
        <v>11.673914999999997</v>
      </c>
      <c r="V676" s="56">
        <f>(1000*CHOOSE(CONTROL!$C$42, 500, 500)*CHOOSE(CONTROL!$C$42, 0.275, 0.275)*CHOOSE(CONTROL!$C$42, 30, 30))/1000000</f>
        <v>4.125</v>
      </c>
      <c r="W676" s="56">
        <f>(1000*CHOOSE(CONTROL!$C$42, 0.1146, 0.1146)*CHOOSE(CONTROL!$C$42, 121.5, 121.5)*CHOOSE(CONTROL!$C$42, 30, 30))/1000000</f>
        <v>0.417717</v>
      </c>
      <c r="X676" s="56">
        <f>(30*0.1790888*245000/1000000)+(30*0.2374*100000/1000000)</f>
        <v>2.0285026799999999</v>
      </c>
      <c r="Y676" s="56"/>
      <c r="Z676" s="14"/>
      <c r="AA676" s="55"/>
      <c r="AB676" s="49">
        <f>(B676*141.293+C676*267.993+D676*115.016+E676*89.698+F676*40+G676*185+H676*0+I676*100+J676*300)/(141.293+267.993+115.016+89.698+0+40+185+100+300)</f>
        <v>46.361058451896689</v>
      </c>
      <c r="AC676" s="44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45.498656834532376</v>
      </c>
    </row>
    <row r="677" spans="1:29" ht="15.75" x14ac:dyDescent="0.25">
      <c r="A677" s="31">
        <v>61514</v>
      </c>
      <c r="B677" s="14">
        <f>CHOOSE(CONTROL!$C$42, 46.7025, 46.7025) * CHOOSE(CONTROL!$C$21, $C$9, 100%, $E$9)</f>
        <v>46.702500000000001</v>
      </c>
      <c r="C677" s="14">
        <f>CHOOSE(CONTROL!$C$42, 46.7105, 46.7105) * CHOOSE(CONTROL!$C$21, $C$9, 100%, $E$9)</f>
        <v>46.710500000000003</v>
      </c>
      <c r="D677" s="14">
        <f>CHOOSE(CONTROL!$C$42, 46.9363, 46.9363) * CHOOSE(CONTROL!$C$21, $C$9, 100%, $E$9)</f>
        <v>46.936300000000003</v>
      </c>
      <c r="E677" s="14">
        <f>CHOOSE(CONTROL!$C$42, 46.9678, 46.9678) * CHOOSE(CONTROL!$C$21, $C$9, 100%, $E$9)</f>
        <v>46.967799999999997</v>
      </c>
      <c r="F677" s="14">
        <f>CHOOSE(CONTROL!$C$42, 46.7281, 46.7281)*CHOOSE(CONTROL!$C$21, $C$9, 100%, $E$9)</f>
        <v>46.728099999999998</v>
      </c>
      <c r="G677" s="14">
        <f>CHOOSE(CONTROL!$C$42, 46.7451, 46.7451)*CHOOSE(CONTROL!$C$21, $C$9, 100%, $E$9)</f>
        <v>46.745100000000001</v>
      </c>
      <c r="H677" s="14">
        <f>CHOOSE(CONTROL!$C$42, 46.9564, 46.9564) * CHOOSE(CONTROL!$C$21, $C$9, 100%, $E$9)</f>
        <v>46.956400000000002</v>
      </c>
      <c r="I677" s="14">
        <f>CHOOSE(CONTROL!$C$42, 46.8803, 46.8803)* CHOOSE(CONTROL!$C$21, $C$9, 100%, $E$9)</f>
        <v>46.880299999999998</v>
      </c>
      <c r="J677" s="14">
        <f>CHOOSE(CONTROL!$C$42, 46.7211, 46.7211)* CHOOSE(CONTROL!$C$21, $C$9, 100%, $E$9)</f>
        <v>46.7211</v>
      </c>
      <c r="K677" s="52">
        <f>CHOOSE(CONTROL!$C$42, 46.8764, 46.8764) * CHOOSE(CONTROL!$C$21, $C$9, 100%, $E$9)</f>
        <v>46.876399999999997</v>
      </c>
      <c r="L677" s="14">
        <f>CHOOSE(CONTROL!$C$42, 47.5434, 47.5434) * CHOOSE(CONTROL!$C$21, $C$9, 100%, $E$9)</f>
        <v>47.543399999999998</v>
      </c>
      <c r="M677" s="14">
        <f>CHOOSE(CONTROL!$C$42, 45.7716, 45.7716) * CHOOSE(CONTROL!$C$21, $C$9, 100%, $E$9)</f>
        <v>45.771599999999999</v>
      </c>
      <c r="N677" s="14">
        <f>CHOOSE(CONTROL!$C$42, 45.7882, 45.7882) * CHOOSE(CONTROL!$C$21, $C$9, 100%, $E$9)</f>
        <v>45.788200000000003</v>
      </c>
      <c r="O677" s="14">
        <f>CHOOSE(CONTROL!$C$42, 46.002, 46.002) * CHOOSE(CONTROL!$C$21, $C$9, 100%, $E$9)</f>
        <v>46.002000000000002</v>
      </c>
      <c r="P677" s="14">
        <f>CHOOSE(CONTROL!$C$42, 45.9246, 45.9246) * CHOOSE(CONTROL!$C$21, $C$9, 100%, $E$9)</f>
        <v>45.924599999999998</v>
      </c>
      <c r="Q677" s="14">
        <f>CHOOSE(CONTROL!$C$42, 46.5967, 46.5967) * CHOOSE(CONTROL!$C$21, $C$9, 100%, $E$9)</f>
        <v>46.596699999999998</v>
      </c>
      <c r="R677" s="14">
        <f>CHOOSE(CONTROL!$C$42, 47.3002, 47.3002) * CHOOSE(CONTROL!$C$21, $C$9, 100%, $E$9)</f>
        <v>47.300199999999997</v>
      </c>
      <c r="S677" s="14">
        <f>CHOOSE(CONTROL!$C$42, 44.8658, 44.8658) * CHOOSE(CONTROL!$C$21, $C$9, 100%, $E$9)</f>
        <v>44.8658</v>
      </c>
      <c r="T67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56">
        <f>(1000*CHOOSE(CONTROL!$C$42, 695, 695)*CHOOSE(CONTROL!$C$42, 0.5599, 0.5599)*CHOOSE(CONTROL!$C$42, 31, 31))/1000000</f>
        <v>12.063045499999998</v>
      </c>
      <c r="V677" s="56">
        <f>(1000*CHOOSE(CONTROL!$C$42, 500, 500)*CHOOSE(CONTROL!$C$42, 0.275, 0.275)*CHOOSE(CONTROL!$C$42, 31, 31))/1000000</f>
        <v>4.2625000000000002</v>
      </c>
      <c r="W677" s="56">
        <f>(1000*CHOOSE(CONTROL!$C$42, 0.1146, 0.1146)*CHOOSE(CONTROL!$C$42, 121.5, 121.5)*CHOOSE(CONTROL!$C$42, 31, 31))/1000000</f>
        <v>0.43164089999999994</v>
      </c>
      <c r="X677" s="56">
        <f>(31*0.1790888*245000/1000000)+(31*0.2374*100000/1000000)</f>
        <v>2.0961194359999999</v>
      </c>
      <c r="Y677" s="56"/>
      <c r="Z677" s="14"/>
      <c r="AA677" s="55"/>
      <c r="AB677" s="49">
        <f>(B677*194.205+C677*267.466+D677*133.845+E677*53.484+F677*40+G677*185+H677*0+I677*100+J677*300)/(194.205+267.466+133.845+53.484+0+40+185+100+300)</f>
        <v>46.765205646938774</v>
      </c>
      <c r="AC677" s="44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45.898995683453236</v>
      </c>
    </row>
    <row r="678" spans="1:29" ht="15.75" x14ac:dyDescent="0.25">
      <c r="A678" s="31">
        <v>61544</v>
      </c>
      <c r="B678" s="14">
        <f>CHOOSE(CONTROL!$C$42, 48.0269, 48.0269) * CHOOSE(CONTROL!$C$21, $C$9, 100%, $E$9)</f>
        <v>48.026899999999998</v>
      </c>
      <c r="C678" s="14">
        <f>CHOOSE(CONTROL!$C$42, 48.035, 48.035) * CHOOSE(CONTROL!$C$21, $C$9, 100%, $E$9)</f>
        <v>48.034999999999997</v>
      </c>
      <c r="D678" s="14">
        <f>CHOOSE(CONTROL!$C$42, 48.2607, 48.2607) * CHOOSE(CONTROL!$C$21, $C$9, 100%, $E$9)</f>
        <v>48.2607</v>
      </c>
      <c r="E678" s="14">
        <f>CHOOSE(CONTROL!$C$42, 48.2922, 48.2922) * CHOOSE(CONTROL!$C$21, $C$9, 100%, $E$9)</f>
        <v>48.292200000000001</v>
      </c>
      <c r="F678" s="14">
        <f>CHOOSE(CONTROL!$C$42, 48.053, 48.053)*CHOOSE(CONTROL!$C$21, $C$9, 100%, $E$9)</f>
        <v>48.052999999999997</v>
      </c>
      <c r="G678" s="14">
        <f>CHOOSE(CONTROL!$C$42, 48.0701, 48.0701)*CHOOSE(CONTROL!$C$21, $C$9, 100%, $E$9)</f>
        <v>48.070099999999996</v>
      </c>
      <c r="H678" s="14">
        <f>CHOOSE(CONTROL!$C$42, 48.2808, 48.2808) * CHOOSE(CONTROL!$C$21, $C$9, 100%, $E$9)</f>
        <v>48.280799999999999</v>
      </c>
      <c r="I678" s="14">
        <f>CHOOSE(CONTROL!$C$42, 48.2089, 48.2089)* CHOOSE(CONTROL!$C$21, $C$9, 100%, $E$9)</f>
        <v>48.2089</v>
      </c>
      <c r="J678" s="14">
        <f>CHOOSE(CONTROL!$C$42, 48.046, 48.046)* CHOOSE(CONTROL!$C$21, $C$9, 100%, $E$9)</f>
        <v>48.045999999999999</v>
      </c>
      <c r="K678" s="52">
        <f>CHOOSE(CONTROL!$C$42, 48.205, 48.205) * CHOOSE(CONTROL!$C$21, $C$9, 100%, $E$9)</f>
        <v>48.204999999999998</v>
      </c>
      <c r="L678" s="14">
        <f>CHOOSE(CONTROL!$C$42, 48.8678, 48.8678) * CHOOSE(CONTROL!$C$21, $C$9, 100%, $E$9)</f>
        <v>48.867800000000003</v>
      </c>
      <c r="M678" s="14">
        <f>CHOOSE(CONTROL!$C$42, 47.0693, 47.0693) * CHOOSE(CONTROL!$C$21, $C$9, 100%, $E$9)</f>
        <v>47.069299999999998</v>
      </c>
      <c r="N678" s="14">
        <f>CHOOSE(CONTROL!$C$42, 47.086, 47.086) * CHOOSE(CONTROL!$C$21, $C$9, 100%, $E$9)</f>
        <v>47.085999999999999</v>
      </c>
      <c r="O678" s="14">
        <f>CHOOSE(CONTROL!$C$42, 47.2993, 47.2993) * CHOOSE(CONTROL!$C$21, $C$9, 100%, $E$9)</f>
        <v>47.299300000000002</v>
      </c>
      <c r="P678" s="14">
        <f>CHOOSE(CONTROL!$C$42, 47.2259, 47.2259) * CHOOSE(CONTROL!$C$21, $C$9, 100%, $E$9)</f>
        <v>47.225900000000003</v>
      </c>
      <c r="Q678" s="14">
        <f>CHOOSE(CONTROL!$C$42, 47.894, 47.894) * CHOOSE(CONTROL!$C$21, $C$9, 100%, $E$9)</f>
        <v>47.893999999999998</v>
      </c>
      <c r="R678" s="14">
        <f>CHOOSE(CONTROL!$C$42, 48.6007, 48.6007) * CHOOSE(CONTROL!$C$21, $C$9, 100%, $E$9)</f>
        <v>48.600700000000003</v>
      </c>
      <c r="S678" s="14">
        <f>CHOOSE(CONTROL!$C$42, 46.1384, 46.1384) * CHOOSE(CONTROL!$C$21, $C$9, 100%, $E$9)</f>
        <v>46.138399999999997</v>
      </c>
      <c r="T67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56">
        <f>(1000*CHOOSE(CONTROL!$C$42, 695, 695)*CHOOSE(CONTROL!$C$42, 0.5599, 0.5599)*CHOOSE(CONTROL!$C$42, 30, 30))/1000000</f>
        <v>11.673914999999997</v>
      </c>
      <c r="V678" s="56">
        <f>(1000*CHOOSE(CONTROL!$C$42, 500, 500)*CHOOSE(CONTROL!$C$42, 0.275, 0.275)*CHOOSE(CONTROL!$C$42, 30, 30))/1000000</f>
        <v>4.125</v>
      </c>
      <c r="W678" s="56">
        <f>(1000*CHOOSE(CONTROL!$C$42, 0.1146, 0.1146)*CHOOSE(CONTROL!$C$42, 121.5, 121.5)*CHOOSE(CONTROL!$C$42, 30, 30))/1000000</f>
        <v>0.417717</v>
      </c>
      <c r="X678" s="56">
        <f>(30*0.1790888*245000/1000000)+(30*0.2374*100000/1000000)</f>
        <v>2.0285026799999999</v>
      </c>
      <c r="Y678" s="56"/>
      <c r="Z678" s="14"/>
      <c r="AA678" s="55"/>
      <c r="AB678" s="49">
        <f>(B678*194.205+C678*267.466+D678*133.845+E678*53.484+F678*40+G678*185+H678*0+I678*100+J678*300)/(194.205+267.466+133.845+53.484+0+40+185+100+300)</f>
        <v>48.090176876609107</v>
      </c>
      <c r="AC678" s="44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47.197038129496406</v>
      </c>
    </row>
    <row r="679" spans="1:29" ht="15.75" x14ac:dyDescent="0.25">
      <c r="A679" s="31">
        <v>61575</v>
      </c>
      <c r="B679" s="14">
        <f>CHOOSE(CONTROL!$C$42, 47.1058, 47.1058) * CHOOSE(CONTROL!$C$21, $C$9, 100%, $E$9)</f>
        <v>47.105800000000002</v>
      </c>
      <c r="C679" s="14">
        <f>CHOOSE(CONTROL!$C$42, 47.1138, 47.1138) * CHOOSE(CONTROL!$C$21, $C$9, 100%, $E$9)</f>
        <v>47.113799999999998</v>
      </c>
      <c r="D679" s="14">
        <f>CHOOSE(CONTROL!$C$42, 47.3396, 47.3396) * CHOOSE(CONTROL!$C$21, $C$9, 100%, $E$9)</f>
        <v>47.339599999999997</v>
      </c>
      <c r="E679" s="14">
        <f>CHOOSE(CONTROL!$C$42, 47.371, 47.371) * CHOOSE(CONTROL!$C$21, $C$9, 100%, $E$9)</f>
        <v>47.371000000000002</v>
      </c>
      <c r="F679" s="14">
        <f>CHOOSE(CONTROL!$C$42, 47.1323, 47.1323)*CHOOSE(CONTROL!$C$21, $C$9, 100%, $E$9)</f>
        <v>47.132300000000001</v>
      </c>
      <c r="G679" s="14">
        <f>CHOOSE(CONTROL!$C$42, 47.1495, 47.1495)*CHOOSE(CONTROL!$C$21, $C$9, 100%, $E$9)</f>
        <v>47.149500000000003</v>
      </c>
      <c r="H679" s="14">
        <f>CHOOSE(CONTROL!$C$42, 47.3597, 47.3597) * CHOOSE(CONTROL!$C$21, $C$9, 100%, $E$9)</f>
        <v>47.359699999999997</v>
      </c>
      <c r="I679" s="14">
        <f>CHOOSE(CONTROL!$C$42, 47.2848, 47.2848)* CHOOSE(CONTROL!$C$21, $C$9, 100%, $E$9)</f>
        <v>47.284799999999997</v>
      </c>
      <c r="J679" s="14">
        <f>CHOOSE(CONTROL!$C$42, 47.1253, 47.1253)* CHOOSE(CONTROL!$C$21, $C$9, 100%, $E$9)</f>
        <v>47.125300000000003</v>
      </c>
      <c r="K679" s="52">
        <f>CHOOSE(CONTROL!$C$42, 47.2809, 47.2809) * CHOOSE(CONTROL!$C$21, $C$9, 100%, $E$9)</f>
        <v>47.280900000000003</v>
      </c>
      <c r="L679" s="14">
        <f>CHOOSE(CONTROL!$C$42, 47.9467, 47.9467) * CHOOSE(CONTROL!$C$21, $C$9, 100%, $E$9)</f>
        <v>47.9467</v>
      </c>
      <c r="M679" s="14">
        <f>CHOOSE(CONTROL!$C$42, 46.1675, 46.1675) * CHOOSE(CONTROL!$C$21, $C$9, 100%, $E$9)</f>
        <v>46.167499999999997</v>
      </c>
      <c r="N679" s="14">
        <f>CHOOSE(CONTROL!$C$42, 46.1843, 46.1843) * CHOOSE(CONTROL!$C$21, $C$9, 100%, $E$9)</f>
        <v>46.1843</v>
      </c>
      <c r="O679" s="14">
        <f>CHOOSE(CONTROL!$C$42, 46.397, 46.397) * CHOOSE(CONTROL!$C$21, $C$9, 100%, $E$9)</f>
        <v>46.396999999999998</v>
      </c>
      <c r="P679" s="14">
        <f>CHOOSE(CONTROL!$C$42, 46.3208, 46.3208) * CHOOSE(CONTROL!$C$21, $C$9, 100%, $E$9)</f>
        <v>46.320799999999998</v>
      </c>
      <c r="Q679" s="14">
        <f>CHOOSE(CONTROL!$C$42, 46.9917, 46.9917) * CHOOSE(CONTROL!$C$21, $C$9, 100%, $E$9)</f>
        <v>46.991700000000002</v>
      </c>
      <c r="R679" s="14">
        <f>CHOOSE(CONTROL!$C$42, 47.6962, 47.6962) * CHOOSE(CONTROL!$C$21, $C$9, 100%, $E$9)</f>
        <v>47.696199999999997</v>
      </c>
      <c r="S679" s="14">
        <f>CHOOSE(CONTROL!$C$42, 45.2533, 45.2533) * CHOOSE(CONTROL!$C$21, $C$9, 100%, $E$9)</f>
        <v>45.253300000000003</v>
      </c>
      <c r="T67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56">
        <f>(1000*CHOOSE(CONTROL!$C$42, 695, 695)*CHOOSE(CONTROL!$C$42, 0.5599, 0.5599)*CHOOSE(CONTROL!$C$42, 31, 31))/1000000</f>
        <v>12.063045499999998</v>
      </c>
      <c r="V679" s="56">
        <f>(1000*CHOOSE(CONTROL!$C$42, 500, 500)*CHOOSE(CONTROL!$C$42, 0.275, 0.275)*CHOOSE(CONTROL!$C$42, 31, 31))/1000000</f>
        <v>4.2625000000000002</v>
      </c>
      <c r="W679" s="56">
        <f>(1000*CHOOSE(CONTROL!$C$42, 0.1146, 0.1146)*CHOOSE(CONTROL!$C$42, 121.5, 121.5)*CHOOSE(CONTROL!$C$42, 31, 31))/1000000</f>
        <v>0.43164089999999994</v>
      </c>
      <c r="X679" s="56">
        <f>(31*0.1790888*245000/1000000)+(31*0.2374*100000/1000000)</f>
        <v>2.0961194359999999</v>
      </c>
      <c r="Y679" s="56"/>
      <c r="Z679" s="14"/>
      <c r="AA679" s="55"/>
      <c r="AB679" s="49">
        <f>(B679*194.205+C679*267.466+D679*133.845+E679*53.484+F679*40+G679*185+H679*0+I679*100+J679*300)/(194.205+267.466+133.845+53.484+0+40+185+100+300)</f>
        <v>47.168995561852434</v>
      </c>
      <c r="AC679" s="44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46.294542446043167</v>
      </c>
    </row>
    <row r="680" spans="1:29" ht="15.75" x14ac:dyDescent="0.25">
      <c r="A680" s="31">
        <v>61606</v>
      </c>
      <c r="B680" s="14">
        <f>CHOOSE(CONTROL!$C$42, 44.7796, 44.7796) * CHOOSE(CONTROL!$C$21, $C$9, 100%, $E$9)</f>
        <v>44.779600000000002</v>
      </c>
      <c r="C680" s="14">
        <f>CHOOSE(CONTROL!$C$42, 44.7876, 44.7876) * CHOOSE(CONTROL!$C$21, $C$9, 100%, $E$9)</f>
        <v>44.787599999999998</v>
      </c>
      <c r="D680" s="14">
        <f>CHOOSE(CONTROL!$C$42, 45.0134, 45.0134) * CHOOSE(CONTROL!$C$21, $C$9, 100%, $E$9)</f>
        <v>45.013399999999997</v>
      </c>
      <c r="E680" s="14">
        <f>CHOOSE(CONTROL!$C$42, 45.0448, 45.0448) * CHOOSE(CONTROL!$C$21, $C$9, 100%, $E$9)</f>
        <v>45.044800000000002</v>
      </c>
      <c r="F680" s="14">
        <f>CHOOSE(CONTROL!$C$42, 44.8064, 44.8064)*CHOOSE(CONTROL!$C$21, $C$9, 100%, $E$9)</f>
        <v>44.806399999999996</v>
      </c>
      <c r="G680" s="14">
        <f>CHOOSE(CONTROL!$C$42, 44.8236, 44.8236)*CHOOSE(CONTROL!$C$21, $C$9, 100%, $E$9)</f>
        <v>44.823599999999999</v>
      </c>
      <c r="H680" s="14">
        <f>CHOOSE(CONTROL!$C$42, 45.0335, 45.0335) * CHOOSE(CONTROL!$C$21, $C$9, 100%, $E$9)</f>
        <v>45.033499999999997</v>
      </c>
      <c r="I680" s="14">
        <f>CHOOSE(CONTROL!$C$42, 44.9513, 44.9513)* CHOOSE(CONTROL!$C$21, $C$9, 100%, $E$9)</f>
        <v>44.951300000000003</v>
      </c>
      <c r="J680" s="14">
        <f>CHOOSE(CONTROL!$C$42, 44.7994, 44.7994)* CHOOSE(CONTROL!$C$21, $C$9, 100%, $E$9)</f>
        <v>44.799399999999999</v>
      </c>
      <c r="K680" s="52">
        <f>CHOOSE(CONTROL!$C$42, 44.9474, 44.9474) * CHOOSE(CONTROL!$C$21, $C$9, 100%, $E$9)</f>
        <v>44.947400000000002</v>
      </c>
      <c r="L680" s="14">
        <f>CHOOSE(CONTROL!$C$42, 45.6205, 45.6205) * CHOOSE(CONTROL!$C$21, $C$9, 100%, $E$9)</f>
        <v>45.6205</v>
      </c>
      <c r="M680" s="14">
        <f>CHOOSE(CONTROL!$C$42, 43.8892, 43.8892) * CHOOSE(CONTROL!$C$21, $C$9, 100%, $E$9)</f>
        <v>43.889200000000002</v>
      </c>
      <c r="N680" s="14">
        <f>CHOOSE(CONTROL!$C$42, 43.9061, 43.9061) * CHOOSE(CONTROL!$C$21, $C$9, 100%, $E$9)</f>
        <v>43.906100000000002</v>
      </c>
      <c r="O680" s="14">
        <f>CHOOSE(CONTROL!$C$42, 44.1185, 44.1185) * CHOOSE(CONTROL!$C$21, $C$9, 100%, $E$9)</f>
        <v>44.118499999999997</v>
      </c>
      <c r="P680" s="14">
        <f>CHOOSE(CONTROL!$C$42, 44.0353, 44.0353) * CHOOSE(CONTROL!$C$21, $C$9, 100%, $E$9)</f>
        <v>44.035299999999999</v>
      </c>
      <c r="Q680" s="14">
        <f>CHOOSE(CONTROL!$C$42, 44.7132, 44.7132) * CHOOSE(CONTROL!$C$21, $C$9, 100%, $E$9)</f>
        <v>44.713200000000001</v>
      </c>
      <c r="R680" s="14">
        <f>CHOOSE(CONTROL!$C$42, 45.4119, 45.4119) * CHOOSE(CONTROL!$C$21, $C$9, 100%, $E$9)</f>
        <v>45.411900000000003</v>
      </c>
      <c r="S680" s="14">
        <f>CHOOSE(CONTROL!$C$42, 43.018, 43.018) * CHOOSE(CONTROL!$C$21, $C$9, 100%, $E$9)</f>
        <v>43.018000000000001</v>
      </c>
      <c r="T68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56">
        <f>(1000*CHOOSE(CONTROL!$C$42, 695, 695)*CHOOSE(CONTROL!$C$42, 0.5599, 0.5599)*CHOOSE(CONTROL!$C$42, 31, 31))/1000000</f>
        <v>12.063045499999998</v>
      </c>
      <c r="V680" s="56">
        <f>(1000*CHOOSE(CONTROL!$C$42, 500, 500)*CHOOSE(CONTROL!$C$42, 0.275, 0.275)*CHOOSE(CONTROL!$C$42, 31, 31))/1000000</f>
        <v>4.2625000000000002</v>
      </c>
      <c r="W680" s="56">
        <f>(1000*CHOOSE(CONTROL!$C$42, 0.1146, 0.1146)*CHOOSE(CONTROL!$C$42, 121.5, 121.5)*CHOOSE(CONTROL!$C$42, 31, 31))/1000000</f>
        <v>0.43164089999999994</v>
      </c>
      <c r="X680" s="56">
        <f>(31*0.1790888*245000/1000000)+(31*0.2374*100000/1000000)</f>
        <v>2.0961194359999999</v>
      </c>
      <c r="Y680" s="56"/>
      <c r="Z680" s="14"/>
      <c r="AA680" s="55"/>
      <c r="AB680" s="49">
        <f>(B680*194.205+C680*267.466+D680*133.845+E680*53.484+F680*40+G680*185+H680*0+I680*100+J680*300)/(194.205+267.466+133.845+53.484+0+40+185+100+300)</f>
        <v>44.842346189795919</v>
      </c>
      <c r="AC680" s="44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44.015121582733812</v>
      </c>
    </row>
    <row r="681" spans="1:29" ht="15.75" x14ac:dyDescent="0.25">
      <c r="A681" s="31">
        <v>61636</v>
      </c>
      <c r="B681" s="14">
        <f>CHOOSE(CONTROL!$C$42, 41.9371, 41.9371) * CHOOSE(CONTROL!$C$21, $C$9, 100%, $E$9)</f>
        <v>41.937100000000001</v>
      </c>
      <c r="C681" s="14">
        <f>CHOOSE(CONTROL!$C$42, 41.9452, 41.9452) * CHOOSE(CONTROL!$C$21, $C$9, 100%, $E$9)</f>
        <v>41.9452</v>
      </c>
      <c r="D681" s="14">
        <f>CHOOSE(CONTROL!$C$42, 42.1709, 42.1709) * CHOOSE(CONTROL!$C$21, $C$9, 100%, $E$9)</f>
        <v>42.170900000000003</v>
      </c>
      <c r="E681" s="14">
        <f>CHOOSE(CONTROL!$C$42, 42.2024, 42.2024) * CHOOSE(CONTROL!$C$21, $C$9, 100%, $E$9)</f>
        <v>42.202399999999997</v>
      </c>
      <c r="F681" s="14">
        <f>CHOOSE(CONTROL!$C$42, 41.9639, 41.9639)*CHOOSE(CONTROL!$C$21, $C$9, 100%, $E$9)</f>
        <v>41.963900000000002</v>
      </c>
      <c r="G681" s="14">
        <f>CHOOSE(CONTROL!$C$42, 41.9812, 41.9812)*CHOOSE(CONTROL!$C$21, $C$9, 100%, $E$9)</f>
        <v>41.981200000000001</v>
      </c>
      <c r="H681" s="14">
        <f>CHOOSE(CONTROL!$C$42, 42.191, 42.191) * CHOOSE(CONTROL!$C$21, $C$9, 100%, $E$9)</f>
        <v>42.191000000000003</v>
      </c>
      <c r="I681" s="14">
        <f>CHOOSE(CONTROL!$C$42, 42.1, 42.1)* CHOOSE(CONTROL!$C$21, $C$9, 100%, $E$9)</f>
        <v>42.1</v>
      </c>
      <c r="J681" s="14">
        <f>CHOOSE(CONTROL!$C$42, 41.9569, 41.9569)* CHOOSE(CONTROL!$C$21, $C$9, 100%, $E$9)</f>
        <v>41.956899999999997</v>
      </c>
      <c r="K681" s="52">
        <f>CHOOSE(CONTROL!$C$42, 42.0961, 42.0961) * CHOOSE(CONTROL!$C$21, $C$9, 100%, $E$9)</f>
        <v>42.0961</v>
      </c>
      <c r="L681" s="14">
        <f>CHOOSE(CONTROL!$C$42, 42.778, 42.778) * CHOOSE(CONTROL!$C$21, $C$9, 100%, $E$9)</f>
        <v>42.777999999999999</v>
      </c>
      <c r="M681" s="14">
        <f>CHOOSE(CONTROL!$C$42, 41.105, 41.105) * CHOOSE(CONTROL!$C$21, $C$9, 100%, $E$9)</f>
        <v>41.104999999999997</v>
      </c>
      <c r="N681" s="14">
        <f>CHOOSE(CONTROL!$C$42, 41.1219, 41.1219) * CHOOSE(CONTROL!$C$21, $C$9, 100%, $E$9)</f>
        <v>41.121899999999997</v>
      </c>
      <c r="O681" s="14">
        <f>CHOOSE(CONTROL!$C$42, 41.3343, 41.3343) * CHOOSE(CONTROL!$C$21, $C$9, 100%, $E$9)</f>
        <v>41.334299999999999</v>
      </c>
      <c r="P681" s="14">
        <f>CHOOSE(CONTROL!$C$42, 41.2425, 41.2425) * CHOOSE(CONTROL!$C$21, $C$9, 100%, $E$9)</f>
        <v>41.2425</v>
      </c>
      <c r="Q681" s="14">
        <f>CHOOSE(CONTROL!$C$42, 41.929, 41.929) * CHOOSE(CONTROL!$C$21, $C$9, 100%, $E$9)</f>
        <v>41.929000000000002</v>
      </c>
      <c r="R681" s="14">
        <f>CHOOSE(CONTROL!$C$42, 42.6208, 42.6208) * CHOOSE(CONTROL!$C$21, $C$9, 100%, $E$9)</f>
        <v>42.620800000000003</v>
      </c>
      <c r="S681" s="14">
        <f>CHOOSE(CONTROL!$C$42, 40.2868, 40.2868) * CHOOSE(CONTROL!$C$21, $C$9, 100%, $E$9)</f>
        <v>40.286799999999999</v>
      </c>
      <c r="T68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56">
        <f>(1000*CHOOSE(CONTROL!$C$42, 695, 695)*CHOOSE(CONTROL!$C$42, 0.5599, 0.5599)*CHOOSE(CONTROL!$C$42, 30, 30))/1000000</f>
        <v>11.673914999999997</v>
      </c>
      <c r="V681" s="56">
        <f>(1000*CHOOSE(CONTROL!$C$42, 500, 500)*CHOOSE(CONTROL!$C$42, 0.275, 0.275)*CHOOSE(CONTROL!$C$42, 30, 30))/1000000</f>
        <v>4.125</v>
      </c>
      <c r="W681" s="56">
        <f>(1000*CHOOSE(CONTROL!$C$42, 0.1146, 0.1146)*CHOOSE(CONTROL!$C$42, 121.5, 121.5)*CHOOSE(CONTROL!$C$42, 30, 30))/1000000</f>
        <v>0.417717</v>
      </c>
      <c r="X681" s="56">
        <f>(30*0.1790888*245000/1000000)+(30*0.2374*100000/1000000)</f>
        <v>2.0285026799999999</v>
      </c>
      <c r="Y681" s="56"/>
      <c r="Z681" s="14"/>
      <c r="AA681" s="55"/>
      <c r="AB681" s="49">
        <f>(B681*194.205+C681*267.466+D681*133.845+E681*53.484+F681*40+G681*185+H681*0+I681*100+J681*300)/(194.205+267.466+133.845+53.484+0+40+185+100+300)</f>
        <v>41.999195165463107</v>
      </c>
      <c r="AC681" s="44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41.229684172661869</v>
      </c>
    </row>
    <row r="682" spans="1:29" ht="15.75" x14ac:dyDescent="0.25">
      <c r="A682" s="31">
        <v>61667</v>
      </c>
      <c r="B682" s="14">
        <f>CHOOSE(CONTROL!$C$42, 41.0841, 41.0841) * CHOOSE(CONTROL!$C$21, $C$9, 100%, $E$9)</f>
        <v>41.084099999999999</v>
      </c>
      <c r="C682" s="14">
        <f>CHOOSE(CONTROL!$C$42, 41.0894, 41.0894) * CHOOSE(CONTROL!$C$21, $C$9, 100%, $E$9)</f>
        <v>41.089399999999998</v>
      </c>
      <c r="D682" s="14">
        <f>CHOOSE(CONTROL!$C$42, 41.3202, 41.3202) * CHOOSE(CONTROL!$C$21, $C$9, 100%, $E$9)</f>
        <v>41.3202</v>
      </c>
      <c r="E682" s="14">
        <f>CHOOSE(CONTROL!$C$42, 41.3493, 41.3493) * CHOOSE(CONTROL!$C$21, $C$9, 100%, $E$9)</f>
        <v>41.349299999999999</v>
      </c>
      <c r="F682" s="14">
        <f>CHOOSE(CONTROL!$C$42, 41.113, 41.113)*CHOOSE(CONTROL!$C$21, $C$9, 100%, $E$9)</f>
        <v>41.113</v>
      </c>
      <c r="G682" s="14">
        <f>CHOOSE(CONTROL!$C$42, 41.1301, 41.1301)*CHOOSE(CONTROL!$C$21, $C$9, 100%, $E$9)</f>
        <v>41.130099999999999</v>
      </c>
      <c r="H682" s="14">
        <f>CHOOSE(CONTROL!$C$42, 41.3398, 41.3398) * CHOOSE(CONTROL!$C$21, $C$9, 100%, $E$9)</f>
        <v>41.339799999999997</v>
      </c>
      <c r="I682" s="14">
        <f>CHOOSE(CONTROL!$C$42, 41.2461, 41.2461)* CHOOSE(CONTROL!$C$21, $C$9, 100%, $E$9)</f>
        <v>41.246099999999998</v>
      </c>
      <c r="J682" s="14">
        <f>CHOOSE(CONTROL!$C$42, 41.106, 41.106)* CHOOSE(CONTROL!$C$21, $C$9, 100%, $E$9)</f>
        <v>41.106000000000002</v>
      </c>
      <c r="K682" s="52">
        <f>CHOOSE(CONTROL!$C$42, 41.2422, 41.2422) * CHOOSE(CONTROL!$C$21, $C$9, 100%, $E$9)</f>
        <v>41.242199999999997</v>
      </c>
      <c r="L682" s="14">
        <f>CHOOSE(CONTROL!$C$42, 41.9268, 41.9268) * CHOOSE(CONTROL!$C$21, $C$9, 100%, $E$9)</f>
        <v>41.9268</v>
      </c>
      <c r="M682" s="14">
        <f>CHOOSE(CONTROL!$C$42, 40.2714, 40.2714) * CHOOSE(CONTROL!$C$21, $C$9, 100%, $E$9)</f>
        <v>40.2714</v>
      </c>
      <c r="N682" s="14">
        <f>CHOOSE(CONTROL!$C$42, 40.2882, 40.2882) * CHOOSE(CONTROL!$C$21, $C$9, 100%, $E$9)</f>
        <v>40.288200000000003</v>
      </c>
      <c r="O682" s="14">
        <f>CHOOSE(CONTROL!$C$42, 40.5005, 40.5005) * CHOOSE(CONTROL!$C$21, $C$9, 100%, $E$9)</f>
        <v>40.500500000000002</v>
      </c>
      <c r="P682" s="14">
        <f>CHOOSE(CONTROL!$C$42, 40.4062, 40.4062) * CHOOSE(CONTROL!$C$21, $C$9, 100%, $E$9)</f>
        <v>40.406199999999998</v>
      </c>
      <c r="Q682" s="14">
        <f>CHOOSE(CONTROL!$C$42, 41.0952, 41.0952) * CHOOSE(CONTROL!$C$21, $C$9, 100%, $E$9)</f>
        <v>41.095199999999998</v>
      </c>
      <c r="R682" s="14">
        <f>CHOOSE(CONTROL!$C$42, 41.7849, 41.7849) * CHOOSE(CONTROL!$C$21, $C$9, 100%, $E$9)</f>
        <v>41.7849</v>
      </c>
      <c r="S682" s="14">
        <f>CHOOSE(CONTROL!$C$42, 39.4688, 39.4688) * CHOOSE(CONTROL!$C$21, $C$9, 100%, $E$9)</f>
        <v>39.468800000000002</v>
      </c>
      <c r="T68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56">
        <f>(1000*CHOOSE(CONTROL!$C$42, 695, 695)*CHOOSE(CONTROL!$C$42, 0.5599, 0.5599)*CHOOSE(CONTROL!$C$42, 31, 31))/1000000</f>
        <v>12.063045499999998</v>
      </c>
      <c r="V682" s="56">
        <f>(1000*CHOOSE(CONTROL!$C$42, 500, 500)*CHOOSE(CONTROL!$C$42, 0.275, 0.275)*CHOOSE(CONTROL!$C$42, 31, 31))/1000000</f>
        <v>4.2625000000000002</v>
      </c>
      <c r="W682" s="56">
        <f>(1000*CHOOSE(CONTROL!$C$42, 0.1146, 0.1146)*CHOOSE(CONTROL!$C$42, 121.5, 121.5)*CHOOSE(CONTROL!$C$42, 31, 31))/1000000</f>
        <v>0.43164089999999994</v>
      </c>
      <c r="X682" s="56">
        <f>(31*0.1790888*245000/1000000)+(31*0.2374*100000/1000000)</f>
        <v>2.0961194359999999</v>
      </c>
      <c r="Y682" s="56"/>
      <c r="Z682" s="14"/>
      <c r="AA682" s="55"/>
      <c r="AB682" s="49">
        <f>(B682*131.881+C682*277.167+D682*79.08+E682*125.872+F682*40+G682*185+H682*0+I682*100+J682*300)/(131.881+277.167+79.08+125.872+0+40+185+100+300)</f>
        <v>41.153476131961263</v>
      </c>
      <c r="AC682" s="44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40.395599280575539</v>
      </c>
    </row>
    <row r="683" spans="1:29" ht="15.75" x14ac:dyDescent="0.25">
      <c r="A683" s="31">
        <v>61697</v>
      </c>
      <c r="B683" s="14">
        <f>CHOOSE(CONTROL!$C$42, 42.1658, 42.1658) * CHOOSE(CONTROL!$C$21, $C$9, 100%, $E$9)</f>
        <v>42.165799999999997</v>
      </c>
      <c r="C683" s="14">
        <f>CHOOSE(CONTROL!$C$42, 42.1708, 42.1708) * CHOOSE(CONTROL!$C$21, $C$9, 100%, $E$9)</f>
        <v>42.1708</v>
      </c>
      <c r="D683" s="14">
        <f>CHOOSE(CONTROL!$C$42, 42.2399, 42.2399) * CHOOSE(CONTROL!$C$21, $C$9, 100%, $E$9)</f>
        <v>42.239899999999999</v>
      </c>
      <c r="E683" s="14">
        <f>CHOOSE(CONTROL!$C$42, 42.274, 42.274) * CHOOSE(CONTROL!$C$21, $C$9, 100%, $E$9)</f>
        <v>42.274000000000001</v>
      </c>
      <c r="F683" s="14">
        <f>CHOOSE(CONTROL!$C$42, 42.2014, 42.2014)*CHOOSE(CONTROL!$C$21, $C$9, 100%, $E$9)</f>
        <v>42.2014</v>
      </c>
      <c r="G683" s="14">
        <f>CHOOSE(CONTROL!$C$42, 42.2188, 42.2188)*CHOOSE(CONTROL!$C$21, $C$9, 100%, $E$9)</f>
        <v>42.218800000000002</v>
      </c>
      <c r="H683" s="14">
        <f>CHOOSE(CONTROL!$C$42, 42.2632, 42.2632) * CHOOSE(CONTROL!$C$21, $C$9, 100%, $E$9)</f>
        <v>42.263199999999998</v>
      </c>
      <c r="I683" s="14">
        <f>CHOOSE(CONTROL!$C$42, 42.3342, 42.3342)* CHOOSE(CONTROL!$C$21, $C$9, 100%, $E$9)</f>
        <v>42.334200000000003</v>
      </c>
      <c r="J683" s="14">
        <f>CHOOSE(CONTROL!$C$42, 42.1944, 42.1944)* CHOOSE(CONTROL!$C$21, $C$9, 100%, $E$9)</f>
        <v>42.194400000000002</v>
      </c>
      <c r="K683" s="52">
        <f>CHOOSE(CONTROL!$C$42, 42.3303, 42.3303) * CHOOSE(CONTROL!$C$21, $C$9, 100%, $E$9)</f>
        <v>42.330300000000001</v>
      </c>
      <c r="L683" s="14">
        <f>CHOOSE(CONTROL!$C$42, 42.8502, 42.8502) * CHOOSE(CONTROL!$C$21, $C$9, 100%, $E$9)</f>
        <v>42.850200000000001</v>
      </c>
      <c r="M683" s="14">
        <f>CHOOSE(CONTROL!$C$42, 41.3375, 41.3375) * CHOOSE(CONTROL!$C$21, $C$9, 100%, $E$9)</f>
        <v>41.337499999999999</v>
      </c>
      <c r="N683" s="14">
        <f>CHOOSE(CONTROL!$C$42, 41.3546, 41.3546) * CHOOSE(CONTROL!$C$21, $C$9, 100%, $E$9)</f>
        <v>41.354599999999998</v>
      </c>
      <c r="O683" s="14">
        <f>CHOOSE(CONTROL!$C$42, 41.4049, 41.4049) * CHOOSE(CONTROL!$C$21, $C$9, 100%, $E$9)</f>
        <v>41.404899999999998</v>
      </c>
      <c r="P683" s="14">
        <f>CHOOSE(CONTROL!$C$42, 41.4719, 41.4719) * CHOOSE(CONTROL!$C$21, $C$9, 100%, $E$9)</f>
        <v>41.471899999999998</v>
      </c>
      <c r="Q683" s="14">
        <f>CHOOSE(CONTROL!$C$42, 41.9996, 41.9996) * CHOOSE(CONTROL!$C$21, $C$9, 100%, $E$9)</f>
        <v>41.999600000000001</v>
      </c>
      <c r="R683" s="14">
        <f>CHOOSE(CONTROL!$C$42, 42.6916, 42.6916) * CHOOSE(CONTROL!$C$21, $C$9, 100%, $E$9)</f>
        <v>42.691600000000001</v>
      </c>
      <c r="S683" s="14">
        <f>CHOOSE(CONTROL!$C$42, 40.5086, 40.5086) * CHOOSE(CONTROL!$C$21, $C$9, 100%, $E$9)</f>
        <v>40.508600000000001</v>
      </c>
      <c r="T68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56">
        <f>(1000*CHOOSE(CONTROL!$C$42, 695, 695)*CHOOSE(CONTROL!$C$42, 0.5599, 0.5599)*CHOOSE(CONTROL!$C$42, 30, 30))/1000000</f>
        <v>11.673914999999997</v>
      </c>
      <c r="V683" s="56">
        <f>(1000*CHOOSE(CONTROL!$C$42, 500, 500)*CHOOSE(CONTROL!$C$42, 0.275, 0.275)*CHOOSE(CONTROL!$C$42, 30, 30))/1000000</f>
        <v>4.125</v>
      </c>
      <c r="W683" s="56">
        <f>(1000*CHOOSE(CONTROL!$C$42, 0.1146, 0.1146)*CHOOSE(CONTROL!$C$42, 121.5, 121.5)*CHOOSE(CONTROL!$C$42, 30, 30))/1000000</f>
        <v>0.417717</v>
      </c>
      <c r="X683" s="56">
        <f>(30*0.1790888*100000/1000000)+(30*0.2374*100000/1000000)</f>
        <v>1.2494664</v>
      </c>
      <c r="Y683" s="56"/>
      <c r="Z683" s="14"/>
      <c r="AA683" s="55"/>
      <c r="AB683" s="49">
        <f>(B683*122.58+C683*297.941+D683*89.177+E683*40.302+F683*40+G683*160+H683*0+I683*100+J683*300)/(122.58+297.941+89.177+40.302+0+40+160+100+300)</f>
        <v>42.207349910521735</v>
      </c>
      <c r="AC683" s="44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41.388370503597123</v>
      </c>
    </row>
    <row r="684" spans="1:29" ht="15.75" x14ac:dyDescent="0.25">
      <c r="A684" s="31">
        <v>61728</v>
      </c>
      <c r="B684" s="14">
        <f>CHOOSE(CONTROL!$C$42, 45.04, 45.04) * CHOOSE(CONTROL!$C$21, $C$9, 100%, $E$9)</f>
        <v>45.04</v>
      </c>
      <c r="C684" s="14">
        <f>CHOOSE(CONTROL!$C$42, 45.045, 45.045) * CHOOSE(CONTROL!$C$21, $C$9, 100%, $E$9)</f>
        <v>45.045000000000002</v>
      </c>
      <c r="D684" s="14">
        <f>CHOOSE(CONTROL!$C$42, 45.1141, 45.1141) * CHOOSE(CONTROL!$C$21, $C$9, 100%, $E$9)</f>
        <v>45.114100000000001</v>
      </c>
      <c r="E684" s="14">
        <f>CHOOSE(CONTROL!$C$42, 45.1482, 45.1482) * CHOOSE(CONTROL!$C$21, $C$9, 100%, $E$9)</f>
        <v>45.148200000000003</v>
      </c>
      <c r="F684" s="14">
        <f>CHOOSE(CONTROL!$C$42, 45.0778, 45.0778)*CHOOSE(CONTROL!$C$21, $C$9, 100%, $E$9)</f>
        <v>45.077800000000003</v>
      </c>
      <c r="G684" s="14">
        <f>CHOOSE(CONTROL!$C$42, 45.0958, 45.0958)*CHOOSE(CONTROL!$C$21, $C$9, 100%, $E$9)</f>
        <v>45.095799999999997</v>
      </c>
      <c r="H684" s="14">
        <f>CHOOSE(CONTROL!$C$42, 45.1374, 45.1374) * CHOOSE(CONTROL!$C$21, $C$9, 100%, $E$9)</f>
        <v>45.1374</v>
      </c>
      <c r="I684" s="14">
        <f>CHOOSE(CONTROL!$C$42, 45.2174, 45.2174)* CHOOSE(CONTROL!$C$21, $C$9, 100%, $E$9)</f>
        <v>45.217399999999998</v>
      </c>
      <c r="J684" s="14">
        <f>CHOOSE(CONTROL!$C$42, 45.0708, 45.0708)* CHOOSE(CONTROL!$C$21, $C$9, 100%, $E$9)</f>
        <v>45.070799999999998</v>
      </c>
      <c r="K684" s="52">
        <f>CHOOSE(CONTROL!$C$42, 45.2135, 45.2135) * CHOOSE(CONTROL!$C$21, $C$9, 100%, $E$9)</f>
        <v>45.213500000000003</v>
      </c>
      <c r="L684" s="14">
        <f>CHOOSE(CONTROL!$C$42, 45.7244, 45.7244) * CHOOSE(CONTROL!$C$21, $C$9, 100%, $E$9)</f>
        <v>45.724400000000003</v>
      </c>
      <c r="M684" s="14">
        <f>CHOOSE(CONTROL!$C$42, 44.155, 44.155) * CHOOSE(CONTROL!$C$21, $C$9, 100%, $E$9)</f>
        <v>44.155000000000001</v>
      </c>
      <c r="N684" s="14">
        <f>CHOOSE(CONTROL!$C$42, 44.1727, 44.1727) * CHOOSE(CONTROL!$C$21, $C$9, 100%, $E$9)</f>
        <v>44.172699999999999</v>
      </c>
      <c r="O684" s="14">
        <f>CHOOSE(CONTROL!$C$42, 44.2202, 44.2202) * CHOOSE(CONTROL!$C$21, $C$9, 100%, $E$9)</f>
        <v>44.220199999999998</v>
      </c>
      <c r="P684" s="14">
        <f>CHOOSE(CONTROL!$C$42, 44.2958, 44.2958) * CHOOSE(CONTROL!$C$21, $C$9, 100%, $E$9)</f>
        <v>44.2958</v>
      </c>
      <c r="Q684" s="14">
        <f>CHOOSE(CONTROL!$C$42, 44.8149, 44.8149) * CHOOSE(CONTROL!$C$21, $C$9, 100%, $E$9)</f>
        <v>44.814900000000002</v>
      </c>
      <c r="R684" s="14">
        <f>CHOOSE(CONTROL!$C$42, 45.514, 45.514) * CHOOSE(CONTROL!$C$21, $C$9, 100%, $E$9)</f>
        <v>45.514000000000003</v>
      </c>
      <c r="S684" s="14">
        <f>CHOOSE(CONTROL!$C$42, 43.2704, 43.2704) * CHOOSE(CONTROL!$C$21, $C$9, 100%, $E$9)</f>
        <v>43.270400000000002</v>
      </c>
      <c r="T68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56">
        <f>(1000*CHOOSE(CONTROL!$C$42, 695, 695)*CHOOSE(CONTROL!$C$42, 0.5599, 0.5599)*CHOOSE(CONTROL!$C$42, 31, 31))/1000000</f>
        <v>12.063045499999998</v>
      </c>
      <c r="V684" s="56">
        <f>(1000*CHOOSE(CONTROL!$C$42, 500, 500)*CHOOSE(CONTROL!$C$42, 0.275, 0.275)*CHOOSE(CONTROL!$C$42, 31, 31))/1000000</f>
        <v>4.2625000000000002</v>
      </c>
      <c r="W684" s="56">
        <f>(1000*CHOOSE(CONTROL!$C$42, 0.1146, 0.1146)*CHOOSE(CONTROL!$C$42, 121.5, 121.5)*CHOOSE(CONTROL!$C$42, 31, 31))/1000000</f>
        <v>0.43164089999999994</v>
      </c>
      <c r="X684" s="56">
        <f>(31*0.1790888*100000/1000000)+(31*0.2374*100000/1000000)</f>
        <v>1.2911152800000001</v>
      </c>
      <c r="Y684" s="56"/>
      <c r="Z684" s="14"/>
      <c r="AA684" s="55"/>
      <c r="AB684" s="49">
        <f>(B684*122.58+C684*297.941+D684*89.177+E684*40.302+F684*40+G684*160+H684*0+I684*100+J684*300)/(122.58+297.941+89.177+40.302+0+40+160+100+300)</f>
        <v>45.083372519217384</v>
      </c>
      <c r="AC684" s="44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44.205828776978414</v>
      </c>
    </row>
    <row r="685" spans="1:29" ht="15.75" x14ac:dyDescent="0.25">
      <c r="A685" s="31">
        <v>61759</v>
      </c>
      <c r="B685" s="14">
        <f>CHOOSE(CONTROL!$C$42, 48.773, 48.773) * CHOOSE(CONTROL!$C$21, $C$9, 100%, $E$9)</f>
        <v>48.773000000000003</v>
      </c>
      <c r="C685" s="14">
        <f>CHOOSE(CONTROL!$C$42, 48.7781, 48.7781) * CHOOSE(CONTROL!$C$21, $C$9, 100%, $E$9)</f>
        <v>48.778100000000002</v>
      </c>
      <c r="D685" s="14">
        <f>CHOOSE(CONTROL!$C$42, 48.8575, 48.8575) * CHOOSE(CONTROL!$C$21, $C$9, 100%, $E$9)</f>
        <v>48.857500000000002</v>
      </c>
      <c r="E685" s="14">
        <f>CHOOSE(CONTROL!$C$42, 48.8916, 48.8916) * CHOOSE(CONTROL!$C$21, $C$9, 100%, $E$9)</f>
        <v>48.891599999999997</v>
      </c>
      <c r="F685" s="14">
        <f>CHOOSE(CONTROL!$C$42, 48.7961, 48.7961)*CHOOSE(CONTROL!$C$21, $C$9, 100%, $E$9)</f>
        <v>48.796100000000003</v>
      </c>
      <c r="G685" s="14">
        <f>CHOOSE(CONTROL!$C$42, 48.8136, 48.8136)*CHOOSE(CONTROL!$C$21, $C$9, 100%, $E$9)</f>
        <v>48.813600000000001</v>
      </c>
      <c r="H685" s="14">
        <f>CHOOSE(CONTROL!$C$42, 48.8808, 48.8808) * CHOOSE(CONTROL!$C$21, $C$9, 100%, $E$9)</f>
        <v>48.880800000000001</v>
      </c>
      <c r="I685" s="14">
        <f>CHOOSE(CONTROL!$C$42, 48.9611, 48.9611)* CHOOSE(CONTROL!$C$21, $C$9, 100%, $E$9)</f>
        <v>48.961100000000002</v>
      </c>
      <c r="J685" s="14">
        <f>CHOOSE(CONTROL!$C$42, 48.7891, 48.7891)* CHOOSE(CONTROL!$C$21, $C$9, 100%, $E$9)</f>
        <v>48.789099999999998</v>
      </c>
      <c r="K685" s="52">
        <f>CHOOSE(CONTROL!$C$42, 48.9572, 48.9572) * CHOOSE(CONTROL!$C$21, $C$9, 100%, $E$9)</f>
        <v>48.9572</v>
      </c>
      <c r="L685" s="14">
        <f>CHOOSE(CONTROL!$C$42, 49.4678, 49.4678) * CHOOSE(CONTROL!$C$21, $C$9, 100%, $E$9)</f>
        <v>49.467799999999997</v>
      </c>
      <c r="M685" s="14">
        <f>CHOOSE(CONTROL!$C$42, 47.7971, 47.7971) * CHOOSE(CONTROL!$C$21, $C$9, 100%, $E$9)</f>
        <v>47.7971</v>
      </c>
      <c r="N685" s="14">
        <f>CHOOSE(CONTROL!$C$42, 47.8143, 47.8143) * CHOOSE(CONTROL!$C$21, $C$9, 100%, $E$9)</f>
        <v>47.814300000000003</v>
      </c>
      <c r="O685" s="14">
        <f>CHOOSE(CONTROL!$C$42, 47.887, 47.887) * CHOOSE(CONTROL!$C$21, $C$9, 100%, $E$9)</f>
        <v>47.887</v>
      </c>
      <c r="P685" s="14">
        <f>CHOOSE(CONTROL!$C$42, 47.9626, 47.9626) * CHOOSE(CONTROL!$C$21, $C$9, 100%, $E$9)</f>
        <v>47.962600000000002</v>
      </c>
      <c r="Q685" s="14">
        <f>CHOOSE(CONTROL!$C$42, 48.4817, 48.4817) * CHOOSE(CONTROL!$C$21, $C$9, 100%, $E$9)</f>
        <v>48.481699999999996</v>
      </c>
      <c r="R685" s="14">
        <f>CHOOSE(CONTROL!$C$42, 49.1899, 49.1899) * CHOOSE(CONTROL!$C$21, $C$9, 100%, $E$9)</f>
        <v>49.189900000000002</v>
      </c>
      <c r="S685" s="14">
        <f>CHOOSE(CONTROL!$C$42, 46.8575, 46.8575) * CHOOSE(CONTROL!$C$21, $C$9, 100%, $E$9)</f>
        <v>46.857500000000002</v>
      </c>
      <c r="T68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56">
        <f>(1000*CHOOSE(CONTROL!$C$42, 695, 695)*CHOOSE(CONTROL!$C$42, 0.5599, 0.5599)*CHOOSE(CONTROL!$C$42, 31, 31))/1000000</f>
        <v>12.063045499999998</v>
      </c>
      <c r="V685" s="56">
        <f>(1000*CHOOSE(CONTROL!$C$42, 500, 500)*CHOOSE(CONTROL!$C$42, 0.275, 0.275)*CHOOSE(CONTROL!$C$42, 31, 31))/1000000</f>
        <v>4.2625000000000002</v>
      </c>
      <c r="W685" s="56">
        <f>(1000*CHOOSE(CONTROL!$C$42, 0.1146, 0.1146)*CHOOSE(CONTROL!$C$42, 121.5, 121.5)*CHOOSE(CONTROL!$C$42, 31, 31))/1000000</f>
        <v>0.43164089999999994</v>
      </c>
      <c r="X685" s="56">
        <f>(31*0.1790888*100000/1000000)+(31*0.2374*100000/1000000)</f>
        <v>1.2911152800000001</v>
      </c>
      <c r="Y685" s="56"/>
      <c r="Z685" s="14"/>
      <c r="AA685" s="55"/>
      <c r="AB685" s="49">
        <f>(B685*122.58+C685*297.941+D685*89.177+E685*40.302+F685*40+G685*160+H685*0+I685*100+J685*300)/(122.58+297.941+89.177+40.302+0+40+160+100+300)</f>
        <v>48.812038932869569</v>
      </c>
      <c r="AC685" s="44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47.862648920863315</v>
      </c>
    </row>
    <row r="686" spans="1:29" ht="15.75" x14ac:dyDescent="0.25">
      <c r="A686" s="31">
        <v>61787</v>
      </c>
      <c r="B686" s="14">
        <f>CHOOSE(CONTROL!$C$42, 49.6411, 49.6411) * CHOOSE(CONTROL!$C$21, $C$9, 100%, $E$9)</f>
        <v>49.641100000000002</v>
      </c>
      <c r="C686" s="14">
        <f>CHOOSE(CONTROL!$C$42, 49.6462, 49.6462) * CHOOSE(CONTROL!$C$21, $C$9, 100%, $E$9)</f>
        <v>49.6462</v>
      </c>
      <c r="D686" s="14">
        <f>CHOOSE(CONTROL!$C$42, 49.7256, 49.7256) * CHOOSE(CONTROL!$C$21, $C$9, 100%, $E$9)</f>
        <v>49.7256</v>
      </c>
      <c r="E686" s="14">
        <f>CHOOSE(CONTROL!$C$42, 49.7597, 49.7597) * CHOOSE(CONTROL!$C$21, $C$9, 100%, $E$9)</f>
        <v>49.759700000000002</v>
      </c>
      <c r="F686" s="14">
        <f>CHOOSE(CONTROL!$C$42, 49.6639, 49.6639)*CHOOSE(CONTROL!$C$21, $C$9, 100%, $E$9)</f>
        <v>49.663899999999998</v>
      </c>
      <c r="G686" s="14">
        <f>CHOOSE(CONTROL!$C$42, 49.6813, 49.6813)*CHOOSE(CONTROL!$C$21, $C$9, 100%, $E$9)</f>
        <v>49.6813</v>
      </c>
      <c r="H686" s="14">
        <f>CHOOSE(CONTROL!$C$42, 49.7489, 49.7489) * CHOOSE(CONTROL!$C$21, $C$9, 100%, $E$9)</f>
        <v>49.748899999999999</v>
      </c>
      <c r="I686" s="14">
        <f>CHOOSE(CONTROL!$C$42, 49.8318, 49.8318)* CHOOSE(CONTROL!$C$21, $C$9, 100%, $E$9)</f>
        <v>49.831800000000001</v>
      </c>
      <c r="J686" s="14">
        <f>CHOOSE(CONTROL!$C$42, 49.6569, 49.6569)* CHOOSE(CONTROL!$C$21, $C$9, 100%, $E$9)</f>
        <v>49.6569</v>
      </c>
      <c r="K686" s="52">
        <f>CHOOSE(CONTROL!$C$42, 49.828, 49.828) * CHOOSE(CONTROL!$C$21, $C$9, 100%, $E$9)</f>
        <v>49.828000000000003</v>
      </c>
      <c r="L686" s="14">
        <f>CHOOSE(CONTROL!$C$42, 50.3359, 50.3359) * CHOOSE(CONTROL!$C$21, $C$9, 100%, $E$9)</f>
        <v>50.335900000000002</v>
      </c>
      <c r="M686" s="14">
        <f>CHOOSE(CONTROL!$C$42, 48.6471, 48.6471) * CHOOSE(CONTROL!$C$21, $C$9, 100%, $E$9)</f>
        <v>48.647100000000002</v>
      </c>
      <c r="N686" s="14">
        <f>CHOOSE(CONTROL!$C$42, 48.6642, 48.6642) * CHOOSE(CONTROL!$C$21, $C$9, 100%, $E$9)</f>
        <v>48.664200000000001</v>
      </c>
      <c r="O686" s="14">
        <f>CHOOSE(CONTROL!$C$42, 48.7373, 48.7373) * CHOOSE(CONTROL!$C$21, $C$9, 100%, $E$9)</f>
        <v>48.737299999999998</v>
      </c>
      <c r="P686" s="14">
        <f>CHOOSE(CONTROL!$C$42, 48.8155, 48.8155) * CHOOSE(CONTROL!$C$21, $C$9, 100%, $E$9)</f>
        <v>48.8155</v>
      </c>
      <c r="Q686" s="14">
        <f>CHOOSE(CONTROL!$C$42, 49.332, 49.332) * CHOOSE(CONTROL!$C$21, $C$9, 100%, $E$9)</f>
        <v>49.332000000000001</v>
      </c>
      <c r="R686" s="14">
        <f>CHOOSE(CONTROL!$C$42, 50.0423, 50.0423) * CHOOSE(CONTROL!$C$21, $C$9, 100%, $E$9)</f>
        <v>50.042299999999997</v>
      </c>
      <c r="S686" s="14">
        <f>CHOOSE(CONTROL!$C$42, 47.6916, 47.6916) * CHOOSE(CONTROL!$C$21, $C$9, 100%, $E$9)</f>
        <v>47.691600000000001</v>
      </c>
      <c r="T68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56">
        <f>(1000*CHOOSE(CONTROL!$C$42, 695, 695)*CHOOSE(CONTROL!$C$42, 0.5599, 0.5599)*CHOOSE(CONTROL!$C$42, 28, 28))/1000000</f>
        <v>10.895653999999999</v>
      </c>
      <c r="V686" s="56">
        <f>(1000*CHOOSE(CONTROL!$C$42, 500, 500)*CHOOSE(CONTROL!$C$42, 0.275, 0.275)*CHOOSE(CONTROL!$C$42, 28, 28))/1000000</f>
        <v>3.85</v>
      </c>
      <c r="W686" s="56">
        <f>(1000*CHOOSE(CONTROL!$C$42, 0.1146, 0.1146)*CHOOSE(CONTROL!$C$42, 121.5, 121.5)*CHOOSE(CONTROL!$C$42, 28, 28))/1000000</f>
        <v>0.38986920000000003</v>
      </c>
      <c r="X686" s="56">
        <f>(28*0.1790888*100000/1000000)+(28*0.2374*100000/1000000)</f>
        <v>1.16616864</v>
      </c>
      <c r="Y686" s="56"/>
      <c r="Z686" s="14"/>
      <c r="AA686" s="55"/>
      <c r="AB686" s="49">
        <f>(B686*122.58+C686*297.941+D686*89.177+E686*40.302+F686*40+G686*160+H686*0+I686*100+J686*300)/(122.58+297.941+89.177+40.302+0+40+160+100+300)</f>
        <v>49.680220672000004</v>
      </c>
      <c r="AC686" s="44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48.713196402877706</v>
      </c>
    </row>
    <row r="687" spans="1:29" ht="15.75" x14ac:dyDescent="0.25">
      <c r="A687" s="31">
        <v>61818</v>
      </c>
      <c r="B687" s="14">
        <f>CHOOSE(CONTROL!$C$42, 48.232, 48.232) * CHOOSE(CONTROL!$C$21, $C$9, 100%, $E$9)</f>
        <v>48.231999999999999</v>
      </c>
      <c r="C687" s="14">
        <f>CHOOSE(CONTROL!$C$42, 48.2371, 48.2371) * CHOOSE(CONTROL!$C$21, $C$9, 100%, $E$9)</f>
        <v>48.237099999999998</v>
      </c>
      <c r="D687" s="14">
        <f>CHOOSE(CONTROL!$C$42, 48.3165, 48.3165) * CHOOSE(CONTROL!$C$21, $C$9, 100%, $E$9)</f>
        <v>48.316499999999998</v>
      </c>
      <c r="E687" s="14">
        <f>CHOOSE(CONTROL!$C$42, 48.3506, 48.3506) * CHOOSE(CONTROL!$C$21, $C$9, 100%, $E$9)</f>
        <v>48.3506</v>
      </c>
      <c r="F687" s="14">
        <f>CHOOSE(CONTROL!$C$42, 48.2541, 48.2541)*CHOOSE(CONTROL!$C$21, $C$9, 100%, $E$9)</f>
        <v>48.254100000000001</v>
      </c>
      <c r="G687" s="14">
        <f>CHOOSE(CONTROL!$C$42, 48.2713, 48.2713)*CHOOSE(CONTROL!$C$21, $C$9, 100%, $E$9)</f>
        <v>48.271299999999997</v>
      </c>
      <c r="H687" s="14">
        <f>CHOOSE(CONTROL!$C$42, 48.3398, 48.3398) * CHOOSE(CONTROL!$C$21, $C$9, 100%, $E$9)</f>
        <v>48.339799999999997</v>
      </c>
      <c r="I687" s="14">
        <f>CHOOSE(CONTROL!$C$42, 48.4184, 48.4184)* CHOOSE(CONTROL!$C$21, $C$9, 100%, $E$9)</f>
        <v>48.418399999999998</v>
      </c>
      <c r="J687" s="14">
        <f>CHOOSE(CONTROL!$C$42, 48.2471, 48.2471)* CHOOSE(CONTROL!$C$21, $C$9, 100%, $E$9)</f>
        <v>48.247100000000003</v>
      </c>
      <c r="K687" s="52">
        <f>CHOOSE(CONTROL!$C$42, 48.4145, 48.4145) * CHOOSE(CONTROL!$C$21, $C$9, 100%, $E$9)</f>
        <v>48.414499999999997</v>
      </c>
      <c r="L687" s="14">
        <f>CHOOSE(CONTROL!$C$42, 48.9268, 48.9268) * CHOOSE(CONTROL!$C$21, $C$9, 100%, $E$9)</f>
        <v>48.9268</v>
      </c>
      <c r="M687" s="14">
        <f>CHOOSE(CONTROL!$C$42, 47.2662, 47.2662) * CHOOSE(CONTROL!$C$21, $C$9, 100%, $E$9)</f>
        <v>47.266199999999998</v>
      </c>
      <c r="N687" s="14">
        <f>CHOOSE(CONTROL!$C$42, 47.2831, 47.2831) * CHOOSE(CONTROL!$C$21, $C$9, 100%, $E$9)</f>
        <v>47.283099999999997</v>
      </c>
      <c r="O687" s="14">
        <f>CHOOSE(CONTROL!$C$42, 47.357, 47.357) * CHOOSE(CONTROL!$C$21, $C$9, 100%, $E$9)</f>
        <v>47.356999999999999</v>
      </c>
      <c r="P687" s="14">
        <f>CHOOSE(CONTROL!$C$42, 47.431, 47.431) * CHOOSE(CONTROL!$C$21, $C$9, 100%, $E$9)</f>
        <v>47.430999999999997</v>
      </c>
      <c r="Q687" s="14">
        <f>CHOOSE(CONTROL!$C$42, 47.9517, 47.9517) * CHOOSE(CONTROL!$C$21, $C$9, 100%, $E$9)</f>
        <v>47.951700000000002</v>
      </c>
      <c r="R687" s="14">
        <f>CHOOSE(CONTROL!$C$42, 48.6586, 48.6586) * CHOOSE(CONTROL!$C$21, $C$9, 100%, $E$9)</f>
        <v>48.6586</v>
      </c>
      <c r="S687" s="14">
        <f>CHOOSE(CONTROL!$C$42, 46.3376, 46.3376) * CHOOSE(CONTROL!$C$21, $C$9, 100%, $E$9)</f>
        <v>46.337600000000002</v>
      </c>
      <c r="T68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56">
        <f>(1000*CHOOSE(CONTROL!$C$42, 695, 695)*CHOOSE(CONTROL!$C$42, 0.5599, 0.5599)*CHOOSE(CONTROL!$C$42, 31, 31))/1000000</f>
        <v>12.063045499999998</v>
      </c>
      <c r="V687" s="56">
        <f>(1000*CHOOSE(CONTROL!$C$42, 500, 500)*CHOOSE(CONTROL!$C$42, 0.275, 0.275)*CHOOSE(CONTROL!$C$42, 31, 31))/1000000</f>
        <v>4.2625000000000002</v>
      </c>
      <c r="W687" s="56">
        <f>(1000*CHOOSE(CONTROL!$C$42, 0.1146, 0.1146)*CHOOSE(CONTROL!$C$42, 121.5, 121.5)*CHOOSE(CONTROL!$C$42, 31, 31))/1000000</f>
        <v>0.43164089999999994</v>
      </c>
      <c r="X687" s="56">
        <f>(31*0.1790888*100000/1000000)+(31*0.2374*100000/1000000)</f>
        <v>1.2911152800000001</v>
      </c>
      <c r="Y687" s="56"/>
      <c r="Z687" s="14"/>
      <c r="AA687" s="55"/>
      <c r="AB687" s="49">
        <f>(B687*122.58+C687*297.941+D687*89.177+E687*40.302+F687*40+G687*160+H687*0+I687*100+J687*300)/(122.58+297.941+89.177+40.302+0+40+160+100+300)</f>
        <v>48.270414585043476</v>
      </c>
      <c r="AC687" s="44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47.33203884892086</v>
      </c>
    </row>
    <row r="688" spans="1:29" ht="15.75" x14ac:dyDescent="0.25">
      <c r="A688" s="31">
        <v>61848</v>
      </c>
      <c r="B688" s="14">
        <f>CHOOSE(CONTROL!$C$42, 48.0886, 48.0886) * CHOOSE(CONTROL!$C$21, $C$9, 100%, $E$9)</f>
        <v>48.0886</v>
      </c>
      <c r="C688" s="14">
        <f>CHOOSE(CONTROL!$C$42, 48.0931, 48.0931) * CHOOSE(CONTROL!$C$21, $C$9, 100%, $E$9)</f>
        <v>48.0931</v>
      </c>
      <c r="D688" s="14">
        <f>CHOOSE(CONTROL!$C$42, 48.3221, 48.3221) * CHOOSE(CONTROL!$C$21, $C$9, 100%, $E$9)</f>
        <v>48.322099999999999</v>
      </c>
      <c r="E688" s="14">
        <f>CHOOSE(CONTROL!$C$42, 48.3542, 48.3542) * CHOOSE(CONTROL!$C$21, $C$9, 100%, $E$9)</f>
        <v>48.354199999999999</v>
      </c>
      <c r="F688" s="14">
        <f>CHOOSE(CONTROL!$C$42, 48.1156, 48.1156)*CHOOSE(CONTROL!$C$21, $C$9, 100%, $E$9)</f>
        <v>48.115600000000001</v>
      </c>
      <c r="G688" s="14">
        <f>CHOOSE(CONTROL!$C$42, 48.1324, 48.1324)*CHOOSE(CONTROL!$C$21, $C$9, 100%, $E$9)</f>
        <v>48.132399999999997</v>
      </c>
      <c r="H688" s="14">
        <f>CHOOSE(CONTROL!$C$42, 48.3439, 48.3439) * CHOOSE(CONTROL!$C$21, $C$9, 100%, $E$9)</f>
        <v>48.343899999999998</v>
      </c>
      <c r="I688" s="14">
        <f>CHOOSE(CONTROL!$C$42, 48.2722, 48.2722)* CHOOSE(CONTROL!$C$21, $C$9, 100%, $E$9)</f>
        <v>48.272199999999998</v>
      </c>
      <c r="J688" s="14">
        <f>CHOOSE(CONTROL!$C$42, 48.1086, 48.1086)* CHOOSE(CONTROL!$C$21, $C$9, 100%, $E$9)</f>
        <v>48.108600000000003</v>
      </c>
      <c r="K688" s="52">
        <f>CHOOSE(CONTROL!$C$42, 48.2683, 48.2683) * CHOOSE(CONTROL!$C$21, $C$9, 100%, $E$9)</f>
        <v>48.268300000000004</v>
      </c>
      <c r="L688" s="14">
        <f>CHOOSE(CONTROL!$C$42, 48.9309, 48.9309) * CHOOSE(CONTROL!$C$21, $C$9, 100%, $E$9)</f>
        <v>48.930900000000001</v>
      </c>
      <c r="M688" s="14">
        <f>CHOOSE(CONTROL!$C$42, 47.1306, 47.1306) * CHOOSE(CONTROL!$C$21, $C$9, 100%, $E$9)</f>
        <v>47.130600000000001</v>
      </c>
      <c r="N688" s="14">
        <f>CHOOSE(CONTROL!$C$42, 47.147, 47.147) * CHOOSE(CONTROL!$C$21, $C$9, 100%, $E$9)</f>
        <v>47.146999999999998</v>
      </c>
      <c r="O688" s="14">
        <f>CHOOSE(CONTROL!$C$42, 47.3611, 47.3611) * CHOOSE(CONTROL!$C$21, $C$9, 100%, $E$9)</f>
        <v>47.3611</v>
      </c>
      <c r="P688" s="14">
        <f>CHOOSE(CONTROL!$C$42, 47.2879, 47.2879) * CHOOSE(CONTROL!$C$21, $C$9, 100%, $E$9)</f>
        <v>47.2879</v>
      </c>
      <c r="Q688" s="14">
        <f>CHOOSE(CONTROL!$C$42, 47.9558, 47.9558) * CHOOSE(CONTROL!$C$21, $C$9, 100%, $E$9)</f>
        <v>47.955800000000004</v>
      </c>
      <c r="R688" s="14">
        <f>CHOOSE(CONTROL!$C$42, 48.6627, 48.6627) * CHOOSE(CONTROL!$C$21, $C$9, 100%, $E$9)</f>
        <v>48.662700000000001</v>
      </c>
      <c r="S688" s="14">
        <f>CHOOSE(CONTROL!$C$42, 46.1991, 46.1991) * CHOOSE(CONTROL!$C$21, $C$9, 100%, $E$9)</f>
        <v>46.199100000000001</v>
      </c>
      <c r="T68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56">
        <f>(1000*CHOOSE(CONTROL!$C$42, 695, 695)*CHOOSE(CONTROL!$C$42, 0.5599, 0.5599)*CHOOSE(CONTROL!$C$42, 30, 30))/1000000</f>
        <v>11.673914999999997</v>
      </c>
      <c r="V688" s="56">
        <f>(1000*CHOOSE(CONTROL!$C$42, 500, 500)*CHOOSE(CONTROL!$C$42, 0.275, 0.275)*CHOOSE(CONTROL!$C$42, 30, 30))/1000000</f>
        <v>4.125</v>
      </c>
      <c r="W688" s="56">
        <f>(1000*CHOOSE(CONTROL!$C$42, 0.1146, 0.1146)*CHOOSE(CONTROL!$C$42, 121.5, 121.5)*CHOOSE(CONTROL!$C$42, 30, 30))/1000000</f>
        <v>0.417717</v>
      </c>
      <c r="X688" s="56">
        <f>(30*0.1790888*245000/1000000)+(30*0.2374*100000/1000000)</f>
        <v>2.0285026799999999</v>
      </c>
      <c r="Y688" s="56"/>
      <c r="Z688" s="14"/>
      <c r="AA688" s="55"/>
      <c r="AB688" s="49">
        <f>(B688*141.293+C688*267.993+D688*115.016+E688*89.698+F688*40+G688*185+H688*0+I688*100+J688*300)/(141.293+267.993+115.016+89.698+0+40+185+100+300)</f>
        <v>48.15754995423729</v>
      </c>
      <c r="AC688" s="44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47.258648201438845</v>
      </c>
    </row>
    <row r="689" spans="1:29" ht="15.75" x14ac:dyDescent="0.25">
      <c r="A689" s="31">
        <v>61879</v>
      </c>
      <c r="B689" s="14">
        <f>CHOOSE(CONTROL!$C$42, 48.5144, 48.5144) * CHOOSE(CONTROL!$C$21, $C$9, 100%, $E$9)</f>
        <v>48.514400000000002</v>
      </c>
      <c r="C689" s="14">
        <f>CHOOSE(CONTROL!$C$42, 48.5224, 48.5224) * CHOOSE(CONTROL!$C$21, $C$9, 100%, $E$9)</f>
        <v>48.522399999999998</v>
      </c>
      <c r="D689" s="14">
        <f>CHOOSE(CONTROL!$C$42, 48.7482, 48.7482) * CHOOSE(CONTROL!$C$21, $C$9, 100%, $E$9)</f>
        <v>48.748199999999997</v>
      </c>
      <c r="E689" s="14">
        <f>CHOOSE(CONTROL!$C$42, 48.7797, 48.7797) * CHOOSE(CONTROL!$C$21, $C$9, 100%, $E$9)</f>
        <v>48.779699999999998</v>
      </c>
      <c r="F689" s="14">
        <f>CHOOSE(CONTROL!$C$42, 48.54, 48.54)*CHOOSE(CONTROL!$C$21, $C$9, 100%, $E$9)</f>
        <v>48.54</v>
      </c>
      <c r="G689" s="14">
        <f>CHOOSE(CONTROL!$C$42, 48.557, 48.557)*CHOOSE(CONTROL!$C$21, $C$9, 100%, $E$9)</f>
        <v>48.557000000000002</v>
      </c>
      <c r="H689" s="14">
        <f>CHOOSE(CONTROL!$C$42, 48.7683, 48.7683) * CHOOSE(CONTROL!$C$21, $C$9, 100%, $E$9)</f>
        <v>48.768300000000004</v>
      </c>
      <c r="I689" s="14">
        <f>CHOOSE(CONTROL!$C$42, 48.6979, 48.6979)* CHOOSE(CONTROL!$C$21, $C$9, 100%, $E$9)</f>
        <v>48.697899999999997</v>
      </c>
      <c r="J689" s="14">
        <f>CHOOSE(CONTROL!$C$42, 48.533, 48.533)* CHOOSE(CONTROL!$C$21, $C$9, 100%, $E$9)</f>
        <v>48.533000000000001</v>
      </c>
      <c r="K689" s="52">
        <f>CHOOSE(CONTROL!$C$42, 48.694, 48.694) * CHOOSE(CONTROL!$C$21, $C$9, 100%, $E$9)</f>
        <v>48.694000000000003</v>
      </c>
      <c r="L689" s="14">
        <f>CHOOSE(CONTROL!$C$42, 49.3553, 49.3553) * CHOOSE(CONTROL!$C$21, $C$9, 100%, $E$9)</f>
        <v>49.3553</v>
      </c>
      <c r="M689" s="14">
        <f>CHOOSE(CONTROL!$C$42, 47.5463, 47.5463) * CHOOSE(CONTROL!$C$21, $C$9, 100%, $E$9)</f>
        <v>47.546300000000002</v>
      </c>
      <c r="N689" s="14">
        <f>CHOOSE(CONTROL!$C$42, 47.5629, 47.5629) * CHOOSE(CONTROL!$C$21, $C$9, 100%, $E$9)</f>
        <v>47.562899999999999</v>
      </c>
      <c r="O689" s="14">
        <f>CHOOSE(CONTROL!$C$42, 47.7768, 47.7768) * CHOOSE(CONTROL!$C$21, $C$9, 100%, $E$9)</f>
        <v>47.776800000000001</v>
      </c>
      <c r="P689" s="14">
        <f>CHOOSE(CONTROL!$C$42, 47.7048, 47.7048) * CHOOSE(CONTROL!$C$21, $C$9, 100%, $E$9)</f>
        <v>47.704799999999999</v>
      </c>
      <c r="Q689" s="14">
        <f>CHOOSE(CONTROL!$C$42, 48.3715, 48.3715) * CHOOSE(CONTROL!$C$21, $C$9, 100%, $E$9)</f>
        <v>48.371499999999997</v>
      </c>
      <c r="R689" s="14">
        <f>CHOOSE(CONTROL!$C$42, 49.0794, 49.0794) * CHOOSE(CONTROL!$C$21, $C$9, 100%, $E$9)</f>
        <v>49.0794</v>
      </c>
      <c r="S689" s="14">
        <f>CHOOSE(CONTROL!$C$42, 46.6068, 46.6068) * CHOOSE(CONTROL!$C$21, $C$9, 100%, $E$9)</f>
        <v>46.6068</v>
      </c>
      <c r="T68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56">
        <f>(1000*CHOOSE(CONTROL!$C$42, 695, 695)*CHOOSE(CONTROL!$C$42, 0.5599, 0.5599)*CHOOSE(CONTROL!$C$42, 31, 31))/1000000</f>
        <v>12.063045499999998</v>
      </c>
      <c r="V689" s="56">
        <f>(1000*CHOOSE(CONTROL!$C$42, 500, 500)*CHOOSE(CONTROL!$C$42, 0.275, 0.275)*CHOOSE(CONTROL!$C$42, 31, 31))/1000000</f>
        <v>4.2625000000000002</v>
      </c>
      <c r="W689" s="56">
        <f>(1000*CHOOSE(CONTROL!$C$42, 0.1146, 0.1146)*CHOOSE(CONTROL!$C$42, 121.5, 121.5)*CHOOSE(CONTROL!$C$42, 31, 31))/1000000</f>
        <v>0.43164089999999994</v>
      </c>
      <c r="X689" s="56">
        <f>(31*0.1790888*245000/1000000)+(31*0.2374*100000/1000000)</f>
        <v>2.0961194359999999</v>
      </c>
      <c r="Y689" s="56"/>
      <c r="Z689" s="14"/>
      <c r="AA689" s="55"/>
      <c r="AB689" s="49">
        <f>(B689*194.205+C689*267.466+D689*133.845+E689*53.484+F689*40+G689*185+H689*0+I689*100+J689*300)/(194.205+267.466+133.845+53.484+0+40+185+100+300)</f>
        <v>48.577553056671903</v>
      </c>
      <c r="AC689" s="44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47.674532374100721</v>
      </c>
    </row>
    <row r="690" spans="1:29" ht="15.75" x14ac:dyDescent="0.25">
      <c r="A690" s="31">
        <v>61909</v>
      </c>
      <c r="B690" s="14">
        <f>CHOOSE(CONTROL!$C$42, 49.8902, 49.8902) * CHOOSE(CONTROL!$C$21, $C$9, 100%, $E$9)</f>
        <v>49.8902</v>
      </c>
      <c r="C690" s="14">
        <f>CHOOSE(CONTROL!$C$42, 49.8982, 49.8982) * CHOOSE(CONTROL!$C$21, $C$9, 100%, $E$9)</f>
        <v>49.898200000000003</v>
      </c>
      <c r="D690" s="14">
        <f>CHOOSE(CONTROL!$C$42, 50.124, 50.124) * CHOOSE(CONTROL!$C$21, $C$9, 100%, $E$9)</f>
        <v>50.124000000000002</v>
      </c>
      <c r="E690" s="14">
        <f>CHOOSE(CONTROL!$C$42, 50.1555, 50.1555) * CHOOSE(CONTROL!$C$21, $C$9, 100%, $E$9)</f>
        <v>50.155500000000004</v>
      </c>
      <c r="F690" s="14">
        <f>CHOOSE(CONTROL!$C$42, 49.9163, 49.9163)*CHOOSE(CONTROL!$C$21, $C$9, 100%, $E$9)</f>
        <v>49.9163</v>
      </c>
      <c r="G690" s="14">
        <f>CHOOSE(CONTROL!$C$42, 49.9334, 49.9334)*CHOOSE(CONTROL!$C$21, $C$9, 100%, $E$9)</f>
        <v>49.933399999999999</v>
      </c>
      <c r="H690" s="14">
        <f>CHOOSE(CONTROL!$C$42, 50.1441, 50.1441) * CHOOSE(CONTROL!$C$21, $C$9, 100%, $E$9)</f>
        <v>50.144100000000002</v>
      </c>
      <c r="I690" s="14">
        <f>CHOOSE(CONTROL!$C$42, 50.078, 50.078)* CHOOSE(CONTROL!$C$21, $C$9, 100%, $E$9)</f>
        <v>50.078000000000003</v>
      </c>
      <c r="J690" s="14">
        <f>CHOOSE(CONTROL!$C$42, 49.9093, 49.9093)* CHOOSE(CONTROL!$C$21, $C$9, 100%, $E$9)</f>
        <v>49.909300000000002</v>
      </c>
      <c r="K690" s="52">
        <f>CHOOSE(CONTROL!$C$42, 50.0741, 50.0741) * CHOOSE(CONTROL!$C$21, $C$9, 100%, $E$9)</f>
        <v>50.074100000000001</v>
      </c>
      <c r="L690" s="14">
        <f>CHOOSE(CONTROL!$C$42, 50.7311, 50.7311) * CHOOSE(CONTROL!$C$21, $C$9, 100%, $E$9)</f>
        <v>50.731099999999998</v>
      </c>
      <c r="M690" s="14">
        <f>CHOOSE(CONTROL!$C$42, 48.8944, 48.8944) * CHOOSE(CONTROL!$C$21, $C$9, 100%, $E$9)</f>
        <v>48.894399999999997</v>
      </c>
      <c r="N690" s="14">
        <f>CHOOSE(CONTROL!$C$42, 48.9111, 48.9111) * CHOOSE(CONTROL!$C$21, $C$9, 100%, $E$9)</f>
        <v>48.911099999999998</v>
      </c>
      <c r="O690" s="14">
        <f>CHOOSE(CONTROL!$C$42, 49.1244, 49.1244) * CHOOSE(CONTROL!$C$21, $C$9, 100%, $E$9)</f>
        <v>49.124400000000001</v>
      </c>
      <c r="P690" s="14">
        <f>CHOOSE(CONTROL!$C$42, 49.0566, 49.0566) * CHOOSE(CONTROL!$C$21, $C$9, 100%, $E$9)</f>
        <v>49.056600000000003</v>
      </c>
      <c r="Q690" s="14">
        <f>CHOOSE(CONTROL!$C$42, 49.7191, 49.7191) * CHOOSE(CONTROL!$C$21, $C$9, 100%, $E$9)</f>
        <v>49.719099999999997</v>
      </c>
      <c r="R690" s="14">
        <f>CHOOSE(CONTROL!$C$42, 50.4304, 50.4304) * CHOOSE(CONTROL!$C$21, $C$9, 100%, $E$9)</f>
        <v>50.430399999999999</v>
      </c>
      <c r="S690" s="14">
        <f>CHOOSE(CONTROL!$C$42, 47.9289, 47.9289) * CHOOSE(CONTROL!$C$21, $C$9, 100%, $E$9)</f>
        <v>47.928899999999999</v>
      </c>
      <c r="T69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56">
        <f>(1000*CHOOSE(CONTROL!$C$42, 695, 695)*CHOOSE(CONTROL!$C$42, 0.5599, 0.5599)*CHOOSE(CONTROL!$C$42, 30, 30))/1000000</f>
        <v>11.673914999999997</v>
      </c>
      <c r="V690" s="56">
        <f>(1000*CHOOSE(CONTROL!$C$42, 500, 500)*CHOOSE(CONTROL!$C$42, 0.275, 0.275)*CHOOSE(CONTROL!$C$42, 30, 30))/1000000</f>
        <v>4.125</v>
      </c>
      <c r="W690" s="56">
        <f>(1000*CHOOSE(CONTROL!$C$42, 0.1146, 0.1146)*CHOOSE(CONTROL!$C$42, 121.5, 121.5)*CHOOSE(CONTROL!$C$42, 30, 30))/1000000</f>
        <v>0.417717</v>
      </c>
      <c r="X690" s="56">
        <f>(30*0.1790888*245000/1000000)+(30*0.2374*100000/1000000)</f>
        <v>2.0285026799999999</v>
      </c>
      <c r="Y690" s="56"/>
      <c r="Z690" s="14"/>
      <c r="AA690" s="55"/>
      <c r="AB690" s="49">
        <f>(B690*194.205+C690*267.466+D690*133.845+E690*53.484+F690*40+G690*185+H690*0+I690*100+J690*300)/(194.205+267.466+133.845+53.484+0+40+185+100+300)</f>
        <v>49.953911141444273</v>
      </c>
      <c r="AC690" s="44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49.022943884892079</v>
      </c>
    </row>
    <row r="691" spans="1:29" ht="15.75" x14ac:dyDescent="0.25">
      <c r="A691" s="31">
        <v>61940</v>
      </c>
      <c r="B691" s="14">
        <f>CHOOSE(CONTROL!$C$42, 48.9333, 48.9333) * CHOOSE(CONTROL!$C$21, $C$9, 100%, $E$9)</f>
        <v>48.933300000000003</v>
      </c>
      <c r="C691" s="14">
        <f>CHOOSE(CONTROL!$C$42, 48.9413, 48.9413) * CHOOSE(CONTROL!$C$21, $C$9, 100%, $E$9)</f>
        <v>48.941299999999998</v>
      </c>
      <c r="D691" s="14">
        <f>CHOOSE(CONTROL!$C$42, 49.1671, 49.1671) * CHOOSE(CONTROL!$C$21, $C$9, 100%, $E$9)</f>
        <v>49.167099999999998</v>
      </c>
      <c r="E691" s="14">
        <f>CHOOSE(CONTROL!$C$42, 49.1986, 49.1986) * CHOOSE(CONTROL!$C$21, $C$9, 100%, $E$9)</f>
        <v>49.198599999999999</v>
      </c>
      <c r="F691" s="14">
        <f>CHOOSE(CONTROL!$C$42, 48.9599, 48.9599)*CHOOSE(CONTROL!$C$21, $C$9, 100%, $E$9)</f>
        <v>48.959899999999998</v>
      </c>
      <c r="G691" s="14">
        <f>CHOOSE(CONTROL!$C$42, 48.9771, 48.9771)*CHOOSE(CONTROL!$C$21, $C$9, 100%, $E$9)</f>
        <v>48.9771</v>
      </c>
      <c r="H691" s="14">
        <f>CHOOSE(CONTROL!$C$42, 49.1872, 49.1872) * CHOOSE(CONTROL!$C$21, $C$9, 100%, $E$9)</f>
        <v>49.187199999999997</v>
      </c>
      <c r="I691" s="14">
        <f>CHOOSE(CONTROL!$C$42, 49.1181, 49.1181)* CHOOSE(CONTROL!$C$21, $C$9, 100%, $E$9)</f>
        <v>49.118099999999998</v>
      </c>
      <c r="J691" s="14">
        <f>CHOOSE(CONTROL!$C$42, 48.9529, 48.9529)* CHOOSE(CONTROL!$C$21, $C$9, 100%, $E$9)</f>
        <v>48.9529</v>
      </c>
      <c r="K691" s="52">
        <f>CHOOSE(CONTROL!$C$42, 49.1142, 49.1142) * CHOOSE(CONTROL!$C$21, $C$9, 100%, $E$9)</f>
        <v>49.114199999999997</v>
      </c>
      <c r="L691" s="14">
        <f>CHOOSE(CONTROL!$C$42, 49.7742, 49.7742) * CHOOSE(CONTROL!$C$21, $C$9, 100%, $E$9)</f>
        <v>49.7742</v>
      </c>
      <c r="M691" s="14">
        <f>CHOOSE(CONTROL!$C$42, 47.9576, 47.9576) * CHOOSE(CONTROL!$C$21, $C$9, 100%, $E$9)</f>
        <v>47.957599999999999</v>
      </c>
      <c r="N691" s="14">
        <f>CHOOSE(CONTROL!$C$42, 47.9744, 47.9744) * CHOOSE(CONTROL!$C$21, $C$9, 100%, $E$9)</f>
        <v>47.974400000000003</v>
      </c>
      <c r="O691" s="14">
        <f>CHOOSE(CONTROL!$C$42, 48.1871, 48.1871) * CHOOSE(CONTROL!$C$21, $C$9, 100%, $E$9)</f>
        <v>48.187100000000001</v>
      </c>
      <c r="P691" s="14">
        <f>CHOOSE(CONTROL!$C$42, 48.1164, 48.1164) * CHOOSE(CONTROL!$C$21, $C$9, 100%, $E$9)</f>
        <v>48.116399999999999</v>
      </c>
      <c r="Q691" s="14">
        <f>CHOOSE(CONTROL!$C$42, 48.7818, 48.7818) * CHOOSE(CONTROL!$C$21, $C$9, 100%, $E$9)</f>
        <v>48.781799999999997</v>
      </c>
      <c r="R691" s="14">
        <f>CHOOSE(CONTROL!$C$42, 49.4908, 49.4908) * CHOOSE(CONTROL!$C$21, $C$9, 100%, $E$9)</f>
        <v>49.4908</v>
      </c>
      <c r="S691" s="14">
        <f>CHOOSE(CONTROL!$C$42, 47.0094, 47.0094) * CHOOSE(CONTROL!$C$21, $C$9, 100%, $E$9)</f>
        <v>47.009399999999999</v>
      </c>
      <c r="T69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56">
        <f>(1000*CHOOSE(CONTROL!$C$42, 695, 695)*CHOOSE(CONTROL!$C$42, 0.5599, 0.5599)*CHOOSE(CONTROL!$C$42, 31, 31))/1000000</f>
        <v>12.063045499999998</v>
      </c>
      <c r="V691" s="56">
        <f>(1000*CHOOSE(CONTROL!$C$42, 500, 500)*CHOOSE(CONTROL!$C$42, 0.275, 0.275)*CHOOSE(CONTROL!$C$42, 31, 31))/1000000</f>
        <v>4.2625000000000002</v>
      </c>
      <c r="W691" s="56">
        <f>(1000*CHOOSE(CONTROL!$C$42, 0.1146, 0.1146)*CHOOSE(CONTROL!$C$42, 121.5, 121.5)*CHOOSE(CONTROL!$C$42, 31, 31))/1000000</f>
        <v>0.43164089999999994</v>
      </c>
      <c r="X691" s="56">
        <f>(31*0.1790888*245000/1000000)+(31*0.2374*100000/1000000)</f>
        <v>2.0961194359999999</v>
      </c>
      <c r="Y691" s="56"/>
      <c r="Z691" s="14"/>
      <c r="AA691" s="55"/>
      <c r="AB691" s="49">
        <f>(B691*194.205+C691*267.466+D691*133.845+E691*53.484+F691*40+G691*185+H691*0+I691*100+J691*300)/(194.205+267.466+133.845+53.484+0+40+185+100+300)</f>
        <v>48.996996227786489</v>
      </c>
      <c r="AC691" s="44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48.085433812949638</v>
      </c>
    </row>
    <row r="692" spans="1:29" ht="15.75" x14ac:dyDescent="0.25">
      <c r="A692" s="31">
        <v>61971</v>
      </c>
      <c r="B692" s="14">
        <f>CHOOSE(CONTROL!$C$42, 46.5168, 46.5168) * CHOOSE(CONTROL!$C$21, $C$9, 100%, $E$9)</f>
        <v>46.516800000000003</v>
      </c>
      <c r="C692" s="14">
        <f>CHOOSE(CONTROL!$C$42, 46.5249, 46.5249) * CHOOSE(CONTROL!$C$21, $C$9, 100%, $E$9)</f>
        <v>46.524900000000002</v>
      </c>
      <c r="D692" s="14">
        <f>CHOOSE(CONTROL!$C$42, 46.7506, 46.7506) * CHOOSE(CONTROL!$C$21, $C$9, 100%, $E$9)</f>
        <v>46.750599999999999</v>
      </c>
      <c r="E692" s="14">
        <f>CHOOSE(CONTROL!$C$42, 46.7821, 46.7821) * CHOOSE(CONTROL!$C$21, $C$9, 100%, $E$9)</f>
        <v>46.7821</v>
      </c>
      <c r="F692" s="14">
        <f>CHOOSE(CONTROL!$C$42, 46.5436, 46.5436)*CHOOSE(CONTROL!$C$21, $C$9, 100%, $E$9)</f>
        <v>46.543599999999998</v>
      </c>
      <c r="G692" s="14">
        <f>CHOOSE(CONTROL!$C$42, 46.5609, 46.5609)*CHOOSE(CONTROL!$C$21, $C$9, 100%, $E$9)</f>
        <v>46.560899999999997</v>
      </c>
      <c r="H692" s="14">
        <f>CHOOSE(CONTROL!$C$42, 46.7707, 46.7707) * CHOOSE(CONTROL!$C$21, $C$9, 100%, $E$9)</f>
        <v>46.770699999999998</v>
      </c>
      <c r="I692" s="14">
        <f>CHOOSE(CONTROL!$C$42, 46.694, 46.694)* CHOOSE(CONTROL!$C$21, $C$9, 100%, $E$9)</f>
        <v>46.694000000000003</v>
      </c>
      <c r="J692" s="14">
        <f>CHOOSE(CONTROL!$C$42, 46.5366, 46.5366)* CHOOSE(CONTROL!$C$21, $C$9, 100%, $E$9)</f>
        <v>46.5366</v>
      </c>
      <c r="K692" s="52">
        <f>CHOOSE(CONTROL!$C$42, 46.6902, 46.6902) * CHOOSE(CONTROL!$C$21, $C$9, 100%, $E$9)</f>
        <v>46.690199999999997</v>
      </c>
      <c r="L692" s="14">
        <f>CHOOSE(CONTROL!$C$42, 47.3577, 47.3577) * CHOOSE(CONTROL!$C$21, $C$9, 100%, $E$9)</f>
        <v>47.357700000000001</v>
      </c>
      <c r="M692" s="14">
        <f>CHOOSE(CONTROL!$C$42, 45.5908, 45.5908) * CHOOSE(CONTROL!$C$21, $C$9, 100%, $E$9)</f>
        <v>45.590800000000002</v>
      </c>
      <c r="N692" s="14">
        <f>CHOOSE(CONTROL!$C$42, 45.6077, 45.6077) * CHOOSE(CONTROL!$C$21, $C$9, 100%, $E$9)</f>
        <v>45.607700000000001</v>
      </c>
      <c r="O692" s="14">
        <f>CHOOSE(CONTROL!$C$42, 45.8201, 45.8201) * CHOOSE(CONTROL!$C$21, $C$9, 100%, $E$9)</f>
        <v>45.820099999999996</v>
      </c>
      <c r="P692" s="14">
        <f>CHOOSE(CONTROL!$C$42, 45.7422, 45.7422) * CHOOSE(CONTROL!$C$21, $C$9, 100%, $E$9)</f>
        <v>45.742199999999997</v>
      </c>
      <c r="Q692" s="14">
        <f>CHOOSE(CONTROL!$C$42, 46.4148, 46.4148) * CHOOSE(CONTROL!$C$21, $C$9, 100%, $E$9)</f>
        <v>46.4148</v>
      </c>
      <c r="R692" s="14">
        <f>CHOOSE(CONTROL!$C$42, 47.1179, 47.1179) * CHOOSE(CONTROL!$C$21, $C$9, 100%, $E$9)</f>
        <v>47.117899999999999</v>
      </c>
      <c r="S692" s="14">
        <f>CHOOSE(CONTROL!$C$42, 44.6874, 44.6874) * CHOOSE(CONTROL!$C$21, $C$9, 100%, $E$9)</f>
        <v>44.687399999999997</v>
      </c>
      <c r="T69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56">
        <f>(1000*CHOOSE(CONTROL!$C$42, 695, 695)*CHOOSE(CONTROL!$C$42, 0.5599, 0.5599)*CHOOSE(CONTROL!$C$42, 31, 31))/1000000</f>
        <v>12.063045499999998</v>
      </c>
      <c r="V692" s="56">
        <f>(1000*CHOOSE(CONTROL!$C$42, 500, 500)*CHOOSE(CONTROL!$C$42, 0.275, 0.275)*CHOOSE(CONTROL!$C$42, 31, 31))/1000000</f>
        <v>4.2625000000000002</v>
      </c>
      <c r="W692" s="56">
        <f>(1000*CHOOSE(CONTROL!$C$42, 0.1146, 0.1146)*CHOOSE(CONTROL!$C$42, 121.5, 121.5)*CHOOSE(CONTROL!$C$42, 31, 31))/1000000</f>
        <v>0.43164089999999994</v>
      </c>
      <c r="X692" s="56">
        <f>(31*0.1790888*245000/1000000)+(31*0.2374*100000/1000000)</f>
        <v>2.0961194359999999</v>
      </c>
      <c r="Y692" s="56"/>
      <c r="Z692" s="14"/>
      <c r="AA692" s="55"/>
      <c r="AB692" s="49">
        <f>(B692*194.205+C692*267.466+D692*133.845+E692*53.484+F692*40+G692*185+H692*0+I692*100+J692*300)/(194.205+267.466+133.845+53.484+0+40+185+100+300)</f>
        <v>46.580017614442703</v>
      </c>
      <c r="AC692" s="44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45.717484172661869</v>
      </c>
    </row>
    <row r="693" spans="1:29" ht="15.75" x14ac:dyDescent="0.25">
      <c r="A693" s="31">
        <v>62001</v>
      </c>
      <c r="B693" s="14">
        <f>CHOOSE(CONTROL!$C$42, 43.5641, 43.5641) * CHOOSE(CONTROL!$C$21, $C$9, 100%, $E$9)</f>
        <v>43.564100000000003</v>
      </c>
      <c r="C693" s="14">
        <f>CHOOSE(CONTROL!$C$42, 43.5721, 43.5721) * CHOOSE(CONTROL!$C$21, $C$9, 100%, $E$9)</f>
        <v>43.572099999999999</v>
      </c>
      <c r="D693" s="14">
        <f>CHOOSE(CONTROL!$C$42, 43.7979, 43.7979) * CHOOSE(CONTROL!$C$21, $C$9, 100%, $E$9)</f>
        <v>43.797899999999998</v>
      </c>
      <c r="E693" s="14">
        <f>CHOOSE(CONTROL!$C$42, 43.8294, 43.8294) * CHOOSE(CONTROL!$C$21, $C$9, 100%, $E$9)</f>
        <v>43.8294</v>
      </c>
      <c r="F693" s="14">
        <f>CHOOSE(CONTROL!$C$42, 43.5909, 43.5909)*CHOOSE(CONTROL!$C$21, $C$9, 100%, $E$9)</f>
        <v>43.590899999999998</v>
      </c>
      <c r="G693" s="14">
        <f>CHOOSE(CONTROL!$C$42, 43.6082, 43.6082)*CHOOSE(CONTROL!$C$21, $C$9, 100%, $E$9)</f>
        <v>43.608199999999997</v>
      </c>
      <c r="H693" s="14">
        <f>CHOOSE(CONTROL!$C$42, 43.818, 43.818) * CHOOSE(CONTROL!$C$21, $C$9, 100%, $E$9)</f>
        <v>43.817999999999998</v>
      </c>
      <c r="I693" s="14">
        <f>CHOOSE(CONTROL!$C$42, 43.7321, 43.7321)* CHOOSE(CONTROL!$C$21, $C$9, 100%, $E$9)</f>
        <v>43.732100000000003</v>
      </c>
      <c r="J693" s="14">
        <f>CHOOSE(CONTROL!$C$42, 43.5839, 43.5839)* CHOOSE(CONTROL!$C$21, $C$9, 100%, $E$9)</f>
        <v>43.5839</v>
      </c>
      <c r="K693" s="52">
        <f>CHOOSE(CONTROL!$C$42, 43.7282, 43.7282) * CHOOSE(CONTROL!$C$21, $C$9, 100%, $E$9)</f>
        <v>43.728200000000001</v>
      </c>
      <c r="L693" s="14">
        <f>CHOOSE(CONTROL!$C$42, 44.405, 44.405) * CHOOSE(CONTROL!$C$21, $C$9, 100%, $E$9)</f>
        <v>44.405000000000001</v>
      </c>
      <c r="M693" s="14">
        <f>CHOOSE(CONTROL!$C$42, 42.6986, 42.6986) * CHOOSE(CONTROL!$C$21, $C$9, 100%, $E$9)</f>
        <v>42.698599999999999</v>
      </c>
      <c r="N693" s="14">
        <f>CHOOSE(CONTROL!$C$42, 42.7155, 42.7155) * CHOOSE(CONTROL!$C$21, $C$9, 100%, $E$9)</f>
        <v>42.715499999999999</v>
      </c>
      <c r="O693" s="14">
        <f>CHOOSE(CONTROL!$C$42, 42.9279, 42.9279) * CHOOSE(CONTROL!$C$21, $C$9, 100%, $E$9)</f>
        <v>42.927900000000001</v>
      </c>
      <c r="P693" s="14">
        <f>CHOOSE(CONTROL!$C$42, 42.8411, 42.8411) * CHOOSE(CONTROL!$C$21, $C$9, 100%, $E$9)</f>
        <v>42.841099999999997</v>
      </c>
      <c r="Q693" s="14">
        <f>CHOOSE(CONTROL!$C$42, 43.5226, 43.5226) * CHOOSE(CONTROL!$C$21, $C$9, 100%, $E$9)</f>
        <v>43.522599999999997</v>
      </c>
      <c r="R693" s="14">
        <f>CHOOSE(CONTROL!$C$42, 44.2184, 44.2184) * CHOOSE(CONTROL!$C$21, $C$9, 100%, $E$9)</f>
        <v>44.218400000000003</v>
      </c>
      <c r="S693" s="14">
        <f>CHOOSE(CONTROL!$C$42, 41.8501, 41.8501) * CHOOSE(CONTROL!$C$21, $C$9, 100%, $E$9)</f>
        <v>41.850099999999998</v>
      </c>
      <c r="T69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56">
        <f>(1000*CHOOSE(CONTROL!$C$42, 695, 695)*CHOOSE(CONTROL!$C$42, 0.5599, 0.5599)*CHOOSE(CONTROL!$C$42, 30, 30))/1000000</f>
        <v>11.673914999999997</v>
      </c>
      <c r="V693" s="56">
        <f>(1000*CHOOSE(CONTROL!$C$42, 500, 500)*CHOOSE(CONTROL!$C$42, 0.275, 0.275)*CHOOSE(CONTROL!$C$42, 30, 30))/1000000</f>
        <v>4.125</v>
      </c>
      <c r="W693" s="56">
        <f>(1000*CHOOSE(CONTROL!$C$42, 0.1146, 0.1146)*CHOOSE(CONTROL!$C$42, 121.5, 121.5)*CHOOSE(CONTROL!$C$42, 30, 30))/1000000</f>
        <v>0.417717</v>
      </c>
      <c r="X693" s="56">
        <f>(30*0.1790888*245000/1000000)+(30*0.2374*100000/1000000)</f>
        <v>2.0285026799999999</v>
      </c>
      <c r="Y693" s="56"/>
      <c r="Z693" s="14"/>
      <c r="AA693" s="55"/>
      <c r="AB693" s="49">
        <f>(B693*194.205+C693*267.466+D693*133.845+E693*53.484+F693*40+G693*185+H693*0+I693*100+J693*300)/(194.205+267.466+133.845+53.484+0+40+185+100+300)</f>
        <v>43.626574485243324</v>
      </c>
      <c r="AC693" s="44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42.824003597122307</v>
      </c>
    </row>
    <row r="694" spans="1:29" ht="15.75" x14ac:dyDescent="0.25">
      <c r="A694" s="31">
        <v>62032</v>
      </c>
      <c r="B694" s="14">
        <f>CHOOSE(CONTROL!$C$42, 42.6781, 42.6781) * CHOOSE(CONTROL!$C$21, $C$9, 100%, $E$9)</f>
        <v>42.678100000000001</v>
      </c>
      <c r="C694" s="14">
        <f>CHOOSE(CONTROL!$C$42, 42.6834, 42.6834) * CHOOSE(CONTROL!$C$21, $C$9, 100%, $E$9)</f>
        <v>42.683399999999999</v>
      </c>
      <c r="D694" s="14">
        <f>CHOOSE(CONTROL!$C$42, 42.9141, 42.9141) * CHOOSE(CONTROL!$C$21, $C$9, 100%, $E$9)</f>
        <v>42.914099999999998</v>
      </c>
      <c r="E694" s="14">
        <f>CHOOSE(CONTROL!$C$42, 42.9433, 42.9433) * CHOOSE(CONTROL!$C$21, $C$9, 100%, $E$9)</f>
        <v>42.943300000000001</v>
      </c>
      <c r="F694" s="14">
        <f>CHOOSE(CONTROL!$C$42, 42.7069, 42.7069)*CHOOSE(CONTROL!$C$21, $C$9, 100%, $E$9)</f>
        <v>42.706899999999997</v>
      </c>
      <c r="G694" s="14">
        <f>CHOOSE(CONTROL!$C$42, 42.724, 42.724)*CHOOSE(CONTROL!$C$21, $C$9, 100%, $E$9)</f>
        <v>42.723999999999997</v>
      </c>
      <c r="H694" s="14">
        <f>CHOOSE(CONTROL!$C$42, 42.9337, 42.9337) * CHOOSE(CONTROL!$C$21, $C$9, 100%, $E$9)</f>
        <v>42.933700000000002</v>
      </c>
      <c r="I694" s="14">
        <f>CHOOSE(CONTROL!$C$42, 42.845, 42.845)* CHOOSE(CONTROL!$C$21, $C$9, 100%, $E$9)</f>
        <v>42.844999999999999</v>
      </c>
      <c r="J694" s="14">
        <f>CHOOSE(CONTROL!$C$42, 42.6999, 42.6999)* CHOOSE(CONTROL!$C$21, $C$9, 100%, $E$9)</f>
        <v>42.6999</v>
      </c>
      <c r="K694" s="52">
        <f>CHOOSE(CONTROL!$C$42, 42.8411, 42.8411) * CHOOSE(CONTROL!$C$21, $C$9, 100%, $E$9)</f>
        <v>42.841099999999997</v>
      </c>
      <c r="L694" s="14">
        <f>CHOOSE(CONTROL!$C$42, 43.5207, 43.5207) * CHOOSE(CONTROL!$C$21, $C$9, 100%, $E$9)</f>
        <v>43.520699999999998</v>
      </c>
      <c r="M694" s="14">
        <f>CHOOSE(CONTROL!$C$42, 41.8327, 41.8327) * CHOOSE(CONTROL!$C$21, $C$9, 100%, $E$9)</f>
        <v>41.832700000000003</v>
      </c>
      <c r="N694" s="14">
        <f>CHOOSE(CONTROL!$C$42, 41.8495, 41.8495) * CHOOSE(CONTROL!$C$21, $C$9, 100%, $E$9)</f>
        <v>41.849499999999999</v>
      </c>
      <c r="O694" s="14">
        <f>CHOOSE(CONTROL!$C$42, 42.0617, 42.0617) * CHOOSE(CONTROL!$C$21, $C$9, 100%, $E$9)</f>
        <v>42.061700000000002</v>
      </c>
      <c r="P694" s="14">
        <f>CHOOSE(CONTROL!$C$42, 41.9722, 41.9722) * CHOOSE(CONTROL!$C$21, $C$9, 100%, $E$9)</f>
        <v>41.972200000000001</v>
      </c>
      <c r="Q694" s="14">
        <f>CHOOSE(CONTROL!$C$42, 42.6564, 42.6564) * CHOOSE(CONTROL!$C$21, $C$9, 100%, $E$9)</f>
        <v>42.656399999999998</v>
      </c>
      <c r="R694" s="14">
        <f>CHOOSE(CONTROL!$C$42, 43.3501, 43.3501) * CHOOSE(CONTROL!$C$21, $C$9, 100%, $E$9)</f>
        <v>43.350099999999998</v>
      </c>
      <c r="S694" s="14">
        <f>CHOOSE(CONTROL!$C$42, 41.0004, 41.0004) * CHOOSE(CONTROL!$C$21, $C$9, 100%, $E$9)</f>
        <v>41.000399999999999</v>
      </c>
      <c r="T69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56">
        <f>(1000*CHOOSE(CONTROL!$C$42, 695, 695)*CHOOSE(CONTROL!$C$42, 0.5599, 0.5599)*CHOOSE(CONTROL!$C$42, 31, 31))/1000000</f>
        <v>12.063045499999998</v>
      </c>
      <c r="V694" s="56">
        <f>(1000*CHOOSE(CONTROL!$C$42, 500, 500)*CHOOSE(CONTROL!$C$42, 0.275, 0.275)*CHOOSE(CONTROL!$C$42, 31, 31))/1000000</f>
        <v>4.2625000000000002</v>
      </c>
      <c r="W694" s="56">
        <f>(1000*CHOOSE(CONTROL!$C$42, 0.1146, 0.1146)*CHOOSE(CONTROL!$C$42, 121.5, 121.5)*CHOOSE(CONTROL!$C$42, 31, 31))/1000000</f>
        <v>0.43164089999999994</v>
      </c>
      <c r="X694" s="56">
        <f>(31*0.1790888*245000/1000000)+(31*0.2374*100000/1000000)</f>
        <v>2.0961194359999999</v>
      </c>
      <c r="Y694" s="56"/>
      <c r="Z694" s="14"/>
      <c r="AA694" s="55"/>
      <c r="AB694" s="49">
        <f>(B694*131.881+C694*277.167+D694*79.08+E694*125.872+F694*40+G694*185+H694*0+I694*100+J694*300)/(131.881+277.167+79.08+125.872+0+40+185+100+300)</f>
        <v>42.747822856739305</v>
      </c>
      <c r="AC694" s="44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41.95753021582734</v>
      </c>
    </row>
    <row r="695" spans="1:29" ht="15.75" x14ac:dyDescent="0.25">
      <c r="A695" s="31">
        <v>62062</v>
      </c>
      <c r="B695" s="14">
        <f>CHOOSE(CONTROL!$C$42, 43.8017, 43.8017) * CHOOSE(CONTROL!$C$21, $C$9, 100%, $E$9)</f>
        <v>43.801699999999997</v>
      </c>
      <c r="C695" s="14">
        <f>CHOOSE(CONTROL!$C$42, 43.8068, 43.8068) * CHOOSE(CONTROL!$C$21, $C$9, 100%, $E$9)</f>
        <v>43.806800000000003</v>
      </c>
      <c r="D695" s="14">
        <f>CHOOSE(CONTROL!$C$42, 43.8758, 43.8758) * CHOOSE(CONTROL!$C$21, $C$9, 100%, $E$9)</f>
        <v>43.875799999999998</v>
      </c>
      <c r="E695" s="14">
        <f>CHOOSE(CONTROL!$C$42, 43.9099, 43.9099) * CHOOSE(CONTROL!$C$21, $C$9, 100%, $E$9)</f>
        <v>43.9099</v>
      </c>
      <c r="F695" s="14">
        <f>CHOOSE(CONTROL!$C$42, 43.8373, 43.8373)*CHOOSE(CONTROL!$C$21, $C$9, 100%, $E$9)</f>
        <v>43.837299999999999</v>
      </c>
      <c r="G695" s="14">
        <f>CHOOSE(CONTROL!$C$42, 43.8547, 43.8547)*CHOOSE(CONTROL!$C$21, $C$9, 100%, $E$9)</f>
        <v>43.854700000000001</v>
      </c>
      <c r="H695" s="14">
        <f>CHOOSE(CONTROL!$C$42, 43.8991, 43.8991) * CHOOSE(CONTROL!$C$21, $C$9, 100%, $E$9)</f>
        <v>43.899099999999997</v>
      </c>
      <c r="I695" s="14">
        <f>CHOOSE(CONTROL!$C$42, 43.9752, 43.9752)* CHOOSE(CONTROL!$C$21, $C$9, 100%, $E$9)</f>
        <v>43.975200000000001</v>
      </c>
      <c r="J695" s="14">
        <f>CHOOSE(CONTROL!$C$42, 43.8303, 43.8303)* CHOOSE(CONTROL!$C$21, $C$9, 100%, $E$9)</f>
        <v>43.830300000000001</v>
      </c>
      <c r="K695" s="52">
        <f>CHOOSE(CONTROL!$C$42, 43.9713, 43.9713) * CHOOSE(CONTROL!$C$21, $C$9, 100%, $E$9)</f>
        <v>43.971299999999999</v>
      </c>
      <c r="L695" s="14">
        <f>CHOOSE(CONTROL!$C$42, 44.4861, 44.4861) * CHOOSE(CONTROL!$C$21, $C$9, 100%, $E$9)</f>
        <v>44.4861</v>
      </c>
      <c r="M695" s="14">
        <f>CHOOSE(CONTROL!$C$42, 42.9399, 42.9399) * CHOOSE(CONTROL!$C$21, $C$9, 100%, $E$9)</f>
        <v>42.939900000000002</v>
      </c>
      <c r="N695" s="14">
        <f>CHOOSE(CONTROL!$C$42, 42.957, 42.957) * CHOOSE(CONTROL!$C$21, $C$9, 100%, $E$9)</f>
        <v>42.957000000000001</v>
      </c>
      <c r="O695" s="14">
        <f>CHOOSE(CONTROL!$C$42, 43.0073, 43.0073) * CHOOSE(CONTROL!$C$21, $C$9, 100%, $E$9)</f>
        <v>43.007300000000001</v>
      </c>
      <c r="P695" s="14">
        <f>CHOOSE(CONTROL!$C$42, 43.0792, 43.0792) * CHOOSE(CONTROL!$C$21, $C$9, 100%, $E$9)</f>
        <v>43.0792</v>
      </c>
      <c r="Q695" s="14">
        <f>CHOOSE(CONTROL!$C$42, 43.602, 43.602) * CHOOSE(CONTROL!$C$21, $C$9, 100%, $E$9)</f>
        <v>43.601999999999997</v>
      </c>
      <c r="R695" s="14">
        <f>CHOOSE(CONTROL!$C$42, 44.298, 44.298) * CHOOSE(CONTROL!$C$21, $C$9, 100%, $E$9)</f>
        <v>44.298000000000002</v>
      </c>
      <c r="S695" s="14">
        <f>CHOOSE(CONTROL!$C$42, 42.0805, 42.0805) * CHOOSE(CONTROL!$C$21, $C$9, 100%, $E$9)</f>
        <v>42.080500000000001</v>
      </c>
      <c r="T69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56">
        <f>(1000*CHOOSE(CONTROL!$C$42, 695, 695)*CHOOSE(CONTROL!$C$42, 0.5599, 0.5599)*CHOOSE(CONTROL!$C$42, 30, 30))/1000000</f>
        <v>11.673914999999997</v>
      </c>
      <c r="V695" s="56">
        <f>(1000*CHOOSE(CONTROL!$C$42, 500, 500)*CHOOSE(CONTROL!$C$42, 0.275, 0.275)*CHOOSE(CONTROL!$C$42, 30, 30))/1000000</f>
        <v>4.125</v>
      </c>
      <c r="W695" s="56">
        <f>(1000*CHOOSE(CONTROL!$C$42, 0.1146, 0.1146)*CHOOSE(CONTROL!$C$42, 121.5, 121.5)*CHOOSE(CONTROL!$C$42, 30, 30))/1000000</f>
        <v>0.417717</v>
      </c>
      <c r="X695" s="56">
        <f>(30*0.1790888*100000/1000000)+(30*0.2374*100000/1000000)</f>
        <v>1.2494664</v>
      </c>
      <c r="Y695" s="56"/>
      <c r="Z695" s="14"/>
      <c r="AA695" s="55"/>
      <c r="AB695" s="49">
        <f>(B695*122.58+C695*297.941+D695*89.177+E695*40.302+F695*40+G695*160+H695*0+I695*100+J695*300)/(122.58+297.941+89.177+40.302+0+40+160+100+300)</f>
        <v>43.843719296695653</v>
      </c>
      <c r="AC695" s="44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42.991475539568341</v>
      </c>
    </row>
    <row r="696" spans="1:29" ht="15.75" x14ac:dyDescent="0.25">
      <c r="A696" s="31">
        <v>62093</v>
      </c>
      <c r="B696" s="14">
        <f>CHOOSE(CONTROL!$C$42, 46.7874, 46.7874) * CHOOSE(CONTROL!$C$21, $C$9, 100%, $E$9)</f>
        <v>46.787399999999998</v>
      </c>
      <c r="C696" s="14">
        <f>CHOOSE(CONTROL!$C$42, 46.7925, 46.7925) * CHOOSE(CONTROL!$C$21, $C$9, 100%, $E$9)</f>
        <v>46.792499999999997</v>
      </c>
      <c r="D696" s="14">
        <f>CHOOSE(CONTROL!$C$42, 46.8615, 46.8615) * CHOOSE(CONTROL!$C$21, $C$9, 100%, $E$9)</f>
        <v>46.861499999999999</v>
      </c>
      <c r="E696" s="14">
        <f>CHOOSE(CONTROL!$C$42, 46.8956, 46.8956) * CHOOSE(CONTROL!$C$21, $C$9, 100%, $E$9)</f>
        <v>46.895600000000002</v>
      </c>
      <c r="F696" s="14">
        <f>CHOOSE(CONTROL!$C$42, 46.8253, 46.8253)*CHOOSE(CONTROL!$C$21, $C$9, 100%, $E$9)</f>
        <v>46.825299999999999</v>
      </c>
      <c r="G696" s="14">
        <f>CHOOSE(CONTROL!$C$42, 46.8433, 46.8433)*CHOOSE(CONTROL!$C$21, $C$9, 100%, $E$9)</f>
        <v>46.843299999999999</v>
      </c>
      <c r="H696" s="14">
        <f>CHOOSE(CONTROL!$C$42, 46.8848, 46.8848) * CHOOSE(CONTROL!$C$21, $C$9, 100%, $E$9)</f>
        <v>46.884799999999998</v>
      </c>
      <c r="I696" s="14">
        <f>CHOOSE(CONTROL!$C$42, 46.9703, 46.9703)* CHOOSE(CONTROL!$C$21, $C$9, 100%, $E$9)</f>
        <v>46.970300000000002</v>
      </c>
      <c r="J696" s="14">
        <f>CHOOSE(CONTROL!$C$42, 46.8183, 46.8183)* CHOOSE(CONTROL!$C$21, $C$9, 100%, $E$9)</f>
        <v>46.818300000000001</v>
      </c>
      <c r="K696" s="52">
        <f>CHOOSE(CONTROL!$C$42, 46.9664, 46.9664) * CHOOSE(CONTROL!$C$21, $C$9, 100%, $E$9)</f>
        <v>46.9664</v>
      </c>
      <c r="L696" s="14">
        <f>CHOOSE(CONTROL!$C$42, 47.4718, 47.4718) * CHOOSE(CONTROL!$C$21, $C$9, 100%, $E$9)</f>
        <v>47.471800000000002</v>
      </c>
      <c r="M696" s="14">
        <f>CHOOSE(CONTROL!$C$42, 45.8667, 45.8667) * CHOOSE(CONTROL!$C$21, $C$9, 100%, $E$9)</f>
        <v>45.866700000000002</v>
      </c>
      <c r="N696" s="14">
        <f>CHOOSE(CONTROL!$C$42, 45.8843, 45.8843) * CHOOSE(CONTROL!$C$21, $C$9, 100%, $E$9)</f>
        <v>45.884300000000003</v>
      </c>
      <c r="O696" s="14">
        <f>CHOOSE(CONTROL!$C$42, 45.9319, 45.9319) * CHOOSE(CONTROL!$C$21, $C$9, 100%, $E$9)</f>
        <v>45.931899999999999</v>
      </c>
      <c r="P696" s="14">
        <f>CHOOSE(CONTROL!$C$42, 46.0127, 46.0127) * CHOOSE(CONTROL!$C$21, $C$9, 100%, $E$9)</f>
        <v>46.012700000000002</v>
      </c>
      <c r="Q696" s="14">
        <f>CHOOSE(CONTROL!$C$42, 46.5266, 46.5266) * CHOOSE(CONTROL!$C$21, $C$9, 100%, $E$9)</f>
        <v>46.526600000000002</v>
      </c>
      <c r="R696" s="14">
        <f>CHOOSE(CONTROL!$C$42, 47.2299, 47.2299) * CHOOSE(CONTROL!$C$21, $C$9, 100%, $E$9)</f>
        <v>47.229900000000001</v>
      </c>
      <c r="S696" s="14">
        <f>CHOOSE(CONTROL!$C$42, 44.9495, 44.9495) * CHOOSE(CONTROL!$C$21, $C$9, 100%, $E$9)</f>
        <v>44.9495</v>
      </c>
      <c r="T69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56">
        <f>(1000*CHOOSE(CONTROL!$C$42, 695, 695)*CHOOSE(CONTROL!$C$42, 0.5599, 0.5599)*CHOOSE(CONTROL!$C$42, 31, 31))/1000000</f>
        <v>12.063045499999998</v>
      </c>
      <c r="V696" s="56">
        <f>(1000*CHOOSE(CONTROL!$C$42, 500, 500)*CHOOSE(CONTROL!$C$42, 0.275, 0.275)*CHOOSE(CONTROL!$C$42, 31, 31))/1000000</f>
        <v>4.2625000000000002</v>
      </c>
      <c r="W696" s="56">
        <f>(1000*CHOOSE(CONTROL!$C$42, 0.1146, 0.1146)*CHOOSE(CONTROL!$C$42, 121.5, 121.5)*CHOOSE(CONTROL!$C$42, 31, 31))/1000000</f>
        <v>0.43164089999999994</v>
      </c>
      <c r="X696" s="56">
        <f>(31*0.1790888*100000/1000000)+(31*0.2374*100000/1000000)</f>
        <v>1.2911152800000001</v>
      </c>
      <c r="Y696" s="56"/>
      <c r="Z696" s="14"/>
      <c r="AA696" s="55"/>
      <c r="AB696" s="49">
        <f>(B696*122.58+C696*297.941+D696*89.177+E696*40.302+F696*40+G696*160+H696*0+I696*100+J696*300)/(122.58+297.941+89.177+40.302+0+40+160+100+300)</f>
        <v>46.831320166260859</v>
      </c>
      <c r="AC696" s="44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45.918271223021584</v>
      </c>
    </row>
    <row r="697" spans="1:29" ht="15.75" x14ac:dyDescent="0.25">
      <c r="A697" s="31">
        <v>62124</v>
      </c>
      <c r="B697" s="14">
        <f>CHOOSE(CONTROL!$C$42, 50.6654, 50.6654) * CHOOSE(CONTROL!$C$21, $C$9, 100%, $E$9)</f>
        <v>50.665399999999998</v>
      </c>
      <c r="C697" s="14">
        <f>CHOOSE(CONTROL!$C$42, 50.6704, 50.6704) * CHOOSE(CONTROL!$C$21, $C$9, 100%, $E$9)</f>
        <v>50.670400000000001</v>
      </c>
      <c r="D697" s="14">
        <f>CHOOSE(CONTROL!$C$42, 50.7499, 50.7499) * CHOOSE(CONTROL!$C$21, $C$9, 100%, $E$9)</f>
        <v>50.749899999999997</v>
      </c>
      <c r="E697" s="14">
        <f>CHOOSE(CONTROL!$C$42, 50.784, 50.784) * CHOOSE(CONTROL!$C$21, $C$9, 100%, $E$9)</f>
        <v>50.783999999999999</v>
      </c>
      <c r="F697" s="14">
        <f>CHOOSE(CONTROL!$C$42, 50.6884, 50.6884)*CHOOSE(CONTROL!$C$21, $C$9, 100%, $E$9)</f>
        <v>50.688400000000001</v>
      </c>
      <c r="G697" s="14">
        <f>CHOOSE(CONTROL!$C$42, 50.7059, 50.7059)*CHOOSE(CONTROL!$C$21, $C$9, 100%, $E$9)</f>
        <v>50.7059</v>
      </c>
      <c r="H697" s="14">
        <f>CHOOSE(CONTROL!$C$42, 50.7732, 50.7732) * CHOOSE(CONTROL!$C$21, $C$9, 100%, $E$9)</f>
        <v>50.773200000000003</v>
      </c>
      <c r="I697" s="14">
        <f>CHOOSE(CONTROL!$C$42, 50.8593, 50.8593)* CHOOSE(CONTROL!$C$21, $C$9, 100%, $E$9)</f>
        <v>50.859299999999998</v>
      </c>
      <c r="J697" s="14">
        <f>CHOOSE(CONTROL!$C$42, 50.6814, 50.6814)* CHOOSE(CONTROL!$C$21, $C$9, 100%, $E$9)</f>
        <v>50.681399999999996</v>
      </c>
      <c r="K697" s="52">
        <f>CHOOSE(CONTROL!$C$42, 50.8554, 50.8554) * CHOOSE(CONTROL!$C$21, $C$9, 100%, $E$9)</f>
        <v>50.855400000000003</v>
      </c>
      <c r="L697" s="14">
        <f>CHOOSE(CONTROL!$C$42, 51.3602, 51.3602) * CHOOSE(CONTROL!$C$21, $C$9, 100%, $E$9)</f>
        <v>51.360199999999999</v>
      </c>
      <c r="M697" s="14">
        <f>CHOOSE(CONTROL!$C$42, 49.6507, 49.6507) * CHOOSE(CONTROL!$C$21, $C$9, 100%, $E$9)</f>
        <v>49.650700000000001</v>
      </c>
      <c r="N697" s="14">
        <f>CHOOSE(CONTROL!$C$42, 49.6678, 49.6678) * CHOOSE(CONTROL!$C$21, $C$9, 100%, $E$9)</f>
        <v>49.6678</v>
      </c>
      <c r="O697" s="14">
        <f>CHOOSE(CONTROL!$C$42, 49.7405, 49.7405) * CHOOSE(CONTROL!$C$21, $C$9, 100%, $E$9)</f>
        <v>49.740499999999997</v>
      </c>
      <c r="P697" s="14">
        <f>CHOOSE(CONTROL!$C$42, 49.8218, 49.8218) * CHOOSE(CONTROL!$C$21, $C$9, 100%, $E$9)</f>
        <v>49.821800000000003</v>
      </c>
      <c r="Q697" s="14">
        <f>CHOOSE(CONTROL!$C$42, 50.3352, 50.3352) * CHOOSE(CONTROL!$C$21, $C$9, 100%, $E$9)</f>
        <v>50.3352</v>
      </c>
      <c r="R697" s="14">
        <f>CHOOSE(CONTROL!$C$42, 51.0481, 51.0481) * CHOOSE(CONTROL!$C$21, $C$9, 100%, $E$9)</f>
        <v>51.048099999999998</v>
      </c>
      <c r="S697" s="14">
        <f>CHOOSE(CONTROL!$C$42, 48.6758, 48.6758) * CHOOSE(CONTROL!$C$21, $C$9, 100%, $E$9)</f>
        <v>48.675800000000002</v>
      </c>
      <c r="T69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56">
        <f>(1000*CHOOSE(CONTROL!$C$42, 695, 695)*CHOOSE(CONTROL!$C$42, 0.5599, 0.5599)*CHOOSE(CONTROL!$C$42, 31, 31))/1000000</f>
        <v>12.063045499999998</v>
      </c>
      <c r="V697" s="56">
        <f>(1000*CHOOSE(CONTROL!$C$42, 500, 500)*CHOOSE(CONTROL!$C$42, 0.275, 0.275)*CHOOSE(CONTROL!$C$42, 31, 31))/1000000</f>
        <v>4.2625000000000002</v>
      </c>
      <c r="W697" s="56">
        <f>(1000*CHOOSE(CONTROL!$C$42, 0.1146, 0.1146)*CHOOSE(CONTROL!$C$42, 121.5, 121.5)*CHOOSE(CONTROL!$C$42, 31, 31))/1000000</f>
        <v>0.43164089999999994</v>
      </c>
      <c r="X697" s="56">
        <f>(31*0.1790888*100000/1000000)+(31*0.2374*100000/1000000)</f>
        <v>1.2911152800000001</v>
      </c>
      <c r="Y697" s="56"/>
      <c r="Z697" s="14"/>
      <c r="AA697" s="55"/>
      <c r="AB697" s="49">
        <f>(B697*122.58+C697*297.941+D697*89.177+E697*40.302+F697*40+G697*160+H697*0+I697*100+J697*300)/(122.58+297.941+89.177+40.302+0+40+160+100+300)</f>
        <v>50.704873894521739</v>
      </c>
      <c r="AC697" s="44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49.7170035971223</v>
      </c>
    </row>
    <row r="698" spans="1:29" ht="15.75" x14ac:dyDescent="0.25">
      <c r="A698" s="31">
        <v>62152</v>
      </c>
      <c r="B698" s="14">
        <f>CHOOSE(CONTROL!$C$42, 51.5671, 51.5671) * CHOOSE(CONTROL!$C$21, $C$9, 100%, $E$9)</f>
        <v>51.567100000000003</v>
      </c>
      <c r="C698" s="14">
        <f>CHOOSE(CONTROL!$C$42, 51.5722, 51.5722) * CHOOSE(CONTROL!$C$21, $C$9, 100%, $E$9)</f>
        <v>51.572200000000002</v>
      </c>
      <c r="D698" s="14">
        <f>CHOOSE(CONTROL!$C$42, 51.6516, 51.6516) * CHOOSE(CONTROL!$C$21, $C$9, 100%, $E$9)</f>
        <v>51.651600000000002</v>
      </c>
      <c r="E698" s="14">
        <f>CHOOSE(CONTROL!$C$42, 51.6857, 51.6857) * CHOOSE(CONTROL!$C$21, $C$9, 100%, $E$9)</f>
        <v>51.685699999999997</v>
      </c>
      <c r="F698" s="14">
        <f>CHOOSE(CONTROL!$C$42, 51.5899, 51.5899)*CHOOSE(CONTROL!$C$21, $C$9, 100%, $E$9)</f>
        <v>51.5899</v>
      </c>
      <c r="G698" s="14">
        <f>CHOOSE(CONTROL!$C$42, 51.6074, 51.6074)*CHOOSE(CONTROL!$C$21, $C$9, 100%, $E$9)</f>
        <v>51.607399999999998</v>
      </c>
      <c r="H698" s="14">
        <f>CHOOSE(CONTROL!$C$42, 51.6749, 51.6749) * CHOOSE(CONTROL!$C$21, $C$9, 100%, $E$9)</f>
        <v>51.674900000000001</v>
      </c>
      <c r="I698" s="14">
        <f>CHOOSE(CONTROL!$C$42, 51.7639, 51.7639)* CHOOSE(CONTROL!$C$21, $C$9, 100%, $E$9)</f>
        <v>51.7639</v>
      </c>
      <c r="J698" s="14">
        <f>CHOOSE(CONTROL!$C$42, 51.5829, 51.5829)* CHOOSE(CONTROL!$C$21, $C$9, 100%, $E$9)</f>
        <v>51.582900000000002</v>
      </c>
      <c r="K698" s="52">
        <f>CHOOSE(CONTROL!$C$42, 51.76, 51.76) * CHOOSE(CONTROL!$C$21, $C$9, 100%, $E$9)</f>
        <v>51.76</v>
      </c>
      <c r="L698" s="14">
        <f>CHOOSE(CONTROL!$C$42, 52.2619, 52.2619) * CHOOSE(CONTROL!$C$21, $C$9, 100%, $E$9)</f>
        <v>52.261899999999997</v>
      </c>
      <c r="M698" s="14">
        <f>CHOOSE(CONTROL!$C$42, 50.5337, 50.5337) * CHOOSE(CONTROL!$C$21, $C$9, 100%, $E$9)</f>
        <v>50.533700000000003</v>
      </c>
      <c r="N698" s="14">
        <f>CHOOSE(CONTROL!$C$42, 50.5508, 50.5508) * CHOOSE(CONTROL!$C$21, $C$9, 100%, $E$9)</f>
        <v>50.550800000000002</v>
      </c>
      <c r="O698" s="14">
        <f>CHOOSE(CONTROL!$C$42, 50.6238, 50.6238) * CHOOSE(CONTROL!$C$21, $C$9, 100%, $E$9)</f>
        <v>50.623800000000003</v>
      </c>
      <c r="P698" s="14">
        <f>CHOOSE(CONTROL!$C$42, 50.7078, 50.7078) * CHOOSE(CONTROL!$C$21, $C$9, 100%, $E$9)</f>
        <v>50.707799999999999</v>
      </c>
      <c r="Q698" s="14">
        <f>CHOOSE(CONTROL!$C$42, 51.2185, 51.2185) * CHOOSE(CONTROL!$C$21, $C$9, 100%, $E$9)</f>
        <v>51.218499999999999</v>
      </c>
      <c r="R698" s="14">
        <f>CHOOSE(CONTROL!$C$42, 51.9336, 51.9336) * CHOOSE(CONTROL!$C$21, $C$9, 100%, $E$9)</f>
        <v>51.933599999999998</v>
      </c>
      <c r="S698" s="14">
        <f>CHOOSE(CONTROL!$C$42, 49.5423, 49.5423) * CHOOSE(CONTROL!$C$21, $C$9, 100%, $E$9)</f>
        <v>49.542299999999997</v>
      </c>
      <c r="T69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56">
        <f>(1000*CHOOSE(CONTROL!$C$42, 695, 695)*CHOOSE(CONTROL!$C$42, 0.5599, 0.5599)*CHOOSE(CONTROL!$C$42, 28, 28))/1000000</f>
        <v>10.895653999999999</v>
      </c>
      <c r="V698" s="56">
        <f>(1000*CHOOSE(CONTROL!$C$42, 500, 500)*CHOOSE(CONTROL!$C$42, 0.275, 0.275)*CHOOSE(CONTROL!$C$42, 28, 28))/1000000</f>
        <v>3.85</v>
      </c>
      <c r="W698" s="56">
        <f>(1000*CHOOSE(CONTROL!$C$42, 0.1146, 0.1146)*CHOOSE(CONTROL!$C$42, 121.5, 121.5)*CHOOSE(CONTROL!$C$42, 28, 28))/1000000</f>
        <v>0.38986920000000003</v>
      </c>
      <c r="X698" s="56">
        <f>(28*0.1790888*100000/1000000)+(28*0.2374*100000/1000000)</f>
        <v>1.16616864</v>
      </c>
      <c r="Y698" s="56"/>
      <c r="Z698" s="14"/>
      <c r="AA698" s="55"/>
      <c r="AB698" s="49">
        <f>(B698*122.58+C698*297.941+D698*89.177+E698*40.302+F698*40+G698*160+H698*0+I698*100+J698*300)/(122.58+297.941+89.177+40.302+0+40+160+100+300)</f>
        <v>51.606765019826085</v>
      </c>
      <c r="AC698" s="44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50.600571223021589</v>
      </c>
    </row>
    <row r="699" spans="1:29" ht="15.75" x14ac:dyDescent="0.25">
      <c r="A699" s="31">
        <v>62183</v>
      </c>
      <c r="B699" s="14">
        <f>CHOOSE(CONTROL!$C$42, 50.1034, 50.1034) * CHOOSE(CONTROL!$C$21, $C$9, 100%, $E$9)</f>
        <v>50.103400000000001</v>
      </c>
      <c r="C699" s="14">
        <f>CHOOSE(CONTROL!$C$42, 50.1084, 50.1084) * CHOOSE(CONTROL!$C$21, $C$9, 100%, $E$9)</f>
        <v>50.108400000000003</v>
      </c>
      <c r="D699" s="14">
        <f>CHOOSE(CONTROL!$C$42, 50.1878, 50.1878) * CHOOSE(CONTROL!$C$21, $C$9, 100%, $E$9)</f>
        <v>50.187800000000003</v>
      </c>
      <c r="E699" s="14">
        <f>CHOOSE(CONTROL!$C$42, 50.222, 50.222) * CHOOSE(CONTROL!$C$21, $C$9, 100%, $E$9)</f>
        <v>50.222000000000001</v>
      </c>
      <c r="F699" s="14">
        <f>CHOOSE(CONTROL!$C$42, 50.1254, 50.1254)*CHOOSE(CONTROL!$C$21, $C$9, 100%, $E$9)</f>
        <v>50.125399999999999</v>
      </c>
      <c r="G699" s="14">
        <f>CHOOSE(CONTROL!$C$42, 50.1427, 50.1427)*CHOOSE(CONTROL!$C$21, $C$9, 100%, $E$9)</f>
        <v>50.142699999999998</v>
      </c>
      <c r="H699" s="14">
        <f>CHOOSE(CONTROL!$C$42, 50.2111, 50.2111) * CHOOSE(CONTROL!$C$21, $C$9, 100%, $E$9)</f>
        <v>50.211100000000002</v>
      </c>
      <c r="I699" s="14">
        <f>CHOOSE(CONTROL!$C$42, 50.2956, 50.2956)* CHOOSE(CONTROL!$C$21, $C$9, 100%, $E$9)</f>
        <v>50.2956</v>
      </c>
      <c r="J699" s="14">
        <f>CHOOSE(CONTROL!$C$42, 50.1184, 50.1184)* CHOOSE(CONTROL!$C$21, $C$9, 100%, $E$9)</f>
        <v>50.118400000000001</v>
      </c>
      <c r="K699" s="52">
        <f>CHOOSE(CONTROL!$C$42, 50.2917, 50.2917) * CHOOSE(CONTROL!$C$21, $C$9, 100%, $E$9)</f>
        <v>50.291699999999999</v>
      </c>
      <c r="L699" s="14">
        <f>CHOOSE(CONTROL!$C$42, 50.7981, 50.7981) * CHOOSE(CONTROL!$C$21, $C$9, 100%, $E$9)</f>
        <v>50.798099999999998</v>
      </c>
      <c r="M699" s="14">
        <f>CHOOSE(CONTROL!$C$42, 49.0992, 49.0992) * CHOOSE(CONTROL!$C$21, $C$9, 100%, $E$9)</f>
        <v>49.099200000000003</v>
      </c>
      <c r="N699" s="14">
        <f>CHOOSE(CONTROL!$C$42, 49.1161, 49.1161) * CHOOSE(CONTROL!$C$21, $C$9, 100%, $E$9)</f>
        <v>49.116100000000003</v>
      </c>
      <c r="O699" s="14">
        <f>CHOOSE(CONTROL!$C$42, 49.19, 49.19) * CHOOSE(CONTROL!$C$21, $C$9, 100%, $E$9)</f>
        <v>49.19</v>
      </c>
      <c r="P699" s="14">
        <f>CHOOSE(CONTROL!$C$42, 49.2697, 49.2697) * CHOOSE(CONTROL!$C$21, $C$9, 100%, $E$9)</f>
        <v>49.2697</v>
      </c>
      <c r="Q699" s="14">
        <f>CHOOSE(CONTROL!$C$42, 49.7847, 49.7847) * CHOOSE(CONTROL!$C$21, $C$9, 100%, $E$9)</f>
        <v>49.784700000000001</v>
      </c>
      <c r="R699" s="14">
        <f>CHOOSE(CONTROL!$C$42, 50.4962, 50.4962) * CHOOSE(CONTROL!$C$21, $C$9, 100%, $E$9)</f>
        <v>50.496200000000002</v>
      </c>
      <c r="S699" s="14">
        <f>CHOOSE(CONTROL!$C$42, 48.1358, 48.1358) * CHOOSE(CONTROL!$C$21, $C$9, 100%, $E$9)</f>
        <v>48.135800000000003</v>
      </c>
      <c r="T69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56">
        <f>(1000*CHOOSE(CONTROL!$C$42, 695, 695)*CHOOSE(CONTROL!$C$42, 0.5599, 0.5599)*CHOOSE(CONTROL!$C$42, 31, 31))/1000000</f>
        <v>12.063045499999998</v>
      </c>
      <c r="V699" s="56">
        <f>(1000*CHOOSE(CONTROL!$C$42, 500, 500)*CHOOSE(CONTROL!$C$42, 0.275, 0.275)*CHOOSE(CONTROL!$C$42, 31, 31))/1000000</f>
        <v>4.2625000000000002</v>
      </c>
      <c r="W699" s="56">
        <f>(1000*CHOOSE(CONTROL!$C$42, 0.1146, 0.1146)*CHOOSE(CONTROL!$C$42, 121.5, 121.5)*CHOOSE(CONTROL!$C$42, 31, 31))/1000000</f>
        <v>0.43164089999999994</v>
      </c>
      <c r="X699" s="56">
        <f>(31*0.1790888*100000/1000000)+(31*0.2374*100000/1000000)</f>
        <v>1.2911152800000001</v>
      </c>
      <c r="Y699" s="56"/>
      <c r="Z699" s="14"/>
      <c r="AA699" s="55"/>
      <c r="AB699" s="49">
        <f>(B699*122.58+C699*297.941+D699*89.177+E699*40.302+F699*40+G699*160+H699*0+I699*100+J699*300)/(122.58+297.941+89.177+40.302+0+40+160+100+300)</f>
        <v>50.142255705217387</v>
      </c>
      <c r="AC699" s="44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49.165858992805752</v>
      </c>
    </row>
    <row r="700" spans="1:29" ht="15.75" x14ac:dyDescent="0.25">
      <c r="A700" s="31">
        <v>62213</v>
      </c>
      <c r="B700" s="14">
        <f>CHOOSE(CONTROL!$C$42, 49.9544, 49.9544) * CHOOSE(CONTROL!$C$21, $C$9, 100%, $E$9)</f>
        <v>49.9544</v>
      </c>
      <c r="C700" s="14">
        <f>CHOOSE(CONTROL!$C$42, 49.9589, 49.9589) * CHOOSE(CONTROL!$C$21, $C$9, 100%, $E$9)</f>
        <v>49.9589</v>
      </c>
      <c r="D700" s="14">
        <f>CHOOSE(CONTROL!$C$42, 50.1878, 50.1878) * CHOOSE(CONTROL!$C$21, $C$9, 100%, $E$9)</f>
        <v>50.187800000000003</v>
      </c>
      <c r="E700" s="14">
        <f>CHOOSE(CONTROL!$C$42, 50.2199, 50.2199) * CHOOSE(CONTROL!$C$21, $C$9, 100%, $E$9)</f>
        <v>50.219900000000003</v>
      </c>
      <c r="F700" s="14">
        <f>CHOOSE(CONTROL!$C$42, 49.9814, 49.9814)*CHOOSE(CONTROL!$C$21, $C$9, 100%, $E$9)</f>
        <v>49.981400000000001</v>
      </c>
      <c r="G700" s="14">
        <f>CHOOSE(CONTROL!$C$42, 49.9981, 49.9981)*CHOOSE(CONTROL!$C$21, $C$9, 100%, $E$9)</f>
        <v>49.998100000000001</v>
      </c>
      <c r="H700" s="14">
        <f>CHOOSE(CONTROL!$C$42, 50.2097, 50.2097) * CHOOSE(CONTROL!$C$21, $C$9, 100%, $E$9)</f>
        <v>50.209699999999998</v>
      </c>
      <c r="I700" s="14">
        <f>CHOOSE(CONTROL!$C$42, 50.1438, 50.1438)* CHOOSE(CONTROL!$C$21, $C$9, 100%, $E$9)</f>
        <v>50.143799999999999</v>
      </c>
      <c r="J700" s="14">
        <f>CHOOSE(CONTROL!$C$42, 49.9744, 49.9744)* CHOOSE(CONTROL!$C$21, $C$9, 100%, $E$9)</f>
        <v>49.974400000000003</v>
      </c>
      <c r="K700" s="52">
        <f>CHOOSE(CONTROL!$C$42, 50.1399, 50.1399) * CHOOSE(CONTROL!$C$21, $C$9, 100%, $E$9)</f>
        <v>50.139899999999997</v>
      </c>
      <c r="L700" s="14">
        <f>CHOOSE(CONTROL!$C$42, 50.7967, 50.7967) * CHOOSE(CONTROL!$C$21, $C$9, 100%, $E$9)</f>
        <v>50.796700000000001</v>
      </c>
      <c r="M700" s="14">
        <f>CHOOSE(CONTROL!$C$42, 48.9581, 48.9581) * CHOOSE(CONTROL!$C$21, $C$9, 100%, $E$9)</f>
        <v>48.958100000000002</v>
      </c>
      <c r="N700" s="14">
        <f>CHOOSE(CONTROL!$C$42, 48.9745, 48.9745) * CHOOSE(CONTROL!$C$21, $C$9, 100%, $E$9)</f>
        <v>48.974499999999999</v>
      </c>
      <c r="O700" s="14">
        <f>CHOOSE(CONTROL!$C$42, 49.1886, 49.1886) * CHOOSE(CONTROL!$C$21, $C$9, 100%, $E$9)</f>
        <v>49.188600000000001</v>
      </c>
      <c r="P700" s="14">
        <f>CHOOSE(CONTROL!$C$42, 49.121, 49.121) * CHOOSE(CONTROL!$C$21, $C$9, 100%, $E$9)</f>
        <v>49.121000000000002</v>
      </c>
      <c r="Q700" s="14">
        <f>CHOOSE(CONTROL!$C$42, 49.7833, 49.7833) * CHOOSE(CONTROL!$C$21, $C$9, 100%, $E$9)</f>
        <v>49.783299999999997</v>
      </c>
      <c r="R700" s="14">
        <f>CHOOSE(CONTROL!$C$42, 50.4948, 50.4948) * CHOOSE(CONTROL!$C$21, $C$9, 100%, $E$9)</f>
        <v>50.494799999999998</v>
      </c>
      <c r="S700" s="14">
        <f>CHOOSE(CONTROL!$C$42, 47.9919, 47.9919) * CHOOSE(CONTROL!$C$21, $C$9, 100%, $E$9)</f>
        <v>47.991900000000001</v>
      </c>
      <c r="T70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56">
        <f>(1000*CHOOSE(CONTROL!$C$42, 695, 695)*CHOOSE(CONTROL!$C$42, 0.5599, 0.5599)*CHOOSE(CONTROL!$C$42, 30, 30))/1000000</f>
        <v>11.673914999999997</v>
      </c>
      <c r="V700" s="56">
        <f>(1000*CHOOSE(CONTROL!$C$42, 500, 500)*CHOOSE(CONTROL!$C$42, 0.275, 0.275)*CHOOSE(CONTROL!$C$42, 30, 30))/1000000</f>
        <v>4.125</v>
      </c>
      <c r="W700" s="56">
        <f>(1000*CHOOSE(CONTROL!$C$42, 0.1146, 0.1146)*CHOOSE(CONTROL!$C$42, 121.5, 121.5)*CHOOSE(CONTROL!$C$42, 30, 30))/1000000</f>
        <v>0.417717</v>
      </c>
      <c r="X700" s="56">
        <f>(30*0.1790888*245000/1000000)+(30*0.2374*100000/1000000)</f>
        <v>2.0285026799999999</v>
      </c>
      <c r="Y700" s="56"/>
      <c r="Z700" s="14"/>
      <c r="AA700" s="55"/>
      <c r="AB700" s="49">
        <f>(B700*141.293+C700*267.993+D700*115.016+E700*89.698+F700*40+G700*185+H700*0+I700*100+J700*300)/(141.293+267.993+115.016+89.698+0+40+185+100+300)</f>
        <v>50.023786619774008</v>
      </c>
      <c r="AC700" s="44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49.086953956834527</v>
      </c>
    </row>
    <row r="701" spans="1:29" ht="15.75" x14ac:dyDescent="0.25">
      <c r="A701" s="31">
        <v>62244</v>
      </c>
      <c r="B701" s="14">
        <f>CHOOSE(CONTROL!$C$42, 50.3966, 50.3966) * CHOOSE(CONTROL!$C$21, $C$9, 100%, $E$9)</f>
        <v>50.396599999999999</v>
      </c>
      <c r="C701" s="14">
        <f>CHOOSE(CONTROL!$C$42, 50.4046, 50.4046) * CHOOSE(CONTROL!$C$21, $C$9, 100%, $E$9)</f>
        <v>50.404600000000002</v>
      </c>
      <c r="D701" s="14">
        <f>CHOOSE(CONTROL!$C$42, 50.6304, 50.6304) * CHOOSE(CONTROL!$C$21, $C$9, 100%, $E$9)</f>
        <v>50.630400000000002</v>
      </c>
      <c r="E701" s="14">
        <f>CHOOSE(CONTROL!$C$42, 50.6619, 50.6619) * CHOOSE(CONTROL!$C$21, $C$9, 100%, $E$9)</f>
        <v>50.661900000000003</v>
      </c>
      <c r="F701" s="14">
        <f>CHOOSE(CONTROL!$C$42, 50.4222, 50.4222)*CHOOSE(CONTROL!$C$21, $C$9, 100%, $E$9)</f>
        <v>50.422199999999997</v>
      </c>
      <c r="G701" s="14">
        <f>CHOOSE(CONTROL!$C$42, 50.4392, 50.4392)*CHOOSE(CONTROL!$C$21, $C$9, 100%, $E$9)</f>
        <v>50.4392</v>
      </c>
      <c r="H701" s="14">
        <f>CHOOSE(CONTROL!$C$42, 50.6505, 50.6505) * CHOOSE(CONTROL!$C$21, $C$9, 100%, $E$9)</f>
        <v>50.650500000000001</v>
      </c>
      <c r="I701" s="14">
        <f>CHOOSE(CONTROL!$C$42, 50.586, 50.586)* CHOOSE(CONTROL!$C$21, $C$9, 100%, $E$9)</f>
        <v>50.585999999999999</v>
      </c>
      <c r="J701" s="14">
        <f>CHOOSE(CONTROL!$C$42, 50.4152, 50.4152)* CHOOSE(CONTROL!$C$21, $C$9, 100%, $E$9)</f>
        <v>50.415199999999999</v>
      </c>
      <c r="K701" s="52">
        <f>CHOOSE(CONTROL!$C$42, 50.5821, 50.5821) * CHOOSE(CONTROL!$C$21, $C$9, 100%, $E$9)</f>
        <v>50.582099999999997</v>
      </c>
      <c r="L701" s="14">
        <f>CHOOSE(CONTROL!$C$42, 51.2375, 51.2375) * CHOOSE(CONTROL!$C$21, $C$9, 100%, $E$9)</f>
        <v>51.237499999999997</v>
      </c>
      <c r="M701" s="14">
        <f>CHOOSE(CONTROL!$C$42, 49.39, 49.39) * CHOOSE(CONTROL!$C$21, $C$9, 100%, $E$9)</f>
        <v>49.39</v>
      </c>
      <c r="N701" s="14">
        <f>CHOOSE(CONTROL!$C$42, 49.4066, 49.4066) * CHOOSE(CONTROL!$C$21, $C$9, 100%, $E$9)</f>
        <v>49.406599999999997</v>
      </c>
      <c r="O701" s="14">
        <f>CHOOSE(CONTROL!$C$42, 49.6204, 49.6204) * CHOOSE(CONTROL!$C$21, $C$9, 100%, $E$9)</f>
        <v>49.620399999999997</v>
      </c>
      <c r="P701" s="14">
        <f>CHOOSE(CONTROL!$C$42, 49.5541, 49.5541) * CHOOSE(CONTROL!$C$21, $C$9, 100%, $E$9)</f>
        <v>49.554099999999998</v>
      </c>
      <c r="Q701" s="14">
        <f>CHOOSE(CONTROL!$C$42, 50.2151, 50.2151) * CHOOSE(CONTROL!$C$21, $C$9, 100%, $E$9)</f>
        <v>50.2151</v>
      </c>
      <c r="R701" s="14">
        <f>CHOOSE(CONTROL!$C$42, 50.9276, 50.9276) * CHOOSE(CONTROL!$C$21, $C$9, 100%, $E$9)</f>
        <v>50.927599999999998</v>
      </c>
      <c r="S701" s="14">
        <f>CHOOSE(CONTROL!$C$42, 48.4154, 48.4154) * CHOOSE(CONTROL!$C$21, $C$9, 100%, $E$9)</f>
        <v>48.415399999999998</v>
      </c>
      <c r="T70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56">
        <f>(1000*CHOOSE(CONTROL!$C$42, 695, 695)*CHOOSE(CONTROL!$C$42, 0.5599, 0.5599)*CHOOSE(CONTROL!$C$42, 31, 31))/1000000</f>
        <v>12.063045499999998</v>
      </c>
      <c r="V701" s="56">
        <f>(1000*CHOOSE(CONTROL!$C$42, 500, 500)*CHOOSE(CONTROL!$C$42, 0.275, 0.275)*CHOOSE(CONTROL!$C$42, 31, 31))/1000000</f>
        <v>4.2625000000000002</v>
      </c>
      <c r="W701" s="56">
        <f>(1000*CHOOSE(CONTROL!$C$42, 0.1146, 0.1146)*CHOOSE(CONTROL!$C$42, 121.5, 121.5)*CHOOSE(CONTROL!$C$42, 31, 31))/1000000</f>
        <v>0.43164089999999994</v>
      </c>
      <c r="X701" s="56">
        <f>(31*0.1790888*245000/1000000)+(31*0.2374*100000/1000000)</f>
        <v>2.0961194359999999</v>
      </c>
      <c r="Y701" s="56"/>
      <c r="Z701" s="14"/>
      <c r="AA701" s="55"/>
      <c r="AB701" s="49">
        <f>(B701*194.205+C701*267.466+D701*133.845+E701*53.484+F701*40+G701*185+H701*0+I701*100+J701*300)/(194.205+267.466+133.845+53.484+0+40+185+100+300)</f>
        <v>50.460216164992154</v>
      </c>
      <c r="AC701" s="44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49.518992805755389</v>
      </c>
    </row>
    <row r="702" spans="1:29" ht="15.75" x14ac:dyDescent="0.25">
      <c r="A702" s="31">
        <v>62274</v>
      </c>
      <c r="B702" s="14">
        <f>CHOOSE(CONTROL!$C$42, 51.8258, 51.8258) * CHOOSE(CONTROL!$C$21, $C$9, 100%, $E$9)</f>
        <v>51.825800000000001</v>
      </c>
      <c r="C702" s="14">
        <f>CHOOSE(CONTROL!$C$42, 51.8338, 51.8338) * CHOOSE(CONTROL!$C$21, $C$9, 100%, $E$9)</f>
        <v>51.833799999999997</v>
      </c>
      <c r="D702" s="14">
        <f>CHOOSE(CONTROL!$C$42, 52.0596, 52.0596) * CHOOSE(CONTROL!$C$21, $C$9, 100%, $E$9)</f>
        <v>52.059600000000003</v>
      </c>
      <c r="E702" s="14">
        <f>CHOOSE(CONTROL!$C$42, 52.0911, 52.0911) * CHOOSE(CONTROL!$C$21, $C$9, 100%, $E$9)</f>
        <v>52.091099999999997</v>
      </c>
      <c r="F702" s="14">
        <f>CHOOSE(CONTROL!$C$42, 51.8519, 51.8519)*CHOOSE(CONTROL!$C$21, $C$9, 100%, $E$9)</f>
        <v>51.851900000000001</v>
      </c>
      <c r="G702" s="14">
        <f>CHOOSE(CONTROL!$C$42, 51.869, 51.869)*CHOOSE(CONTROL!$C$21, $C$9, 100%, $E$9)</f>
        <v>51.869</v>
      </c>
      <c r="H702" s="14">
        <f>CHOOSE(CONTROL!$C$42, 52.0797, 52.0797) * CHOOSE(CONTROL!$C$21, $C$9, 100%, $E$9)</f>
        <v>52.079700000000003</v>
      </c>
      <c r="I702" s="14">
        <f>CHOOSE(CONTROL!$C$42, 52.0197, 52.0197)* CHOOSE(CONTROL!$C$21, $C$9, 100%, $E$9)</f>
        <v>52.0197</v>
      </c>
      <c r="J702" s="14">
        <f>CHOOSE(CONTROL!$C$42, 51.8449, 51.8449)* CHOOSE(CONTROL!$C$21, $C$9, 100%, $E$9)</f>
        <v>51.844900000000003</v>
      </c>
      <c r="K702" s="52">
        <f>CHOOSE(CONTROL!$C$42, 52.0158, 52.0158) * CHOOSE(CONTROL!$C$21, $C$9, 100%, $E$9)</f>
        <v>52.015799999999999</v>
      </c>
      <c r="L702" s="14">
        <f>CHOOSE(CONTROL!$C$42, 52.6667, 52.6667) * CHOOSE(CONTROL!$C$21, $C$9, 100%, $E$9)</f>
        <v>52.666699999999999</v>
      </c>
      <c r="M702" s="14">
        <f>CHOOSE(CONTROL!$C$42, 50.7903, 50.7903) * CHOOSE(CONTROL!$C$21, $C$9, 100%, $E$9)</f>
        <v>50.790300000000002</v>
      </c>
      <c r="N702" s="14">
        <f>CHOOSE(CONTROL!$C$42, 50.8071, 50.8071) * CHOOSE(CONTROL!$C$21, $C$9, 100%, $E$9)</f>
        <v>50.807099999999998</v>
      </c>
      <c r="O702" s="14">
        <f>CHOOSE(CONTROL!$C$42, 51.0203, 51.0203) * CHOOSE(CONTROL!$C$21, $C$9, 100%, $E$9)</f>
        <v>51.020299999999999</v>
      </c>
      <c r="P702" s="14">
        <f>CHOOSE(CONTROL!$C$42, 50.9583, 50.9583) * CHOOSE(CONTROL!$C$21, $C$9, 100%, $E$9)</f>
        <v>50.958300000000001</v>
      </c>
      <c r="Q702" s="14">
        <f>CHOOSE(CONTROL!$C$42, 51.615, 51.615) * CHOOSE(CONTROL!$C$21, $C$9, 100%, $E$9)</f>
        <v>51.615000000000002</v>
      </c>
      <c r="R702" s="14">
        <f>CHOOSE(CONTROL!$C$42, 52.3311, 52.3311) * CHOOSE(CONTROL!$C$21, $C$9, 100%, $E$9)</f>
        <v>52.331099999999999</v>
      </c>
      <c r="S702" s="14">
        <f>CHOOSE(CONTROL!$C$42, 49.7888, 49.7888) * CHOOSE(CONTROL!$C$21, $C$9, 100%, $E$9)</f>
        <v>49.788800000000002</v>
      </c>
      <c r="T70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56">
        <f>(1000*CHOOSE(CONTROL!$C$42, 695, 695)*CHOOSE(CONTROL!$C$42, 0.5599, 0.5599)*CHOOSE(CONTROL!$C$42, 30, 30))/1000000</f>
        <v>11.673914999999997</v>
      </c>
      <c r="V702" s="56">
        <f>(1000*CHOOSE(CONTROL!$C$42, 500, 500)*CHOOSE(CONTROL!$C$42, 0.275, 0.275)*CHOOSE(CONTROL!$C$42, 30, 30))/1000000</f>
        <v>4.125</v>
      </c>
      <c r="W702" s="56">
        <f>(1000*CHOOSE(CONTROL!$C$42, 0.1146, 0.1146)*CHOOSE(CONTROL!$C$42, 121.5, 121.5)*CHOOSE(CONTROL!$C$42, 30, 30))/1000000</f>
        <v>0.417717</v>
      </c>
      <c r="X702" s="56">
        <f>(30*0.1790888*245000/1000000)+(30*0.2374*100000/1000000)</f>
        <v>2.0285026799999999</v>
      </c>
      <c r="Y702" s="56"/>
      <c r="Z702" s="14"/>
      <c r="AA702" s="55"/>
      <c r="AB702" s="49">
        <f>(B702*194.205+C702*267.466+D702*133.845+E702*53.484+F702*40+G702*185+H702*0+I702*100+J702*300)/(194.205+267.466+133.845+53.484+0+40+185+100+300)</f>
        <v>51.889989948351648</v>
      </c>
      <c r="AC702" s="44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50.919684172661874</v>
      </c>
    </row>
    <row r="703" spans="1:29" ht="15.75" x14ac:dyDescent="0.25">
      <c r="A703" s="31">
        <v>62305</v>
      </c>
      <c r="B703" s="14">
        <f>CHOOSE(CONTROL!$C$42, 50.8318, 50.8318) * CHOOSE(CONTROL!$C$21, $C$9, 100%, $E$9)</f>
        <v>50.831800000000001</v>
      </c>
      <c r="C703" s="14">
        <f>CHOOSE(CONTROL!$C$42, 50.8398, 50.8398) * CHOOSE(CONTROL!$C$21, $C$9, 100%, $E$9)</f>
        <v>50.839799999999997</v>
      </c>
      <c r="D703" s="14">
        <f>CHOOSE(CONTROL!$C$42, 51.0656, 51.0656) * CHOOSE(CONTROL!$C$21, $C$9, 100%, $E$9)</f>
        <v>51.065600000000003</v>
      </c>
      <c r="E703" s="14">
        <f>CHOOSE(CONTROL!$C$42, 51.0971, 51.0971) * CHOOSE(CONTROL!$C$21, $C$9, 100%, $E$9)</f>
        <v>51.097099999999998</v>
      </c>
      <c r="F703" s="14">
        <f>CHOOSE(CONTROL!$C$42, 50.8583, 50.8583)*CHOOSE(CONTROL!$C$21, $C$9, 100%, $E$9)</f>
        <v>50.8583</v>
      </c>
      <c r="G703" s="14">
        <f>CHOOSE(CONTROL!$C$42, 50.8756, 50.8756)*CHOOSE(CONTROL!$C$21, $C$9, 100%, $E$9)</f>
        <v>50.875599999999999</v>
      </c>
      <c r="H703" s="14">
        <f>CHOOSE(CONTROL!$C$42, 51.0857, 51.0857) * CHOOSE(CONTROL!$C$21, $C$9, 100%, $E$9)</f>
        <v>51.085700000000003</v>
      </c>
      <c r="I703" s="14">
        <f>CHOOSE(CONTROL!$C$42, 51.0225, 51.0225)* CHOOSE(CONTROL!$C$21, $C$9, 100%, $E$9)</f>
        <v>51.022500000000001</v>
      </c>
      <c r="J703" s="14">
        <f>CHOOSE(CONTROL!$C$42, 50.8513, 50.8513)* CHOOSE(CONTROL!$C$21, $C$9, 100%, $E$9)</f>
        <v>50.851300000000002</v>
      </c>
      <c r="K703" s="52">
        <f>CHOOSE(CONTROL!$C$42, 51.0186, 51.0186) * CHOOSE(CONTROL!$C$21, $C$9, 100%, $E$9)</f>
        <v>51.018599999999999</v>
      </c>
      <c r="L703" s="14">
        <f>CHOOSE(CONTROL!$C$42, 51.6727, 51.6727) * CHOOSE(CONTROL!$C$21, $C$9, 100%, $E$9)</f>
        <v>51.672699999999999</v>
      </c>
      <c r="M703" s="14">
        <f>CHOOSE(CONTROL!$C$42, 49.8171, 49.8171) * CHOOSE(CONTROL!$C$21, $C$9, 100%, $E$9)</f>
        <v>49.817100000000003</v>
      </c>
      <c r="N703" s="14">
        <f>CHOOSE(CONTROL!$C$42, 49.834, 49.834) * CHOOSE(CONTROL!$C$21, $C$9, 100%, $E$9)</f>
        <v>49.834000000000003</v>
      </c>
      <c r="O703" s="14">
        <f>CHOOSE(CONTROL!$C$42, 50.0467, 50.0467) * CHOOSE(CONTROL!$C$21, $C$9, 100%, $E$9)</f>
        <v>50.046700000000001</v>
      </c>
      <c r="P703" s="14">
        <f>CHOOSE(CONTROL!$C$42, 49.9817, 49.9817) * CHOOSE(CONTROL!$C$21, $C$9, 100%, $E$9)</f>
        <v>49.981699999999996</v>
      </c>
      <c r="Q703" s="14">
        <f>CHOOSE(CONTROL!$C$42, 50.6414, 50.6414) * CHOOSE(CONTROL!$C$21, $C$9, 100%, $E$9)</f>
        <v>50.641399999999997</v>
      </c>
      <c r="R703" s="14">
        <f>CHOOSE(CONTROL!$C$42, 51.355, 51.355) * CHOOSE(CONTROL!$C$21, $C$9, 100%, $E$9)</f>
        <v>51.354999999999997</v>
      </c>
      <c r="S703" s="14">
        <f>CHOOSE(CONTROL!$C$42, 48.8336, 48.8336) * CHOOSE(CONTROL!$C$21, $C$9, 100%, $E$9)</f>
        <v>48.833599999999997</v>
      </c>
      <c r="T70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56">
        <f>(1000*CHOOSE(CONTROL!$C$42, 695, 695)*CHOOSE(CONTROL!$C$42, 0.5599, 0.5599)*CHOOSE(CONTROL!$C$42, 31, 31))/1000000</f>
        <v>12.063045499999998</v>
      </c>
      <c r="V703" s="56">
        <f>(1000*CHOOSE(CONTROL!$C$42, 500, 500)*CHOOSE(CONTROL!$C$42, 0.275, 0.275)*CHOOSE(CONTROL!$C$42, 31, 31))/1000000</f>
        <v>4.2625000000000002</v>
      </c>
      <c r="W703" s="56">
        <f>(1000*CHOOSE(CONTROL!$C$42, 0.1146, 0.1146)*CHOOSE(CONTROL!$C$42, 121.5, 121.5)*CHOOSE(CONTROL!$C$42, 31, 31))/1000000</f>
        <v>0.43164089999999994</v>
      </c>
      <c r="X703" s="56">
        <f>(31*0.1790888*245000/1000000)+(31*0.2374*100000/1000000)</f>
        <v>2.0961194359999999</v>
      </c>
      <c r="Y703" s="56"/>
      <c r="Z703" s="14"/>
      <c r="AA703" s="55"/>
      <c r="AB703" s="49">
        <f>(B703*194.205+C703*267.466+D703*133.845+E703*53.484+F703*40+G703*185+H703*0+I703*100+J703*300)/(194.205+267.466+133.845+53.484+0+40+185+100+300)</f>
        <v>50.895932648508634</v>
      </c>
      <c r="AC703" s="44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49.945819424460431</v>
      </c>
    </row>
    <row r="704" spans="1:29" ht="15.75" x14ac:dyDescent="0.25">
      <c r="A704" s="31">
        <v>62336</v>
      </c>
      <c r="B704" s="14">
        <f>CHOOSE(CONTROL!$C$42, 48.3215, 48.3215) * CHOOSE(CONTROL!$C$21, $C$9, 100%, $E$9)</f>
        <v>48.3215</v>
      </c>
      <c r="C704" s="14">
        <f>CHOOSE(CONTROL!$C$42, 48.3295, 48.3295) * CHOOSE(CONTROL!$C$21, $C$9, 100%, $E$9)</f>
        <v>48.329500000000003</v>
      </c>
      <c r="D704" s="14">
        <f>CHOOSE(CONTROL!$C$42, 48.5553, 48.5553) * CHOOSE(CONTROL!$C$21, $C$9, 100%, $E$9)</f>
        <v>48.555300000000003</v>
      </c>
      <c r="E704" s="14">
        <f>CHOOSE(CONTROL!$C$42, 48.5868, 48.5868) * CHOOSE(CONTROL!$C$21, $C$9, 100%, $E$9)</f>
        <v>48.586799999999997</v>
      </c>
      <c r="F704" s="14">
        <f>CHOOSE(CONTROL!$C$42, 48.3483, 48.3483)*CHOOSE(CONTROL!$C$21, $C$9, 100%, $E$9)</f>
        <v>48.348300000000002</v>
      </c>
      <c r="G704" s="14">
        <f>CHOOSE(CONTROL!$C$42, 48.3656, 48.3656)*CHOOSE(CONTROL!$C$21, $C$9, 100%, $E$9)</f>
        <v>48.365600000000001</v>
      </c>
      <c r="H704" s="14">
        <f>CHOOSE(CONTROL!$C$42, 48.5754, 48.5754) * CHOOSE(CONTROL!$C$21, $C$9, 100%, $E$9)</f>
        <v>48.575400000000002</v>
      </c>
      <c r="I704" s="14">
        <f>CHOOSE(CONTROL!$C$42, 48.5044, 48.5044)* CHOOSE(CONTROL!$C$21, $C$9, 100%, $E$9)</f>
        <v>48.504399999999997</v>
      </c>
      <c r="J704" s="14">
        <f>CHOOSE(CONTROL!$C$42, 48.3413, 48.3413)* CHOOSE(CONTROL!$C$21, $C$9, 100%, $E$9)</f>
        <v>48.341299999999997</v>
      </c>
      <c r="K704" s="52">
        <f>CHOOSE(CONTROL!$C$42, 48.5005, 48.5005) * CHOOSE(CONTROL!$C$21, $C$9, 100%, $E$9)</f>
        <v>48.500500000000002</v>
      </c>
      <c r="L704" s="14">
        <f>CHOOSE(CONTROL!$C$42, 49.1624, 49.1624) * CHOOSE(CONTROL!$C$21, $C$9, 100%, $E$9)</f>
        <v>49.162399999999998</v>
      </c>
      <c r="M704" s="14">
        <f>CHOOSE(CONTROL!$C$42, 47.3585, 47.3585) * CHOOSE(CONTROL!$C$21, $C$9, 100%, $E$9)</f>
        <v>47.358499999999999</v>
      </c>
      <c r="N704" s="14">
        <f>CHOOSE(CONTROL!$C$42, 47.3755, 47.3755) * CHOOSE(CONTROL!$C$21, $C$9, 100%, $E$9)</f>
        <v>47.375500000000002</v>
      </c>
      <c r="O704" s="14">
        <f>CHOOSE(CONTROL!$C$42, 47.5878, 47.5878) * CHOOSE(CONTROL!$C$21, $C$9, 100%, $E$9)</f>
        <v>47.587800000000001</v>
      </c>
      <c r="P704" s="14">
        <f>CHOOSE(CONTROL!$C$42, 47.5153, 47.5153) * CHOOSE(CONTROL!$C$21, $C$9, 100%, $E$9)</f>
        <v>47.515300000000003</v>
      </c>
      <c r="Q704" s="14">
        <f>CHOOSE(CONTROL!$C$42, 48.1825, 48.1825) * CHOOSE(CONTROL!$C$21, $C$9, 100%, $E$9)</f>
        <v>48.182499999999997</v>
      </c>
      <c r="R704" s="14">
        <f>CHOOSE(CONTROL!$C$42, 48.89, 48.89) * CHOOSE(CONTROL!$C$21, $C$9, 100%, $E$9)</f>
        <v>48.89</v>
      </c>
      <c r="S704" s="14">
        <f>CHOOSE(CONTROL!$C$42, 46.4215, 46.4215) * CHOOSE(CONTROL!$C$21, $C$9, 100%, $E$9)</f>
        <v>46.421500000000002</v>
      </c>
      <c r="T70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56">
        <f>(1000*CHOOSE(CONTROL!$C$42, 695, 695)*CHOOSE(CONTROL!$C$42, 0.5599, 0.5599)*CHOOSE(CONTROL!$C$42, 31, 31))/1000000</f>
        <v>12.063045499999998</v>
      </c>
      <c r="V704" s="56">
        <f>(1000*CHOOSE(CONTROL!$C$42, 500, 500)*CHOOSE(CONTROL!$C$42, 0.275, 0.275)*CHOOSE(CONTROL!$C$42, 31, 31))/1000000</f>
        <v>4.2625000000000002</v>
      </c>
      <c r="W704" s="56">
        <f>(1000*CHOOSE(CONTROL!$C$42, 0.1146, 0.1146)*CHOOSE(CONTROL!$C$42, 121.5, 121.5)*CHOOSE(CONTROL!$C$42, 31, 31))/1000000</f>
        <v>0.43164089999999994</v>
      </c>
      <c r="X704" s="56">
        <f>(31*0.1790888*245000/1000000)+(31*0.2374*100000/1000000)</f>
        <v>2.0961194359999999</v>
      </c>
      <c r="Y704" s="56"/>
      <c r="Z704" s="14"/>
      <c r="AA704" s="55"/>
      <c r="AB704" s="49">
        <f>(B704*194.205+C704*267.466+D704*133.845+E704*53.484+F704*40+G704*185+H704*0+I704*100+J704*300)/(194.205+267.466+133.845+53.484+0+40+185+100+300)</f>
        <v>48.385144029984303</v>
      </c>
      <c r="AC704" s="44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47.485966906474822</v>
      </c>
    </row>
    <row r="705" spans="1:29" ht="15.75" x14ac:dyDescent="0.25">
      <c r="A705" s="31">
        <v>62366</v>
      </c>
      <c r="B705" s="14">
        <f>CHOOSE(CONTROL!$C$42, 45.2542, 45.2542) * CHOOSE(CONTROL!$C$21, $C$9, 100%, $E$9)</f>
        <v>45.254199999999997</v>
      </c>
      <c r="C705" s="14">
        <f>CHOOSE(CONTROL!$C$42, 45.2622, 45.2622) * CHOOSE(CONTROL!$C$21, $C$9, 100%, $E$9)</f>
        <v>45.2622</v>
      </c>
      <c r="D705" s="14">
        <f>CHOOSE(CONTROL!$C$42, 45.488, 45.488) * CHOOSE(CONTROL!$C$21, $C$9, 100%, $E$9)</f>
        <v>45.488</v>
      </c>
      <c r="E705" s="14">
        <f>CHOOSE(CONTROL!$C$42, 45.5195, 45.5195) * CHOOSE(CONTROL!$C$21, $C$9, 100%, $E$9)</f>
        <v>45.519500000000001</v>
      </c>
      <c r="F705" s="14">
        <f>CHOOSE(CONTROL!$C$42, 45.281, 45.281)*CHOOSE(CONTROL!$C$21, $C$9, 100%, $E$9)</f>
        <v>45.280999999999999</v>
      </c>
      <c r="G705" s="14">
        <f>CHOOSE(CONTROL!$C$42, 45.2983, 45.2983)*CHOOSE(CONTROL!$C$21, $C$9, 100%, $E$9)</f>
        <v>45.298299999999998</v>
      </c>
      <c r="H705" s="14">
        <f>CHOOSE(CONTROL!$C$42, 45.5081, 45.5081) * CHOOSE(CONTROL!$C$21, $C$9, 100%, $E$9)</f>
        <v>45.508099999999999</v>
      </c>
      <c r="I705" s="14">
        <f>CHOOSE(CONTROL!$C$42, 45.4275, 45.4275)* CHOOSE(CONTROL!$C$21, $C$9, 100%, $E$9)</f>
        <v>45.427500000000002</v>
      </c>
      <c r="J705" s="14">
        <f>CHOOSE(CONTROL!$C$42, 45.274, 45.274)* CHOOSE(CONTROL!$C$21, $C$9, 100%, $E$9)</f>
        <v>45.274000000000001</v>
      </c>
      <c r="K705" s="52">
        <f>CHOOSE(CONTROL!$C$42, 45.4236, 45.4236) * CHOOSE(CONTROL!$C$21, $C$9, 100%, $E$9)</f>
        <v>45.4236</v>
      </c>
      <c r="L705" s="14">
        <f>CHOOSE(CONTROL!$C$42, 46.0951, 46.0951) * CHOOSE(CONTROL!$C$21, $C$9, 100%, $E$9)</f>
        <v>46.095100000000002</v>
      </c>
      <c r="M705" s="14">
        <f>CHOOSE(CONTROL!$C$42, 44.3541, 44.3541) * CHOOSE(CONTROL!$C$21, $C$9, 100%, $E$9)</f>
        <v>44.354100000000003</v>
      </c>
      <c r="N705" s="14">
        <f>CHOOSE(CONTROL!$C$42, 44.371, 44.371) * CHOOSE(CONTROL!$C$21, $C$9, 100%, $E$9)</f>
        <v>44.371000000000002</v>
      </c>
      <c r="O705" s="14">
        <f>CHOOSE(CONTROL!$C$42, 44.5834, 44.5834) * CHOOSE(CONTROL!$C$21, $C$9, 100%, $E$9)</f>
        <v>44.583399999999997</v>
      </c>
      <c r="P705" s="14">
        <f>CHOOSE(CONTROL!$C$42, 44.5016, 44.5016) * CHOOSE(CONTROL!$C$21, $C$9, 100%, $E$9)</f>
        <v>44.501600000000003</v>
      </c>
      <c r="Q705" s="14">
        <f>CHOOSE(CONTROL!$C$42, 45.1781, 45.1781) * CHOOSE(CONTROL!$C$21, $C$9, 100%, $E$9)</f>
        <v>45.178100000000001</v>
      </c>
      <c r="R705" s="14">
        <f>CHOOSE(CONTROL!$C$42, 45.878, 45.878) * CHOOSE(CONTROL!$C$21, $C$9, 100%, $E$9)</f>
        <v>45.878</v>
      </c>
      <c r="S705" s="14">
        <f>CHOOSE(CONTROL!$C$42, 43.4741, 43.4741) * CHOOSE(CONTROL!$C$21, $C$9, 100%, $E$9)</f>
        <v>43.4741</v>
      </c>
      <c r="T70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56">
        <f>(1000*CHOOSE(CONTROL!$C$42, 695, 695)*CHOOSE(CONTROL!$C$42, 0.5599, 0.5599)*CHOOSE(CONTROL!$C$42, 30, 30))/1000000</f>
        <v>11.673914999999997</v>
      </c>
      <c r="V705" s="56">
        <f>(1000*CHOOSE(CONTROL!$C$42, 500, 500)*CHOOSE(CONTROL!$C$42, 0.275, 0.275)*CHOOSE(CONTROL!$C$42, 30, 30))/1000000</f>
        <v>4.125</v>
      </c>
      <c r="W705" s="56">
        <f>(1000*CHOOSE(CONTROL!$C$42, 0.1146, 0.1146)*CHOOSE(CONTROL!$C$42, 121.5, 121.5)*CHOOSE(CONTROL!$C$42, 30, 30))/1000000</f>
        <v>0.417717</v>
      </c>
      <c r="X705" s="56">
        <f>(30*0.1790888*245000/1000000)+(30*0.2374*100000/1000000)</f>
        <v>2.0285026799999999</v>
      </c>
      <c r="Y705" s="56"/>
      <c r="Z705" s="14"/>
      <c r="AA705" s="55"/>
      <c r="AB705" s="49">
        <f>(B705*194.205+C705*267.466+D705*133.845+E705*53.484+F705*40+G705*185+H705*0+I705*100+J705*300)/(194.205+267.466+133.845+53.484+0+40+185+100+300)</f>
        <v>45.317090497802198</v>
      </c>
      <c r="AC705" s="44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44.480223021582738</v>
      </c>
    </row>
    <row r="706" spans="1:29" ht="15.75" x14ac:dyDescent="0.25">
      <c r="A706" s="31">
        <v>62397</v>
      </c>
      <c r="B706" s="14">
        <f>CHOOSE(CONTROL!$C$42, 44.3339, 44.3339) * CHOOSE(CONTROL!$C$21, $C$9, 100%, $E$9)</f>
        <v>44.3339</v>
      </c>
      <c r="C706" s="14">
        <f>CHOOSE(CONTROL!$C$42, 44.3392, 44.3392) * CHOOSE(CONTROL!$C$21, $C$9, 100%, $E$9)</f>
        <v>44.339199999999998</v>
      </c>
      <c r="D706" s="14">
        <f>CHOOSE(CONTROL!$C$42, 44.5699, 44.5699) * CHOOSE(CONTROL!$C$21, $C$9, 100%, $E$9)</f>
        <v>44.569899999999997</v>
      </c>
      <c r="E706" s="14">
        <f>CHOOSE(CONTROL!$C$42, 44.5991, 44.5991) * CHOOSE(CONTROL!$C$21, $C$9, 100%, $E$9)</f>
        <v>44.5991</v>
      </c>
      <c r="F706" s="14">
        <f>CHOOSE(CONTROL!$C$42, 44.3627, 44.3627)*CHOOSE(CONTROL!$C$21, $C$9, 100%, $E$9)</f>
        <v>44.362699999999997</v>
      </c>
      <c r="G706" s="14">
        <f>CHOOSE(CONTROL!$C$42, 44.3798, 44.3798)*CHOOSE(CONTROL!$C$21, $C$9, 100%, $E$9)</f>
        <v>44.379800000000003</v>
      </c>
      <c r="H706" s="14">
        <f>CHOOSE(CONTROL!$C$42, 44.5895, 44.5895) * CHOOSE(CONTROL!$C$21, $C$9, 100%, $E$9)</f>
        <v>44.589500000000001</v>
      </c>
      <c r="I706" s="14">
        <f>CHOOSE(CONTROL!$C$42, 44.506, 44.506)* CHOOSE(CONTROL!$C$21, $C$9, 100%, $E$9)</f>
        <v>44.506</v>
      </c>
      <c r="J706" s="14">
        <f>CHOOSE(CONTROL!$C$42, 44.3557, 44.3557)* CHOOSE(CONTROL!$C$21, $C$9, 100%, $E$9)</f>
        <v>44.355699999999999</v>
      </c>
      <c r="K706" s="52">
        <f>CHOOSE(CONTROL!$C$42, 44.5021, 44.5021) * CHOOSE(CONTROL!$C$21, $C$9, 100%, $E$9)</f>
        <v>44.502099999999999</v>
      </c>
      <c r="L706" s="14">
        <f>CHOOSE(CONTROL!$C$42, 45.1765, 45.1765) * CHOOSE(CONTROL!$C$21, $C$9, 100%, $E$9)</f>
        <v>45.176499999999997</v>
      </c>
      <c r="M706" s="14">
        <f>CHOOSE(CONTROL!$C$42, 43.4546, 43.4546) * CHOOSE(CONTROL!$C$21, $C$9, 100%, $E$9)</f>
        <v>43.454599999999999</v>
      </c>
      <c r="N706" s="14">
        <f>CHOOSE(CONTROL!$C$42, 43.4714, 43.4714) * CHOOSE(CONTROL!$C$21, $C$9, 100%, $E$9)</f>
        <v>43.471400000000003</v>
      </c>
      <c r="O706" s="14">
        <f>CHOOSE(CONTROL!$C$42, 43.6836, 43.6836) * CHOOSE(CONTROL!$C$21, $C$9, 100%, $E$9)</f>
        <v>43.683599999999998</v>
      </c>
      <c r="P706" s="14">
        <f>CHOOSE(CONTROL!$C$42, 43.5991, 43.5991) * CHOOSE(CONTROL!$C$21, $C$9, 100%, $E$9)</f>
        <v>43.5991</v>
      </c>
      <c r="Q706" s="14">
        <f>CHOOSE(CONTROL!$C$42, 44.2783, 44.2783) * CHOOSE(CONTROL!$C$21, $C$9, 100%, $E$9)</f>
        <v>44.278300000000002</v>
      </c>
      <c r="R706" s="14">
        <f>CHOOSE(CONTROL!$C$42, 44.976, 44.976) * CHOOSE(CONTROL!$C$21, $C$9, 100%, $E$9)</f>
        <v>44.975999999999999</v>
      </c>
      <c r="S706" s="14">
        <f>CHOOSE(CONTROL!$C$42, 42.5915, 42.5915) * CHOOSE(CONTROL!$C$21, $C$9, 100%, $E$9)</f>
        <v>42.591500000000003</v>
      </c>
      <c r="T70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56">
        <f>(1000*CHOOSE(CONTROL!$C$42, 695, 695)*CHOOSE(CONTROL!$C$42, 0.5599, 0.5599)*CHOOSE(CONTROL!$C$42, 31, 31))/1000000</f>
        <v>12.063045499999998</v>
      </c>
      <c r="V706" s="56">
        <f>(1000*CHOOSE(CONTROL!$C$42, 500, 500)*CHOOSE(CONTROL!$C$42, 0.275, 0.275)*CHOOSE(CONTROL!$C$42, 31, 31))/1000000</f>
        <v>4.2625000000000002</v>
      </c>
      <c r="W706" s="56">
        <f>(1000*CHOOSE(CONTROL!$C$42, 0.1146, 0.1146)*CHOOSE(CONTROL!$C$42, 121.5, 121.5)*CHOOSE(CONTROL!$C$42, 31, 31))/1000000</f>
        <v>0.43164089999999994</v>
      </c>
      <c r="X706" s="56">
        <f>(31*0.1790888*245000/1000000)+(31*0.2374*100000/1000000)</f>
        <v>2.0961194359999999</v>
      </c>
      <c r="Y706" s="56"/>
      <c r="Z706" s="14"/>
      <c r="AA706" s="55"/>
      <c r="AB706" s="49">
        <f>(B706*131.881+C706*277.167+D706*79.08+E706*125.872+F706*40+G706*185+H706*0+I706*100+J706*300)/(131.881+277.167+79.08+125.872+0+40+185+100+300)</f>
        <v>44.404042550040352</v>
      </c>
      <c r="AC706" s="44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43.580149640287765</v>
      </c>
    </row>
    <row r="707" spans="1:29" ht="15.75" x14ac:dyDescent="0.25">
      <c r="A707" s="31">
        <v>62427</v>
      </c>
      <c r="B707" s="14">
        <f>CHOOSE(CONTROL!$C$42, 45.5011, 45.5011) * CHOOSE(CONTROL!$C$21, $C$9, 100%, $E$9)</f>
        <v>45.501100000000001</v>
      </c>
      <c r="C707" s="14">
        <f>CHOOSE(CONTROL!$C$42, 45.5062, 45.5062) * CHOOSE(CONTROL!$C$21, $C$9, 100%, $E$9)</f>
        <v>45.5062</v>
      </c>
      <c r="D707" s="14">
        <f>CHOOSE(CONTROL!$C$42, 45.5752, 45.5752) * CHOOSE(CONTROL!$C$21, $C$9, 100%, $E$9)</f>
        <v>45.575200000000002</v>
      </c>
      <c r="E707" s="14">
        <f>CHOOSE(CONTROL!$C$42, 45.6093, 45.6093) * CHOOSE(CONTROL!$C$21, $C$9, 100%, $E$9)</f>
        <v>45.609299999999998</v>
      </c>
      <c r="F707" s="14">
        <f>CHOOSE(CONTROL!$C$42, 45.5367, 45.5367)*CHOOSE(CONTROL!$C$21, $C$9, 100%, $E$9)</f>
        <v>45.536700000000003</v>
      </c>
      <c r="G707" s="14">
        <f>CHOOSE(CONTROL!$C$42, 45.5541, 45.5541)*CHOOSE(CONTROL!$C$21, $C$9, 100%, $E$9)</f>
        <v>45.554099999999998</v>
      </c>
      <c r="H707" s="14">
        <f>CHOOSE(CONTROL!$C$42, 45.5985, 45.5985) * CHOOSE(CONTROL!$C$21, $C$9, 100%, $E$9)</f>
        <v>45.598500000000001</v>
      </c>
      <c r="I707" s="14">
        <f>CHOOSE(CONTROL!$C$42, 45.68, 45.68)* CHOOSE(CONTROL!$C$21, $C$9, 100%, $E$9)</f>
        <v>45.68</v>
      </c>
      <c r="J707" s="14">
        <f>CHOOSE(CONTROL!$C$42, 45.5297, 45.5297)* CHOOSE(CONTROL!$C$21, $C$9, 100%, $E$9)</f>
        <v>45.529699999999998</v>
      </c>
      <c r="K707" s="52">
        <f>CHOOSE(CONTROL!$C$42, 45.6761, 45.6761) * CHOOSE(CONTROL!$C$21, $C$9, 100%, $E$9)</f>
        <v>45.676099999999998</v>
      </c>
      <c r="L707" s="14">
        <f>CHOOSE(CONTROL!$C$42, 46.1855, 46.1855) * CHOOSE(CONTROL!$C$21, $C$9, 100%, $E$9)</f>
        <v>46.185499999999998</v>
      </c>
      <c r="M707" s="14">
        <f>CHOOSE(CONTROL!$C$42, 44.6045, 44.6045) * CHOOSE(CONTROL!$C$21, $C$9, 100%, $E$9)</f>
        <v>44.604500000000002</v>
      </c>
      <c r="N707" s="14">
        <f>CHOOSE(CONTROL!$C$42, 44.6216, 44.6216) * CHOOSE(CONTROL!$C$21, $C$9, 100%, $E$9)</f>
        <v>44.621600000000001</v>
      </c>
      <c r="O707" s="14">
        <f>CHOOSE(CONTROL!$C$42, 44.6719, 44.6719) * CHOOSE(CONTROL!$C$21, $C$9, 100%, $E$9)</f>
        <v>44.671900000000001</v>
      </c>
      <c r="P707" s="14">
        <f>CHOOSE(CONTROL!$C$42, 44.7489, 44.7489) * CHOOSE(CONTROL!$C$21, $C$9, 100%, $E$9)</f>
        <v>44.748899999999999</v>
      </c>
      <c r="Q707" s="14">
        <f>CHOOSE(CONTROL!$C$42, 45.2666, 45.2666) * CHOOSE(CONTROL!$C$21, $C$9, 100%, $E$9)</f>
        <v>45.266599999999997</v>
      </c>
      <c r="R707" s="14">
        <f>CHOOSE(CONTROL!$C$42, 45.9668, 45.9668) * CHOOSE(CONTROL!$C$21, $C$9, 100%, $E$9)</f>
        <v>45.966799999999999</v>
      </c>
      <c r="S707" s="14">
        <f>CHOOSE(CONTROL!$C$42, 43.7135, 43.7135) * CHOOSE(CONTROL!$C$21, $C$9, 100%, $E$9)</f>
        <v>43.713500000000003</v>
      </c>
      <c r="T70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56">
        <f>(1000*CHOOSE(CONTROL!$C$42, 695, 695)*CHOOSE(CONTROL!$C$42, 0.5599, 0.5599)*CHOOSE(CONTROL!$C$42, 30, 30))/1000000</f>
        <v>11.673914999999997</v>
      </c>
      <c r="V707" s="56">
        <f>(1000*CHOOSE(CONTROL!$C$42, 500, 500)*CHOOSE(CONTROL!$C$42, 0.275, 0.275)*CHOOSE(CONTROL!$C$42, 30, 30))/1000000</f>
        <v>4.125</v>
      </c>
      <c r="W707" s="56">
        <f>(1000*CHOOSE(CONTROL!$C$42, 0.1146, 0.1146)*CHOOSE(CONTROL!$C$42, 121.5, 121.5)*CHOOSE(CONTROL!$C$42, 30, 30))/1000000</f>
        <v>0.417717</v>
      </c>
      <c r="X707" s="56">
        <f>(30*0.1790888*100000/1000000)+(30*0.2374*100000/1000000)</f>
        <v>1.2494664</v>
      </c>
      <c r="Y707" s="56"/>
      <c r="Z707" s="14"/>
      <c r="AA707" s="55"/>
      <c r="AB707" s="49">
        <f>(B707*122.58+C707*297.941+D707*89.177+E707*40.302+F707*40+G707*160+H707*0+I707*100+J707*300)/(122.58+297.941+89.177+40.302+0+40+160+100+300)</f>
        <v>45.543588861913051</v>
      </c>
      <c r="AC707" s="44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44.656809352517982</v>
      </c>
    </row>
    <row r="708" spans="1:29" ht="15.75" x14ac:dyDescent="0.25">
      <c r="A708" s="31">
        <v>62458</v>
      </c>
      <c r="B708" s="14">
        <f>CHOOSE(CONTROL!$C$42, 48.6027, 48.6027) * CHOOSE(CONTROL!$C$21, $C$9, 100%, $E$9)</f>
        <v>48.602699999999999</v>
      </c>
      <c r="C708" s="14">
        <f>CHOOSE(CONTROL!$C$42, 48.6078, 48.6078) * CHOOSE(CONTROL!$C$21, $C$9, 100%, $E$9)</f>
        <v>48.607799999999997</v>
      </c>
      <c r="D708" s="14">
        <f>CHOOSE(CONTROL!$C$42, 48.6768, 48.6768) * CHOOSE(CONTROL!$C$21, $C$9, 100%, $E$9)</f>
        <v>48.6768</v>
      </c>
      <c r="E708" s="14">
        <f>CHOOSE(CONTROL!$C$42, 48.7109, 48.7109) * CHOOSE(CONTROL!$C$21, $C$9, 100%, $E$9)</f>
        <v>48.710900000000002</v>
      </c>
      <c r="F708" s="14">
        <f>CHOOSE(CONTROL!$C$42, 48.6406, 48.6406)*CHOOSE(CONTROL!$C$21, $C$9, 100%, $E$9)</f>
        <v>48.640599999999999</v>
      </c>
      <c r="G708" s="14">
        <f>CHOOSE(CONTROL!$C$42, 48.6586, 48.6586)*CHOOSE(CONTROL!$C$21, $C$9, 100%, $E$9)</f>
        <v>48.6586</v>
      </c>
      <c r="H708" s="14">
        <f>CHOOSE(CONTROL!$C$42, 48.7001, 48.7001) * CHOOSE(CONTROL!$C$21, $C$9, 100%, $E$9)</f>
        <v>48.700099999999999</v>
      </c>
      <c r="I708" s="14">
        <f>CHOOSE(CONTROL!$C$42, 48.7913, 48.7913)* CHOOSE(CONTROL!$C$21, $C$9, 100%, $E$9)</f>
        <v>48.7913</v>
      </c>
      <c r="J708" s="14">
        <f>CHOOSE(CONTROL!$C$42, 48.6336, 48.6336)* CHOOSE(CONTROL!$C$21, $C$9, 100%, $E$9)</f>
        <v>48.633600000000001</v>
      </c>
      <c r="K708" s="52">
        <f>CHOOSE(CONTROL!$C$42, 48.7874, 48.7874) * CHOOSE(CONTROL!$C$21, $C$9, 100%, $E$9)</f>
        <v>48.787399999999998</v>
      </c>
      <c r="L708" s="14">
        <f>CHOOSE(CONTROL!$C$42, 49.2871, 49.2871) * CHOOSE(CONTROL!$C$21, $C$9, 100%, $E$9)</f>
        <v>49.287100000000002</v>
      </c>
      <c r="M708" s="14">
        <f>CHOOSE(CONTROL!$C$42, 47.6448, 47.6448) * CHOOSE(CONTROL!$C$21, $C$9, 100%, $E$9)</f>
        <v>47.644799999999996</v>
      </c>
      <c r="N708" s="14">
        <f>CHOOSE(CONTROL!$C$42, 47.6624, 47.6624) * CHOOSE(CONTROL!$C$21, $C$9, 100%, $E$9)</f>
        <v>47.662399999999998</v>
      </c>
      <c r="O708" s="14">
        <f>CHOOSE(CONTROL!$C$42, 47.71, 47.71) * CHOOSE(CONTROL!$C$21, $C$9, 100%, $E$9)</f>
        <v>47.71</v>
      </c>
      <c r="P708" s="14">
        <f>CHOOSE(CONTROL!$C$42, 47.7963, 47.7963) * CHOOSE(CONTROL!$C$21, $C$9, 100%, $E$9)</f>
        <v>47.796300000000002</v>
      </c>
      <c r="Q708" s="14">
        <f>CHOOSE(CONTROL!$C$42, 48.3047, 48.3047) * CHOOSE(CONTROL!$C$21, $C$9, 100%, $E$9)</f>
        <v>48.304699999999997</v>
      </c>
      <c r="R708" s="14">
        <f>CHOOSE(CONTROL!$C$42, 49.0124, 49.0124) * CHOOSE(CONTROL!$C$21, $C$9, 100%, $E$9)</f>
        <v>49.0124</v>
      </c>
      <c r="S708" s="14">
        <f>CHOOSE(CONTROL!$C$42, 46.6938, 46.6938) * CHOOSE(CONTROL!$C$21, $C$9, 100%, $E$9)</f>
        <v>46.693800000000003</v>
      </c>
      <c r="T70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56">
        <f>(1000*CHOOSE(CONTROL!$C$42, 695, 695)*CHOOSE(CONTROL!$C$42, 0.5599, 0.5599)*CHOOSE(CONTROL!$C$42, 31, 31))/1000000</f>
        <v>12.063045499999998</v>
      </c>
      <c r="V708" s="56">
        <f>(1000*CHOOSE(CONTROL!$C$42, 500, 500)*CHOOSE(CONTROL!$C$42, 0.275, 0.275)*CHOOSE(CONTROL!$C$42, 31, 31))/1000000</f>
        <v>4.2625000000000002</v>
      </c>
      <c r="W708" s="56">
        <f>(1000*CHOOSE(CONTROL!$C$42, 0.1146, 0.1146)*CHOOSE(CONTROL!$C$42, 121.5, 121.5)*CHOOSE(CONTROL!$C$42, 31, 31))/1000000</f>
        <v>0.43164089999999994</v>
      </c>
      <c r="X708" s="56">
        <f>(31*0.1790888*100000/1000000)+(31*0.2374*100000/1000000)</f>
        <v>1.2911152800000001</v>
      </c>
      <c r="Y708" s="56"/>
      <c r="Z708" s="14"/>
      <c r="AA708" s="55"/>
      <c r="AB708" s="49">
        <f>(B708*122.58+C708*297.941+D708*89.177+E708*40.302+F708*40+G708*160+H708*0+I708*100+J708*300)/(122.58+297.941+89.177+40.302+0+40+160+100+300)</f>
        <v>48.647115818434784</v>
      </c>
      <c r="AC708" s="44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47.697162589928055</v>
      </c>
    </row>
    <row r="709" spans="1:29" ht="15.75" x14ac:dyDescent="0.25">
      <c r="A709" s="31">
        <v>62489</v>
      </c>
      <c r="B709" s="14">
        <f>CHOOSE(CONTROL!$C$42, 52.6311, 52.6311) * CHOOSE(CONTROL!$C$21, $C$9, 100%, $E$9)</f>
        <v>52.631100000000004</v>
      </c>
      <c r="C709" s="14">
        <f>CHOOSE(CONTROL!$C$42, 52.6362, 52.6362) * CHOOSE(CONTROL!$C$21, $C$9, 100%, $E$9)</f>
        <v>52.636200000000002</v>
      </c>
      <c r="D709" s="14">
        <f>CHOOSE(CONTROL!$C$42, 52.7156, 52.7156) * CHOOSE(CONTROL!$C$21, $C$9, 100%, $E$9)</f>
        <v>52.715600000000002</v>
      </c>
      <c r="E709" s="14">
        <f>CHOOSE(CONTROL!$C$42, 52.7497, 52.7497) * CHOOSE(CONTROL!$C$21, $C$9, 100%, $E$9)</f>
        <v>52.749699999999997</v>
      </c>
      <c r="F709" s="14">
        <f>CHOOSE(CONTROL!$C$42, 52.6542, 52.6542)*CHOOSE(CONTROL!$C$21, $C$9, 100%, $E$9)</f>
        <v>52.654200000000003</v>
      </c>
      <c r="G709" s="14">
        <f>CHOOSE(CONTROL!$C$42, 52.6717, 52.6717)*CHOOSE(CONTROL!$C$21, $C$9, 100%, $E$9)</f>
        <v>52.671700000000001</v>
      </c>
      <c r="H709" s="14">
        <f>CHOOSE(CONTROL!$C$42, 52.7389, 52.7389) * CHOOSE(CONTROL!$C$21, $C$9, 100%, $E$9)</f>
        <v>52.738900000000001</v>
      </c>
      <c r="I709" s="14">
        <f>CHOOSE(CONTROL!$C$42, 52.8313, 52.8313)* CHOOSE(CONTROL!$C$21, $C$9, 100%, $E$9)</f>
        <v>52.831299999999999</v>
      </c>
      <c r="J709" s="14">
        <f>CHOOSE(CONTROL!$C$42, 52.6472, 52.6472)* CHOOSE(CONTROL!$C$21, $C$9, 100%, $E$9)</f>
        <v>52.647199999999998</v>
      </c>
      <c r="K709" s="52">
        <f>CHOOSE(CONTROL!$C$42, 52.8274, 52.8274) * CHOOSE(CONTROL!$C$21, $C$9, 100%, $E$9)</f>
        <v>52.827399999999997</v>
      </c>
      <c r="L709" s="14">
        <f>CHOOSE(CONTROL!$C$42, 53.3259, 53.3259) * CHOOSE(CONTROL!$C$21, $C$9, 100%, $E$9)</f>
        <v>53.325899999999997</v>
      </c>
      <c r="M709" s="14">
        <f>CHOOSE(CONTROL!$C$42, 51.5762, 51.5762) * CHOOSE(CONTROL!$C$21, $C$9, 100%, $E$9)</f>
        <v>51.5762</v>
      </c>
      <c r="N709" s="14">
        <f>CHOOSE(CONTROL!$C$42, 51.5933, 51.5933) * CHOOSE(CONTROL!$C$21, $C$9, 100%, $E$9)</f>
        <v>51.593299999999999</v>
      </c>
      <c r="O709" s="14">
        <f>CHOOSE(CONTROL!$C$42, 51.666, 51.666) * CHOOSE(CONTROL!$C$21, $C$9, 100%, $E$9)</f>
        <v>51.665999999999997</v>
      </c>
      <c r="P709" s="14">
        <f>CHOOSE(CONTROL!$C$42, 51.7532, 51.7532) * CHOOSE(CONTROL!$C$21, $C$9, 100%, $E$9)</f>
        <v>51.7532</v>
      </c>
      <c r="Q709" s="14">
        <f>CHOOSE(CONTROL!$C$42, 52.2607, 52.2607) * CHOOSE(CONTROL!$C$21, $C$9, 100%, $E$9)</f>
        <v>52.2607</v>
      </c>
      <c r="R709" s="14">
        <f>CHOOSE(CONTROL!$C$42, 52.9784, 52.9784) * CHOOSE(CONTROL!$C$21, $C$9, 100%, $E$9)</f>
        <v>52.978400000000001</v>
      </c>
      <c r="S709" s="14">
        <f>CHOOSE(CONTROL!$C$42, 50.5647, 50.5647) * CHOOSE(CONTROL!$C$21, $C$9, 100%, $E$9)</f>
        <v>50.564700000000002</v>
      </c>
      <c r="T70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56">
        <f>(1000*CHOOSE(CONTROL!$C$42, 695, 695)*CHOOSE(CONTROL!$C$42, 0.5599, 0.5599)*CHOOSE(CONTROL!$C$42, 31, 31))/1000000</f>
        <v>12.063045499999998</v>
      </c>
      <c r="V709" s="56">
        <f>(1000*CHOOSE(CONTROL!$C$42, 500, 500)*CHOOSE(CONTROL!$C$42, 0.275, 0.275)*CHOOSE(CONTROL!$C$42, 31, 31))/1000000</f>
        <v>4.2625000000000002</v>
      </c>
      <c r="W709" s="56">
        <f>(1000*CHOOSE(CONTROL!$C$42, 0.1146, 0.1146)*CHOOSE(CONTROL!$C$42, 121.5, 121.5)*CHOOSE(CONTROL!$C$42, 31, 31))/1000000</f>
        <v>0.43164089999999994</v>
      </c>
      <c r="X709" s="56">
        <f>(31*0.1790888*100000/1000000)+(31*0.2374*100000/1000000)</f>
        <v>1.2911152800000001</v>
      </c>
      <c r="Y709" s="56"/>
      <c r="Z709" s="14"/>
      <c r="AA709" s="55"/>
      <c r="AB709" s="49">
        <f>(B709*122.58+C709*297.941+D709*89.177+E709*40.302+F709*40+G709*160+H709*0+I709*100+J709*300)/(122.58+297.941+89.177+40.302+0+40+160+100+300)</f>
        <v>52.671191106782608</v>
      </c>
      <c r="AC709" s="44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51.643352517985605</v>
      </c>
    </row>
    <row r="710" spans="1:29" ht="15.75" x14ac:dyDescent="0.25">
      <c r="A710" s="31">
        <v>62517</v>
      </c>
      <c r="B710" s="14">
        <f>CHOOSE(CONTROL!$C$42, 53.5679, 53.5679) * CHOOSE(CONTROL!$C$21, $C$9, 100%, $E$9)</f>
        <v>53.567900000000002</v>
      </c>
      <c r="C710" s="14">
        <f>CHOOSE(CONTROL!$C$42, 53.5729, 53.5729) * CHOOSE(CONTROL!$C$21, $C$9, 100%, $E$9)</f>
        <v>53.572899999999997</v>
      </c>
      <c r="D710" s="14">
        <f>CHOOSE(CONTROL!$C$42, 53.6524, 53.6524) * CHOOSE(CONTROL!$C$21, $C$9, 100%, $E$9)</f>
        <v>53.6524</v>
      </c>
      <c r="E710" s="14">
        <f>CHOOSE(CONTROL!$C$42, 53.6865, 53.6865) * CHOOSE(CONTROL!$C$21, $C$9, 100%, $E$9)</f>
        <v>53.686500000000002</v>
      </c>
      <c r="F710" s="14">
        <f>CHOOSE(CONTROL!$C$42, 53.5907, 53.5907)*CHOOSE(CONTROL!$C$21, $C$9, 100%, $E$9)</f>
        <v>53.590699999999998</v>
      </c>
      <c r="G710" s="14">
        <f>CHOOSE(CONTROL!$C$42, 53.6081, 53.6081)*CHOOSE(CONTROL!$C$21, $C$9, 100%, $E$9)</f>
        <v>53.6081</v>
      </c>
      <c r="H710" s="14">
        <f>CHOOSE(CONTROL!$C$42, 53.6757, 53.6757) * CHOOSE(CONTROL!$C$21, $C$9, 100%, $E$9)</f>
        <v>53.675699999999999</v>
      </c>
      <c r="I710" s="14">
        <f>CHOOSE(CONTROL!$C$42, 53.7709, 53.7709)* CHOOSE(CONTROL!$C$21, $C$9, 100%, $E$9)</f>
        <v>53.770899999999997</v>
      </c>
      <c r="J710" s="14">
        <f>CHOOSE(CONTROL!$C$42, 53.5837, 53.5837)* CHOOSE(CONTROL!$C$21, $C$9, 100%, $E$9)</f>
        <v>53.5837</v>
      </c>
      <c r="K710" s="52">
        <f>CHOOSE(CONTROL!$C$42, 53.767, 53.767) * CHOOSE(CONTROL!$C$21, $C$9, 100%, $E$9)</f>
        <v>53.767000000000003</v>
      </c>
      <c r="L710" s="14">
        <f>CHOOSE(CONTROL!$C$42, 54.2627, 54.2627) * CHOOSE(CONTROL!$C$21, $C$9, 100%, $E$9)</f>
        <v>54.262700000000002</v>
      </c>
      <c r="M710" s="14">
        <f>CHOOSE(CONTROL!$C$42, 52.4935, 52.4935) * CHOOSE(CONTROL!$C$21, $C$9, 100%, $E$9)</f>
        <v>52.493499999999997</v>
      </c>
      <c r="N710" s="14">
        <f>CHOOSE(CONTROL!$C$42, 52.5106, 52.5106) * CHOOSE(CONTROL!$C$21, $C$9, 100%, $E$9)</f>
        <v>52.510599999999997</v>
      </c>
      <c r="O710" s="14">
        <f>CHOOSE(CONTROL!$C$42, 52.5836, 52.5836) * CHOOSE(CONTROL!$C$21, $C$9, 100%, $E$9)</f>
        <v>52.583599999999997</v>
      </c>
      <c r="P710" s="14">
        <f>CHOOSE(CONTROL!$C$42, 52.6736, 52.6736) * CHOOSE(CONTROL!$C$21, $C$9, 100%, $E$9)</f>
        <v>52.6736</v>
      </c>
      <c r="Q710" s="14">
        <f>CHOOSE(CONTROL!$C$42, 53.1783, 53.1783) * CHOOSE(CONTROL!$C$21, $C$9, 100%, $E$9)</f>
        <v>53.1783</v>
      </c>
      <c r="R710" s="14">
        <f>CHOOSE(CONTROL!$C$42, 53.8982, 53.8982) * CHOOSE(CONTROL!$C$21, $C$9, 100%, $E$9)</f>
        <v>53.898200000000003</v>
      </c>
      <c r="S710" s="14">
        <f>CHOOSE(CONTROL!$C$42, 51.4648, 51.4648) * CHOOSE(CONTROL!$C$21, $C$9, 100%, $E$9)</f>
        <v>51.464799999999997</v>
      </c>
      <c r="T71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10" s="56">
        <f>(1000*CHOOSE(CONTROL!$C$42, 695, 695)*CHOOSE(CONTROL!$C$42, 0.5599, 0.5599)*CHOOSE(CONTROL!$C$42, 28, 28))/1000000</f>
        <v>10.895653999999999</v>
      </c>
      <c r="V710" s="56">
        <f>(1000*CHOOSE(CONTROL!$C$42, 500, 500)*CHOOSE(CONTROL!$C$42, 0.275, 0.275)*CHOOSE(CONTROL!$C$42, 28, 28))/1000000</f>
        <v>3.85</v>
      </c>
      <c r="W710" s="56">
        <f>(1000*CHOOSE(CONTROL!$C$42, 0.1146, 0.1146)*CHOOSE(CONTROL!$C$42, 121.5, 121.5)*CHOOSE(CONTROL!$C$42, 28, 28))/1000000</f>
        <v>0.38986920000000003</v>
      </c>
      <c r="X710" s="56">
        <f>(28*0.1790888*100000/1000000)+(28*0.2374*100000/1000000)</f>
        <v>1.16616864</v>
      </c>
      <c r="Y710" s="56"/>
      <c r="Z710" s="14"/>
      <c r="AA710" s="55"/>
      <c r="AB710" s="49">
        <f>(B710*122.58+C710*297.941+D710*89.177+E710*40.302+F710*40+G710*160+H710*0+I710*100+J710*300)/(122.58+297.941+89.177+40.302+0+40+160+100+300)</f>
        <v>53.608064329304348</v>
      </c>
      <c r="AC710" s="44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52.561234532374094</v>
      </c>
    </row>
    <row r="711" spans="1:29" ht="15.75" x14ac:dyDescent="0.25">
      <c r="A711" s="31">
        <v>62548</v>
      </c>
      <c r="B711" s="14">
        <f>CHOOSE(CONTROL!$C$42, 52.0473, 52.0473) * CHOOSE(CONTROL!$C$21, $C$9, 100%, $E$9)</f>
        <v>52.0473</v>
      </c>
      <c r="C711" s="14">
        <f>CHOOSE(CONTROL!$C$42, 52.0524, 52.0524) * CHOOSE(CONTROL!$C$21, $C$9, 100%, $E$9)</f>
        <v>52.052399999999999</v>
      </c>
      <c r="D711" s="14">
        <f>CHOOSE(CONTROL!$C$42, 52.1318, 52.1318) * CHOOSE(CONTROL!$C$21, $C$9, 100%, $E$9)</f>
        <v>52.131799999999998</v>
      </c>
      <c r="E711" s="14">
        <f>CHOOSE(CONTROL!$C$42, 52.1659, 52.1659) * CHOOSE(CONTROL!$C$21, $C$9, 100%, $E$9)</f>
        <v>52.165900000000001</v>
      </c>
      <c r="F711" s="14">
        <f>CHOOSE(CONTROL!$C$42, 52.0694, 52.0694)*CHOOSE(CONTROL!$C$21, $C$9, 100%, $E$9)</f>
        <v>52.069400000000002</v>
      </c>
      <c r="G711" s="14">
        <f>CHOOSE(CONTROL!$C$42, 52.0866, 52.0866)*CHOOSE(CONTROL!$C$21, $C$9, 100%, $E$9)</f>
        <v>52.086599999999997</v>
      </c>
      <c r="H711" s="14">
        <f>CHOOSE(CONTROL!$C$42, 52.1551, 52.1551) * CHOOSE(CONTROL!$C$21, $C$9, 100%, $E$9)</f>
        <v>52.155099999999997</v>
      </c>
      <c r="I711" s="14">
        <f>CHOOSE(CONTROL!$C$42, 52.2456, 52.2456)* CHOOSE(CONTROL!$C$21, $C$9, 100%, $E$9)</f>
        <v>52.245600000000003</v>
      </c>
      <c r="J711" s="14">
        <f>CHOOSE(CONTROL!$C$42, 52.0624, 52.0624)* CHOOSE(CONTROL!$C$21, $C$9, 100%, $E$9)</f>
        <v>52.062399999999997</v>
      </c>
      <c r="K711" s="52">
        <f>CHOOSE(CONTROL!$C$42, 52.2417, 52.2417) * CHOOSE(CONTROL!$C$21, $C$9, 100%, $E$9)</f>
        <v>52.241700000000002</v>
      </c>
      <c r="L711" s="14">
        <f>CHOOSE(CONTROL!$C$42, 52.7421, 52.7421) * CHOOSE(CONTROL!$C$21, $C$9, 100%, $E$9)</f>
        <v>52.742100000000001</v>
      </c>
      <c r="M711" s="14">
        <f>CHOOSE(CONTROL!$C$42, 51.0033, 51.0033) * CHOOSE(CONTROL!$C$21, $C$9, 100%, $E$9)</f>
        <v>51.003300000000003</v>
      </c>
      <c r="N711" s="14">
        <f>CHOOSE(CONTROL!$C$42, 51.0202, 51.0202) * CHOOSE(CONTROL!$C$21, $C$9, 100%, $E$9)</f>
        <v>51.020200000000003</v>
      </c>
      <c r="O711" s="14">
        <f>CHOOSE(CONTROL!$C$42, 51.0942, 51.0942) * CHOOSE(CONTROL!$C$21, $C$9, 100%, $E$9)</f>
        <v>51.094200000000001</v>
      </c>
      <c r="P711" s="14">
        <f>CHOOSE(CONTROL!$C$42, 51.1796, 51.1796) * CHOOSE(CONTROL!$C$21, $C$9, 100%, $E$9)</f>
        <v>51.179600000000001</v>
      </c>
      <c r="Q711" s="14">
        <f>CHOOSE(CONTROL!$C$42, 51.6889, 51.6889) * CHOOSE(CONTROL!$C$21, $C$9, 100%, $E$9)</f>
        <v>51.688899999999997</v>
      </c>
      <c r="R711" s="14">
        <f>CHOOSE(CONTROL!$C$42, 52.4051, 52.4051) * CHOOSE(CONTROL!$C$21, $C$9, 100%, $E$9)</f>
        <v>52.405099999999997</v>
      </c>
      <c r="S711" s="14">
        <f>CHOOSE(CONTROL!$C$42, 50.0037, 50.0037) * CHOOSE(CONTROL!$C$21, $C$9, 100%, $E$9)</f>
        <v>50.003700000000002</v>
      </c>
      <c r="T71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56">
        <f>(1000*CHOOSE(CONTROL!$C$42, 695, 695)*CHOOSE(CONTROL!$C$42, 0.5599, 0.5599)*CHOOSE(CONTROL!$C$42, 31, 31))/1000000</f>
        <v>12.063045499999998</v>
      </c>
      <c r="V711" s="56">
        <f>(1000*CHOOSE(CONTROL!$C$42, 500, 500)*CHOOSE(CONTROL!$C$42, 0.275, 0.275)*CHOOSE(CONTROL!$C$42, 31, 31))/1000000</f>
        <v>4.2625000000000002</v>
      </c>
      <c r="W711" s="56">
        <f>(1000*CHOOSE(CONTROL!$C$42, 0.1146, 0.1146)*CHOOSE(CONTROL!$C$42, 121.5, 121.5)*CHOOSE(CONTROL!$C$42, 31, 31))/1000000</f>
        <v>0.43164089999999994</v>
      </c>
      <c r="X711" s="56">
        <f>(31*0.1790888*100000/1000000)+(31*0.2374*100000/1000000)</f>
        <v>1.2911152800000001</v>
      </c>
      <c r="Y711" s="56"/>
      <c r="Z711" s="14"/>
      <c r="AA711" s="55"/>
      <c r="AB711" s="49">
        <f>(B711*122.58+C711*297.941+D711*89.177+E711*40.302+F711*40+G711*160+H711*0+I711*100+J711*300)/(122.58+297.941+89.177+40.302+0+40+160+100+300)</f>
        <v>52.086749367652175</v>
      </c>
      <c r="AC711" s="44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51.070838848920864</v>
      </c>
    </row>
    <row r="712" spans="1:29" ht="15.75" x14ac:dyDescent="0.25">
      <c r="A712" s="31">
        <v>62578</v>
      </c>
      <c r="B712" s="14">
        <f>CHOOSE(CONTROL!$C$42, 51.8925, 51.8925) * CHOOSE(CONTROL!$C$21, $C$9, 100%, $E$9)</f>
        <v>51.892499999999998</v>
      </c>
      <c r="C712" s="14">
        <f>CHOOSE(CONTROL!$C$42, 51.897, 51.897) * CHOOSE(CONTROL!$C$21, $C$9, 100%, $E$9)</f>
        <v>51.896999999999998</v>
      </c>
      <c r="D712" s="14">
        <f>CHOOSE(CONTROL!$C$42, 52.1259, 52.1259) * CHOOSE(CONTROL!$C$21, $C$9, 100%, $E$9)</f>
        <v>52.125900000000001</v>
      </c>
      <c r="E712" s="14">
        <f>CHOOSE(CONTROL!$C$42, 52.158, 52.158) * CHOOSE(CONTROL!$C$21, $C$9, 100%, $E$9)</f>
        <v>52.158000000000001</v>
      </c>
      <c r="F712" s="14">
        <f>CHOOSE(CONTROL!$C$42, 51.9195, 51.9195)*CHOOSE(CONTROL!$C$21, $C$9, 100%, $E$9)</f>
        <v>51.919499999999999</v>
      </c>
      <c r="G712" s="14">
        <f>CHOOSE(CONTROL!$C$42, 51.9362, 51.9362)*CHOOSE(CONTROL!$C$21, $C$9, 100%, $E$9)</f>
        <v>51.936199999999999</v>
      </c>
      <c r="H712" s="14">
        <f>CHOOSE(CONTROL!$C$42, 52.1478, 52.1478) * CHOOSE(CONTROL!$C$21, $C$9, 100%, $E$9)</f>
        <v>52.147799999999997</v>
      </c>
      <c r="I712" s="14">
        <f>CHOOSE(CONTROL!$C$42, 52.088, 52.088)* CHOOSE(CONTROL!$C$21, $C$9, 100%, $E$9)</f>
        <v>52.088000000000001</v>
      </c>
      <c r="J712" s="14">
        <f>CHOOSE(CONTROL!$C$42, 51.9125, 51.9125)* CHOOSE(CONTROL!$C$21, $C$9, 100%, $E$9)</f>
        <v>51.912500000000001</v>
      </c>
      <c r="K712" s="52">
        <f>CHOOSE(CONTROL!$C$42, 52.0841, 52.0841) * CHOOSE(CONTROL!$C$21, $C$9, 100%, $E$9)</f>
        <v>52.084099999999999</v>
      </c>
      <c r="L712" s="14">
        <f>CHOOSE(CONTROL!$C$42, 52.7348, 52.7348) * CHOOSE(CONTROL!$C$21, $C$9, 100%, $E$9)</f>
        <v>52.7348</v>
      </c>
      <c r="M712" s="14">
        <f>CHOOSE(CONTROL!$C$42, 50.8566, 50.8566) * CHOOSE(CONTROL!$C$21, $C$9, 100%, $E$9)</f>
        <v>50.8566</v>
      </c>
      <c r="N712" s="14">
        <f>CHOOSE(CONTROL!$C$42, 50.8729, 50.8729) * CHOOSE(CONTROL!$C$21, $C$9, 100%, $E$9)</f>
        <v>50.872900000000001</v>
      </c>
      <c r="O712" s="14">
        <f>CHOOSE(CONTROL!$C$42, 51.087, 51.087) * CHOOSE(CONTROL!$C$21, $C$9, 100%, $E$9)</f>
        <v>51.087000000000003</v>
      </c>
      <c r="P712" s="14">
        <f>CHOOSE(CONTROL!$C$42, 51.0252, 51.0252) * CHOOSE(CONTROL!$C$21, $C$9, 100%, $E$9)</f>
        <v>51.025199999999998</v>
      </c>
      <c r="Q712" s="14">
        <f>CHOOSE(CONTROL!$C$42, 51.6817, 51.6817) * CHOOSE(CONTROL!$C$21, $C$9, 100%, $E$9)</f>
        <v>51.681699999999999</v>
      </c>
      <c r="R712" s="14">
        <f>CHOOSE(CONTROL!$C$42, 52.3979, 52.3979) * CHOOSE(CONTROL!$C$21, $C$9, 100%, $E$9)</f>
        <v>52.3979</v>
      </c>
      <c r="S712" s="14">
        <f>CHOOSE(CONTROL!$C$42, 49.8542, 49.8542) * CHOOSE(CONTROL!$C$21, $C$9, 100%, $E$9)</f>
        <v>49.854199999999999</v>
      </c>
      <c r="T71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56">
        <f>(1000*CHOOSE(CONTROL!$C$42, 695, 695)*CHOOSE(CONTROL!$C$42, 0.5599, 0.5599)*CHOOSE(CONTROL!$C$42, 30, 30))/1000000</f>
        <v>11.673914999999997</v>
      </c>
      <c r="V712" s="56">
        <f>(1000*CHOOSE(CONTROL!$C$42, 500, 500)*CHOOSE(CONTROL!$C$42, 0.275, 0.275)*CHOOSE(CONTROL!$C$42, 30, 30))/1000000</f>
        <v>4.125</v>
      </c>
      <c r="W712" s="56">
        <f>(1000*CHOOSE(CONTROL!$C$42, 0.1146, 0.1146)*CHOOSE(CONTROL!$C$42, 121.5, 121.5)*CHOOSE(CONTROL!$C$42, 30, 30))/1000000</f>
        <v>0.417717</v>
      </c>
      <c r="X712" s="56">
        <f>(30*0.1790888*245000/1000000)+(30*0.2374*100000/1000000)</f>
        <v>2.0285026799999999</v>
      </c>
      <c r="Y712" s="56"/>
      <c r="Z712" s="14"/>
      <c r="AA712" s="55"/>
      <c r="AB712" s="49">
        <f>(B712*141.293+C712*267.993+D712*115.016+E712*89.698+F712*40+G712*185+H712*0+I712*100+J712*300)/(141.293+267.993+115.016+89.698+0+40+185+100+300)</f>
        <v>51.962378952300249</v>
      </c>
      <c r="AC712" s="44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50.986223021582731</v>
      </c>
    </row>
    <row r="713" spans="1:29" ht="15.75" x14ac:dyDescent="0.25">
      <c r="A713" s="31">
        <v>62609</v>
      </c>
      <c r="B713" s="14">
        <f>CHOOSE(CONTROL!$C$42, 52.3518, 52.3518) * CHOOSE(CONTROL!$C$21, $C$9, 100%, $E$9)</f>
        <v>52.351799999999997</v>
      </c>
      <c r="C713" s="14">
        <f>CHOOSE(CONTROL!$C$42, 52.3599, 52.3599) * CHOOSE(CONTROL!$C$21, $C$9, 100%, $E$9)</f>
        <v>52.359900000000003</v>
      </c>
      <c r="D713" s="14">
        <f>CHOOSE(CONTROL!$C$42, 52.5856, 52.5856) * CHOOSE(CONTROL!$C$21, $C$9, 100%, $E$9)</f>
        <v>52.585599999999999</v>
      </c>
      <c r="E713" s="14">
        <f>CHOOSE(CONTROL!$C$42, 52.6171, 52.6171) * CHOOSE(CONTROL!$C$21, $C$9, 100%, $E$9)</f>
        <v>52.617100000000001</v>
      </c>
      <c r="F713" s="14">
        <f>CHOOSE(CONTROL!$C$42, 52.3775, 52.3775)*CHOOSE(CONTROL!$C$21, $C$9, 100%, $E$9)</f>
        <v>52.377499999999998</v>
      </c>
      <c r="G713" s="14">
        <f>CHOOSE(CONTROL!$C$42, 52.3945, 52.3945)*CHOOSE(CONTROL!$C$21, $C$9, 100%, $E$9)</f>
        <v>52.394500000000001</v>
      </c>
      <c r="H713" s="14">
        <f>CHOOSE(CONTROL!$C$42, 52.6057, 52.6057) * CHOOSE(CONTROL!$C$21, $C$9, 100%, $E$9)</f>
        <v>52.605699999999999</v>
      </c>
      <c r="I713" s="14">
        <f>CHOOSE(CONTROL!$C$42, 52.5473, 52.5473)* CHOOSE(CONTROL!$C$21, $C$9, 100%, $E$9)</f>
        <v>52.5473</v>
      </c>
      <c r="J713" s="14">
        <f>CHOOSE(CONTROL!$C$42, 52.3705, 52.3705)* CHOOSE(CONTROL!$C$21, $C$9, 100%, $E$9)</f>
        <v>52.3705</v>
      </c>
      <c r="K713" s="52">
        <f>CHOOSE(CONTROL!$C$42, 52.5434, 52.5434) * CHOOSE(CONTROL!$C$21, $C$9, 100%, $E$9)</f>
        <v>52.543399999999998</v>
      </c>
      <c r="L713" s="14">
        <f>CHOOSE(CONTROL!$C$42, 53.1927, 53.1927) * CHOOSE(CONTROL!$C$21, $C$9, 100%, $E$9)</f>
        <v>53.192700000000002</v>
      </c>
      <c r="M713" s="14">
        <f>CHOOSE(CONTROL!$C$42, 51.3052, 51.3052) * CHOOSE(CONTROL!$C$21, $C$9, 100%, $E$9)</f>
        <v>51.305199999999999</v>
      </c>
      <c r="N713" s="14">
        <f>CHOOSE(CONTROL!$C$42, 51.3218, 51.3218) * CHOOSE(CONTROL!$C$21, $C$9, 100%, $E$9)</f>
        <v>51.321800000000003</v>
      </c>
      <c r="O713" s="14">
        <f>CHOOSE(CONTROL!$C$42, 51.5356, 51.5356) * CHOOSE(CONTROL!$C$21, $C$9, 100%, $E$9)</f>
        <v>51.535600000000002</v>
      </c>
      <c r="P713" s="14">
        <f>CHOOSE(CONTROL!$C$42, 51.4751, 51.4751) * CHOOSE(CONTROL!$C$21, $C$9, 100%, $E$9)</f>
        <v>51.475099999999998</v>
      </c>
      <c r="Q713" s="14">
        <f>CHOOSE(CONTROL!$C$42, 52.1303, 52.1303) * CHOOSE(CONTROL!$C$21, $C$9, 100%, $E$9)</f>
        <v>52.130299999999998</v>
      </c>
      <c r="R713" s="14">
        <f>CHOOSE(CONTROL!$C$42, 52.8476, 52.8476) * CHOOSE(CONTROL!$C$21, $C$9, 100%, $E$9)</f>
        <v>52.8476</v>
      </c>
      <c r="S713" s="14">
        <f>CHOOSE(CONTROL!$C$42, 50.2942, 50.2942) * CHOOSE(CONTROL!$C$21, $C$9, 100%, $E$9)</f>
        <v>50.294199999999996</v>
      </c>
      <c r="T71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56">
        <f>(1000*CHOOSE(CONTROL!$C$42, 695, 695)*CHOOSE(CONTROL!$C$42, 0.5599, 0.5599)*CHOOSE(CONTROL!$C$42, 31, 31))/1000000</f>
        <v>12.063045499999998</v>
      </c>
      <c r="V713" s="56">
        <f>(1000*CHOOSE(CONTROL!$C$42, 500, 500)*CHOOSE(CONTROL!$C$42, 0.275, 0.275)*CHOOSE(CONTROL!$C$42, 31, 31))/1000000</f>
        <v>4.2625000000000002</v>
      </c>
      <c r="W713" s="56">
        <f>(1000*CHOOSE(CONTROL!$C$42, 0.1146, 0.1146)*CHOOSE(CONTROL!$C$42, 121.5, 121.5)*CHOOSE(CONTROL!$C$42, 31, 31))/1000000</f>
        <v>0.43164089999999994</v>
      </c>
      <c r="X713" s="56">
        <f>(31*0.1790888*245000/1000000)+(31*0.2374*100000/1000000)</f>
        <v>2.0961194359999999</v>
      </c>
      <c r="Y713" s="56"/>
      <c r="Z713" s="14"/>
      <c r="AA713" s="55"/>
      <c r="AB713" s="49">
        <f>(B713*194.205+C713*267.466+D713*133.845+E713*53.484+F713*40+G713*185+H713*0+I713*100+J713*300)/(194.205+267.466+133.845+53.484+0+40+185+100+300)</f>
        <v>52.415957174882251</v>
      </c>
      <c r="AC713" s="44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51.435027338129494</v>
      </c>
    </row>
    <row r="714" spans="1:29" ht="15.75" x14ac:dyDescent="0.25">
      <c r="A714" s="31">
        <v>62639</v>
      </c>
      <c r="B714" s="14">
        <f>CHOOSE(CONTROL!$C$42, 53.8365, 53.8365) * CHOOSE(CONTROL!$C$21, $C$9, 100%, $E$9)</f>
        <v>53.836500000000001</v>
      </c>
      <c r="C714" s="14">
        <f>CHOOSE(CONTROL!$C$42, 53.8446, 53.8446) * CHOOSE(CONTROL!$C$21, $C$9, 100%, $E$9)</f>
        <v>53.8446</v>
      </c>
      <c r="D714" s="14">
        <f>CHOOSE(CONTROL!$C$42, 54.0703, 54.0703) * CHOOSE(CONTROL!$C$21, $C$9, 100%, $E$9)</f>
        <v>54.070300000000003</v>
      </c>
      <c r="E714" s="14">
        <f>CHOOSE(CONTROL!$C$42, 54.1018, 54.1018) * CHOOSE(CONTROL!$C$21, $C$9, 100%, $E$9)</f>
        <v>54.101799999999997</v>
      </c>
      <c r="F714" s="14">
        <f>CHOOSE(CONTROL!$C$42, 53.8626, 53.8626)*CHOOSE(CONTROL!$C$21, $C$9, 100%, $E$9)</f>
        <v>53.8626</v>
      </c>
      <c r="G714" s="14">
        <f>CHOOSE(CONTROL!$C$42, 53.8797, 53.8797)*CHOOSE(CONTROL!$C$21, $C$9, 100%, $E$9)</f>
        <v>53.8797</v>
      </c>
      <c r="H714" s="14">
        <f>CHOOSE(CONTROL!$C$42, 54.0904, 54.0904) * CHOOSE(CONTROL!$C$21, $C$9, 100%, $E$9)</f>
        <v>54.090400000000002</v>
      </c>
      <c r="I714" s="14">
        <f>CHOOSE(CONTROL!$C$42, 54.0367, 54.0367)* CHOOSE(CONTROL!$C$21, $C$9, 100%, $E$9)</f>
        <v>54.036700000000003</v>
      </c>
      <c r="J714" s="14">
        <f>CHOOSE(CONTROL!$C$42, 53.8556, 53.8556)* CHOOSE(CONTROL!$C$21, $C$9, 100%, $E$9)</f>
        <v>53.855600000000003</v>
      </c>
      <c r="K714" s="52">
        <f>CHOOSE(CONTROL!$C$42, 54.0328, 54.0328) * CHOOSE(CONTROL!$C$21, $C$9, 100%, $E$9)</f>
        <v>54.032800000000002</v>
      </c>
      <c r="L714" s="14">
        <f>CHOOSE(CONTROL!$C$42, 54.6774, 54.6774) * CHOOSE(CONTROL!$C$21, $C$9, 100%, $E$9)</f>
        <v>54.677399999999999</v>
      </c>
      <c r="M714" s="14">
        <f>CHOOSE(CONTROL!$C$42, 52.7599, 52.7599) * CHOOSE(CONTROL!$C$21, $C$9, 100%, $E$9)</f>
        <v>52.759900000000002</v>
      </c>
      <c r="N714" s="14">
        <f>CHOOSE(CONTROL!$C$42, 52.7766, 52.7766) * CHOOSE(CONTROL!$C$21, $C$9, 100%, $E$9)</f>
        <v>52.776600000000002</v>
      </c>
      <c r="O714" s="14">
        <f>CHOOSE(CONTROL!$C$42, 52.9899, 52.9899) * CHOOSE(CONTROL!$C$21, $C$9, 100%, $E$9)</f>
        <v>52.989899999999999</v>
      </c>
      <c r="P714" s="14">
        <f>CHOOSE(CONTROL!$C$42, 52.9339, 52.9339) * CHOOSE(CONTROL!$C$21, $C$9, 100%, $E$9)</f>
        <v>52.933900000000001</v>
      </c>
      <c r="Q714" s="14">
        <f>CHOOSE(CONTROL!$C$42, 53.5846, 53.5846) * CHOOSE(CONTROL!$C$21, $C$9, 100%, $E$9)</f>
        <v>53.584600000000002</v>
      </c>
      <c r="R714" s="14">
        <f>CHOOSE(CONTROL!$C$42, 54.3055, 54.3055) * CHOOSE(CONTROL!$C$21, $C$9, 100%, $E$9)</f>
        <v>54.305500000000002</v>
      </c>
      <c r="S714" s="14">
        <f>CHOOSE(CONTROL!$C$42, 51.7209, 51.7209) * CHOOSE(CONTROL!$C$21, $C$9, 100%, $E$9)</f>
        <v>51.7209</v>
      </c>
      <c r="T71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56">
        <f>(1000*CHOOSE(CONTROL!$C$42, 695, 695)*CHOOSE(CONTROL!$C$42, 0.5599, 0.5599)*CHOOSE(CONTROL!$C$42, 30, 30))/1000000</f>
        <v>11.673914999999997</v>
      </c>
      <c r="V714" s="56">
        <f>(1000*CHOOSE(CONTROL!$C$42, 500, 500)*CHOOSE(CONTROL!$C$42, 0.275, 0.275)*CHOOSE(CONTROL!$C$42, 30, 30))/1000000</f>
        <v>4.125</v>
      </c>
      <c r="W714" s="56">
        <f>(1000*CHOOSE(CONTROL!$C$42, 0.1146, 0.1146)*CHOOSE(CONTROL!$C$42, 121.5, 121.5)*CHOOSE(CONTROL!$C$42, 30, 30))/1000000</f>
        <v>0.417717</v>
      </c>
      <c r="X714" s="56">
        <f>(30*0.1790888*245000/1000000)+(30*0.2374*100000/1000000)</f>
        <v>2.0285026799999999</v>
      </c>
      <c r="Y714" s="56"/>
      <c r="Z714" s="14"/>
      <c r="AA714" s="55"/>
      <c r="AB714" s="49">
        <f>(B714*194.205+C714*267.466+D714*133.845+E714*53.484+F714*40+G714*185+H714*0+I714*100+J714*300)/(194.205+267.466+133.845+53.484+0+40+185+100+300)</f>
        <v>53.901205448037679</v>
      </c>
      <c r="AC714" s="44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52.890141726618708</v>
      </c>
    </row>
    <row r="715" spans="1:29" ht="15.75" x14ac:dyDescent="0.25">
      <c r="A715" s="31">
        <v>62670</v>
      </c>
      <c r="B715" s="14">
        <f>CHOOSE(CONTROL!$C$42, 52.8039, 52.8039) * CHOOSE(CONTROL!$C$21, $C$9, 100%, $E$9)</f>
        <v>52.803899999999999</v>
      </c>
      <c r="C715" s="14">
        <f>CHOOSE(CONTROL!$C$42, 52.8119, 52.8119) * CHOOSE(CONTROL!$C$21, $C$9, 100%, $E$9)</f>
        <v>52.811900000000001</v>
      </c>
      <c r="D715" s="14">
        <f>CHOOSE(CONTROL!$C$42, 53.0377, 53.0377) * CHOOSE(CONTROL!$C$21, $C$9, 100%, $E$9)</f>
        <v>53.037700000000001</v>
      </c>
      <c r="E715" s="14">
        <f>CHOOSE(CONTROL!$C$42, 53.0692, 53.0692) * CHOOSE(CONTROL!$C$21, $C$9, 100%, $E$9)</f>
        <v>53.069200000000002</v>
      </c>
      <c r="F715" s="14">
        <f>CHOOSE(CONTROL!$C$42, 52.8305, 52.8305)*CHOOSE(CONTROL!$C$21, $C$9, 100%, $E$9)</f>
        <v>52.830500000000001</v>
      </c>
      <c r="G715" s="14">
        <f>CHOOSE(CONTROL!$C$42, 52.8477, 52.8477)*CHOOSE(CONTROL!$C$21, $C$9, 100%, $E$9)</f>
        <v>52.847700000000003</v>
      </c>
      <c r="H715" s="14">
        <f>CHOOSE(CONTROL!$C$42, 53.0578, 53.0578) * CHOOSE(CONTROL!$C$21, $C$9, 100%, $E$9)</f>
        <v>53.0578</v>
      </c>
      <c r="I715" s="14">
        <f>CHOOSE(CONTROL!$C$42, 53.0008, 53.0008)* CHOOSE(CONTROL!$C$21, $C$9, 100%, $E$9)</f>
        <v>53.000799999999998</v>
      </c>
      <c r="J715" s="14">
        <f>CHOOSE(CONTROL!$C$42, 52.8235, 52.8235)* CHOOSE(CONTROL!$C$21, $C$9, 100%, $E$9)</f>
        <v>52.823500000000003</v>
      </c>
      <c r="K715" s="52">
        <f>CHOOSE(CONTROL!$C$42, 52.9969, 52.9969) * CHOOSE(CONTROL!$C$21, $C$9, 100%, $E$9)</f>
        <v>52.996899999999997</v>
      </c>
      <c r="L715" s="14">
        <f>CHOOSE(CONTROL!$C$42, 53.6448, 53.6448) * CHOOSE(CONTROL!$C$21, $C$9, 100%, $E$9)</f>
        <v>53.644799999999996</v>
      </c>
      <c r="M715" s="14">
        <f>CHOOSE(CONTROL!$C$42, 51.7489, 51.7489) * CHOOSE(CONTROL!$C$21, $C$9, 100%, $E$9)</f>
        <v>51.748899999999999</v>
      </c>
      <c r="N715" s="14">
        <f>CHOOSE(CONTROL!$C$42, 51.7657, 51.7657) * CHOOSE(CONTROL!$C$21, $C$9, 100%, $E$9)</f>
        <v>51.765700000000002</v>
      </c>
      <c r="O715" s="14">
        <f>CHOOSE(CONTROL!$C$42, 51.9784, 51.9784) * CHOOSE(CONTROL!$C$21, $C$9, 100%, $E$9)</f>
        <v>51.978400000000001</v>
      </c>
      <c r="P715" s="14">
        <f>CHOOSE(CONTROL!$C$42, 51.9193, 51.9193) * CHOOSE(CONTROL!$C$21, $C$9, 100%, $E$9)</f>
        <v>51.9193</v>
      </c>
      <c r="Q715" s="14">
        <f>CHOOSE(CONTROL!$C$42, 52.5731, 52.5731) * CHOOSE(CONTROL!$C$21, $C$9, 100%, $E$9)</f>
        <v>52.573099999999997</v>
      </c>
      <c r="R715" s="14">
        <f>CHOOSE(CONTROL!$C$42, 53.2915, 53.2915) * CHOOSE(CONTROL!$C$21, $C$9, 100%, $E$9)</f>
        <v>53.291499999999999</v>
      </c>
      <c r="S715" s="14">
        <f>CHOOSE(CONTROL!$C$42, 50.7286, 50.7286) * CHOOSE(CONTROL!$C$21, $C$9, 100%, $E$9)</f>
        <v>50.7286</v>
      </c>
      <c r="T71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56">
        <f>(1000*CHOOSE(CONTROL!$C$42, 695, 695)*CHOOSE(CONTROL!$C$42, 0.5599, 0.5599)*CHOOSE(CONTROL!$C$42, 31, 31))/1000000</f>
        <v>12.063045499999998</v>
      </c>
      <c r="V715" s="56">
        <f>(1000*CHOOSE(CONTROL!$C$42, 500, 500)*CHOOSE(CONTROL!$C$42, 0.275, 0.275)*CHOOSE(CONTROL!$C$42, 31, 31))/1000000</f>
        <v>4.2625000000000002</v>
      </c>
      <c r="W715" s="56">
        <f>(1000*CHOOSE(CONTROL!$C$42, 0.1146, 0.1146)*CHOOSE(CONTROL!$C$42, 121.5, 121.5)*CHOOSE(CONTROL!$C$42, 31, 31))/1000000</f>
        <v>0.43164089999999994</v>
      </c>
      <c r="X715" s="56">
        <f>(31*0.1790888*245000/1000000)+(31*0.2374*100000/1000000)</f>
        <v>2.0961194359999999</v>
      </c>
      <c r="Y715" s="56"/>
      <c r="Z715" s="14"/>
      <c r="AA715" s="55"/>
      <c r="AB715" s="49">
        <f>(B715*194.205+C715*267.466+D715*133.845+E715*53.484+F715*40+G715*185+H715*0+I715*100+J715*300)/(194.205+267.466+133.845+53.484+0+40+185+100+300)</f>
        <v>52.868545992307702</v>
      </c>
      <c r="AC715" s="44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51.878402877697837</v>
      </c>
    </row>
    <row r="716" spans="1:29" ht="15.75" x14ac:dyDescent="0.25">
      <c r="A716" s="31">
        <v>62701</v>
      </c>
      <c r="B716" s="14">
        <f>CHOOSE(CONTROL!$C$42, 50.1962, 50.1962) * CHOOSE(CONTROL!$C$21, $C$9, 100%, $E$9)</f>
        <v>50.196199999999997</v>
      </c>
      <c r="C716" s="14">
        <f>CHOOSE(CONTROL!$C$42, 50.2043, 50.2043) * CHOOSE(CONTROL!$C$21, $C$9, 100%, $E$9)</f>
        <v>50.204300000000003</v>
      </c>
      <c r="D716" s="14">
        <f>CHOOSE(CONTROL!$C$42, 50.4301, 50.4301) * CHOOSE(CONTROL!$C$21, $C$9, 100%, $E$9)</f>
        <v>50.430100000000003</v>
      </c>
      <c r="E716" s="14">
        <f>CHOOSE(CONTROL!$C$42, 50.4615, 50.4615) * CHOOSE(CONTROL!$C$21, $C$9, 100%, $E$9)</f>
        <v>50.461500000000001</v>
      </c>
      <c r="F716" s="14">
        <f>CHOOSE(CONTROL!$C$42, 50.2231, 50.2231)*CHOOSE(CONTROL!$C$21, $C$9, 100%, $E$9)</f>
        <v>50.223100000000002</v>
      </c>
      <c r="G716" s="14">
        <f>CHOOSE(CONTROL!$C$42, 50.2403, 50.2403)*CHOOSE(CONTROL!$C$21, $C$9, 100%, $E$9)</f>
        <v>50.240299999999998</v>
      </c>
      <c r="H716" s="14">
        <f>CHOOSE(CONTROL!$C$42, 50.4501, 50.4501) * CHOOSE(CONTROL!$C$21, $C$9, 100%, $E$9)</f>
        <v>50.450099999999999</v>
      </c>
      <c r="I716" s="14">
        <f>CHOOSE(CONTROL!$C$42, 50.385, 50.385)* CHOOSE(CONTROL!$C$21, $C$9, 100%, $E$9)</f>
        <v>50.384999999999998</v>
      </c>
      <c r="J716" s="14">
        <f>CHOOSE(CONTROL!$C$42, 50.2161, 50.2161)* CHOOSE(CONTROL!$C$21, $C$9, 100%, $E$9)</f>
        <v>50.216099999999997</v>
      </c>
      <c r="K716" s="52">
        <f>CHOOSE(CONTROL!$C$42, 50.3811, 50.3811) * CHOOSE(CONTROL!$C$21, $C$9, 100%, $E$9)</f>
        <v>50.381100000000004</v>
      </c>
      <c r="L716" s="14">
        <f>CHOOSE(CONTROL!$C$42, 51.0371, 51.0371) * CHOOSE(CONTROL!$C$21, $C$9, 100%, $E$9)</f>
        <v>51.037100000000002</v>
      </c>
      <c r="M716" s="14">
        <f>CHOOSE(CONTROL!$C$42, 49.1949, 49.1949) * CHOOSE(CONTROL!$C$21, $C$9, 100%, $E$9)</f>
        <v>49.194899999999997</v>
      </c>
      <c r="N716" s="14">
        <f>CHOOSE(CONTROL!$C$42, 49.2118, 49.2118) * CHOOSE(CONTROL!$C$21, $C$9, 100%, $E$9)</f>
        <v>49.211799999999997</v>
      </c>
      <c r="O716" s="14">
        <f>CHOOSE(CONTROL!$C$42, 49.4242, 49.4242) * CHOOSE(CONTROL!$C$21, $C$9, 100%, $E$9)</f>
        <v>49.424199999999999</v>
      </c>
      <c r="P716" s="14">
        <f>CHOOSE(CONTROL!$C$42, 49.3572, 49.3572) * CHOOSE(CONTROL!$C$21, $C$9, 100%, $E$9)</f>
        <v>49.357199999999999</v>
      </c>
      <c r="Q716" s="14">
        <f>CHOOSE(CONTROL!$C$42, 50.0189, 50.0189) * CHOOSE(CONTROL!$C$21, $C$9, 100%, $E$9)</f>
        <v>50.018900000000002</v>
      </c>
      <c r="R716" s="14">
        <f>CHOOSE(CONTROL!$C$42, 50.7309, 50.7309) * CHOOSE(CONTROL!$C$21, $C$9, 100%, $E$9)</f>
        <v>50.730899999999998</v>
      </c>
      <c r="S716" s="14">
        <f>CHOOSE(CONTROL!$C$42, 48.2229, 48.2229) * CHOOSE(CONTROL!$C$21, $C$9, 100%, $E$9)</f>
        <v>48.222900000000003</v>
      </c>
      <c r="T71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56">
        <f>(1000*CHOOSE(CONTROL!$C$42, 695, 695)*CHOOSE(CONTROL!$C$42, 0.5599, 0.5599)*CHOOSE(CONTROL!$C$42, 31, 31))/1000000</f>
        <v>12.063045499999998</v>
      </c>
      <c r="V716" s="56">
        <f>(1000*CHOOSE(CONTROL!$C$42, 500, 500)*CHOOSE(CONTROL!$C$42, 0.275, 0.275)*CHOOSE(CONTROL!$C$42, 31, 31))/1000000</f>
        <v>4.2625000000000002</v>
      </c>
      <c r="W716" s="56">
        <f>(1000*CHOOSE(CONTROL!$C$42, 0.1146, 0.1146)*CHOOSE(CONTROL!$C$42, 121.5, 121.5)*CHOOSE(CONTROL!$C$42, 31, 31))/1000000</f>
        <v>0.43164089999999994</v>
      </c>
      <c r="X716" s="56">
        <f>(31*0.1790888*245000/1000000)+(31*0.2374*100000/1000000)</f>
        <v>2.0961194359999999</v>
      </c>
      <c r="Y716" s="56"/>
      <c r="Z716" s="14"/>
      <c r="AA716" s="55"/>
      <c r="AB716" s="49">
        <f>(B716*194.205+C716*267.466+D716*133.845+E716*53.484+F716*40+G716*185+H716*0+I716*100+J716*300)/(194.205+267.466+133.845+53.484+0+40+185+100+300)</f>
        <v>50.260365325981169</v>
      </c>
      <c r="AC716" s="44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49.323152517985612</v>
      </c>
    </row>
    <row r="717" spans="1:29" ht="15.75" x14ac:dyDescent="0.25">
      <c r="A717" s="31">
        <v>62731</v>
      </c>
      <c r="B717" s="14">
        <f>CHOOSE(CONTROL!$C$42, 47.0099, 47.0099) * CHOOSE(CONTROL!$C$21, $C$9, 100%, $E$9)</f>
        <v>47.009900000000002</v>
      </c>
      <c r="C717" s="14">
        <f>CHOOSE(CONTROL!$C$42, 47.0179, 47.0179) * CHOOSE(CONTROL!$C$21, $C$9, 100%, $E$9)</f>
        <v>47.017899999999997</v>
      </c>
      <c r="D717" s="14">
        <f>CHOOSE(CONTROL!$C$42, 47.2437, 47.2437) * CHOOSE(CONTROL!$C$21, $C$9, 100%, $E$9)</f>
        <v>47.243699999999997</v>
      </c>
      <c r="E717" s="14">
        <f>CHOOSE(CONTROL!$C$42, 47.2752, 47.2752) * CHOOSE(CONTROL!$C$21, $C$9, 100%, $E$9)</f>
        <v>47.275199999999998</v>
      </c>
      <c r="F717" s="14">
        <f>CHOOSE(CONTROL!$C$42, 47.0367, 47.0367)*CHOOSE(CONTROL!$C$21, $C$9, 100%, $E$9)</f>
        <v>47.036700000000003</v>
      </c>
      <c r="G717" s="14">
        <f>CHOOSE(CONTROL!$C$42, 47.054, 47.054)*CHOOSE(CONTROL!$C$21, $C$9, 100%, $E$9)</f>
        <v>47.054000000000002</v>
      </c>
      <c r="H717" s="14">
        <f>CHOOSE(CONTROL!$C$42, 47.2638, 47.2638) * CHOOSE(CONTROL!$C$21, $C$9, 100%, $E$9)</f>
        <v>47.263800000000003</v>
      </c>
      <c r="I717" s="14">
        <f>CHOOSE(CONTROL!$C$42, 47.1887, 47.1887)* CHOOSE(CONTROL!$C$21, $C$9, 100%, $E$9)</f>
        <v>47.188699999999997</v>
      </c>
      <c r="J717" s="14">
        <f>CHOOSE(CONTROL!$C$42, 47.0297, 47.0297)* CHOOSE(CONTROL!$C$21, $C$9, 100%, $E$9)</f>
        <v>47.029699999999998</v>
      </c>
      <c r="K717" s="52">
        <f>CHOOSE(CONTROL!$C$42, 47.1848, 47.1848) * CHOOSE(CONTROL!$C$21, $C$9, 100%, $E$9)</f>
        <v>47.184800000000003</v>
      </c>
      <c r="L717" s="14">
        <f>CHOOSE(CONTROL!$C$42, 47.8508, 47.8508) * CHOOSE(CONTROL!$C$21, $C$9, 100%, $E$9)</f>
        <v>47.8508</v>
      </c>
      <c r="M717" s="14">
        <f>CHOOSE(CONTROL!$C$42, 46.0738, 46.0738) * CHOOSE(CONTROL!$C$21, $C$9, 100%, $E$9)</f>
        <v>46.073799999999999</v>
      </c>
      <c r="N717" s="14">
        <f>CHOOSE(CONTROL!$C$42, 46.0907, 46.0907) * CHOOSE(CONTROL!$C$21, $C$9, 100%, $E$9)</f>
        <v>46.090699999999998</v>
      </c>
      <c r="O717" s="14">
        <f>CHOOSE(CONTROL!$C$42, 46.3031, 46.3031) * CHOOSE(CONTROL!$C$21, $C$9, 100%, $E$9)</f>
        <v>46.303100000000001</v>
      </c>
      <c r="P717" s="14">
        <f>CHOOSE(CONTROL!$C$42, 46.2266, 46.2266) * CHOOSE(CONTROL!$C$21, $C$9, 100%, $E$9)</f>
        <v>46.226599999999998</v>
      </c>
      <c r="Q717" s="14">
        <f>CHOOSE(CONTROL!$C$42, 46.8978, 46.8978) * CHOOSE(CONTROL!$C$21, $C$9, 100%, $E$9)</f>
        <v>46.897799999999997</v>
      </c>
      <c r="R717" s="14">
        <f>CHOOSE(CONTROL!$C$42, 47.6021, 47.6021) * CHOOSE(CONTROL!$C$21, $C$9, 100%, $E$9)</f>
        <v>47.6021</v>
      </c>
      <c r="S717" s="14">
        <f>CHOOSE(CONTROL!$C$42, 45.1612, 45.1612) * CHOOSE(CONTROL!$C$21, $C$9, 100%, $E$9)</f>
        <v>45.161200000000001</v>
      </c>
      <c r="T71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56">
        <f>(1000*CHOOSE(CONTROL!$C$42, 695, 695)*CHOOSE(CONTROL!$C$42, 0.5599, 0.5599)*CHOOSE(CONTROL!$C$42, 30, 30))/1000000</f>
        <v>11.673914999999997</v>
      </c>
      <c r="V717" s="56">
        <f>(1000*CHOOSE(CONTROL!$C$42, 500, 500)*CHOOSE(CONTROL!$C$42, 0.275, 0.275)*CHOOSE(CONTROL!$C$42, 30, 30))/1000000</f>
        <v>4.125</v>
      </c>
      <c r="W717" s="56">
        <f>(1000*CHOOSE(CONTROL!$C$42, 0.1146, 0.1146)*CHOOSE(CONTROL!$C$42, 121.5, 121.5)*CHOOSE(CONTROL!$C$42, 30, 30))/1000000</f>
        <v>0.417717</v>
      </c>
      <c r="X717" s="56">
        <f>(30*0.1790888*245000/1000000)+(30*0.2374*100000/1000000)</f>
        <v>2.0285026799999999</v>
      </c>
      <c r="Y717" s="56"/>
      <c r="Z717" s="14"/>
      <c r="AA717" s="55"/>
      <c r="AB717" s="49">
        <f>(B717*194.205+C717*267.466+D717*133.845+E717*53.484+F717*40+G717*185+H717*0+I717*100+J717*300)/(194.205+267.466+133.845+53.484+0+40+185+100+300)</f>
        <v>47.073222208948202</v>
      </c>
      <c r="AC717" s="44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46.200685611510792</v>
      </c>
    </row>
    <row r="718" spans="1:29" ht="15.75" x14ac:dyDescent="0.25">
      <c r="A718" s="31">
        <v>62762</v>
      </c>
      <c r="B718" s="14">
        <f>CHOOSE(CONTROL!$C$42, 46.0539, 46.0539) * CHOOSE(CONTROL!$C$21, $C$9, 100%, $E$9)</f>
        <v>46.053899999999999</v>
      </c>
      <c r="C718" s="14">
        <f>CHOOSE(CONTROL!$C$42, 46.0592, 46.0592) * CHOOSE(CONTROL!$C$21, $C$9, 100%, $E$9)</f>
        <v>46.059199999999997</v>
      </c>
      <c r="D718" s="14">
        <f>CHOOSE(CONTROL!$C$42, 46.29, 46.29) * CHOOSE(CONTROL!$C$21, $C$9, 100%, $E$9)</f>
        <v>46.29</v>
      </c>
      <c r="E718" s="14">
        <f>CHOOSE(CONTROL!$C$42, 46.3191, 46.3191) * CHOOSE(CONTROL!$C$21, $C$9, 100%, $E$9)</f>
        <v>46.319099999999999</v>
      </c>
      <c r="F718" s="14">
        <f>CHOOSE(CONTROL!$C$42, 46.0828, 46.0828)*CHOOSE(CONTROL!$C$21, $C$9, 100%, $E$9)</f>
        <v>46.082799999999999</v>
      </c>
      <c r="G718" s="14">
        <f>CHOOSE(CONTROL!$C$42, 46.0999, 46.0999)*CHOOSE(CONTROL!$C$21, $C$9, 100%, $E$9)</f>
        <v>46.099899999999998</v>
      </c>
      <c r="H718" s="14">
        <f>CHOOSE(CONTROL!$C$42, 46.3096, 46.3096) * CHOOSE(CONTROL!$C$21, $C$9, 100%, $E$9)</f>
        <v>46.309600000000003</v>
      </c>
      <c r="I718" s="14">
        <f>CHOOSE(CONTROL!$C$42, 46.2314, 46.2314)* CHOOSE(CONTROL!$C$21, $C$9, 100%, $E$9)</f>
        <v>46.231400000000001</v>
      </c>
      <c r="J718" s="14">
        <f>CHOOSE(CONTROL!$C$42, 46.0758, 46.0758)* CHOOSE(CONTROL!$C$21, $C$9, 100%, $E$9)</f>
        <v>46.075800000000001</v>
      </c>
      <c r="K718" s="52">
        <f>CHOOSE(CONTROL!$C$42, 46.2275, 46.2275) * CHOOSE(CONTROL!$C$21, $C$9, 100%, $E$9)</f>
        <v>46.227499999999999</v>
      </c>
      <c r="L718" s="14">
        <f>CHOOSE(CONTROL!$C$42, 46.8966, 46.8966) * CHOOSE(CONTROL!$C$21, $C$9, 100%, $E$9)</f>
        <v>46.896599999999999</v>
      </c>
      <c r="M718" s="14">
        <f>CHOOSE(CONTROL!$C$42, 45.1394, 45.1394) * CHOOSE(CONTROL!$C$21, $C$9, 100%, $E$9)</f>
        <v>45.139400000000002</v>
      </c>
      <c r="N718" s="14">
        <f>CHOOSE(CONTROL!$C$42, 45.1562, 45.1562) * CHOOSE(CONTROL!$C$21, $C$9, 100%, $E$9)</f>
        <v>45.156199999999998</v>
      </c>
      <c r="O718" s="14">
        <f>CHOOSE(CONTROL!$C$42, 45.3684, 45.3684) * CHOOSE(CONTROL!$C$21, $C$9, 100%, $E$9)</f>
        <v>45.368400000000001</v>
      </c>
      <c r="P718" s="14">
        <f>CHOOSE(CONTROL!$C$42, 45.2891, 45.2891) * CHOOSE(CONTROL!$C$21, $C$9, 100%, $E$9)</f>
        <v>45.289099999999998</v>
      </c>
      <c r="Q718" s="14">
        <f>CHOOSE(CONTROL!$C$42, 45.9631, 45.9631) * CHOOSE(CONTROL!$C$21, $C$9, 100%, $E$9)</f>
        <v>45.963099999999997</v>
      </c>
      <c r="R718" s="14">
        <f>CHOOSE(CONTROL!$C$42, 46.665, 46.665) * CHOOSE(CONTROL!$C$21, $C$9, 100%, $E$9)</f>
        <v>46.664999999999999</v>
      </c>
      <c r="S718" s="14">
        <f>CHOOSE(CONTROL!$C$42, 44.2443, 44.2443) * CHOOSE(CONTROL!$C$21, $C$9, 100%, $E$9)</f>
        <v>44.244300000000003</v>
      </c>
      <c r="T71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56">
        <f>(1000*CHOOSE(CONTROL!$C$42, 695, 695)*CHOOSE(CONTROL!$C$42, 0.5599, 0.5599)*CHOOSE(CONTROL!$C$42, 31, 31))/1000000</f>
        <v>12.063045499999998</v>
      </c>
      <c r="V718" s="56">
        <f>(1000*CHOOSE(CONTROL!$C$42, 500, 500)*CHOOSE(CONTROL!$C$42, 0.275, 0.275)*CHOOSE(CONTROL!$C$42, 31, 31))/1000000</f>
        <v>4.2625000000000002</v>
      </c>
      <c r="W718" s="56">
        <f>(1000*CHOOSE(CONTROL!$C$42, 0.1146, 0.1146)*CHOOSE(CONTROL!$C$42, 121.5, 121.5)*CHOOSE(CONTROL!$C$42, 31, 31))/1000000</f>
        <v>0.43164089999999994</v>
      </c>
      <c r="X718" s="56">
        <f>(31*0.1790888*245000/1000000)+(31*0.2374*100000/1000000)</f>
        <v>2.0961194359999999</v>
      </c>
      <c r="Y718" s="56"/>
      <c r="Z718" s="14"/>
      <c r="AA718" s="55"/>
      <c r="AB718" s="49">
        <f>(B718*131.881+C718*277.167+D718*79.08+E718*125.872+F718*40+G718*185+H718*0+I718*100+J718*300)/(131.881+277.167+79.08+125.872+0+40+185+100+300)</f>
        <v>46.124527140839383</v>
      </c>
      <c r="AC718" s="44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45.26569784172662</v>
      </c>
    </row>
    <row r="719" spans="1:29" ht="15.75" x14ac:dyDescent="0.25">
      <c r="A719" s="31">
        <v>62792</v>
      </c>
      <c r="B719" s="14">
        <f>CHOOSE(CONTROL!$C$42, 47.2665, 47.2665) * CHOOSE(CONTROL!$C$21, $C$9, 100%, $E$9)</f>
        <v>47.266500000000001</v>
      </c>
      <c r="C719" s="14">
        <f>CHOOSE(CONTROL!$C$42, 47.2716, 47.2716) * CHOOSE(CONTROL!$C$21, $C$9, 100%, $E$9)</f>
        <v>47.271599999999999</v>
      </c>
      <c r="D719" s="14">
        <f>CHOOSE(CONTROL!$C$42, 47.3406, 47.3406) * CHOOSE(CONTROL!$C$21, $C$9, 100%, $E$9)</f>
        <v>47.340600000000002</v>
      </c>
      <c r="E719" s="14">
        <f>CHOOSE(CONTROL!$C$42, 47.3747, 47.3747) * CHOOSE(CONTROL!$C$21, $C$9, 100%, $E$9)</f>
        <v>47.374699999999997</v>
      </c>
      <c r="F719" s="14">
        <f>CHOOSE(CONTROL!$C$42, 47.3021, 47.3021)*CHOOSE(CONTROL!$C$21, $C$9, 100%, $E$9)</f>
        <v>47.302100000000003</v>
      </c>
      <c r="G719" s="14">
        <f>CHOOSE(CONTROL!$C$42, 47.3195, 47.3195)*CHOOSE(CONTROL!$C$21, $C$9, 100%, $E$9)</f>
        <v>47.319499999999998</v>
      </c>
      <c r="H719" s="14">
        <f>CHOOSE(CONTROL!$C$42, 47.3639, 47.3639) * CHOOSE(CONTROL!$C$21, $C$9, 100%, $E$9)</f>
        <v>47.363900000000001</v>
      </c>
      <c r="I719" s="14">
        <f>CHOOSE(CONTROL!$C$42, 47.4509, 47.4509)* CHOOSE(CONTROL!$C$21, $C$9, 100%, $E$9)</f>
        <v>47.450899999999997</v>
      </c>
      <c r="J719" s="14">
        <f>CHOOSE(CONTROL!$C$42, 47.2951, 47.2951)* CHOOSE(CONTROL!$C$21, $C$9, 100%, $E$9)</f>
        <v>47.295099999999998</v>
      </c>
      <c r="K719" s="52">
        <f>CHOOSE(CONTROL!$C$42, 47.447, 47.447) * CHOOSE(CONTROL!$C$21, $C$9, 100%, $E$9)</f>
        <v>47.447000000000003</v>
      </c>
      <c r="L719" s="14">
        <f>CHOOSE(CONTROL!$C$42, 47.9509, 47.9509) * CHOOSE(CONTROL!$C$21, $C$9, 100%, $E$9)</f>
        <v>47.950899999999997</v>
      </c>
      <c r="M719" s="14">
        <f>CHOOSE(CONTROL!$C$42, 46.3337, 46.3337) * CHOOSE(CONTROL!$C$21, $C$9, 100%, $E$9)</f>
        <v>46.3337</v>
      </c>
      <c r="N719" s="14">
        <f>CHOOSE(CONTROL!$C$42, 46.3508, 46.3508) * CHOOSE(CONTROL!$C$21, $C$9, 100%, $E$9)</f>
        <v>46.3508</v>
      </c>
      <c r="O719" s="14">
        <f>CHOOSE(CONTROL!$C$42, 46.4011, 46.4011) * CHOOSE(CONTROL!$C$21, $C$9, 100%, $E$9)</f>
        <v>46.4011</v>
      </c>
      <c r="P719" s="14">
        <f>CHOOSE(CONTROL!$C$42, 46.4834, 46.4834) * CHOOSE(CONTROL!$C$21, $C$9, 100%, $E$9)</f>
        <v>46.483400000000003</v>
      </c>
      <c r="Q719" s="14">
        <f>CHOOSE(CONTROL!$C$42, 46.9958, 46.9958) * CHOOSE(CONTROL!$C$21, $C$9, 100%, $E$9)</f>
        <v>46.995800000000003</v>
      </c>
      <c r="R719" s="14">
        <f>CHOOSE(CONTROL!$C$42, 47.7003, 47.7003) * CHOOSE(CONTROL!$C$21, $C$9, 100%, $E$9)</f>
        <v>47.700299999999999</v>
      </c>
      <c r="S719" s="14">
        <f>CHOOSE(CONTROL!$C$42, 45.4098, 45.4098) * CHOOSE(CONTROL!$C$21, $C$9, 100%, $E$9)</f>
        <v>45.409799999999997</v>
      </c>
      <c r="T71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56">
        <f>(1000*CHOOSE(CONTROL!$C$42, 695, 695)*CHOOSE(CONTROL!$C$42, 0.5599, 0.5599)*CHOOSE(CONTROL!$C$42, 30, 30))/1000000</f>
        <v>11.673914999999997</v>
      </c>
      <c r="V719" s="56">
        <f>(1000*CHOOSE(CONTROL!$C$42, 500, 500)*CHOOSE(CONTROL!$C$42, 0.275, 0.275)*CHOOSE(CONTROL!$C$42, 30, 30))/1000000</f>
        <v>4.125</v>
      </c>
      <c r="W719" s="56">
        <f>(1000*CHOOSE(CONTROL!$C$42, 0.1146, 0.1146)*CHOOSE(CONTROL!$C$42, 121.5, 121.5)*CHOOSE(CONTROL!$C$42, 30, 30))/1000000</f>
        <v>0.417717</v>
      </c>
      <c r="X719" s="56">
        <f>(30*0.1790888*100000/1000000)+(30*0.2374*100000/1000000)</f>
        <v>1.2494664</v>
      </c>
      <c r="Y719" s="56"/>
      <c r="Z719" s="14"/>
      <c r="AA719" s="55"/>
      <c r="AB719" s="49">
        <f>(B719*122.58+C719*297.941+D719*89.177+E719*40.302+F719*40+G719*160+H719*0+I719*100+J719*300)/(122.58+297.941+89.177+40.302+0+40+160+100+300)</f>
        <v>47.309467122782614</v>
      </c>
      <c r="AC719" s="44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46.386771942446039</v>
      </c>
    </row>
    <row r="720" spans="1:29" ht="15.75" x14ac:dyDescent="0.25">
      <c r="A720" s="31">
        <v>62823</v>
      </c>
      <c r="B720" s="14">
        <f>CHOOSE(CONTROL!$C$42, 50.4885, 50.4885) * CHOOSE(CONTROL!$C$21, $C$9, 100%, $E$9)</f>
        <v>50.488500000000002</v>
      </c>
      <c r="C720" s="14">
        <f>CHOOSE(CONTROL!$C$42, 50.4935, 50.4935) * CHOOSE(CONTROL!$C$21, $C$9, 100%, $E$9)</f>
        <v>50.493499999999997</v>
      </c>
      <c r="D720" s="14">
        <f>CHOOSE(CONTROL!$C$42, 50.5625, 50.5625) * CHOOSE(CONTROL!$C$21, $C$9, 100%, $E$9)</f>
        <v>50.5625</v>
      </c>
      <c r="E720" s="14">
        <f>CHOOSE(CONTROL!$C$42, 50.5966, 50.5966) * CHOOSE(CONTROL!$C$21, $C$9, 100%, $E$9)</f>
        <v>50.596600000000002</v>
      </c>
      <c r="F720" s="14">
        <f>CHOOSE(CONTROL!$C$42, 50.5263, 50.5263)*CHOOSE(CONTROL!$C$21, $C$9, 100%, $E$9)</f>
        <v>50.526299999999999</v>
      </c>
      <c r="G720" s="14">
        <f>CHOOSE(CONTROL!$C$42, 50.5443, 50.5443)*CHOOSE(CONTROL!$C$21, $C$9, 100%, $E$9)</f>
        <v>50.5443</v>
      </c>
      <c r="H720" s="14">
        <f>CHOOSE(CONTROL!$C$42, 50.5858, 50.5858) * CHOOSE(CONTROL!$C$21, $C$9, 100%, $E$9)</f>
        <v>50.585799999999999</v>
      </c>
      <c r="I720" s="14">
        <f>CHOOSE(CONTROL!$C$42, 50.6829, 50.6829)* CHOOSE(CONTROL!$C$21, $C$9, 100%, $E$9)</f>
        <v>50.682899999999997</v>
      </c>
      <c r="J720" s="14">
        <f>CHOOSE(CONTROL!$C$42, 50.5193, 50.5193)* CHOOSE(CONTROL!$C$21, $C$9, 100%, $E$9)</f>
        <v>50.519300000000001</v>
      </c>
      <c r="K720" s="52">
        <f>CHOOSE(CONTROL!$C$42, 50.679, 50.679) * CHOOSE(CONTROL!$C$21, $C$9, 100%, $E$9)</f>
        <v>50.679000000000002</v>
      </c>
      <c r="L720" s="14">
        <f>CHOOSE(CONTROL!$C$42, 51.1728, 51.1728) * CHOOSE(CONTROL!$C$21, $C$9, 100%, $E$9)</f>
        <v>51.172800000000002</v>
      </c>
      <c r="M720" s="14">
        <f>CHOOSE(CONTROL!$C$42, 49.4919, 49.4919) * CHOOSE(CONTROL!$C$21, $C$9, 100%, $E$9)</f>
        <v>49.491900000000001</v>
      </c>
      <c r="N720" s="14">
        <f>CHOOSE(CONTROL!$C$42, 49.5095, 49.5095) * CHOOSE(CONTROL!$C$21, $C$9, 100%, $E$9)</f>
        <v>49.509500000000003</v>
      </c>
      <c r="O720" s="14">
        <f>CHOOSE(CONTROL!$C$42, 49.5571, 49.5571) * CHOOSE(CONTROL!$C$21, $C$9, 100%, $E$9)</f>
        <v>49.557099999999998</v>
      </c>
      <c r="P720" s="14">
        <f>CHOOSE(CONTROL!$C$42, 49.649, 49.649) * CHOOSE(CONTROL!$C$21, $C$9, 100%, $E$9)</f>
        <v>49.649000000000001</v>
      </c>
      <c r="Q720" s="14">
        <f>CHOOSE(CONTROL!$C$42, 50.1518, 50.1518) * CHOOSE(CONTROL!$C$21, $C$9, 100%, $E$9)</f>
        <v>50.151800000000001</v>
      </c>
      <c r="R720" s="14">
        <f>CHOOSE(CONTROL!$C$42, 50.8641, 50.8641) * CHOOSE(CONTROL!$C$21, $C$9, 100%, $E$9)</f>
        <v>50.864100000000001</v>
      </c>
      <c r="S720" s="14">
        <f>CHOOSE(CONTROL!$C$42, 48.5058, 48.5058) * CHOOSE(CONTROL!$C$21, $C$9, 100%, $E$9)</f>
        <v>48.505800000000001</v>
      </c>
      <c r="T72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56">
        <f>(1000*CHOOSE(CONTROL!$C$42, 695, 695)*CHOOSE(CONTROL!$C$42, 0.5599, 0.5599)*CHOOSE(CONTROL!$C$42, 31, 31))/1000000</f>
        <v>12.063045499999998</v>
      </c>
      <c r="V720" s="56">
        <f>(1000*CHOOSE(CONTROL!$C$42, 500, 500)*CHOOSE(CONTROL!$C$42, 0.275, 0.275)*CHOOSE(CONTROL!$C$42, 31, 31))/1000000</f>
        <v>4.2625000000000002</v>
      </c>
      <c r="W720" s="56">
        <f>(1000*CHOOSE(CONTROL!$C$42, 0.1146, 0.1146)*CHOOSE(CONTROL!$C$42, 121.5, 121.5)*CHOOSE(CONTROL!$C$42, 31, 31))/1000000</f>
        <v>0.43164089999999994</v>
      </c>
      <c r="X720" s="56">
        <f>(31*0.1790888*100000/1000000)+(31*0.2374*100000/1000000)</f>
        <v>1.2911152800000001</v>
      </c>
      <c r="Y720" s="56"/>
      <c r="Z720" s="14"/>
      <c r="AA720" s="55"/>
      <c r="AB720" s="49">
        <f>(B720*122.58+C720*297.941+D720*89.177+E720*40.302+F720*40+G720*160+H720*0+I720*100+J720*300)/(122.58+297.941+89.177+40.302+0+40+160+100+300)</f>
        <v>50.533339521043473</v>
      </c>
      <c r="AC720" s="44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49.545068345323742</v>
      </c>
    </row>
    <row r="721" spans="1:29" ht="15.75" x14ac:dyDescent="0.25">
      <c r="A721" s="31">
        <v>62854</v>
      </c>
      <c r="B721" s="14">
        <f>CHOOSE(CONTROL!$C$42, 54.6732, 54.6732) * CHOOSE(CONTROL!$C$21, $C$9, 100%, $E$9)</f>
        <v>54.673200000000001</v>
      </c>
      <c r="C721" s="14">
        <f>CHOOSE(CONTROL!$C$42, 54.6783, 54.6783) * CHOOSE(CONTROL!$C$21, $C$9, 100%, $E$9)</f>
        <v>54.6783</v>
      </c>
      <c r="D721" s="14">
        <f>CHOOSE(CONTROL!$C$42, 54.7577, 54.7577) * CHOOSE(CONTROL!$C$21, $C$9, 100%, $E$9)</f>
        <v>54.7577</v>
      </c>
      <c r="E721" s="14">
        <f>CHOOSE(CONTROL!$C$42, 54.7918, 54.7918) * CHOOSE(CONTROL!$C$21, $C$9, 100%, $E$9)</f>
        <v>54.791800000000002</v>
      </c>
      <c r="F721" s="14">
        <f>CHOOSE(CONTROL!$C$42, 54.6962, 54.6962)*CHOOSE(CONTROL!$C$21, $C$9, 100%, $E$9)</f>
        <v>54.696199999999997</v>
      </c>
      <c r="G721" s="14">
        <f>CHOOSE(CONTROL!$C$42, 54.7137, 54.7137)*CHOOSE(CONTROL!$C$21, $C$9, 100%, $E$9)</f>
        <v>54.713700000000003</v>
      </c>
      <c r="H721" s="14">
        <f>CHOOSE(CONTROL!$C$42, 54.781, 54.781) * CHOOSE(CONTROL!$C$21, $C$9, 100%, $E$9)</f>
        <v>54.780999999999999</v>
      </c>
      <c r="I721" s="14">
        <f>CHOOSE(CONTROL!$C$42, 54.8797, 54.8797)* CHOOSE(CONTROL!$C$21, $C$9, 100%, $E$9)</f>
        <v>54.8797</v>
      </c>
      <c r="J721" s="14">
        <f>CHOOSE(CONTROL!$C$42, 54.6892, 54.6892)* CHOOSE(CONTROL!$C$21, $C$9, 100%, $E$9)</f>
        <v>54.6892</v>
      </c>
      <c r="K721" s="52">
        <f>CHOOSE(CONTROL!$C$42, 54.8758, 54.8758) * CHOOSE(CONTROL!$C$21, $C$9, 100%, $E$9)</f>
        <v>54.875799999999998</v>
      </c>
      <c r="L721" s="14">
        <f>CHOOSE(CONTROL!$C$42, 55.368, 55.368) * CHOOSE(CONTROL!$C$21, $C$9, 100%, $E$9)</f>
        <v>55.368000000000002</v>
      </c>
      <c r="M721" s="14">
        <f>CHOOSE(CONTROL!$C$42, 53.5764, 53.5764) * CHOOSE(CONTROL!$C$21, $C$9, 100%, $E$9)</f>
        <v>53.5764</v>
      </c>
      <c r="N721" s="14">
        <f>CHOOSE(CONTROL!$C$42, 53.5935, 53.5935) * CHOOSE(CONTROL!$C$21, $C$9, 100%, $E$9)</f>
        <v>53.593499999999999</v>
      </c>
      <c r="O721" s="14">
        <f>CHOOSE(CONTROL!$C$42, 53.6663, 53.6663) * CHOOSE(CONTROL!$C$21, $C$9, 100%, $E$9)</f>
        <v>53.6663</v>
      </c>
      <c r="P721" s="14">
        <f>CHOOSE(CONTROL!$C$42, 53.7596, 53.7596) * CHOOSE(CONTROL!$C$21, $C$9, 100%, $E$9)</f>
        <v>53.759599999999999</v>
      </c>
      <c r="Q721" s="14">
        <f>CHOOSE(CONTROL!$C$42, 54.261, 54.261) * CHOOSE(CONTROL!$C$21, $C$9, 100%, $E$9)</f>
        <v>54.261000000000003</v>
      </c>
      <c r="R721" s="14">
        <f>CHOOSE(CONTROL!$C$42, 54.9836, 54.9836) * CHOOSE(CONTROL!$C$21, $C$9, 100%, $E$9)</f>
        <v>54.983600000000003</v>
      </c>
      <c r="S721" s="14">
        <f>CHOOSE(CONTROL!$C$42, 52.5269, 52.5269) * CHOOSE(CONTROL!$C$21, $C$9, 100%, $E$9)</f>
        <v>52.526899999999998</v>
      </c>
      <c r="T72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56">
        <f>(1000*CHOOSE(CONTROL!$C$42, 695, 695)*CHOOSE(CONTROL!$C$42, 0.5599, 0.5599)*CHOOSE(CONTROL!$C$42, 31, 31))/1000000</f>
        <v>12.063045499999998</v>
      </c>
      <c r="V721" s="56">
        <f>(1000*CHOOSE(CONTROL!$C$42, 500, 500)*CHOOSE(CONTROL!$C$42, 0.275, 0.275)*CHOOSE(CONTROL!$C$42, 31, 31))/1000000</f>
        <v>4.2625000000000002</v>
      </c>
      <c r="W721" s="56">
        <f>(1000*CHOOSE(CONTROL!$C$42, 0.1146, 0.1146)*CHOOSE(CONTROL!$C$42, 121.5, 121.5)*CHOOSE(CONTROL!$C$42, 31, 31))/1000000</f>
        <v>0.43164089999999994</v>
      </c>
      <c r="X721" s="56">
        <f>(31*0.1790888*100000/1000000)+(31*0.2374*100000/1000000)</f>
        <v>1.2911152800000001</v>
      </c>
      <c r="Y721" s="56"/>
      <c r="Z721" s="14"/>
      <c r="AA721" s="55"/>
      <c r="AB721" s="49">
        <f>(B721*122.58+C721*297.941+D721*89.177+E721*40.302+F721*40+G721*160+H721*0+I721*100+J721*300)/(122.58+297.941+89.177+40.302+0+40+160+100+300)</f>
        <v>54.7137954546087</v>
      </c>
      <c r="AC721" s="44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53.644489928057553</v>
      </c>
    </row>
    <row r="722" spans="1:29" ht="15.75" x14ac:dyDescent="0.25">
      <c r="A722" s="31">
        <v>62883</v>
      </c>
      <c r="B722" s="14">
        <f>CHOOSE(CONTROL!$C$42, 55.6463, 55.6463) * CHOOSE(CONTROL!$C$21, $C$9, 100%, $E$9)</f>
        <v>55.646299999999997</v>
      </c>
      <c r="C722" s="14">
        <f>CHOOSE(CONTROL!$C$42, 55.6514, 55.6514) * CHOOSE(CONTROL!$C$21, $C$9, 100%, $E$9)</f>
        <v>55.651400000000002</v>
      </c>
      <c r="D722" s="14">
        <f>CHOOSE(CONTROL!$C$42, 55.7308, 55.7308) * CHOOSE(CONTROL!$C$21, $C$9, 100%, $E$9)</f>
        <v>55.730800000000002</v>
      </c>
      <c r="E722" s="14">
        <f>CHOOSE(CONTROL!$C$42, 55.7649, 55.7649) * CHOOSE(CONTROL!$C$21, $C$9, 100%, $E$9)</f>
        <v>55.764899999999997</v>
      </c>
      <c r="F722" s="14">
        <f>CHOOSE(CONTROL!$C$42, 55.6691, 55.6691)*CHOOSE(CONTROL!$C$21, $C$9, 100%, $E$9)</f>
        <v>55.6691</v>
      </c>
      <c r="G722" s="14">
        <f>CHOOSE(CONTROL!$C$42, 55.6865, 55.6865)*CHOOSE(CONTROL!$C$21, $C$9, 100%, $E$9)</f>
        <v>55.686500000000002</v>
      </c>
      <c r="H722" s="14">
        <f>CHOOSE(CONTROL!$C$42, 55.7541, 55.7541) * CHOOSE(CONTROL!$C$21, $C$9, 100%, $E$9)</f>
        <v>55.754100000000001</v>
      </c>
      <c r="I722" s="14">
        <f>CHOOSE(CONTROL!$C$42, 55.8559, 55.8559)* CHOOSE(CONTROL!$C$21, $C$9, 100%, $E$9)</f>
        <v>55.855899999999998</v>
      </c>
      <c r="J722" s="14">
        <f>CHOOSE(CONTROL!$C$42, 55.6621, 55.6621)* CHOOSE(CONTROL!$C$21, $C$9, 100%, $E$9)</f>
        <v>55.662100000000002</v>
      </c>
      <c r="K722" s="52">
        <f>CHOOSE(CONTROL!$C$42, 55.852, 55.852) * CHOOSE(CONTROL!$C$21, $C$9, 100%, $E$9)</f>
        <v>55.851999999999997</v>
      </c>
      <c r="L722" s="14">
        <f>CHOOSE(CONTROL!$C$42, 56.3411, 56.3411) * CHOOSE(CONTROL!$C$21, $C$9, 100%, $E$9)</f>
        <v>56.341099999999997</v>
      </c>
      <c r="M722" s="14">
        <f>CHOOSE(CONTROL!$C$42, 54.5293, 54.5293) * CHOOSE(CONTROL!$C$21, $C$9, 100%, $E$9)</f>
        <v>54.529299999999999</v>
      </c>
      <c r="N722" s="14">
        <f>CHOOSE(CONTROL!$C$42, 54.5464, 54.5464) * CHOOSE(CONTROL!$C$21, $C$9, 100%, $E$9)</f>
        <v>54.546399999999998</v>
      </c>
      <c r="O722" s="14">
        <f>CHOOSE(CONTROL!$C$42, 54.6194, 54.6194) * CHOOSE(CONTROL!$C$21, $C$9, 100%, $E$9)</f>
        <v>54.619399999999999</v>
      </c>
      <c r="P722" s="14">
        <f>CHOOSE(CONTROL!$C$42, 54.7157, 54.7157) * CHOOSE(CONTROL!$C$21, $C$9, 100%, $E$9)</f>
        <v>54.715699999999998</v>
      </c>
      <c r="Q722" s="14">
        <f>CHOOSE(CONTROL!$C$42, 55.2141, 55.2141) * CHOOSE(CONTROL!$C$21, $C$9, 100%, $E$9)</f>
        <v>55.214100000000002</v>
      </c>
      <c r="R722" s="14">
        <f>CHOOSE(CONTROL!$C$42, 55.9391, 55.9391) * CHOOSE(CONTROL!$C$21, $C$9, 100%, $E$9)</f>
        <v>55.939100000000003</v>
      </c>
      <c r="S722" s="14">
        <f>CHOOSE(CONTROL!$C$42, 53.462, 53.462) * CHOOSE(CONTROL!$C$21, $C$9, 100%, $E$9)</f>
        <v>53.462000000000003</v>
      </c>
      <c r="T722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22" s="56">
        <f>(1000*CHOOSE(CONTROL!$C$42, 695, 695)*CHOOSE(CONTROL!$C$42, 0.5599, 0.5599)*CHOOSE(CONTROL!$C$42, 29, 29))/1000000</f>
        <v>11.284784499999999</v>
      </c>
      <c r="V722" s="56">
        <f>(1000*CHOOSE(CONTROL!$C$42, 500, 500)*CHOOSE(CONTROL!$C$42, 0.275, 0.275)*CHOOSE(CONTROL!$C$42, 29, 29))/1000000</f>
        <v>3.9874999999999998</v>
      </c>
      <c r="W722" s="56">
        <f>(1000*CHOOSE(CONTROL!$C$42, 0.1146, 0.1146)*CHOOSE(CONTROL!$C$42, 121.5, 121.5)*CHOOSE(CONTROL!$C$42, 29, 29))/1000000</f>
        <v>0.40379309999999996</v>
      </c>
      <c r="X722" s="56">
        <f>(29*0.1790888*100000/1000000)+(29*0.2374*100000/1000000)</f>
        <v>1.2078175199999999</v>
      </c>
      <c r="Y722" s="56"/>
      <c r="Z722" s="14"/>
      <c r="AA722" s="55"/>
      <c r="AB722" s="49">
        <f>(B722*122.58+C722*297.941+D722*89.177+E722*40.302+F722*40+G722*160+H722*0+I722*100+J722*300)/(122.58+297.941+89.177+40.302+0+40+160+100+300)</f>
        <v>55.687064150260866</v>
      </c>
      <c r="AC722" s="44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54.597941007194251</v>
      </c>
    </row>
    <row r="723" spans="1:29" ht="15.75" x14ac:dyDescent="0.25">
      <c r="A723" s="31">
        <v>62914</v>
      </c>
      <c r="B723" s="14">
        <f>CHOOSE(CONTROL!$C$42, 54.0667, 54.0667) * CHOOSE(CONTROL!$C$21, $C$9, 100%, $E$9)</f>
        <v>54.066699999999997</v>
      </c>
      <c r="C723" s="14">
        <f>CHOOSE(CONTROL!$C$42, 54.0718, 54.0718) * CHOOSE(CONTROL!$C$21, $C$9, 100%, $E$9)</f>
        <v>54.071800000000003</v>
      </c>
      <c r="D723" s="14">
        <f>CHOOSE(CONTROL!$C$42, 54.1512, 54.1512) * CHOOSE(CONTROL!$C$21, $C$9, 100%, $E$9)</f>
        <v>54.151200000000003</v>
      </c>
      <c r="E723" s="14">
        <f>CHOOSE(CONTROL!$C$42, 54.1853, 54.1853) * CHOOSE(CONTROL!$C$21, $C$9, 100%, $E$9)</f>
        <v>54.185299999999998</v>
      </c>
      <c r="F723" s="14">
        <f>CHOOSE(CONTROL!$C$42, 54.0888, 54.0888)*CHOOSE(CONTROL!$C$21, $C$9, 100%, $E$9)</f>
        <v>54.088799999999999</v>
      </c>
      <c r="G723" s="14">
        <f>CHOOSE(CONTROL!$C$42, 54.106, 54.106)*CHOOSE(CONTROL!$C$21, $C$9, 100%, $E$9)</f>
        <v>54.106000000000002</v>
      </c>
      <c r="H723" s="14">
        <f>CHOOSE(CONTROL!$C$42, 54.1745, 54.1745) * CHOOSE(CONTROL!$C$21, $C$9, 100%, $E$9)</f>
        <v>54.174500000000002</v>
      </c>
      <c r="I723" s="14">
        <f>CHOOSE(CONTROL!$C$42, 54.2713, 54.2713)* CHOOSE(CONTROL!$C$21, $C$9, 100%, $E$9)</f>
        <v>54.271299999999997</v>
      </c>
      <c r="J723" s="14">
        <f>CHOOSE(CONTROL!$C$42, 54.0818, 54.0818)* CHOOSE(CONTROL!$C$21, $C$9, 100%, $E$9)</f>
        <v>54.081800000000001</v>
      </c>
      <c r="K723" s="52">
        <f>CHOOSE(CONTROL!$C$42, 54.2674, 54.2674) * CHOOSE(CONTROL!$C$21, $C$9, 100%, $E$9)</f>
        <v>54.267400000000002</v>
      </c>
      <c r="L723" s="14">
        <f>CHOOSE(CONTROL!$C$42, 54.7615, 54.7615) * CHOOSE(CONTROL!$C$21, $C$9, 100%, $E$9)</f>
        <v>54.761499999999998</v>
      </c>
      <c r="M723" s="14">
        <f>CHOOSE(CONTROL!$C$42, 52.9814, 52.9814) * CHOOSE(CONTROL!$C$21, $C$9, 100%, $E$9)</f>
        <v>52.981400000000001</v>
      </c>
      <c r="N723" s="14">
        <f>CHOOSE(CONTROL!$C$42, 52.9983, 52.9983) * CHOOSE(CONTROL!$C$21, $C$9, 100%, $E$9)</f>
        <v>52.9983</v>
      </c>
      <c r="O723" s="14">
        <f>CHOOSE(CONTROL!$C$42, 53.0722, 53.0722) * CHOOSE(CONTROL!$C$21, $C$9, 100%, $E$9)</f>
        <v>53.072200000000002</v>
      </c>
      <c r="P723" s="14">
        <f>CHOOSE(CONTROL!$C$42, 53.1637, 53.1637) * CHOOSE(CONTROL!$C$21, $C$9, 100%, $E$9)</f>
        <v>53.163699999999999</v>
      </c>
      <c r="Q723" s="14">
        <f>CHOOSE(CONTROL!$C$42, 53.6669, 53.6669) * CHOOSE(CONTROL!$C$21, $C$9, 100%, $E$9)</f>
        <v>53.666899999999998</v>
      </c>
      <c r="R723" s="14">
        <f>CHOOSE(CONTROL!$C$42, 54.3881, 54.3881) * CHOOSE(CONTROL!$C$21, $C$9, 100%, $E$9)</f>
        <v>54.388100000000001</v>
      </c>
      <c r="S723" s="14">
        <f>CHOOSE(CONTROL!$C$42, 51.9442, 51.9442) * CHOOSE(CONTROL!$C$21, $C$9, 100%, $E$9)</f>
        <v>51.944200000000002</v>
      </c>
      <c r="T72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56">
        <f>(1000*CHOOSE(CONTROL!$C$42, 695, 695)*CHOOSE(CONTROL!$C$42, 0.5599, 0.5599)*CHOOSE(CONTROL!$C$42, 31, 31))/1000000</f>
        <v>12.063045499999998</v>
      </c>
      <c r="V723" s="56">
        <f>(1000*CHOOSE(CONTROL!$C$42, 500, 500)*CHOOSE(CONTROL!$C$42, 0.275, 0.275)*CHOOSE(CONTROL!$C$42, 31, 31))/1000000</f>
        <v>4.2625000000000002</v>
      </c>
      <c r="W723" s="56">
        <f>(1000*CHOOSE(CONTROL!$C$42, 0.1146, 0.1146)*CHOOSE(CONTROL!$C$42, 121.5, 121.5)*CHOOSE(CONTROL!$C$42, 31, 31))/1000000</f>
        <v>0.43164089999999994</v>
      </c>
      <c r="X723" s="56">
        <f>(31*0.1790888*100000/1000000)+(31*0.2374*100000/1000000)</f>
        <v>1.2911152800000001</v>
      </c>
      <c r="Y723" s="56"/>
      <c r="Z723" s="14"/>
      <c r="AA723" s="55"/>
      <c r="AB723" s="49">
        <f>(B723*122.58+C723*297.941+D723*89.177+E723*40.302+F723*40+G723*160+H723*0+I723*100+J723*300)/(122.58+297.941+89.177+40.302+0+40+160+100+300)</f>
        <v>54.10669719373913</v>
      </c>
      <c r="AC723" s="44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53.049756834532381</v>
      </c>
    </row>
    <row r="724" spans="1:29" ht="15.75" x14ac:dyDescent="0.25">
      <c r="A724" s="31">
        <v>62944</v>
      </c>
      <c r="B724" s="14">
        <f>CHOOSE(CONTROL!$C$42, 53.9059, 53.9059) * CHOOSE(CONTROL!$C$21, $C$9, 100%, $E$9)</f>
        <v>53.905900000000003</v>
      </c>
      <c r="C724" s="14">
        <f>CHOOSE(CONTROL!$C$42, 53.9104, 53.9104) * CHOOSE(CONTROL!$C$21, $C$9, 100%, $E$9)</f>
        <v>53.910400000000003</v>
      </c>
      <c r="D724" s="14">
        <f>CHOOSE(CONTROL!$C$42, 54.1393, 54.1393) * CHOOSE(CONTROL!$C$21, $C$9, 100%, $E$9)</f>
        <v>54.139299999999999</v>
      </c>
      <c r="E724" s="14">
        <f>CHOOSE(CONTROL!$C$42, 54.1714, 54.1714) * CHOOSE(CONTROL!$C$21, $C$9, 100%, $E$9)</f>
        <v>54.171399999999998</v>
      </c>
      <c r="F724" s="14">
        <f>CHOOSE(CONTROL!$C$42, 53.9329, 53.9329)*CHOOSE(CONTROL!$C$21, $C$9, 100%, $E$9)</f>
        <v>53.932899999999997</v>
      </c>
      <c r="G724" s="14">
        <f>CHOOSE(CONTROL!$C$42, 53.9496, 53.9496)*CHOOSE(CONTROL!$C$21, $C$9, 100%, $E$9)</f>
        <v>53.949599999999997</v>
      </c>
      <c r="H724" s="14">
        <f>CHOOSE(CONTROL!$C$42, 54.1612, 54.1612) * CHOOSE(CONTROL!$C$21, $C$9, 100%, $E$9)</f>
        <v>54.161200000000001</v>
      </c>
      <c r="I724" s="14">
        <f>CHOOSE(CONTROL!$C$42, 54.1076, 54.1076)* CHOOSE(CONTROL!$C$21, $C$9, 100%, $E$9)</f>
        <v>54.107599999999998</v>
      </c>
      <c r="J724" s="14">
        <f>CHOOSE(CONTROL!$C$42, 53.9259, 53.9259)* CHOOSE(CONTROL!$C$21, $C$9, 100%, $E$9)</f>
        <v>53.925899999999999</v>
      </c>
      <c r="K724" s="52">
        <f>CHOOSE(CONTROL!$C$42, 54.1037, 54.1037) * CHOOSE(CONTROL!$C$21, $C$9, 100%, $E$9)</f>
        <v>54.103700000000003</v>
      </c>
      <c r="L724" s="14">
        <f>CHOOSE(CONTROL!$C$42, 54.7482, 54.7482) * CHOOSE(CONTROL!$C$21, $C$9, 100%, $E$9)</f>
        <v>54.748199999999997</v>
      </c>
      <c r="M724" s="14">
        <f>CHOOSE(CONTROL!$C$42, 52.8287, 52.8287) * CHOOSE(CONTROL!$C$21, $C$9, 100%, $E$9)</f>
        <v>52.828699999999998</v>
      </c>
      <c r="N724" s="14">
        <f>CHOOSE(CONTROL!$C$42, 52.845, 52.845) * CHOOSE(CONTROL!$C$21, $C$9, 100%, $E$9)</f>
        <v>52.844999999999999</v>
      </c>
      <c r="O724" s="14">
        <f>CHOOSE(CONTROL!$C$42, 53.0591, 53.0591) * CHOOSE(CONTROL!$C$21, $C$9, 100%, $E$9)</f>
        <v>53.059100000000001</v>
      </c>
      <c r="P724" s="14">
        <f>CHOOSE(CONTROL!$C$42, 53.0034, 53.0034) * CHOOSE(CONTROL!$C$21, $C$9, 100%, $E$9)</f>
        <v>53.003399999999999</v>
      </c>
      <c r="Q724" s="14">
        <f>CHOOSE(CONTROL!$C$42, 53.6538, 53.6538) * CHOOSE(CONTROL!$C$21, $C$9, 100%, $E$9)</f>
        <v>53.653799999999997</v>
      </c>
      <c r="R724" s="14">
        <f>CHOOSE(CONTROL!$C$42, 54.375, 54.375) * CHOOSE(CONTROL!$C$21, $C$9, 100%, $E$9)</f>
        <v>54.375</v>
      </c>
      <c r="S724" s="14">
        <f>CHOOSE(CONTROL!$C$42, 51.7889, 51.7889) * CHOOSE(CONTROL!$C$21, $C$9, 100%, $E$9)</f>
        <v>51.788899999999998</v>
      </c>
      <c r="T72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56">
        <f>(1000*CHOOSE(CONTROL!$C$42, 695, 695)*CHOOSE(CONTROL!$C$42, 0.5599, 0.5599)*CHOOSE(CONTROL!$C$42, 30, 30))/1000000</f>
        <v>11.673914999999997</v>
      </c>
      <c r="V724" s="56">
        <f>(1000*CHOOSE(CONTROL!$C$42, 500, 500)*CHOOSE(CONTROL!$C$42, 0.275, 0.275)*CHOOSE(CONTROL!$C$42, 30, 30))/1000000</f>
        <v>4.125</v>
      </c>
      <c r="W724" s="56">
        <f>(1000*CHOOSE(CONTROL!$C$42, 0.1146, 0.1146)*CHOOSE(CONTROL!$C$42, 121.5, 121.5)*CHOOSE(CONTROL!$C$42, 30, 30))/1000000</f>
        <v>0.417717</v>
      </c>
      <c r="X724" s="56">
        <f>(30*0.1790888*245000/1000000)+(30*0.2374*100000/1000000)</f>
        <v>2.0285026799999999</v>
      </c>
      <c r="Y724" s="56"/>
      <c r="Z724" s="14"/>
      <c r="AA724" s="55"/>
      <c r="AB724" s="49">
        <f>(B724*141.293+C724*267.993+D724*115.016+E724*89.698+F724*40+G724*185+H724*0+I724*100+J724*300)/(141.293+267.993+115.016+89.698+0+40+185+100+300)</f>
        <v>53.976279355851489</v>
      </c>
      <c r="AC724" s="44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52.959200719424452</v>
      </c>
    </row>
    <row r="725" spans="1:29" ht="15.75" x14ac:dyDescent="0.25">
      <c r="A725" s="31">
        <v>62975</v>
      </c>
      <c r="B725" s="14">
        <f>CHOOSE(CONTROL!$C$42, 54.383, 54.383) * CHOOSE(CONTROL!$C$21, $C$9, 100%, $E$9)</f>
        <v>54.383000000000003</v>
      </c>
      <c r="C725" s="14">
        <f>CHOOSE(CONTROL!$C$42, 54.391, 54.391) * CHOOSE(CONTROL!$C$21, $C$9, 100%, $E$9)</f>
        <v>54.390999999999998</v>
      </c>
      <c r="D725" s="14">
        <f>CHOOSE(CONTROL!$C$42, 54.6168, 54.6168) * CHOOSE(CONTROL!$C$21, $C$9, 100%, $E$9)</f>
        <v>54.616799999999998</v>
      </c>
      <c r="E725" s="14">
        <f>CHOOSE(CONTROL!$C$42, 54.6482, 54.6482) * CHOOSE(CONTROL!$C$21, $C$9, 100%, $E$9)</f>
        <v>54.648200000000003</v>
      </c>
      <c r="F725" s="14">
        <f>CHOOSE(CONTROL!$C$42, 54.4086, 54.4086)*CHOOSE(CONTROL!$C$21, $C$9, 100%, $E$9)</f>
        <v>54.4086</v>
      </c>
      <c r="G725" s="14">
        <f>CHOOSE(CONTROL!$C$42, 54.4256, 54.4256)*CHOOSE(CONTROL!$C$21, $C$9, 100%, $E$9)</f>
        <v>54.425600000000003</v>
      </c>
      <c r="H725" s="14">
        <f>CHOOSE(CONTROL!$C$42, 54.6369, 54.6369) * CHOOSE(CONTROL!$C$21, $C$9, 100%, $E$9)</f>
        <v>54.636899999999997</v>
      </c>
      <c r="I725" s="14">
        <f>CHOOSE(CONTROL!$C$42, 54.5848, 54.5848)* CHOOSE(CONTROL!$C$21, $C$9, 100%, $E$9)</f>
        <v>54.584800000000001</v>
      </c>
      <c r="J725" s="14">
        <f>CHOOSE(CONTROL!$C$42, 54.4016, 54.4016)* CHOOSE(CONTROL!$C$21, $C$9, 100%, $E$9)</f>
        <v>54.401600000000002</v>
      </c>
      <c r="K725" s="52">
        <f>CHOOSE(CONTROL!$C$42, 54.5809, 54.5809) * CHOOSE(CONTROL!$C$21, $C$9, 100%, $E$9)</f>
        <v>54.5809</v>
      </c>
      <c r="L725" s="14">
        <f>CHOOSE(CONTROL!$C$42, 55.2239, 55.2239) * CHOOSE(CONTROL!$C$21, $C$9, 100%, $E$9)</f>
        <v>55.2239</v>
      </c>
      <c r="M725" s="14">
        <f>CHOOSE(CONTROL!$C$42, 53.2947, 53.2947) * CHOOSE(CONTROL!$C$21, $C$9, 100%, $E$9)</f>
        <v>53.294699999999999</v>
      </c>
      <c r="N725" s="14">
        <f>CHOOSE(CONTROL!$C$42, 53.3113, 53.3113) * CHOOSE(CONTROL!$C$21, $C$9, 100%, $E$9)</f>
        <v>53.311300000000003</v>
      </c>
      <c r="O725" s="14">
        <f>CHOOSE(CONTROL!$C$42, 53.5251, 53.5251) * CHOOSE(CONTROL!$C$21, $C$9, 100%, $E$9)</f>
        <v>53.525100000000002</v>
      </c>
      <c r="P725" s="14">
        <f>CHOOSE(CONTROL!$C$42, 53.4708, 53.4708) * CHOOSE(CONTROL!$C$21, $C$9, 100%, $E$9)</f>
        <v>53.470799999999997</v>
      </c>
      <c r="Q725" s="14">
        <f>CHOOSE(CONTROL!$C$42, 54.1198, 54.1198) * CHOOSE(CONTROL!$C$21, $C$9, 100%, $E$9)</f>
        <v>54.119799999999998</v>
      </c>
      <c r="R725" s="14">
        <f>CHOOSE(CONTROL!$C$42, 54.8421, 54.8421) * CHOOSE(CONTROL!$C$21, $C$9, 100%, $E$9)</f>
        <v>54.842100000000002</v>
      </c>
      <c r="S725" s="14">
        <f>CHOOSE(CONTROL!$C$42, 52.246, 52.246) * CHOOSE(CONTROL!$C$21, $C$9, 100%, $E$9)</f>
        <v>52.246000000000002</v>
      </c>
      <c r="T72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56">
        <f>(1000*CHOOSE(CONTROL!$C$42, 695, 695)*CHOOSE(CONTROL!$C$42, 0.5599, 0.5599)*CHOOSE(CONTROL!$C$42, 31, 31))/1000000</f>
        <v>12.063045499999998</v>
      </c>
      <c r="V725" s="56">
        <f>(1000*CHOOSE(CONTROL!$C$42, 500, 500)*CHOOSE(CONTROL!$C$42, 0.275, 0.275)*CHOOSE(CONTROL!$C$42, 31, 31))/1000000</f>
        <v>4.2625000000000002</v>
      </c>
      <c r="W725" s="56">
        <f>(1000*CHOOSE(CONTROL!$C$42, 0.1146, 0.1146)*CHOOSE(CONTROL!$C$42, 121.5, 121.5)*CHOOSE(CONTROL!$C$42, 31, 31))/1000000</f>
        <v>0.43164089999999994</v>
      </c>
      <c r="X725" s="56">
        <f>(31*0.1790888*245000/1000000)+(31*0.2374*100000/1000000)</f>
        <v>2.0961194359999999</v>
      </c>
      <c r="Y725" s="56"/>
      <c r="Z725" s="14"/>
      <c r="AA725" s="55"/>
      <c r="AB725" s="49">
        <f>(B725*194.205+C725*267.466+D725*133.845+E725*53.484+F725*40+G725*185+H725*0+I725*100+J725*300)/(194.205+267.466+133.845+53.484+0+40+185+100+300)</f>
        <v>54.44758527927786</v>
      </c>
      <c r="AC725" s="44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53.425419424460429</v>
      </c>
    </row>
    <row r="726" spans="1:29" ht="15.75" x14ac:dyDescent="0.25">
      <c r="A726" s="31">
        <v>63005</v>
      </c>
      <c r="B726" s="14">
        <f>CHOOSE(CONTROL!$C$42, 55.9253, 55.9253) * CHOOSE(CONTROL!$C$21, $C$9, 100%, $E$9)</f>
        <v>55.9253</v>
      </c>
      <c r="C726" s="14">
        <f>CHOOSE(CONTROL!$C$42, 55.9333, 55.9333) * CHOOSE(CONTROL!$C$21, $C$9, 100%, $E$9)</f>
        <v>55.933300000000003</v>
      </c>
      <c r="D726" s="14">
        <f>CHOOSE(CONTROL!$C$42, 56.1591, 56.1591) * CHOOSE(CONTROL!$C$21, $C$9, 100%, $E$9)</f>
        <v>56.159100000000002</v>
      </c>
      <c r="E726" s="14">
        <f>CHOOSE(CONTROL!$C$42, 56.1905, 56.1905) * CHOOSE(CONTROL!$C$21, $C$9, 100%, $E$9)</f>
        <v>56.1905</v>
      </c>
      <c r="F726" s="14">
        <f>CHOOSE(CONTROL!$C$42, 55.9514, 55.9514)*CHOOSE(CONTROL!$C$21, $C$9, 100%, $E$9)</f>
        <v>55.9514</v>
      </c>
      <c r="G726" s="14">
        <f>CHOOSE(CONTROL!$C$42, 55.9685, 55.9685)*CHOOSE(CONTROL!$C$21, $C$9, 100%, $E$9)</f>
        <v>55.968499999999999</v>
      </c>
      <c r="H726" s="14">
        <f>CHOOSE(CONTROL!$C$42, 56.1792, 56.1792) * CHOOSE(CONTROL!$C$21, $C$9, 100%, $E$9)</f>
        <v>56.179200000000002</v>
      </c>
      <c r="I726" s="14">
        <f>CHOOSE(CONTROL!$C$42, 56.132, 56.132)* CHOOSE(CONTROL!$C$21, $C$9, 100%, $E$9)</f>
        <v>56.131999999999998</v>
      </c>
      <c r="J726" s="14">
        <f>CHOOSE(CONTROL!$C$42, 55.9444, 55.9444)* CHOOSE(CONTROL!$C$21, $C$9, 100%, $E$9)</f>
        <v>55.944400000000002</v>
      </c>
      <c r="K726" s="52">
        <f>CHOOSE(CONTROL!$C$42, 56.1281, 56.1281) * CHOOSE(CONTROL!$C$21, $C$9, 100%, $E$9)</f>
        <v>56.128100000000003</v>
      </c>
      <c r="L726" s="14">
        <f>CHOOSE(CONTROL!$C$42, 56.7662, 56.7662) * CHOOSE(CONTROL!$C$21, $C$9, 100%, $E$9)</f>
        <v>56.766199999999998</v>
      </c>
      <c r="M726" s="14">
        <f>CHOOSE(CONTROL!$C$42, 54.8058, 54.8058) * CHOOSE(CONTROL!$C$21, $C$9, 100%, $E$9)</f>
        <v>54.805799999999998</v>
      </c>
      <c r="N726" s="14">
        <f>CHOOSE(CONTROL!$C$42, 54.8225, 54.8225) * CHOOSE(CONTROL!$C$21, $C$9, 100%, $E$9)</f>
        <v>54.822499999999998</v>
      </c>
      <c r="O726" s="14">
        <f>CHOOSE(CONTROL!$C$42, 55.0358, 55.0358) * CHOOSE(CONTROL!$C$21, $C$9, 100%, $E$9)</f>
        <v>55.035800000000002</v>
      </c>
      <c r="P726" s="14">
        <f>CHOOSE(CONTROL!$C$42, 54.9861, 54.9861) * CHOOSE(CONTROL!$C$21, $C$9, 100%, $E$9)</f>
        <v>54.9861</v>
      </c>
      <c r="Q726" s="14">
        <f>CHOOSE(CONTROL!$C$42, 55.6305, 55.6305) * CHOOSE(CONTROL!$C$21, $C$9, 100%, $E$9)</f>
        <v>55.630499999999998</v>
      </c>
      <c r="R726" s="14">
        <f>CHOOSE(CONTROL!$C$42, 56.3566, 56.3566) * CHOOSE(CONTROL!$C$21, $C$9, 100%, $E$9)</f>
        <v>56.3566</v>
      </c>
      <c r="S726" s="14">
        <f>CHOOSE(CONTROL!$C$42, 53.728, 53.728) * CHOOSE(CONTROL!$C$21, $C$9, 100%, $E$9)</f>
        <v>53.728000000000002</v>
      </c>
      <c r="T72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56">
        <f>(1000*CHOOSE(CONTROL!$C$42, 695, 695)*CHOOSE(CONTROL!$C$42, 0.5599, 0.5599)*CHOOSE(CONTROL!$C$42, 30, 30))/1000000</f>
        <v>11.673914999999997</v>
      </c>
      <c r="V726" s="56">
        <f>(1000*CHOOSE(CONTROL!$C$42, 500, 500)*CHOOSE(CONTROL!$C$42, 0.275, 0.275)*CHOOSE(CONTROL!$C$42, 30, 30))/1000000</f>
        <v>4.125</v>
      </c>
      <c r="W726" s="56">
        <f>(1000*CHOOSE(CONTROL!$C$42, 0.1146, 0.1146)*CHOOSE(CONTROL!$C$42, 121.5, 121.5)*CHOOSE(CONTROL!$C$42, 30, 30))/1000000</f>
        <v>0.417717</v>
      </c>
      <c r="X726" s="56">
        <f>(30*0.1790888*245000/1000000)+(30*0.2374*100000/1000000)</f>
        <v>2.0285026799999999</v>
      </c>
      <c r="Y726" s="56"/>
      <c r="Z726" s="14"/>
      <c r="AA726" s="55"/>
      <c r="AB726" s="49">
        <f>(B726*194.205+C726*267.466+D726*133.845+E726*53.484+F726*40+G726*185+H726*0+I726*100+J726*300)/(194.205+267.466+133.845+53.484+0+40+185+100+300)</f>
        <v>55.990490459811618</v>
      </c>
      <c r="AC726" s="44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54.936948201438852</v>
      </c>
    </row>
    <row r="727" spans="1:29" ht="15.75" x14ac:dyDescent="0.25">
      <c r="A727" s="31">
        <v>63036</v>
      </c>
      <c r="B727" s="14">
        <f>CHOOSE(CONTROL!$C$42, 54.8526, 54.8526) * CHOOSE(CONTROL!$C$21, $C$9, 100%, $E$9)</f>
        <v>54.852600000000002</v>
      </c>
      <c r="C727" s="14">
        <f>CHOOSE(CONTROL!$C$42, 54.8606, 54.8606) * CHOOSE(CONTROL!$C$21, $C$9, 100%, $E$9)</f>
        <v>54.860599999999998</v>
      </c>
      <c r="D727" s="14">
        <f>CHOOSE(CONTROL!$C$42, 55.0864, 55.0864) * CHOOSE(CONTROL!$C$21, $C$9, 100%, $E$9)</f>
        <v>55.086399999999998</v>
      </c>
      <c r="E727" s="14">
        <f>CHOOSE(CONTROL!$C$42, 55.1179, 55.1179) * CHOOSE(CONTROL!$C$21, $C$9, 100%, $E$9)</f>
        <v>55.117899999999999</v>
      </c>
      <c r="F727" s="14">
        <f>CHOOSE(CONTROL!$C$42, 54.8792, 54.8792)*CHOOSE(CONTROL!$C$21, $C$9, 100%, $E$9)</f>
        <v>54.879199999999997</v>
      </c>
      <c r="G727" s="14">
        <f>CHOOSE(CONTROL!$C$42, 54.8964, 54.8964)*CHOOSE(CONTROL!$C$21, $C$9, 100%, $E$9)</f>
        <v>54.8964</v>
      </c>
      <c r="H727" s="14">
        <f>CHOOSE(CONTROL!$C$42, 55.1065, 55.1065) * CHOOSE(CONTROL!$C$21, $C$9, 100%, $E$9)</f>
        <v>55.106499999999997</v>
      </c>
      <c r="I727" s="14">
        <f>CHOOSE(CONTROL!$C$42, 55.0559, 55.0559)* CHOOSE(CONTROL!$C$21, $C$9, 100%, $E$9)</f>
        <v>55.055900000000001</v>
      </c>
      <c r="J727" s="14">
        <f>CHOOSE(CONTROL!$C$42, 54.8722, 54.8722)* CHOOSE(CONTROL!$C$21, $C$9, 100%, $E$9)</f>
        <v>54.872199999999999</v>
      </c>
      <c r="K727" s="52">
        <f>CHOOSE(CONTROL!$C$42, 55.052, 55.052) * CHOOSE(CONTROL!$C$21, $C$9, 100%, $E$9)</f>
        <v>55.052</v>
      </c>
      <c r="L727" s="14">
        <f>CHOOSE(CONTROL!$C$42, 55.6935, 55.6935) * CHOOSE(CONTROL!$C$21, $C$9, 100%, $E$9)</f>
        <v>55.6935</v>
      </c>
      <c r="M727" s="14">
        <f>CHOOSE(CONTROL!$C$42, 53.7556, 53.7556) * CHOOSE(CONTROL!$C$21, $C$9, 100%, $E$9)</f>
        <v>53.755600000000001</v>
      </c>
      <c r="N727" s="14">
        <f>CHOOSE(CONTROL!$C$42, 53.7724, 53.7724) * CHOOSE(CONTROL!$C$21, $C$9, 100%, $E$9)</f>
        <v>53.772399999999998</v>
      </c>
      <c r="O727" s="14">
        <f>CHOOSE(CONTROL!$C$42, 53.9851, 53.9851) * CHOOSE(CONTROL!$C$21, $C$9, 100%, $E$9)</f>
        <v>53.985100000000003</v>
      </c>
      <c r="P727" s="14">
        <f>CHOOSE(CONTROL!$C$42, 53.9322, 53.9322) * CHOOSE(CONTROL!$C$21, $C$9, 100%, $E$9)</f>
        <v>53.932200000000002</v>
      </c>
      <c r="Q727" s="14">
        <f>CHOOSE(CONTROL!$C$42, 54.5798, 54.5798) * CHOOSE(CONTROL!$C$21, $C$9, 100%, $E$9)</f>
        <v>54.579799999999999</v>
      </c>
      <c r="R727" s="14">
        <f>CHOOSE(CONTROL!$C$42, 55.3032, 55.3032) * CHOOSE(CONTROL!$C$21, $C$9, 100%, $E$9)</f>
        <v>55.303199999999997</v>
      </c>
      <c r="S727" s="14">
        <f>CHOOSE(CONTROL!$C$42, 52.6972, 52.6972) * CHOOSE(CONTROL!$C$21, $C$9, 100%, $E$9)</f>
        <v>52.697200000000002</v>
      </c>
      <c r="T72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56">
        <f>(1000*CHOOSE(CONTROL!$C$42, 695, 695)*CHOOSE(CONTROL!$C$42, 0.5599, 0.5599)*CHOOSE(CONTROL!$C$42, 31, 31))/1000000</f>
        <v>12.063045499999998</v>
      </c>
      <c r="V727" s="56">
        <f>(1000*CHOOSE(CONTROL!$C$42, 500, 500)*CHOOSE(CONTROL!$C$42, 0.275, 0.275)*CHOOSE(CONTROL!$C$42, 31, 31))/1000000</f>
        <v>4.2625000000000002</v>
      </c>
      <c r="W727" s="56">
        <f>(1000*CHOOSE(CONTROL!$C$42, 0.1146, 0.1146)*CHOOSE(CONTROL!$C$42, 121.5, 121.5)*CHOOSE(CONTROL!$C$42, 31, 31))/1000000</f>
        <v>0.43164089999999994</v>
      </c>
      <c r="X727" s="56">
        <f>(31*0.1790888*245000/1000000)+(31*0.2374*100000/1000000)</f>
        <v>2.0961194359999999</v>
      </c>
      <c r="Y727" s="56"/>
      <c r="Z727" s="14"/>
      <c r="AA727" s="55"/>
      <c r="AB727" s="49">
        <f>(B727*194.205+C727*267.466+D727*133.845+E727*53.484+F727*40+G727*185+H727*0+I727*100+J727*300)/(194.205+267.466+133.845+53.484+0+40+185+100+300)</f>
        <v>54.91774834709576</v>
      </c>
      <c r="AC727" s="44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53.885994964028782</v>
      </c>
    </row>
    <row r="728" spans="1:29" ht="15.75" x14ac:dyDescent="0.25">
      <c r="A728" s="31">
        <v>63067</v>
      </c>
      <c r="B728" s="14">
        <f>CHOOSE(CONTROL!$C$42, 52.1437, 52.1437) * CHOOSE(CONTROL!$C$21, $C$9, 100%, $E$9)</f>
        <v>52.143700000000003</v>
      </c>
      <c r="C728" s="14">
        <f>CHOOSE(CONTROL!$C$42, 52.1517, 52.1517) * CHOOSE(CONTROL!$C$21, $C$9, 100%, $E$9)</f>
        <v>52.151699999999998</v>
      </c>
      <c r="D728" s="14">
        <f>CHOOSE(CONTROL!$C$42, 52.3775, 52.3775) * CHOOSE(CONTROL!$C$21, $C$9, 100%, $E$9)</f>
        <v>52.377499999999998</v>
      </c>
      <c r="E728" s="14">
        <f>CHOOSE(CONTROL!$C$42, 52.409, 52.409) * CHOOSE(CONTROL!$C$21, $C$9, 100%, $E$9)</f>
        <v>52.408999999999999</v>
      </c>
      <c r="F728" s="14">
        <f>CHOOSE(CONTROL!$C$42, 52.1705, 52.1705)*CHOOSE(CONTROL!$C$21, $C$9, 100%, $E$9)</f>
        <v>52.170499999999997</v>
      </c>
      <c r="G728" s="14">
        <f>CHOOSE(CONTROL!$C$42, 52.1878, 52.1878)*CHOOSE(CONTROL!$C$21, $C$9, 100%, $E$9)</f>
        <v>52.187800000000003</v>
      </c>
      <c r="H728" s="14">
        <f>CHOOSE(CONTROL!$C$42, 52.3976, 52.3976) * CHOOSE(CONTROL!$C$21, $C$9, 100%, $E$9)</f>
        <v>52.397599999999997</v>
      </c>
      <c r="I728" s="14">
        <f>CHOOSE(CONTROL!$C$42, 52.3386, 52.3386)* CHOOSE(CONTROL!$C$21, $C$9, 100%, $E$9)</f>
        <v>52.3386</v>
      </c>
      <c r="J728" s="14">
        <f>CHOOSE(CONTROL!$C$42, 52.1635, 52.1635)* CHOOSE(CONTROL!$C$21, $C$9, 100%, $E$9)</f>
        <v>52.163499999999999</v>
      </c>
      <c r="K728" s="52">
        <f>CHOOSE(CONTROL!$C$42, 52.3347, 52.3347) * CHOOSE(CONTROL!$C$21, $C$9, 100%, $E$9)</f>
        <v>52.334699999999998</v>
      </c>
      <c r="L728" s="14">
        <f>CHOOSE(CONTROL!$C$42, 52.9846, 52.9846) * CHOOSE(CONTROL!$C$21, $C$9, 100%, $E$9)</f>
        <v>52.9846</v>
      </c>
      <c r="M728" s="14">
        <f>CHOOSE(CONTROL!$C$42, 51.1024, 51.1024) * CHOOSE(CONTROL!$C$21, $C$9, 100%, $E$9)</f>
        <v>51.102400000000003</v>
      </c>
      <c r="N728" s="14">
        <f>CHOOSE(CONTROL!$C$42, 51.1193, 51.1193) * CHOOSE(CONTROL!$C$21, $C$9, 100%, $E$9)</f>
        <v>51.119300000000003</v>
      </c>
      <c r="O728" s="14">
        <f>CHOOSE(CONTROL!$C$42, 51.3317, 51.3317) * CHOOSE(CONTROL!$C$21, $C$9, 100%, $E$9)</f>
        <v>51.331699999999998</v>
      </c>
      <c r="P728" s="14">
        <f>CHOOSE(CONTROL!$C$42, 51.2707, 51.2707) * CHOOSE(CONTROL!$C$21, $C$9, 100%, $E$9)</f>
        <v>51.270699999999998</v>
      </c>
      <c r="Q728" s="14">
        <f>CHOOSE(CONTROL!$C$42, 51.9264, 51.9264) * CHOOSE(CONTROL!$C$21, $C$9, 100%, $E$9)</f>
        <v>51.926400000000001</v>
      </c>
      <c r="R728" s="14">
        <f>CHOOSE(CONTROL!$C$42, 52.6432, 52.6432) * CHOOSE(CONTROL!$C$21, $C$9, 100%, $E$9)</f>
        <v>52.6432</v>
      </c>
      <c r="S728" s="14">
        <f>CHOOSE(CONTROL!$C$42, 50.0943, 50.0943) * CHOOSE(CONTROL!$C$21, $C$9, 100%, $E$9)</f>
        <v>50.094299999999997</v>
      </c>
      <c r="T72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56">
        <f>(1000*CHOOSE(CONTROL!$C$42, 695, 695)*CHOOSE(CONTROL!$C$42, 0.5599, 0.5599)*CHOOSE(CONTROL!$C$42, 31, 31))/1000000</f>
        <v>12.063045499999998</v>
      </c>
      <c r="V728" s="56">
        <f>(1000*CHOOSE(CONTROL!$C$42, 500, 500)*CHOOSE(CONTROL!$C$42, 0.275, 0.275)*CHOOSE(CONTROL!$C$42, 31, 31))/1000000</f>
        <v>4.2625000000000002</v>
      </c>
      <c r="W728" s="56">
        <f>(1000*CHOOSE(CONTROL!$C$42, 0.1146, 0.1146)*CHOOSE(CONTROL!$C$42, 121.5, 121.5)*CHOOSE(CONTROL!$C$42, 31, 31))/1000000</f>
        <v>0.43164089999999994</v>
      </c>
      <c r="X728" s="56">
        <f>(31*0.1790888*245000/1000000)+(31*0.2374*100000/1000000)</f>
        <v>2.0961194359999999</v>
      </c>
      <c r="Y728" s="56"/>
      <c r="Z728" s="14"/>
      <c r="AA728" s="55"/>
      <c r="AB728" s="49">
        <f>(B728*194.205+C728*267.466+D728*133.845+E728*53.484+F728*40+G728*185+H728*0+I728*100+J728*300)/(194.205+267.466+133.845+53.484+0+40+185+100+300)</f>
        <v>52.208285945211927</v>
      </c>
      <c r="AC728" s="44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51.231515827338129</v>
      </c>
    </row>
    <row r="729" spans="1:29" ht="15.75" x14ac:dyDescent="0.25">
      <c r="A729" s="31">
        <v>63097</v>
      </c>
      <c r="B729" s="14">
        <f>CHOOSE(CONTROL!$C$42, 48.8337, 48.8337) * CHOOSE(CONTROL!$C$21, $C$9, 100%, $E$9)</f>
        <v>48.8337</v>
      </c>
      <c r="C729" s="14">
        <f>CHOOSE(CONTROL!$C$42, 48.8418, 48.8418) * CHOOSE(CONTROL!$C$21, $C$9, 100%, $E$9)</f>
        <v>48.841799999999999</v>
      </c>
      <c r="D729" s="14">
        <f>CHOOSE(CONTROL!$C$42, 49.0676, 49.0676) * CHOOSE(CONTROL!$C$21, $C$9, 100%, $E$9)</f>
        <v>49.067599999999999</v>
      </c>
      <c r="E729" s="14">
        <f>CHOOSE(CONTROL!$C$42, 49.099, 49.099) * CHOOSE(CONTROL!$C$21, $C$9, 100%, $E$9)</f>
        <v>49.098999999999997</v>
      </c>
      <c r="F729" s="14">
        <f>CHOOSE(CONTROL!$C$42, 48.8606, 48.8606)*CHOOSE(CONTROL!$C$21, $C$9, 100%, $E$9)</f>
        <v>48.860599999999998</v>
      </c>
      <c r="G729" s="14">
        <f>CHOOSE(CONTROL!$C$42, 48.8778, 48.8778)*CHOOSE(CONTROL!$C$21, $C$9, 100%, $E$9)</f>
        <v>48.877800000000001</v>
      </c>
      <c r="H729" s="14">
        <f>CHOOSE(CONTROL!$C$42, 49.0877, 49.0877) * CHOOSE(CONTROL!$C$21, $C$9, 100%, $E$9)</f>
        <v>49.087699999999998</v>
      </c>
      <c r="I729" s="14">
        <f>CHOOSE(CONTROL!$C$42, 49.0182, 49.0182)* CHOOSE(CONTROL!$C$21, $C$9, 100%, $E$9)</f>
        <v>49.0182</v>
      </c>
      <c r="J729" s="14">
        <f>CHOOSE(CONTROL!$C$42, 48.8536, 48.8536)* CHOOSE(CONTROL!$C$21, $C$9, 100%, $E$9)</f>
        <v>48.8536</v>
      </c>
      <c r="K729" s="52">
        <f>CHOOSE(CONTROL!$C$42, 49.0143, 49.0143) * CHOOSE(CONTROL!$C$21, $C$9, 100%, $E$9)</f>
        <v>49.014299999999999</v>
      </c>
      <c r="L729" s="14">
        <f>CHOOSE(CONTROL!$C$42, 49.6747, 49.6747) * CHOOSE(CONTROL!$C$21, $C$9, 100%, $E$9)</f>
        <v>49.674700000000001</v>
      </c>
      <c r="M729" s="14">
        <f>CHOOSE(CONTROL!$C$42, 47.8603, 47.8603) * CHOOSE(CONTROL!$C$21, $C$9, 100%, $E$9)</f>
        <v>47.860300000000002</v>
      </c>
      <c r="N729" s="14">
        <f>CHOOSE(CONTROL!$C$42, 47.8772, 47.8772) * CHOOSE(CONTROL!$C$21, $C$9, 100%, $E$9)</f>
        <v>47.877200000000002</v>
      </c>
      <c r="O729" s="14">
        <f>CHOOSE(CONTROL!$C$42, 48.0896, 48.0896) * CHOOSE(CONTROL!$C$21, $C$9, 100%, $E$9)</f>
        <v>48.089599999999997</v>
      </c>
      <c r="P729" s="14">
        <f>CHOOSE(CONTROL!$C$42, 48.0186, 48.0186) * CHOOSE(CONTROL!$C$21, $C$9, 100%, $E$9)</f>
        <v>48.018599999999999</v>
      </c>
      <c r="Q729" s="14">
        <f>CHOOSE(CONTROL!$C$42, 48.6843, 48.6843) * CHOOSE(CONTROL!$C$21, $C$9, 100%, $E$9)</f>
        <v>48.6843</v>
      </c>
      <c r="R729" s="14">
        <f>CHOOSE(CONTROL!$C$42, 49.393, 49.393) * CHOOSE(CONTROL!$C$21, $C$9, 100%, $E$9)</f>
        <v>49.393000000000001</v>
      </c>
      <c r="S729" s="14">
        <f>CHOOSE(CONTROL!$C$42, 46.9137, 46.9137) * CHOOSE(CONTROL!$C$21, $C$9, 100%, $E$9)</f>
        <v>46.913699999999999</v>
      </c>
      <c r="T72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56">
        <f>(1000*CHOOSE(CONTROL!$C$42, 695, 695)*CHOOSE(CONTROL!$C$42, 0.5599, 0.5599)*CHOOSE(CONTROL!$C$42, 30, 30))/1000000</f>
        <v>11.673914999999997</v>
      </c>
      <c r="V729" s="56">
        <f>(1000*CHOOSE(CONTROL!$C$42, 500, 500)*CHOOSE(CONTROL!$C$42, 0.275, 0.275)*CHOOSE(CONTROL!$C$42, 30, 30))/1000000</f>
        <v>4.125</v>
      </c>
      <c r="W729" s="56">
        <f>(1000*CHOOSE(CONTROL!$C$42, 0.1146, 0.1146)*CHOOSE(CONTROL!$C$42, 121.5, 121.5)*CHOOSE(CONTROL!$C$42, 30, 30))/1000000</f>
        <v>0.417717</v>
      </c>
      <c r="X729" s="56">
        <f>(30*0.1790888*245000/1000000)+(30*0.2374*100000/1000000)</f>
        <v>2.0285026799999999</v>
      </c>
      <c r="Y729" s="56"/>
      <c r="Z729" s="14"/>
      <c r="AA729" s="55"/>
      <c r="AB729" s="49">
        <f>(B729*194.205+C729*267.466+D729*133.845+E729*53.484+F729*40+G729*185+H729*0+I729*100+J729*300)/(194.205+267.466+133.845+53.484+0+40+185+100+300)</f>
        <v>48.897527806357928</v>
      </c>
      <c r="AC729" s="44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47.987976978417265</v>
      </c>
    </row>
    <row r="730" spans="1:29" ht="15.75" x14ac:dyDescent="0.25">
      <c r="A730" s="31">
        <v>63128</v>
      </c>
      <c r="B730" s="14">
        <f>CHOOSE(CONTROL!$C$42, 47.8407, 47.8407) * CHOOSE(CONTROL!$C$21, $C$9, 100%, $E$9)</f>
        <v>47.840699999999998</v>
      </c>
      <c r="C730" s="14">
        <f>CHOOSE(CONTROL!$C$42, 47.846, 47.846) * CHOOSE(CONTROL!$C$21, $C$9, 100%, $E$9)</f>
        <v>47.845999999999997</v>
      </c>
      <c r="D730" s="14">
        <f>CHOOSE(CONTROL!$C$42, 48.0768, 48.0768) * CHOOSE(CONTROL!$C$21, $C$9, 100%, $E$9)</f>
        <v>48.076799999999999</v>
      </c>
      <c r="E730" s="14">
        <f>CHOOSE(CONTROL!$C$42, 48.1059, 48.1059) * CHOOSE(CONTROL!$C$21, $C$9, 100%, $E$9)</f>
        <v>48.105899999999998</v>
      </c>
      <c r="F730" s="14">
        <f>CHOOSE(CONTROL!$C$42, 47.8696, 47.8696)*CHOOSE(CONTROL!$C$21, $C$9, 100%, $E$9)</f>
        <v>47.869599999999998</v>
      </c>
      <c r="G730" s="14">
        <f>CHOOSE(CONTROL!$C$42, 47.8867, 47.8867)*CHOOSE(CONTROL!$C$21, $C$9, 100%, $E$9)</f>
        <v>47.886699999999998</v>
      </c>
      <c r="H730" s="14">
        <f>CHOOSE(CONTROL!$C$42, 48.0964, 48.0964) * CHOOSE(CONTROL!$C$21, $C$9, 100%, $E$9)</f>
        <v>48.096400000000003</v>
      </c>
      <c r="I730" s="14">
        <f>CHOOSE(CONTROL!$C$42, 48.0238, 48.0238)* CHOOSE(CONTROL!$C$21, $C$9, 100%, $E$9)</f>
        <v>48.023800000000001</v>
      </c>
      <c r="J730" s="14">
        <f>CHOOSE(CONTROL!$C$42, 47.8626, 47.8626)* CHOOSE(CONTROL!$C$21, $C$9, 100%, $E$9)</f>
        <v>47.8626</v>
      </c>
      <c r="K730" s="52">
        <f>CHOOSE(CONTROL!$C$42, 48.0199, 48.0199) * CHOOSE(CONTROL!$C$21, $C$9, 100%, $E$9)</f>
        <v>48.0199</v>
      </c>
      <c r="L730" s="14">
        <f>CHOOSE(CONTROL!$C$42, 48.6834, 48.6834) * CHOOSE(CONTROL!$C$21, $C$9, 100%, $E$9)</f>
        <v>48.683399999999999</v>
      </c>
      <c r="M730" s="14">
        <f>CHOOSE(CONTROL!$C$42, 46.8896, 46.8896) * CHOOSE(CONTROL!$C$21, $C$9, 100%, $E$9)</f>
        <v>46.889600000000002</v>
      </c>
      <c r="N730" s="14">
        <f>CHOOSE(CONTROL!$C$42, 46.9064, 46.9064) * CHOOSE(CONTROL!$C$21, $C$9, 100%, $E$9)</f>
        <v>46.906399999999998</v>
      </c>
      <c r="O730" s="14">
        <f>CHOOSE(CONTROL!$C$42, 47.1186, 47.1186) * CHOOSE(CONTROL!$C$21, $C$9, 100%, $E$9)</f>
        <v>47.118600000000001</v>
      </c>
      <c r="P730" s="14">
        <f>CHOOSE(CONTROL!$C$42, 47.0446, 47.0446) * CHOOSE(CONTROL!$C$21, $C$9, 100%, $E$9)</f>
        <v>47.044600000000003</v>
      </c>
      <c r="Q730" s="14">
        <f>CHOOSE(CONTROL!$C$42, 47.7133, 47.7133) * CHOOSE(CONTROL!$C$21, $C$9, 100%, $E$9)</f>
        <v>47.713299999999997</v>
      </c>
      <c r="R730" s="14">
        <f>CHOOSE(CONTROL!$C$42, 48.4196, 48.4196) * CHOOSE(CONTROL!$C$21, $C$9, 100%, $E$9)</f>
        <v>48.419600000000003</v>
      </c>
      <c r="S730" s="14">
        <f>CHOOSE(CONTROL!$C$42, 45.9612, 45.9612) * CHOOSE(CONTROL!$C$21, $C$9, 100%, $E$9)</f>
        <v>45.961199999999998</v>
      </c>
      <c r="T73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56">
        <f>(1000*CHOOSE(CONTROL!$C$42, 695, 695)*CHOOSE(CONTROL!$C$42, 0.5599, 0.5599)*CHOOSE(CONTROL!$C$42, 31, 31))/1000000</f>
        <v>12.063045499999998</v>
      </c>
      <c r="V730" s="56">
        <f>(1000*CHOOSE(CONTROL!$C$42, 500, 500)*CHOOSE(CONTROL!$C$42, 0.275, 0.275)*CHOOSE(CONTROL!$C$42, 31, 31))/1000000</f>
        <v>4.2625000000000002</v>
      </c>
      <c r="W730" s="56">
        <f>(1000*CHOOSE(CONTROL!$C$42, 0.1146, 0.1146)*CHOOSE(CONTROL!$C$42, 121.5, 121.5)*CHOOSE(CONTROL!$C$42, 31, 31))/1000000</f>
        <v>0.43164089999999994</v>
      </c>
      <c r="X730" s="56">
        <f>(31*0.1790888*245000/1000000)+(31*0.2374*100000/1000000)</f>
        <v>2.0961194359999999</v>
      </c>
      <c r="Y730" s="56"/>
      <c r="Z730" s="14"/>
      <c r="AA730" s="55"/>
      <c r="AB730" s="49">
        <f>(B730*131.881+C730*277.167+D730*79.08+E730*125.872+F730*40+G730*185+H730*0+I730*100+J730*300)/(131.881+277.167+79.08+125.872+0+40+185+100+300)</f>
        <v>47.911779118240503</v>
      </c>
      <c r="AC730" s="44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47.016660431654671</v>
      </c>
    </row>
    <row r="731" spans="1:29" ht="15.75" x14ac:dyDescent="0.25">
      <c r="A731" s="31">
        <v>63158</v>
      </c>
      <c r="B731" s="14">
        <f>CHOOSE(CONTROL!$C$42, 49.1004, 49.1004) * CHOOSE(CONTROL!$C$21, $C$9, 100%, $E$9)</f>
        <v>49.1004</v>
      </c>
      <c r="C731" s="14">
        <f>CHOOSE(CONTROL!$C$42, 49.1054, 49.1054) * CHOOSE(CONTROL!$C$21, $C$9, 100%, $E$9)</f>
        <v>49.105400000000003</v>
      </c>
      <c r="D731" s="14">
        <f>CHOOSE(CONTROL!$C$42, 49.1745, 49.1745) * CHOOSE(CONTROL!$C$21, $C$9, 100%, $E$9)</f>
        <v>49.174500000000002</v>
      </c>
      <c r="E731" s="14">
        <f>CHOOSE(CONTROL!$C$42, 49.2086, 49.2086) * CHOOSE(CONTROL!$C$21, $C$9, 100%, $E$9)</f>
        <v>49.208599999999997</v>
      </c>
      <c r="F731" s="14">
        <f>CHOOSE(CONTROL!$C$42, 49.136, 49.136)*CHOOSE(CONTROL!$C$21, $C$9, 100%, $E$9)</f>
        <v>49.136000000000003</v>
      </c>
      <c r="G731" s="14">
        <f>CHOOSE(CONTROL!$C$42, 49.1534, 49.1534)*CHOOSE(CONTROL!$C$21, $C$9, 100%, $E$9)</f>
        <v>49.153399999999998</v>
      </c>
      <c r="H731" s="14">
        <f>CHOOSE(CONTROL!$C$42, 49.1978, 49.1978) * CHOOSE(CONTROL!$C$21, $C$9, 100%, $E$9)</f>
        <v>49.197800000000001</v>
      </c>
      <c r="I731" s="14">
        <f>CHOOSE(CONTROL!$C$42, 49.2905, 49.2905)* CHOOSE(CONTROL!$C$21, $C$9, 100%, $E$9)</f>
        <v>49.290500000000002</v>
      </c>
      <c r="J731" s="14">
        <f>CHOOSE(CONTROL!$C$42, 49.129, 49.129)* CHOOSE(CONTROL!$C$21, $C$9, 100%, $E$9)</f>
        <v>49.128999999999998</v>
      </c>
      <c r="K731" s="52">
        <f>CHOOSE(CONTROL!$C$42, 49.2866, 49.2866) * CHOOSE(CONTROL!$C$21, $C$9, 100%, $E$9)</f>
        <v>49.2866</v>
      </c>
      <c r="L731" s="14">
        <f>CHOOSE(CONTROL!$C$42, 49.7848, 49.7848) * CHOOSE(CONTROL!$C$21, $C$9, 100%, $E$9)</f>
        <v>49.784799999999997</v>
      </c>
      <c r="M731" s="14">
        <f>CHOOSE(CONTROL!$C$42, 48.13, 48.13) * CHOOSE(CONTROL!$C$21, $C$9, 100%, $E$9)</f>
        <v>48.13</v>
      </c>
      <c r="N731" s="14">
        <f>CHOOSE(CONTROL!$C$42, 48.1471, 48.1471) * CHOOSE(CONTROL!$C$21, $C$9, 100%, $E$9)</f>
        <v>48.147100000000002</v>
      </c>
      <c r="O731" s="14">
        <f>CHOOSE(CONTROL!$C$42, 48.1974, 48.1974) * CHOOSE(CONTROL!$C$21, $C$9, 100%, $E$9)</f>
        <v>48.197400000000002</v>
      </c>
      <c r="P731" s="14">
        <f>CHOOSE(CONTROL!$C$42, 48.2852, 48.2852) * CHOOSE(CONTROL!$C$21, $C$9, 100%, $E$9)</f>
        <v>48.285200000000003</v>
      </c>
      <c r="Q731" s="14">
        <f>CHOOSE(CONTROL!$C$42, 48.7921, 48.7921) * CHOOSE(CONTROL!$C$21, $C$9, 100%, $E$9)</f>
        <v>48.792099999999998</v>
      </c>
      <c r="R731" s="14">
        <f>CHOOSE(CONTROL!$C$42, 49.5011, 49.5011) * CHOOSE(CONTROL!$C$21, $C$9, 100%, $E$9)</f>
        <v>49.501100000000001</v>
      </c>
      <c r="S731" s="14">
        <f>CHOOSE(CONTROL!$C$42, 47.172, 47.172) * CHOOSE(CONTROL!$C$21, $C$9, 100%, $E$9)</f>
        <v>47.171999999999997</v>
      </c>
      <c r="T73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56">
        <f>(1000*CHOOSE(CONTROL!$C$42, 695, 695)*CHOOSE(CONTROL!$C$42, 0.5599, 0.5599)*CHOOSE(CONTROL!$C$42, 30, 30))/1000000</f>
        <v>11.673914999999997</v>
      </c>
      <c r="V731" s="56">
        <f>(1000*CHOOSE(CONTROL!$C$42, 500, 500)*CHOOSE(CONTROL!$C$42, 0.275, 0.275)*CHOOSE(CONTROL!$C$42, 30, 30))/1000000</f>
        <v>4.125</v>
      </c>
      <c r="W731" s="56">
        <f>(1000*CHOOSE(CONTROL!$C$42, 0.1146, 0.1146)*CHOOSE(CONTROL!$C$42, 121.5, 121.5)*CHOOSE(CONTROL!$C$42, 30, 30))/1000000</f>
        <v>0.417717</v>
      </c>
      <c r="X731" s="56">
        <f>(30*0.1790888*100000/1000000)+(30*0.2374*100000/1000000)</f>
        <v>1.2494664</v>
      </c>
      <c r="Y731" s="56"/>
      <c r="Z731" s="14"/>
      <c r="AA731" s="55"/>
      <c r="AB731" s="49">
        <f>(B731*122.58+C731*297.941+D731*89.177+E731*40.302+F731*40+G731*160+H731*0+I731*100+J731*300)/(122.58+297.941+89.177+40.302+0+40+160+100+300)</f>
        <v>49.143836867043476</v>
      </c>
      <c r="AC731" s="44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48.183863309352525</v>
      </c>
    </row>
    <row r="732" spans="1:29" ht="15.75" x14ac:dyDescent="0.25">
      <c r="A732" s="31">
        <v>63189</v>
      </c>
      <c r="B732" s="14">
        <f>CHOOSE(CONTROL!$C$42, 52.4474, 52.4474) * CHOOSE(CONTROL!$C$21, $C$9, 100%, $E$9)</f>
        <v>52.447400000000002</v>
      </c>
      <c r="C732" s="14">
        <f>CHOOSE(CONTROL!$C$42, 52.4524, 52.4524) * CHOOSE(CONTROL!$C$21, $C$9, 100%, $E$9)</f>
        <v>52.452399999999997</v>
      </c>
      <c r="D732" s="14">
        <f>CHOOSE(CONTROL!$C$42, 52.5214, 52.5214) * CHOOSE(CONTROL!$C$21, $C$9, 100%, $E$9)</f>
        <v>52.5214</v>
      </c>
      <c r="E732" s="14">
        <f>CHOOSE(CONTROL!$C$42, 52.5556, 52.5556) * CHOOSE(CONTROL!$C$21, $C$9, 100%, $E$9)</f>
        <v>52.555599999999998</v>
      </c>
      <c r="F732" s="14">
        <f>CHOOSE(CONTROL!$C$42, 52.4852, 52.4852)*CHOOSE(CONTROL!$C$21, $C$9, 100%, $E$9)</f>
        <v>52.485199999999999</v>
      </c>
      <c r="G732" s="14">
        <f>CHOOSE(CONTROL!$C$42, 52.5032, 52.5032)*CHOOSE(CONTROL!$C$21, $C$9, 100%, $E$9)</f>
        <v>52.5032</v>
      </c>
      <c r="H732" s="14">
        <f>CHOOSE(CONTROL!$C$42, 52.5447, 52.5447) * CHOOSE(CONTROL!$C$21, $C$9, 100%, $E$9)</f>
        <v>52.544699999999999</v>
      </c>
      <c r="I732" s="14">
        <f>CHOOSE(CONTROL!$C$42, 52.648, 52.648)* CHOOSE(CONTROL!$C$21, $C$9, 100%, $E$9)</f>
        <v>52.648000000000003</v>
      </c>
      <c r="J732" s="14">
        <f>CHOOSE(CONTROL!$C$42, 52.4782, 52.4782)* CHOOSE(CONTROL!$C$21, $C$9, 100%, $E$9)</f>
        <v>52.478200000000001</v>
      </c>
      <c r="K732" s="52">
        <f>CHOOSE(CONTROL!$C$42, 52.6441, 52.6441) * CHOOSE(CONTROL!$C$21, $C$9, 100%, $E$9)</f>
        <v>52.644100000000002</v>
      </c>
      <c r="L732" s="14">
        <f>CHOOSE(CONTROL!$C$42, 53.1317, 53.1317) * CHOOSE(CONTROL!$C$21, $C$9, 100%, $E$9)</f>
        <v>53.131700000000002</v>
      </c>
      <c r="M732" s="14">
        <f>CHOOSE(CONTROL!$C$42, 51.4106, 51.4106) * CHOOSE(CONTROL!$C$21, $C$9, 100%, $E$9)</f>
        <v>51.410600000000002</v>
      </c>
      <c r="N732" s="14">
        <f>CHOOSE(CONTROL!$C$42, 51.4283, 51.4283) * CHOOSE(CONTROL!$C$21, $C$9, 100%, $E$9)</f>
        <v>51.4283</v>
      </c>
      <c r="O732" s="14">
        <f>CHOOSE(CONTROL!$C$42, 51.4758, 51.4758) * CHOOSE(CONTROL!$C$21, $C$9, 100%, $E$9)</f>
        <v>51.4758</v>
      </c>
      <c r="P732" s="14">
        <f>CHOOSE(CONTROL!$C$42, 51.5737, 51.5737) * CHOOSE(CONTROL!$C$21, $C$9, 100%, $E$9)</f>
        <v>51.573700000000002</v>
      </c>
      <c r="Q732" s="14">
        <f>CHOOSE(CONTROL!$C$42, 52.0705, 52.0705) * CHOOSE(CONTROL!$C$21, $C$9, 100%, $E$9)</f>
        <v>52.070500000000003</v>
      </c>
      <c r="R732" s="14">
        <f>CHOOSE(CONTROL!$C$42, 52.7877, 52.7877) * CHOOSE(CONTROL!$C$21, $C$9, 100%, $E$9)</f>
        <v>52.787700000000001</v>
      </c>
      <c r="S732" s="14">
        <f>CHOOSE(CONTROL!$C$42, 50.3881, 50.3881) * CHOOSE(CONTROL!$C$21, $C$9, 100%, $E$9)</f>
        <v>50.388100000000001</v>
      </c>
      <c r="T73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56">
        <f>(1000*CHOOSE(CONTROL!$C$42, 695, 695)*CHOOSE(CONTROL!$C$42, 0.5599, 0.5599)*CHOOSE(CONTROL!$C$42, 31, 31))/1000000</f>
        <v>12.063045499999998</v>
      </c>
      <c r="V732" s="56">
        <f>(1000*CHOOSE(CONTROL!$C$42, 500, 500)*CHOOSE(CONTROL!$C$42, 0.275, 0.275)*CHOOSE(CONTROL!$C$42, 31, 31))/1000000</f>
        <v>4.2625000000000002</v>
      </c>
      <c r="W732" s="56">
        <f>(1000*CHOOSE(CONTROL!$C$42, 0.1146, 0.1146)*CHOOSE(CONTROL!$C$42, 121.5, 121.5)*CHOOSE(CONTROL!$C$42, 31, 31))/1000000</f>
        <v>0.43164089999999994</v>
      </c>
      <c r="X732" s="56">
        <f>(31*0.1790888*100000/1000000)+(31*0.2374*100000/1000000)</f>
        <v>1.2911152800000001</v>
      </c>
      <c r="Y732" s="56"/>
      <c r="Z732" s="14"/>
      <c r="AA732" s="55"/>
      <c r="AB732" s="49">
        <f>(B732*122.58+C732*297.941+D732*89.177+E732*40.302+F732*40+G732*160+H732*0+I732*100+J732*300)/(122.58+297.941+89.177+40.302+0+40+160+100+300)</f>
        <v>52.492782156000004</v>
      </c>
      <c r="AC732" s="44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51.464637410071944</v>
      </c>
    </row>
    <row r="733" spans="1:29" ht="15.75" x14ac:dyDescent="0.25">
      <c r="A733" s="31">
        <v>63220</v>
      </c>
      <c r="B733" s="14">
        <f>CHOOSE(CONTROL!$C$42, 56.7945, 56.7945) * CHOOSE(CONTROL!$C$21, $C$9, 100%, $E$9)</f>
        <v>56.794499999999999</v>
      </c>
      <c r="C733" s="14">
        <f>CHOOSE(CONTROL!$C$42, 56.7996, 56.7996) * CHOOSE(CONTROL!$C$21, $C$9, 100%, $E$9)</f>
        <v>56.799599999999998</v>
      </c>
      <c r="D733" s="14">
        <f>CHOOSE(CONTROL!$C$42, 56.879, 56.879) * CHOOSE(CONTROL!$C$21, $C$9, 100%, $E$9)</f>
        <v>56.878999999999998</v>
      </c>
      <c r="E733" s="14">
        <f>CHOOSE(CONTROL!$C$42, 56.9131, 56.9131) * CHOOSE(CONTROL!$C$21, $C$9, 100%, $E$9)</f>
        <v>56.9131</v>
      </c>
      <c r="F733" s="14">
        <f>CHOOSE(CONTROL!$C$42, 56.8175, 56.8175)*CHOOSE(CONTROL!$C$21, $C$9, 100%, $E$9)</f>
        <v>56.817500000000003</v>
      </c>
      <c r="G733" s="14">
        <f>CHOOSE(CONTROL!$C$42, 56.835, 56.835)*CHOOSE(CONTROL!$C$21, $C$9, 100%, $E$9)</f>
        <v>56.835000000000001</v>
      </c>
      <c r="H733" s="14">
        <f>CHOOSE(CONTROL!$C$42, 56.9023, 56.9023) * CHOOSE(CONTROL!$C$21, $C$9, 100%, $E$9)</f>
        <v>56.902299999999997</v>
      </c>
      <c r="I733" s="14">
        <f>CHOOSE(CONTROL!$C$42, 57.0077, 57.0077)* CHOOSE(CONTROL!$C$21, $C$9, 100%, $E$9)</f>
        <v>57.0077</v>
      </c>
      <c r="J733" s="14">
        <f>CHOOSE(CONTROL!$C$42, 56.8105, 56.8105)* CHOOSE(CONTROL!$C$21, $C$9, 100%, $E$9)</f>
        <v>56.810499999999998</v>
      </c>
      <c r="K733" s="52">
        <f>CHOOSE(CONTROL!$C$42, 57.0038, 57.0038) * CHOOSE(CONTROL!$C$21, $C$9, 100%, $E$9)</f>
        <v>57.003799999999998</v>
      </c>
      <c r="L733" s="14">
        <f>CHOOSE(CONTROL!$C$42, 57.4893, 57.4893) * CHOOSE(CONTROL!$C$21, $C$9, 100%, $E$9)</f>
        <v>57.4893</v>
      </c>
      <c r="M733" s="14">
        <f>CHOOSE(CONTROL!$C$42, 55.6542, 55.6542) * CHOOSE(CONTROL!$C$21, $C$9, 100%, $E$9)</f>
        <v>55.654200000000003</v>
      </c>
      <c r="N733" s="14">
        <f>CHOOSE(CONTROL!$C$42, 55.6714, 55.6714) * CHOOSE(CONTROL!$C$21, $C$9, 100%, $E$9)</f>
        <v>55.671399999999998</v>
      </c>
      <c r="O733" s="14">
        <f>CHOOSE(CONTROL!$C$42, 55.7441, 55.7441) * CHOOSE(CONTROL!$C$21, $C$9, 100%, $E$9)</f>
        <v>55.744100000000003</v>
      </c>
      <c r="P733" s="14">
        <f>CHOOSE(CONTROL!$C$42, 55.8438, 55.8438) * CHOOSE(CONTROL!$C$21, $C$9, 100%, $E$9)</f>
        <v>55.843800000000002</v>
      </c>
      <c r="Q733" s="14">
        <f>CHOOSE(CONTROL!$C$42, 56.3388, 56.3388) * CHOOSE(CONTROL!$C$21, $C$9, 100%, $E$9)</f>
        <v>56.338799999999999</v>
      </c>
      <c r="R733" s="14">
        <f>CHOOSE(CONTROL!$C$42, 57.0666, 57.0666) * CHOOSE(CONTROL!$C$21, $C$9, 100%, $E$9)</f>
        <v>57.066600000000001</v>
      </c>
      <c r="S733" s="14">
        <f>CHOOSE(CONTROL!$C$42, 54.5653, 54.5653) * CHOOSE(CONTROL!$C$21, $C$9, 100%, $E$9)</f>
        <v>54.565300000000001</v>
      </c>
      <c r="T73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56">
        <f>(1000*CHOOSE(CONTROL!$C$42, 695, 695)*CHOOSE(CONTROL!$C$42, 0.5599, 0.5599)*CHOOSE(CONTROL!$C$42, 31, 31))/1000000</f>
        <v>12.063045499999998</v>
      </c>
      <c r="V733" s="56">
        <f>(1000*CHOOSE(CONTROL!$C$42, 500, 500)*CHOOSE(CONTROL!$C$42, 0.275, 0.275)*CHOOSE(CONTROL!$C$42, 31, 31))/1000000</f>
        <v>4.2625000000000002</v>
      </c>
      <c r="W733" s="56">
        <f>(1000*CHOOSE(CONTROL!$C$42, 0.1146, 0.1146)*CHOOSE(CONTROL!$C$42, 121.5, 121.5)*CHOOSE(CONTROL!$C$42, 31, 31))/1000000</f>
        <v>0.43164089999999994</v>
      </c>
      <c r="X733" s="56">
        <f>(31*0.1790888*100000/1000000)+(31*0.2374*100000/1000000)</f>
        <v>1.2911152800000001</v>
      </c>
      <c r="Y733" s="56"/>
      <c r="Z733" s="14"/>
      <c r="AA733" s="55"/>
      <c r="AB733" s="49">
        <f>(B733*122.58+C733*297.941+D733*89.177+E733*40.302+F733*40+G733*160+H733*0+I733*100+J733*300)/(122.58+297.941+89.177+40.302+0+40+160+100+300)</f>
        <v>56.835678063304336</v>
      </c>
      <c r="AC733" s="44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55.723216546762586</v>
      </c>
    </row>
    <row r="734" spans="1:29" ht="15.75" x14ac:dyDescent="0.25">
      <c r="A734" s="31">
        <v>63248</v>
      </c>
      <c r="B734" s="14">
        <f>CHOOSE(CONTROL!$C$42, 57.8054, 57.8054) * CHOOSE(CONTROL!$C$21, $C$9, 100%, $E$9)</f>
        <v>57.805399999999999</v>
      </c>
      <c r="C734" s="14">
        <f>CHOOSE(CONTROL!$C$42, 57.8104, 57.8104) * CHOOSE(CONTROL!$C$21, $C$9, 100%, $E$9)</f>
        <v>57.810400000000001</v>
      </c>
      <c r="D734" s="14">
        <f>CHOOSE(CONTROL!$C$42, 57.8898, 57.8898) * CHOOSE(CONTROL!$C$21, $C$9, 100%, $E$9)</f>
        <v>57.889800000000001</v>
      </c>
      <c r="E734" s="14">
        <f>CHOOSE(CONTROL!$C$42, 57.9239, 57.9239) * CHOOSE(CONTROL!$C$21, $C$9, 100%, $E$9)</f>
        <v>57.923900000000003</v>
      </c>
      <c r="F734" s="14">
        <f>CHOOSE(CONTROL!$C$42, 57.8281, 57.8281)*CHOOSE(CONTROL!$C$21, $C$9, 100%, $E$9)</f>
        <v>57.828099999999999</v>
      </c>
      <c r="G734" s="14">
        <f>CHOOSE(CONTROL!$C$42, 57.8456, 57.8456)*CHOOSE(CONTROL!$C$21, $C$9, 100%, $E$9)</f>
        <v>57.845599999999997</v>
      </c>
      <c r="H734" s="14">
        <f>CHOOSE(CONTROL!$C$42, 57.9131, 57.9131) * CHOOSE(CONTROL!$C$21, $C$9, 100%, $E$9)</f>
        <v>57.9131</v>
      </c>
      <c r="I734" s="14">
        <f>CHOOSE(CONTROL!$C$42, 58.0217, 58.0217)* CHOOSE(CONTROL!$C$21, $C$9, 100%, $E$9)</f>
        <v>58.021700000000003</v>
      </c>
      <c r="J734" s="14">
        <f>CHOOSE(CONTROL!$C$42, 57.8211, 57.8211)* CHOOSE(CONTROL!$C$21, $C$9, 100%, $E$9)</f>
        <v>57.821100000000001</v>
      </c>
      <c r="K734" s="52">
        <f>CHOOSE(CONTROL!$C$42, 58.0178, 58.0178) * CHOOSE(CONTROL!$C$21, $C$9, 100%, $E$9)</f>
        <v>58.017800000000001</v>
      </c>
      <c r="L734" s="14">
        <f>CHOOSE(CONTROL!$C$42, 58.5001, 58.5001) * CHOOSE(CONTROL!$C$21, $C$9, 100%, $E$9)</f>
        <v>58.500100000000003</v>
      </c>
      <c r="M734" s="14">
        <f>CHOOSE(CONTROL!$C$42, 56.6441, 56.6441) * CHOOSE(CONTROL!$C$21, $C$9, 100%, $E$9)</f>
        <v>56.644100000000002</v>
      </c>
      <c r="N734" s="14">
        <f>CHOOSE(CONTROL!$C$42, 56.6612, 56.6612) * CHOOSE(CONTROL!$C$21, $C$9, 100%, $E$9)</f>
        <v>56.661200000000001</v>
      </c>
      <c r="O734" s="14">
        <f>CHOOSE(CONTROL!$C$42, 56.7342, 56.7342) * CHOOSE(CONTROL!$C$21, $C$9, 100%, $E$9)</f>
        <v>56.734200000000001</v>
      </c>
      <c r="P734" s="14">
        <f>CHOOSE(CONTROL!$C$42, 56.837, 56.837) * CHOOSE(CONTROL!$C$21, $C$9, 100%, $E$9)</f>
        <v>56.837000000000003</v>
      </c>
      <c r="Q734" s="14">
        <f>CHOOSE(CONTROL!$C$42, 57.3289, 57.3289) * CHOOSE(CONTROL!$C$21, $C$9, 100%, $E$9)</f>
        <v>57.328899999999997</v>
      </c>
      <c r="R734" s="14">
        <f>CHOOSE(CONTROL!$C$42, 58.0593, 58.0593) * CHOOSE(CONTROL!$C$21, $C$9, 100%, $E$9)</f>
        <v>58.0593</v>
      </c>
      <c r="S734" s="14">
        <f>CHOOSE(CONTROL!$C$42, 55.5366, 55.5366) * CHOOSE(CONTROL!$C$21, $C$9, 100%, $E$9)</f>
        <v>55.5366</v>
      </c>
      <c r="T73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56">
        <f>(1000*CHOOSE(CONTROL!$C$42, 695, 695)*CHOOSE(CONTROL!$C$42, 0.5599, 0.5599)*CHOOSE(CONTROL!$C$42, 28, 28))/1000000</f>
        <v>10.895653999999999</v>
      </c>
      <c r="V734" s="56">
        <f>(1000*CHOOSE(CONTROL!$C$42, 500, 500)*CHOOSE(CONTROL!$C$42, 0.275, 0.275)*CHOOSE(CONTROL!$C$42, 28, 28))/1000000</f>
        <v>3.85</v>
      </c>
      <c r="W734" s="56">
        <f>(1000*CHOOSE(CONTROL!$C$42, 0.1146, 0.1146)*CHOOSE(CONTROL!$C$42, 121.5, 121.5)*CHOOSE(CONTROL!$C$42, 28, 28))/1000000</f>
        <v>0.38986920000000003</v>
      </c>
      <c r="X734" s="56">
        <f>(28*0.1790888*100000/1000000)+(28*0.2374*100000/1000000)</f>
        <v>1.16616864</v>
      </c>
      <c r="Y734" s="56"/>
      <c r="Z734" s="14"/>
      <c r="AA734" s="55"/>
      <c r="AB734" s="49">
        <f>(B734*122.58+C734*297.941+D734*89.177+E734*40.302+F734*40+G734*160+H734*0+I734*100+J734*300)/(122.58+297.941+89.177+40.302+0+40+160+100+300)</f>
        <v>57.846680026782607</v>
      </c>
      <c r="AC734" s="44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56.713676258992813</v>
      </c>
    </row>
    <row r="735" spans="1:29" ht="15.75" x14ac:dyDescent="0.25">
      <c r="A735" s="31">
        <v>63279</v>
      </c>
      <c r="B735" s="14">
        <f>CHOOSE(CONTROL!$C$42, 56.1645, 56.1645) * CHOOSE(CONTROL!$C$21, $C$9, 100%, $E$9)</f>
        <v>56.164499999999997</v>
      </c>
      <c r="C735" s="14">
        <f>CHOOSE(CONTROL!$C$42, 56.1696, 56.1696) * CHOOSE(CONTROL!$C$21, $C$9, 100%, $E$9)</f>
        <v>56.169600000000003</v>
      </c>
      <c r="D735" s="14">
        <f>CHOOSE(CONTROL!$C$42, 56.249, 56.249) * CHOOSE(CONTROL!$C$21, $C$9, 100%, $E$9)</f>
        <v>56.249000000000002</v>
      </c>
      <c r="E735" s="14">
        <f>CHOOSE(CONTROL!$C$42, 56.2831, 56.2831) * CHOOSE(CONTROL!$C$21, $C$9, 100%, $E$9)</f>
        <v>56.283099999999997</v>
      </c>
      <c r="F735" s="14">
        <f>CHOOSE(CONTROL!$C$42, 56.1865, 56.1865)*CHOOSE(CONTROL!$C$21, $C$9, 100%, $E$9)</f>
        <v>56.186500000000002</v>
      </c>
      <c r="G735" s="14">
        <f>CHOOSE(CONTROL!$C$42, 56.2038, 56.2038)*CHOOSE(CONTROL!$C$21, $C$9, 100%, $E$9)</f>
        <v>56.203800000000001</v>
      </c>
      <c r="H735" s="14">
        <f>CHOOSE(CONTROL!$C$42, 56.2723, 56.2723) * CHOOSE(CONTROL!$C$21, $C$9, 100%, $E$9)</f>
        <v>56.272300000000001</v>
      </c>
      <c r="I735" s="14">
        <f>CHOOSE(CONTROL!$C$42, 56.3757, 56.3757)* CHOOSE(CONTROL!$C$21, $C$9, 100%, $E$9)</f>
        <v>56.375700000000002</v>
      </c>
      <c r="J735" s="14">
        <f>CHOOSE(CONTROL!$C$42, 56.1795, 56.1795)* CHOOSE(CONTROL!$C$21, $C$9, 100%, $E$9)</f>
        <v>56.179499999999997</v>
      </c>
      <c r="K735" s="52">
        <f>CHOOSE(CONTROL!$C$42, 56.3718, 56.3718) * CHOOSE(CONTROL!$C$21, $C$9, 100%, $E$9)</f>
        <v>56.3718</v>
      </c>
      <c r="L735" s="14">
        <f>CHOOSE(CONTROL!$C$42, 56.8593, 56.8593) * CHOOSE(CONTROL!$C$21, $C$9, 100%, $E$9)</f>
        <v>56.859299999999998</v>
      </c>
      <c r="M735" s="14">
        <f>CHOOSE(CONTROL!$C$42, 55.0361, 55.0361) * CHOOSE(CONTROL!$C$21, $C$9, 100%, $E$9)</f>
        <v>55.036099999999998</v>
      </c>
      <c r="N735" s="14">
        <f>CHOOSE(CONTROL!$C$42, 55.0531, 55.0531) * CHOOSE(CONTROL!$C$21, $C$9, 100%, $E$9)</f>
        <v>55.053100000000001</v>
      </c>
      <c r="O735" s="14">
        <f>CHOOSE(CONTROL!$C$42, 55.127, 55.127) * CHOOSE(CONTROL!$C$21, $C$9, 100%, $E$9)</f>
        <v>55.127000000000002</v>
      </c>
      <c r="P735" s="14">
        <f>CHOOSE(CONTROL!$C$42, 55.2248, 55.2248) * CHOOSE(CONTROL!$C$21, $C$9, 100%, $E$9)</f>
        <v>55.224800000000002</v>
      </c>
      <c r="Q735" s="14">
        <f>CHOOSE(CONTROL!$C$42, 55.7217, 55.7217) * CHOOSE(CONTROL!$C$21, $C$9, 100%, $E$9)</f>
        <v>55.721699999999998</v>
      </c>
      <c r="R735" s="14">
        <f>CHOOSE(CONTROL!$C$42, 56.448, 56.448) * CHOOSE(CONTROL!$C$21, $C$9, 100%, $E$9)</f>
        <v>56.448</v>
      </c>
      <c r="S735" s="14">
        <f>CHOOSE(CONTROL!$C$42, 53.9599, 53.9599) * CHOOSE(CONTROL!$C$21, $C$9, 100%, $E$9)</f>
        <v>53.959899999999998</v>
      </c>
      <c r="T73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56">
        <f>(1000*CHOOSE(CONTROL!$C$42, 695, 695)*CHOOSE(CONTROL!$C$42, 0.5599, 0.5599)*CHOOSE(CONTROL!$C$42, 31, 31))/1000000</f>
        <v>12.063045499999998</v>
      </c>
      <c r="V735" s="56">
        <f>(1000*CHOOSE(CONTROL!$C$42, 500, 500)*CHOOSE(CONTROL!$C$42, 0.275, 0.275)*CHOOSE(CONTROL!$C$42, 31, 31))/1000000</f>
        <v>4.2625000000000002</v>
      </c>
      <c r="W735" s="56">
        <f>(1000*CHOOSE(CONTROL!$C$42, 0.1146, 0.1146)*CHOOSE(CONTROL!$C$42, 121.5, 121.5)*CHOOSE(CONTROL!$C$42, 31, 31))/1000000</f>
        <v>0.43164089999999994</v>
      </c>
      <c r="X735" s="56">
        <f>(31*0.1790888*100000/1000000)+(31*0.2374*100000/1000000)</f>
        <v>1.2911152800000001</v>
      </c>
      <c r="Y735" s="56"/>
      <c r="Z735" s="14"/>
      <c r="AA735" s="55"/>
      <c r="AB735" s="49">
        <f>(B735*122.58+C735*297.941+D735*89.177+E735*40.302+F735*40+G735*160+H735*0+I735*100+J735*300)/(122.58+297.941+89.177+40.302+0+40+160+100+300)</f>
        <v>56.205041541565215</v>
      </c>
      <c r="AC735" s="44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55.105428776978421</v>
      </c>
    </row>
    <row r="736" spans="1:29" ht="15.75" x14ac:dyDescent="0.25">
      <c r="A736" s="31">
        <v>63309</v>
      </c>
      <c r="B736" s="14">
        <f>CHOOSE(CONTROL!$C$42, 55.9974, 55.9974) * CHOOSE(CONTROL!$C$21, $C$9, 100%, $E$9)</f>
        <v>55.997399999999999</v>
      </c>
      <c r="C736" s="14">
        <f>CHOOSE(CONTROL!$C$42, 56.0018, 56.0018) * CHOOSE(CONTROL!$C$21, $C$9, 100%, $E$9)</f>
        <v>56.001800000000003</v>
      </c>
      <c r="D736" s="14">
        <f>CHOOSE(CONTROL!$C$42, 56.2308, 56.2308) * CHOOSE(CONTROL!$C$21, $C$9, 100%, $E$9)</f>
        <v>56.230800000000002</v>
      </c>
      <c r="E736" s="14">
        <f>CHOOSE(CONTROL!$C$42, 56.2629, 56.2629) * CHOOSE(CONTROL!$C$21, $C$9, 100%, $E$9)</f>
        <v>56.262900000000002</v>
      </c>
      <c r="F736" s="14">
        <f>CHOOSE(CONTROL!$C$42, 56.0244, 56.0244)*CHOOSE(CONTROL!$C$21, $C$9, 100%, $E$9)</f>
        <v>56.0244</v>
      </c>
      <c r="G736" s="14">
        <f>CHOOSE(CONTROL!$C$42, 56.0411, 56.0411)*CHOOSE(CONTROL!$C$21, $C$9, 100%, $E$9)</f>
        <v>56.0411</v>
      </c>
      <c r="H736" s="14">
        <f>CHOOSE(CONTROL!$C$42, 56.2527, 56.2527) * CHOOSE(CONTROL!$C$21, $C$9, 100%, $E$9)</f>
        <v>56.252699999999997</v>
      </c>
      <c r="I736" s="14">
        <f>CHOOSE(CONTROL!$C$42, 56.2057, 56.2057)* CHOOSE(CONTROL!$C$21, $C$9, 100%, $E$9)</f>
        <v>56.2057</v>
      </c>
      <c r="J736" s="14">
        <f>CHOOSE(CONTROL!$C$42, 56.0174, 56.0174)* CHOOSE(CONTROL!$C$21, $C$9, 100%, $E$9)</f>
        <v>56.017400000000002</v>
      </c>
      <c r="K736" s="52">
        <f>CHOOSE(CONTROL!$C$42, 56.2018, 56.2018) * CHOOSE(CONTROL!$C$21, $C$9, 100%, $E$9)</f>
        <v>56.201799999999999</v>
      </c>
      <c r="L736" s="14">
        <f>CHOOSE(CONTROL!$C$42, 56.8397, 56.8397) * CHOOSE(CONTROL!$C$21, $C$9, 100%, $E$9)</f>
        <v>56.839700000000001</v>
      </c>
      <c r="M736" s="14">
        <f>CHOOSE(CONTROL!$C$42, 54.8773, 54.8773) * CHOOSE(CONTROL!$C$21, $C$9, 100%, $E$9)</f>
        <v>54.877299999999998</v>
      </c>
      <c r="N736" s="14">
        <f>CHOOSE(CONTROL!$C$42, 54.8937, 54.8937) * CHOOSE(CONTROL!$C$21, $C$9, 100%, $E$9)</f>
        <v>54.893700000000003</v>
      </c>
      <c r="O736" s="14">
        <f>CHOOSE(CONTROL!$C$42, 55.1078, 55.1078) * CHOOSE(CONTROL!$C$21, $C$9, 100%, $E$9)</f>
        <v>55.107799999999997</v>
      </c>
      <c r="P736" s="14">
        <f>CHOOSE(CONTROL!$C$42, 55.0583, 55.0583) * CHOOSE(CONTROL!$C$21, $C$9, 100%, $E$9)</f>
        <v>55.058300000000003</v>
      </c>
      <c r="Q736" s="14">
        <f>CHOOSE(CONTROL!$C$42, 55.7025, 55.7025) * CHOOSE(CONTROL!$C$21, $C$9, 100%, $E$9)</f>
        <v>55.702500000000001</v>
      </c>
      <c r="R736" s="14">
        <f>CHOOSE(CONTROL!$C$42, 56.4287, 56.4287) * CHOOSE(CONTROL!$C$21, $C$9, 100%, $E$9)</f>
        <v>56.428699999999999</v>
      </c>
      <c r="S736" s="14">
        <f>CHOOSE(CONTROL!$C$42, 53.7986, 53.7986) * CHOOSE(CONTROL!$C$21, $C$9, 100%, $E$9)</f>
        <v>53.7986</v>
      </c>
      <c r="T73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56">
        <f>(1000*CHOOSE(CONTROL!$C$42, 695, 695)*CHOOSE(CONTROL!$C$42, 0.5599, 0.5599)*CHOOSE(CONTROL!$C$42, 30, 30))/1000000</f>
        <v>11.673914999999997</v>
      </c>
      <c r="V736" s="56">
        <f>(1000*CHOOSE(CONTROL!$C$42, 500, 500)*CHOOSE(CONTROL!$C$42, 0.275, 0.275)*CHOOSE(CONTROL!$C$42, 30, 30))/1000000</f>
        <v>4.125</v>
      </c>
      <c r="W736" s="56">
        <f>(1000*CHOOSE(CONTROL!$C$42, 0.1146, 0.1146)*CHOOSE(CONTROL!$C$42, 121.5, 121.5)*CHOOSE(CONTROL!$C$42, 30, 30))/1000000</f>
        <v>0.417717</v>
      </c>
      <c r="X736" s="56">
        <f>(30*0.1790888*245000/1000000)+(30*0.2374*100000/1000000)</f>
        <v>2.0285026799999999</v>
      </c>
      <c r="Y736" s="56"/>
      <c r="Z736" s="14"/>
      <c r="AA736" s="55"/>
      <c r="AB736" s="49">
        <f>(B736*141.293+C736*267.993+D736*115.016+E736*89.698+F736*40+G736*185+H736*0+I736*100+J736*300)/(141.293+267.993+115.016+89.698+0+40+185+100+300)</f>
        <v>56.068290413720739</v>
      </c>
      <c r="AC736" s="44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55.008758273381297</v>
      </c>
    </row>
    <row r="737" spans="1:29" ht="15.75" x14ac:dyDescent="0.25">
      <c r="A737" s="31">
        <v>63340</v>
      </c>
      <c r="B737" s="14">
        <f>CHOOSE(CONTROL!$C$42, 56.4929, 56.4929) * CHOOSE(CONTROL!$C$21, $C$9, 100%, $E$9)</f>
        <v>56.492899999999999</v>
      </c>
      <c r="C737" s="14">
        <f>CHOOSE(CONTROL!$C$42, 56.5009, 56.5009) * CHOOSE(CONTROL!$C$21, $C$9, 100%, $E$9)</f>
        <v>56.500900000000001</v>
      </c>
      <c r="D737" s="14">
        <f>CHOOSE(CONTROL!$C$42, 56.7267, 56.7267) * CHOOSE(CONTROL!$C$21, $C$9, 100%, $E$9)</f>
        <v>56.726700000000001</v>
      </c>
      <c r="E737" s="14">
        <f>CHOOSE(CONTROL!$C$42, 56.7582, 56.7582) * CHOOSE(CONTROL!$C$21, $C$9, 100%, $E$9)</f>
        <v>56.758200000000002</v>
      </c>
      <c r="F737" s="14">
        <f>CHOOSE(CONTROL!$C$42, 56.5186, 56.5186)*CHOOSE(CONTROL!$C$21, $C$9, 100%, $E$9)</f>
        <v>56.518599999999999</v>
      </c>
      <c r="G737" s="14">
        <f>CHOOSE(CONTROL!$C$42, 56.5355, 56.5355)*CHOOSE(CONTROL!$C$21, $C$9, 100%, $E$9)</f>
        <v>56.535499999999999</v>
      </c>
      <c r="H737" s="14">
        <f>CHOOSE(CONTROL!$C$42, 56.7468, 56.7468) * CHOOSE(CONTROL!$C$21, $C$9, 100%, $E$9)</f>
        <v>56.7468</v>
      </c>
      <c r="I737" s="14">
        <f>CHOOSE(CONTROL!$C$42, 56.7014, 56.7014)* CHOOSE(CONTROL!$C$21, $C$9, 100%, $E$9)</f>
        <v>56.7014</v>
      </c>
      <c r="J737" s="14">
        <f>CHOOSE(CONTROL!$C$42, 56.5116, 56.5116)* CHOOSE(CONTROL!$C$21, $C$9, 100%, $E$9)</f>
        <v>56.511600000000001</v>
      </c>
      <c r="K737" s="52">
        <f>CHOOSE(CONTROL!$C$42, 56.6975, 56.6975) * CHOOSE(CONTROL!$C$21, $C$9, 100%, $E$9)</f>
        <v>56.697499999999998</v>
      </c>
      <c r="L737" s="14">
        <f>CHOOSE(CONTROL!$C$42, 57.3338, 57.3338) * CHOOSE(CONTROL!$C$21, $C$9, 100%, $E$9)</f>
        <v>57.333799999999997</v>
      </c>
      <c r="M737" s="14">
        <f>CHOOSE(CONTROL!$C$42, 55.3614, 55.3614) * CHOOSE(CONTROL!$C$21, $C$9, 100%, $E$9)</f>
        <v>55.361400000000003</v>
      </c>
      <c r="N737" s="14">
        <f>CHOOSE(CONTROL!$C$42, 55.378, 55.378) * CHOOSE(CONTROL!$C$21, $C$9, 100%, $E$9)</f>
        <v>55.378</v>
      </c>
      <c r="O737" s="14">
        <f>CHOOSE(CONTROL!$C$42, 55.5918, 55.5918) * CHOOSE(CONTROL!$C$21, $C$9, 100%, $E$9)</f>
        <v>55.591799999999999</v>
      </c>
      <c r="P737" s="14">
        <f>CHOOSE(CONTROL!$C$42, 55.5438, 55.5438) * CHOOSE(CONTROL!$C$21, $C$9, 100%, $E$9)</f>
        <v>55.543799999999997</v>
      </c>
      <c r="Q737" s="14">
        <f>CHOOSE(CONTROL!$C$42, 56.1865, 56.1865) * CHOOSE(CONTROL!$C$21, $C$9, 100%, $E$9)</f>
        <v>56.186500000000002</v>
      </c>
      <c r="R737" s="14">
        <f>CHOOSE(CONTROL!$C$42, 56.914, 56.914) * CHOOSE(CONTROL!$C$21, $C$9, 100%, $E$9)</f>
        <v>56.914000000000001</v>
      </c>
      <c r="S737" s="14">
        <f>CHOOSE(CONTROL!$C$42, 54.2734, 54.2734) * CHOOSE(CONTROL!$C$21, $C$9, 100%, $E$9)</f>
        <v>54.273400000000002</v>
      </c>
      <c r="T73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56">
        <f>(1000*CHOOSE(CONTROL!$C$42, 695, 695)*CHOOSE(CONTROL!$C$42, 0.5599, 0.5599)*CHOOSE(CONTROL!$C$42, 31, 31))/1000000</f>
        <v>12.063045499999998</v>
      </c>
      <c r="V737" s="56">
        <f>(1000*CHOOSE(CONTROL!$C$42, 500, 500)*CHOOSE(CONTROL!$C$42, 0.275, 0.275)*CHOOSE(CONTROL!$C$42, 31, 31))/1000000</f>
        <v>4.2625000000000002</v>
      </c>
      <c r="W737" s="56">
        <f>(1000*CHOOSE(CONTROL!$C$42, 0.1146, 0.1146)*CHOOSE(CONTROL!$C$42, 121.5, 121.5)*CHOOSE(CONTROL!$C$42, 31, 31))/1000000</f>
        <v>0.43164089999999994</v>
      </c>
      <c r="X737" s="56">
        <f>(31*0.1790888*245000/1000000)+(31*0.2374*100000/1000000)</f>
        <v>2.0961194359999999</v>
      </c>
      <c r="Y737" s="56"/>
      <c r="Z737" s="14"/>
      <c r="AA737" s="55"/>
      <c r="AB737" s="49">
        <f>(B737*194.205+C737*267.466+D737*133.845+E737*53.484+F737*40+G737*185+H737*0+I737*100+J737*300)/(194.205+267.466+133.845+53.484+0+40+185+100+300)</f>
        <v>56.558042067660907</v>
      </c>
      <c r="AC737" s="44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55.493025899280575</v>
      </c>
    </row>
    <row r="738" spans="1:29" ht="15.75" x14ac:dyDescent="0.25">
      <c r="A738" s="31">
        <v>63370</v>
      </c>
      <c r="B738" s="14">
        <f>CHOOSE(CONTROL!$C$42, 58.0951, 58.0951) * CHOOSE(CONTROL!$C$21, $C$9, 100%, $E$9)</f>
        <v>58.095100000000002</v>
      </c>
      <c r="C738" s="14">
        <f>CHOOSE(CONTROL!$C$42, 58.1031, 58.1031) * CHOOSE(CONTROL!$C$21, $C$9, 100%, $E$9)</f>
        <v>58.103099999999998</v>
      </c>
      <c r="D738" s="14">
        <f>CHOOSE(CONTROL!$C$42, 58.3289, 58.3289) * CHOOSE(CONTROL!$C$21, $C$9, 100%, $E$9)</f>
        <v>58.328899999999997</v>
      </c>
      <c r="E738" s="14">
        <f>CHOOSE(CONTROL!$C$42, 58.3603, 58.3603) * CHOOSE(CONTROL!$C$21, $C$9, 100%, $E$9)</f>
        <v>58.360300000000002</v>
      </c>
      <c r="F738" s="14">
        <f>CHOOSE(CONTROL!$C$42, 58.1212, 58.1212)*CHOOSE(CONTROL!$C$21, $C$9, 100%, $E$9)</f>
        <v>58.121200000000002</v>
      </c>
      <c r="G738" s="14">
        <f>CHOOSE(CONTROL!$C$42, 58.1382, 58.1382)*CHOOSE(CONTROL!$C$21, $C$9, 100%, $E$9)</f>
        <v>58.138199999999998</v>
      </c>
      <c r="H738" s="14">
        <f>CHOOSE(CONTROL!$C$42, 58.349, 58.349) * CHOOSE(CONTROL!$C$21, $C$9, 100%, $E$9)</f>
        <v>58.348999999999997</v>
      </c>
      <c r="I738" s="14">
        <f>CHOOSE(CONTROL!$C$42, 58.3086, 58.3086)* CHOOSE(CONTROL!$C$21, $C$9, 100%, $E$9)</f>
        <v>58.308599999999998</v>
      </c>
      <c r="J738" s="14">
        <f>CHOOSE(CONTROL!$C$42, 58.1142, 58.1142)* CHOOSE(CONTROL!$C$21, $C$9, 100%, $E$9)</f>
        <v>58.114199999999997</v>
      </c>
      <c r="K738" s="52">
        <f>CHOOSE(CONTROL!$C$42, 58.3047, 58.3047) * CHOOSE(CONTROL!$C$21, $C$9, 100%, $E$9)</f>
        <v>58.304699999999997</v>
      </c>
      <c r="L738" s="14">
        <f>CHOOSE(CONTROL!$C$42, 58.936, 58.936) * CHOOSE(CONTROL!$C$21, $C$9, 100%, $E$9)</f>
        <v>58.936</v>
      </c>
      <c r="M738" s="14">
        <f>CHOOSE(CONTROL!$C$42, 56.9311, 56.9311) * CHOOSE(CONTROL!$C$21, $C$9, 100%, $E$9)</f>
        <v>56.931100000000001</v>
      </c>
      <c r="N738" s="14">
        <f>CHOOSE(CONTROL!$C$42, 56.9479, 56.9479) * CHOOSE(CONTROL!$C$21, $C$9, 100%, $E$9)</f>
        <v>56.947899999999997</v>
      </c>
      <c r="O738" s="14">
        <f>CHOOSE(CONTROL!$C$42, 57.1611, 57.1611) * CHOOSE(CONTROL!$C$21, $C$9, 100%, $E$9)</f>
        <v>57.161099999999998</v>
      </c>
      <c r="P738" s="14">
        <f>CHOOSE(CONTROL!$C$42, 57.118, 57.118) * CHOOSE(CONTROL!$C$21, $C$9, 100%, $E$9)</f>
        <v>57.118000000000002</v>
      </c>
      <c r="Q738" s="14">
        <f>CHOOSE(CONTROL!$C$42, 57.7558, 57.7558) * CHOOSE(CONTROL!$C$21, $C$9, 100%, $E$9)</f>
        <v>57.755800000000001</v>
      </c>
      <c r="R738" s="14">
        <f>CHOOSE(CONTROL!$C$42, 58.4872, 58.4872) * CHOOSE(CONTROL!$C$21, $C$9, 100%, $E$9)</f>
        <v>58.487200000000001</v>
      </c>
      <c r="S738" s="14">
        <f>CHOOSE(CONTROL!$C$42, 55.8129, 55.8129) * CHOOSE(CONTROL!$C$21, $C$9, 100%, $E$9)</f>
        <v>55.812899999999999</v>
      </c>
      <c r="T73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56">
        <f>(1000*CHOOSE(CONTROL!$C$42, 695, 695)*CHOOSE(CONTROL!$C$42, 0.5599, 0.5599)*CHOOSE(CONTROL!$C$42, 30, 30))/1000000</f>
        <v>11.673914999999997</v>
      </c>
      <c r="V738" s="56">
        <f>(1000*CHOOSE(CONTROL!$C$42, 500, 500)*CHOOSE(CONTROL!$C$42, 0.275, 0.275)*CHOOSE(CONTROL!$C$42, 30, 30))/1000000</f>
        <v>4.125</v>
      </c>
      <c r="W738" s="56">
        <f>(1000*CHOOSE(CONTROL!$C$42, 0.1146, 0.1146)*CHOOSE(CONTROL!$C$42, 121.5, 121.5)*CHOOSE(CONTROL!$C$42, 30, 30))/1000000</f>
        <v>0.417717</v>
      </c>
      <c r="X738" s="56">
        <f>(30*0.1790888*245000/1000000)+(30*0.2374*100000/1000000)</f>
        <v>2.0285026799999999</v>
      </c>
      <c r="Y738" s="56"/>
      <c r="Z738" s="14"/>
      <c r="AA738" s="55"/>
      <c r="AB738" s="49">
        <f>(B738*194.205+C738*267.466+D738*133.845+E738*53.484+F738*40+G738*185+H738*0+I738*100+J738*300)/(194.205+267.466+133.845+53.484+0+40+185+100+300)</f>
        <v>58.160809690580841</v>
      </c>
      <c r="AC738" s="44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57.063203597122303</v>
      </c>
    </row>
    <row r="739" spans="1:29" ht="15.75" x14ac:dyDescent="0.25">
      <c r="A739" s="31">
        <v>63401</v>
      </c>
      <c r="B739" s="14">
        <f>CHOOSE(CONTROL!$C$42, 56.9808, 56.9808) * CHOOSE(CONTROL!$C$21, $C$9, 100%, $E$9)</f>
        <v>56.980800000000002</v>
      </c>
      <c r="C739" s="14">
        <f>CHOOSE(CONTROL!$C$42, 56.9888, 56.9888) * CHOOSE(CONTROL!$C$21, $C$9, 100%, $E$9)</f>
        <v>56.988799999999998</v>
      </c>
      <c r="D739" s="14">
        <f>CHOOSE(CONTROL!$C$42, 57.2146, 57.2146) * CHOOSE(CONTROL!$C$21, $C$9, 100%, $E$9)</f>
        <v>57.214599999999997</v>
      </c>
      <c r="E739" s="14">
        <f>CHOOSE(CONTROL!$C$42, 57.246, 57.246) * CHOOSE(CONTROL!$C$21, $C$9, 100%, $E$9)</f>
        <v>57.246000000000002</v>
      </c>
      <c r="F739" s="14">
        <f>CHOOSE(CONTROL!$C$42, 57.0073, 57.0073)*CHOOSE(CONTROL!$C$21, $C$9, 100%, $E$9)</f>
        <v>57.007300000000001</v>
      </c>
      <c r="G739" s="14">
        <f>CHOOSE(CONTROL!$C$42, 57.0245, 57.0245)*CHOOSE(CONTROL!$C$21, $C$9, 100%, $E$9)</f>
        <v>57.024500000000003</v>
      </c>
      <c r="H739" s="14">
        <f>CHOOSE(CONTROL!$C$42, 57.2347, 57.2347) * CHOOSE(CONTROL!$C$21, $C$9, 100%, $E$9)</f>
        <v>57.234699999999997</v>
      </c>
      <c r="I739" s="14">
        <f>CHOOSE(CONTROL!$C$42, 57.1907, 57.1907)* CHOOSE(CONTROL!$C$21, $C$9, 100%, $E$9)</f>
        <v>57.1907</v>
      </c>
      <c r="J739" s="14">
        <f>CHOOSE(CONTROL!$C$42, 57.0003, 57.0003)* CHOOSE(CONTROL!$C$21, $C$9, 100%, $E$9)</f>
        <v>57.000300000000003</v>
      </c>
      <c r="K739" s="52">
        <f>CHOOSE(CONTROL!$C$42, 57.1869, 57.1869) * CHOOSE(CONTROL!$C$21, $C$9, 100%, $E$9)</f>
        <v>57.186900000000001</v>
      </c>
      <c r="L739" s="14">
        <f>CHOOSE(CONTROL!$C$42, 57.8217, 57.8217) * CHOOSE(CONTROL!$C$21, $C$9, 100%, $E$9)</f>
        <v>57.8217</v>
      </c>
      <c r="M739" s="14">
        <f>CHOOSE(CONTROL!$C$42, 55.8401, 55.8401) * CHOOSE(CONTROL!$C$21, $C$9, 100%, $E$9)</f>
        <v>55.8401</v>
      </c>
      <c r="N739" s="14">
        <f>CHOOSE(CONTROL!$C$42, 55.857, 55.857) * CHOOSE(CONTROL!$C$21, $C$9, 100%, $E$9)</f>
        <v>55.856999999999999</v>
      </c>
      <c r="O739" s="14">
        <f>CHOOSE(CONTROL!$C$42, 56.0697, 56.0697) * CHOOSE(CONTROL!$C$21, $C$9, 100%, $E$9)</f>
        <v>56.069699999999997</v>
      </c>
      <c r="P739" s="14">
        <f>CHOOSE(CONTROL!$C$42, 56.0231, 56.0231) * CHOOSE(CONTROL!$C$21, $C$9, 100%, $E$9)</f>
        <v>56.023099999999999</v>
      </c>
      <c r="Q739" s="14">
        <f>CHOOSE(CONTROL!$C$42, 56.6644, 56.6644) * CHOOSE(CONTROL!$C$21, $C$9, 100%, $E$9)</f>
        <v>56.664400000000001</v>
      </c>
      <c r="R739" s="14">
        <f>CHOOSE(CONTROL!$C$42, 57.393, 57.393) * CHOOSE(CONTROL!$C$21, $C$9, 100%, $E$9)</f>
        <v>57.393000000000001</v>
      </c>
      <c r="S739" s="14">
        <f>CHOOSE(CONTROL!$C$42, 54.7422, 54.7422) * CHOOSE(CONTROL!$C$21, $C$9, 100%, $E$9)</f>
        <v>54.742199999999997</v>
      </c>
      <c r="T73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56">
        <f>(1000*CHOOSE(CONTROL!$C$42, 695, 695)*CHOOSE(CONTROL!$C$42, 0.5599, 0.5599)*CHOOSE(CONTROL!$C$42, 31, 31))/1000000</f>
        <v>12.063045499999998</v>
      </c>
      <c r="V739" s="56">
        <f>(1000*CHOOSE(CONTROL!$C$42, 500, 500)*CHOOSE(CONTROL!$C$42, 0.275, 0.275)*CHOOSE(CONTROL!$C$42, 31, 31))/1000000</f>
        <v>4.2625000000000002</v>
      </c>
      <c r="W739" s="56">
        <f>(1000*CHOOSE(CONTROL!$C$42, 0.1146, 0.1146)*CHOOSE(CONTROL!$C$42, 121.5, 121.5)*CHOOSE(CONTROL!$C$42, 31, 31))/1000000</f>
        <v>0.43164089999999994</v>
      </c>
      <c r="X739" s="56">
        <f>(31*0.1790888*245000/1000000)+(31*0.2374*100000/1000000)</f>
        <v>2.0961194359999999</v>
      </c>
      <c r="Y739" s="56"/>
      <c r="Z739" s="14"/>
      <c r="AA739" s="55"/>
      <c r="AB739" s="49">
        <f>(B739*194.205+C739*267.466+D739*133.845+E739*53.484+F739*40+G739*185+H739*0+I739*100+J739*300)/(194.205+267.466+133.845+53.484+0+40+185+100+300)</f>
        <v>57.046420993563579</v>
      </c>
      <c r="AC739" s="44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55.971466906474816</v>
      </c>
    </row>
    <row r="740" spans="1:29" ht="15.75" x14ac:dyDescent="0.25">
      <c r="A740" s="31">
        <v>63432</v>
      </c>
      <c r="B740" s="14">
        <f>CHOOSE(CONTROL!$C$42, 54.1668, 54.1668) * CHOOSE(CONTROL!$C$21, $C$9, 100%, $E$9)</f>
        <v>54.166800000000002</v>
      </c>
      <c r="C740" s="14">
        <f>CHOOSE(CONTROL!$C$42, 54.1748, 54.1748) * CHOOSE(CONTROL!$C$21, $C$9, 100%, $E$9)</f>
        <v>54.174799999999998</v>
      </c>
      <c r="D740" s="14">
        <f>CHOOSE(CONTROL!$C$42, 54.4006, 54.4006) * CHOOSE(CONTROL!$C$21, $C$9, 100%, $E$9)</f>
        <v>54.400599999999997</v>
      </c>
      <c r="E740" s="14">
        <f>CHOOSE(CONTROL!$C$42, 54.432, 54.432) * CHOOSE(CONTROL!$C$21, $C$9, 100%, $E$9)</f>
        <v>54.432000000000002</v>
      </c>
      <c r="F740" s="14">
        <f>CHOOSE(CONTROL!$C$42, 54.1936, 54.1936)*CHOOSE(CONTROL!$C$21, $C$9, 100%, $E$9)</f>
        <v>54.193600000000004</v>
      </c>
      <c r="G740" s="14">
        <f>CHOOSE(CONTROL!$C$42, 54.2108, 54.2108)*CHOOSE(CONTROL!$C$21, $C$9, 100%, $E$9)</f>
        <v>54.210799999999999</v>
      </c>
      <c r="H740" s="14">
        <f>CHOOSE(CONTROL!$C$42, 54.4207, 54.4207) * CHOOSE(CONTROL!$C$21, $C$9, 100%, $E$9)</f>
        <v>54.420699999999997</v>
      </c>
      <c r="I740" s="14">
        <f>CHOOSE(CONTROL!$C$42, 54.3679, 54.3679)* CHOOSE(CONTROL!$C$21, $C$9, 100%, $E$9)</f>
        <v>54.367899999999999</v>
      </c>
      <c r="J740" s="14">
        <f>CHOOSE(CONTROL!$C$42, 54.1866, 54.1866)* CHOOSE(CONTROL!$C$21, $C$9, 100%, $E$9)</f>
        <v>54.186599999999999</v>
      </c>
      <c r="K740" s="52">
        <f>CHOOSE(CONTROL!$C$42, 54.3641, 54.3641) * CHOOSE(CONTROL!$C$21, $C$9, 100%, $E$9)</f>
        <v>54.364100000000001</v>
      </c>
      <c r="L740" s="14">
        <f>CHOOSE(CONTROL!$C$42, 55.0077, 55.0077) * CHOOSE(CONTROL!$C$21, $C$9, 100%, $E$9)</f>
        <v>55.0077</v>
      </c>
      <c r="M740" s="14">
        <f>CHOOSE(CONTROL!$C$42, 53.084, 53.084) * CHOOSE(CONTROL!$C$21, $C$9, 100%, $E$9)</f>
        <v>53.084000000000003</v>
      </c>
      <c r="N740" s="14">
        <f>CHOOSE(CONTROL!$C$42, 53.1009, 53.1009) * CHOOSE(CONTROL!$C$21, $C$9, 100%, $E$9)</f>
        <v>53.100900000000003</v>
      </c>
      <c r="O740" s="14">
        <f>CHOOSE(CONTROL!$C$42, 53.3133, 53.3133) * CHOOSE(CONTROL!$C$21, $C$9, 100%, $E$9)</f>
        <v>53.313299999999998</v>
      </c>
      <c r="P740" s="14">
        <f>CHOOSE(CONTROL!$C$42, 53.2583, 53.2583) * CHOOSE(CONTROL!$C$21, $C$9, 100%, $E$9)</f>
        <v>53.258299999999998</v>
      </c>
      <c r="Q740" s="14">
        <f>CHOOSE(CONTROL!$C$42, 53.908, 53.908) * CHOOSE(CONTROL!$C$21, $C$9, 100%, $E$9)</f>
        <v>53.908000000000001</v>
      </c>
      <c r="R740" s="14">
        <f>CHOOSE(CONTROL!$C$42, 54.6298, 54.6298) * CHOOSE(CONTROL!$C$21, $C$9, 100%, $E$9)</f>
        <v>54.629800000000003</v>
      </c>
      <c r="S740" s="14">
        <f>CHOOSE(CONTROL!$C$42, 52.0382, 52.0382) * CHOOSE(CONTROL!$C$21, $C$9, 100%, $E$9)</f>
        <v>52.038200000000003</v>
      </c>
      <c r="T74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56">
        <f>(1000*CHOOSE(CONTROL!$C$42, 695, 695)*CHOOSE(CONTROL!$C$42, 0.5599, 0.5599)*CHOOSE(CONTROL!$C$42, 31, 31))/1000000</f>
        <v>12.063045499999998</v>
      </c>
      <c r="V740" s="56">
        <f>(1000*CHOOSE(CONTROL!$C$42, 500, 500)*CHOOSE(CONTROL!$C$42, 0.275, 0.275)*CHOOSE(CONTROL!$C$42, 31, 31))/1000000</f>
        <v>4.2625000000000002</v>
      </c>
      <c r="W740" s="56">
        <f>(1000*CHOOSE(CONTROL!$C$42, 0.1146, 0.1146)*CHOOSE(CONTROL!$C$42, 121.5, 121.5)*CHOOSE(CONTROL!$C$42, 31, 31))/1000000</f>
        <v>0.43164089999999994</v>
      </c>
      <c r="X740" s="56">
        <f>(31*0.1790888*245000/1000000)+(31*0.2374*100000/1000000)</f>
        <v>2.0961194359999999</v>
      </c>
      <c r="Y740" s="56"/>
      <c r="Z740" s="14"/>
      <c r="AA740" s="55"/>
      <c r="AB740" s="49">
        <f>(B740*194.205+C740*267.466+D740*133.845+E740*53.484+F740*40+G740*185+H740*0+I740*100+J740*300)/(194.205+267.466+133.845+53.484+0+40+185+100+300)</f>
        <v>54.231853882103614</v>
      </c>
      <c r="AC740" s="44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53.213979136690646</v>
      </c>
    </row>
    <row r="741" spans="1:29" ht="15.75" x14ac:dyDescent="0.25">
      <c r="A741" s="31">
        <v>63462</v>
      </c>
      <c r="B741" s="14">
        <f>CHOOSE(CONTROL!$C$42, 50.7284, 50.7284) * CHOOSE(CONTROL!$C$21, $C$9, 100%, $E$9)</f>
        <v>50.728400000000001</v>
      </c>
      <c r="C741" s="14">
        <f>CHOOSE(CONTROL!$C$42, 50.7364, 50.7364) * CHOOSE(CONTROL!$C$21, $C$9, 100%, $E$9)</f>
        <v>50.736400000000003</v>
      </c>
      <c r="D741" s="14">
        <f>CHOOSE(CONTROL!$C$42, 50.9622, 50.9622) * CHOOSE(CONTROL!$C$21, $C$9, 100%, $E$9)</f>
        <v>50.962200000000003</v>
      </c>
      <c r="E741" s="14">
        <f>CHOOSE(CONTROL!$C$42, 50.9936, 50.9936) * CHOOSE(CONTROL!$C$21, $C$9, 100%, $E$9)</f>
        <v>50.993600000000001</v>
      </c>
      <c r="F741" s="14">
        <f>CHOOSE(CONTROL!$C$42, 50.7552, 50.7552)*CHOOSE(CONTROL!$C$21, $C$9, 100%, $E$9)</f>
        <v>50.755200000000002</v>
      </c>
      <c r="G741" s="14">
        <f>CHOOSE(CONTROL!$C$42, 50.7724, 50.7724)*CHOOSE(CONTROL!$C$21, $C$9, 100%, $E$9)</f>
        <v>50.772399999999998</v>
      </c>
      <c r="H741" s="14">
        <f>CHOOSE(CONTROL!$C$42, 50.9823, 50.9823) * CHOOSE(CONTROL!$C$21, $C$9, 100%, $E$9)</f>
        <v>50.982300000000002</v>
      </c>
      <c r="I741" s="14">
        <f>CHOOSE(CONTROL!$C$42, 50.9188, 50.9188)* CHOOSE(CONTROL!$C$21, $C$9, 100%, $E$9)</f>
        <v>50.918799999999997</v>
      </c>
      <c r="J741" s="14">
        <f>CHOOSE(CONTROL!$C$42, 50.7482, 50.7482)* CHOOSE(CONTROL!$C$21, $C$9, 100%, $E$9)</f>
        <v>50.748199999999997</v>
      </c>
      <c r="K741" s="52">
        <f>CHOOSE(CONTROL!$C$42, 50.9149, 50.9149) * CHOOSE(CONTROL!$C$21, $C$9, 100%, $E$9)</f>
        <v>50.914900000000003</v>
      </c>
      <c r="L741" s="14">
        <f>CHOOSE(CONTROL!$C$42, 51.5693, 51.5693) * CHOOSE(CONTROL!$C$21, $C$9, 100%, $E$9)</f>
        <v>51.569299999999998</v>
      </c>
      <c r="M741" s="14">
        <f>CHOOSE(CONTROL!$C$42, 49.7161, 49.7161) * CHOOSE(CONTROL!$C$21, $C$9, 100%, $E$9)</f>
        <v>49.716099999999997</v>
      </c>
      <c r="N741" s="14">
        <f>CHOOSE(CONTROL!$C$42, 49.733, 49.733) * CHOOSE(CONTROL!$C$21, $C$9, 100%, $E$9)</f>
        <v>49.732999999999997</v>
      </c>
      <c r="O741" s="14">
        <f>CHOOSE(CONTROL!$C$42, 49.9454, 49.9454) * CHOOSE(CONTROL!$C$21, $C$9, 100%, $E$9)</f>
        <v>49.945399999999999</v>
      </c>
      <c r="P741" s="14">
        <f>CHOOSE(CONTROL!$C$42, 49.88, 49.88) * CHOOSE(CONTROL!$C$21, $C$9, 100%, $E$9)</f>
        <v>49.88</v>
      </c>
      <c r="Q741" s="14">
        <f>CHOOSE(CONTROL!$C$42, 50.5401, 50.5401) * CHOOSE(CONTROL!$C$21, $C$9, 100%, $E$9)</f>
        <v>50.540100000000002</v>
      </c>
      <c r="R741" s="14">
        <f>CHOOSE(CONTROL!$C$42, 51.2534, 51.2534) * CHOOSE(CONTROL!$C$21, $C$9, 100%, $E$9)</f>
        <v>51.253399999999999</v>
      </c>
      <c r="S741" s="14">
        <f>CHOOSE(CONTROL!$C$42, 48.7342, 48.7342) * CHOOSE(CONTROL!$C$21, $C$9, 100%, $E$9)</f>
        <v>48.734200000000001</v>
      </c>
      <c r="T74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56">
        <f>(1000*CHOOSE(CONTROL!$C$42, 695, 695)*CHOOSE(CONTROL!$C$42, 0.5599, 0.5599)*CHOOSE(CONTROL!$C$42, 30, 30))/1000000</f>
        <v>11.673914999999997</v>
      </c>
      <c r="V741" s="56">
        <f>(1000*CHOOSE(CONTROL!$C$42, 500, 500)*CHOOSE(CONTROL!$C$42, 0.275, 0.275)*CHOOSE(CONTROL!$C$42, 30, 30))/1000000</f>
        <v>4.125</v>
      </c>
      <c r="W741" s="56">
        <f>(1000*CHOOSE(CONTROL!$C$42, 0.1146, 0.1146)*CHOOSE(CONTROL!$C$42, 121.5, 121.5)*CHOOSE(CONTROL!$C$42, 30, 30))/1000000</f>
        <v>0.417717</v>
      </c>
      <c r="X741" s="56">
        <f>(30*0.1790888*245000/1000000)+(30*0.2374*100000/1000000)</f>
        <v>2.0285026799999999</v>
      </c>
      <c r="Y741" s="56"/>
      <c r="Z741" s="14"/>
      <c r="AA741" s="55"/>
      <c r="AB741" s="49">
        <f>(B741*194.205+C741*267.466+D741*133.845+E741*53.484+F741*40+G741*185+H741*0+I741*100+J741*300)/(194.205+267.466+133.845+53.484+0+40+185+100+300)</f>
        <v>50.792614007692308</v>
      </c>
      <c r="AC741" s="44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49.844582733812949</v>
      </c>
    </row>
    <row r="742" spans="1:29" ht="15.75" x14ac:dyDescent="0.25">
      <c r="A742" s="31">
        <v>63493</v>
      </c>
      <c r="B742" s="14">
        <f>CHOOSE(CONTROL!$C$42, 49.6968, 49.6968) * CHOOSE(CONTROL!$C$21, $C$9, 100%, $E$9)</f>
        <v>49.696800000000003</v>
      </c>
      <c r="C742" s="14">
        <f>CHOOSE(CONTROL!$C$42, 49.7022, 49.7022) * CHOOSE(CONTROL!$C$21, $C$9, 100%, $E$9)</f>
        <v>49.702199999999998</v>
      </c>
      <c r="D742" s="14">
        <f>CHOOSE(CONTROL!$C$42, 49.9329, 49.9329) * CHOOSE(CONTROL!$C$21, $C$9, 100%, $E$9)</f>
        <v>49.932899999999997</v>
      </c>
      <c r="E742" s="14">
        <f>CHOOSE(CONTROL!$C$42, 49.962, 49.962) * CHOOSE(CONTROL!$C$21, $C$9, 100%, $E$9)</f>
        <v>49.962000000000003</v>
      </c>
      <c r="F742" s="14">
        <f>CHOOSE(CONTROL!$C$42, 49.7257, 49.7257)*CHOOSE(CONTROL!$C$21, $C$9, 100%, $E$9)</f>
        <v>49.725700000000003</v>
      </c>
      <c r="G742" s="14">
        <f>CHOOSE(CONTROL!$C$42, 49.7428, 49.7428)*CHOOSE(CONTROL!$C$21, $C$9, 100%, $E$9)</f>
        <v>49.742800000000003</v>
      </c>
      <c r="H742" s="14">
        <f>CHOOSE(CONTROL!$C$42, 49.9525, 49.9525) * CHOOSE(CONTROL!$C$21, $C$9, 100%, $E$9)</f>
        <v>49.952500000000001</v>
      </c>
      <c r="I742" s="14">
        <f>CHOOSE(CONTROL!$C$42, 49.8858, 49.8858)* CHOOSE(CONTROL!$C$21, $C$9, 100%, $E$9)</f>
        <v>49.885800000000003</v>
      </c>
      <c r="J742" s="14">
        <f>CHOOSE(CONTROL!$C$42, 49.7187, 49.7187)* CHOOSE(CONTROL!$C$21, $C$9, 100%, $E$9)</f>
        <v>49.718699999999998</v>
      </c>
      <c r="K742" s="52">
        <f>CHOOSE(CONTROL!$C$42, 49.8819, 49.8819) * CHOOSE(CONTROL!$C$21, $C$9, 100%, $E$9)</f>
        <v>49.881900000000002</v>
      </c>
      <c r="L742" s="14">
        <f>CHOOSE(CONTROL!$C$42, 50.5395, 50.5395) * CHOOSE(CONTROL!$C$21, $C$9, 100%, $E$9)</f>
        <v>50.539499999999997</v>
      </c>
      <c r="M742" s="14">
        <f>CHOOSE(CONTROL!$C$42, 48.7077, 48.7077) * CHOOSE(CONTROL!$C$21, $C$9, 100%, $E$9)</f>
        <v>48.707700000000003</v>
      </c>
      <c r="N742" s="14">
        <f>CHOOSE(CONTROL!$C$42, 48.7245, 48.7245) * CHOOSE(CONTROL!$C$21, $C$9, 100%, $E$9)</f>
        <v>48.724499999999999</v>
      </c>
      <c r="O742" s="14">
        <f>CHOOSE(CONTROL!$C$42, 48.9367, 48.9367) * CHOOSE(CONTROL!$C$21, $C$9, 100%, $E$9)</f>
        <v>48.936700000000002</v>
      </c>
      <c r="P742" s="14">
        <f>CHOOSE(CONTROL!$C$42, 48.8683, 48.8683) * CHOOSE(CONTROL!$C$21, $C$9, 100%, $E$9)</f>
        <v>48.868299999999998</v>
      </c>
      <c r="Q742" s="14">
        <f>CHOOSE(CONTROL!$C$42, 49.5314, 49.5314) * CHOOSE(CONTROL!$C$21, $C$9, 100%, $E$9)</f>
        <v>49.531399999999998</v>
      </c>
      <c r="R742" s="14">
        <f>CHOOSE(CONTROL!$C$42, 50.2422, 50.2422) * CHOOSE(CONTROL!$C$21, $C$9, 100%, $E$9)</f>
        <v>50.242199999999997</v>
      </c>
      <c r="S742" s="14">
        <f>CHOOSE(CONTROL!$C$42, 47.7448, 47.7448) * CHOOSE(CONTROL!$C$21, $C$9, 100%, $E$9)</f>
        <v>47.744799999999998</v>
      </c>
      <c r="T74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56">
        <f>(1000*CHOOSE(CONTROL!$C$42, 695, 695)*CHOOSE(CONTROL!$C$42, 0.5599, 0.5599)*CHOOSE(CONTROL!$C$42, 31, 31))/1000000</f>
        <v>12.063045499999998</v>
      </c>
      <c r="V742" s="56">
        <f>(1000*CHOOSE(CONTROL!$C$42, 500, 500)*CHOOSE(CONTROL!$C$42, 0.275, 0.275)*CHOOSE(CONTROL!$C$42, 31, 31))/1000000</f>
        <v>4.2625000000000002</v>
      </c>
      <c r="W742" s="56">
        <f>(1000*CHOOSE(CONTROL!$C$42, 0.1146, 0.1146)*CHOOSE(CONTROL!$C$42, 121.5, 121.5)*CHOOSE(CONTROL!$C$42, 31, 31))/1000000</f>
        <v>0.43164089999999994</v>
      </c>
      <c r="X742" s="56">
        <f>(31*0.1790888*245000/1000000)+(31*0.2374*100000/1000000)</f>
        <v>2.0961194359999999</v>
      </c>
      <c r="Y742" s="56"/>
      <c r="Z742" s="14"/>
      <c r="AA742" s="55"/>
      <c r="AB742" s="49">
        <f>(B742*131.881+C742*277.167+D742*79.08+E742*125.872+F742*40+G742*185+H742*0+I742*100+J742*300)/(131.881+277.167+79.08+125.872+0+40+185+100+300)</f>
        <v>49.768377678934627</v>
      </c>
      <c r="AC742" s="44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48.835566187050361</v>
      </c>
    </row>
    <row r="743" spans="1:29" ht="15.75" x14ac:dyDescent="0.25">
      <c r="A743" s="31">
        <v>63523</v>
      </c>
      <c r="B743" s="14">
        <f>CHOOSE(CONTROL!$C$42, 51.0054, 51.0054) * CHOOSE(CONTROL!$C$21, $C$9, 100%, $E$9)</f>
        <v>51.005400000000002</v>
      </c>
      <c r="C743" s="14">
        <f>CHOOSE(CONTROL!$C$42, 51.0105, 51.0105) * CHOOSE(CONTROL!$C$21, $C$9, 100%, $E$9)</f>
        <v>51.0105</v>
      </c>
      <c r="D743" s="14">
        <f>CHOOSE(CONTROL!$C$42, 51.0795, 51.0795) * CHOOSE(CONTROL!$C$21, $C$9, 100%, $E$9)</f>
        <v>51.079500000000003</v>
      </c>
      <c r="E743" s="14">
        <f>CHOOSE(CONTROL!$C$42, 51.1136, 51.1136) * CHOOSE(CONTROL!$C$21, $C$9, 100%, $E$9)</f>
        <v>51.113599999999998</v>
      </c>
      <c r="F743" s="14">
        <f>CHOOSE(CONTROL!$C$42, 51.041, 51.041)*CHOOSE(CONTROL!$C$21, $C$9, 100%, $E$9)</f>
        <v>51.040999999999997</v>
      </c>
      <c r="G743" s="14">
        <f>CHOOSE(CONTROL!$C$42, 51.0584, 51.0584)*CHOOSE(CONTROL!$C$21, $C$9, 100%, $E$9)</f>
        <v>51.058399999999999</v>
      </c>
      <c r="H743" s="14">
        <f>CHOOSE(CONTROL!$C$42, 51.1028, 51.1028) * CHOOSE(CONTROL!$C$21, $C$9, 100%, $E$9)</f>
        <v>51.102800000000002</v>
      </c>
      <c r="I743" s="14">
        <f>CHOOSE(CONTROL!$C$42, 51.2015, 51.2015)* CHOOSE(CONTROL!$C$21, $C$9, 100%, $E$9)</f>
        <v>51.201500000000003</v>
      </c>
      <c r="J743" s="14">
        <f>CHOOSE(CONTROL!$C$42, 51.034, 51.034)* CHOOSE(CONTROL!$C$21, $C$9, 100%, $E$9)</f>
        <v>51.033999999999999</v>
      </c>
      <c r="K743" s="52">
        <f>CHOOSE(CONTROL!$C$42, 51.1976, 51.1976) * CHOOSE(CONTROL!$C$21, $C$9, 100%, $E$9)</f>
        <v>51.197600000000001</v>
      </c>
      <c r="L743" s="14">
        <f>CHOOSE(CONTROL!$C$42, 51.6898, 51.6898) * CHOOSE(CONTROL!$C$21, $C$9, 100%, $E$9)</f>
        <v>51.689799999999998</v>
      </c>
      <c r="M743" s="14">
        <f>CHOOSE(CONTROL!$C$42, 49.996, 49.996) * CHOOSE(CONTROL!$C$21, $C$9, 100%, $E$9)</f>
        <v>49.996000000000002</v>
      </c>
      <c r="N743" s="14">
        <f>CHOOSE(CONTROL!$C$42, 50.0131, 50.0131) * CHOOSE(CONTROL!$C$21, $C$9, 100%, $E$9)</f>
        <v>50.013100000000001</v>
      </c>
      <c r="O743" s="14">
        <f>CHOOSE(CONTROL!$C$42, 50.0634, 50.0634) * CHOOSE(CONTROL!$C$21, $C$9, 100%, $E$9)</f>
        <v>50.063400000000001</v>
      </c>
      <c r="P743" s="14">
        <f>CHOOSE(CONTROL!$C$42, 50.157, 50.157) * CHOOSE(CONTROL!$C$21, $C$9, 100%, $E$9)</f>
        <v>50.156999999999996</v>
      </c>
      <c r="Q743" s="14">
        <f>CHOOSE(CONTROL!$C$42, 50.6581, 50.6581) * CHOOSE(CONTROL!$C$21, $C$9, 100%, $E$9)</f>
        <v>50.658099999999997</v>
      </c>
      <c r="R743" s="14">
        <f>CHOOSE(CONTROL!$C$42, 51.3718, 51.3718) * CHOOSE(CONTROL!$C$21, $C$9, 100%, $E$9)</f>
        <v>51.3718</v>
      </c>
      <c r="S743" s="14">
        <f>CHOOSE(CONTROL!$C$42, 49.0026, 49.0026) * CHOOSE(CONTROL!$C$21, $C$9, 100%, $E$9)</f>
        <v>49.002600000000001</v>
      </c>
      <c r="T74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56">
        <f>(1000*CHOOSE(CONTROL!$C$42, 695, 695)*CHOOSE(CONTROL!$C$42, 0.5599, 0.5599)*CHOOSE(CONTROL!$C$42, 30, 30))/1000000</f>
        <v>11.673914999999997</v>
      </c>
      <c r="V743" s="56">
        <f>(1000*CHOOSE(CONTROL!$C$42, 500, 500)*CHOOSE(CONTROL!$C$42, 0.275, 0.275)*CHOOSE(CONTROL!$C$42, 30, 30))/1000000</f>
        <v>4.125</v>
      </c>
      <c r="W743" s="56">
        <f>(1000*CHOOSE(CONTROL!$C$42, 0.1146, 0.1146)*CHOOSE(CONTROL!$C$42, 121.5, 121.5)*CHOOSE(CONTROL!$C$42, 30, 30))/1000000</f>
        <v>0.417717</v>
      </c>
      <c r="X743" s="56">
        <f>(30*0.1790888*100000/1000000)+(30*0.2374*100000/1000000)</f>
        <v>1.2494664</v>
      </c>
      <c r="Y743" s="56"/>
      <c r="Z743" s="14"/>
      <c r="AA743" s="55"/>
      <c r="AB743" s="49">
        <f>(B743*122.58+C743*297.941+D743*89.177+E743*40.302+F743*40+G743*160+H743*0+I743*100+J743*300)/(122.58+297.941+89.177+40.302+0+40+160+100+300)</f>
        <v>51.049384514086952</v>
      </c>
      <c r="AC743" s="44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50.050697841726617</v>
      </c>
    </row>
    <row r="744" spans="1:29" ht="15.75" x14ac:dyDescent="0.25">
      <c r="A744" s="31">
        <v>63554</v>
      </c>
      <c r="B744" s="14">
        <f>CHOOSE(CONTROL!$C$42, 54.4823, 54.4823) * CHOOSE(CONTROL!$C$21, $C$9, 100%, $E$9)</f>
        <v>54.482300000000002</v>
      </c>
      <c r="C744" s="14">
        <f>CHOOSE(CONTROL!$C$42, 54.4874, 54.4874) * CHOOSE(CONTROL!$C$21, $C$9, 100%, $E$9)</f>
        <v>54.487400000000001</v>
      </c>
      <c r="D744" s="14">
        <f>CHOOSE(CONTROL!$C$42, 54.5564, 54.5564) * CHOOSE(CONTROL!$C$21, $C$9, 100%, $E$9)</f>
        <v>54.556399999999996</v>
      </c>
      <c r="E744" s="14">
        <f>CHOOSE(CONTROL!$C$42, 54.5905, 54.5905) * CHOOSE(CONTROL!$C$21, $C$9, 100%, $E$9)</f>
        <v>54.590499999999999</v>
      </c>
      <c r="F744" s="14">
        <f>CHOOSE(CONTROL!$C$42, 54.5201, 54.5201)*CHOOSE(CONTROL!$C$21, $C$9, 100%, $E$9)</f>
        <v>54.520099999999999</v>
      </c>
      <c r="G744" s="14">
        <f>CHOOSE(CONTROL!$C$42, 54.5381, 54.5381)*CHOOSE(CONTROL!$C$21, $C$9, 100%, $E$9)</f>
        <v>54.5381</v>
      </c>
      <c r="H744" s="14">
        <f>CHOOSE(CONTROL!$C$42, 54.5797, 54.5797) * CHOOSE(CONTROL!$C$21, $C$9, 100%, $E$9)</f>
        <v>54.579700000000003</v>
      </c>
      <c r="I744" s="14">
        <f>CHOOSE(CONTROL!$C$42, 54.6893, 54.6893)* CHOOSE(CONTROL!$C$21, $C$9, 100%, $E$9)</f>
        <v>54.689300000000003</v>
      </c>
      <c r="J744" s="14">
        <f>CHOOSE(CONTROL!$C$42, 54.5131, 54.5131)* CHOOSE(CONTROL!$C$21, $C$9, 100%, $E$9)</f>
        <v>54.513100000000001</v>
      </c>
      <c r="K744" s="52">
        <f>CHOOSE(CONTROL!$C$42, 54.6854, 54.6854) * CHOOSE(CONTROL!$C$21, $C$9, 100%, $E$9)</f>
        <v>54.685400000000001</v>
      </c>
      <c r="L744" s="14">
        <f>CHOOSE(CONTROL!$C$42, 55.1667, 55.1667) * CHOOSE(CONTROL!$C$21, $C$9, 100%, $E$9)</f>
        <v>55.166699999999999</v>
      </c>
      <c r="M744" s="14">
        <f>CHOOSE(CONTROL!$C$42, 53.4039, 53.4039) * CHOOSE(CONTROL!$C$21, $C$9, 100%, $E$9)</f>
        <v>53.4039</v>
      </c>
      <c r="N744" s="14">
        <f>CHOOSE(CONTROL!$C$42, 53.4215, 53.4215) * CHOOSE(CONTROL!$C$21, $C$9, 100%, $E$9)</f>
        <v>53.421500000000002</v>
      </c>
      <c r="O744" s="14">
        <f>CHOOSE(CONTROL!$C$42, 53.4691, 53.4691) * CHOOSE(CONTROL!$C$21, $C$9, 100%, $E$9)</f>
        <v>53.469099999999997</v>
      </c>
      <c r="P744" s="14">
        <f>CHOOSE(CONTROL!$C$42, 53.573, 53.573) * CHOOSE(CONTROL!$C$21, $C$9, 100%, $E$9)</f>
        <v>53.573</v>
      </c>
      <c r="Q744" s="14">
        <f>CHOOSE(CONTROL!$C$42, 54.0638, 54.0638) * CHOOSE(CONTROL!$C$21, $C$9, 100%, $E$9)</f>
        <v>54.063800000000001</v>
      </c>
      <c r="R744" s="14">
        <f>CHOOSE(CONTROL!$C$42, 54.7859, 54.7859) * CHOOSE(CONTROL!$C$21, $C$9, 100%, $E$9)</f>
        <v>54.785899999999998</v>
      </c>
      <c r="S744" s="14">
        <f>CHOOSE(CONTROL!$C$42, 52.3435, 52.3435) * CHOOSE(CONTROL!$C$21, $C$9, 100%, $E$9)</f>
        <v>52.343499999999999</v>
      </c>
      <c r="T74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56">
        <f>(1000*CHOOSE(CONTROL!$C$42, 695, 695)*CHOOSE(CONTROL!$C$42, 0.5599, 0.5599)*CHOOSE(CONTROL!$C$42, 31, 31))/1000000</f>
        <v>12.063045499999998</v>
      </c>
      <c r="V744" s="56">
        <f>(1000*CHOOSE(CONTROL!$C$42, 500, 500)*CHOOSE(CONTROL!$C$42, 0.275, 0.275)*CHOOSE(CONTROL!$C$42, 31, 31))/1000000</f>
        <v>4.2625000000000002</v>
      </c>
      <c r="W744" s="56">
        <f>(1000*CHOOSE(CONTROL!$C$42, 0.1146, 0.1146)*CHOOSE(CONTROL!$C$42, 121.5, 121.5)*CHOOSE(CONTROL!$C$42, 31, 31))/1000000</f>
        <v>0.43164089999999994</v>
      </c>
      <c r="X744" s="56">
        <f>(31*0.1790888*100000/1000000)+(31*0.2374*100000/1000000)</f>
        <v>1.2911152800000001</v>
      </c>
      <c r="Y744" s="56"/>
      <c r="Z744" s="14"/>
      <c r="AA744" s="55"/>
      <c r="AB744" s="49">
        <f>(B744*122.58+C744*297.941+D744*89.177+E744*40.302+F744*40+G744*160+H744*0+I744*100+J744*300)/(122.58+297.941+89.177+40.302+0+40+160+100+300)</f>
        <v>54.528272340173913</v>
      </c>
      <c r="AC744" s="44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53.458794964028783</v>
      </c>
    </row>
    <row r="745" spans="1:29" ht="15.75" x14ac:dyDescent="0.25">
      <c r="A745" s="31">
        <v>63585</v>
      </c>
      <c r="B745" s="14">
        <f>CHOOSE(CONTROL!$C$42, 58.9981, 58.9981) * CHOOSE(CONTROL!$C$21, $C$9, 100%, $E$9)</f>
        <v>58.998100000000001</v>
      </c>
      <c r="C745" s="14">
        <f>CHOOSE(CONTROL!$C$42, 59.0032, 59.0032) * CHOOSE(CONTROL!$C$21, $C$9, 100%, $E$9)</f>
        <v>59.0032</v>
      </c>
      <c r="D745" s="14">
        <f>CHOOSE(CONTROL!$C$42, 59.0826, 59.0826) * CHOOSE(CONTROL!$C$21, $C$9, 100%, $E$9)</f>
        <v>59.082599999999999</v>
      </c>
      <c r="E745" s="14">
        <f>CHOOSE(CONTROL!$C$42, 59.1167, 59.1167) * CHOOSE(CONTROL!$C$21, $C$9, 100%, $E$9)</f>
        <v>59.116700000000002</v>
      </c>
      <c r="F745" s="14">
        <f>CHOOSE(CONTROL!$C$42, 59.0211, 59.0211)*CHOOSE(CONTROL!$C$21, $C$9, 100%, $E$9)</f>
        <v>59.021099999999997</v>
      </c>
      <c r="G745" s="14">
        <f>CHOOSE(CONTROL!$C$42, 59.0387, 59.0387)*CHOOSE(CONTROL!$C$21, $C$9, 100%, $E$9)</f>
        <v>59.038699999999999</v>
      </c>
      <c r="H745" s="14">
        <f>CHOOSE(CONTROL!$C$42, 59.1059, 59.1059) * CHOOSE(CONTROL!$C$21, $C$9, 100%, $E$9)</f>
        <v>59.105899999999998</v>
      </c>
      <c r="I745" s="14">
        <f>CHOOSE(CONTROL!$C$42, 59.2182, 59.2182)* CHOOSE(CONTROL!$C$21, $C$9, 100%, $E$9)</f>
        <v>59.218200000000003</v>
      </c>
      <c r="J745" s="14">
        <f>CHOOSE(CONTROL!$C$42, 59.0141, 59.0141)* CHOOSE(CONTROL!$C$21, $C$9, 100%, $E$9)</f>
        <v>59.014099999999999</v>
      </c>
      <c r="K745" s="52">
        <f>CHOOSE(CONTROL!$C$42, 59.2143, 59.2143) * CHOOSE(CONTROL!$C$21, $C$9, 100%, $E$9)</f>
        <v>59.214300000000001</v>
      </c>
      <c r="L745" s="14">
        <f>CHOOSE(CONTROL!$C$42, 59.6929, 59.6929) * CHOOSE(CONTROL!$C$21, $C$9, 100%, $E$9)</f>
        <v>59.692900000000002</v>
      </c>
      <c r="M745" s="14">
        <f>CHOOSE(CONTROL!$C$42, 57.8127, 57.8127) * CHOOSE(CONTROL!$C$21, $C$9, 100%, $E$9)</f>
        <v>57.8127</v>
      </c>
      <c r="N745" s="14">
        <f>CHOOSE(CONTROL!$C$42, 57.8298, 57.8298) * CHOOSE(CONTROL!$C$21, $C$9, 100%, $E$9)</f>
        <v>57.829799999999999</v>
      </c>
      <c r="O745" s="14">
        <f>CHOOSE(CONTROL!$C$42, 57.9026, 57.9026) * CHOOSE(CONTROL!$C$21, $C$9, 100%, $E$9)</f>
        <v>57.9026</v>
      </c>
      <c r="P745" s="14">
        <f>CHOOSE(CONTROL!$C$42, 58.0089, 58.0089) * CHOOSE(CONTROL!$C$21, $C$9, 100%, $E$9)</f>
        <v>58.008899999999997</v>
      </c>
      <c r="Q745" s="14">
        <f>CHOOSE(CONTROL!$C$42, 58.4973, 58.4973) * CHOOSE(CONTROL!$C$21, $C$9, 100%, $E$9)</f>
        <v>58.497300000000003</v>
      </c>
      <c r="R745" s="14">
        <f>CHOOSE(CONTROL!$C$42, 59.2305, 59.2305) * CHOOSE(CONTROL!$C$21, $C$9, 100%, $E$9)</f>
        <v>59.230499999999999</v>
      </c>
      <c r="S745" s="14">
        <f>CHOOSE(CONTROL!$C$42, 56.6828, 56.6828) * CHOOSE(CONTROL!$C$21, $C$9, 100%, $E$9)</f>
        <v>56.6828</v>
      </c>
      <c r="T74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56">
        <f>(1000*CHOOSE(CONTROL!$C$42, 695, 695)*CHOOSE(CONTROL!$C$42, 0.5599, 0.5599)*CHOOSE(CONTROL!$C$42, 31, 31))/1000000</f>
        <v>12.063045499999998</v>
      </c>
      <c r="V745" s="56">
        <f>(1000*CHOOSE(CONTROL!$C$42, 500, 500)*CHOOSE(CONTROL!$C$42, 0.275, 0.275)*CHOOSE(CONTROL!$C$42, 31, 31))/1000000</f>
        <v>4.2625000000000002</v>
      </c>
      <c r="W745" s="56">
        <f>(1000*CHOOSE(CONTROL!$C$42, 0.1146, 0.1146)*CHOOSE(CONTROL!$C$42, 121.5, 121.5)*CHOOSE(CONTROL!$C$42, 31, 31))/1000000</f>
        <v>0.43164089999999994</v>
      </c>
      <c r="X745" s="56">
        <f>(31*0.1790888*100000/1000000)+(31*0.2374*100000/1000000)</f>
        <v>1.2911152800000001</v>
      </c>
      <c r="Y745" s="56"/>
      <c r="Z745" s="14"/>
      <c r="AA745" s="55"/>
      <c r="AB745" s="49">
        <f>(B745*122.58+C745*297.941+D745*89.177+E745*40.302+F745*40+G745*160+H745*0+I745*100+J745*300)/(122.58+297.941+89.177+40.302+0+40+160+100+300)</f>
        <v>59.039891976347818</v>
      </c>
      <c r="AC745" s="44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57.882660431654678</v>
      </c>
    </row>
    <row r="746" spans="1:29" ht="15.75" x14ac:dyDescent="0.25">
      <c r="A746" s="31">
        <v>63613</v>
      </c>
      <c r="B746" s="14">
        <f>CHOOSE(CONTROL!$C$42, 60.0482, 60.0482) * CHOOSE(CONTROL!$C$21, $C$9, 100%, $E$9)</f>
        <v>60.048200000000001</v>
      </c>
      <c r="C746" s="14">
        <f>CHOOSE(CONTROL!$C$42, 60.0533, 60.0533) * CHOOSE(CONTROL!$C$21, $C$9, 100%, $E$9)</f>
        <v>60.0533</v>
      </c>
      <c r="D746" s="14">
        <f>CHOOSE(CONTROL!$C$42, 60.1327, 60.1327) * CHOOSE(CONTROL!$C$21, $C$9, 100%, $E$9)</f>
        <v>60.1327</v>
      </c>
      <c r="E746" s="14">
        <f>CHOOSE(CONTROL!$C$42, 60.1668, 60.1668) * CHOOSE(CONTROL!$C$21, $C$9, 100%, $E$9)</f>
        <v>60.166800000000002</v>
      </c>
      <c r="F746" s="14">
        <f>CHOOSE(CONTROL!$C$42, 60.071, 60.071)*CHOOSE(CONTROL!$C$21, $C$9, 100%, $E$9)</f>
        <v>60.070999999999998</v>
      </c>
      <c r="G746" s="14">
        <f>CHOOSE(CONTROL!$C$42, 60.0884, 60.0884)*CHOOSE(CONTROL!$C$21, $C$9, 100%, $E$9)</f>
        <v>60.0884</v>
      </c>
      <c r="H746" s="14">
        <f>CHOOSE(CONTROL!$C$42, 60.156, 60.156) * CHOOSE(CONTROL!$C$21, $C$9, 100%, $E$9)</f>
        <v>60.155999999999999</v>
      </c>
      <c r="I746" s="14">
        <f>CHOOSE(CONTROL!$C$42, 60.2716, 60.2716)* CHOOSE(CONTROL!$C$21, $C$9, 100%, $E$9)</f>
        <v>60.271599999999999</v>
      </c>
      <c r="J746" s="14">
        <f>CHOOSE(CONTROL!$C$42, 60.064, 60.064)* CHOOSE(CONTROL!$C$21, $C$9, 100%, $E$9)</f>
        <v>60.064</v>
      </c>
      <c r="K746" s="52">
        <f>CHOOSE(CONTROL!$C$42, 60.2677, 60.2677) * CHOOSE(CONTROL!$C$21, $C$9, 100%, $E$9)</f>
        <v>60.267699999999998</v>
      </c>
      <c r="L746" s="14">
        <f>CHOOSE(CONTROL!$C$42, 60.743, 60.743) * CHOOSE(CONTROL!$C$21, $C$9, 100%, $E$9)</f>
        <v>60.743000000000002</v>
      </c>
      <c r="M746" s="14">
        <f>CHOOSE(CONTROL!$C$42, 58.841, 58.841) * CHOOSE(CONTROL!$C$21, $C$9, 100%, $E$9)</f>
        <v>58.841000000000001</v>
      </c>
      <c r="N746" s="14">
        <f>CHOOSE(CONTROL!$C$42, 58.8581, 58.8581) * CHOOSE(CONTROL!$C$21, $C$9, 100%, $E$9)</f>
        <v>58.8581</v>
      </c>
      <c r="O746" s="14">
        <f>CHOOSE(CONTROL!$C$42, 58.9311, 58.9311) * CHOOSE(CONTROL!$C$21, $C$9, 100%, $E$9)</f>
        <v>58.931100000000001</v>
      </c>
      <c r="P746" s="14">
        <f>CHOOSE(CONTROL!$C$42, 59.0406, 59.0406) * CHOOSE(CONTROL!$C$21, $C$9, 100%, $E$9)</f>
        <v>59.040599999999998</v>
      </c>
      <c r="Q746" s="14">
        <f>CHOOSE(CONTROL!$C$42, 59.5258, 59.5258) * CHOOSE(CONTROL!$C$21, $C$9, 100%, $E$9)</f>
        <v>59.525799999999997</v>
      </c>
      <c r="R746" s="14">
        <f>CHOOSE(CONTROL!$C$42, 60.2616, 60.2616) * CHOOSE(CONTROL!$C$21, $C$9, 100%, $E$9)</f>
        <v>60.261600000000001</v>
      </c>
      <c r="S746" s="14">
        <f>CHOOSE(CONTROL!$C$42, 57.6918, 57.6918) * CHOOSE(CONTROL!$C$21, $C$9, 100%, $E$9)</f>
        <v>57.691800000000001</v>
      </c>
      <c r="T74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56">
        <f>(1000*CHOOSE(CONTROL!$C$42, 695, 695)*CHOOSE(CONTROL!$C$42, 0.5599, 0.5599)*CHOOSE(CONTROL!$C$42, 28, 28))/1000000</f>
        <v>10.895653999999999</v>
      </c>
      <c r="V746" s="56">
        <f>(1000*CHOOSE(CONTROL!$C$42, 500, 500)*CHOOSE(CONTROL!$C$42, 0.275, 0.275)*CHOOSE(CONTROL!$C$42, 28, 28))/1000000</f>
        <v>3.85</v>
      </c>
      <c r="W746" s="56">
        <f>(1000*CHOOSE(CONTROL!$C$42, 0.1146, 0.1146)*CHOOSE(CONTROL!$C$42, 121.5, 121.5)*CHOOSE(CONTROL!$C$42, 28, 28))/1000000</f>
        <v>0.38986920000000003</v>
      </c>
      <c r="X746" s="56">
        <f>(28*0.1790888*100000/1000000)+(28*0.2374*100000/1000000)</f>
        <v>1.16616864</v>
      </c>
      <c r="Y746" s="56"/>
      <c r="Z746" s="14"/>
      <c r="AA746" s="55"/>
      <c r="AB746" s="49">
        <f>(B746*122.58+C746*297.941+D746*89.177+E746*40.302+F746*40+G746*160+H746*0+I746*100+J746*300)/(122.58+297.941+89.177+40.302+0+40+160+100+300)</f>
        <v>60.090164150260868</v>
      </c>
      <c r="AC746" s="44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58.911540287769782</v>
      </c>
    </row>
    <row r="747" spans="1:29" ht="15.75" x14ac:dyDescent="0.25">
      <c r="A747" s="31">
        <v>63644</v>
      </c>
      <c r="B747" s="14">
        <f>CHOOSE(CONTROL!$C$42, 58.3437, 58.3437) * CHOOSE(CONTROL!$C$21, $C$9, 100%, $E$9)</f>
        <v>58.343699999999998</v>
      </c>
      <c r="C747" s="14">
        <f>CHOOSE(CONTROL!$C$42, 58.3487, 58.3487) * CHOOSE(CONTROL!$C$21, $C$9, 100%, $E$9)</f>
        <v>58.348700000000001</v>
      </c>
      <c r="D747" s="14">
        <f>CHOOSE(CONTROL!$C$42, 58.4282, 58.4282) * CHOOSE(CONTROL!$C$21, $C$9, 100%, $E$9)</f>
        <v>58.428199999999997</v>
      </c>
      <c r="E747" s="14">
        <f>CHOOSE(CONTROL!$C$42, 58.4623, 58.4623) * CHOOSE(CONTROL!$C$21, $C$9, 100%, $E$9)</f>
        <v>58.462299999999999</v>
      </c>
      <c r="F747" s="14">
        <f>CHOOSE(CONTROL!$C$42, 58.3657, 58.3657)*CHOOSE(CONTROL!$C$21, $C$9, 100%, $E$9)</f>
        <v>58.365699999999997</v>
      </c>
      <c r="G747" s="14">
        <f>CHOOSE(CONTROL!$C$42, 58.383, 58.383)*CHOOSE(CONTROL!$C$21, $C$9, 100%, $E$9)</f>
        <v>58.383000000000003</v>
      </c>
      <c r="H747" s="14">
        <f>CHOOSE(CONTROL!$C$42, 58.4515, 58.4515) * CHOOSE(CONTROL!$C$21, $C$9, 100%, $E$9)</f>
        <v>58.451500000000003</v>
      </c>
      <c r="I747" s="14">
        <f>CHOOSE(CONTROL!$C$42, 58.5617, 58.5617)* CHOOSE(CONTROL!$C$21, $C$9, 100%, $E$9)</f>
        <v>58.561700000000002</v>
      </c>
      <c r="J747" s="14">
        <f>CHOOSE(CONTROL!$C$42, 58.3587, 58.3587)* CHOOSE(CONTROL!$C$21, $C$9, 100%, $E$9)</f>
        <v>58.358699999999999</v>
      </c>
      <c r="K747" s="52">
        <f>CHOOSE(CONTROL!$C$42, 58.5578, 58.5578) * CHOOSE(CONTROL!$C$21, $C$9, 100%, $E$9)</f>
        <v>58.5578</v>
      </c>
      <c r="L747" s="14">
        <f>CHOOSE(CONTROL!$C$42, 59.0385, 59.0385) * CHOOSE(CONTROL!$C$21, $C$9, 100%, $E$9)</f>
        <v>59.038499999999999</v>
      </c>
      <c r="M747" s="14">
        <f>CHOOSE(CONTROL!$C$42, 57.1707, 57.1707) * CHOOSE(CONTROL!$C$21, $C$9, 100%, $E$9)</f>
        <v>57.170699999999997</v>
      </c>
      <c r="N747" s="14">
        <f>CHOOSE(CONTROL!$C$42, 57.1876, 57.1876) * CHOOSE(CONTROL!$C$21, $C$9, 100%, $E$9)</f>
        <v>57.187600000000003</v>
      </c>
      <c r="O747" s="14">
        <f>CHOOSE(CONTROL!$C$42, 57.2615, 57.2615) * CHOOSE(CONTROL!$C$21, $C$9, 100%, $E$9)</f>
        <v>57.261499999999998</v>
      </c>
      <c r="P747" s="14">
        <f>CHOOSE(CONTROL!$C$42, 57.3659, 57.3659) * CHOOSE(CONTROL!$C$21, $C$9, 100%, $E$9)</f>
        <v>57.365900000000003</v>
      </c>
      <c r="Q747" s="14">
        <f>CHOOSE(CONTROL!$C$42, 57.8562, 57.8562) * CHOOSE(CONTROL!$C$21, $C$9, 100%, $E$9)</f>
        <v>57.856200000000001</v>
      </c>
      <c r="R747" s="14">
        <f>CHOOSE(CONTROL!$C$42, 58.5879, 58.5879) * CHOOSE(CONTROL!$C$21, $C$9, 100%, $E$9)</f>
        <v>58.587899999999998</v>
      </c>
      <c r="S747" s="14">
        <f>CHOOSE(CONTROL!$C$42, 56.0539, 56.0539) * CHOOSE(CONTROL!$C$21, $C$9, 100%, $E$9)</f>
        <v>56.053899999999999</v>
      </c>
      <c r="T74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56">
        <f>(1000*CHOOSE(CONTROL!$C$42, 695, 695)*CHOOSE(CONTROL!$C$42, 0.5599, 0.5599)*CHOOSE(CONTROL!$C$42, 31, 31))/1000000</f>
        <v>12.063045499999998</v>
      </c>
      <c r="V747" s="56">
        <f>(1000*CHOOSE(CONTROL!$C$42, 500, 500)*CHOOSE(CONTROL!$C$42, 0.275, 0.275)*CHOOSE(CONTROL!$C$42, 31, 31))/1000000</f>
        <v>4.2625000000000002</v>
      </c>
      <c r="W747" s="56">
        <f>(1000*CHOOSE(CONTROL!$C$42, 0.1146, 0.1146)*CHOOSE(CONTROL!$C$42, 121.5, 121.5)*CHOOSE(CONTROL!$C$42, 31, 31))/1000000</f>
        <v>0.43164089999999994</v>
      </c>
      <c r="X747" s="56">
        <f>(31*0.1790888*100000/1000000)+(31*0.2374*100000/1000000)</f>
        <v>1.2911152800000001</v>
      </c>
      <c r="Y747" s="56"/>
      <c r="Z747" s="14"/>
      <c r="AA747" s="55"/>
      <c r="AB747" s="49">
        <f>(B747*122.58+C747*297.941+D747*89.177+E747*40.302+F747*40+G747*160+H747*0+I747*100+J747*300)/(122.58+297.941+89.177+40.302+0+40+160+100+300)</f>
        <v>58.38480693799999</v>
      </c>
      <c r="AC747" s="44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57.240912949640268</v>
      </c>
    </row>
    <row r="748" spans="1:29" ht="15.75" x14ac:dyDescent="0.25">
      <c r="A748" s="31">
        <v>63674</v>
      </c>
      <c r="B748" s="14">
        <f>CHOOSE(CONTROL!$C$42, 58.17, 58.17) * CHOOSE(CONTROL!$C$21, $C$9, 100%, $E$9)</f>
        <v>58.17</v>
      </c>
      <c r="C748" s="14">
        <f>CHOOSE(CONTROL!$C$42, 58.1745, 58.1745) * CHOOSE(CONTROL!$C$21, $C$9, 100%, $E$9)</f>
        <v>58.174500000000002</v>
      </c>
      <c r="D748" s="14">
        <f>CHOOSE(CONTROL!$C$42, 58.4034, 58.4034) * CHOOSE(CONTROL!$C$21, $C$9, 100%, $E$9)</f>
        <v>58.403399999999998</v>
      </c>
      <c r="E748" s="14">
        <f>CHOOSE(CONTROL!$C$42, 58.4355, 58.4355) * CHOOSE(CONTROL!$C$21, $C$9, 100%, $E$9)</f>
        <v>58.435499999999998</v>
      </c>
      <c r="F748" s="14">
        <f>CHOOSE(CONTROL!$C$42, 58.197, 58.197)*CHOOSE(CONTROL!$C$21, $C$9, 100%, $E$9)</f>
        <v>58.197000000000003</v>
      </c>
      <c r="G748" s="14">
        <f>CHOOSE(CONTROL!$C$42, 58.2137, 58.2137)*CHOOSE(CONTROL!$C$21, $C$9, 100%, $E$9)</f>
        <v>58.213700000000003</v>
      </c>
      <c r="H748" s="14">
        <f>CHOOSE(CONTROL!$C$42, 58.4253, 58.4253) * CHOOSE(CONTROL!$C$21, $C$9, 100%, $E$9)</f>
        <v>58.4253</v>
      </c>
      <c r="I748" s="14">
        <f>CHOOSE(CONTROL!$C$42, 58.3851, 58.3851)* CHOOSE(CONTROL!$C$21, $C$9, 100%, $E$9)</f>
        <v>58.385100000000001</v>
      </c>
      <c r="J748" s="14">
        <f>CHOOSE(CONTROL!$C$42, 58.19, 58.19)* CHOOSE(CONTROL!$C$21, $C$9, 100%, $E$9)</f>
        <v>58.19</v>
      </c>
      <c r="K748" s="52">
        <f>CHOOSE(CONTROL!$C$42, 58.3812, 58.3812) * CHOOSE(CONTROL!$C$21, $C$9, 100%, $E$9)</f>
        <v>58.3812</v>
      </c>
      <c r="L748" s="14">
        <f>CHOOSE(CONTROL!$C$42, 59.0123, 59.0123) * CHOOSE(CONTROL!$C$21, $C$9, 100%, $E$9)</f>
        <v>59.012300000000003</v>
      </c>
      <c r="M748" s="14">
        <f>CHOOSE(CONTROL!$C$42, 57.0054, 57.0054) * CHOOSE(CONTROL!$C$21, $C$9, 100%, $E$9)</f>
        <v>57.005400000000002</v>
      </c>
      <c r="N748" s="14">
        <f>CHOOSE(CONTROL!$C$42, 57.0218, 57.0218) * CHOOSE(CONTROL!$C$21, $C$9, 100%, $E$9)</f>
        <v>57.021799999999999</v>
      </c>
      <c r="O748" s="14">
        <f>CHOOSE(CONTROL!$C$42, 57.2359, 57.2359) * CHOOSE(CONTROL!$C$21, $C$9, 100%, $E$9)</f>
        <v>57.235900000000001</v>
      </c>
      <c r="P748" s="14">
        <f>CHOOSE(CONTROL!$C$42, 57.193, 57.193) * CHOOSE(CONTROL!$C$21, $C$9, 100%, $E$9)</f>
        <v>57.192999999999998</v>
      </c>
      <c r="Q748" s="14">
        <f>CHOOSE(CONTROL!$C$42, 57.8306, 57.8306) * CHOOSE(CONTROL!$C$21, $C$9, 100%, $E$9)</f>
        <v>57.830599999999997</v>
      </c>
      <c r="R748" s="14">
        <f>CHOOSE(CONTROL!$C$42, 58.5622, 58.5622) * CHOOSE(CONTROL!$C$21, $C$9, 100%, $E$9)</f>
        <v>58.562199999999997</v>
      </c>
      <c r="S748" s="14">
        <f>CHOOSE(CONTROL!$C$42, 55.8863, 55.8863) * CHOOSE(CONTROL!$C$21, $C$9, 100%, $E$9)</f>
        <v>55.886299999999999</v>
      </c>
      <c r="T74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56">
        <f>(1000*CHOOSE(CONTROL!$C$42, 695, 695)*CHOOSE(CONTROL!$C$42, 0.5599, 0.5599)*CHOOSE(CONTROL!$C$42, 30, 30))/1000000</f>
        <v>11.673914999999997</v>
      </c>
      <c r="V748" s="56">
        <f>(1000*CHOOSE(CONTROL!$C$42, 500, 500)*CHOOSE(CONTROL!$C$42, 0.275, 0.275)*CHOOSE(CONTROL!$C$42, 30, 30))/1000000</f>
        <v>4.125</v>
      </c>
      <c r="W748" s="56">
        <f>(1000*CHOOSE(CONTROL!$C$42, 0.1146, 0.1146)*CHOOSE(CONTROL!$C$42, 121.5, 121.5)*CHOOSE(CONTROL!$C$42, 30, 30))/1000000</f>
        <v>0.417717</v>
      </c>
      <c r="X748" s="56">
        <f>(30*0.1790888*245000/1000000)+(30*0.2374*100000/1000000)</f>
        <v>2.0285026799999999</v>
      </c>
      <c r="Y748" s="56"/>
      <c r="Z748" s="14"/>
      <c r="AA748" s="55"/>
      <c r="AB748" s="49">
        <f>(B748*141.293+C748*267.993+D748*115.016+E748*89.698+F748*40+G748*185+H748*0+I748*100+J748*300)/(141.293+267.993+115.016+89.698+0+40+185+100+300)</f>
        <v>58.241460873204204</v>
      </c>
      <c r="AC748" s="44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57.137807913669064</v>
      </c>
    </row>
    <row r="749" spans="1:29" ht="15.75" x14ac:dyDescent="0.25">
      <c r="A749" s="31">
        <v>63705</v>
      </c>
      <c r="B749" s="14">
        <f>CHOOSE(CONTROL!$C$42, 58.6847, 58.6847) * CHOOSE(CONTROL!$C$21, $C$9, 100%, $E$9)</f>
        <v>58.684699999999999</v>
      </c>
      <c r="C749" s="14">
        <f>CHOOSE(CONTROL!$C$42, 58.6928, 58.6928) * CHOOSE(CONTROL!$C$21, $C$9, 100%, $E$9)</f>
        <v>58.692799999999998</v>
      </c>
      <c r="D749" s="14">
        <f>CHOOSE(CONTROL!$C$42, 58.9185, 58.9185) * CHOOSE(CONTROL!$C$21, $C$9, 100%, $E$9)</f>
        <v>58.918500000000002</v>
      </c>
      <c r="E749" s="14">
        <f>CHOOSE(CONTROL!$C$42, 58.95, 58.95) * CHOOSE(CONTROL!$C$21, $C$9, 100%, $E$9)</f>
        <v>58.95</v>
      </c>
      <c r="F749" s="14">
        <f>CHOOSE(CONTROL!$C$42, 58.7104, 58.7104)*CHOOSE(CONTROL!$C$21, $C$9, 100%, $E$9)</f>
        <v>58.7104</v>
      </c>
      <c r="G749" s="14">
        <f>CHOOSE(CONTROL!$C$42, 58.7274, 58.7274)*CHOOSE(CONTROL!$C$21, $C$9, 100%, $E$9)</f>
        <v>58.727400000000003</v>
      </c>
      <c r="H749" s="14">
        <f>CHOOSE(CONTROL!$C$42, 58.9386, 58.9386) * CHOOSE(CONTROL!$C$21, $C$9, 100%, $E$9)</f>
        <v>58.938600000000001</v>
      </c>
      <c r="I749" s="14">
        <f>CHOOSE(CONTROL!$C$42, 58.9001, 58.9001)* CHOOSE(CONTROL!$C$21, $C$9, 100%, $E$9)</f>
        <v>58.900100000000002</v>
      </c>
      <c r="J749" s="14">
        <f>CHOOSE(CONTROL!$C$42, 58.7034, 58.7034)* CHOOSE(CONTROL!$C$21, $C$9, 100%, $E$9)</f>
        <v>58.703400000000002</v>
      </c>
      <c r="K749" s="52">
        <f>CHOOSE(CONTROL!$C$42, 58.8962, 58.8962) * CHOOSE(CONTROL!$C$21, $C$9, 100%, $E$9)</f>
        <v>58.8962</v>
      </c>
      <c r="L749" s="14">
        <f>CHOOSE(CONTROL!$C$42, 59.5256, 59.5256) * CHOOSE(CONTROL!$C$21, $C$9, 100%, $E$9)</f>
        <v>59.525599999999997</v>
      </c>
      <c r="M749" s="14">
        <f>CHOOSE(CONTROL!$C$42, 57.5083, 57.5083) * CHOOSE(CONTROL!$C$21, $C$9, 100%, $E$9)</f>
        <v>57.508299999999998</v>
      </c>
      <c r="N749" s="14">
        <f>CHOOSE(CONTROL!$C$42, 57.5249, 57.5249) * CHOOSE(CONTROL!$C$21, $C$9, 100%, $E$9)</f>
        <v>57.524900000000002</v>
      </c>
      <c r="O749" s="14">
        <f>CHOOSE(CONTROL!$C$42, 57.7387, 57.7387) * CHOOSE(CONTROL!$C$21, $C$9, 100%, $E$9)</f>
        <v>57.738700000000001</v>
      </c>
      <c r="P749" s="14">
        <f>CHOOSE(CONTROL!$C$42, 57.6973, 57.6973) * CHOOSE(CONTROL!$C$21, $C$9, 100%, $E$9)</f>
        <v>57.697299999999998</v>
      </c>
      <c r="Q749" s="14">
        <f>CHOOSE(CONTROL!$C$42, 58.3334, 58.3334) * CHOOSE(CONTROL!$C$21, $C$9, 100%, $E$9)</f>
        <v>58.333399999999997</v>
      </c>
      <c r="R749" s="14">
        <f>CHOOSE(CONTROL!$C$42, 59.0663, 59.0663) * CHOOSE(CONTROL!$C$21, $C$9, 100%, $E$9)</f>
        <v>59.066299999999998</v>
      </c>
      <c r="S749" s="14">
        <f>CHOOSE(CONTROL!$C$42, 56.3795, 56.3795) * CHOOSE(CONTROL!$C$21, $C$9, 100%, $E$9)</f>
        <v>56.3795</v>
      </c>
      <c r="T74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56">
        <f>(1000*CHOOSE(CONTROL!$C$42, 695, 695)*CHOOSE(CONTROL!$C$42, 0.5599, 0.5599)*CHOOSE(CONTROL!$C$42, 31, 31))/1000000</f>
        <v>12.063045499999998</v>
      </c>
      <c r="V749" s="56">
        <f>(1000*CHOOSE(CONTROL!$C$42, 500, 500)*CHOOSE(CONTROL!$C$42, 0.275, 0.275)*CHOOSE(CONTROL!$C$42, 31, 31))/1000000</f>
        <v>4.2625000000000002</v>
      </c>
      <c r="W749" s="56">
        <f>(1000*CHOOSE(CONTROL!$C$42, 0.1146, 0.1146)*CHOOSE(CONTROL!$C$42, 121.5, 121.5)*CHOOSE(CONTROL!$C$42, 31, 31))/1000000</f>
        <v>0.43164089999999994</v>
      </c>
      <c r="X749" s="56">
        <f>(31*0.1790888*245000/1000000)+(31*0.2374*100000/1000000)</f>
        <v>2.0961194359999999</v>
      </c>
      <c r="Y749" s="56"/>
      <c r="Z749" s="14"/>
      <c r="AA749" s="55"/>
      <c r="AB749" s="49">
        <f>(B749*194.205+C749*267.466+D749*133.845+E749*53.484+F749*40+G749*185+H749*0+I749*100+J749*300)/(194.205+267.466+133.845+53.484+0+40+185+100+300)</f>
        <v>58.750419184301414</v>
      </c>
      <c r="AC749" s="44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57.640875539568356</v>
      </c>
    </row>
    <row r="750" spans="1:29" ht="15.75" x14ac:dyDescent="0.25">
      <c r="A750" s="31">
        <v>63735</v>
      </c>
      <c r="B750" s="14">
        <f>CHOOSE(CONTROL!$C$42, 60.3491, 60.3491) * CHOOSE(CONTROL!$C$21, $C$9, 100%, $E$9)</f>
        <v>60.3491</v>
      </c>
      <c r="C750" s="14">
        <f>CHOOSE(CONTROL!$C$42, 60.3571, 60.3571) * CHOOSE(CONTROL!$C$21, $C$9, 100%, $E$9)</f>
        <v>60.357100000000003</v>
      </c>
      <c r="D750" s="14">
        <f>CHOOSE(CONTROL!$C$42, 60.5829, 60.5829) * CHOOSE(CONTROL!$C$21, $C$9, 100%, $E$9)</f>
        <v>60.582900000000002</v>
      </c>
      <c r="E750" s="14">
        <f>CHOOSE(CONTROL!$C$42, 60.6143, 60.6143) * CHOOSE(CONTROL!$C$21, $C$9, 100%, $E$9)</f>
        <v>60.6143</v>
      </c>
      <c r="F750" s="14">
        <f>CHOOSE(CONTROL!$C$42, 60.3752, 60.3752)*CHOOSE(CONTROL!$C$21, $C$9, 100%, $E$9)</f>
        <v>60.3752</v>
      </c>
      <c r="G750" s="14">
        <f>CHOOSE(CONTROL!$C$42, 60.3922, 60.3922)*CHOOSE(CONTROL!$C$21, $C$9, 100%, $E$9)</f>
        <v>60.392200000000003</v>
      </c>
      <c r="H750" s="14">
        <f>CHOOSE(CONTROL!$C$42, 60.603, 60.603) * CHOOSE(CONTROL!$C$21, $C$9, 100%, $E$9)</f>
        <v>60.603000000000002</v>
      </c>
      <c r="I750" s="14">
        <f>CHOOSE(CONTROL!$C$42, 60.5696, 60.5696)* CHOOSE(CONTROL!$C$21, $C$9, 100%, $E$9)</f>
        <v>60.569600000000001</v>
      </c>
      <c r="J750" s="14">
        <f>CHOOSE(CONTROL!$C$42, 60.3682, 60.3682)* CHOOSE(CONTROL!$C$21, $C$9, 100%, $E$9)</f>
        <v>60.368200000000002</v>
      </c>
      <c r="K750" s="52">
        <f>CHOOSE(CONTROL!$C$42, 60.5657, 60.5657) * CHOOSE(CONTROL!$C$21, $C$9, 100%, $E$9)</f>
        <v>60.5657</v>
      </c>
      <c r="L750" s="14">
        <f>CHOOSE(CONTROL!$C$42, 61.19, 61.19) * CHOOSE(CONTROL!$C$21, $C$9, 100%, $E$9)</f>
        <v>61.19</v>
      </c>
      <c r="M750" s="14">
        <f>CHOOSE(CONTROL!$C$42, 59.139, 59.139) * CHOOSE(CONTROL!$C$21, $C$9, 100%, $E$9)</f>
        <v>59.139000000000003</v>
      </c>
      <c r="N750" s="14">
        <f>CHOOSE(CONTROL!$C$42, 59.1557, 59.1557) * CHOOSE(CONTROL!$C$21, $C$9, 100%, $E$9)</f>
        <v>59.155700000000003</v>
      </c>
      <c r="O750" s="14">
        <f>CHOOSE(CONTROL!$C$42, 59.369, 59.369) * CHOOSE(CONTROL!$C$21, $C$9, 100%, $E$9)</f>
        <v>59.369</v>
      </c>
      <c r="P750" s="14">
        <f>CHOOSE(CONTROL!$C$42, 59.3325, 59.3325) * CHOOSE(CONTROL!$C$21, $C$9, 100%, $E$9)</f>
        <v>59.332500000000003</v>
      </c>
      <c r="Q750" s="14">
        <f>CHOOSE(CONTROL!$C$42, 59.9637, 59.9637) * CHOOSE(CONTROL!$C$21, $C$9, 100%, $E$9)</f>
        <v>59.963700000000003</v>
      </c>
      <c r="R750" s="14">
        <f>CHOOSE(CONTROL!$C$42, 60.7006, 60.7006) * CHOOSE(CONTROL!$C$21, $C$9, 100%, $E$9)</f>
        <v>60.700600000000001</v>
      </c>
      <c r="S750" s="14">
        <f>CHOOSE(CONTROL!$C$42, 57.9788, 57.9788) * CHOOSE(CONTROL!$C$21, $C$9, 100%, $E$9)</f>
        <v>57.9788</v>
      </c>
      <c r="T75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56">
        <f>(1000*CHOOSE(CONTROL!$C$42, 695, 695)*CHOOSE(CONTROL!$C$42, 0.5599, 0.5599)*CHOOSE(CONTROL!$C$42, 30, 30))/1000000</f>
        <v>11.673914999999997</v>
      </c>
      <c r="V750" s="56">
        <f>(1000*CHOOSE(CONTROL!$C$42, 500, 500)*CHOOSE(CONTROL!$C$42, 0.275, 0.275)*CHOOSE(CONTROL!$C$42, 30, 30))/1000000</f>
        <v>4.125</v>
      </c>
      <c r="W750" s="56">
        <f>(1000*CHOOSE(CONTROL!$C$42, 0.1146, 0.1146)*CHOOSE(CONTROL!$C$42, 121.5, 121.5)*CHOOSE(CONTROL!$C$42, 30, 30))/1000000</f>
        <v>0.417717</v>
      </c>
      <c r="X750" s="56">
        <f>(30*0.1790888*245000/1000000)+(30*0.2374*100000/1000000)</f>
        <v>2.0285026799999999</v>
      </c>
      <c r="Y750" s="56"/>
      <c r="Z750" s="14"/>
      <c r="AA750" s="55"/>
      <c r="AB750" s="49">
        <f>(B750*194.205+C750*267.466+D750*133.845+E750*53.484+F750*40+G750*185+H750*0+I750*100+J750*300)/(194.205+267.466+133.845+53.484+0+40+185+100+300)</f>
        <v>60.415359141130303</v>
      </c>
      <c r="AC750" s="44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59.272047482014393</v>
      </c>
    </row>
    <row r="751" spans="1:29" ht="15.75" x14ac:dyDescent="0.25">
      <c r="A751" s="31">
        <v>63766</v>
      </c>
      <c r="B751" s="14">
        <f>CHOOSE(CONTROL!$C$42, 59.1915, 59.1915) * CHOOSE(CONTROL!$C$21, $C$9, 100%, $E$9)</f>
        <v>59.191499999999998</v>
      </c>
      <c r="C751" s="14">
        <f>CHOOSE(CONTROL!$C$42, 59.1995, 59.1995) * CHOOSE(CONTROL!$C$21, $C$9, 100%, $E$9)</f>
        <v>59.1995</v>
      </c>
      <c r="D751" s="14">
        <f>CHOOSE(CONTROL!$C$42, 59.4253, 59.4253) * CHOOSE(CONTROL!$C$21, $C$9, 100%, $E$9)</f>
        <v>59.4253</v>
      </c>
      <c r="E751" s="14">
        <f>CHOOSE(CONTROL!$C$42, 59.4568, 59.4568) * CHOOSE(CONTROL!$C$21, $C$9, 100%, $E$9)</f>
        <v>59.456800000000001</v>
      </c>
      <c r="F751" s="14">
        <f>CHOOSE(CONTROL!$C$42, 59.2181, 59.2181)*CHOOSE(CONTROL!$C$21, $C$9, 100%, $E$9)</f>
        <v>59.2181</v>
      </c>
      <c r="G751" s="14">
        <f>CHOOSE(CONTROL!$C$42, 59.2353, 59.2353)*CHOOSE(CONTROL!$C$21, $C$9, 100%, $E$9)</f>
        <v>59.235300000000002</v>
      </c>
      <c r="H751" s="14">
        <f>CHOOSE(CONTROL!$C$42, 59.4454, 59.4454) * CHOOSE(CONTROL!$C$21, $C$9, 100%, $E$9)</f>
        <v>59.445399999999999</v>
      </c>
      <c r="I751" s="14">
        <f>CHOOSE(CONTROL!$C$42, 59.4084, 59.4084)* CHOOSE(CONTROL!$C$21, $C$9, 100%, $E$9)</f>
        <v>59.4084</v>
      </c>
      <c r="J751" s="14">
        <f>CHOOSE(CONTROL!$C$42, 59.2111, 59.2111)* CHOOSE(CONTROL!$C$21, $C$9, 100%, $E$9)</f>
        <v>59.211100000000002</v>
      </c>
      <c r="K751" s="52">
        <f>CHOOSE(CONTROL!$C$42, 59.4045, 59.4045) * CHOOSE(CONTROL!$C$21, $C$9, 100%, $E$9)</f>
        <v>59.404499999999999</v>
      </c>
      <c r="L751" s="14">
        <f>CHOOSE(CONTROL!$C$42, 60.0324, 60.0324) * CHOOSE(CONTROL!$C$21, $C$9, 100%, $E$9)</f>
        <v>60.032400000000003</v>
      </c>
      <c r="M751" s="14">
        <f>CHOOSE(CONTROL!$C$42, 58.0056, 58.0056) * CHOOSE(CONTROL!$C$21, $C$9, 100%, $E$9)</f>
        <v>58.005600000000001</v>
      </c>
      <c r="N751" s="14">
        <f>CHOOSE(CONTROL!$C$42, 58.0224, 58.0224) * CHOOSE(CONTROL!$C$21, $C$9, 100%, $E$9)</f>
        <v>58.022399999999998</v>
      </c>
      <c r="O751" s="14">
        <f>CHOOSE(CONTROL!$C$42, 58.2351, 58.2351) * CHOOSE(CONTROL!$C$21, $C$9, 100%, $E$9)</f>
        <v>58.235100000000003</v>
      </c>
      <c r="P751" s="14">
        <f>CHOOSE(CONTROL!$C$42, 58.1952, 58.1952) * CHOOSE(CONTROL!$C$21, $C$9, 100%, $E$9)</f>
        <v>58.1952</v>
      </c>
      <c r="Q751" s="14">
        <f>CHOOSE(CONTROL!$C$42, 58.8298, 58.8298) * CHOOSE(CONTROL!$C$21, $C$9, 100%, $E$9)</f>
        <v>58.829799999999999</v>
      </c>
      <c r="R751" s="14">
        <f>CHOOSE(CONTROL!$C$42, 59.5639, 59.5639) * CHOOSE(CONTROL!$C$21, $C$9, 100%, $E$9)</f>
        <v>59.563899999999997</v>
      </c>
      <c r="S751" s="14">
        <f>CHOOSE(CONTROL!$C$42, 56.8665, 56.8665) * CHOOSE(CONTROL!$C$21, $C$9, 100%, $E$9)</f>
        <v>56.866500000000002</v>
      </c>
      <c r="T75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56">
        <f>(1000*CHOOSE(CONTROL!$C$42, 695, 695)*CHOOSE(CONTROL!$C$42, 0.5599, 0.5599)*CHOOSE(CONTROL!$C$42, 31, 31))/1000000</f>
        <v>12.063045499999998</v>
      </c>
      <c r="V751" s="56">
        <f>(1000*CHOOSE(CONTROL!$C$42, 500, 500)*CHOOSE(CONTROL!$C$42, 0.275, 0.275)*CHOOSE(CONTROL!$C$42, 31, 31))/1000000</f>
        <v>4.2625000000000002</v>
      </c>
      <c r="W751" s="56">
        <f>(1000*CHOOSE(CONTROL!$C$42, 0.1146, 0.1146)*CHOOSE(CONTROL!$C$42, 121.5, 121.5)*CHOOSE(CONTROL!$C$42, 31, 31))/1000000</f>
        <v>0.43164089999999994</v>
      </c>
      <c r="X751" s="56">
        <f>(31*0.1790888*245000/1000000)+(31*0.2374*100000/1000000)</f>
        <v>2.0961194359999999</v>
      </c>
      <c r="Y751" s="56"/>
      <c r="Z751" s="14"/>
      <c r="AA751" s="55"/>
      <c r="AB751" s="49">
        <f>(B751*194.205+C751*267.466+D751*133.845+E751*53.484+F751*40+G751*185+H751*0+I751*100+J751*300)/(194.205+267.466+133.845+53.484+0+40+185+100+300)</f>
        <v>59.257715851020407</v>
      </c>
      <c r="AC751" s="44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58.1378654676259</v>
      </c>
    </row>
    <row r="752" spans="1:29" ht="15.75" x14ac:dyDescent="0.25">
      <c r="A752" s="31">
        <v>63797</v>
      </c>
      <c r="B752" s="14">
        <f>CHOOSE(CONTROL!$C$42, 56.2683, 56.2683) * CHOOSE(CONTROL!$C$21, $C$9, 100%, $E$9)</f>
        <v>56.268300000000004</v>
      </c>
      <c r="C752" s="14">
        <f>CHOOSE(CONTROL!$C$42, 56.2763, 56.2763) * CHOOSE(CONTROL!$C$21, $C$9, 100%, $E$9)</f>
        <v>56.276299999999999</v>
      </c>
      <c r="D752" s="14">
        <f>CHOOSE(CONTROL!$C$42, 56.5021, 56.5021) * CHOOSE(CONTROL!$C$21, $C$9, 100%, $E$9)</f>
        <v>56.502099999999999</v>
      </c>
      <c r="E752" s="14">
        <f>CHOOSE(CONTROL!$C$42, 56.5336, 56.5336) * CHOOSE(CONTROL!$C$21, $C$9, 100%, $E$9)</f>
        <v>56.5336</v>
      </c>
      <c r="F752" s="14">
        <f>CHOOSE(CONTROL!$C$42, 56.2951, 56.2951)*CHOOSE(CONTROL!$C$21, $C$9, 100%, $E$9)</f>
        <v>56.295099999999998</v>
      </c>
      <c r="G752" s="14">
        <f>CHOOSE(CONTROL!$C$42, 56.3124, 56.3124)*CHOOSE(CONTROL!$C$21, $C$9, 100%, $E$9)</f>
        <v>56.312399999999997</v>
      </c>
      <c r="H752" s="14">
        <f>CHOOSE(CONTROL!$C$42, 56.5222, 56.5222) * CHOOSE(CONTROL!$C$21, $C$9, 100%, $E$9)</f>
        <v>56.522199999999998</v>
      </c>
      <c r="I752" s="14">
        <f>CHOOSE(CONTROL!$C$42, 56.4761, 56.4761)* CHOOSE(CONTROL!$C$21, $C$9, 100%, $E$9)</f>
        <v>56.476100000000002</v>
      </c>
      <c r="J752" s="14">
        <f>CHOOSE(CONTROL!$C$42, 56.2881, 56.2881)* CHOOSE(CONTROL!$C$21, $C$9, 100%, $E$9)</f>
        <v>56.2881</v>
      </c>
      <c r="K752" s="52">
        <f>CHOOSE(CONTROL!$C$42, 56.4722, 56.4722) * CHOOSE(CONTROL!$C$21, $C$9, 100%, $E$9)</f>
        <v>56.472200000000001</v>
      </c>
      <c r="L752" s="14">
        <f>CHOOSE(CONTROL!$C$42, 57.1092, 57.1092) * CHOOSE(CONTROL!$C$21, $C$9, 100%, $E$9)</f>
        <v>57.109200000000001</v>
      </c>
      <c r="M752" s="14">
        <f>CHOOSE(CONTROL!$C$42, 55.1425, 55.1425) * CHOOSE(CONTROL!$C$21, $C$9, 100%, $E$9)</f>
        <v>55.142499999999998</v>
      </c>
      <c r="N752" s="14">
        <f>CHOOSE(CONTROL!$C$42, 55.1594, 55.1594) * CHOOSE(CONTROL!$C$21, $C$9, 100%, $E$9)</f>
        <v>55.159399999999998</v>
      </c>
      <c r="O752" s="14">
        <f>CHOOSE(CONTROL!$C$42, 55.3718, 55.3718) * CHOOSE(CONTROL!$C$21, $C$9, 100%, $E$9)</f>
        <v>55.3718</v>
      </c>
      <c r="P752" s="14">
        <f>CHOOSE(CONTROL!$C$42, 55.3231, 55.3231) * CHOOSE(CONTROL!$C$21, $C$9, 100%, $E$9)</f>
        <v>55.323099999999997</v>
      </c>
      <c r="Q752" s="14">
        <f>CHOOSE(CONTROL!$C$42, 55.9665, 55.9665) * CHOOSE(CONTROL!$C$21, $C$9, 100%, $E$9)</f>
        <v>55.966500000000003</v>
      </c>
      <c r="R752" s="14">
        <f>CHOOSE(CONTROL!$C$42, 56.6934, 56.6934) * CHOOSE(CONTROL!$C$21, $C$9, 100%, $E$9)</f>
        <v>56.693399999999997</v>
      </c>
      <c r="S752" s="14">
        <f>CHOOSE(CONTROL!$C$42, 54.0576, 54.0576) * CHOOSE(CONTROL!$C$21, $C$9, 100%, $E$9)</f>
        <v>54.057600000000001</v>
      </c>
      <c r="T75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56">
        <f>(1000*CHOOSE(CONTROL!$C$42, 695, 695)*CHOOSE(CONTROL!$C$42, 0.5599, 0.5599)*CHOOSE(CONTROL!$C$42, 31, 31))/1000000</f>
        <v>12.063045499999998</v>
      </c>
      <c r="V752" s="56">
        <f>(1000*CHOOSE(CONTROL!$C$42, 500, 500)*CHOOSE(CONTROL!$C$42, 0.275, 0.275)*CHOOSE(CONTROL!$C$42, 31, 31))/1000000</f>
        <v>4.2625000000000002</v>
      </c>
      <c r="W752" s="56">
        <f>(1000*CHOOSE(CONTROL!$C$42, 0.1146, 0.1146)*CHOOSE(CONTROL!$C$42, 121.5, 121.5)*CHOOSE(CONTROL!$C$42, 31, 31))/1000000</f>
        <v>0.43164089999999994</v>
      </c>
      <c r="X752" s="56">
        <f>(31*0.1790888*245000/1000000)+(31*0.2374*100000/1000000)</f>
        <v>2.0961194359999999</v>
      </c>
      <c r="Y752" s="56"/>
      <c r="Z752" s="14"/>
      <c r="AA752" s="55"/>
      <c r="AB752" s="49">
        <f>(B752*194.205+C752*267.466+D752*133.845+E752*53.484+F752*40+G752*185+H752*0+I752*100+J752*300)/(194.205+267.466+133.845+53.484+0+40+185+100+300)</f>
        <v>56.333898504081631</v>
      </c>
      <c r="AC752" s="44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55.27338561151079</v>
      </c>
    </row>
    <row r="753" spans="1:29" ht="15.75" x14ac:dyDescent="0.25">
      <c r="A753" s="31">
        <v>63827</v>
      </c>
      <c r="B753" s="14">
        <f>CHOOSE(CONTROL!$C$42, 52.6965, 52.6965) * CHOOSE(CONTROL!$C$21, $C$9, 100%, $E$9)</f>
        <v>52.6965</v>
      </c>
      <c r="C753" s="14">
        <f>CHOOSE(CONTROL!$C$42, 52.7045, 52.7045) * CHOOSE(CONTROL!$C$21, $C$9, 100%, $E$9)</f>
        <v>52.704500000000003</v>
      </c>
      <c r="D753" s="14">
        <f>CHOOSE(CONTROL!$C$42, 52.9303, 52.9303) * CHOOSE(CONTROL!$C$21, $C$9, 100%, $E$9)</f>
        <v>52.930300000000003</v>
      </c>
      <c r="E753" s="14">
        <f>CHOOSE(CONTROL!$C$42, 52.9618, 52.9618) * CHOOSE(CONTROL!$C$21, $C$9, 100%, $E$9)</f>
        <v>52.961799999999997</v>
      </c>
      <c r="F753" s="14">
        <f>CHOOSE(CONTROL!$C$42, 52.7233, 52.7233)*CHOOSE(CONTROL!$C$21, $C$9, 100%, $E$9)</f>
        <v>52.723300000000002</v>
      </c>
      <c r="G753" s="14">
        <f>CHOOSE(CONTROL!$C$42, 52.7406, 52.7406)*CHOOSE(CONTROL!$C$21, $C$9, 100%, $E$9)</f>
        <v>52.740600000000001</v>
      </c>
      <c r="H753" s="14">
        <f>CHOOSE(CONTROL!$C$42, 52.9504, 52.9504) * CHOOSE(CONTROL!$C$21, $C$9, 100%, $E$9)</f>
        <v>52.950400000000002</v>
      </c>
      <c r="I753" s="14">
        <f>CHOOSE(CONTROL!$C$42, 52.8931, 52.8931)* CHOOSE(CONTROL!$C$21, $C$9, 100%, $E$9)</f>
        <v>52.893099999999997</v>
      </c>
      <c r="J753" s="14">
        <f>CHOOSE(CONTROL!$C$42, 52.7163, 52.7163)* CHOOSE(CONTROL!$C$21, $C$9, 100%, $E$9)</f>
        <v>52.716299999999997</v>
      </c>
      <c r="K753" s="52">
        <f>CHOOSE(CONTROL!$C$42, 52.8892, 52.8892) * CHOOSE(CONTROL!$C$21, $C$9, 100%, $E$9)</f>
        <v>52.889200000000002</v>
      </c>
      <c r="L753" s="14">
        <f>CHOOSE(CONTROL!$C$42, 53.5374, 53.5374) * CHOOSE(CONTROL!$C$21, $C$9, 100%, $E$9)</f>
        <v>53.537399999999998</v>
      </c>
      <c r="M753" s="14">
        <f>CHOOSE(CONTROL!$C$42, 51.6439, 51.6439) * CHOOSE(CONTROL!$C$21, $C$9, 100%, $E$9)</f>
        <v>51.643900000000002</v>
      </c>
      <c r="N753" s="14">
        <f>CHOOSE(CONTROL!$C$42, 51.6608, 51.6608) * CHOOSE(CONTROL!$C$21, $C$9, 100%, $E$9)</f>
        <v>51.660800000000002</v>
      </c>
      <c r="O753" s="14">
        <f>CHOOSE(CONTROL!$C$42, 51.8732, 51.8732) * CHOOSE(CONTROL!$C$21, $C$9, 100%, $E$9)</f>
        <v>51.873199999999997</v>
      </c>
      <c r="P753" s="14">
        <f>CHOOSE(CONTROL!$C$42, 51.8138, 51.8138) * CHOOSE(CONTROL!$C$21, $C$9, 100%, $E$9)</f>
        <v>51.813800000000001</v>
      </c>
      <c r="Q753" s="14">
        <f>CHOOSE(CONTROL!$C$42, 52.4679, 52.4679) * CHOOSE(CONTROL!$C$21, $C$9, 100%, $E$9)</f>
        <v>52.4679</v>
      </c>
      <c r="R753" s="14">
        <f>CHOOSE(CONTROL!$C$42, 53.186, 53.186) * CHOOSE(CONTROL!$C$21, $C$9, 100%, $E$9)</f>
        <v>53.186</v>
      </c>
      <c r="S753" s="14">
        <f>CHOOSE(CONTROL!$C$42, 50.6254, 50.6254) * CHOOSE(CONTROL!$C$21, $C$9, 100%, $E$9)</f>
        <v>50.625399999999999</v>
      </c>
      <c r="T75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56">
        <f>(1000*CHOOSE(CONTROL!$C$42, 695, 695)*CHOOSE(CONTROL!$C$42, 0.5599, 0.5599)*CHOOSE(CONTROL!$C$42, 30, 30))/1000000</f>
        <v>11.673914999999997</v>
      </c>
      <c r="V753" s="56">
        <f>(1000*CHOOSE(CONTROL!$C$42, 500, 500)*CHOOSE(CONTROL!$C$42, 0.275, 0.275)*CHOOSE(CONTROL!$C$42, 30, 30))/1000000</f>
        <v>4.125</v>
      </c>
      <c r="W753" s="56">
        <f>(1000*CHOOSE(CONTROL!$C$42, 0.1146, 0.1146)*CHOOSE(CONTROL!$C$42, 121.5, 121.5)*CHOOSE(CONTROL!$C$42, 30, 30))/1000000</f>
        <v>0.417717</v>
      </c>
      <c r="X753" s="56">
        <f>(30*0.1790888*245000/1000000)+(30*0.2374*100000/1000000)</f>
        <v>2.0285026799999999</v>
      </c>
      <c r="Y753" s="56"/>
      <c r="Z753" s="14"/>
      <c r="AA753" s="55"/>
      <c r="AB753" s="49">
        <f>(B753*194.205+C753*267.466+D753*133.845+E753*53.484+F753*40+G753*185+H753*0+I753*100+J753*300)/(194.205+267.466+133.845+53.484+0+40+185+100+300)</f>
        <v>52.761219383202508</v>
      </c>
      <c r="AC753" s="44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51.773246043165464</v>
      </c>
    </row>
    <row r="754" spans="1:29" ht="15.75" x14ac:dyDescent="0.25">
      <c r="A754" s="31">
        <v>63858</v>
      </c>
      <c r="B754" s="14">
        <f>CHOOSE(CONTROL!$C$42, 51.625, 51.625) * CHOOSE(CONTROL!$C$21, $C$9, 100%, $E$9)</f>
        <v>51.625</v>
      </c>
      <c r="C754" s="14">
        <f>CHOOSE(CONTROL!$C$42, 51.6303, 51.6303) * CHOOSE(CONTROL!$C$21, $C$9, 100%, $E$9)</f>
        <v>51.630299999999998</v>
      </c>
      <c r="D754" s="14">
        <f>CHOOSE(CONTROL!$C$42, 51.8611, 51.8611) * CHOOSE(CONTROL!$C$21, $C$9, 100%, $E$9)</f>
        <v>51.8611</v>
      </c>
      <c r="E754" s="14">
        <f>CHOOSE(CONTROL!$C$42, 51.8902, 51.8902) * CHOOSE(CONTROL!$C$21, $C$9, 100%, $E$9)</f>
        <v>51.8902</v>
      </c>
      <c r="F754" s="14">
        <f>CHOOSE(CONTROL!$C$42, 51.6539, 51.6539)*CHOOSE(CONTROL!$C$21, $C$9, 100%, $E$9)</f>
        <v>51.6539</v>
      </c>
      <c r="G754" s="14">
        <f>CHOOSE(CONTROL!$C$42, 51.671, 51.671)*CHOOSE(CONTROL!$C$21, $C$9, 100%, $E$9)</f>
        <v>51.670999999999999</v>
      </c>
      <c r="H754" s="14">
        <f>CHOOSE(CONTROL!$C$42, 51.8807, 51.8807) * CHOOSE(CONTROL!$C$21, $C$9, 100%, $E$9)</f>
        <v>51.880699999999997</v>
      </c>
      <c r="I754" s="14">
        <f>CHOOSE(CONTROL!$C$42, 51.82, 51.82)* CHOOSE(CONTROL!$C$21, $C$9, 100%, $E$9)</f>
        <v>51.82</v>
      </c>
      <c r="J754" s="14">
        <f>CHOOSE(CONTROL!$C$42, 51.6469, 51.6469)* CHOOSE(CONTROL!$C$21, $C$9, 100%, $E$9)</f>
        <v>51.646900000000002</v>
      </c>
      <c r="K754" s="52">
        <f>CHOOSE(CONTROL!$C$42, 51.8161, 51.8161) * CHOOSE(CONTROL!$C$21, $C$9, 100%, $E$9)</f>
        <v>51.816099999999999</v>
      </c>
      <c r="L754" s="14">
        <f>CHOOSE(CONTROL!$C$42, 52.4677, 52.4677) * CHOOSE(CONTROL!$C$21, $C$9, 100%, $E$9)</f>
        <v>52.467700000000001</v>
      </c>
      <c r="M754" s="14">
        <f>CHOOSE(CONTROL!$C$42, 50.5964, 50.5964) * CHOOSE(CONTROL!$C$21, $C$9, 100%, $E$9)</f>
        <v>50.596400000000003</v>
      </c>
      <c r="N754" s="14">
        <f>CHOOSE(CONTROL!$C$42, 50.6131, 50.6131) * CHOOSE(CONTROL!$C$21, $C$9, 100%, $E$9)</f>
        <v>50.613100000000003</v>
      </c>
      <c r="O754" s="14">
        <f>CHOOSE(CONTROL!$C$42, 50.8254, 50.8254) * CHOOSE(CONTROL!$C$21, $C$9, 100%, $E$9)</f>
        <v>50.825400000000002</v>
      </c>
      <c r="P754" s="14">
        <f>CHOOSE(CONTROL!$C$42, 50.7628, 50.7628) * CHOOSE(CONTROL!$C$21, $C$9, 100%, $E$9)</f>
        <v>50.762799999999999</v>
      </c>
      <c r="Q754" s="14">
        <f>CHOOSE(CONTROL!$C$42, 51.4201, 51.4201) * CHOOSE(CONTROL!$C$21, $C$9, 100%, $E$9)</f>
        <v>51.420099999999998</v>
      </c>
      <c r="R754" s="14">
        <f>CHOOSE(CONTROL!$C$42, 52.1356, 52.1356) * CHOOSE(CONTROL!$C$21, $C$9, 100%, $E$9)</f>
        <v>52.135599999999997</v>
      </c>
      <c r="S754" s="14">
        <f>CHOOSE(CONTROL!$C$42, 49.5975, 49.5975) * CHOOSE(CONTROL!$C$21, $C$9, 100%, $E$9)</f>
        <v>49.597499999999997</v>
      </c>
      <c r="T75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56">
        <f>(1000*CHOOSE(CONTROL!$C$42, 695, 695)*CHOOSE(CONTROL!$C$42, 0.5599, 0.5599)*CHOOSE(CONTROL!$C$42, 31, 31))/1000000</f>
        <v>12.063045499999998</v>
      </c>
      <c r="V754" s="56">
        <f>(1000*CHOOSE(CONTROL!$C$42, 500, 500)*CHOOSE(CONTROL!$C$42, 0.275, 0.275)*CHOOSE(CONTROL!$C$42, 31, 31))/1000000</f>
        <v>4.2625000000000002</v>
      </c>
      <c r="W754" s="56">
        <f>(1000*CHOOSE(CONTROL!$C$42, 0.1146, 0.1146)*CHOOSE(CONTROL!$C$42, 121.5, 121.5)*CHOOSE(CONTROL!$C$42, 31, 31))/1000000</f>
        <v>0.43164089999999994</v>
      </c>
      <c r="X754" s="56">
        <f>(31*0.1790888*245000/1000000)+(31*0.2374*100000/1000000)</f>
        <v>2.0961194359999999</v>
      </c>
      <c r="Y754" s="56"/>
      <c r="Z754" s="14"/>
      <c r="AA754" s="55"/>
      <c r="AB754" s="49">
        <f>(B754*131.881+C754*277.167+D754*79.08+E754*125.872+F754*40+G754*185+H754*0+I754*100+J754*300)/(131.881+277.167+79.08+125.872+0+40+185+100+300)</f>
        <v>51.697039570217918</v>
      </c>
      <c r="AC754" s="44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50.725094964028777</v>
      </c>
    </row>
    <row r="755" spans="1:29" ht="15.75" x14ac:dyDescent="0.25">
      <c r="A755" s="31">
        <v>63888</v>
      </c>
      <c r="B755" s="14">
        <f>CHOOSE(CONTROL!$C$42, 52.9844, 52.9844) * CHOOSE(CONTROL!$C$21, $C$9, 100%, $E$9)</f>
        <v>52.984400000000001</v>
      </c>
      <c r="C755" s="14">
        <f>CHOOSE(CONTROL!$C$42, 52.9894, 52.9894) * CHOOSE(CONTROL!$C$21, $C$9, 100%, $E$9)</f>
        <v>52.989400000000003</v>
      </c>
      <c r="D755" s="14">
        <f>CHOOSE(CONTROL!$C$42, 53.0585, 53.0585) * CHOOSE(CONTROL!$C$21, $C$9, 100%, $E$9)</f>
        <v>53.058500000000002</v>
      </c>
      <c r="E755" s="14">
        <f>CHOOSE(CONTROL!$C$42, 53.0926, 53.0926) * CHOOSE(CONTROL!$C$21, $C$9, 100%, $E$9)</f>
        <v>53.092599999999997</v>
      </c>
      <c r="F755" s="14">
        <f>CHOOSE(CONTROL!$C$42, 53.02, 53.02)*CHOOSE(CONTROL!$C$21, $C$9, 100%, $E$9)</f>
        <v>53.02</v>
      </c>
      <c r="G755" s="14">
        <f>CHOOSE(CONTROL!$C$42, 53.0374, 53.0374)*CHOOSE(CONTROL!$C$21, $C$9, 100%, $E$9)</f>
        <v>53.037399999999998</v>
      </c>
      <c r="H755" s="14">
        <f>CHOOSE(CONTROL!$C$42, 53.0818, 53.0818) * CHOOSE(CONTROL!$C$21, $C$9, 100%, $E$9)</f>
        <v>53.081800000000001</v>
      </c>
      <c r="I755" s="14">
        <f>CHOOSE(CONTROL!$C$42, 53.1867, 53.1867)* CHOOSE(CONTROL!$C$21, $C$9, 100%, $E$9)</f>
        <v>53.186700000000002</v>
      </c>
      <c r="J755" s="14">
        <f>CHOOSE(CONTROL!$C$42, 53.013, 53.013)* CHOOSE(CONTROL!$C$21, $C$9, 100%, $E$9)</f>
        <v>53.012999999999998</v>
      </c>
      <c r="K755" s="52">
        <f>CHOOSE(CONTROL!$C$42, 53.1828, 53.1828) * CHOOSE(CONTROL!$C$21, $C$9, 100%, $E$9)</f>
        <v>53.1828</v>
      </c>
      <c r="L755" s="14">
        <f>CHOOSE(CONTROL!$C$42, 53.6688, 53.6688) * CHOOSE(CONTROL!$C$21, $C$9, 100%, $E$9)</f>
        <v>53.668799999999997</v>
      </c>
      <c r="M755" s="14">
        <f>CHOOSE(CONTROL!$C$42, 51.9345, 51.9345) * CHOOSE(CONTROL!$C$21, $C$9, 100%, $E$9)</f>
        <v>51.9345</v>
      </c>
      <c r="N755" s="14">
        <f>CHOOSE(CONTROL!$C$42, 51.9515, 51.9515) * CHOOSE(CONTROL!$C$21, $C$9, 100%, $E$9)</f>
        <v>51.951500000000003</v>
      </c>
      <c r="O755" s="14">
        <f>CHOOSE(CONTROL!$C$42, 52.0019, 52.0019) * CHOOSE(CONTROL!$C$21, $C$9, 100%, $E$9)</f>
        <v>52.001899999999999</v>
      </c>
      <c r="P755" s="14">
        <f>CHOOSE(CONTROL!$C$42, 52.1013, 52.1013) * CHOOSE(CONTROL!$C$21, $C$9, 100%, $E$9)</f>
        <v>52.101300000000002</v>
      </c>
      <c r="Q755" s="14">
        <f>CHOOSE(CONTROL!$C$42, 52.5966, 52.5966) * CHOOSE(CONTROL!$C$21, $C$9, 100%, $E$9)</f>
        <v>52.596600000000002</v>
      </c>
      <c r="R755" s="14">
        <f>CHOOSE(CONTROL!$C$42, 53.315, 53.315) * CHOOSE(CONTROL!$C$21, $C$9, 100%, $E$9)</f>
        <v>53.314999999999998</v>
      </c>
      <c r="S755" s="14">
        <f>CHOOSE(CONTROL!$C$42, 50.9042, 50.9042) * CHOOSE(CONTROL!$C$21, $C$9, 100%, $E$9)</f>
        <v>50.904200000000003</v>
      </c>
      <c r="T75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56">
        <f>(1000*CHOOSE(CONTROL!$C$42, 695, 695)*CHOOSE(CONTROL!$C$42, 0.5599, 0.5599)*CHOOSE(CONTROL!$C$42, 30, 30))/1000000</f>
        <v>11.673914999999997</v>
      </c>
      <c r="V755" s="56">
        <f>(1000*CHOOSE(CONTROL!$C$42, 500, 500)*CHOOSE(CONTROL!$C$42, 0.275, 0.275)*CHOOSE(CONTROL!$C$42, 30, 30))/1000000</f>
        <v>4.125</v>
      </c>
      <c r="W755" s="56">
        <f>(1000*CHOOSE(CONTROL!$C$42, 0.1146, 0.1146)*CHOOSE(CONTROL!$C$42, 121.5, 121.5)*CHOOSE(CONTROL!$C$42, 30, 30))/1000000</f>
        <v>0.417717</v>
      </c>
      <c r="X755" s="56">
        <f>(30*0.1790888*100000/1000000)+(30*0.2374*100000/1000000)</f>
        <v>1.2494664</v>
      </c>
      <c r="Y755" s="56"/>
      <c r="Z755" s="14"/>
      <c r="AA755" s="55"/>
      <c r="AB755" s="49">
        <f>(B755*122.58+C755*297.941+D755*89.177+E755*40.302+F755*40+G755*160+H755*0+I755*100+J755*300)/(122.58+297.941+89.177+40.302+0+40+160+100+300)</f>
        <v>53.028897736608698</v>
      </c>
      <c r="AC755" s="44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51.990026618705038</v>
      </c>
    </row>
    <row r="756" spans="1:29" ht="15.75" x14ac:dyDescent="0.25">
      <c r="A756" s="31">
        <v>63919</v>
      </c>
      <c r="B756" s="14">
        <f>CHOOSE(CONTROL!$C$42, 56.5962, 56.5962) * CHOOSE(CONTROL!$C$21, $C$9, 100%, $E$9)</f>
        <v>56.596200000000003</v>
      </c>
      <c r="C756" s="14">
        <f>CHOOSE(CONTROL!$C$42, 56.6012, 56.6012) * CHOOSE(CONTROL!$C$21, $C$9, 100%, $E$9)</f>
        <v>56.601199999999999</v>
      </c>
      <c r="D756" s="14">
        <f>CHOOSE(CONTROL!$C$42, 56.6703, 56.6703) * CHOOSE(CONTROL!$C$21, $C$9, 100%, $E$9)</f>
        <v>56.670299999999997</v>
      </c>
      <c r="E756" s="14">
        <f>CHOOSE(CONTROL!$C$42, 56.7044, 56.7044) * CHOOSE(CONTROL!$C$21, $C$9, 100%, $E$9)</f>
        <v>56.7044</v>
      </c>
      <c r="F756" s="14">
        <f>CHOOSE(CONTROL!$C$42, 56.634, 56.634)*CHOOSE(CONTROL!$C$21, $C$9, 100%, $E$9)</f>
        <v>56.634</v>
      </c>
      <c r="G756" s="14">
        <f>CHOOSE(CONTROL!$C$42, 56.652, 56.652)*CHOOSE(CONTROL!$C$21, $C$9, 100%, $E$9)</f>
        <v>56.652000000000001</v>
      </c>
      <c r="H756" s="14">
        <f>CHOOSE(CONTROL!$C$42, 56.6936, 56.6936) * CHOOSE(CONTROL!$C$21, $C$9, 100%, $E$9)</f>
        <v>56.693600000000004</v>
      </c>
      <c r="I756" s="14">
        <f>CHOOSE(CONTROL!$C$42, 56.8098, 56.8098)* CHOOSE(CONTROL!$C$21, $C$9, 100%, $E$9)</f>
        <v>56.809800000000003</v>
      </c>
      <c r="J756" s="14">
        <f>CHOOSE(CONTROL!$C$42, 56.627, 56.627)* CHOOSE(CONTROL!$C$21, $C$9, 100%, $E$9)</f>
        <v>56.627000000000002</v>
      </c>
      <c r="K756" s="52">
        <f>CHOOSE(CONTROL!$C$42, 56.8059, 56.8059) * CHOOSE(CONTROL!$C$21, $C$9, 100%, $E$9)</f>
        <v>56.805900000000001</v>
      </c>
      <c r="L756" s="14">
        <f>CHOOSE(CONTROL!$C$42, 57.2806, 57.2806) * CHOOSE(CONTROL!$C$21, $C$9, 100%, $E$9)</f>
        <v>57.2806</v>
      </c>
      <c r="M756" s="14">
        <f>CHOOSE(CONTROL!$C$42, 55.4745, 55.4745) * CHOOSE(CONTROL!$C$21, $C$9, 100%, $E$9)</f>
        <v>55.474499999999999</v>
      </c>
      <c r="N756" s="14">
        <f>CHOOSE(CONTROL!$C$42, 55.4921, 55.4921) * CHOOSE(CONTROL!$C$21, $C$9, 100%, $E$9)</f>
        <v>55.492100000000001</v>
      </c>
      <c r="O756" s="14">
        <f>CHOOSE(CONTROL!$C$42, 55.5396, 55.5396) * CHOOSE(CONTROL!$C$21, $C$9, 100%, $E$9)</f>
        <v>55.5396</v>
      </c>
      <c r="P756" s="14">
        <f>CHOOSE(CONTROL!$C$42, 55.65, 55.65) * CHOOSE(CONTROL!$C$21, $C$9, 100%, $E$9)</f>
        <v>55.65</v>
      </c>
      <c r="Q756" s="14">
        <f>CHOOSE(CONTROL!$C$42, 56.1343, 56.1343) * CHOOSE(CONTROL!$C$21, $C$9, 100%, $E$9)</f>
        <v>56.134300000000003</v>
      </c>
      <c r="R756" s="14">
        <f>CHOOSE(CONTROL!$C$42, 56.8617, 56.8617) * CHOOSE(CONTROL!$C$21, $C$9, 100%, $E$9)</f>
        <v>56.861699999999999</v>
      </c>
      <c r="S756" s="14">
        <f>CHOOSE(CONTROL!$C$42, 54.3747, 54.3747) * CHOOSE(CONTROL!$C$21, $C$9, 100%, $E$9)</f>
        <v>54.374699999999997</v>
      </c>
      <c r="T75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56">
        <f>(1000*CHOOSE(CONTROL!$C$42, 695, 695)*CHOOSE(CONTROL!$C$42, 0.5599, 0.5599)*CHOOSE(CONTROL!$C$42, 31, 31))/1000000</f>
        <v>12.063045499999998</v>
      </c>
      <c r="V756" s="56">
        <f>(1000*CHOOSE(CONTROL!$C$42, 500, 500)*CHOOSE(CONTROL!$C$42, 0.275, 0.275)*CHOOSE(CONTROL!$C$42, 31, 31))/1000000</f>
        <v>4.2625000000000002</v>
      </c>
      <c r="W756" s="56">
        <f>(1000*CHOOSE(CONTROL!$C$42, 0.1146, 0.1146)*CHOOSE(CONTROL!$C$42, 121.5, 121.5)*CHOOSE(CONTROL!$C$42, 31, 31))/1000000</f>
        <v>0.43164089999999994</v>
      </c>
      <c r="X756" s="56">
        <f>(31*0.1790888*100000/1000000)+(31*0.2374*100000/1000000)</f>
        <v>1.2911152800000001</v>
      </c>
      <c r="Y756" s="56"/>
      <c r="Z756" s="14"/>
      <c r="AA756" s="55"/>
      <c r="AB756" s="49">
        <f>(B756*122.58+C756*297.941+D756*89.177+E756*40.302+F756*40+G756*160+H756*0+I756*100+J756*300)/(122.58+297.941+89.177+40.302+0+40+160+100+300)</f>
        <v>56.642720345304355</v>
      </c>
      <c r="AC756" s="44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55.530270503597123</v>
      </c>
    </row>
    <row r="757" spans="1:29" ht="15.75" x14ac:dyDescent="0.25">
      <c r="A757" s="31">
        <v>63950</v>
      </c>
      <c r="B757" s="14">
        <f>CHOOSE(CONTROL!$C$42, 61.2873, 61.2873) * CHOOSE(CONTROL!$C$21, $C$9, 100%, $E$9)</f>
        <v>61.287300000000002</v>
      </c>
      <c r="C757" s="14">
        <f>CHOOSE(CONTROL!$C$42, 61.2923, 61.2923) * CHOOSE(CONTROL!$C$21, $C$9, 100%, $E$9)</f>
        <v>61.292299999999997</v>
      </c>
      <c r="D757" s="14">
        <f>CHOOSE(CONTROL!$C$42, 61.3717, 61.3717) * CHOOSE(CONTROL!$C$21, $C$9, 100%, $E$9)</f>
        <v>61.371699999999997</v>
      </c>
      <c r="E757" s="14">
        <f>CHOOSE(CONTROL!$C$42, 61.4058, 61.4058) * CHOOSE(CONTROL!$C$21, $C$9, 100%, $E$9)</f>
        <v>61.405799999999999</v>
      </c>
      <c r="F757" s="14">
        <f>CHOOSE(CONTROL!$C$42, 61.3103, 61.3103)*CHOOSE(CONTROL!$C$21, $C$9, 100%, $E$9)</f>
        <v>61.310299999999998</v>
      </c>
      <c r="G757" s="14">
        <f>CHOOSE(CONTROL!$C$42, 61.3278, 61.3278)*CHOOSE(CONTROL!$C$21, $C$9, 100%, $E$9)</f>
        <v>61.327800000000003</v>
      </c>
      <c r="H757" s="14">
        <f>CHOOSE(CONTROL!$C$42, 61.395, 61.395) * CHOOSE(CONTROL!$C$21, $C$9, 100%, $E$9)</f>
        <v>61.395000000000003</v>
      </c>
      <c r="I757" s="14">
        <f>CHOOSE(CONTROL!$C$42, 61.5145, 61.5145)* CHOOSE(CONTROL!$C$21, $C$9, 100%, $E$9)</f>
        <v>61.514499999999998</v>
      </c>
      <c r="J757" s="14">
        <f>CHOOSE(CONTROL!$C$42, 61.3033, 61.3033)* CHOOSE(CONTROL!$C$21, $C$9, 100%, $E$9)</f>
        <v>61.3033</v>
      </c>
      <c r="K757" s="52">
        <f>CHOOSE(CONTROL!$C$42, 61.5106, 61.5106) * CHOOSE(CONTROL!$C$21, $C$9, 100%, $E$9)</f>
        <v>61.510599999999997</v>
      </c>
      <c r="L757" s="14">
        <f>CHOOSE(CONTROL!$C$42, 61.982, 61.982) * CHOOSE(CONTROL!$C$21, $C$9, 100%, $E$9)</f>
        <v>61.981999999999999</v>
      </c>
      <c r="M757" s="14">
        <f>CHOOSE(CONTROL!$C$42, 60.0549, 60.0549) * CHOOSE(CONTROL!$C$21, $C$9, 100%, $E$9)</f>
        <v>60.054900000000004</v>
      </c>
      <c r="N757" s="14">
        <f>CHOOSE(CONTROL!$C$42, 60.0721, 60.0721) * CHOOSE(CONTROL!$C$21, $C$9, 100%, $E$9)</f>
        <v>60.072099999999999</v>
      </c>
      <c r="O757" s="14">
        <f>CHOOSE(CONTROL!$C$42, 60.1448, 60.1448) * CHOOSE(CONTROL!$C$21, $C$9, 100%, $E$9)</f>
        <v>60.144799999999996</v>
      </c>
      <c r="P757" s="14">
        <f>CHOOSE(CONTROL!$C$42, 60.258, 60.258) * CHOOSE(CONTROL!$C$21, $C$9, 100%, $E$9)</f>
        <v>60.258000000000003</v>
      </c>
      <c r="Q757" s="14">
        <f>CHOOSE(CONTROL!$C$42, 60.7395, 60.7395) * CHOOSE(CONTROL!$C$21, $C$9, 100%, $E$9)</f>
        <v>60.7395</v>
      </c>
      <c r="R757" s="14">
        <f>CHOOSE(CONTROL!$C$42, 61.4783, 61.4783) * CHOOSE(CONTROL!$C$21, $C$9, 100%, $E$9)</f>
        <v>61.478299999999997</v>
      </c>
      <c r="S757" s="14">
        <f>CHOOSE(CONTROL!$C$42, 58.8824, 58.8824) * CHOOSE(CONTROL!$C$21, $C$9, 100%, $E$9)</f>
        <v>58.882399999999997</v>
      </c>
      <c r="T75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56">
        <f>(1000*CHOOSE(CONTROL!$C$42, 695, 695)*CHOOSE(CONTROL!$C$42, 0.5599, 0.5599)*CHOOSE(CONTROL!$C$42, 31, 31))/1000000</f>
        <v>12.063045499999998</v>
      </c>
      <c r="V757" s="56">
        <f>(1000*CHOOSE(CONTROL!$C$42, 500, 500)*CHOOSE(CONTROL!$C$42, 0.275, 0.275)*CHOOSE(CONTROL!$C$42, 31, 31))/1000000</f>
        <v>4.2625000000000002</v>
      </c>
      <c r="W757" s="56">
        <f>(1000*CHOOSE(CONTROL!$C$42, 0.1146, 0.1146)*CHOOSE(CONTROL!$C$42, 121.5, 121.5)*CHOOSE(CONTROL!$C$42, 31, 31))/1000000</f>
        <v>0.43164089999999994</v>
      </c>
      <c r="X757" s="56">
        <f>(31*0.1790888*100000/1000000)+(31*0.2374*100000/1000000)</f>
        <v>1.2911152800000001</v>
      </c>
      <c r="Y757" s="56"/>
      <c r="Z757" s="14"/>
      <c r="AA757" s="55"/>
      <c r="AB757" s="49">
        <f>(B757*122.58+C757*297.941+D757*89.177+E757*40.302+F757*40+G757*160+H757*0+I757*100+J757*300)/(122.58+297.941+89.177+40.302+0+40+160+100+300)</f>
        <v>61.32965828765218</v>
      </c>
      <c r="AC757" s="44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60.12585899280576</v>
      </c>
    </row>
    <row r="758" spans="1:29" ht="15.75" x14ac:dyDescent="0.25">
      <c r="A758" s="31">
        <v>63978</v>
      </c>
      <c r="B758" s="14">
        <f>CHOOSE(CONTROL!$C$42, 62.3781, 62.3781) * CHOOSE(CONTROL!$C$21, $C$9, 100%, $E$9)</f>
        <v>62.378100000000003</v>
      </c>
      <c r="C758" s="14">
        <f>CHOOSE(CONTROL!$C$42, 62.3832, 62.3832) * CHOOSE(CONTROL!$C$21, $C$9, 100%, $E$9)</f>
        <v>62.383200000000002</v>
      </c>
      <c r="D758" s="14">
        <f>CHOOSE(CONTROL!$C$42, 62.4626, 62.4626) * CHOOSE(CONTROL!$C$21, $C$9, 100%, $E$9)</f>
        <v>62.462600000000002</v>
      </c>
      <c r="E758" s="14">
        <f>CHOOSE(CONTROL!$C$42, 62.4967, 62.4967) * CHOOSE(CONTROL!$C$21, $C$9, 100%, $E$9)</f>
        <v>62.496699999999997</v>
      </c>
      <c r="F758" s="14">
        <f>CHOOSE(CONTROL!$C$42, 62.4009, 62.4009)*CHOOSE(CONTROL!$C$21, $C$9, 100%, $E$9)</f>
        <v>62.4009</v>
      </c>
      <c r="G758" s="14">
        <f>CHOOSE(CONTROL!$C$42, 62.4183, 62.4183)*CHOOSE(CONTROL!$C$21, $C$9, 100%, $E$9)</f>
        <v>62.418300000000002</v>
      </c>
      <c r="H758" s="14">
        <f>CHOOSE(CONTROL!$C$42, 62.4859, 62.4859) * CHOOSE(CONTROL!$C$21, $C$9, 100%, $E$9)</f>
        <v>62.485900000000001</v>
      </c>
      <c r="I758" s="14">
        <f>CHOOSE(CONTROL!$C$42, 62.6087, 62.6087)* CHOOSE(CONTROL!$C$21, $C$9, 100%, $E$9)</f>
        <v>62.608699999999999</v>
      </c>
      <c r="J758" s="14">
        <f>CHOOSE(CONTROL!$C$42, 62.3939, 62.3939)* CHOOSE(CONTROL!$C$21, $C$9, 100%, $E$9)</f>
        <v>62.393900000000002</v>
      </c>
      <c r="K758" s="52">
        <f>CHOOSE(CONTROL!$C$42, 62.6048, 62.6048) * CHOOSE(CONTROL!$C$21, $C$9, 100%, $E$9)</f>
        <v>62.604799999999997</v>
      </c>
      <c r="L758" s="14">
        <f>CHOOSE(CONTROL!$C$42, 63.0729, 63.0729) * CHOOSE(CONTROL!$C$21, $C$9, 100%, $E$9)</f>
        <v>63.072899999999997</v>
      </c>
      <c r="M758" s="14">
        <f>CHOOSE(CONTROL!$C$42, 61.1232, 61.1232) * CHOOSE(CONTROL!$C$21, $C$9, 100%, $E$9)</f>
        <v>61.123199999999997</v>
      </c>
      <c r="N758" s="14">
        <f>CHOOSE(CONTROL!$C$42, 61.1403, 61.1403) * CHOOSE(CONTROL!$C$21, $C$9, 100%, $E$9)</f>
        <v>61.140300000000003</v>
      </c>
      <c r="O758" s="14">
        <f>CHOOSE(CONTROL!$C$42, 61.2133, 61.2133) * CHOOSE(CONTROL!$C$21, $C$9, 100%, $E$9)</f>
        <v>61.213299999999997</v>
      </c>
      <c r="P758" s="14">
        <f>CHOOSE(CONTROL!$C$42, 61.3298, 61.3298) * CHOOSE(CONTROL!$C$21, $C$9, 100%, $E$9)</f>
        <v>61.329799999999999</v>
      </c>
      <c r="Q758" s="14">
        <f>CHOOSE(CONTROL!$C$42, 61.808, 61.808) * CHOOSE(CONTROL!$C$21, $C$9, 100%, $E$9)</f>
        <v>61.808</v>
      </c>
      <c r="R758" s="14">
        <f>CHOOSE(CONTROL!$C$42, 62.5495, 62.5495) * CHOOSE(CONTROL!$C$21, $C$9, 100%, $E$9)</f>
        <v>62.549500000000002</v>
      </c>
      <c r="S758" s="14">
        <f>CHOOSE(CONTROL!$C$42, 59.9306, 59.9306) * CHOOSE(CONTROL!$C$21, $C$9, 100%, $E$9)</f>
        <v>59.930599999999998</v>
      </c>
      <c r="T75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58" s="56">
        <f>(1000*CHOOSE(CONTROL!$C$42, 695, 695)*CHOOSE(CONTROL!$C$42, 0.5599, 0.5599)*CHOOSE(CONTROL!$C$42, 28, 28))/1000000</f>
        <v>10.895653999999999</v>
      </c>
      <c r="V758" s="56">
        <f>(1000*CHOOSE(CONTROL!$C$42, 500, 500)*CHOOSE(CONTROL!$C$42, 0.275, 0.275)*CHOOSE(CONTROL!$C$42, 28, 28))/1000000</f>
        <v>3.85</v>
      </c>
      <c r="W758" s="56">
        <f>(1000*CHOOSE(CONTROL!$C$42, 0.1146, 0.1146)*CHOOSE(CONTROL!$C$42, 121.5, 121.5)*CHOOSE(CONTROL!$C$42, 28, 28))/1000000</f>
        <v>0.38986920000000003</v>
      </c>
      <c r="X758" s="56">
        <f>(28*0.1790888*100000/1000000)+(28*0.2374*100000/1000000)</f>
        <v>1.16616864</v>
      </c>
      <c r="Y758" s="56"/>
      <c r="Z758" s="14"/>
      <c r="AA758" s="55"/>
      <c r="AB758" s="49">
        <f>(B758*122.58+C758*297.941+D758*89.177+E758*40.302+F758*40+G758*160+H758*0+I758*100+J758*300)/(122.58+297.941+89.177+40.302+0+40+160+100+300)</f>
        <v>62.4206902372174</v>
      </c>
      <c r="AC758" s="44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61.194747482014385</v>
      </c>
    </row>
    <row r="759" spans="1:29" ht="15.75" x14ac:dyDescent="0.25">
      <c r="A759" s="31">
        <v>64009</v>
      </c>
      <c r="B759" s="14">
        <f>CHOOSE(CONTROL!$C$42, 60.6074, 60.6074) * CHOOSE(CONTROL!$C$21, $C$9, 100%, $E$9)</f>
        <v>60.607399999999998</v>
      </c>
      <c r="C759" s="14">
        <f>CHOOSE(CONTROL!$C$42, 60.6125, 60.6125) * CHOOSE(CONTROL!$C$21, $C$9, 100%, $E$9)</f>
        <v>60.612499999999997</v>
      </c>
      <c r="D759" s="14">
        <f>CHOOSE(CONTROL!$C$42, 60.6919, 60.6919) * CHOOSE(CONTROL!$C$21, $C$9, 100%, $E$9)</f>
        <v>60.691899999999997</v>
      </c>
      <c r="E759" s="14">
        <f>CHOOSE(CONTROL!$C$42, 60.726, 60.726) * CHOOSE(CONTROL!$C$21, $C$9, 100%, $E$9)</f>
        <v>60.725999999999999</v>
      </c>
      <c r="F759" s="14">
        <f>CHOOSE(CONTROL!$C$42, 60.6294, 60.6294)*CHOOSE(CONTROL!$C$21, $C$9, 100%, $E$9)</f>
        <v>60.629399999999997</v>
      </c>
      <c r="G759" s="14">
        <f>CHOOSE(CONTROL!$C$42, 60.6467, 60.6467)*CHOOSE(CONTROL!$C$21, $C$9, 100%, $E$9)</f>
        <v>60.646700000000003</v>
      </c>
      <c r="H759" s="14">
        <f>CHOOSE(CONTROL!$C$42, 60.7152, 60.7152) * CHOOSE(CONTROL!$C$21, $C$9, 100%, $E$9)</f>
        <v>60.715200000000003</v>
      </c>
      <c r="I759" s="14">
        <f>CHOOSE(CONTROL!$C$42, 60.8325, 60.8325)* CHOOSE(CONTROL!$C$21, $C$9, 100%, $E$9)</f>
        <v>60.832500000000003</v>
      </c>
      <c r="J759" s="14">
        <f>CHOOSE(CONTROL!$C$42, 60.6224, 60.6224)* CHOOSE(CONTROL!$C$21, $C$9, 100%, $E$9)</f>
        <v>60.622399999999999</v>
      </c>
      <c r="K759" s="52">
        <f>CHOOSE(CONTROL!$C$42, 60.8286, 60.8286) * CHOOSE(CONTROL!$C$21, $C$9, 100%, $E$9)</f>
        <v>60.828600000000002</v>
      </c>
      <c r="L759" s="14">
        <f>CHOOSE(CONTROL!$C$42, 61.3022, 61.3022) * CHOOSE(CONTROL!$C$21, $C$9, 100%, $E$9)</f>
        <v>61.302199999999999</v>
      </c>
      <c r="M759" s="14">
        <f>CHOOSE(CONTROL!$C$42, 59.388, 59.388) * CHOOSE(CONTROL!$C$21, $C$9, 100%, $E$9)</f>
        <v>59.387999999999998</v>
      </c>
      <c r="N759" s="14">
        <f>CHOOSE(CONTROL!$C$42, 59.4049, 59.4049) * CHOOSE(CONTROL!$C$21, $C$9, 100%, $E$9)</f>
        <v>59.404899999999998</v>
      </c>
      <c r="O759" s="14">
        <f>CHOOSE(CONTROL!$C$42, 59.4789, 59.4789) * CHOOSE(CONTROL!$C$21, $C$9, 100%, $E$9)</f>
        <v>59.478900000000003</v>
      </c>
      <c r="P759" s="14">
        <f>CHOOSE(CONTROL!$C$42, 59.59, 59.59) * CHOOSE(CONTROL!$C$21, $C$9, 100%, $E$9)</f>
        <v>59.59</v>
      </c>
      <c r="Q759" s="14">
        <f>CHOOSE(CONTROL!$C$42, 60.0736, 60.0736) * CHOOSE(CONTROL!$C$21, $C$9, 100%, $E$9)</f>
        <v>60.073599999999999</v>
      </c>
      <c r="R759" s="14">
        <f>CHOOSE(CONTROL!$C$42, 60.8108, 60.8108) * CHOOSE(CONTROL!$C$21, $C$9, 100%, $E$9)</f>
        <v>60.8108</v>
      </c>
      <c r="S759" s="14">
        <f>CHOOSE(CONTROL!$C$42, 58.2291, 58.2291) * CHOOSE(CONTROL!$C$21, $C$9, 100%, $E$9)</f>
        <v>58.229100000000003</v>
      </c>
      <c r="T75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56">
        <f>(1000*CHOOSE(CONTROL!$C$42, 695, 695)*CHOOSE(CONTROL!$C$42, 0.5599, 0.5599)*CHOOSE(CONTROL!$C$42, 31, 31))/1000000</f>
        <v>12.063045499999998</v>
      </c>
      <c r="V759" s="56">
        <f>(1000*CHOOSE(CONTROL!$C$42, 500, 500)*CHOOSE(CONTROL!$C$42, 0.275, 0.275)*CHOOSE(CONTROL!$C$42, 31, 31))/1000000</f>
        <v>4.2625000000000002</v>
      </c>
      <c r="W759" s="56">
        <f>(1000*CHOOSE(CONTROL!$C$42, 0.1146, 0.1146)*CHOOSE(CONTROL!$C$42, 121.5, 121.5)*CHOOSE(CONTROL!$C$42, 31, 31))/1000000</f>
        <v>0.43164089999999994</v>
      </c>
      <c r="X759" s="56">
        <f>(31*0.1790888*100000/1000000)+(31*0.2374*100000/1000000)</f>
        <v>1.2911152800000001</v>
      </c>
      <c r="Y759" s="56"/>
      <c r="Z759" s="14"/>
      <c r="AA759" s="55"/>
      <c r="AB759" s="49">
        <f>(B759*122.58+C759*297.941+D759*89.177+E759*40.302+F759*40+G759*160+H759*0+I759*100+J759*300)/(122.58+297.941+89.177+40.302+0+40+160+100+300)</f>
        <v>60.649150237217391</v>
      </c>
      <c r="AC759" s="44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59.459236690647487</v>
      </c>
    </row>
    <row r="760" spans="1:29" ht="15.75" x14ac:dyDescent="0.25">
      <c r="A760" s="31">
        <v>64039</v>
      </c>
      <c r="B760" s="14">
        <f>CHOOSE(CONTROL!$C$42, 60.427, 60.427) * CHOOSE(CONTROL!$C$21, $C$9, 100%, $E$9)</f>
        <v>60.427</v>
      </c>
      <c r="C760" s="14">
        <f>CHOOSE(CONTROL!$C$42, 60.4315, 60.4315) * CHOOSE(CONTROL!$C$21, $C$9, 100%, $E$9)</f>
        <v>60.4315</v>
      </c>
      <c r="D760" s="14">
        <f>CHOOSE(CONTROL!$C$42, 60.6604, 60.6604) * CHOOSE(CONTROL!$C$21, $C$9, 100%, $E$9)</f>
        <v>60.660400000000003</v>
      </c>
      <c r="E760" s="14">
        <f>CHOOSE(CONTROL!$C$42, 60.6925, 60.6925) * CHOOSE(CONTROL!$C$21, $C$9, 100%, $E$9)</f>
        <v>60.692500000000003</v>
      </c>
      <c r="F760" s="14">
        <f>CHOOSE(CONTROL!$C$42, 60.454, 60.454)*CHOOSE(CONTROL!$C$21, $C$9, 100%, $E$9)</f>
        <v>60.454000000000001</v>
      </c>
      <c r="G760" s="14">
        <f>CHOOSE(CONTROL!$C$42, 60.4707, 60.4707)*CHOOSE(CONTROL!$C$21, $C$9, 100%, $E$9)</f>
        <v>60.470700000000001</v>
      </c>
      <c r="H760" s="14">
        <f>CHOOSE(CONTROL!$C$42, 60.6823, 60.6823) * CHOOSE(CONTROL!$C$21, $C$9, 100%, $E$9)</f>
        <v>60.682299999999998</v>
      </c>
      <c r="I760" s="14">
        <f>CHOOSE(CONTROL!$C$42, 60.6492, 60.6492)* CHOOSE(CONTROL!$C$21, $C$9, 100%, $E$9)</f>
        <v>60.6492</v>
      </c>
      <c r="J760" s="14">
        <f>CHOOSE(CONTROL!$C$42, 60.447, 60.447)* CHOOSE(CONTROL!$C$21, $C$9, 100%, $E$9)</f>
        <v>60.447000000000003</v>
      </c>
      <c r="K760" s="52">
        <f>CHOOSE(CONTROL!$C$42, 60.6453, 60.6453) * CHOOSE(CONTROL!$C$21, $C$9, 100%, $E$9)</f>
        <v>60.645299999999999</v>
      </c>
      <c r="L760" s="14">
        <f>CHOOSE(CONTROL!$C$42, 61.2693, 61.2693) * CHOOSE(CONTROL!$C$21, $C$9, 100%, $E$9)</f>
        <v>61.269300000000001</v>
      </c>
      <c r="M760" s="14">
        <f>CHOOSE(CONTROL!$C$42, 59.2161, 59.2161) * CHOOSE(CONTROL!$C$21, $C$9, 100%, $E$9)</f>
        <v>59.216099999999997</v>
      </c>
      <c r="N760" s="14">
        <f>CHOOSE(CONTROL!$C$42, 59.2325, 59.2325) * CHOOSE(CONTROL!$C$21, $C$9, 100%, $E$9)</f>
        <v>59.232500000000002</v>
      </c>
      <c r="O760" s="14">
        <f>CHOOSE(CONTROL!$C$42, 59.4466, 59.4466) * CHOOSE(CONTROL!$C$21, $C$9, 100%, $E$9)</f>
        <v>59.446599999999997</v>
      </c>
      <c r="P760" s="14">
        <f>CHOOSE(CONTROL!$C$42, 59.4105, 59.4105) * CHOOSE(CONTROL!$C$21, $C$9, 100%, $E$9)</f>
        <v>59.410499999999999</v>
      </c>
      <c r="Q760" s="14">
        <f>CHOOSE(CONTROL!$C$42, 60.0413, 60.0413) * CHOOSE(CONTROL!$C$21, $C$9, 100%, $E$9)</f>
        <v>60.0413</v>
      </c>
      <c r="R760" s="14">
        <f>CHOOSE(CONTROL!$C$42, 60.7784, 60.7784) * CHOOSE(CONTROL!$C$21, $C$9, 100%, $E$9)</f>
        <v>60.778399999999998</v>
      </c>
      <c r="S760" s="14">
        <f>CHOOSE(CONTROL!$C$42, 58.055, 58.055) * CHOOSE(CONTROL!$C$21, $C$9, 100%, $E$9)</f>
        <v>58.055</v>
      </c>
      <c r="T76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56">
        <f>(1000*CHOOSE(CONTROL!$C$42, 695, 695)*CHOOSE(CONTROL!$C$42, 0.5599, 0.5599)*CHOOSE(CONTROL!$C$42, 30, 30))/1000000</f>
        <v>11.673914999999997</v>
      </c>
      <c r="V760" s="56">
        <f>(1000*CHOOSE(CONTROL!$C$42, 500, 500)*CHOOSE(CONTROL!$C$42, 0.275, 0.275)*CHOOSE(CONTROL!$C$42, 30, 30))/1000000</f>
        <v>4.125</v>
      </c>
      <c r="W760" s="56">
        <f>(1000*CHOOSE(CONTROL!$C$42, 0.1146, 0.1146)*CHOOSE(CONTROL!$C$42, 121.5, 121.5)*CHOOSE(CONTROL!$C$42, 30, 30))/1000000</f>
        <v>0.417717</v>
      </c>
      <c r="X760" s="56">
        <f>(30*0.1790888*245000/1000000)+(30*0.2374*100000/1000000)</f>
        <v>2.0285026799999999</v>
      </c>
      <c r="Y760" s="56"/>
      <c r="Z760" s="14"/>
      <c r="AA760" s="55"/>
      <c r="AB760" s="49">
        <f>(B760*141.293+C760*267.993+D760*115.016+E760*89.698+F760*40+G760*185+H760*0+I760*100+J760*300)/(141.293+267.993+115.016+89.698+0+40+185+100+300)</f>
        <v>60.499033915980625</v>
      </c>
      <c r="AC760" s="44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59.349486330935257</v>
      </c>
    </row>
    <row r="761" spans="1:29" ht="15.75" x14ac:dyDescent="0.25">
      <c r="A761" s="31">
        <v>64070</v>
      </c>
      <c r="B761" s="14">
        <f>CHOOSE(CONTROL!$C$42, 60.9616, 60.9616) * CHOOSE(CONTROL!$C$21, $C$9, 100%, $E$9)</f>
        <v>60.961599999999997</v>
      </c>
      <c r="C761" s="14">
        <f>CHOOSE(CONTROL!$C$42, 60.9696, 60.9696) * CHOOSE(CONTROL!$C$21, $C$9, 100%, $E$9)</f>
        <v>60.9696</v>
      </c>
      <c r="D761" s="14">
        <f>CHOOSE(CONTROL!$C$42, 61.1954, 61.1954) * CHOOSE(CONTROL!$C$21, $C$9, 100%, $E$9)</f>
        <v>61.195399999999999</v>
      </c>
      <c r="E761" s="14">
        <f>CHOOSE(CONTROL!$C$42, 61.2269, 61.2269) * CHOOSE(CONTROL!$C$21, $C$9, 100%, $E$9)</f>
        <v>61.226900000000001</v>
      </c>
      <c r="F761" s="14">
        <f>CHOOSE(CONTROL!$C$42, 60.9873, 60.9873)*CHOOSE(CONTROL!$C$21, $C$9, 100%, $E$9)</f>
        <v>60.987299999999998</v>
      </c>
      <c r="G761" s="14">
        <f>CHOOSE(CONTROL!$C$42, 61.0042, 61.0042)*CHOOSE(CONTROL!$C$21, $C$9, 100%, $E$9)</f>
        <v>61.004199999999997</v>
      </c>
      <c r="H761" s="14">
        <f>CHOOSE(CONTROL!$C$42, 61.2155, 61.2155) * CHOOSE(CONTROL!$C$21, $C$9, 100%, $E$9)</f>
        <v>61.215499999999999</v>
      </c>
      <c r="I761" s="14">
        <f>CHOOSE(CONTROL!$C$42, 61.1841, 61.1841)* CHOOSE(CONTROL!$C$21, $C$9, 100%, $E$9)</f>
        <v>61.184100000000001</v>
      </c>
      <c r="J761" s="14">
        <f>CHOOSE(CONTROL!$C$42, 60.9803, 60.9803)* CHOOSE(CONTROL!$C$21, $C$9, 100%, $E$9)</f>
        <v>60.9803</v>
      </c>
      <c r="K761" s="52">
        <f>CHOOSE(CONTROL!$C$42, 61.1802, 61.1802) * CHOOSE(CONTROL!$C$21, $C$9, 100%, $E$9)</f>
        <v>61.180199999999999</v>
      </c>
      <c r="L761" s="14">
        <f>CHOOSE(CONTROL!$C$42, 61.8025, 61.8025) * CHOOSE(CONTROL!$C$21, $C$9, 100%, $E$9)</f>
        <v>61.802500000000002</v>
      </c>
      <c r="M761" s="14">
        <f>CHOOSE(CONTROL!$C$42, 59.7385, 59.7385) * CHOOSE(CONTROL!$C$21, $C$9, 100%, $E$9)</f>
        <v>59.738500000000002</v>
      </c>
      <c r="N761" s="14">
        <f>CHOOSE(CONTROL!$C$42, 59.7551, 59.7551) * CHOOSE(CONTROL!$C$21, $C$9, 100%, $E$9)</f>
        <v>59.755099999999999</v>
      </c>
      <c r="O761" s="14">
        <f>CHOOSE(CONTROL!$C$42, 59.9689, 59.9689) * CHOOSE(CONTROL!$C$21, $C$9, 100%, $E$9)</f>
        <v>59.968899999999998</v>
      </c>
      <c r="P761" s="14">
        <f>CHOOSE(CONTROL!$C$42, 59.9344, 59.9344) * CHOOSE(CONTROL!$C$21, $C$9, 100%, $E$9)</f>
        <v>59.934399999999997</v>
      </c>
      <c r="Q761" s="14">
        <f>CHOOSE(CONTROL!$C$42, 60.5636, 60.5636) * CHOOSE(CONTROL!$C$21, $C$9, 100%, $E$9)</f>
        <v>60.563600000000001</v>
      </c>
      <c r="R761" s="14">
        <f>CHOOSE(CONTROL!$C$42, 61.3021, 61.3021) * CHOOSE(CONTROL!$C$21, $C$9, 100%, $E$9)</f>
        <v>61.302100000000003</v>
      </c>
      <c r="S761" s="14">
        <f>CHOOSE(CONTROL!$C$42, 58.5674, 58.5674) * CHOOSE(CONTROL!$C$21, $C$9, 100%, $E$9)</f>
        <v>58.567399999999999</v>
      </c>
      <c r="T76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56">
        <f>(1000*CHOOSE(CONTROL!$C$42, 695, 695)*CHOOSE(CONTROL!$C$42, 0.5599, 0.5599)*CHOOSE(CONTROL!$C$42, 31, 31))/1000000</f>
        <v>12.063045499999998</v>
      </c>
      <c r="V761" s="56">
        <f>(1000*CHOOSE(CONTROL!$C$42, 500, 500)*CHOOSE(CONTROL!$C$42, 0.275, 0.275)*CHOOSE(CONTROL!$C$42, 31, 31))/1000000</f>
        <v>4.2625000000000002</v>
      </c>
      <c r="W761" s="56">
        <f>(1000*CHOOSE(CONTROL!$C$42, 0.1146, 0.1146)*CHOOSE(CONTROL!$C$42, 121.5, 121.5)*CHOOSE(CONTROL!$C$42, 31, 31))/1000000</f>
        <v>0.43164089999999994</v>
      </c>
      <c r="X761" s="56">
        <f>(31*0.1790888*245000/1000000)+(31*0.2374*100000/1000000)</f>
        <v>2.0961194359999999</v>
      </c>
      <c r="Y761" s="56"/>
      <c r="Z761" s="14"/>
      <c r="AA761" s="55"/>
      <c r="AB761" s="49">
        <f>(B761*194.205+C761*267.466+D761*133.845+E761*53.484+F761*40+G761*185+H761*0+I761*100+J761*300)/(194.205+267.466+133.845+53.484+0+40+185+100+300)</f>
        <v>61.027840968759811</v>
      </c>
      <c r="AC761" s="44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59.87206834532374</v>
      </c>
    </row>
    <row r="762" spans="1:29" ht="15.75" x14ac:dyDescent="0.25">
      <c r="A762" s="31">
        <v>64100</v>
      </c>
      <c r="B762" s="14">
        <f>CHOOSE(CONTROL!$C$42, 62.6905, 62.6905) * CHOOSE(CONTROL!$C$21, $C$9, 100%, $E$9)</f>
        <v>62.6905</v>
      </c>
      <c r="C762" s="14">
        <f>CHOOSE(CONTROL!$C$42, 62.6986, 62.6986) * CHOOSE(CONTROL!$C$21, $C$9, 100%, $E$9)</f>
        <v>62.698599999999999</v>
      </c>
      <c r="D762" s="14">
        <f>CHOOSE(CONTROL!$C$42, 62.9243, 62.9243) * CHOOSE(CONTROL!$C$21, $C$9, 100%, $E$9)</f>
        <v>62.924300000000002</v>
      </c>
      <c r="E762" s="14">
        <f>CHOOSE(CONTROL!$C$42, 62.9558, 62.9558) * CHOOSE(CONTROL!$C$21, $C$9, 100%, $E$9)</f>
        <v>62.955800000000004</v>
      </c>
      <c r="F762" s="14">
        <f>CHOOSE(CONTROL!$C$42, 62.7166, 62.7166)*CHOOSE(CONTROL!$C$21, $C$9, 100%, $E$9)</f>
        <v>62.7166</v>
      </c>
      <c r="G762" s="14">
        <f>CHOOSE(CONTROL!$C$42, 62.7337, 62.7337)*CHOOSE(CONTROL!$C$21, $C$9, 100%, $E$9)</f>
        <v>62.733699999999999</v>
      </c>
      <c r="H762" s="14">
        <f>CHOOSE(CONTROL!$C$42, 62.9444, 62.9444) * CHOOSE(CONTROL!$C$21, $C$9, 100%, $E$9)</f>
        <v>62.944400000000002</v>
      </c>
      <c r="I762" s="14">
        <f>CHOOSE(CONTROL!$C$42, 62.9184, 62.9184)* CHOOSE(CONTROL!$C$21, $C$9, 100%, $E$9)</f>
        <v>62.918399999999998</v>
      </c>
      <c r="J762" s="14">
        <f>CHOOSE(CONTROL!$C$42, 62.7096, 62.7096)* CHOOSE(CONTROL!$C$21, $C$9, 100%, $E$9)</f>
        <v>62.709600000000002</v>
      </c>
      <c r="K762" s="52">
        <f>CHOOSE(CONTROL!$C$42, 62.9145, 62.9145) * CHOOSE(CONTROL!$C$21, $C$9, 100%, $E$9)</f>
        <v>62.914499999999997</v>
      </c>
      <c r="L762" s="14">
        <f>CHOOSE(CONTROL!$C$42, 63.5314, 63.5314) * CHOOSE(CONTROL!$C$21, $C$9, 100%, $E$9)</f>
        <v>63.531399999999998</v>
      </c>
      <c r="M762" s="14">
        <f>CHOOSE(CONTROL!$C$42, 61.4325, 61.4325) * CHOOSE(CONTROL!$C$21, $C$9, 100%, $E$9)</f>
        <v>61.432499999999997</v>
      </c>
      <c r="N762" s="14">
        <f>CHOOSE(CONTROL!$C$42, 61.4492, 61.4492) * CHOOSE(CONTROL!$C$21, $C$9, 100%, $E$9)</f>
        <v>61.449199999999998</v>
      </c>
      <c r="O762" s="14">
        <f>CHOOSE(CONTROL!$C$42, 61.6625, 61.6625) * CHOOSE(CONTROL!$C$21, $C$9, 100%, $E$9)</f>
        <v>61.662500000000001</v>
      </c>
      <c r="P762" s="14">
        <f>CHOOSE(CONTROL!$C$42, 61.6331, 61.6331) * CHOOSE(CONTROL!$C$21, $C$9, 100%, $E$9)</f>
        <v>61.633099999999999</v>
      </c>
      <c r="Q762" s="14">
        <f>CHOOSE(CONTROL!$C$42, 62.2572, 62.2572) * CHOOSE(CONTROL!$C$21, $C$9, 100%, $E$9)</f>
        <v>62.257199999999997</v>
      </c>
      <c r="R762" s="14">
        <f>CHOOSE(CONTROL!$C$42, 62.9998, 62.9998) * CHOOSE(CONTROL!$C$21, $C$9, 100%, $E$9)</f>
        <v>62.9998</v>
      </c>
      <c r="S762" s="14">
        <f>CHOOSE(CONTROL!$C$42, 60.2287, 60.2287) * CHOOSE(CONTROL!$C$21, $C$9, 100%, $E$9)</f>
        <v>60.228700000000003</v>
      </c>
      <c r="T76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56">
        <f>(1000*CHOOSE(CONTROL!$C$42, 695, 695)*CHOOSE(CONTROL!$C$42, 0.5599, 0.5599)*CHOOSE(CONTROL!$C$42, 30, 30))/1000000</f>
        <v>11.673914999999997</v>
      </c>
      <c r="V762" s="56">
        <f>(1000*CHOOSE(CONTROL!$C$42, 500, 500)*CHOOSE(CONTROL!$C$42, 0.275, 0.275)*CHOOSE(CONTROL!$C$42, 30, 30))/1000000</f>
        <v>4.125</v>
      </c>
      <c r="W762" s="56">
        <f>(1000*CHOOSE(CONTROL!$C$42, 0.1146, 0.1146)*CHOOSE(CONTROL!$C$42, 121.5, 121.5)*CHOOSE(CONTROL!$C$42, 30, 30))/1000000</f>
        <v>0.417717</v>
      </c>
      <c r="X762" s="56">
        <f>(30*0.1790888*245000/1000000)+(30*0.2374*100000/1000000)</f>
        <v>2.0285026799999999</v>
      </c>
      <c r="Y762" s="56"/>
      <c r="Z762" s="14"/>
      <c r="AA762" s="55"/>
      <c r="AB762" s="49">
        <f>(B762*194.205+C762*267.466+D762*133.845+E762*53.484+F762*40+G762*185+H762*0+I762*100+J762*300)/(194.205+267.466+133.845+53.484+0+40+185+100+300)</f>
        <v>62.757379702354797</v>
      </c>
      <c r="AC762" s="44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61.566569064748194</v>
      </c>
    </row>
    <row r="763" spans="1:29" ht="15.75" x14ac:dyDescent="0.25">
      <c r="A763" s="31">
        <v>64131</v>
      </c>
      <c r="B763" s="14">
        <f>CHOOSE(CONTROL!$C$42, 61.4881, 61.4881) * CHOOSE(CONTROL!$C$21, $C$9, 100%, $E$9)</f>
        <v>61.488100000000003</v>
      </c>
      <c r="C763" s="14">
        <f>CHOOSE(CONTROL!$C$42, 61.4961, 61.4961) * CHOOSE(CONTROL!$C$21, $C$9, 100%, $E$9)</f>
        <v>61.496099999999998</v>
      </c>
      <c r="D763" s="14">
        <f>CHOOSE(CONTROL!$C$42, 61.7219, 61.7219) * CHOOSE(CONTROL!$C$21, $C$9, 100%, $E$9)</f>
        <v>61.721899999999998</v>
      </c>
      <c r="E763" s="14">
        <f>CHOOSE(CONTROL!$C$42, 61.7533, 61.7533) * CHOOSE(CONTROL!$C$21, $C$9, 100%, $E$9)</f>
        <v>61.753300000000003</v>
      </c>
      <c r="F763" s="14">
        <f>CHOOSE(CONTROL!$C$42, 61.5146, 61.5146)*CHOOSE(CONTROL!$C$21, $C$9, 100%, $E$9)</f>
        <v>61.514600000000002</v>
      </c>
      <c r="G763" s="14">
        <f>CHOOSE(CONTROL!$C$42, 61.5318, 61.5318)*CHOOSE(CONTROL!$C$21, $C$9, 100%, $E$9)</f>
        <v>61.531799999999997</v>
      </c>
      <c r="H763" s="14">
        <f>CHOOSE(CONTROL!$C$42, 61.742, 61.742) * CHOOSE(CONTROL!$C$21, $C$9, 100%, $E$9)</f>
        <v>61.741999999999997</v>
      </c>
      <c r="I763" s="14">
        <f>CHOOSE(CONTROL!$C$42, 61.7122, 61.7122)* CHOOSE(CONTROL!$C$21, $C$9, 100%, $E$9)</f>
        <v>61.712200000000003</v>
      </c>
      <c r="J763" s="14">
        <f>CHOOSE(CONTROL!$C$42, 61.5076, 61.5076)* CHOOSE(CONTROL!$C$21, $C$9, 100%, $E$9)</f>
        <v>61.507599999999996</v>
      </c>
      <c r="K763" s="52">
        <f>CHOOSE(CONTROL!$C$42, 61.7083, 61.7083) * CHOOSE(CONTROL!$C$21, $C$9, 100%, $E$9)</f>
        <v>61.708300000000001</v>
      </c>
      <c r="L763" s="14">
        <f>CHOOSE(CONTROL!$C$42, 62.329, 62.329) * CHOOSE(CONTROL!$C$21, $C$9, 100%, $E$9)</f>
        <v>62.329000000000001</v>
      </c>
      <c r="M763" s="14">
        <f>CHOOSE(CONTROL!$C$42, 60.2551, 60.2551) * CHOOSE(CONTROL!$C$21, $C$9, 100%, $E$9)</f>
        <v>60.255099999999999</v>
      </c>
      <c r="N763" s="14">
        <f>CHOOSE(CONTROL!$C$42, 60.2719, 60.2719) * CHOOSE(CONTROL!$C$21, $C$9, 100%, $E$9)</f>
        <v>60.271900000000002</v>
      </c>
      <c r="O763" s="14">
        <f>CHOOSE(CONTROL!$C$42, 60.4846, 60.4846) * CHOOSE(CONTROL!$C$21, $C$9, 100%, $E$9)</f>
        <v>60.4846</v>
      </c>
      <c r="P763" s="14">
        <f>CHOOSE(CONTROL!$C$42, 60.4516, 60.4516) * CHOOSE(CONTROL!$C$21, $C$9, 100%, $E$9)</f>
        <v>60.451599999999999</v>
      </c>
      <c r="Q763" s="14">
        <f>CHOOSE(CONTROL!$C$42, 61.0793, 61.0793) * CHOOSE(CONTROL!$C$21, $C$9, 100%, $E$9)</f>
        <v>61.079300000000003</v>
      </c>
      <c r="R763" s="14">
        <f>CHOOSE(CONTROL!$C$42, 61.819, 61.819) * CHOOSE(CONTROL!$C$21, $C$9, 100%, $E$9)</f>
        <v>61.819000000000003</v>
      </c>
      <c r="S763" s="14">
        <f>CHOOSE(CONTROL!$C$42, 59.0732, 59.0732) * CHOOSE(CONTROL!$C$21, $C$9, 100%, $E$9)</f>
        <v>59.0732</v>
      </c>
      <c r="T76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56">
        <f>(1000*CHOOSE(CONTROL!$C$42, 695, 695)*CHOOSE(CONTROL!$C$42, 0.5599, 0.5599)*CHOOSE(CONTROL!$C$42, 31, 31))/1000000</f>
        <v>12.063045499999998</v>
      </c>
      <c r="V763" s="56">
        <f>(1000*CHOOSE(CONTROL!$C$42, 500, 500)*CHOOSE(CONTROL!$C$42, 0.275, 0.275)*CHOOSE(CONTROL!$C$42, 31, 31))/1000000</f>
        <v>4.2625000000000002</v>
      </c>
      <c r="W763" s="56">
        <f>(1000*CHOOSE(CONTROL!$C$42, 0.1146, 0.1146)*CHOOSE(CONTROL!$C$42, 121.5, 121.5)*CHOOSE(CONTROL!$C$42, 31, 31))/1000000</f>
        <v>0.43164089999999994</v>
      </c>
      <c r="X763" s="56">
        <f>(31*0.1790888*245000/1000000)+(31*0.2374*100000/1000000)</f>
        <v>2.0961194359999999</v>
      </c>
      <c r="Y763" s="56"/>
      <c r="Z763" s="14"/>
      <c r="AA763" s="55"/>
      <c r="AB763" s="49">
        <f>(B763*194.205+C763*267.466+D763*133.845+E763*53.484+F763*40+G763*185+H763*0+I763*100+J763*300)/(194.205+267.466+133.845+53.484+0+40+185+100+300)</f>
        <v>61.554835593249614</v>
      </c>
      <c r="AC763" s="44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60.388358273381293</v>
      </c>
    </row>
    <row r="764" spans="1:29" ht="15.75" x14ac:dyDescent="0.25">
      <c r="A764" s="31">
        <v>64162</v>
      </c>
      <c r="B764" s="14">
        <f>CHOOSE(CONTROL!$C$42, 58.4514, 58.4514) * CHOOSE(CONTROL!$C$21, $C$9, 100%, $E$9)</f>
        <v>58.4514</v>
      </c>
      <c r="C764" s="14">
        <f>CHOOSE(CONTROL!$C$42, 58.4595, 58.4595) * CHOOSE(CONTROL!$C$21, $C$9, 100%, $E$9)</f>
        <v>58.459499999999998</v>
      </c>
      <c r="D764" s="14">
        <f>CHOOSE(CONTROL!$C$42, 58.6852, 58.6852) * CHOOSE(CONTROL!$C$21, $C$9, 100%, $E$9)</f>
        <v>58.685200000000002</v>
      </c>
      <c r="E764" s="14">
        <f>CHOOSE(CONTROL!$C$42, 58.7167, 58.7167) * CHOOSE(CONTROL!$C$21, $C$9, 100%, $E$9)</f>
        <v>58.716700000000003</v>
      </c>
      <c r="F764" s="14">
        <f>CHOOSE(CONTROL!$C$42, 58.4782, 58.4782)*CHOOSE(CONTROL!$C$21, $C$9, 100%, $E$9)</f>
        <v>58.478200000000001</v>
      </c>
      <c r="G764" s="14">
        <f>CHOOSE(CONTROL!$C$42, 58.4955, 58.4955)*CHOOSE(CONTROL!$C$21, $C$9, 100%, $E$9)</f>
        <v>58.4955</v>
      </c>
      <c r="H764" s="14">
        <f>CHOOSE(CONTROL!$C$42, 58.7053, 58.7053) * CHOOSE(CONTROL!$C$21, $C$9, 100%, $E$9)</f>
        <v>58.705300000000001</v>
      </c>
      <c r="I764" s="14">
        <f>CHOOSE(CONTROL!$C$42, 58.666, 58.666)* CHOOSE(CONTROL!$C$21, $C$9, 100%, $E$9)</f>
        <v>58.665999999999997</v>
      </c>
      <c r="J764" s="14">
        <f>CHOOSE(CONTROL!$C$42, 58.4712, 58.4712)* CHOOSE(CONTROL!$C$21, $C$9, 100%, $E$9)</f>
        <v>58.471200000000003</v>
      </c>
      <c r="K764" s="52">
        <f>CHOOSE(CONTROL!$C$42, 58.6621, 58.6621) * CHOOSE(CONTROL!$C$21, $C$9, 100%, $E$9)</f>
        <v>58.662100000000002</v>
      </c>
      <c r="L764" s="14">
        <f>CHOOSE(CONTROL!$C$42, 59.2923, 59.2923) * CHOOSE(CONTROL!$C$21, $C$9, 100%, $E$9)</f>
        <v>59.292299999999997</v>
      </c>
      <c r="M764" s="14">
        <f>CHOOSE(CONTROL!$C$42, 57.2809, 57.2809) * CHOOSE(CONTROL!$C$21, $C$9, 100%, $E$9)</f>
        <v>57.280900000000003</v>
      </c>
      <c r="N764" s="14">
        <f>CHOOSE(CONTROL!$C$42, 57.2978, 57.2978) * CHOOSE(CONTROL!$C$21, $C$9, 100%, $E$9)</f>
        <v>57.297800000000002</v>
      </c>
      <c r="O764" s="14">
        <f>CHOOSE(CONTROL!$C$42, 57.5102, 57.5102) * CHOOSE(CONTROL!$C$21, $C$9, 100%, $E$9)</f>
        <v>57.510199999999998</v>
      </c>
      <c r="P764" s="14">
        <f>CHOOSE(CONTROL!$C$42, 57.4681, 57.4681) * CHOOSE(CONTROL!$C$21, $C$9, 100%, $E$9)</f>
        <v>57.4681</v>
      </c>
      <c r="Q764" s="14">
        <f>CHOOSE(CONTROL!$C$42, 58.1049, 58.1049) * CHOOSE(CONTROL!$C$21, $C$9, 100%, $E$9)</f>
        <v>58.104900000000001</v>
      </c>
      <c r="R764" s="14">
        <f>CHOOSE(CONTROL!$C$42, 58.8372, 58.8372) * CHOOSE(CONTROL!$C$21, $C$9, 100%, $E$9)</f>
        <v>58.837200000000003</v>
      </c>
      <c r="S764" s="14">
        <f>CHOOSE(CONTROL!$C$42, 56.1553, 56.1553) * CHOOSE(CONTROL!$C$21, $C$9, 100%, $E$9)</f>
        <v>56.155299999999997</v>
      </c>
      <c r="T76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56">
        <f>(1000*CHOOSE(CONTROL!$C$42, 695, 695)*CHOOSE(CONTROL!$C$42, 0.5599, 0.5599)*CHOOSE(CONTROL!$C$42, 31, 31))/1000000</f>
        <v>12.063045499999998</v>
      </c>
      <c r="V764" s="56">
        <f>(1000*CHOOSE(CONTROL!$C$42, 500, 500)*CHOOSE(CONTROL!$C$42, 0.275, 0.275)*CHOOSE(CONTROL!$C$42, 31, 31))/1000000</f>
        <v>4.2625000000000002</v>
      </c>
      <c r="W764" s="56">
        <f>(1000*CHOOSE(CONTROL!$C$42, 0.1146, 0.1146)*CHOOSE(CONTROL!$C$42, 121.5, 121.5)*CHOOSE(CONTROL!$C$42, 31, 31))/1000000</f>
        <v>0.43164089999999994</v>
      </c>
      <c r="X764" s="56">
        <f>(31*0.1790888*245000/1000000)+(31*0.2374*100000/1000000)</f>
        <v>2.0961194359999999</v>
      </c>
      <c r="Y764" s="56"/>
      <c r="Z764" s="14"/>
      <c r="AA764" s="55"/>
      <c r="AB764" s="49">
        <f>(B764*194.205+C764*267.466+D764*133.845+E764*53.484+F764*40+G764*185+H764*0+I764*100+J764*300)/(194.205+267.466+133.845+53.484+0+40+185+100+300)</f>
        <v>58.517553250235473</v>
      </c>
      <c r="AC764" s="44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57.412735251798551</v>
      </c>
    </row>
    <row r="765" spans="1:29" ht="15.75" x14ac:dyDescent="0.25">
      <c r="A765" s="31">
        <v>64192</v>
      </c>
      <c r="B765" s="14">
        <f>CHOOSE(CONTROL!$C$42, 54.741, 54.741) * CHOOSE(CONTROL!$C$21, $C$9, 100%, $E$9)</f>
        <v>54.741</v>
      </c>
      <c r="C765" s="14">
        <f>CHOOSE(CONTROL!$C$42, 54.749, 54.749) * CHOOSE(CONTROL!$C$21, $C$9, 100%, $E$9)</f>
        <v>54.749000000000002</v>
      </c>
      <c r="D765" s="14">
        <f>CHOOSE(CONTROL!$C$42, 54.9748, 54.9748) * CHOOSE(CONTROL!$C$21, $C$9, 100%, $E$9)</f>
        <v>54.974800000000002</v>
      </c>
      <c r="E765" s="14">
        <f>CHOOSE(CONTROL!$C$42, 55.0063, 55.0063) * CHOOSE(CONTROL!$C$21, $C$9, 100%, $E$9)</f>
        <v>55.006300000000003</v>
      </c>
      <c r="F765" s="14">
        <f>CHOOSE(CONTROL!$C$42, 54.7678, 54.7678)*CHOOSE(CONTROL!$C$21, $C$9, 100%, $E$9)</f>
        <v>54.767800000000001</v>
      </c>
      <c r="G765" s="14">
        <f>CHOOSE(CONTROL!$C$42, 54.7851, 54.7851)*CHOOSE(CONTROL!$C$21, $C$9, 100%, $E$9)</f>
        <v>54.7851</v>
      </c>
      <c r="H765" s="14">
        <f>CHOOSE(CONTROL!$C$42, 54.9949, 54.9949) * CHOOSE(CONTROL!$C$21, $C$9, 100%, $E$9)</f>
        <v>54.994900000000001</v>
      </c>
      <c r="I765" s="14">
        <f>CHOOSE(CONTROL!$C$42, 54.944, 54.944)* CHOOSE(CONTROL!$C$21, $C$9, 100%, $E$9)</f>
        <v>54.944000000000003</v>
      </c>
      <c r="J765" s="14">
        <f>CHOOSE(CONTROL!$C$42, 54.7608, 54.7608)* CHOOSE(CONTROL!$C$21, $C$9, 100%, $E$9)</f>
        <v>54.760800000000003</v>
      </c>
      <c r="K765" s="52">
        <f>CHOOSE(CONTROL!$C$42, 54.9401, 54.9401) * CHOOSE(CONTROL!$C$21, $C$9, 100%, $E$9)</f>
        <v>54.940100000000001</v>
      </c>
      <c r="L765" s="14">
        <f>CHOOSE(CONTROL!$C$42, 55.5819, 55.5819) * CHOOSE(CONTROL!$C$21, $C$9, 100%, $E$9)</f>
        <v>55.581899999999997</v>
      </c>
      <c r="M765" s="14">
        <f>CHOOSE(CONTROL!$C$42, 53.6465, 53.6465) * CHOOSE(CONTROL!$C$21, $C$9, 100%, $E$9)</f>
        <v>53.646500000000003</v>
      </c>
      <c r="N765" s="14">
        <f>CHOOSE(CONTROL!$C$42, 53.6634, 53.6634) * CHOOSE(CONTROL!$C$21, $C$9, 100%, $E$9)</f>
        <v>53.663400000000003</v>
      </c>
      <c r="O765" s="14">
        <f>CHOOSE(CONTROL!$C$42, 53.8758, 53.8758) * CHOOSE(CONTROL!$C$21, $C$9, 100%, $E$9)</f>
        <v>53.875799999999998</v>
      </c>
      <c r="P765" s="14">
        <f>CHOOSE(CONTROL!$C$42, 53.8225, 53.8225) * CHOOSE(CONTROL!$C$21, $C$9, 100%, $E$9)</f>
        <v>53.822499999999998</v>
      </c>
      <c r="Q765" s="14">
        <f>CHOOSE(CONTROL!$C$42, 54.4705, 54.4705) * CHOOSE(CONTROL!$C$21, $C$9, 100%, $E$9)</f>
        <v>54.470500000000001</v>
      </c>
      <c r="R765" s="14">
        <f>CHOOSE(CONTROL!$C$42, 55.1937, 55.1937) * CHOOSE(CONTROL!$C$21, $C$9, 100%, $E$9)</f>
        <v>55.1937</v>
      </c>
      <c r="S765" s="14">
        <f>CHOOSE(CONTROL!$C$42, 52.59, 52.59) * CHOOSE(CONTROL!$C$21, $C$9, 100%, $E$9)</f>
        <v>52.59</v>
      </c>
      <c r="T76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56">
        <f>(1000*CHOOSE(CONTROL!$C$42, 695, 695)*CHOOSE(CONTROL!$C$42, 0.5599, 0.5599)*CHOOSE(CONTROL!$C$42, 30, 30))/1000000</f>
        <v>11.673914999999997</v>
      </c>
      <c r="V765" s="56">
        <f>(1000*CHOOSE(CONTROL!$C$42, 500, 500)*CHOOSE(CONTROL!$C$42, 0.275, 0.275)*CHOOSE(CONTROL!$C$42, 30, 30))/1000000</f>
        <v>4.125</v>
      </c>
      <c r="W765" s="56">
        <f>(1000*CHOOSE(CONTROL!$C$42, 0.1146, 0.1146)*CHOOSE(CONTROL!$C$42, 121.5, 121.5)*CHOOSE(CONTROL!$C$42, 30, 30))/1000000</f>
        <v>0.417717</v>
      </c>
      <c r="X765" s="56">
        <f>(30*0.1790888*245000/1000000)+(30*0.2374*100000/1000000)</f>
        <v>2.0285026799999999</v>
      </c>
      <c r="Y765" s="56"/>
      <c r="Z765" s="14"/>
      <c r="AA765" s="55"/>
      <c r="AB765" s="49">
        <f>(B765*194.205+C765*267.466+D765*133.845+E765*53.484+F765*40+G765*185+H765*0+I765*100+J765*300)/(194.205+267.466+133.845+53.484+0+40+185+100+300)</f>
        <v>54.806221737990576</v>
      </c>
      <c r="AC765" s="44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53.776723741007203</v>
      </c>
    </row>
    <row r="766" spans="1:29" ht="15.75" x14ac:dyDescent="0.25">
      <c r="A766" s="31">
        <v>64223</v>
      </c>
      <c r="B766" s="14">
        <f>CHOOSE(CONTROL!$C$42, 53.628, 53.628) * CHOOSE(CONTROL!$C$21, $C$9, 100%, $E$9)</f>
        <v>53.628</v>
      </c>
      <c r="C766" s="14">
        <f>CHOOSE(CONTROL!$C$42, 53.6333, 53.6333) * CHOOSE(CONTROL!$C$21, $C$9, 100%, $E$9)</f>
        <v>53.633299999999998</v>
      </c>
      <c r="D766" s="14">
        <f>CHOOSE(CONTROL!$C$42, 53.8641, 53.8641) * CHOOSE(CONTROL!$C$21, $C$9, 100%, $E$9)</f>
        <v>53.864100000000001</v>
      </c>
      <c r="E766" s="14">
        <f>CHOOSE(CONTROL!$C$42, 53.8932, 53.8932) * CHOOSE(CONTROL!$C$21, $C$9, 100%, $E$9)</f>
        <v>53.8932</v>
      </c>
      <c r="F766" s="14">
        <f>CHOOSE(CONTROL!$C$42, 53.6569, 53.6569)*CHOOSE(CONTROL!$C$21, $C$9, 100%, $E$9)</f>
        <v>53.6569</v>
      </c>
      <c r="G766" s="14">
        <f>CHOOSE(CONTROL!$C$42, 53.674, 53.674)*CHOOSE(CONTROL!$C$21, $C$9, 100%, $E$9)</f>
        <v>53.673999999999999</v>
      </c>
      <c r="H766" s="14">
        <f>CHOOSE(CONTROL!$C$42, 53.8837, 53.8837) * CHOOSE(CONTROL!$C$21, $C$9, 100%, $E$9)</f>
        <v>53.883699999999997</v>
      </c>
      <c r="I766" s="14">
        <f>CHOOSE(CONTROL!$C$42, 53.8293, 53.8293)* CHOOSE(CONTROL!$C$21, $C$9, 100%, $E$9)</f>
        <v>53.829300000000003</v>
      </c>
      <c r="J766" s="14">
        <f>CHOOSE(CONTROL!$C$42, 53.6499, 53.6499)* CHOOSE(CONTROL!$C$21, $C$9, 100%, $E$9)</f>
        <v>53.649900000000002</v>
      </c>
      <c r="K766" s="52">
        <f>CHOOSE(CONTROL!$C$42, 53.8254, 53.8254) * CHOOSE(CONTROL!$C$21, $C$9, 100%, $E$9)</f>
        <v>53.825400000000002</v>
      </c>
      <c r="L766" s="14">
        <f>CHOOSE(CONTROL!$C$42, 54.4707, 54.4707) * CHOOSE(CONTROL!$C$21, $C$9, 100%, $E$9)</f>
        <v>54.470700000000001</v>
      </c>
      <c r="M766" s="14">
        <f>CHOOSE(CONTROL!$C$42, 52.5583, 52.5583) * CHOOSE(CONTROL!$C$21, $C$9, 100%, $E$9)</f>
        <v>52.558300000000003</v>
      </c>
      <c r="N766" s="14">
        <f>CHOOSE(CONTROL!$C$42, 52.5751, 52.5751) * CHOOSE(CONTROL!$C$21, $C$9, 100%, $E$9)</f>
        <v>52.575099999999999</v>
      </c>
      <c r="O766" s="14">
        <f>CHOOSE(CONTROL!$C$42, 52.7873, 52.7873) * CHOOSE(CONTROL!$C$21, $C$9, 100%, $E$9)</f>
        <v>52.787300000000002</v>
      </c>
      <c r="P766" s="14">
        <f>CHOOSE(CONTROL!$C$42, 52.7307, 52.7307) * CHOOSE(CONTROL!$C$21, $C$9, 100%, $E$9)</f>
        <v>52.730699999999999</v>
      </c>
      <c r="Q766" s="14">
        <f>CHOOSE(CONTROL!$C$42, 53.382, 53.382) * CHOOSE(CONTROL!$C$21, $C$9, 100%, $E$9)</f>
        <v>53.381999999999998</v>
      </c>
      <c r="R766" s="14">
        <f>CHOOSE(CONTROL!$C$42, 54.1025, 54.1025) * CHOOSE(CONTROL!$C$21, $C$9, 100%, $E$9)</f>
        <v>54.102499999999999</v>
      </c>
      <c r="S766" s="14">
        <f>CHOOSE(CONTROL!$C$42, 51.5222, 51.5222) * CHOOSE(CONTROL!$C$21, $C$9, 100%, $E$9)</f>
        <v>51.522199999999998</v>
      </c>
      <c r="T76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56">
        <f>(1000*CHOOSE(CONTROL!$C$42, 695, 695)*CHOOSE(CONTROL!$C$42, 0.5599, 0.5599)*CHOOSE(CONTROL!$C$42, 31, 31))/1000000</f>
        <v>12.063045499999998</v>
      </c>
      <c r="V766" s="56">
        <f>(1000*CHOOSE(CONTROL!$C$42, 500, 500)*CHOOSE(CONTROL!$C$42, 0.275, 0.275)*CHOOSE(CONTROL!$C$42, 31, 31))/1000000</f>
        <v>4.2625000000000002</v>
      </c>
      <c r="W766" s="56">
        <f>(1000*CHOOSE(CONTROL!$C$42, 0.1146, 0.1146)*CHOOSE(CONTROL!$C$42, 121.5, 121.5)*CHOOSE(CONTROL!$C$42, 31, 31))/1000000</f>
        <v>0.43164089999999994</v>
      </c>
      <c r="X766" s="56">
        <f>(31*0.1790888*245000/1000000)+(31*0.2374*100000/1000000)</f>
        <v>2.0961194359999999</v>
      </c>
      <c r="Y766" s="56"/>
      <c r="Z766" s="14"/>
      <c r="AA766" s="55"/>
      <c r="AB766" s="49">
        <f>(B766*131.881+C766*277.167+D766*79.08+E766*125.872+F766*40+G766*185+H766*0+I766*100+J766*300)/(131.881+277.167+79.08+125.872+0+40+185+100+300)</f>
        <v>53.700548044794189</v>
      </c>
      <c r="AC766" s="44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52.687864028776971</v>
      </c>
    </row>
    <row r="767" spans="1:29" ht="15.75" x14ac:dyDescent="0.25">
      <c r="A767" s="31">
        <v>64253</v>
      </c>
      <c r="B767" s="14">
        <f>CHOOSE(CONTROL!$C$42, 55.0402, 55.0402) * CHOOSE(CONTROL!$C$21, $C$9, 100%, $E$9)</f>
        <v>55.040199999999999</v>
      </c>
      <c r="C767" s="14">
        <f>CHOOSE(CONTROL!$C$42, 55.0452, 55.0452) * CHOOSE(CONTROL!$C$21, $C$9, 100%, $E$9)</f>
        <v>55.045200000000001</v>
      </c>
      <c r="D767" s="14">
        <f>CHOOSE(CONTROL!$C$42, 55.1142, 55.1142) * CHOOSE(CONTROL!$C$21, $C$9, 100%, $E$9)</f>
        <v>55.114199999999997</v>
      </c>
      <c r="E767" s="14">
        <f>CHOOSE(CONTROL!$C$42, 55.1483, 55.1483) * CHOOSE(CONTROL!$C$21, $C$9, 100%, $E$9)</f>
        <v>55.148299999999999</v>
      </c>
      <c r="F767" s="14">
        <f>CHOOSE(CONTROL!$C$42, 55.0757, 55.0757)*CHOOSE(CONTROL!$C$21, $C$9, 100%, $E$9)</f>
        <v>55.075699999999998</v>
      </c>
      <c r="G767" s="14">
        <f>CHOOSE(CONTROL!$C$42, 55.0931, 55.0931)*CHOOSE(CONTROL!$C$21, $C$9, 100%, $E$9)</f>
        <v>55.0931</v>
      </c>
      <c r="H767" s="14">
        <f>CHOOSE(CONTROL!$C$42, 55.1375, 55.1375) * CHOOSE(CONTROL!$C$21, $C$9, 100%, $E$9)</f>
        <v>55.137500000000003</v>
      </c>
      <c r="I767" s="14">
        <f>CHOOSE(CONTROL!$C$42, 55.2489, 55.2489)* CHOOSE(CONTROL!$C$21, $C$9, 100%, $E$9)</f>
        <v>55.248899999999999</v>
      </c>
      <c r="J767" s="14">
        <f>CHOOSE(CONTROL!$C$42, 55.0687, 55.0687)* CHOOSE(CONTROL!$C$21, $C$9, 100%, $E$9)</f>
        <v>55.0687</v>
      </c>
      <c r="K767" s="52">
        <f>CHOOSE(CONTROL!$C$42, 55.245, 55.245) * CHOOSE(CONTROL!$C$21, $C$9, 100%, $E$9)</f>
        <v>55.244999999999997</v>
      </c>
      <c r="L767" s="14">
        <f>CHOOSE(CONTROL!$C$42, 55.7245, 55.7245) * CHOOSE(CONTROL!$C$21, $C$9, 100%, $E$9)</f>
        <v>55.724499999999999</v>
      </c>
      <c r="M767" s="14">
        <f>CHOOSE(CONTROL!$C$42, 53.9481, 53.9481) * CHOOSE(CONTROL!$C$21, $C$9, 100%, $E$9)</f>
        <v>53.948099999999997</v>
      </c>
      <c r="N767" s="14">
        <f>CHOOSE(CONTROL!$C$42, 53.9652, 53.9652) * CHOOSE(CONTROL!$C$21, $C$9, 100%, $E$9)</f>
        <v>53.965200000000003</v>
      </c>
      <c r="O767" s="14">
        <f>CHOOSE(CONTROL!$C$42, 54.0155, 54.0155) * CHOOSE(CONTROL!$C$21, $C$9, 100%, $E$9)</f>
        <v>54.015500000000003</v>
      </c>
      <c r="P767" s="14">
        <f>CHOOSE(CONTROL!$C$42, 54.1211, 54.1211) * CHOOSE(CONTROL!$C$21, $C$9, 100%, $E$9)</f>
        <v>54.121099999999998</v>
      </c>
      <c r="Q767" s="14">
        <f>CHOOSE(CONTROL!$C$42, 54.6102, 54.6102) * CHOOSE(CONTROL!$C$21, $C$9, 100%, $E$9)</f>
        <v>54.610199999999999</v>
      </c>
      <c r="R767" s="14">
        <f>CHOOSE(CONTROL!$C$42, 55.3337, 55.3337) * CHOOSE(CONTROL!$C$21, $C$9, 100%, $E$9)</f>
        <v>55.3337</v>
      </c>
      <c r="S767" s="14">
        <f>CHOOSE(CONTROL!$C$42, 52.8795, 52.8795) * CHOOSE(CONTROL!$C$21, $C$9, 100%, $E$9)</f>
        <v>52.8795</v>
      </c>
      <c r="T76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56">
        <f>(1000*CHOOSE(CONTROL!$C$42, 695, 695)*CHOOSE(CONTROL!$C$42, 0.5599, 0.5599)*CHOOSE(CONTROL!$C$42, 30, 30))/1000000</f>
        <v>11.673914999999997</v>
      </c>
      <c r="V767" s="56">
        <f>(1000*CHOOSE(CONTROL!$C$42, 500, 500)*CHOOSE(CONTROL!$C$42, 0.275, 0.275)*CHOOSE(CONTROL!$C$42, 30, 30))/1000000</f>
        <v>4.125</v>
      </c>
      <c r="W767" s="56">
        <f>(1000*CHOOSE(CONTROL!$C$42, 0.1146, 0.1146)*CHOOSE(CONTROL!$C$42, 121.5, 121.5)*CHOOSE(CONTROL!$C$42, 30, 30))/1000000</f>
        <v>0.417717</v>
      </c>
      <c r="X767" s="56">
        <f>(30*0.1790888*100000/1000000)+(30*0.2374*100000/1000000)</f>
        <v>1.2494664</v>
      </c>
      <c r="Y767" s="56"/>
      <c r="Z767" s="14"/>
      <c r="AA767" s="55"/>
      <c r="AB767" s="49">
        <f>(B767*122.58+C767*297.941+D767*89.177+E767*40.302+F767*40+G767*160+H767*0+I767*100+J767*300)/(122.58+297.941+89.177+40.302+0+40+160+100+300)</f>
        <v>55.085199521043471</v>
      </c>
      <c r="AC767" s="44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54.004524460431661</v>
      </c>
    </row>
    <row r="768" spans="1:29" ht="15.75" x14ac:dyDescent="0.25">
      <c r="A768" s="31">
        <v>64284</v>
      </c>
      <c r="B768" s="14">
        <f>CHOOSE(CONTROL!$C$42, 58.7921, 58.7921) * CHOOSE(CONTROL!$C$21, $C$9, 100%, $E$9)</f>
        <v>58.792099999999998</v>
      </c>
      <c r="C768" s="14">
        <f>CHOOSE(CONTROL!$C$42, 58.7972, 58.7972) * CHOOSE(CONTROL!$C$21, $C$9, 100%, $E$9)</f>
        <v>58.797199999999997</v>
      </c>
      <c r="D768" s="14">
        <f>CHOOSE(CONTROL!$C$42, 58.8662, 58.8662) * CHOOSE(CONTROL!$C$21, $C$9, 100%, $E$9)</f>
        <v>58.866199999999999</v>
      </c>
      <c r="E768" s="14">
        <f>CHOOSE(CONTROL!$C$42, 58.9003, 58.9003) * CHOOSE(CONTROL!$C$21, $C$9, 100%, $E$9)</f>
        <v>58.900300000000001</v>
      </c>
      <c r="F768" s="14">
        <f>CHOOSE(CONTROL!$C$42, 58.8299, 58.8299)*CHOOSE(CONTROL!$C$21, $C$9, 100%, $E$9)</f>
        <v>58.829900000000002</v>
      </c>
      <c r="G768" s="14">
        <f>CHOOSE(CONTROL!$C$42, 58.8479, 58.8479)*CHOOSE(CONTROL!$C$21, $C$9, 100%, $E$9)</f>
        <v>58.847900000000003</v>
      </c>
      <c r="H768" s="14">
        <f>CHOOSE(CONTROL!$C$42, 58.8895, 58.8895) * CHOOSE(CONTROL!$C$21, $C$9, 100%, $E$9)</f>
        <v>58.889499999999998</v>
      </c>
      <c r="I768" s="14">
        <f>CHOOSE(CONTROL!$C$42, 59.0126, 59.0126)* CHOOSE(CONTROL!$C$21, $C$9, 100%, $E$9)</f>
        <v>59.012599999999999</v>
      </c>
      <c r="J768" s="14">
        <f>CHOOSE(CONTROL!$C$42, 58.8229, 58.8229)* CHOOSE(CONTROL!$C$21, $C$9, 100%, $E$9)</f>
        <v>58.822899999999997</v>
      </c>
      <c r="K768" s="52">
        <f>CHOOSE(CONTROL!$C$42, 59.0087, 59.0087) * CHOOSE(CONTROL!$C$21, $C$9, 100%, $E$9)</f>
        <v>59.008699999999997</v>
      </c>
      <c r="L768" s="14">
        <f>CHOOSE(CONTROL!$C$42, 59.4765, 59.4765) * CHOOSE(CONTROL!$C$21, $C$9, 100%, $E$9)</f>
        <v>59.476500000000001</v>
      </c>
      <c r="M768" s="14">
        <f>CHOOSE(CONTROL!$C$42, 57.6254, 57.6254) * CHOOSE(CONTROL!$C$21, $C$9, 100%, $E$9)</f>
        <v>57.625399999999999</v>
      </c>
      <c r="N768" s="14">
        <f>CHOOSE(CONTROL!$C$42, 57.643, 57.643) * CHOOSE(CONTROL!$C$21, $C$9, 100%, $E$9)</f>
        <v>57.643000000000001</v>
      </c>
      <c r="O768" s="14">
        <f>CHOOSE(CONTROL!$C$42, 57.6906, 57.6906) * CHOOSE(CONTROL!$C$21, $C$9, 100%, $E$9)</f>
        <v>57.690600000000003</v>
      </c>
      <c r="P768" s="14">
        <f>CHOOSE(CONTROL!$C$42, 57.8075, 57.8075) * CHOOSE(CONTROL!$C$21, $C$9, 100%, $E$9)</f>
        <v>57.807499999999997</v>
      </c>
      <c r="Q768" s="14">
        <f>CHOOSE(CONTROL!$C$42, 58.2853, 58.2853) * CHOOSE(CONTROL!$C$21, $C$9, 100%, $E$9)</f>
        <v>58.285299999999999</v>
      </c>
      <c r="R768" s="14">
        <f>CHOOSE(CONTROL!$C$42, 59.018, 59.018) * CHOOSE(CONTROL!$C$21, $C$9, 100%, $E$9)</f>
        <v>59.018000000000001</v>
      </c>
      <c r="S768" s="14">
        <f>CHOOSE(CONTROL!$C$42, 56.4848, 56.4848) * CHOOSE(CONTROL!$C$21, $C$9, 100%, $E$9)</f>
        <v>56.4848</v>
      </c>
      <c r="T76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56">
        <f>(1000*CHOOSE(CONTROL!$C$42, 695, 695)*CHOOSE(CONTROL!$C$42, 0.5599, 0.5599)*CHOOSE(CONTROL!$C$42, 31, 31))/1000000</f>
        <v>12.063045499999998</v>
      </c>
      <c r="V768" s="56">
        <f>(1000*CHOOSE(CONTROL!$C$42, 500, 500)*CHOOSE(CONTROL!$C$42, 0.275, 0.275)*CHOOSE(CONTROL!$C$42, 31, 31))/1000000</f>
        <v>4.2625000000000002</v>
      </c>
      <c r="W768" s="56">
        <f>(1000*CHOOSE(CONTROL!$C$42, 0.1146, 0.1146)*CHOOSE(CONTROL!$C$42, 121.5, 121.5)*CHOOSE(CONTROL!$C$42, 31, 31))/1000000</f>
        <v>0.43164089999999994</v>
      </c>
      <c r="X768" s="56">
        <f>(31*0.1790888*100000/1000000)+(31*0.2374*100000/1000000)</f>
        <v>1.2911152800000001</v>
      </c>
      <c r="Y768" s="56"/>
      <c r="Z768" s="14"/>
      <c r="AA768" s="55"/>
      <c r="AB768" s="49">
        <f>(B768*122.58+C768*297.941+D768*89.177+E768*40.302+F768*40+G768*160+H768*0+I768*100+J768*300)/(122.58+297.941+89.177+40.302+0+40+160+100+300)</f>
        <v>58.839246253217397</v>
      </c>
      <c r="AC768" s="44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57.682165467625893</v>
      </c>
    </row>
    <row r="769" spans="1:29" ht="15.75" x14ac:dyDescent="0.25">
      <c r="A769" s="31">
        <v>64315</v>
      </c>
      <c r="B769" s="14">
        <f>CHOOSE(CONTROL!$C$42, 63.6652, 63.6652) * CHOOSE(CONTROL!$C$21, $C$9, 100%, $E$9)</f>
        <v>63.665199999999999</v>
      </c>
      <c r="C769" s="14">
        <f>CHOOSE(CONTROL!$C$42, 63.6703, 63.6703) * CHOOSE(CONTROL!$C$21, $C$9, 100%, $E$9)</f>
        <v>63.670299999999997</v>
      </c>
      <c r="D769" s="14">
        <f>CHOOSE(CONTROL!$C$42, 63.7497, 63.7497) * CHOOSE(CONTROL!$C$21, $C$9, 100%, $E$9)</f>
        <v>63.749699999999997</v>
      </c>
      <c r="E769" s="14">
        <f>CHOOSE(CONTROL!$C$42, 63.7838, 63.7838) * CHOOSE(CONTROL!$C$21, $C$9, 100%, $E$9)</f>
        <v>63.783799999999999</v>
      </c>
      <c r="F769" s="14">
        <f>CHOOSE(CONTROL!$C$42, 63.6883, 63.6883)*CHOOSE(CONTROL!$C$21, $C$9, 100%, $E$9)</f>
        <v>63.688299999999998</v>
      </c>
      <c r="G769" s="14">
        <f>CHOOSE(CONTROL!$C$42, 63.7058, 63.7058)*CHOOSE(CONTROL!$C$21, $C$9, 100%, $E$9)</f>
        <v>63.705800000000004</v>
      </c>
      <c r="H769" s="14">
        <f>CHOOSE(CONTROL!$C$42, 63.773, 63.773) * CHOOSE(CONTROL!$C$21, $C$9, 100%, $E$9)</f>
        <v>63.773000000000003</v>
      </c>
      <c r="I769" s="14">
        <f>CHOOSE(CONTROL!$C$42, 63.8999, 63.8999)* CHOOSE(CONTROL!$C$21, $C$9, 100%, $E$9)</f>
        <v>63.899900000000002</v>
      </c>
      <c r="J769" s="14">
        <f>CHOOSE(CONTROL!$C$42, 63.6813, 63.6813)* CHOOSE(CONTROL!$C$21, $C$9, 100%, $E$9)</f>
        <v>63.6813</v>
      </c>
      <c r="K769" s="52">
        <f>CHOOSE(CONTROL!$C$42, 63.896, 63.896) * CHOOSE(CONTROL!$C$21, $C$9, 100%, $E$9)</f>
        <v>63.896000000000001</v>
      </c>
      <c r="L769" s="14">
        <f>CHOOSE(CONTROL!$C$42, 64.36, 64.36) * CHOOSE(CONTROL!$C$21, $C$9, 100%, $E$9)</f>
        <v>64.36</v>
      </c>
      <c r="M769" s="14">
        <f>CHOOSE(CONTROL!$C$42, 62.3842, 62.3842) * CHOOSE(CONTROL!$C$21, $C$9, 100%, $E$9)</f>
        <v>62.3842</v>
      </c>
      <c r="N769" s="14">
        <f>CHOOSE(CONTROL!$C$42, 62.4013, 62.4013) * CHOOSE(CONTROL!$C$21, $C$9, 100%, $E$9)</f>
        <v>62.401299999999999</v>
      </c>
      <c r="O769" s="14">
        <f>CHOOSE(CONTROL!$C$42, 62.474, 62.474) * CHOOSE(CONTROL!$C$21, $C$9, 100%, $E$9)</f>
        <v>62.473999999999997</v>
      </c>
      <c r="P769" s="14">
        <f>CHOOSE(CONTROL!$C$42, 62.5944, 62.5944) * CHOOSE(CONTROL!$C$21, $C$9, 100%, $E$9)</f>
        <v>62.5944</v>
      </c>
      <c r="Q769" s="14">
        <f>CHOOSE(CONTROL!$C$42, 63.0687, 63.0687) * CHOOSE(CONTROL!$C$21, $C$9, 100%, $E$9)</f>
        <v>63.0687</v>
      </c>
      <c r="R769" s="14">
        <f>CHOOSE(CONTROL!$C$42, 63.8134, 63.8134) * CHOOSE(CONTROL!$C$21, $C$9, 100%, $E$9)</f>
        <v>63.813400000000001</v>
      </c>
      <c r="S769" s="14">
        <f>CHOOSE(CONTROL!$C$42, 61.1674, 61.1674) * CHOOSE(CONTROL!$C$21, $C$9, 100%, $E$9)</f>
        <v>61.167400000000001</v>
      </c>
      <c r="T76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56">
        <f>(1000*CHOOSE(CONTROL!$C$42, 695, 695)*CHOOSE(CONTROL!$C$42, 0.5599, 0.5599)*CHOOSE(CONTROL!$C$42, 31, 31))/1000000</f>
        <v>12.063045499999998</v>
      </c>
      <c r="V769" s="56">
        <f>(1000*CHOOSE(CONTROL!$C$42, 500, 500)*CHOOSE(CONTROL!$C$42, 0.275, 0.275)*CHOOSE(CONTROL!$C$42, 31, 31))/1000000</f>
        <v>4.2625000000000002</v>
      </c>
      <c r="W769" s="56">
        <f>(1000*CHOOSE(CONTROL!$C$42, 0.1146, 0.1146)*CHOOSE(CONTROL!$C$42, 121.5, 121.5)*CHOOSE(CONTROL!$C$42, 31, 31))/1000000</f>
        <v>0.43164089999999994</v>
      </c>
      <c r="X769" s="56">
        <f>(31*0.1790888*100000/1000000)+(31*0.2374*100000/1000000)</f>
        <v>1.2911152800000001</v>
      </c>
      <c r="Y769" s="56"/>
      <c r="Z769" s="14"/>
      <c r="AA769" s="55"/>
      <c r="AB769" s="49">
        <f>(B769*122.58+C769*297.941+D769*89.177+E769*40.302+F769*40+G769*160+H769*0+I769*100+J769*300)/(122.58+297.941+89.177+40.302+0+40+160+100+300)</f>
        <v>63.708291106782603</v>
      </c>
      <c r="AC769" s="44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62.45612949640288</v>
      </c>
    </row>
    <row r="770" spans="1:29" ht="15.75" x14ac:dyDescent="0.25">
      <c r="A770" s="31">
        <v>64344</v>
      </c>
      <c r="B770" s="14">
        <f>CHOOSE(CONTROL!$C$42, 64.7984, 64.7984) * CHOOSE(CONTROL!$C$21, $C$9, 100%, $E$9)</f>
        <v>64.798400000000001</v>
      </c>
      <c r="C770" s="14">
        <f>CHOOSE(CONTROL!$C$42, 64.8035, 64.8035) * CHOOSE(CONTROL!$C$21, $C$9, 100%, $E$9)</f>
        <v>64.8035</v>
      </c>
      <c r="D770" s="14">
        <f>CHOOSE(CONTROL!$C$42, 64.8829, 64.8829) * CHOOSE(CONTROL!$C$21, $C$9, 100%, $E$9)</f>
        <v>64.882900000000006</v>
      </c>
      <c r="E770" s="14">
        <f>CHOOSE(CONTROL!$C$42, 64.917, 64.917) * CHOOSE(CONTROL!$C$21, $C$9, 100%, $E$9)</f>
        <v>64.917000000000002</v>
      </c>
      <c r="F770" s="14">
        <f>CHOOSE(CONTROL!$C$42, 64.8212, 64.8212)*CHOOSE(CONTROL!$C$21, $C$9, 100%, $E$9)</f>
        <v>64.821200000000005</v>
      </c>
      <c r="G770" s="14">
        <f>CHOOSE(CONTROL!$C$42, 64.8386, 64.8386)*CHOOSE(CONTROL!$C$21, $C$9, 100%, $E$9)</f>
        <v>64.8386</v>
      </c>
      <c r="H770" s="14">
        <f>CHOOSE(CONTROL!$C$42, 64.9062, 64.9062) * CHOOSE(CONTROL!$C$21, $C$9, 100%, $E$9)</f>
        <v>64.906199999999998</v>
      </c>
      <c r="I770" s="14">
        <f>CHOOSE(CONTROL!$C$42, 65.0366, 65.0366)* CHOOSE(CONTROL!$C$21, $C$9, 100%, $E$9)</f>
        <v>65.036600000000007</v>
      </c>
      <c r="J770" s="14">
        <f>CHOOSE(CONTROL!$C$42, 64.8142, 64.8142)* CHOOSE(CONTROL!$C$21, $C$9, 100%, $E$9)</f>
        <v>64.8142</v>
      </c>
      <c r="K770" s="52">
        <f>CHOOSE(CONTROL!$C$42, 65.0327, 65.0327) * CHOOSE(CONTROL!$C$21, $C$9, 100%, $E$9)</f>
        <v>65.032700000000006</v>
      </c>
      <c r="L770" s="14">
        <f>CHOOSE(CONTROL!$C$42, 65.4932, 65.4932) * CHOOSE(CONTROL!$C$21, $C$9, 100%, $E$9)</f>
        <v>65.493200000000002</v>
      </c>
      <c r="M770" s="14">
        <f>CHOOSE(CONTROL!$C$42, 63.4939, 63.4939) * CHOOSE(CONTROL!$C$21, $C$9, 100%, $E$9)</f>
        <v>63.493899999999996</v>
      </c>
      <c r="N770" s="14">
        <f>CHOOSE(CONTROL!$C$42, 63.511, 63.511) * CHOOSE(CONTROL!$C$21, $C$9, 100%, $E$9)</f>
        <v>63.511000000000003</v>
      </c>
      <c r="O770" s="14">
        <f>CHOOSE(CONTROL!$C$42, 63.584, 63.584) * CHOOSE(CONTROL!$C$21, $C$9, 100%, $E$9)</f>
        <v>63.584000000000003</v>
      </c>
      <c r="P770" s="14">
        <f>CHOOSE(CONTROL!$C$42, 63.7077, 63.7077) * CHOOSE(CONTROL!$C$21, $C$9, 100%, $E$9)</f>
        <v>63.707700000000003</v>
      </c>
      <c r="Q770" s="14">
        <f>CHOOSE(CONTROL!$C$42, 64.1787, 64.1787) * CHOOSE(CONTROL!$C$21, $C$9, 100%, $E$9)</f>
        <v>64.178700000000006</v>
      </c>
      <c r="R770" s="14">
        <f>CHOOSE(CONTROL!$C$42, 64.9261, 64.9261) * CHOOSE(CONTROL!$C$21, $C$9, 100%, $E$9)</f>
        <v>64.926100000000005</v>
      </c>
      <c r="S770" s="14">
        <f>CHOOSE(CONTROL!$C$42, 62.2562, 62.2562) * CHOOSE(CONTROL!$C$21, $C$9, 100%, $E$9)</f>
        <v>62.2562</v>
      </c>
      <c r="T770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70" s="56">
        <f>(1000*CHOOSE(CONTROL!$C$42, 695, 695)*CHOOSE(CONTROL!$C$42, 0.5599, 0.5599)*CHOOSE(CONTROL!$C$42, 29, 29))/1000000</f>
        <v>11.284784499999999</v>
      </c>
      <c r="V770" s="56">
        <f>(1000*CHOOSE(CONTROL!$C$42, 500, 500)*CHOOSE(CONTROL!$C$42, 0.275, 0.275)*CHOOSE(CONTROL!$C$42, 29, 29))/1000000</f>
        <v>3.9874999999999998</v>
      </c>
      <c r="W770" s="56">
        <f>(1000*CHOOSE(CONTROL!$C$42, 0.1146, 0.1146)*CHOOSE(CONTROL!$C$42, 121.5, 121.5)*CHOOSE(CONTROL!$C$42, 29, 29))/1000000</f>
        <v>0.40379309999999996</v>
      </c>
      <c r="X770" s="56">
        <f>(29*0.1790888*100000/1000000)+(29*0.2374*100000/1000000)</f>
        <v>1.2078175199999999</v>
      </c>
      <c r="Y770" s="56"/>
      <c r="Z770" s="14"/>
      <c r="AA770" s="55"/>
      <c r="AB770" s="49">
        <f>(B770*122.58+C770*297.941+D770*89.177+E770*40.302+F770*40+G770*160+H770*0+I770*100+J770*300)/(122.58+297.941+89.177+40.302+0+40+160+100+300)</f>
        <v>64.841651106782621</v>
      </c>
      <c r="AC770" s="44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63.566483453237417</v>
      </c>
    </row>
    <row r="771" spans="1:29" ht="15.75" x14ac:dyDescent="0.25">
      <c r="A771" s="31">
        <v>64375</v>
      </c>
      <c r="B771" s="14">
        <f>CHOOSE(CONTROL!$C$42, 62.959, 62.959) * CHOOSE(CONTROL!$C$21, $C$9, 100%, $E$9)</f>
        <v>62.959000000000003</v>
      </c>
      <c r="C771" s="14">
        <f>CHOOSE(CONTROL!$C$42, 62.9641, 62.9641) * CHOOSE(CONTROL!$C$21, $C$9, 100%, $E$9)</f>
        <v>62.964100000000002</v>
      </c>
      <c r="D771" s="14">
        <f>CHOOSE(CONTROL!$C$42, 63.0435, 63.0435) * CHOOSE(CONTROL!$C$21, $C$9, 100%, $E$9)</f>
        <v>63.043500000000002</v>
      </c>
      <c r="E771" s="14">
        <f>CHOOSE(CONTROL!$C$42, 63.0776, 63.0776) * CHOOSE(CONTROL!$C$21, $C$9, 100%, $E$9)</f>
        <v>63.077599999999997</v>
      </c>
      <c r="F771" s="14">
        <f>CHOOSE(CONTROL!$C$42, 62.981, 62.981)*CHOOSE(CONTROL!$C$21, $C$9, 100%, $E$9)</f>
        <v>62.981000000000002</v>
      </c>
      <c r="G771" s="14">
        <f>CHOOSE(CONTROL!$C$42, 62.9983, 62.9983)*CHOOSE(CONTROL!$C$21, $C$9, 100%, $E$9)</f>
        <v>62.9983</v>
      </c>
      <c r="H771" s="14">
        <f>CHOOSE(CONTROL!$C$42, 63.0668, 63.0668) * CHOOSE(CONTROL!$C$21, $C$9, 100%, $E$9)</f>
        <v>63.066800000000001</v>
      </c>
      <c r="I771" s="14">
        <f>CHOOSE(CONTROL!$C$42, 63.1915, 63.1915)* CHOOSE(CONTROL!$C$21, $C$9, 100%, $E$9)</f>
        <v>63.191499999999998</v>
      </c>
      <c r="J771" s="14">
        <f>CHOOSE(CONTROL!$C$42, 62.974, 62.974)* CHOOSE(CONTROL!$C$21, $C$9, 100%, $E$9)</f>
        <v>62.973999999999997</v>
      </c>
      <c r="K771" s="52">
        <f>CHOOSE(CONTROL!$C$42, 63.1876, 63.1876) * CHOOSE(CONTROL!$C$21, $C$9, 100%, $E$9)</f>
        <v>63.187600000000003</v>
      </c>
      <c r="L771" s="14">
        <f>CHOOSE(CONTROL!$C$42, 63.6538, 63.6538) * CHOOSE(CONTROL!$C$21, $C$9, 100%, $E$9)</f>
        <v>63.653799999999997</v>
      </c>
      <c r="M771" s="14">
        <f>CHOOSE(CONTROL!$C$42, 61.6914, 61.6914) * CHOOSE(CONTROL!$C$21, $C$9, 100%, $E$9)</f>
        <v>61.691400000000002</v>
      </c>
      <c r="N771" s="14">
        <f>CHOOSE(CONTROL!$C$42, 61.7083, 61.7083) * CHOOSE(CONTROL!$C$21, $C$9, 100%, $E$9)</f>
        <v>61.708300000000001</v>
      </c>
      <c r="O771" s="14">
        <f>CHOOSE(CONTROL!$C$42, 61.7823, 61.7823) * CHOOSE(CONTROL!$C$21, $C$9, 100%, $E$9)</f>
        <v>61.782299999999999</v>
      </c>
      <c r="P771" s="14">
        <f>CHOOSE(CONTROL!$C$42, 61.9005, 61.9005) * CHOOSE(CONTROL!$C$21, $C$9, 100%, $E$9)</f>
        <v>61.900500000000001</v>
      </c>
      <c r="Q771" s="14">
        <f>CHOOSE(CONTROL!$C$42, 62.377, 62.377) * CHOOSE(CONTROL!$C$21, $C$9, 100%, $E$9)</f>
        <v>62.377000000000002</v>
      </c>
      <c r="R771" s="14">
        <f>CHOOSE(CONTROL!$C$42, 63.1199, 63.1199) * CHOOSE(CONTROL!$C$21, $C$9, 100%, $E$9)</f>
        <v>63.119900000000001</v>
      </c>
      <c r="S771" s="14">
        <f>CHOOSE(CONTROL!$C$42, 60.4888, 60.4888) * CHOOSE(CONTROL!$C$21, $C$9, 100%, $E$9)</f>
        <v>60.488799999999998</v>
      </c>
      <c r="T77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56">
        <f>(1000*CHOOSE(CONTROL!$C$42, 695, 695)*CHOOSE(CONTROL!$C$42, 0.5599, 0.5599)*CHOOSE(CONTROL!$C$42, 31, 31))/1000000</f>
        <v>12.063045499999998</v>
      </c>
      <c r="V771" s="56">
        <f>(1000*CHOOSE(CONTROL!$C$42, 500, 500)*CHOOSE(CONTROL!$C$42, 0.275, 0.275)*CHOOSE(CONTROL!$C$42, 31, 31))/1000000</f>
        <v>4.2625000000000002</v>
      </c>
      <c r="W771" s="56">
        <f>(1000*CHOOSE(CONTROL!$C$42, 0.1146, 0.1146)*CHOOSE(CONTROL!$C$42, 121.5, 121.5)*CHOOSE(CONTROL!$C$42, 31, 31))/1000000</f>
        <v>0.43164089999999994</v>
      </c>
      <c r="X771" s="56">
        <f>(31*0.1790888*100000/1000000)+(31*0.2374*100000/1000000)</f>
        <v>1.2911152800000001</v>
      </c>
      <c r="Y771" s="56"/>
      <c r="Z771" s="14"/>
      <c r="AA771" s="55"/>
      <c r="AB771" s="49">
        <f>(B771*122.58+C771*297.941+D771*89.177+E771*40.302+F771*40+G771*160+H771*0+I771*100+J771*300)/(122.58+297.941+89.177+40.302+0+40+160+100+300)</f>
        <v>63.001393715478265</v>
      </c>
      <c r="AC771" s="44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61.763658273381303</v>
      </c>
    </row>
    <row r="772" spans="1:29" ht="15.75" x14ac:dyDescent="0.25">
      <c r="A772" s="31">
        <v>64405</v>
      </c>
      <c r="B772" s="14">
        <f>CHOOSE(CONTROL!$C$42, 62.7715, 62.7715) * CHOOSE(CONTROL!$C$21, $C$9, 100%, $E$9)</f>
        <v>62.771500000000003</v>
      </c>
      <c r="C772" s="14">
        <f>CHOOSE(CONTROL!$C$42, 62.776, 62.776) * CHOOSE(CONTROL!$C$21, $C$9, 100%, $E$9)</f>
        <v>62.776000000000003</v>
      </c>
      <c r="D772" s="14">
        <f>CHOOSE(CONTROL!$C$42, 63.0049, 63.0049) * CHOOSE(CONTROL!$C$21, $C$9, 100%, $E$9)</f>
        <v>63.004899999999999</v>
      </c>
      <c r="E772" s="14">
        <f>CHOOSE(CONTROL!$C$42, 63.037, 63.037) * CHOOSE(CONTROL!$C$21, $C$9, 100%, $E$9)</f>
        <v>63.036999999999999</v>
      </c>
      <c r="F772" s="14">
        <f>CHOOSE(CONTROL!$C$42, 62.7985, 62.7985)*CHOOSE(CONTROL!$C$21, $C$9, 100%, $E$9)</f>
        <v>62.798499999999997</v>
      </c>
      <c r="G772" s="14">
        <f>CHOOSE(CONTROL!$C$42, 62.8152, 62.8152)*CHOOSE(CONTROL!$C$21, $C$9, 100%, $E$9)</f>
        <v>62.815199999999997</v>
      </c>
      <c r="H772" s="14">
        <f>CHOOSE(CONTROL!$C$42, 63.0268, 63.0268) * CHOOSE(CONTROL!$C$21, $C$9, 100%, $E$9)</f>
        <v>63.026800000000001</v>
      </c>
      <c r="I772" s="14">
        <f>CHOOSE(CONTROL!$C$42, 63.001, 63.001)* CHOOSE(CONTROL!$C$21, $C$9, 100%, $E$9)</f>
        <v>63.000999999999998</v>
      </c>
      <c r="J772" s="14">
        <f>CHOOSE(CONTROL!$C$42, 62.7915, 62.7915)* CHOOSE(CONTROL!$C$21, $C$9, 100%, $E$9)</f>
        <v>62.791499999999999</v>
      </c>
      <c r="K772" s="52">
        <f>CHOOSE(CONTROL!$C$42, 62.9972, 62.9972) * CHOOSE(CONTROL!$C$21, $C$9, 100%, $E$9)</f>
        <v>62.997199999999999</v>
      </c>
      <c r="L772" s="14">
        <f>CHOOSE(CONTROL!$C$42, 63.6138, 63.6138) * CHOOSE(CONTROL!$C$21, $C$9, 100%, $E$9)</f>
        <v>63.613799999999998</v>
      </c>
      <c r="M772" s="14">
        <f>CHOOSE(CONTROL!$C$42, 61.5127, 61.5127) * CHOOSE(CONTROL!$C$21, $C$9, 100%, $E$9)</f>
        <v>61.512700000000002</v>
      </c>
      <c r="N772" s="14">
        <f>CHOOSE(CONTROL!$C$42, 61.529, 61.529) * CHOOSE(CONTROL!$C$21, $C$9, 100%, $E$9)</f>
        <v>61.529000000000003</v>
      </c>
      <c r="O772" s="14">
        <f>CHOOSE(CONTROL!$C$42, 61.7431, 61.7431) * CHOOSE(CONTROL!$C$21, $C$9, 100%, $E$9)</f>
        <v>61.743099999999998</v>
      </c>
      <c r="P772" s="14">
        <f>CHOOSE(CONTROL!$C$42, 61.714, 61.714) * CHOOSE(CONTROL!$C$21, $C$9, 100%, $E$9)</f>
        <v>61.713999999999999</v>
      </c>
      <c r="Q772" s="14">
        <f>CHOOSE(CONTROL!$C$42, 62.3378, 62.3378) * CHOOSE(CONTROL!$C$21, $C$9, 100%, $E$9)</f>
        <v>62.337800000000001</v>
      </c>
      <c r="R772" s="14">
        <f>CHOOSE(CONTROL!$C$42, 63.0807, 63.0807) * CHOOSE(CONTROL!$C$21, $C$9, 100%, $E$9)</f>
        <v>63.0807</v>
      </c>
      <c r="S772" s="14">
        <f>CHOOSE(CONTROL!$C$42, 60.3079, 60.3079) * CHOOSE(CONTROL!$C$21, $C$9, 100%, $E$9)</f>
        <v>60.307899999999997</v>
      </c>
      <c r="T77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56">
        <f>(1000*CHOOSE(CONTROL!$C$42, 695, 695)*CHOOSE(CONTROL!$C$42, 0.5599, 0.5599)*CHOOSE(CONTROL!$C$42, 30, 30))/1000000</f>
        <v>11.673914999999997</v>
      </c>
      <c r="V772" s="56">
        <f>(1000*CHOOSE(CONTROL!$C$42, 500, 500)*CHOOSE(CONTROL!$C$42, 0.275, 0.275)*CHOOSE(CONTROL!$C$42, 30, 30))/1000000</f>
        <v>4.125</v>
      </c>
      <c r="W772" s="56">
        <f>(1000*CHOOSE(CONTROL!$C$42, 0.1146, 0.1146)*CHOOSE(CONTROL!$C$42, 121.5, 121.5)*CHOOSE(CONTROL!$C$42, 30, 30))/1000000</f>
        <v>0.417717</v>
      </c>
      <c r="X772" s="56">
        <f>(30*0.1790888*245000/1000000)+(30*0.2374*100000/1000000)</f>
        <v>2.0285026799999999</v>
      </c>
      <c r="Y772" s="56"/>
      <c r="Z772" s="14"/>
      <c r="AA772" s="55"/>
      <c r="AB772" s="49">
        <f>(B772*141.293+C772*267.993+D772*115.016+E772*89.698+F772*40+G772*185+H772*0+I772*100+J772*300)/(141.293+267.993+115.016+89.698+0+40+185+100+300)</f>
        <v>62.844123100807103</v>
      </c>
      <c r="AC772" s="44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61.64702805755396</v>
      </c>
    </row>
    <row r="773" spans="1:29" ht="15.75" x14ac:dyDescent="0.25">
      <c r="A773" s="31">
        <v>64436</v>
      </c>
      <c r="B773" s="14">
        <f>CHOOSE(CONTROL!$C$42, 63.3269, 63.3269) * CHOOSE(CONTROL!$C$21, $C$9, 100%, $E$9)</f>
        <v>63.326900000000002</v>
      </c>
      <c r="C773" s="14">
        <f>CHOOSE(CONTROL!$C$42, 63.3349, 63.3349) * CHOOSE(CONTROL!$C$21, $C$9, 100%, $E$9)</f>
        <v>63.334899999999998</v>
      </c>
      <c r="D773" s="14">
        <f>CHOOSE(CONTROL!$C$42, 63.5607, 63.5607) * CHOOSE(CONTROL!$C$21, $C$9, 100%, $E$9)</f>
        <v>63.560699999999997</v>
      </c>
      <c r="E773" s="14">
        <f>CHOOSE(CONTROL!$C$42, 63.5921, 63.5921) * CHOOSE(CONTROL!$C$21, $C$9, 100%, $E$9)</f>
        <v>63.592100000000002</v>
      </c>
      <c r="F773" s="14">
        <f>CHOOSE(CONTROL!$C$42, 63.3525, 63.3525)*CHOOSE(CONTROL!$C$21, $C$9, 100%, $E$9)</f>
        <v>63.352499999999999</v>
      </c>
      <c r="G773" s="14">
        <f>CHOOSE(CONTROL!$C$42, 63.3695, 63.3695)*CHOOSE(CONTROL!$C$21, $C$9, 100%, $E$9)</f>
        <v>63.369500000000002</v>
      </c>
      <c r="H773" s="14">
        <f>CHOOSE(CONTROL!$C$42, 63.5808, 63.5808) * CHOOSE(CONTROL!$C$21, $C$9, 100%, $E$9)</f>
        <v>63.580800000000004</v>
      </c>
      <c r="I773" s="14">
        <f>CHOOSE(CONTROL!$C$42, 63.5567, 63.5567)* CHOOSE(CONTROL!$C$21, $C$9, 100%, $E$9)</f>
        <v>63.556699999999999</v>
      </c>
      <c r="J773" s="14">
        <f>CHOOSE(CONTROL!$C$42, 63.3455, 63.3455)* CHOOSE(CONTROL!$C$21, $C$9, 100%, $E$9)</f>
        <v>63.345500000000001</v>
      </c>
      <c r="K773" s="52">
        <f>CHOOSE(CONTROL!$C$42, 63.5528, 63.5528) * CHOOSE(CONTROL!$C$21, $C$9, 100%, $E$9)</f>
        <v>63.552799999999998</v>
      </c>
      <c r="L773" s="14">
        <f>CHOOSE(CONTROL!$C$42, 64.1678, 64.1678) * CHOOSE(CONTROL!$C$21, $C$9, 100%, $E$9)</f>
        <v>64.1678</v>
      </c>
      <c r="M773" s="14">
        <f>CHOOSE(CONTROL!$C$42, 62.0553, 62.0553) * CHOOSE(CONTROL!$C$21, $C$9, 100%, $E$9)</f>
        <v>62.055300000000003</v>
      </c>
      <c r="N773" s="14">
        <f>CHOOSE(CONTROL!$C$42, 62.0719, 62.0719) * CHOOSE(CONTROL!$C$21, $C$9, 100%, $E$9)</f>
        <v>62.071899999999999</v>
      </c>
      <c r="O773" s="14">
        <f>CHOOSE(CONTROL!$C$42, 62.2857, 62.2857) * CHOOSE(CONTROL!$C$21, $C$9, 100%, $E$9)</f>
        <v>62.285699999999999</v>
      </c>
      <c r="P773" s="14">
        <f>CHOOSE(CONTROL!$C$42, 62.2583, 62.2583) * CHOOSE(CONTROL!$C$21, $C$9, 100%, $E$9)</f>
        <v>62.258299999999998</v>
      </c>
      <c r="Q773" s="14">
        <f>CHOOSE(CONTROL!$C$42, 62.8804, 62.8804) * CHOOSE(CONTROL!$C$21, $C$9, 100%, $E$9)</f>
        <v>62.880400000000002</v>
      </c>
      <c r="R773" s="14">
        <f>CHOOSE(CONTROL!$C$42, 63.6246, 63.6246) * CHOOSE(CONTROL!$C$21, $C$9, 100%, $E$9)</f>
        <v>63.624600000000001</v>
      </c>
      <c r="S773" s="14">
        <f>CHOOSE(CONTROL!$C$42, 60.8401, 60.8401) * CHOOSE(CONTROL!$C$21, $C$9, 100%, $E$9)</f>
        <v>60.8401</v>
      </c>
      <c r="T77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56">
        <f>(1000*CHOOSE(CONTROL!$C$42, 695, 695)*CHOOSE(CONTROL!$C$42, 0.5599, 0.5599)*CHOOSE(CONTROL!$C$42, 31, 31))/1000000</f>
        <v>12.063045499999998</v>
      </c>
      <c r="V773" s="56">
        <f>(1000*CHOOSE(CONTROL!$C$42, 500, 500)*CHOOSE(CONTROL!$C$42, 0.275, 0.275)*CHOOSE(CONTROL!$C$42, 31, 31))/1000000</f>
        <v>4.2625000000000002</v>
      </c>
      <c r="W773" s="56">
        <f>(1000*CHOOSE(CONTROL!$C$42, 0.1146, 0.1146)*CHOOSE(CONTROL!$C$42, 121.5, 121.5)*CHOOSE(CONTROL!$C$42, 31, 31))/1000000</f>
        <v>0.43164089999999994</v>
      </c>
      <c r="X773" s="56">
        <f>(31*0.1790888*245000/1000000)+(31*0.2374*100000/1000000)</f>
        <v>2.0961194359999999</v>
      </c>
      <c r="Y773" s="56"/>
      <c r="Z773" s="14"/>
      <c r="AA773" s="55"/>
      <c r="AB773" s="49">
        <f>(B773*194.205+C773*267.466+D773*133.845+E773*53.484+F773*40+G773*185+H773*0+I773*100+J773*300)/(194.205+267.466+133.845+53.484+0+40+185+100+300)</f>
        <v>63.393683081475672</v>
      </c>
      <c r="AC773" s="44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62.189889928057568</v>
      </c>
    </row>
    <row r="774" spans="1:29" ht="15.75" x14ac:dyDescent="0.25">
      <c r="A774" s="31">
        <v>64466</v>
      </c>
      <c r="B774" s="14">
        <f>CHOOSE(CONTROL!$C$42, 65.1229, 65.1229) * CHOOSE(CONTROL!$C$21, $C$9, 100%, $E$9)</f>
        <v>65.122900000000001</v>
      </c>
      <c r="C774" s="14">
        <f>CHOOSE(CONTROL!$C$42, 65.1309, 65.1309) * CHOOSE(CONTROL!$C$21, $C$9, 100%, $E$9)</f>
        <v>65.130899999999997</v>
      </c>
      <c r="D774" s="14">
        <f>CHOOSE(CONTROL!$C$42, 65.3567, 65.3567) * CHOOSE(CONTROL!$C$21, $C$9, 100%, $E$9)</f>
        <v>65.356700000000004</v>
      </c>
      <c r="E774" s="14">
        <f>CHOOSE(CONTROL!$C$42, 65.3881, 65.3881) * CHOOSE(CONTROL!$C$21, $C$9, 100%, $E$9)</f>
        <v>65.388099999999994</v>
      </c>
      <c r="F774" s="14">
        <f>CHOOSE(CONTROL!$C$42, 65.149, 65.149)*CHOOSE(CONTROL!$C$21, $C$9, 100%, $E$9)</f>
        <v>65.149000000000001</v>
      </c>
      <c r="G774" s="14">
        <f>CHOOSE(CONTROL!$C$42, 65.166, 65.166)*CHOOSE(CONTROL!$C$21, $C$9, 100%, $E$9)</f>
        <v>65.165999999999997</v>
      </c>
      <c r="H774" s="14">
        <f>CHOOSE(CONTROL!$C$42, 65.3768, 65.3768) * CHOOSE(CONTROL!$C$21, $C$9, 100%, $E$9)</f>
        <v>65.376800000000003</v>
      </c>
      <c r="I774" s="14">
        <f>CHOOSE(CONTROL!$C$42, 65.3584, 65.3584)* CHOOSE(CONTROL!$C$21, $C$9, 100%, $E$9)</f>
        <v>65.358400000000003</v>
      </c>
      <c r="J774" s="14">
        <f>CHOOSE(CONTROL!$C$42, 65.142, 65.142)* CHOOSE(CONTROL!$C$21, $C$9, 100%, $E$9)</f>
        <v>65.141999999999996</v>
      </c>
      <c r="K774" s="52">
        <f>CHOOSE(CONTROL!$C$42, 65.3545, 65.3545) * CHOOSE(CONTROL!$C$21, $C$9, 100%, $E$9)</f>
        <v>65.354500000000002</v>
      </c>
      <c r="L774" s="14">
        <f>CHOOSE(CONTROL!$C$42, 65.9638, 65.9638) * CHOOSE(CONTROL!$C$21, $C$9, 100%, $E$9)</f>
        <v>65.963800000000006</v>
      </c>
      <c r="M774" s="14">
        <f>CHOOSE(CONTROL!$C$42, 63.8149, 63.8149) * CHOOSE(CONTROL!$C$21, $C$9, 100%, $E$9)</f>
        <v>63.814900000000002</v>
      </c>
      <c r="N774" s="14">
        <f>CHOOSE(CONTROL!$C$42, 63.8317, 63.8317) * CHOOSE(CONTROL!$C$21, $C$9, 100%, $E$9)</f>
        <v>63.831699999999998</v>
      </c>
      <c r="O774" s="14">
        <f>CHOOSE(CONTROL!$C$42, 64.0449, 64.0449) * CHOOSE(CONTROL!$C$21, $C$9, 100%, $E$9)</f>
        <v>64.044899999999998</v>
      </c>
      <c r="P774" s="14">
        <f>CHOOSE(CONTROL!$C$42, 64.0229, 64.0229) * CHOOSE(CONTROL!$C$21, $C$9, 100%, $E$9)</f>
        <v>64.022900000000007</v>
      </c>
      <c r="Q774" s="14">
        <f>CHOOSE(CONTROL!$C$42, 64.6396, 64.6396) * CHOOSE(CONTROL!$C$21, $C$9, 100%, $E$9)</f>
        <v>64.639600000000002</v>
      </c>
      <c r="R774" s="14">
        <f>CHOOSE(CONTROL!$C$42, 65.3882, 65.3882) * CHOOSE(CONTROL!$C$21, $C$9, 100%, $E$9)</f>
        <v>65.388199999999998</v>
      </c>
      <c r="S774" s="14">
        <f>CHOOSE(CONTROL!$C$42, 62.5659, 62.5659) * CHOOSE(CONTROL!$C$21, $C$9, 100%, $E$9)</f>
        <v>62.565899999999999</v>
      </c>
      <c r="T77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56">
        <f>(1000*CHOOSE(CONTROL!$C$42, 695, 695)*CHOOSE(CONTROL!$C$42, 0.5599, 0.5599)*CHOOSE(CONTROL!$C$42, 30, 30))/1000000</f>
        <v>11.673914999999997</v>
      </c>
      <c r="V774" s="56">
        <f>(1000*CHOOSE(CONTROL!$C$42, 500, 500)*CHOOSE(CONTROL!$C$42, 0.275, 0.275)*CHOOSE(CONTROL!$C$42, 30, 30))/1000000</f>
        <v>4.125</v>
      </c>
      <c r="W774" s="56">
        <f>(1000*CHOOSE(CONTROL!$C$42, 0.1146, 0.1146)*CHOOSE(CONTROL!$C$42, 121.5, 121.5)*CHOOSE(CONTROL!$C$42, 30, 30))/1000000</f>
        <v>0.417717</v>
      </c>
      <c r="X774" s="56">
        <f>(30*0.1790888*245000/1000000)+(30*0.2374*100000/1000000)</f>
        <v>2.0285026799999999</v>
      </c>
      <c r="Y774" s="56"/>
      <c r="Z774" s="14"/>
      <c r="AA774" s="55"/>
      <c r="AB774" s="49">
        <f>(B774*194.205+C774*267.466+D774*133.845+E774*53.484+F774*40+G774*185+H774*0+I774*100+J774*300)/(194.205+267.466+133.845+53.484+0+40+185+100+300)</f>
        <v>65.190336535164818</v>
      </c>
      <c r="AC774" s="44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63.950039568345332</v>
      </c>
    </row>
    <row r="775" spans="1:29" ht="15.75" x14ac:dyDescent="0.25">
      <c r="A775" s="31">
        <v>64497</v>
      </c>
      <c r="B775" s="14">
        <f>CHOOSE(CONTROL!$C$42, 63.8737, 63.8737) * CHOOSE(CONTROL!$C$21, $C$9, 100%, $E$9)</f>
        <v>63.873699999999999</v>
      </c>
      <c r="C775" s="14">
        <f>CHOOSE(CONTROL!$C$42, 63.8818, 63.8818) * CHOOSE(CONTROL!$C$21, $C$9, 100%, $E$9)</f>
        <v>63.881799999999998</v>
      </c>
      <c r="D775" s="14">
        <f>CHOOSE(CONTROL!$C$42, 64.1075, 64.1075) * CHOOSE(CONTROL!$C$21, $C$9, 100%, $E$9)</f>
        <v>64.107500000000002</v>
      </c>
      <c r="E775" s="14">
        <f>CHOOSE(CONTROL!$C$42, 64.139, 64.139) * CHOOSE(CONTROL!$C$21, $C$9, 100%, $E$9)</f>
        <v>64.138999999999996</v>
      </c>
      <c r="F775" s="14">
        <f>CHOOSE(CONTROL!$C$42, 63.9003, 63.9003)*CHOOSE(CONTROL!$C$21, $C$9, 100%, $E$9)</f>
        <v>63.900300000000001</v>
      </c>
      <c r="G775" s="14">
        <f>CHOOSE(CONTROL!$C$42, 63.9175, 63.9175)*CHOOSE(CONTROL!$C$21, $C$9, 100%, $E$9)</f>
        <v>63.917499999999997</v>
      </c>
      <c r="H775" s="14">
        <f>CHOOSE(CONTROL!$C$42, 64.1276, 64.1276) * CHOOSE(CONTROL!$C$21, $C$9, 100%, $E$9)</f>
        <v>64.127600000000001</v>
      </c>
      <c r="I775" s="14">
        <f>CHOOSE(CONTROL!$C$42, 64.1053, 64.1053)* CHOOSE(CONTROL!$C$21, $C$9, 100%, $E$9)</f>
        <v>64.1053</v>
      </c>
      <c r="J775" s="14">
        <f>CHOOSE(CONTROL!$C$42, 63.8933, 63.8933)* CHOOSE(CONTROL!$C$21, $C$9, 100%, $E$9)</f>
        <v>63.893300000000004</v>
      </c>
      <c r="K775" s="52">
        <f>CHOOSE(CONTROL!$C$42, 64.1014, 64.1014) * CHOOSE(CONTROL!$C$21, $C$9, 100%, $E$9)</f>
        <v>64.101399999999998</v>
      </c>
      <c r="L775" s="14">
        <f>CHOOSE(CONTROL!$C$42, 64.7146, 64.7146) * CHOOSE(CONTROL!$C$21, $C$9, 100%, $E$9)</f>
        <v>64.714600000000004</v>
      </c>
      <c r="M775" s="14">
        <f>CHOOSE(CONTROL!$C$42, 62.5919, 62.5919) * CHOOSE(CONTROL!$C$21, $C$9, 100%, $E$9)</f>
        <v>62.591900000000003</v>
      </c>
      <c r="N775" s="14">
        <f>CHOOSE(CONTROL!$C$42, 62.6087, 62.6087) * CHOOSE(CONTROL!$C$21, $C$9, 100%, $E$9)</f>
        <v>62.608699999999999</v>
      </c>
      <c r="O775" s="14">
        <f>CHOOSE(CONTROL!$C$42, 62.8214, 62.8214) * CHOOSE(CONTROL!$C$21, $C$9, 100%, $E$9)</f>
        <v>62.821399999999997</v>
      </c>
      <c r="P775" s="14">
        <f>CHOOSE(CONTROL!$C$42, 62.7956, 62.7956) * CHOOSE(CONTROL!$C$21, $C$9, 100%, $E$9)</f>
        <v>62.7956</v>
      </c>
      <c r="Q775" s="14">
        <f>CHOOSE(CONTROL!$C$42, 63.4161, 63.4161) * CHOOSE(CONTROL!$C$21, $C$9, 100%, $E$9)</f>
        <v>63.4161</v>
      </c>
      <c r="R775" s="14">
        <f>CHOOSE(CONTROL!$C$42, 64.1616, 64.1616) * CHOOSE(CONTROL!$C$21, $C$9, 100%, $E$9)</f>
        <v>64.161600000000007</v>
      </c>
      <c r="S775" s="14">
        <f>CHOOSE(CONTROL!$C$42, 61.3656, 61.3656) * CHOOSE(CONTROL!$C$21, $C$9, 100%, $E$9)</f>
        <v>61.365600000000001</v>
      </c>
      <c r="T77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56">
        <f>(1000*CHOOSE(CONTROL!$C$42, 695, 695)*CHOOSE(CONTROL!$C$42, 0.5599, 0.5599)*CHOOSE(CONTROL!$C$42, 31, 31))/1000000</f>
        <v>12.063045499999998</v>
      </c>
      <c r="V775" s="56">
        <f>(1000*CHOOSE(CONTROL!$C$42, 500, 500)*CHOOSE(CONTROL!$C$42, 0.275, 0.275)*CHOOSE(CONTROL!$C$42, 31, 31))/1000000</f>
        <v>4.2625000000000002</v>
      </c>
      <c r="W775" s="56">
        <f>(1000*CHOOSE(CONTROL!$C$42, 0.1146, 0.1146)*CHOOSE(CONTROL!$C$42, 121.5, 121.5)*CHOOSE(CONTROL!$C$42, 31, 31))/1000000</f>
        <v>0.43164089999999994</v>
      </c>
      <c r="X775" s="56">
        <f>(31*0.1790888*245000/1000000)+(31*0.2374*100000/1000000)</f>
        <v>2.0961194359999999</v>
      </c>
      <c r="Y775" s="56"/>
      <c r="Z775" s="14"/>
      <c r="AA775" s="55"/>
      <c r="AB775" s="49">
        <f>(B775*194.205+C775*267.466+D775*133.845+E775*53.484+F775*40+G775*185+H775*0+I775*100+J775*300)/(194.205+267.466+133.845+53.484+0+40+185+100+300)</f>
        <v>63.94109069136578</v>
      </c>
      <c r="AC775" s="44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62.726194244604322</v>
      </c>
    </row>
    <row r="776" spans="1:29" ht="15.75" x14ac:dyDescent="0.25">
      <c r="A776" s="31">
        <v>64528</v>
      </c>
      <c r="B776" s="14">
        <f>CHOOSE(CONTROL!$C$42, 60.7193, 60.7193) * CHOOSE(CONTROL!$C$21, $C$9, 100%, $E$9)</f>
        <v>60.719299999999997</v>
      </c>
      <c r="C776" s="14">
        <f>CHOOSE(CONTROL!$C$42, 60.7273, 60.7273) * CHOOSE(CONTROL!$C$21, $C$9, 100%, $E$9)</f>
        <v>60.7273</v>
      </c>
      <c r="D776" s="14">
        <f>CHOOSE(CONTROL!$C$42, 60.9531, 60.9531) * CHOOSE(CONTROL!$C$21, $C$9, 100%, $E$9)</f>
        <v>60.953099999999999</v>
      </c>
      <c r="E776" s="14">
        <f>CHOOSE(CONTROL!$C$42, 60.9845, 60.9845) * CHOOSE(CONTROL!$C$21, $C$9, 100%, $E$9)</f>
        <v>60.984499999999997</v>
      </c>
      <c r="F776" s="14">
        <f>CHOOSE(CONTROL!$C$42, 60.7461, 60.7461)*CHOOSE(CONTROL!$C$21, $C$9, 100%, $E$9)</f>
        <v>60.746099999999998</v>
      </c>
      <c r="G776" s="14">
        <f>CHOOSE(CONTROL!$C$42, 60.7633, 60.7633)*CHOOSE(CONTROL!$C$21, $C$9, 100%, $E$9)</f>
        <v>60.763300000000001</v>
      </c>
      <c r="H776" s="14">
        <f>CHOOSE(CONTROL!$C$42, 60.9732, 60.9732) * CHOOSE(CONTROL!$C$21, $C$9, 100%, $E$9)</f>
        <v>60.973199999999999</v>
      </c>
      <c r="I776" s="14">
        <f>CHOOSE(CONTROL!$C$42, 60.941, 60.941)* CHOOSE(CONTROL!$C$21, $C$9, 100%, $E$9)</f>
        <v>60.941000000000003</v>
      </c>
      <c r="J776" s="14">
        <f>CHOOSE(CONTROL!$C$42, 60.7391, 60.7391)* CHOOSE(CONTROL!$C$21, $C$9, 100%, $E$9)</f>
        <v>60.739100000000001</v>
      </c>
      <c r="K776" s="52">
        <f>CHOOSE(CONTROL!$C$42, 60.9371, 60.9371) * CHOOSE(CONTROL!$C$21, $C$9, 100%, $E$9)</f>
        <v>60.937100000000001</v>
      </c>
      <c r="L776" s="14">
        <f>CHOOSE(CONTROL!$C$42, 61.5602, 61.5602) * CHOOSE(CONTROL!$C$21, $C$9, 100%, $E$9)</f>
        <v>61.560200000000002</v>
      </c>
      <c r="M776" s="14">
        <f>CHOOSE(CONTROL!$C$42, 59.5023, 59.5023) * CHOOSE(CONTROL!$C$21, $C$9, 100%, $E$9)</f>
        <v>59.502299999999998</v>
      </c>
      <c r="N776" s="14">
        <f>CHOOSE(CONTROL!$C$42, 59.5192, 59.5192) * CHOOSE(CONTROL!$C$21, $C$9, 100%, $E$9)</f>
        <v>59.519199999999998</v>
      </c>
      <c r="O776" s="14">
        <f>CHOOSE(CONTROL!$C$42, 59.7316, 59.7316) * CHOOSE(CONTROL!$C$21, $C$9, 100%, $E$9)</f>
        <v>59.7316</v>
      </c>
      <c r="P776" s="14">
        <f>CHOOSE(CONTROL!$C$42, 59.6963, 59.6963) * CHOOSE(CONTROL!$C$21, $C$9, 100%, $E$9)</f>
        <v>59.696300000000001</v>
      </c>
      <c r="Q776" s="14">
        <f>CHOOSE(CONTROL!$C$42, 60.3263, 60.3263) * CHOOSE(CONTROL!$C$21, $C$9, 100%, $E$9)</f>
        <v>60.326300000000003</v>
      </c>
      <c r="R776" s="14">
        <f>CHOOSE(CONTROL!$C$42, 61.0641, 61.0641) * CHOOSE(CONTROL!$C$21, $C$9, 100%, $E$9)</f>
        <v>61.064100000000003</v>
      </c>
      <c r="S776" s="14">
        <f>CHOOSE(CONTROL!$C$42, 58.3345, 58.3345) * CHOOSE(CONTROL!$C$21, $C$9, 100%, $E$9)</f>
        <v>58.334499999999998</v>
      </c>
      <c r="T77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56">
        <f>(1000*CHOOSE(CONTROL!$C$42, 695, 695)*CHOOSE(CONTROL!$C$42, 0.5599, 0.5599)*CHOOSE(CONTROL!$C$42, 31, 31))/1000000</f>
        <v>12.063045499999998</v>
      </c>
      <c r="V776" s="56">
        <f>(1000*CHOOSE(CONTROL!$C$42, 500, 500)*CHOOSE(CONTROL!$C$42, 0.275, 0.275)*CHOOSE(CONTROL!$C$42, 31, 31))/1000000</f>
        <v>4.2625000000000002</v>
      </c>
      <c r="W776" s="56">
        <f>(1000*CHOOSE(CONTROL!$C$42, 0.1146, 0.1146)*CHOOSE(CONTROL!$C$42, 121.5, 121.5)*CHOOSE(CONTROL!$C$42, 31, 31))/1000000</f>
        <v>0.43164089999999994</v>
      </c>
      <c r="X776" s="56">
        <f>(31*0.1790888*245000/1000000)+(31*0.2374*100000/1000000)</f>
        <v>2.0961194359999999</v>
      </c>
      <c r="Y776" s="56"/>
      <c r="Z776" s="14"/>
      <c r="AA776" s="55"/>
      <c r="AB776" s="49">
        <f>(B776*194.205+C776*267.466+D776*133.845+E776*53.484+F776*40+G776*185+H776*0+I776*100+J776*300)/(194.205+267.466+133.845+53.484+0+40+185+100+300)</f>
        <v>60.785970836577704</v>
      </c>
      <c r="AC776" s="44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59.635113669064751</v>
      </c>
    </row>
    <row r="777" spans="1:29" ht="15.75" x14ac:dyDescent="0.25">
      <c r="A777" s="31">
        <v>64558</v>
      </c>
      <c r="B777" s="14">
        <f>CHOOSE(CONTROL!$C$42, 56.8648, 56.8648) * CHOOSE(CONTROL!$C$21, $C$9, 100%, $E$9)</f>
        <v>56.864800000000002</v>
      </c>
      <c r="C777" s="14">
        <f>CHOOSE(CONTROL!$C$42, 56.8729, 56.8729) * CHOOSE(CONTROL!$C$21, $C$9, 100%, $E$9)</f>
        <v>56.872900000000001</v>
      </c>
      <c r="D777" s="14">
        <f>CHOOSE(CONTROL!$C$42, 57.0987, 57.0987) * CHOOSE(CONTROL!$C$21, $C$9, 100%, $E$9)</f>
        <v>57.098700000000001</v>
      </c>
      <c r="E777" s="14">
        <f>CHOOSE(CONTROL!$C$42, 57.1301, 57.1301) * CHOOSE(CONTROL!$C$21, $C$9, 100%, $E$9)</f>
        <v>57.130099999999999</v>
      </c>
      <c r="F777" s="14">
        <f>CHOOSE(CONTROL!$C$42, 56.8917, 56.8917)*CHOOSE(CONTROL!$C$21, $C$9, 100%, $E$9)</f>
        <v>56.8917</v>
      </c>
      <c r="G777" s="14">
        <f>CHOOSE(CONTROL!$C$42, 56.9089, 56.9089)*CHOOSE(CONTROL!$C$21, $C$9, 100%, $E$9)</f>
        <v>56.908900000000003</v>
      </c>
      <c r="H777" s="14">
        <f>CHOOSE(CONTROL!$C$42, 57.1188, 57.1188) * CHOOSE(CONTROL!$C$21, $C$9, 100%, $E$9)</f>
        <v>57.1188</v>
      </c>
      <c r="I777" s="14">
        <f>CHOOSE(CONTROL!$C$42, 57.0745, 57.0745)* CHOOSE(CONTROL!$C$21, $C$9, 100%, $E$9)</f>
        <v>57.0745</v>
      </c>
      <c r="J777" s="14">
        <f>CHOOSE(CONTROL!$C$42, 56.8847, 56.8847)* CHOOSE(CONTROL!$C$21, $C$9, 100%, $E$9)</f>
        <v>56.884700000000002</v>
      </c>
      <c r="K777" s="52">
        <f>CHOOSE(CONTROL!$C$42, 57.0706, 57.0706) * CHOOSE(CONTROL!$C$21, $C$9, 100%, $E$9)</f>
        <v>57.070599999999999</v>
      </c>
      <c r="L777" s="14">
        <f>CHOOSE(CONTROL!$C$42, 57.7058, 57.7058) * CHOOSE(CONTROL!$C$21, $C$9, 100%, $E$9)</f>
        <v>57.705800000000004</v>
      </c>
      <c r="M777" s="14">
        <f>CHOOSE(CONTROL!$C$42, 55.7268, 55.7268) * CHOOSE(CONTROL!$C$21, $C$9, 100%, $E$9)</f>
        <v>55.726799999999997</v>
      </c>
      <c r="N777" s="14">
        <f>CHOOSE(CONTROL!$C$42, 55.7437, 55.7437) * CHOOSE(CONTROL!$C$21, $C$9, 100%, $E$9)</f>
        <v>55.743699999999997</v>
      </c>
      <c r="O777" s="14">
        <f>CHOOSE(CONTROL!$C$42, 55.9561, 55.9561) * CHOOSE(CONTROL!$C$21, $C$9, 100%, $E$9)</f>
        <v>55.956099999999999</v>
      </c>
      <c r="P777" s="14">
        <f>CHOOSE(CONTROL!$C$42, 55.9092, 55.9092) * CHOOSE(CONTROL!$C$21, $C$9, 100%, $E$9)</f>
        <v>55.909199999999998</v>
      </c>
      <c r="Q777" s="14">
        <f>CHOOSE(CONTROL!$C$42, 56.5508, 56.5508) * CHOOSE(CONTROL!$C$21, $C$9, 100%, $E$9)</f>
        <v>56.550800000000002</v>
      </c>
      <c r="R777" s="14">
        <f>CHOOSE(CONTROL!$C$42, 57.2792, 57.2792) * CHOOSE(CONTROL!$C$21, $C$9, 100%, $E$9)</f>
        <v>57.279200000000003</v>
      </c>
      <c r="S777" s="14">
        <f>CHOOSE(CONTROL!$C$42, 54.6308, 54.6308) * CHOOSE(CONTROL!$C$21, $C$9, 100%, $E$9)</f>
        <v>54.630800000000001</v>
      </c>
      <c r="T77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56">
        <f>(1000*CHOOSE(CONTROL!$C$42, 695, 695)*CHOOSE(CONTROL!$C$42, 0.5599, 0.5599)*CHOOSE(CONTROL!$C$42, 30, 30))/1000000</f>
        <v>11.673914999999997</v>
      </c>
      <c r="V777" s="56">
        <f>(1000*CHOOSE(CONTROL!$C$42, 500, 500)*CHOOSE(CONTROL!$C$42, 0.275, 0.275)*CHOOSE(CONTROL!$C$42, 30, 30))/1000000</f>
        <v>4.125</v>
      </c>
      <c r="W777" s="56">
        <f>(1000*CHOOSE(CONTROL!$C$42, 0.1146, 0.1146)*CHOOSE(CONTROL!$C$42, 121.5, 121.5)*CHOOSE(CONTROL!$C$42, 30, 30))/1000000</f>
        <v>0.417717</v>
      </c>
      <c r="X777" s="56">
        <f>(30*0.1790888*245000/1000000)+(30*0.2374*100000/1000000)</f>
        <v>2.0285026799999999</v>
      </c>
      <c r="Y777" s="56"/>
      <c r="Z777" s="14"/>
      <c r="AA777" s="55"/>
      <c r="AB777" s="49">
        <f>(B777*194.205+C777*267.466+D777*133.845+E777*53.484+F777*40+G777*185+H777*0+I777*100+J777*300)/(194.205+267.466+133.845+53.484+0+40+185+100+300)</f>
        <v>56.930605828335949</v>
      </c>
      <c r="AC777" s="44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55.857944604316543</v>
      </c>
    </row>
    <row r="778" spans="1:29" ht="15.75" x14ac:dyDescent="0.25">
      <c r="A778" s="31">
        <v>64589</v>
      </c>
      <c r="B778" s="14">
        <f>CHOOSE(CONTROL!$C$42, 55.7087, 55.7087) * CHOOSE(CONTROL!$C$21, $C$9, 100%, $E$9)</f>
        <v>55.7087</v>
      </c>
      <c r="C778" s="14">
        <f>CHOOSE(CONTROL!$C$42, 55.7141, 55.7141) * CHOOSE(CONTROL!$C$21, $C$9, 100%, $E$9)</f>
        <v>55.714100000000002</v>
      </c>
      <c r="D778" s="14">
        <f>CHOOSE(CONTROL!$C$42, 55.9448, 55.9448) * CHOOSE(CONTROL!$C$21, $C$9, 100%, $E$9)</f>
        <v>55.944800000000001</v>
      </c>
      <c r="E778" s="14">
        <f>CHOOSE(CONTROL!$C$42, 55.9739, 55.9739) * CHOOSE(CONTROL!$C$21, $C$9, 100%, $E$9)</f>
        <v>55.9739</v>
      </c>
      <c r="F778" s="14">
        <f>CHOOSE(CONTROL!$C$42, 55.7376, 55.7376)*CHOOSE(CONTROL!$C$21, $C$9, 100%, $E$9)</f>
        <v>55.7376</v>
      </c>
      <c r="G778" s="14">
        <f>CHOOSE(CONTROL!$C$42, 55.7547, 55.7547)*CHOOSE(CONTROL!$C$21, $C$9, 100%, $E$9)</f>
        <v>55.7547</v>
      </c>
      <c r="H778" s="14">
        <f>CHOOSE(CONTROL!$C$42, 55.9644, 55.9644) * CHOOSE(CONTROL!$C$21, $C$9, 100%, $E$9)</f>
        <v>55.964399999999998</v>
      </c>
      <c r="I778" s="14">
        <f>CHOOSE(CONTROL!$C$42, 55.9165, 55.9165)* CHOOSE(CONTROL!$C$21, $C$9, 100%, $E$9)</f>
        <v>55.916499999999999</v>
      </c>
      <c r="J778" s="14">
        <f>CHOOSE(CONTROL!$C$42, 55.7306, 55.7306)* CHOOSE(CONTROL!$C$21, $C$9, 100%, $E$9)</f>
        <v>55.730600000000003</v>
      </c>
      <c r="K778" s="52">
        <f>CHOOSE(CONTROL!$C$42, 55.9126, 55.9126) * CHOOSE(CONTROL!$C$21, $C$9, 100%, $E$9)</f>
        <v>55.912599999999998</v>
      </c>
      <c r="L778" s="14">
        <f>CHOOSE(CONTROL!$C$42, 56.5514, 56.5514) * CHOOSE(CONTROL!$C$21, $C$9, 100%, $E$9)</f>
        <v>56.551400000000001</v>
      </c>
      <c r="M778" s="14">
        <f>CHOOSE(CONTROL!$C$42, 54.5964, 54.5964) * CHOOSE(CONTROL!$C$21, $C$9, 100%, $E$9)</f>
        <v>54.596400000000003</v>
      </c>
      <c r="N778" s="14">
        <f>CHOOSE(CONTROL!$C$42, 54.6132, 54.6132) * CHOOSE(CONTROL!$C$21, $C$9, 100%, $E$9)</f>
        <v>54.613199999999999</v>
      </c>
      <c r="O778" s="14">
        <f>CHOOSE(CONTROL!$C$42, 54.8254, 54.8254) * CHOOSE(CONTROL!$C$21, $C$9, 100%, $E$9)</f>
        <v>54.825400000000002</v>
      </c>
      <c r="P778" s="14">
        <f>CHOOSE(CONTROL!$C$42, 54.7751, 54.7751) * CHOOSE(CONTROL!$C$21, $C$9, 100%, $E$9)</f>
        <v>54.775100000000002</v>
      </c>
      <c r="Q778" s="14">
        <f>CHOOSE(CONTROL!$C$42, 55.4201, 55.4201) * CHOOSE(CONTROL!$C$21, $C$9, 100%, $E$9)</f>
        <v>55.420099999999998</v>
      </c>
      <c r="R778" s="14">
        <f>CHOOSE(CONTROL!$C$42, 56.1457, 56.1457) * CHOOSE(CONTROL!$C$21, $C$9, 100%, $E$9)</f>
        <v>56.145699999999998</v>
      </c>
      <c r="S778" s="14">
        <f>CHOOSE(CONTROL!$C$42, 53.5216, 53.5216) * CHOOSE(CONTROL!$C$21, $C$9, 100%, $E$9)</f>
        <v>53.521599999999999</v>
      </c>
      <c r="T77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56">
        <f>(1000*CHOOSE(CONTROL!$C$42, 695, 695)*CHOOSE(CONTROL!$C$42, 0.5599, 0.5599)*CHOOSE(CONTROL!$C$42, 31, 31))/1000000</f>
        <v>12.063045499999998</v>
      </c>
      <c r="V778" s="56">
        <f>(1000*CHOOSE(CONTROL!$C$42, 500, 500)*CHOOSE(CONTROL!$C$42, 0.275, 0.275)*CHOOSE(CONTROL!$C$42, 31, 31))/1000000</f>
        <v>4.2625000000000002</v>
      </c>
      <c r="W778" s="56">
        <f>(1000*CHOOSE(CONTROL!$C$42, 0.1146, 0.1146)*CHOOSE(CONTROL!$C$42, 121.5, 121.5)*CHOOSE(CONTROL!$C$42, 31, 31))/1000000</f>
        <v>0.43164089999999994</v>
      </c>
      <c r="X778" s="56">
        <f>(31*0.1790888*245000/1000000)+(31*0.2374*100000/1000000)</f>
        <v>2.0961194359999999</v>
      </c>
      <c r="Y778" s="56"/>
      <c r="Z778" s="14"/>
      <c r="AA778" s="55"/>
      <c r="AB778" s="49">
        <f>(B778*131.881+C778*277.167+D778*79.08+E778*125.872+F778*40+G778*185+H778*0+I778*100+J778*300)/(131.881+277.167+79.08+125.872+0+40+185+100+300)</f>
        <v>55.781795031638417</v>
      </c>
      <c r="AC778" s="44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54.726870503597127</v>
      </c>
    </row>
    <row r="779" spans="1:29" ht="15.75" x14ac:dyDescent="0.25">
      <c r="A779" s="31">
        <v>64619</v>
      </c>
      <c r="B779" s="14">
        <f>CHOOSE(CONTROL!$C$42, 57.1757, 57.1757) * CHOOSE(CONTROL!$C$21, $C$9, 100%, $E$9)</f>
        <v>57.175699999999999</v>
      </c>
      <c r="C779" s="14">
        <f>CHOOSE(CONTROL!$C$42, 57.1808, 57.1808) * CHOOSE(CONTROL!$C$21, $C$9, 100%, $E$9)</f>
        <v>57.180799999999998</v>
      </c>
      <c r="D779" s="14">
        <f>CHOOSE(CONTROL!$C$42, 57.2498, 57.2498) * CHOOSE(CONTROL!$C$21, $C$9, 100%, $E$9)</f>
        <v>57.2498</v>
      </c>
      <c r="E779" s="14">
        <f>CHOOSE(CONTROL!$C$42, 57.2839, 57.2839) * CHOOSE(CONTROL!$C$21, $C$9, 100%, $E$9)</f>
        <v>57.283900000000003</v>
      </c>
      <c r="F779" s="14">
        <f>CHOOSE(CONTROL!$C$42, 57.2113, 57.2113)*CHOOSE(CONTROL!$C$21, $C$9, 100%, $E$9)</f>
        <v>57.211300000000001</v>
      </c>
      <c r="G779" s="14">
        <f>CHOOSE(CONTROL!$C$42, 57.2287, 57.2287)*CHOOSE(CONTROL!$C$21, $C$9, 100%, $E$9)</f>
        <v>57.228700000000003</v>
      </c>
      <c r="H779" s="14">
        <f>CHOOSE(CONTROL!$C$42, 57.2731, 57.2731) * CHOOSE(CONTROL!$C$21, $C$9, 100%, $E$9)</f>
        <v>57.273099999999999</v>
      </c>
      <c r="I779" s="14">
        <f>CHOOSE(CONTROL!$C$42, 57.3911, 57.3911)* CHOOSE(CONTROL!$C$21, $C$9, 100%, $E$9)</f>
        <v>57.391100000000002</v>
      </c>
      <c r="J779" s="14">
        <f>CHOOSE(CONTROL!$C$42, 57.2043, 57.2043)* CHOOSE(CONTROL!$C$21, $C$9, 100%, $E$9)</f>
        <v>57.204300000000003</v>
      </c>
      <c r="K779" s="52">
        <f>CHOOSE(CONTROL!$C$42, 57.3872, 57.3872) * CHOOSE(CONTROL!$C$21, $C$9, 100%, $E$9)</f>
        <v>57.3872</v>
      </c>
      <c r="L779" s="14">
        <f>CHOOSE(CONTROL!$C$42, 57.8601, 57.8601) * CHOOSE(CONTROL!$C$21, $C$9, 100%, $E$9)</f>
        <v>57.860100000000003</v>
      </c>
      <c r="M779" s="14">
        <f>CHOOSE(CONTROL!$C$42, 56.0399, 56.0399) * CHOOSE(CONTROL!$C$21, $C$9, 100%, $E$9)</f>
        <v>56.039900000000003</v>
      </c>
      <c r="N779" s="14">
        <f>CHOOSE(CONTROL!$C$42, 56.0569, 56.0569) * CHOOSE(CONTROL!$C$21, $C$9, 100%, $E$9)</f>
        <v>56.056899999999999</v>
      </c>
      <c r="O779" s="14">
        <f>CHOOSE(CONTROL!$C$42, 56.1073, 56.1073) * CHOOSE(CONTROL!$C$21, $C$9, 100%, $E$9)</f>
        <v>56.107300000000002</v>
      </c>
      <c r="P779" s="14">
        <f>CHOOSE(CONTROL!$C$42, 56.2194, 56.2194) * CHOOSE(CONTROL!$C$21, $C$9, 100%, $E$9)</f>
        <v>56.2194</v>
      </c>
      <c r="Q779" s="14">
        <f>CHOOSE(CONTROL!$C$42, 56.702, 56.702) * CHOOSE(CONTROL!$C$21, $C$9, 100%, $E$9)</f>
        <v>56.701999999999998</v>
      </c>
      <c r="R779" s="14">
        <f>CHOOSE(CONTROL!$C$42, 57.4307, 57.4307) * CHOOSE(CONTROL!$C$21, $C$9, 100%, $E$9)</f>
        <v>57.430700000000002</v>
      </c>
      <c r="S779" s="14">
        <f>CHOOSE(CONTROL!$C$42, 54.9316, 54.9316) * CHOOSE(CONTROL!$C$21, $C$9, 100%, $E$9)</f>
        <v>54.931600000000003</v>
      </c>
      <c r="T77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56">
        <f>(1000*CHOOSE(CONTROL!$C$42, 695, 695)*CHOOSE(CONTROL!$C$42, 0.5599, 0.5599)*CHOOSE(CONTROL!$C$42, 30, 30))/1000000</f>
        <v>11.673914999999997</v>
      </c>
      <c r="V779" s="56">
        <f>(1000*CHOOSE(CONTROL!$C$42, 500, 500)*CHOOSE(CONTROL!$C$42, 0.275, 0.275)*CHOOSE(CONTROL!$C$42, 30, 30))/1000000</f>
        <v>4.125</v>
      </c>
      <c r="W779" s="56">
        <f>(1000*CHOOSE(CONTROL!$C$42, 0.1146, 0.1146)*CHOOSE(CONTROL!$C$42, 121.5, 121.5)*CHOOSE(CONTROL!$C$42, 30, 30))/1000000</f>
        <v>0.417717</v>
      </c>
      <c r="X779" s="56">
        <f>(30*0.1790888*100000/1000000)+(30*0.2374*100000/1000000)</f>
        <v>1.2494664</v>
      </c>
      <c r="Y779" s="56"/>
      <c r="Z779" s="14"/>
      <c r="AA779" s="55"/>
      <c r="AB779" s="49">
        <f>(B779*122.58+C779*297.941+D779*89.177+E779*40.302+F779*40+G779*160+H779*0+I779*100+J779*300)/(122.58+297.941+89.177+40.302+0+40+160+100+300)</f>
        <v>57.221362774956532</v>
      </c>
      <c r="AC779" s="44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56.097253956834535</v>
      </c>
    </row>
    <row r="780" spans="1:29" ht="15.75" x14ac:dyDescent="0.25">
      <c r="A780" s="31">
        <v>64650</v>
      </c>
      <c r="B780" s="14">
        <f>CHOOSE(CONTROL!$C$42, 61.0733, 61.0733) * CHOOSE(CONTROL!$C$21, $C$9, 100%, $E$9)</f>
        <v>61.073300000000003</v>
      </c>
      <c r="C780" s="14">
        <f>CHOOSE(CONTROL!$C$42, 61.0783, 61.0783) * CHOOSE(CONTROL!$C$21, $C$9, 100%, $E$9)</f>
        <v>61.078299999999999</v>
      </c>
      <c r="D780" s="14">
        <f>CHOOSE(CONTROL!$C$42, 61.1473, 61.1473) * CHOOSE(CONTROL!$C$21, $C$9, 100%, $E$9)</f>
        <v>61.147300000000001</v>
      </c>
      <c r="E780" s="14">
        <f>CHOOSE(CONTROL!$C$42, 61.1814, 61.1814) * CHOOSE(CONTROL!$C$21, $C$9, 100%, $E$9)</f>
        <v>61.181399999999996</v>
      </c>
      <c r="F780" s="14">
        <f>CHOOSE(CONTROL!$C$42, 61.1111, 61.1111)*CHOOSE(CONTROL!$C$21, $C$9, 100%, $E$9)</f>
        <v>61.1111</v>
      </c>
      <c r="G780" s="14">
        <f>CHOOSE(CONTROL!$C$42, 61.1291, 61.1291)*CHOOSE(CONTROL!$C$21, $C$9, 100%, $E$9)</f>
        <v>61.129100000000001</v>
      </c>
      <c r="H780" s="14">
        <f>CHOOSE(CONTROL!$C$42, 61.1706, 61.1706) * CHOOSE(CONTROL!$C$21, $C$9, 100%, $E$9)</f>
        <v>61.1706</v>
      </c>
      <c r="I780" s="14">
        <f>CHOOSE(CONTROL!$C$42, 61.3009, 61.3009)* CHOOSE(CONTROL!$C$21, $C$9, 100%, $E$9)</f>
        <v>61.300899999999999</v>
      </c>
      <c r="J780" s="14">
        <f>CHOOSE(CONTROL!$C$42, 61.1041, 61.1041)* CHOOSE(CONTROL!$C$21, $C$9, 100%, $E$9)</f>
        <v>61.104100000000003</v>
      </c>
      <c r="K780" s="52">
        <f>CHOOSE(CONTROL!$C$42, 61.297, 61.297) * CHOOSE(CONTROL!$C$21, $C$9, 100%, $E$9)</f>
        <v>61.296999999999997</v>
      </c>
      <c r="L780" s="14">
        <f>CHOOSE(CONTROL!$C$42, 61.7576, 61.7576) * CHOOSE(CONTROL!$C$21, $C$9, 100%, $E$9)</f>
        <v>61.757599999999996</v>
      </c>
      <c r="M780" s="14">
        <f>CHOOSE(CONTROL!$C$42, 59.8598, 59.8598) * CHOOSE(CONTROL!$C$21, $C$9, 100%, $E$9)</f>
        <v>59.8598</v>
      </c>
      <c r="N780" s="14">
        <f>CHOOSE(CONTROL!$C$42, 59.8774, 59.8774) * CHOOSE(CONTROL!$C$21, $C$9, 100%, $E$9)</f>
        <v>59.877400000000002</v>
      </c>
      <c r="O780" s="14">
        <f>CHOOSE(CONTROL!$C$42, 59.925, 59.925) * CHOOSE(CONTROL!$C$21, $C$9, 100%, $E$9)</f>
        <v>59.924999999999997</v>
      </c>
      <c r="P780" s="14">
        <f>CHOOSE(CONTROL!$C$42, 60.0488, 60.0488) * CHOOSE(CONTROL!$C$21, $C$9, 100%, $E$9)</f>
        <v>60.0488</v>
      </c>
      <c r="Q780" s="14">
        <f>CHOOSE(CONTROL!$C$42, 60.5197, 60.5197) * CHOOSE(CONTROL!$C$21, $C$9, 100%, $E$9)</f>
        <v>60.5197</v>
      </c>
      <c r="R780" s="14">
        <f>CHOOSE(CONTROL!$C$42, 61.258, 61.258) * CHOOSE(CONTROL!$C$21, $C$9, 100%, $E$9)</f>
        <v>61.258000000000003</v>
      </c>
      <c r="S780" s="14">
        <f>CHOOSE(CONTROL!$C$42, 58.6767, 58.6767) * CHOOSE(CONTROL!$C$21, $C$9, 100%, $E$9)</f>
        <v>58.676699999999997</v>
      </c>
      <c r="T78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56">
        <f>(1000*CHOOSE(CONTROL!$C$42, 695, 695)*CHOOSE(CONTROL!$C$42, 0.5599, 0.5599)*CHOOSE(CONTROL!$C$42, 31, 31))/1000000</f>
        <v>12.063045499999998</v>
      </c>
      <c r="V780" s="56">
        <f>(1000*CHOOSE(CONTROL!$C$42, 500, 500)*CHOOSE(CONTROL!$C$42, 0.275, 0.275)*CHOOSE(CONTROL!$C$42, 31, 31))/1000000</f>
        <v>4.2625000000000002</v>
      </c>
      <c r="W780" s="56">
        <f>(1000*CHOOSE(CONTROL!$C$42, 0.1146, 0.1146)*CHOOSE(CONTROL!$C$42, 121.5, 121.5)*CHOOSE(CONTROL!$C$42, 31, 31))/1000000</f>
        <v>0.43164089999999994</v>
      </c>
      <c r="X780" s="56">
        <f>(31*0.1790888*100000/1000000)+(31*0.2374*100000/1000000)</f>
        <v>1.2911152800000001</v>
      </c>
      <c r="Y780" s="56"/>
      <c r="Z780" s="14"/>
      <c r="AA780" s="55"/>
      <c r="AB780" s="49">
        <f>(B780*122.58+C780*297.941+D780*89.177+E780*40.302+F780*40+G780*160+H780*0+I780*100+J780*300)/(122.58+297.941+89.177+40.302+0+40+160+100+300)</f>
        <v>61.121026477565209</v>
      </c>
      <c r="AC780" s="44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59.917558273381296</v>
      </c>
    </row>
    <row r="781" spans="1:29" ht="15.75" x14ac:dyDescent="0.25">
      <c r="A781" s="31">
        <v>64681</v>
      </c>
      <c r="B781" s="14">
        <f>CHOOSE(CONTROL!$C$42, 66.1355, 66.1355) * CHOOSE(CONTROL!$C$21, $C$9, 100%, $E$9)</f>
        <v>66.135499999999993</v>
      </c>
      <c r="C781" s="14">
        <f>CHOOSE(CONTROL!$C$42, 66.1405, 66.1405) * CHOOSE(CONTROL!$C$21, $C$9, 100%, $E$9)</f>
        <v>66.140500000000003</v>
      </c>
      <c r="D781" s="14">
        <f>CHOOSE(CONTROL!$C$42, 66.22, 66.22) * CHOOSE(CONTROL!$C$21, $C$9, 100%, $E$9)</f>
        <v>66.22</v>
      </c>
      <c r="E781" s="14">
        <f>CHOOSE(CONTROL!$C$42, 66.2541, 66.2541) * CHOOSE(CONTROL!$C$21, $C$9, 100%, $E$9)</f>
        <v>66.254099999999994</v>
      </c>
      <c r="F781" s="14">
        <f>CHOOSE(CONTROL!$C$42, 66.1585, 66.1585)*CHOOSE(CONTROL!$C$21, $C$9, 100%, $E$9)</f>
        <v>66.158500000000004</v>
      </c>
      <c r="G781" s="14">
        <f>CHOOSE(CONTROL!$C$42, 66.176, 66.176)*CHOOSE(CONTROL!$C$21, $C$9, 100%, $E$9)</f>
        <v>66.176000000000002</v>
      </c>
      <c r="H781" s="14">
        <f>CHOOSE(CONTROL!$C$42, 66.2433, 66.2433) * CHOOSE(CONTROL!$C$21, $C$9, 100%, $E$9)</f>
        <v>66.243300000000005</v>
      </c>
      <c r="I781" s="14">
        <f>CHOOSE(CONTROL!$C$42, 66.3779, 66.3779)* CHOOSE(CONTROL!$C$21, $C$9, 100%, $E$9)</f>
        <v>66.377899999999997</v>
      </c>
      <c r="J781" s="14">
        <f>CHOOSE(CONTROL!$C$42, 66.1515, 66.1515)* CHOOSE(CONTROL!$C$21, $C$9, 100%, $E$9)</f>
        <v>66.151499999999999</v>
      </c>
      <c r="K781" s="52">
        <f>CHOOSE(CONTROL!$C$42, 66.374, 66.374) * CHOOSE(CONTROL!$C$21, $C$9, 100%, $E$9)</f>
        <v>66.373999999999995</v>
      </c>
      <c r="L781" s="14">
        <f>CHOOSE(CONTROL!$C$42, 66.8303, 66.8303) * CHOOSE(CONTROL!$C$21, $C$9, 100%, $E$9)</f>
        <v>66.830299999999994</v>
      </c>
      <c r="M781" s="14">
        <f>CHOOSE(CONTROL!$C$42, 64.8038, 64.8038) * CHOOSE(CONTROL!$C$21, $C$9, 100%, $E$9)</f>
        <v>64.803799999999995</v>
      </c>
      <c r="N781" s="14">
        <f>CHOOSE(CONTROL!$C$42, 64.821, 64.821) * CHOOSE(CONTROL!$C$21, $C$9, 100%, $E$9)</f>
        <v>64.820999999999998</v>
      </c>
      <c r="O781" s="14">
        <f>CHOOSE(CONTROL!$C$42, 64.8937, 64.8937) * CHOOSE(CONTROL!$C$21, $C$9, 100%, $E$9)</f>
        <v>64.893699999999995</v>
      </c>
      <c r="P781" s="14">
        <f>CHOOSE(CONTROL!$C$42, 65.0215, 65.0215) * CHOOSE(CONTROL!$C$21, $C$9, 100%, $E$9)</f>
        <v>65.021500000000003</v>
      </c>
      <c r="Q781" s="14">
        <f>CHOOSE(CONTROL!$C$42, 65.4884, 65.4884) * CHOOSE(CONTROL!$C$21, $C$9, 100%, $E$9)</f>
        <v>65.488399999999999</v>
      </c>
      <c r="R781" s="14">
        <f>CHOOSE(CONTROL!$C$42, 66.2391, 66.2391) * CHOOSE(CONTROL!$C$21, $C$9, 100%, $E$9)</f>
        <v>66.239099999999993</v>
      </c>
      <c r="S781" s="14">
        <f>CHOOSE(CONTROL!$C$42, 63.541, 63.541) * CHOOSE(CONTROL!$C$21, $C$9, 100%, $E$9)</f>
        <v>63.540999999999997</v>
      </c>
      <c r="T78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56">
        <f>(1000*CHOOSE(CONTROL!$C$42, 695, 695)*CHOOSE(CONTROL!$C$42, 0.5599, 0.5599)*CHOOSE(CONTROL!$C$42, 31, 31))/1000000</f>
        <v>12.063045499999998</v>
      </c>
      <c r="V781" s="56">
        <f>(1000*CHOOSE(CONTROL!$C$42, 500, 500)*CHOOSE(CONTROL!$C$42, 0.275, 0.275)*CHOOSE(CONTROL!$C$42, 31, 31))/1000000</f>
        <v>4.2625000000000002</v>
      </c>
      <c r="W781" s="56">
        <f>(1000*CHOOSE(CONTROL!$C$42, 0.1146, 0.1146)*CHOOSE(CONTROL!$C$42, 121.5, 121.5)*CHOOSE(CONTROL!$C$42, 31, 31))/1000000</f>
        <v>0.43164089999999994</v>
      </c>
      <c r="X781" s="56">
        <f>(31*0.1790888*100000/1000000)+(31*0.2374*100000/1000000)</f>
        <v>1.2911152800000001</v>
      </c>
      <c r="Y781" s="56"/>
      <c r="Z781" s="14"/>
      <c r="AA781" s="55"/>
      <c r="AB781" s="49">
        <f>(B781*122.58+C781*297.941+D781*89.177+E781*40.302+F781*40+G781*160+H781*0+I781*100+J781*300)/(122.58+297.941+89.177+40.302+0+40+160+100+300)</f>
        <v>66.179191285826093</v>
      </c>
      <c r="AC781" s="44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64.876859712230214</v>
      </c>
    </row>
    <row r="782" spans="1:29" ht="15.75" x14ac:dyDescent="0.25">
      <c r="A782" s="31">
        <v>64709</v>
      </c>
      <c r="B782" s="14">
        <f>CHOOSE(CONTROL!$C$42, 67.3126, 67.3126) * CHOOSE(CONTROL!$C$21, $C$9, 100%, $E$9)</f>
        <v>67.312600000000003</v>
      </c>
      <c r="C782" s="14">
        <f>CHOOSE(CONTROL!$C$42, 67.3177, 67.3177) * CHOOSE(CONTROL!$C$21, $C$9, 100%, $E$9)</f>
        <v>67.317700000000002</v>
      </c>
      <c r="D782" s="14">
        <f>CHOOSE(CONTROL!$C$42, 67.3971, 67.3971) * CHOOSE(CONTROL!$C$21, $C$9, 100%, $E$9)</f>
        <v>67.397099999999995</v>
      </c>
      <c r="E782" s="14">
        <f>CHOOSE(CONTROL!$C$42, 67.4312, 67.4312) * CHOOSE(CONTROL!$C$21, $C$9, 100%, $E$9)</f>
        <v>67.431200000000004</v>
      </c>
      <c r="F782" s="14">
        <f>CHOOSE(CONTROL!$C$42, 67.3354, 67.3354)*CHOOSE(CONTROL!$C$21, $C$9, 100%, $E$9)</f>
        <v>67.335400000000007</v>
      </c>
      <c r="G782" s="14">
        <f>CHOOSE(CONTROL!$C$42, 67.3529, 67.3529)*CHOOSE(CONTROL!$C$21, $C$9, 100%, $E$9)</f>
        <v>67.352900000000005</v>
      </c>
      <c r="H782" s="14">
        <f>CHOOSE(CONTROL!$C$42, 67.4204, 67.4204) * CHOOSE(CONTROL!$C$21, $C$9, 100%, $E$9)</f>
        <v>67.420400000000001</v>
      </c>
      <c r="I782" s="14">
        <f>CHOOSE(CONTROL!$C$42, 67.5587, 67.5587)* CHOOSE(CONTROL!$C$21, $C$9, 100%, $E$9)</f>
        <v>67.558700000000002</v>
      </c>
      <c r="J782" s="14">
        <f>CHOOSE(CONTROL!$C$42, 67.3284, 67.3284)* CHOOSE(CONTROL!$C$21, $C$9, 100%, $E$9)</f>
        <v>67.328400000000002</v>
      </c>
      <c r="K782" s="52">
        <f>CHOOSE(CONTROL!$C$42, 67.5548, 67.5548) * CHOOSE(CONTROL!$C$21, $C$9, 100%, $E$9)</f>
        <v>67.5548</v>
      </c>
      <c r="L782" s="14">
        <f>CHOOSE(CONTROL!$C$42, 68.0074, 68.0074) * CHOOSE(CONTROL!$C$21, $C$9, 100%, $E$9)</f>
        <v>68.007400000000004</v>
      </c>
      <c r="M782" s="14">
        <f>CHOOSE(CONTROL!$C$42, 65.9566, 65.9566) * CHOOSE(CONTROL!$C$21, $C$9, 100%, $E$9)</f>
        <v>65.956599999999995</v>
      </c>
      <c r="N782" s="14">
        <f>CHOOSE(CONTROL!$C$42, 65.9737, 65.9737) * CHOOSE(CONTROL!$C$21, $C$9, 100%, $E$9)</f>
        <v>65.973699999999994</v>
      </c>
      <c r="O782" s="14">
        <f>CHOOSE(CONTROL!$C$42, 66.0467, 66.0467) * CHOOSE(CONTROL!$C$21, $C$9, 100%, $E$9)</f>
        <v>66.046700000000001</v>
      </c>
      <c r="P782" s="14">
        <f>CHOOSE(CONTROL!$C$42, 66.178, 66.178) * CHOOSE(CONTROL!$C$21, $C$9, 100%, $E$9)</f>
        <v>66.177999999999997</v>
      </c>
      <c r="Q782" s="14">
        <f>CHOOSE(CONTROL!$C$42, 66.6414, 66.6414) * CHOOSE(CONTROL!$C$21, $C$9, 100%, $E$9)</f>
        <v>66.641400000000004</v>
      </c>
      <c r="R782" s="14">
        <f>CHOOSE(CONTROL!$C$42, 67.395, 67.395) * CHOOSE(CONTROL!$C$21, $C$9, 100%, $E$9)</f>
        <v>67.394999999999996</v>
      </c>
      <c r="S782" s="14">
        <f>CHOOSE(CONTROL!$C$42, 64.6722, 64.6722) * CHOOSE(CONTROL!$C$21, $C$9, 100%, $E$9)</f>
        <v>64.672200000000004</v>
      </c>
      <c r="T78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56">
        <f>(1000*CHOOSE(CONTROL!$C$42, 695, 695)*CHOOSE(CONTROL!$C$42, 0.5599, 0.5599)*CHOOSE(CONTROL!$C$42, 28, 28))/1000000</f>
        <v>10.895653999999999</v>
      </c>
      <c r="V782" s="56">
        <f>(1000*CHOOSE(CONTROL!$C$42, 500, 500)*CHOOSE(CONTROL!$C$42, 0.275, 0.275)*CHOOSE(CONTROL!$C$42, 28, 28))/1000000</f>
        <v>3.85</v>
      </c>
      <c r="W782" s="56">
        <f>(1000*CHOOSE(CONTROL!$C$42, 0.1146, 0.1146)*CHOOSE(CONTROL!$C$42, 121.5, 121.5)*CHOOSE(CONTROL!$C$42, 28, 28))/1000000</f>
        <v>0.38986920000000003</v>
      </c>
      <c r="X782" s="56">
        <f>(28*0.1790888*100000/1000000)+(28*0.2374*100000/1000000)</f>
        <v>1.16616864</v>
      </c>
      <c r="Y782" s="56"/>
      <c r="Z782" s="14"/>
      <c r="AA782" s="55"/>
      <c r="AB782" s="49">
        <f>(B782*122.58+C782*297.941+D782*89.177+E782*40.302+F782*40+G782*160+H782*0+I782*100+J782*300)/(122.58+297.941+89.177+40.302+0+40+160+100+300)</f>
        <v>67.356551976347831</v>
      </c>
      <c r="AC782" s="44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66.030276978417263</v>
      </c>
    </row>
    <row r="783" spans="1:29" ht="15.75" x14ac:dyDescent="0.25">
      <c r="A783" s="31">
        <v>64740</v>
      </c>
      <c r="B783" s="14">
        <f>CHOOSE(CONTROL!$C$42, 65.4018, 65.4018) * CHOOSE(CONTROL!$C$21, $C$9, 100%, $E$9)</f>
        <v>65.401799999999994</v>
      </c>
      <c r="C783" s="14">
        <f>CHOOSE(CONTROL!$C$42, 65.4069, 65.4069) * CHOOSE(CONTROL!$C$21, $C$9, 100%, $E$9)</f>
        <v>65.406899999999993</v>
      </c>
      <c r="D783" s="14">
        <f>CHOOSE(CONTROL!$C$42, 65.4863, 65.4863) * CHOOSE(CONTROL!$C$21, $C$9, 100%, $E$9)</f>
        <v>65.4863</v>
      </c>
      <c r="E783" s="14">
        <f>CHOOSE(CONTROL!$C$42, 65.5204, 65.5204) * CHOOSE(CONTROL!$C$21, $C$9, 100%, $E$9)</f>
        <v>65.520399999999995</v>
      </c>
      <c r="F783" s="14">
        <f>CHOOSE(CONTROL!$C$42, 65.4239, 65.4239)*CHOOSE(CONTROL!$C$21, $C$9, 100%, $E$9)</f>
        <v>65.423900000000003</v>
      </c>
      <c r="G783" s="14">
        <f>CHOOSE(CONTROL!$C$42, 65.4411, 65.4411)*CHOOSE(CONTROL!$C$21, $C$9, 100%, $E$9)</f>
        <v>65.441100000000006</v>
      </c>
      <c r="H783" s="14">
        <f>CHOOSE(CONTROL!$C$42, 65.5096, 65.5096) * CHOOSE(CONTROL!$C$21, $C$9, 100%, $E$9)</f>
        <v>65.509600000000006</v>
      </c>
      <c r="I783" s="14">
        <f>CHOOSE(CONTROL!$C$42, 65.642, 65.642)* CHOOSE(CONTROL!$C$21, $C$9, 100%, $E$9)</f>
        <v>65.641999999999996</v>
      </c>
      <c r="J783" s="14">
        <f>CHOOSE(CONTROL!$C$42, 65.4169, 65.4169)* CHOOSE(CONTROL!$C$21, $C$9, 100%, $E$9)</f>
        <v>65.416899999999998</v>
      </c>
      <c r="K783" s="52">
        <f>CHOOSE(CONTROL!$C$42, 65.6381, 65.6381) * CHOOSE(CONTROL!$C$21, $C$9, 100%, $E$9)</f>
        <v>65.638099999999994</v>
      </c>
      <c r="L783" s="14">
        <f>CHOOSE(CONTROL!$C$42, 66.0966, 66.0966) * CHOOSE(CONTROL!$C$21, $C$9, 100%, $E$9)</f>
        <v>66.096599999999995</v>
      </c>
      <c r="M783" s="14">
        <f>CHOOSE(CONTROL!$C$42, 64.0842, 64.0842) * CHOOSE(CONTROL!$C$21, $C$9, 100%, $E$9)</f>
        <v>64.084199999999996</v>
      </c>
      <c r="N783" s="14">
        <f>CHOOSE(CONTROL!$C$42, 64.1011, 64.1011) * CHOOSE(CONTROL!$C$21, $C$9, 100%, $E$9)</f>
        <v>64.101100000000002</v>
      </c>
      <c r="O783" s="14">
        <f>CHOOSE(CONTROL!$C$42, 64.1751, 64.1751) * CHOOSE(CONTROL!$C$21, $C$9, 100%, $E$9)</f>
        <v>64.1751</v>
      </c>
      <c r="P783" s="14">
        <f>CHOOSE(CONTROL!$C$42, 64.3006, 64.3006) * CHOOSE(CONTROL!$C$21, $C$9, 100%, $E$9)</f>
        <v>64.300600000000003</v>
      </c>
      <c r="Q783" s="14">
        <f>CHOOSE(CONTROL!$C$42, 64.7698, 64.7698) * CHOOSE(CONTROL!$C$21, $C$9, 100%, $E$9)</f>
        <v>64.769800000000004</v>
      </c>
      <c r="R783" s="14">
        <f>CHOOSE(CONTROL!$C$42, 65.5187, 65.5187) * CHOOSE(CONTROL!$C$21, $C$9, 100%, $E$9)</f>
        <v>65.518699999999995</v>
      </c>
      <c r="S783" s="14">
        <f>CHOOSE(CONTROL!$C$42, 62.8361, 62.8361) * CHOOSE(CONTROL!$C$21, $C$9, 100%, $E$9)</f>
        <v>62.836100000000002</v>
      </c>
      <c r="T78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56">
        <f>(1000*CHOOSE(CONTROL!$C$42, 695, 695)*CHOOSE(CONTROL!$C$42, 0.5599, 0.5599)*CHOOSE(CONTROL!$C$42, 31, 31))/1000000</f>
        <v>12.063045499999998</v>
      </c>
      <c r="V783" s="56">
        <f>(1000*CHOOSE(CONTROL!$C$42, 500, 500)*CHOOSE(CONTROL!$C$42, 0.275, 0.275)*CHOOSE(CONTROL!$C$42, 31, 31))/1000000</f>
        <v>4.2625000000000002</v>
      </c>
      <c r="W783" s="56">
        <f>(1000*CHOOSE(CONTROL!$C$42, 0.1146, 0.1146)*CHOOSE(CONTROL!$C$42, 121.5, 121.5)*CHOOSE(CONTROL!$C$42, 31, 31))/1000000</f>
        <v>0.43164089999999994</v>
      </c>
      <c r="X783" s="56">
        <f>(31*0.1790888*100000/1000000)+(31*0.2374*100000/1000000)</f>
        <v>1.2911152800000001</v>
      </c>
      <c r="Y783" s="56"/>
      <c r="Z783" s="14"/>
      <c r="AA783" s="55"/>
      <c r="AB783" s="49">
        <f>(B783*122.58+C783*297.941+D783*89.177+E783*40.302+F783*40+G783*160+H783*0+I783*100+J783*300)/(122.58+297.941+89.177+40.302+0+40+160+100+300)</f>
        <v>65.444892845913046</v>
      </c>
      <c r="AC783" s="44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64.157508633093528</v>
      </c>
    </row>
    <row r="784" spans="1:29" ht="15.75" x14ac:dyDescent="0.25">
      <c r="A784" s="31">
        <v>64770</v>
      </c>
      <c r="B784" s="14">
        <f>CHOOSE(CONTROL!$C$42, 65.207, 65.207) * CHOOSE(CONTROL!$C$21, $C$9, 100%, $E$9)</f>
        <v>65.206999999999994</v>
      </c>
      <c r="C784" s="14">
        <f>CHOOSE(CONTROL!$C$42, 65.2115, 65.2115) * CHOOSE(CONTROL!$C$21, $C$9, 100%, $E$9)</f>
        <v>65.211500000000001</v>
      </c>
      <c r="D784" s="14">
        <f>CHOOSE(CONTROL!$C$42, 65.4405, 65.4405) * CHOOSE(CONTROL!$C$21, $C$9, 100%, $E$9)</f>
        <v>65.4405</v>
      </c>
      <c r="E784" s="14">
        <f>CHOOSE(CONTROL!$C$42, 65.4726, 65.4726) * CHOOSE(CONTROL!$C$21, $C$9, 100%, $E$9)</f>
        <v>65.4726</v>
      </c>
      <c r="F784" s="14">
        <f>CHOOSE(CONTROL!$C$42, 65.234, 65.234)*CHOOSE(CONTROL!$C$21, $C$9, 100%, $E$9)</f>
        <v>65.233999999999995</v>
      </c>
      <c r="G784" s="14">
        <f>CHOOSE(CONTROL!$C$42, 65.2508, 65.2508)*CHOOSE(CONTROL!$C$21, $C$9, 100%, $E$9)</f>
        <v>65.250799999999998</v>
      </c>
      <c r="H784" s="14">
        <f>CHOOSE(CONTROL!$C$42, 65.4624, 65.4624) * CHOOSE(CONTROL!$C$21, $C$9, 100%, $E$9)</f>
        <v>65.462400000000002</v>
      </c>
      <c r="I784" s="14">
        <f>CHOOSE(CONTROL!$C$42, 65.4442, 65.4442)* CHOOSE(CONTROL!$C$21, $C$9, 100%, $E$9)</f>
        <v>65.444199999999995</v>
      </c>
      <c r="J784" s="14">
        <f>CHOOSE(CONTROL!$C$42, 65.227, 65.227)* CHOOSE(CONTROL!$C$21, $C$9, 100%, $E$9)</f>
        <v>65.227000000000004</v>
      </c>
      <c r="K784" s="52">
        <f>CHOOSE(CONTROL!$C$42, 65.4403, 65.4403) * CHOOSE(CONTROL!$C$21, $C$9, 100%, $E$9)</f>
        <v>65.440299999999993</v>
      </c>
      <c r="L784" s="14">
        <f>CHOOSE(CONTROL!$C$42, 66.0494, 66.0494) * CHOOSE(CONTROL!$C$21, $C$9, 100%, $E$9)</f>
        <v>66.049400000000006</v>
      </c>
      <c r="M784" s="14">
        <f>CHOOSE(CONTROL!$C$42, 63.8983, 63.8983) * CHOOSE(CONTROL!$C$21, $C$9, 100%, $E$9)</f>
        <v>63.898299999999999</v>
      </c>
      <c r="N784" s="14">
        <f>CHOOSE(CONTROL!$C$42, 63.9147, 63.9147) * CHOOSE(CONTROL!$C$21, $C$9, 100%, $E$9)</f>
        <v>63.914700000000003</v>
      </c>
      <c r="O784" s="14">
        <f>CHOOSE(CONTROL!$C$42, 64.1288, 64.1288) * CHOOSE(CONTROL!$C$21, $C$9, 100%, $E$9)</f>
        <v>64.128799999999998</v>
      </c>
      <c r="P784" s="14">
        <f>CHOOSE(CONTROL!$C$42, 64.107, 64.107) * CHOOSE(CONTROL!$C$21, $C$9, 100%, $E$9)</f>
        <v>64.106999999999999</v>
      </c>
      <c r="Q784" s="14">
        <f>CHOOSE(CONTROL!$C$42, 64.7235, 64.7235) * CHOOSE(CONTROL!$C$21, $C$9, 100%, $E$9)</f>
        <v>64.723500000000001</v>
      </c>
      <c r="R784" s="14">
        <f>CHOOSE(CONTROL!$C$42, 65.4723, 65.4723) * CHOOSE(CONTROL!$C$21, $C$9, 100%, $E$9)</f>
        <v>65.472300000000004</v>
      </c>
      <c r="S784" s="14">
        <f>CHOOSE(CONTROL!$C$42, 62.6482, 62.6482) * CHOOSE(CONTROL!$C$21, $C$9, 100%, $E$9)</f>
        <v>62.648200000000003</v>
      </c>
      <c r="T78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56">
        <f>(1000*CHOOSE(CONTROL!$C$42, 695, 695)*CHOOSE(CONTROL!$C$42, 0.5599, 0.5599)*CHOOSE(CONTROL!$C$42, 30, 30))/1000000</f>
        <v>11.673914999999997</v>
      </c>
      <c r="V784" s="56">
        <f>(1000*CHOOSE(CONTROL!$C$42, 500, 500)*CHOOSE(CONTROL!$C$42, 0.275, 0.275)*CHOOSE(CONTROL!$C$42, 30, 30))/1000000</f>
        <v>4.125</v>
      </c>
      <c r="W784" s="56">
        <f>(1000*CHOOSE(CONTROL!$C$42, 0.1146, 0.1146)*CHOOSE(CONTROL!$C$42, 121.5, 121.5)*CHOOSE(CONTROL!$C$42, 30, 30))/1000000</f>
        <v>0.417717</v>
      </c>
      <c r="X784" s="56">
        <f>(30*0.1790888*245000/1000000)+(30*0.2374*100000/1000000)</f>
        <v>2.0285026799999999</v>
      </c>
      <c r="Y784" s="56"/>
      <c r="Z784" s="14"/>
      <c r="AA784" s="55"/>
      <c r="AB784" s="49">
        <f>(B784*141.293+C784*267.993+D784*115.016+E784*89.698+F784*40+G784*185+H784*0+I784*100+J784*300)/(141.293+267.993+115.016+89.698+0+40+185+100+300)</f>
        <v>65.280276023648113</v>
      </c>
      <c r="AC784" s="44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64.03374388489209</v>
      </c>
    </row>
    <row r="785" spans="1:29" ht="15.75" x14ac:dyDescent="0.25">
      <c r="A785" s="31">
        <v>64801</v>
      </c>
      <c r="B785" s="14">
        <f>CHOOSE(CONTROL!$C$42, 65.7839, 65.7839) * CHOOSE(CONTROL!$C$21, $C$9, 100%, $E$9)</f>
        <v>65.783900000000003</v>
      </c>
      <c r="C785" s="14">
        <f>CHOOSE(CONTROL!$C$42, 65.7919, 65.7919) * CHOOSE(CONTROL!$C$21, $C$9, 100%, $E$9)</f>
        <v>65.791899999999998</v>
      </c>
      <c r="D785" s="14">
        <f>CHOOSE(CONTROL!$C$42, 66.0177, 66.0177) * CHOOSE(CONTROL!$C$21, $C$9, 100%, $E$9)</f>
        <v>66.017700000000005</v>
      </c>
      <c r="E785" s="14">
        <f>CHOOSE(CONTROL!$C$42, 66.0492, 66.0492) * CHOOSE(CONTROL!$C$21, $C$9, 100%, $E$9)</f>
        <v>66.049199999999999</v>
      </c>
      <c r="F785" s="14">
        <f>CHOOSE(CONTROL!$C$42, 65.8095, 65.8095)*CHOOSE(CONTROL!$C$21, $C$9, 100%, $E$9)</f>
        <v>65.8095</v>
      </c>
      <c r="G785" s="14">
        <f>CHOOSE(CONTROL!$C$42, 65.8265, 65.8265)*CHOOSE(CONTROL!$C$21, $C$9, 100%, $E$9)</f>
        <v>65.826499999999996</v>
      </c>
      <c r="H785" s="14">
        <f>CHOOSE(CONTROL!$C$42, 66.0378, 66.0378) * CHOOSE(CONTROL!$C$21, $C$9, 100%, $E$9)</f>
        <v>66.037800000000004</v>
      </c>
      <c r="I785" s="14">
        <f>CHOOSE(CONTROL!$C$42, 66.0214, 66.0214)* CHOOSE(CONTROL!$C$21, $C$9, 100%, $E$9)</f>
        <v>66.0214</v>
      </c>
      <c r="J785" s="14">
        <f>CHOOSE(CONTROL!$C$42, 65.8025, 65.8025)* CHOOSE(CONTROL!$C$21, $C$9, 100%, $E$9)</f>
        <v>65.802499999999995</v>
      </c>
      <c r="K785" s="52">
        <f>CHOOSE(CONTROL!$C$42, 66.0175, 66.0175) * CHOOSE(CONTROL!$C$21, $C$9, 100%, $E$9)</f>
        <v>66.017499999999998</v>
      </c>
      <c r="L785" s="14">
        <f>CHOOSE(CONTROL!$C$42, 66.6248, 66.6248) * CHOOSE(CONTROL!$C$21, $C$9, 100%, $E$9)</f>
        <v>66.624799999999993</v>
      </c>
      <c r="M785" s="14">
        <f>CHOOSE(CONTROL!$C$42, 64.462, 64.462) * CHOOSE(CONTROL!$C$21, $C$9, 100%, $E$9)</f>
        <v>64.462000000000003</v>
      </c>
      <c r="N785" s="14">
        <f>CHOOSE(CONTROL!$C$42, 64.4786, 64.4786) * CHOOSE(CONTROL!$C$21, $C$9, 100%, $E$9)</f>
        <v>64.4786</v>
      </c>
      <c r="O785" s="14">
        <f>CHOOSE(CONTROL!$C$42, 64.6924, 64.6924) * CHOOSE(CONTROL!$C$21, $C$9, 100%, $E$9)</f>
        <v>64.692400000000006</v>
      </c>
      <c r="P785" s="14">
        <f>CHOOSE(CONTROL!$C$42, 64.6723, 64.6723) * CHOOSE(CONTROL!$C$21, $C$9, 100%, $E$9)</f>
        <v>64.672300000000007</v>
      </c>
      <c r="Q785" s="14">
        <f>CHOOSE(CONTROL!$C$42, 65.2871, 65.2871) * CHOOSE(CONTROL!$C$21, $C$9, 100%, $E$9)</f>
        <v>65.287099999999995</v>
      </c>
      <c r="R785" s="14">
        <f>CHOOSE(CONTROL!$C$42, 66.0373, 66.0373) * CHOOSE(CONTROL!$C$21, $C$9, 100%, $E$9)</f>
        <v>66.037300000000002</v>
      </c>
      <c r="S785" s="14">
        <f>CHOOSE(CONTROL!$C$42, 63.2011, 63.2011) * CHOOSE(CONTROL!$C$21, $C$9, 100%, $E$9)</f>
        <v>63.201099999999997</v>
      </c>
      <c r="T78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56">
        <f>(1000*CHOOSE(CONTROL!$C$42, 695, 695)*CHOOSE(CONTROL!$C$42, 0.5599, 0.5599)*CHOOSE(CONTROL!$C$42, 31, 31))/1000000</f>
        <v>12.063045499999998</v>
      </c>
      <c r="V785" s="56">
        <f>(1000*CHOOSE(CONTROL!$C$42, 500, 500)*CHOOSE(CONTROL!$C$42, 0.275, 0.275)*CHOOSE(CONTROL!$C$42, 31, 31))/1000000</f>
        <v>4.2625000000000002</v>
      </c>
      <c r="W785" s="56">
        <f>(1000*CHOOSE(CONTROL!$C$42, 0.1146, 0.1146)*CHOOSE(CONTROL!$C$42, 121.5, 121.5)*CHOOSE(CONTROL!$C$42, 31, 31))/1000000</f>
        <v>0.43164089999999994</v>
      </c>
      <c r="X785" s="56">
        <f>(31*0.1790888*245000/1000000)+(31*0.2374*100000/1000000)</f>
        <v>2.0961194359999999</v>
      </c>
      <c r="Y785" s="56"/>
      <c r="Z785" s="14"/>
      <c r="AA785" s="55"/>
      <c r="AB785" s="49">
        <f>(B785*194.205+C785*267.466+D785*133.845+E785*53.484+F785*40+G785*185+H785*0+I785*100+J785*300)/(194.205+267.466+133.845+53.484+0+40+185+100+300)</f>
        <v>65.851291675196236</v>
      </c>
      <c r="AC785" s="44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64.597640287769792</v>
      </c>
    </row>
    <row r="786" spans="1:29" ht="15.75" x14ac:dyDescent="0.25">
      <c r="A786" s="31">
        <v>64831</v>
      </c>
      <c r="B786" s="14">
        <f>CHOOSE(CONTROL!$C$42, 67.6496, 67.6496) * CHOOSE(CONTROL!$C$21, $C$9, 100%, $E$9)</f>
        <v>67.649600000000007</v>
      </c>
      <c r="C786" s="14">
        <f>CHOOSE(CONTROL!$C$42, 67.6576, 67.6576) * CHOOSE(CONTROL!$C$21, $C$9, 100%, $E$9)</f>
        <v>67.657600000000002</v>
      </c>
      <c r="D786" s="14">
        <f>CHOOSE(CONTROL!$C$42, 67.8834, 67.8834) * CHOOSE(CONTROL!$C$21, $C$9, 100%, $E$9)</f>
        <v>67.883399999999995</v>
      </c>
      <c r="E786" s="14">
        <f>CHOOSE(CONTROL!$C$42, 67.9149, 67.9149) * CHOOSE(CONTROL!$C$21, $C$9, 100%, $E$9)</f>
        <v>67.914900000000003</v>
      </c>
      <c r="F786" s="14">
        <f>CHOOSE(CONTROL!$C$42, 67.6757, 67.6757)*CHOOSE(CONTROL!$C$21, $C$9, 100%, $E$9)</f>
        <v>67.675700000000006</v>
      </c>
      <c r="G786" s="14">
        <f>CHOOSE(CONTROL!$C$42, 67.6928, 67.6928)*CHOOSE(CONTROL!$C$21, $C$9, 100%, $E$9)</f>
        <v>67.692800000000005</v>
      </c>
      <c r="H786" s="14">
        <f>CHOOSE(CONTROL!$C$42, 67.9035, 67.9035) * CHOOSE(CONTROL!$C$21, $C$9, 100%, $E$9)</f>
        <v>67.903499999999994</v>
      </c>
      <c r="I786" s="14">
        <f>CHOOSE(CONTROL!$C$42, 67.893, 67.893)* CHOOSE(CONTROL!$C$21, $C$9, 100%, $E$9)</f>
        <v>67.893000000000001</v>
      </c>
      <c r="J786" s="14">
        <f>CHOOSE(CONTROL!$C$42, 67.6687, 67.6687)* CHOOSE(CONTROL!$C$21, $C$9, 100%, $E$9)</f>
        <v>67.668700000000001</v>
      </c>
      <c r="K786" s="52">
        <f>CHOOSE(CONTROL!$C$42, 67.8891, 67.8891) * CHOOSE(CONTROL!$C$21, $C$9, 100%, $E$9)</f>
        <v>67.889099999999999</v>
      </c>
      <c r="L786" s="14">
        <f>CHOOSE(CONTROL!$C$42, 68.4905, 68.4905) * CHOOSE(CONTROL!$C$21, $C$9, 100%, $E$9)</f>
        <v>68.490499999999997</v>
      </c>
      <c r="M786" s="14">
        <f>CHOOSE(CONTROL!$C$42, 66.2899, 66.2899) * CHOOSE(CONTROL!$C$21, $C$9, 100%, $E$9)</f>
        <v>66.289900000000003</v>
      </c>
      <c r="N786" s="14">
        <f>CHOOSE(CONTROL!$C$42, 66.3066, 66.3066) * CHOOSE(CONTROL!$C$21, $C$9, 100%, $E$9)</f>
        <v>66.306600000000003</v>
      </c>
      <c r="O786" s="14">
        <f>CHOOSE(CONTROL!$C$42, 66.5199, 66.5199) * CHOOSE(CONTROL!$C$21, $C$9, 100%, $E$9)</f>
        <v>66.519900000000007</v>
      </c>
      <c r="P786" s="14">
        <f>CHOOSE(CONTROL!$C$42, 66.5054, 66.5054) * CHOOSE(CONTROL!$C$21, $C$9, 100%, $E$9)</f>
        <v>66.505399999999995</v>
      </c>
      <c r="Q786" s="14">
        <f>CHOOSE(CONTROL!$C$42, 67.1146, 67.1146) * CHOOSE(CONTROL!$C$21, $C$9, 100%, $E$9)</f>
        <v>67.114599999999996</v>
      </c>
      <c r="R786" s="14">
        <f>CHOOSE(CONTROL!$C$42, 67.8694, 67.8694) * CHOOSE(CONTROL!$C$21, $C$9, 100%, $E$9)</f>
        <v>67.869399999999999</v>
      </c>
      <c r="S786" s="14">
        <f>CHOOSE(CONTROL!$C$42, 64.9939, 64.9939) * CHOOSE(CONTROL!$C$21, $C$9, 100%, $E$9)</f>
        <v>64.993899999999996</v>
      </c>
      <c r="T78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56">
        <f>(1000*CHOOSE(CONTROL!$C$42, 695, 695)*CHOOSE(CONTROL!$C$42, 0.5599, 0.5599)*CHOOSE(CONTROL!$C$42, 30, 30))/1000000</f>
        <v>11.673914999999997</v>
      </c>
      <c r="V786" s="56">
        <f>(1000*CHOOSE(CONTROL!$C$42, 500, 500)*CHOOSE(CONTROL!$C$42, 0.275, 0.275)*CHOOSE(CONTROL!$C$42, 30, 30))/1000000</f>
        <v>4.125</v>
      </c>
      <c r="W786" s="56">
        <f>(1000*CHOOSE(CONTROL!$C$42, 0.1146, 0.1146)*CHOOSE(CONTROL!$C$42, 121.5, 121.5)*CHOOSE(CONTROL!$C$42, 30, 30))/1000000</f>
        <v>0.417717</v>
      </c>
      <c r="X786" s="56">
        <f>(30*0.1790888*245000/1000000)+(30*0.2374*100000/1000000)</f>
        <v>2.0285026799999999</v>
      </c>
      <c r="Y786" s="56"/>
      <c r="Z786" s="14"/>
      <c r="AA786" s="55"/>
      <c r="AB786" s="49">
        <f>(B786*194.205+C786*267.466+D786*133.845+E786*53.484+F786*40+G786*185+H786*0+I786*100+J786*300)/(194.205+267.466+133.845+53.484+0+40+185+100+300)</f>
        <v>67.717675348665622</v>
      </c>
      <c r="AC786" s="44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66.426112949640299</v>
      </c>
    </row>
    <row r="787" spans="1:29" ht="15.75" x14ac:dyDescent="0.25">
      <c r="A787" s="31">
        <v>64862</v>
      </c>
      <c r="B787" s="14">
        <f>CHOOSE(CONTROL!$C$42, 66.352, 66.352) * CHOOSE(CONTROL!$C$21, $C$9, 100%, $E$9)</f>
        <v>66.352000000000004</v>
      </c>
      <c r="C787" s="14">
        <f>CHOOSE(CONTROL!$C$42, 66.36, 66.36) * CHOOSE(CONTROL!$C$21, $C$9, 100%, $E$9)</f>
        <v>66.36</v>
      </c>
      <c r="D787" s="14">
        <f>CHOOSE(CONTROL!$C$42, 66.5858, 66.5858) * CHOOSE(CONTROL!$C$21, $C$9, 100%, $E$9)</f>
        <v>66.585800000000006</v>
      </c>
      <c r="E787" s="14">
        <f>CHOOSE(CONTROL!$C$42, 66.6173, 66.6173) * CHOOSE(CONTROL!$C$21, $C$9, 100%, $E$9)</f>
        <v>66.6173</v>
      </c>
      <c r="F787" s="14">
        <f>CHOOSE(CONTROL!$C$42, 66.3785, 66.3785)*CHOOSE(CONTROL!$C$21, $C$9, 100%, $E$9)</f>
        <v>66.378500000000003</v>
      </c>
      <c r="G787" s="14">
        <f>CHOOSE(CONTROL!$C$42, 66.3957, 66.3957)*CHOOSE(CONTROL!$C$21, $C$9, 100%, $E$9)</f>
        <v>66.395700000000005</v>
      </c>
      <c r="H787" s="14">
        <f>CHOOSE(CONTROL!$C$42, 66.6059, 66.6059) * CHOOSE(CONTROL!$C$21, $C$9, 100%, $E$9)</f>
        <v>66.605900000000005</v>
      </c>
      <c r="I787" s="14">
        <f>CHOOSE(CONTROL!$C$42, 66.5913, 66.5913)* CHOOSE(CONTROL!$C$21, $C$9, 100%, $E$9)</f>
        <v>66.591300000000004</v>
      </c>
      <c r="J787" s="14">
        <f>CHOOSE(CONTROL!$C$42, 66.3715, 66.3715)* CHOOSE(CONTROL!$C$21, $C$9, 100%, $E$9)</f>
        <v>66.371499999999997</v>
      </c>
      <c r="K787" s="52">
        <f>CHOOSE(CONTROL!$C$42, 66.5874, 66.5874) * CHOOSE(CONTROL!$C$21, $C$9, 100%, $E$9)</f>
        <v>66.587400000000002</v>
      </c>
      <c r="L787" s="14">
        <f>CHOOSE(CONTROL!$C$42, 67.1929, 67.1929) * CHOOSE(CONTROL!$C$21, $C$9, 100%, $E$9)</f>
        <v>67.192899999999995</v>
      </c>
      <c r="M787" s="14">
        <f>CHOOSE(CONTROL!$C$42, 65.0193, 65.0193) * CHOOSE(CONTROL!$C$21, $C$9, 100%, $E$9)</f>
        <v>65.019300000000001</v>
      </c>
      <c r="N787" s="14">
        <f>CHOOSE(CONTROL!$C$42, 65.0362, 65.0362) * CHOOSE(CONTROL!$C$21, $C$9, 100%, $E$9)</f>
        <v>65.036199999999994</v>
      </c>
      <c r="O787" s="14">
        <f>CHOOSE(CONTROL!$C$42, 65.2489, 65.2489) * CHOOSE(CONTROL!$C$21, $C$9, 100%, $E$9)</f>
        <v>65.248900000000006</v>
      </c>
      <c r="P787" s="14">
        <f>CHOOSE(CONTROL!$C$42, 65.2305, 65.2305) * CHOOSE(CONTROL!$C$21, $C$9, 100%, $E$9)</f>
        <v>65.230500000000006</v>
      </c>
      <c r="Q787" s="14">
        <f>CHOOSE(CONTROL!$C$42, 65.8436, 65.8436) * CHOOSE(CONTROL!$C$21, $C$9, 100%, $E$9)</f>
        <v>65.843599999999995</v>
      </c>
      <c r="R787" s="14">
        <f>CHOOSE(CONTROL!$C$42, 66.5952, 66.5952) * CHOOSE(CONTROL!$C$21, $C$9, 100%, $E$9)</f>
        <v>66.595200000000006</v>
      </c>
      <c r="S787" s="14">
        <f>CHOOSE(CONTROL!$C$42, 63.747, 63.747) * CHOOSE(CONTROL!$C$21, $C$9, 100%, $E$9)</f>
        <v>63.747</v>
      </c>
      <c r="T78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56">
        <f>(1000*CHOOSE(CONTROL!$C$42, 695, 695)*CHOOSE(CONTROL!$C$42, 0.5599, 0.5599)*CHOOSE(CONTROL!$C$42, 31, 31))/1000000</f>
        <v>12.063045499999998</v>
      </c>
      <c r="V787" s="56">
        <f>(1000*CHOOSE(CONTROL!$C$42, 500, 500)*CHOOSE(CONTROL!$C$42, 0.275, 0.275)*CHOOSE(CONTROL!$C$42, 31, 31))/1000000</f>
        <v>4.2625000000000002</v>
      </c>
      <c r="W787" s="56">
        <f>(1000*CHOOSE(CONTROL!$C$42, 0.1146, 0.1146)*CHOOSE(CONTROL!$C$42, 121.5, 121.5)*CHOOSE(CONTROL!$C$42, 31, 31))/1000000</f>
        <v>0.43164089999999994</v>
      </c>
      <c r="X787" s="56">
        <f>(31*0.1790888*245000/1000000)+(31*0.2374*100000/1000000)</f>
        <v>2.0961194359999999</v>
      </c>
      <c r="Y787" s="56"/>
      <c r="Z787" s="14"/>
      <c r="AA787" s="55"/>
      <c r="AB787" s="49">
        <f>(B787*194.205+C787*267.466+D787*133.845+E787*53.484+F787*40+G787*185+H787*0+I787*100+J787*300)/(194.205+267.466+133.845+53.484+0+40+185+100+300)</f>
        <v>66.419932883987443</v>
      </c>
      <c r="AC787" s="44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65.154724460431666</v>
      </c>
    </row>
    <row r="788" spans="1:29" ht="15.75" x14ac:dyDescent="0.25">
      <c r="A788" s="31">
        <v>64893</v>
      </c>
      <c r="B788" s="14">
        <f>CHOOSE(CONTROL!$C$42, 63.0751, 63.0751) * CHOOSE(CONTROL!$C$21, $C$9, 100%, $E$9)</f>
        <v>63.075099999999999</v>
      </c>
      <c r="C788" s="14">
        <f>CHOOSE(CONTROL!$C$42, 63.0831, 63.0831) * CHOOSE(CONTROL!$C$21, $C$9, 100%, $E$9)</f>
        <v>63.083100000000002</v>
      </c>
      <c r="D788" s="14">
        <f>CHOOSE(CONTROL!$C$42, 63.3089, 63.3089) * CHOOSE(CONTROL!$C$21, $C$9, 100%, $E$9)</f>
        <v>63.308900000000001</v>
      </c>
      <c r="E788" s="14">
        <f>CHOOSE(CONTROL!$C$42, 63.3404, 63.3404) * CHOOSE(CONTROL!$C$21, $C$9, 100%, $E$9)</f>
        <v>63.340400000000002</v>
      </c>
      <c r="F788" s="14">
        <f>CHOOSE(CONTROL!$C$42, 63.1019, 63.1019)*CHOOSE(CONTROL!$C$21, $C$9, 100%, $E$9)</f>
        <v>63.101900000000001</v>
      </c>
      <c r="G788" s="14">
        <f>CHOOSE(CONTROL!$C$42, 63.1192, 63.1192)*CHOOSE(CONTROL!$C$21, $C$9, 100%, $E$9)</f>
        <v>63.119199999999999</v>
      </c>
      <c r="H788" s="14">
        <f>CHOOSE(CONTROL!$C$42, 63.329, 63.329) * CHOOSE(CONTROL!$C$21, $C$9, 100%, $E$9)</f>
        <v>63.329000000000001</v>
      </c>
      <c r="I788" s="14">
        <f>CHOOSE(CONTROL!$C$42, 63.3042, 63.3042)* CHOOSE(CONTROL!$C$21, $C$9, 100%, $E$9)</f>
        <v>63.304200000000002</v>
      </c>
      <c r="J788" s="14">
        <f>CHOOSE(CONTROL!$C$42, 63.0949, 63.0949)* CHOOSE(CONTROL!$C$21, $C$9, 100%, $E$9)</f>
        <v>63.094900000000003</v>
      </c>
      <c r="K788" s="52">
        <f>CHOOSE(CONTROL!$C$42, 63.3003, 63.3003) * CHOOSE(CONTROL!$C$21, $C$9, 100%, $E$9)</f>
        <v>63.3003</v>
      </c>
      <c r="L788" s="14">
        <f>CHOOSE(CONTROL!$C$42, 63.916, 63.916) * CHOOSE(CONTROL!$C$21, $C$9, 100%, $E$9)</f>
        <v>63.915999999999997</v>
      </c>
      <c r="M788" s="14">
        <f>CHOOSE(CONTROL!$C$42, 61.8098, 61.8098) * CHOOSE(CONTROL!$C$21, $C$9, 100%, $E$9)</f>
        <v>61.809800000000003</v>
      </c>
      <c r="N788" s="14">
        <f>CHOOSE(CONTROL!$C$42, 61.8267, 61.8267) * CHOOSE(CONTROL!$C$21, $C$9, 100%, $E$9)</f>
        <v>61.826700000000002</v>
      </c>
      <c r="O788" s="14">
        <f>CHOOSE(CONTROL!$C$42, 62.0391, 62.0391) * CHOOSE(CONTROL!$C$21, $C$9, 100%, $E$9)</f>
        <v>62.039099999999998</v>
      </c>
      <c r="P788" s="14">
        <f>CHOOSE(CONTROL!$C$42, 62.0109, 62.0109) * CHOOSE(CONTROL!$C$21, $C$9, 100%, $E$9)</f>
        <v>62.010899999999999</v>
      </c>
      <c r="Q788" s="14">
        <f>CHOOSE(CONTROL!$C$42, 62.6338, 62.6338) * CHOOSE(CONTROL!$C$21, $C$9, 100%, $E$9)</f>
        <v>62.633800000000001</v>
      </c>
      <c r="R788" s="14">
        <f>CHOOSE(CONTROL!$C$42, 63.3774, 63.3774) * CHOOSE(CONTROL!$C$21, $C$9, 100%, $E$9)</f>
        <v>63.377400000000002</v>
      </c>
      <c r="S788" s="14">
        <f>CHOOSE(CONTROL!$C$42, 60.5982, 60.5982) * CHOOSE(CONTROL!$C$21, $C$9, 100%, $E$9)</f>
        <v>60.598199999999999</v>
      </c>
      <c r="T78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56">
        <f>(1000*CHOOSE(CONTROL!$C$42, 695, 695)*CHOOSE(CONTROL!$C$42, 0.5599, 0.5599)*CHOOSE(CONTROL!$C$42, 31, 31))/1000000</f>
        <v>12.063045499999998</v>
      </c>
      <c r="V788" s="56">
        <f>(1000*CHOOSE(CONTROL!$C$42, 500, 500)*CHOOSE(CONTROL!$C$42, 0.275, 0.275)*CHOOSE(CONTROL!$C$42, 31, 31))/1000000</f>
        <v>4.2625000000000002</v>
      </c>
      <c r="W788" s="56">
        <f>(1000*CHOOSE(CONTROL!$C$42, 0.1146, 0.1146)*CHOOSE(CONTROL!$C$42, 121.5, 121.5)*CHOOSE(CONTROL!$C$42, 31, 31))/1000000</f>
        <v>0.43164089999999994</v>
      </c>
      <c r="X788" s="56">
        <f>(31*0.1790888*245000/1000000)+(31*0.2374*100000/1000000)</f>
        <v>2.0961194359999999</v>
      </c>
      <c r="Y788" s="56"/>
      <c r="Z788" s="14"/>
      <c r="AA788" s="55"/>
      <c r="AB788" s="49">
        <f>(B788*194.205+C788*267.466+D788*133.845+E788*53.484+F788*40+G788*185+H788*0+I788*100+J788*300)/(194.205+267.466+133.845+53.484+0+40+185+100+300)</f>
        <v>63.142370403610677</v>
      </c>
      <c r="AC788" s="44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61.943635251798554</v>
      </c>
    </row>
    <row r="789" spans="1:29" ht="15.75" x14ac:dyDescent="0.25">
      <c r="A789" s="31">
        <v>64923</v>
      </c>
      <c r="B789" s="14">
        <f>CHOOSE(CONTROL!$C$42, 59.0711, 59.0711) * CHOOSE(CONTROL!$C$21, $C$9, 100%, $E$9)</f>
        <v>59.071100000000001</v>
      </c>
      <c r="C789" s="14">
        <f>CHOOSE(CONTROL!$C$42, 59.0791, 59.0791) * CHOOSE(CONTROL!$C$21, $C$9, 100%, $E$9)</f>
        <v>59.079099999999997</v>
      </c>
      <c r="D789" s="14">
        <f>CHOOSE(CONTROL!$C$42, 59.3049, 59.3049) * CHOOSE(CONTROL!$C$21, $C$9, 100%, $E$9)</f>
        <v>59.304900000000004</v>
      </c>
      <c r="E789" s="14">
        <f>CHOOSE(CONTROL!$C$42, 59.3364, 59.3364) * CHOOSE(CONTROL!$C$21, $C$9, 100%, $E$9)</f>
        <v>59.336399999999998</v>
      </c>
      <c r="F789" s="14">
        <f>CHOOSE(CONTROL!$C$42, 59.0979, 59.0979)*CHOOSE(CONTROL!$C$21, $C$9, 100%, $E$9)</f>
        <v>59.097900000000003</v>
      </c>
      <c r="G789" s="14">
        <f>CHOOSE(CONTROL!$C$42, 59.1152, 59.1152)*CHOOSE(CONTROL!$C$21, $C$9, 100%, $E$9)</f>
        <v>59.115200000000002</v>
      </c>
      <c r="H789" s="14">
        <f>CHOOSE(CONTROL!$C$42, 59.325, 59.325) * CHOOSE(CONTROL!$C$21, $C$9, 100%, $E$9)</f>
        <v>59.325000000000003</v>
      </c>
      <c r="I789" s="14">
        <f>CHOOSE(CONTROL!$C$42, 59.2877, 59.2877)* CHOOSE(CONTROL!$C$21, $C$9, 100%, $E$9)</f>
        <v>59.287700000000001</v>
      </c>
      <c r="J789" s="14">
        <f>CHOOSE(CONTROL!$C$42, 59.0909, 59.0909)* CHOOSE(CONTROL!$C$21, $C$9, 100%, $E$9)</f>
        <v>59.090899999999998</v>
      </c>
      <c r="K789" s="52">
        <f>CHOOSE(CONTROL!$C$42, 59.2838, 59.2838) * CHOOSE(CONTROL!$C$21, $C$9, 100%, $E$9)</f>
        <v>59.283799999999999</v>
      </c>
      <c r="L789" s="14">
        <f>CHOOSE(CONTROL!$C$42, 59.912, 59.912) * CHOOSE(CONTROL!$C$21, $C$9, 100%, $E$9)</f>
        <v>59.911999999999999</v>
      </c>
      <c r="M789" s="14">
        <f>CHOOSE(CONTROL!$C$42, 57.8879, 57.8879) * CHOOSE(CONTROL!$C$21, $C$9, 100%, $E$9)</f>
        <v>57.887900000000002</v>
      </c>
      <c r="N789" s="14">
        <f>CHOOSE(CONTROL!$C$42, 57.9048, 57.9048) * CHOOSE(CONTROL!$C$21, $C$9, 100%, $E$9)</f>
        <v>57.904800000000002</v>
      </c>
      <c r="O789" s="14">
        <f>CHOOSE(CONTROL!$C$42, 58.1172, 58.1172) * CHOOSE(CONTROL!$C$21, $C$9, 100%, $E$9)</f>
        <v>58.117199999999997</v>
      </c>
      <c r="P789" s="14">
        <f>CHOOSE(CONTROL!$C$42, 58.0769, 58.0769) * CHOOSE(CONTROL!$C$21, $C$9, 100%, $E$9)</f>
        <v>58.076900000000002</v>
      </c>
      <c r="Q789" s="14">
        <f>CHOOSE(CONTROL!$C$42, 58.7119, 58.7119) * CHOOSE(CONTROL!$C$21, $C$9, 100%, $E$9)</f>
        <v>58.7119</v>
      </c>
      <c r="R789" s="14">
        <f>CHOOSE(CONTROL!$C$42, 59.4457, 59.4457) * CHOOSE(CONTROL!$C$21, $C$9, 100%, $E$9)</f>
        <v>59.445700000000002</v>
      </c>
      <c r="S789" s="14">
        <f>CHOOSE(CONTROL!$C$42, 56.7508, 56.7508) * CHOOSE(CONTROL!$C$21, $C$9, 100%, $E$9)</f>
        <v>56.750799999999998</v>
      </c>
      <c r="T78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56">
        <f>(1000*CHOOSE(CONTROL!$C$42, 695, 695)*CHOOSE(CONTROL!$C$42, 0.5599, 0.5599)*CHOOSE(CONTROL!$C$42, 30, 30))/1000000</f>
        <v>11.673914999999997</v>
      </c>
      <c r="V789" s="56">
        <f>(1000*CHOOSE(CONTROL!$C$42, 500, 500)*CHOOSE(CONTROL!$C$42, 0.275, 0.275)*CHOOSE(CONTROL!$C$42, 30, 30))/1000000</f>
        <v>4.125</v>
      </c>
      <c r="W789" s="56">
        <f>(1000*CHOOSE(CONTROL!$C$42, 0.1146, 0.1146)*CHOOSE(CONTROL!$C$42, 121.5, 121.5)*CHOOSE(CONTROL!$C$42, 30, 30))/1000000</f>
        <v>0.417717</v>
      </c>
      <c r="X789" s="56">
        <f>(30*0.1790888*245000/1000000)+(30*0.2374*100000/1000000)</f>
        <v>2.0285026799999999</v>
      </c>
      <c r="Y789" s="56"/>
      <c r="Z789" s="14"/>
      <c r="AA789" s="55"/>
      <c r="AB789" s="49">
        <f>(B789*194.205+C789*267.466+D789*133.845+E789*53.484+F789*40+G789*185+H789*0+I789*100+J789*300)/(194.205+267.466+133.845+53.484+0+40+185+100+300)</f>
        <v>59.137389241915223</v>
      </c>
      <c r="AC789" s="44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58.01999424460432</v>
      </c>
    </row>
    <row r="790" spans="1:29" ht="15.75" x14ac:dyDescent="0.25">
      <c r="A790" s="31">
        <v>64954</v>
      </c>
      <c r="B790" s="14">
        <f>CHOOSE(CONTROL!$C$42, 57.8702, 57.8702) * CHOOSE(CONTROL!$C$21, $C$9, 100%, $E$9)</f>
        <v>57.870199999999997</v>
      </c>
      <c r="C790" s="14">
        <f>CHOOSE(CONTROL!$C$42, 57.8755, 57.8755) * CHOOSE(CONTROL!$C$21, $C$9, 100%, $E$9)</f>
        <v>57.875500000000002</v>
      </c>
      <c r="D790" s="14">
        <f>CHOOSE(CONTROL!$C$42, 58.1063, 58.1063) * CHOOSE(CONTROL!$C$21, $C$9, 100%, $E$9)</f>
        <v>58.106299999999997</v>
      </c>
      <c r="E790" s="14">
        <f>CHOOSE(CONTROL!$C$42, 58.1354, 58.1354) * CHOOSE(CONTROL!$C$21, $C$9, 100%, $E$9)</f>
        <v>58.135399999999997</v>
      </c>
      <c r="F790" s="14">
        <f>CHOOSE(CONTROL!$C$42, 57.8991, 57.8991)*CHOOSE(CONTROL!$C$21, $C$9, 100%, $E$9)</f>
        <v>57.899099999999997</v>
      </c>
      <c r="G790" s="14">
        <f>CHOOSE(CONTROL!$C$42, 57.9162, 57.9162)*CHOOSE(CONTROL!$C$21, $C$9, 100%, $E$9)</f>
        <v>57.916200000000003</v>
      </c>
      <c r="H790" s="14">
        <f>CHOOSE(CONTROL!$C$42, 58.1259, 58.1259) * CHOOSE(CONTROL!$C$21, $C$9, 100%, $E$9)</f>
        <v>58.125900000000001</v>
      </c>
      <c r="I790" s="14">
        <f>CHOOSE(CONTROL!$C$42, 58.0848, 58.0848)* CHOOSE(CONTROL!$C$21, $C$9, 100%, $E$9)</f>
        <v>58.084800000000001</v>
      </c>
      <c r="J790" s="14">
        <f>CHOOSE(CONTROL!$C$42, 57.8921, 57.8921)* CHOOSE(CONTROL!$C$21, $C$9, 100%, $E$9)</f>
        <v>57.892099999999999</v>
      </c>
      <c r="K790" s="52">
        <f>CHOOSE(CONTROL!$C$42, 58.0809, 58.0809) * CHOOSE(CONTROL!$C$21, $C$9, 100%, $E$9)</f>
        <v>58.0809</v>
      </c>
      <c r="L790" s="14">
        <f>CHOOSE(CONTROL!$C$42, 58.7129, 58.7129) * CHOOSE(CONTROL!$C$21, $C$9, 100%, $E$9)</f>
        <v>58.712899999999998</v>
      </c>
      <c r="M790" s="14">
        <f>CHOOSE(CONTROL!$C$42, 56.7136, 56.7136) * CHOOSE(CONTROL!$C$21, $C$9, 100%, $E$9)</f>
        <v>56.7136</v>
      </c>
      <c r="N790" s="14">
        <f>CHOOSE(CONTROL!$C$42, 56.7304, 56.7304) * CHOOSE(CONTROL!$C$21, $C$9, 100%, $E$9)</f>
        <v>56.730400000000003</v>
      </c>
      <c r="O790" s="14">
        <f>CHOOSE(CONTROL!$C$42, 56.9426, 56.9426) * CHOOSE(CONTROL!$C$21, $C$9, 100%, $E$9)</f>
        <v>56.942599999999999</v>
      </c>
      <c r="P790" s="14">
        <f>CHOOSE(CONTROL!$C$42, 56.8988, 56.8988) * CHOOSE(CONTROL!$C$21, $C$9, 100%, $E$9)</f>
        <v>56.898800000000001</v>
      </c>
      <c r="Q790" s="14">
        <f>CHOOSE(CONTROL!$C$42, 57.5373, 57.5373) * CHOOSE(CONTROL!$C$21, $C$9, 100%, $E$9)</f>
        <v>57.537300000000002</v>
      </c>
      <c r="R790" s="14">
        <f>CHOOSE(CONTROL!$C$42, 58.2682, 58.2682) * CHOOSE(CONTROL!$C$21, $C$9, 100%, $E$9)</f>
        <v>58.2682</v>
      </c>
      <c r="S790" s="14">
        <f>CHOOSE(CONTROL!$C$42, 55.5985, 55.5985) * CHOOSE(CONTROL!$C$21, $C$9, 100%, $E$9)</f>
        <v>55.598500000000001</v>
      </c>
      <c r="T79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56">
        <f>(1000*CHOOSE(CONTROL!$C$42, 695, 695)*CHOOSE(CONTROL!$C$42, 0.5599, 0.5599)*CHOOSE(CONTROL!$C$42, 31, 31))/1000000</f>
        <v>12.063045499999998</v>
      </c>
      <c r="V790" s="56">
        <f>(1000*CHOOSE(CONTROL!$C$42, 500, 500)*CHOOSE(CONTROL!$C$42, 0.275, 0.275)*CHOOSE(CONTROL!$C$42, 31, 31))/1000000</f>
        <v>4.2625000000000002</v>
      </c>
      <c r="W790" s="56">
        <f>(1000*CHOOSE(CONTROL!$C$42, 0.1146, 0.1146)*CHOOSE(CONTROL!$C$42, 121.5, 121.5)*CHOOSE(CONTROL!$C$42, 31, 31))/1000000</f>
        <v>0.43164089999999994</v>
      </c>
      <c r="X790" s="56">
        <f>(31*0.1790888*245000/1000000)+(31*0.2374*100000/1000000)</f>
        <v>2.0961194359999999</v>
      </c>
      <c r="Y790" s="56"/>
      <c r="Z790" s="14"/>
      <c r="AA790" s="55"/>
      <c r="AB790" s="49">
        <f>(B790*131.881+C790*277.167+D790*79.08+E790*125.872+F790*40+G790*185+H790*0+I790*100+J790*300)/(131.881+277.167+79.08+125.872+0+40+185+100+300)</f>
        <v>57.943821491121874</v>
      </c>
      <c r="AC790" s="44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56.845005755395675</v>
      </c>
    </row>
    <row r="791" spans="1:29" ht="15.75" x14ac:dyDescent="0.25">
      <c r="A791" s="31">
        <v>64984</v>
      </c>
      <c r="B791" s="14">
        <f>CHOOSE(CONTROL!$C$42, 59.3941, 59.3941) * CHOOSE(CONTROL!$C$21, $C$9, 100%, $E$9)</f>
        <v>59.394100000000002</v>
      </c>
      <c r="C791" s="14">
        <f>CHOOSE(CONTROL!$C$42, 59.3992, 59.3992) * CHOOSE(CONTROL!$C$21, $C$9, 100%, $E$9)</f>
        <v>59.3992</v>
      </c>
      <c r="D791" s="14">
        <f>CHOOSE(CONTROL!$C$42, 59.4682, 59.4682) * CHOOSE(CONTROL!$C$21, $C$9, 100%, $E$9)</f>
        <v>59.468200000000003</v>
      </c>
      <c r="E791" s="14">
        <f>CHOOSE(CONTROL!$C$42, 59.5023, 59.5023) * CHOOSE(CONTROL!$C$21, $C$9, 100%, $E$9)</f>
        <v>59.502299999999998</v>
      </c>
      <c r="F791" s="14">
        <f>CHOOSE(CONTROL!$C$42, 59.4297, 59.4297)*CHOOSE(CONTROL!$C$21, $C$9, 100%, $E$9)</f>
        <v>59.429699999999997</v>
      </c>
      <c r="G791" s="14">
        <f>CHOOSE(CONTROL!$C$42, 59.4471, 59.4471)*CHOOSE(CONTROL!$C$21, $C$9, 100%, $E$9)</f>
        <v>59.447099999999999</v>
      </c>
      <c r="H791" s="14">
        <f>CHOOSE(CONTROL!$C$42, 59.4915, 59.4915) * CHOOSE(CONTROL!$C$21, $C$9, 100%, $E$9)</f>
        <v>59.491500000000002</v>
      </c>
      <c r="I791" s="14">
        <f>CHOOSE(CONTROL!$C$42, 59.6165, 59.6165)* CHOOSE(CONTROL!$C$21, $C$9, 100%, $E$9)</f>
        <v>59.616500000000002</v>
      </c>
      <c r="J791" s="14">
        <f>CHOOSE(CONTROL!$C$42, 59.4227, 59.4227)* CHOOSE(CONTROL!$C$21, $C$9, 100%, $E$9)</f>
        <v>59.422699999999999</v>
      </c>
      <c r="K791" s="52">
        <f>CHOOSE(CONTROL!$C$42, 59.6126, 59.6126) * CHOOSE(CONTROL!$C$21, $C$9, 100%, $E$9)</f>
        <v>59.6126</v>
      </c>
      <c r="L791" s="14">
        <f>CHOOSE(CONTROL!$C$42, 60.0785, 60.0785) * CHOOSE(CONTROL!$C$21, $C$9, 100%, $E$9)</f>
        <v>60.078499999999998</v>
      </c>
      <c r="M791" s="14">
        <f>CHOOSE(CONTROL!$C$42, 58.2129, 58.2129) * CHOOSE(CONTROL!$C$21, $C$9, 100%, $E$9)</f>
        <v>58.212899999999998</v>
      </c>
      <c r="N791" s="14">
        <f>CHOOSE(CONTROL!$C$42, 58.2299, 58.2299) * CHOOSE(CONTROL!$C$21, $C$9, 100%, $E$9)</f>
        <v>58.229900000000001</v>
      </c>
      <c r="O791" s="14">
        <f>CHOOSE(CONTROL!$C$42, 58.2802, 58.2802) * CHOOSE(CONTROL!$C$21, $C$9, 100%, $E$9)</f>
        <v>58.280200000000001</v>
      </c>
      <c r="P791" s="14">
        <f>CHOOSE(CONTROL!$C$42, 58.399, 58.399) * CHOOSE(CONTROL!$C$21, $C$9, 100%, $E$9)</f>
        <v>58.399000000000001</v>
      </c>
      <c r="Q791" s="14">
        <f>CHOOSE(CONTROL!$C$42, 58.8749, 58.8749) * CHOOSE(CONTROL!$C$21, $C$9, 100%, $E$9)</f>
        <v>58.874899999999997</v>
      </c>
      <c r="R791" s="14">
        <f>CHOOSE(CONTROL!$C$42, 59.6091, 59.6091) * CHOOSE(CONTROL!$C$21, $C$9, 100%, $E$9)</f>
        <v>59.609099999999998</v>
      </c>
      <c r="S791" s="14">
        <f>CHOOSE(CONTROL!$C$42, 57.0633, 57.0633) * CHOOSE(CONTROL!$C$21, $C$9, 100%, $E$9)</f>
        <v>57.063299999999998</v>
      </c>
      <c r="T79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56">
        <f>(1000*CHOOSE(CONTROL!$C$42, 695, 695)*CHOOSE(CONTROL!$C$42, 0.5599, 0.5599)*CHOOSE(CONTROL!$C$42, 30, 30))/1000000</f>
        <v>11.673914999999997</v>
      </c>
      <c r="V791" s="56">
        <f>(1000*CHOOSE(CONTROL!$C$42, 500, 500)*CHOOSE(CONTROL!$C$42, 0.275, 0.275)*CHOOSE(CONTROL!$C$42, 30, 30))/1000000</f>
        <v>4.125</v>
      </c>
      <c r="W791" s="56">
        <f>(1000*CHOOSE(CONTROL!$C$42, 0.1146, 0.1146)*CHOOSE(CONTROL!$C$42, 121.5, 121.5)*CHOOSE(CONTROL!$C$42, 30, 30))/1000000</f>
        <v>0.417717</v>
      </c>
      <c r="X791" s="56">
        <f>(30*0.1790888*100000/1000000)+(30*0.2374*100000/1000000)</f>
        <v>1.2494664</v>
      </c>
      <c r="Y791" s="56"/>
      <c r="Z791" s="14"/>
      <c r="AA791" s="55"/>
      <c r="AB791" s="49">
        <f>(B791*122.58+C791*297.941+D791*89.177+E791*40.302+F791*40+G791*160+H791*0+I791*100+J791*300)/(122.58+297.941+89.177+40.302+0+40+160+100+300)</f>
        <v>59.440371470608696</v>
      </c>
      <c r="AC791" s="44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58.271158273381296</v>
      </c>
    </row>
    <row r="792" spans="1:29" ht="15.75" x14ac:dyDescent="0.25">
      <c r="A792" s="31">
        <v>65015</v>
      </c>
      <c r="B792" s="14">
        <f>CHOOSE(CONTROL!$C$42, 63.4429, 63.4429) * CHOOSE(CONTROL!$C$21, $C$9, 100%, $E$9)</f>
        <v>63.442900000000002</v>
      </c>
      <c r="C792" s="14">
        <f>CHOOSE(CONTROL!$C$42, 63.448, 63.448) * CHOOSE(CONTROL!$C$21, $C$9, 100%, $E$9)</f>
        <v>63.448</v>
      </c>
      <c r="D792" s="14">
        <f>CHOOSE(CONTROL!$C$42, 63.517, 63.517) * CHOOSE(CONTROL!$C$21, $C$9, 100%, $E$9)</f>
        <v>63.517000000000003</v>
      </c>
      <c r="E792" s="14">
        <f>CHOOSE(CONTROL!$C$42, 63.5511, 63.5511) * CHOOSE(CONTROL!$C$21, $C$9, 100%, $E$9)</f>
        <v>63.551099999999998</v>
      </c>
      <c r="F792" s="14">
        <f>CHOOSE(CONTROL!$C$42, 63.4808, 63.4808)*CHOOSE(CONTROL!$C$21, $C$9, 100%, $E$9)</f>
        <v>63.480800000000002</v>
      </c>
      <c r="G792" s="14">
        <f>CHOOSE(CONTROL!$C$42, 63.4987, 63.4987)*CHOOSE(CONTROL!$C$21, $C$9, 100%, $E$9)</f>
        <v>63.498699999999999</v>
      </c>
      <c r="H792" s="14">
        <f>CHOOSE(CONTROL!$C$42, 63.5403, 63.5403) * CHOOSE(CONTROL!$C$21, $C$9, 100%, $E$9)</f>
        <v>63.540300000000002</v>
      </c>
      <c r="I792" s="14">
        <f>CHOOSE(CONTROL!$C$42, 63.6779, 63.6779)* CHOOSE(CONTROL!$C$21, $C$9, 100%, $E$9)</f>
        <v>63.677900000000001</v>
      </c>
      <c r="J792" s="14">
        <f>CHOOSE(CONTROL!$C$42, 63.4738, 63.4738)* CHOOSE(CONTROL!$C$21, $C$9, 100%, $E$9)</f>
        <v>63.473799999999997</v>
      </c>
      <c r="K792" s="52">
        <f>CHOOSE(CONTROL!$C$42, 63.6741, 63.6741) * CHOOSE(CONTROL!$C$21, $C$9, 100%, $E$9)</f>
        <v>63.674100000000003</v>
      </c>
      <c r="L792" s="14">
        <f>CHOOSE(CONTROL!$C$42, 64.1273, 64.1273) * CHOOSE(CONTROL!$C$21, $C$9, 100%, $E$9)</f>
        <v>64.127300000000005</v>
      </c>
      <c r="M792" s="14">
        <f>CHOOSE(CONTROL!$C$42, 62.1809, 62.1809) * CHOOSE(CONTROL!$C$21, $C$9, 100%, $E$9)</f>
        <v>62.180900000000001</v>
      </c>
      <c r="N792" s="14">
        <f>CHOOSE(CONTROL!$C$42, 62.1985, 62.1985) * CHOOSE(CONTROL!$C$21, $C$9, 100%, $E$9)</f>
        <v>62.198500000000003</v>
      </c>
      <c r="O792" s="14">
        <f>CHOOSE(CONTROL!$C$42, 62.2461, 62.2461) * CHOOSE(CONTROL!$C$21, $C$9, 100%, $E$9)</f>
        <v>62.246099999999998</v>
      </c>
      <c r="P792" s="14">
        <f>CHOOSE(CONTROL!$C$42, 62.377, 62.377) * CHOOSE(CONTROL!$C$21, $C$9, 100%, $E$9)</f>
        <v>62.377000000000002</v>
      </c>
      <c r="Q792" s="14">
        <f>CHOOSE(CONTROL!$C$42, 62.8408, 62.8408) * CHOOSE(CONTROL!$C$21, $C$9, 100%, $E$9)</f>
        <v>62.840800000000002</v>
      </c>
      <c r="R792" s="14">
        <f>CHOOSE(CONTROL!$C$42, 63.5849, 63.5849) * CHOOSE(CONTROL!$C$21, $C$9, 100%, $E$9)</f>
        <v>63.584899999999998</v>
      </c>
      <c r="S792" s="14">
        <f>CHOOSE(CONTROL!$C$42, 60.9538, 60.9538) * CHOOSE(CONTROL!$C$21, $C$9, 100%, $E$9)</f>
        <v>60.953800000000001</v>
      </c>
      <c r="T79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56">
        <f>(1000*CHOOSE(CONTROL!$C$42, 695, 695)*CHOOSE(CONTROL!$C$42, 0.5599, 0.5599)*CHOOSE(CONTROL!$C$42, 31, 31))/1000000</f>
        <v>12.063045499999998</v>
      </c>
      <c r="V792" s="56">
        <f>(1000*CHOOSE(CONTROL!$C$42, 500, 500)*CHOOSE(CONTROL!$C$42, 0.275, 0.275)*CHOOSE(CONTROL!$C$42, 31, 31))/1000000</f>
        <v>4.2625000000000002</v>
      </c>
      <c r="W792" s="56">
        <f>(1000*CHOOSE(CONTROL!$C$42, 0.1146, 0.1146)*CHOOSE(CONTROL!$C$42, 121.5, 121.5)*CHOOSE(CONTROL!$C$42, 31, 31))/1000000</f>
        <v>0.43164089999999994</v>
      </c>
      <c r="X792" s="56">
        <f>(31*0.1790888*100000/1000000)+(31*0.2374*100000/1000000)</f>
        <v>1.2911152800000001</v>
      </c>
      <c r="Y792" s="56"/>
      <c r="Z792" s="14"/>
      <c r="AA792" s="55"/>
      <c r="AB792" s="49">
        <f>(B792*122.58+C792*297.941+D792*89.177+E792*40.302+F792*40+G792*160+H792*0+I792*100+J792*300)/(122.58+297.941+89.177+40.302+0+40+160+100+300)</f>
        <v>63.491336688000011</v>
      </c>
      <c r="AC792" s="44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62.23967985611511</v>
      </c>
    </row>
    <row r="793" spans="1:29" ht="15.75" x14ac:dyDescent="0.25">
      <c r="A793" s="31">
        <v>65046</v>
      </c>
      <c r="B793" s="14">
        <f>CHOOSE(CONTROL!$C$42, 68.7016, 68.7016) * CHOOSE(CONTROL!$C$21, $C$9, 100%, $E$9)</f>
        <v>68.701599999999999</v>
      </c>
      <c r="C793" s="14">
        <f>CHOOSE(CONTROL!$C$42, 68.7067, 68.7067) * CHOOSE(CONTROL!$C$21, $C$9, 100%, $E$9)</f>
        <v>68.706699999999998</v>
      </c>
      <c r="D793" s="14">
        <f>CHOOSE(CONTROL!$C$42, 68.7861, 68.7861) * CHOOSE(CONTROL!$C$21, $C$9, 100%, $E$9)</f>
        <v>68.786100000000005</v>
      </c>
      <c r="E793" s="14">
        <f>CHOOSE(CONTROL!$C$42, 68.8202, 68.8202) * CHOOSE(CONTROL!$C$21, $C$9, 100%, $E$9)</f>
        <v>68.8202</v>
      </c>
      <c r="F793" s="14">
        <f>CHOOSE(CONTROL!$C$42, 68.7246, 68.7246)*CHOOSE(CONTROL!$C$21, $C$9, 100%, $E$9)</f>
        <v>68.724599999999995</v>
      </c>
      <c r="G793" s="14">
        <f>CHOOSE(CONTROL!$C$42, 68.7421, 68.7421)*CHOOSE(CONTROL!$C$21, $C$9, 100%, $E$9)</f>
        <v>68.742099999999994</v>
      </c>
      <c r="H793" s="14">
        <f>CHOOSE(CONTROL!$C$42, 68.8094, 68.8094) * CHOOSE(CONTROL!$C$21, $C$9, 100%, $E$9)</f>
        <v>68.809399999999997</v>
      </c>
      <c r="I793" s="14">
        <f>CHOOSE(CONTROL!$C$42, 68.952, 68.952)* CHOOSE(CONTROL!$C$21, $C$9, 100%, $E$9)</f>
        <v>68.951999999999998</v>
      </c>
      <c r="J793" s="14">
        <f>CHOOSE(CONTROL!$C$42, 68.7176, 68.7176)* CHOOSE(CONTROL!$C$21, $C$9, 100%, $E$9)</f>
        <v>68.717600000000004</v>
      </c>
      <c r="K793" s="52">
        <f>CHOOSE(CONTROL!$C$42, 68.9482, 68.9482) * CHOOSE(CONTROL!$C$21, $C$9, 100%, $E$9)</f>
        <v>68.9482</v>
      </c>
      <c r="L793" s="14">
        <f>CHOOSE(CONTROL!$C$42, 69.3964, 69.3964) * CHOOSE(CONTROL!$C$21, $C$9, 100%, $E$9)</f>
        <v>69.3964</v>
      </c>
      <c r="M793" s="14">
        <f>CHOOSE(CONTROL!$C$42, 67.3173, 67.3173) * CHOOSE(CONTROL!$C$21, $C$9, 100%, $E$9)</f>
        <v>67.317300000000003</v>
      </c>
      <c r="N793" s="14">
        <f>CHOOSE(CONTROL!$C$42, 67.3345, 67.3345) * CHOOSE(CONTROL!$C$21, $C$9, 100%, $E$9)</f>
        <v>67.334500000000006</v>
      </c>
      <c r="O793" s="14">
        <f>CHOOSE(CONTROL!$C$42, 67.4072, 67.4072) * CHOOSE(CONTROL!$C$21, $C$9, 100%, $E$9)</f>
        <v>67.407200000000003</v>
      </c>
      <c r="P793" s="14">
        <f>CHOOSE(CONTROL!$C$42, 67.5427, 67.5427) * CHOOSE(CONTROL!$C$21, $C$9, 100%, $E$9)</f>
        <v>67.542699999999996</v>
      </c>
      <c r="Q793" s="14">
        <f>CHOOSE(CONTROL!$C$42, 68.0019, 68.0019) * CHOOSE(CONTROL!$C$21, $C$9, 100%, $E$9)</f>
        <v>68.001900000000006</v>
      </c>
      <c r="R793" s="14">
        <f>CHOOSE(CONTROL!$C$42, 68.7589, 68.7589) * CHOOSE(CONTROL!$C$21, $C$9, 100%, $E$9)</f>
        <v>68.758899999999997</v>
      </c>
      <c r="S793" s="14">
        <f>CHOOSE(CONTROL!$C$42, 66.0068, 66.0068) * CHOOSE(CONTROL!$C$21, $C$9, 100%, $E$9)</f>
        <v>66.006799999999998</v>
      </c>
      <c r="T79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56">
        <f>(1000*CHOOSE(CONTROL!$C$42, 695, 695)*CHOOSE(CONTROL!$C$42, 0.5599, 0.5599)*CHOOSE(CONTROL!$C$42, 31, 31))/1000000</f>
        <v>12.063045499999998</v>
      </c>
      <c r="V793" s="56">
        <f>(1000*CHOOSE(CONTROL!$C$42, 500, 500)*CHOOSE(CONTROL!$C$42, 0.275, 0.275)*CHOOSE(CONTROL!$C$42, 31, 31))/1000000</f>
        <v>4.2625000000000002</v>
      </c>
      <c r="W793" s="56">
        <f>(1000*CHOOSE(CONTROL!$C$42, 0.1146, 0.1146)*CHOOSE(CONTROL!$C$42, 121.5, 121.5)*CHOOSE(CONTROL!$C$42, 31, 31))/1000000</f>
        <v>0.43164089999999994</v>
      </c>
      <c r="X793" s="56">
        <f>(31*0.1790888*100000/1000000)+(31*0.2374*100000/1000000)</f>
        <v>1.2911152800000001</v>
      </c>
      <c r="Y793" s="56"/>
      <c r="Z793" s="14"/>
      <c r="AA793" s="55"/>
      <c r="AB793" s="49">
        <f>(B793*122.58+C793*297.941+D793*89.177+E793*40.302+F793*40+G793*160+H793*0+I793*100+J793*300)/(122.58+297.941+89.177+40.302+0+40+160+100+300)</f>
        <v>68.746012845913043</v>
      </c>
      <c r="AC793" s="44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67.391467625899281</v>
      </c>
    </row>
    <row r="794" spans="1:29" ht="15.75" x14ac:dyDescent="0.25">
      <c r="A794" s="31">
        <v>65074</v>
      </c>
      <c r="B794" s="14">
        <f>CHOOSE(CONTROL!$C$42, 69.9244, 69.9244) * CHOOSE(CONTROL!$C$21, $C$9, 100%, $E$9)</f>
        <v>69.924400000000006</v>
      </c>
      <c r="C794" s="14">
        <f>CHOOSE(CONTROL!$C$42, 69.9295, 69.9295) * CHOOSE(CONTROL!$C$21, $C$9, 100%, $E$9)</f>
        <v>69.929500000000004</v>
      </c>
      <c r="D794" s="14">
        <f>CHOOSE(CONTROL!$C$42, 70.0089, 70.0089) * CHOOSE(CONTROL!$C$21, $C$9, 100%, $E$9)</f>
        <v>70.008899999999997</v>
      </c>
      <c r="E794" s="14">
        <f>CHOOSE(CONTROL!$C$42, 70.043, 70.043) * CHOOSE(CONTROL!$C$21, $C$9, 100%, $E$9)</f>
        <v>70.043000000000006</v>
      </c>
      <c r="F794" s="14">
        <f>CHOOSE(CONTROL!$C$42, 69.9472, 69.9472)*CHOOSE(CONTROL!$C$21, $C$9, 100%, $E$9)</f>
        <v>69.947199999999995</v>
      </c>
      <c r="G794" s="14">
        <f>CHOOSE(CONTROL!$C$42, 69.9647, 69.9647)*CHOOSE(CONTROL!$C$21, $C$9, 100%, $E$9)</f>
        <v>69.964699999999993</v>
      </c>
      <c r="H794" s="14">
        <f>CHOOSE(CONTROL!$C$42, 70.0322, 70.0322) * CHOOSE(CONTROL!$C$21, $C$9, 100%, $E$9)</f>
        <v>70.032200000000003</v>
      </c>
      <c r="I794" s="14">
        <f>CHOOSE(CONTROL!$C$42, 70.1787, 70.1787)* CHOOSE(CONTROL!$C$21, $C$9, 100%, $E$9)</f>
        <v>70.178700000000006</v>
      </c>
      <c r="J794" s="14">
        <f>CHOOSE(CONTROL!$C$42, 69.9402, 69.9402)* CHOOSE(CONTROL!$C$21, $C$9, 100%, $E$9)</f>
        <v>69.940200000000004</v>
      </c>
      <c r="K794" s="52">
        <f>CHOOSE(CONTROL!$C$42, 70.1748, 70.1748) * CHOOSE(CONTROL!$C$21, $C$9, 100%, $E$9)</f>
        <v>70.174800000000005</v>
      </c>
      <c r="L794" s="14">
        <f>CHOOSE(CONTROL!$C$42, 70.6192, 70.6192) * CHOOSE(CONTROL!$C$21, $C$9, 100%, $E$9)</f>
        <v>70.619200000000006</v>
      </c>
      <c r="M794" s="14">
        <f>CHOOSE(CONTROL!$C$42, 68.5149, 68.5149) * CHOOSE(CONTROL!$C$21, $C$9, 100%, $E$9)</f>
        <v>68.514899999999997</v>
      </c>
      <c r="N794" s="14">
        <f>CHOOSE(CONTROL!$C$42, 68.532, 68.532) * CHOOSE(CONTROL!$C$21, $C$9, 100%, $E$9)</f>
        <v>68.531999999999996</v>
      </c>
      <c r="O794" s="14">
        <f>CHOOSE(CONTROL!$C$42, 68.605, 68.605) * CHOOSE(CONTROL!$C$21, $C$9, 100%, $E$9)</f>
        <v>68.605000000000004</v>
      </c>
      <c r="P794" s="14">
        <f>CHOOSE(CONTROL!$C$42, 68.7441, 68.7441) * CHOOSE(CONTROL!$C$21, $C$9, 100%, $E$9)</f>
        <v>68.744100000000003</v>
      </c>
      <c r="Q794" s="14">
        <f>CHOOSE(CONTROL!$C$42, 69.1997, 69.1997) * CHOOSE(CONTROL!$C$21, $C$9, 100%, $E$9)</f>
        <v>69.199700000000007</v>
      </c>
      <c r="R794" s="14">
        <f>CHOOSE(CONTROL!$C$42, 69.9597, 69.9597) * CHOOSE(CONTROL!$C$21, $C$9, 100%, $E$9)</f>
        <v>69.959699999999998</v>
      </c>
      <c r="S794" s="14">
        <f>CHOOSE(CONTROL!$C$42, 67.1818, 67.1818) * CHOOSE(CONTROL!$C$21, $C$9, 100%, $E$9)</f>
        <v>67.181799999999996</v>
      </c>
      <c r="T79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56">
        <f>(1000*CHOOSE(CONTROL!$C$42, 695, 695)*CHOOSE(CONTROL!$C$42, 0.5599, 0.5599)*CHOOSE(CONTROL!$C$42, 28, 28))/1000000</f>
        <v>10.895653999999999</v>
      </c>
      <c r="V794" s="56">
        <f>(1000*CHOOSE(CONTROL!$C$42, 500, 500)*CHOOSE(CONTROL!$C$42, 0.275, 0.275)*CHOOSE(CONTROL!$C$42, 28, 28))/1000000</f>
        <v>3.85</v>
      </c>
      <c r="W794" s="56">
        <f>(1000*CHOOSE(CONTROL!$C$42, 0.1146, 0.1146)*CHOOSE(CONTROL!$C$42, 121.5, 121.5)*CHOOSE(CONTROL!$C$42, 28, 28))/1000000</f>
        <v>0.38986920000000003</v>
      </c>
      <c r="X794" s="56">
        <f>(28*0.1790888*100000/1000000)+(28*0.2374*100000/1000000)</f>
        <v>1.16616864</v>
      </c>
      <c r="Y794" s="56"/>
      <c r="Z794" s="14"/>
      <c r="AA794" s="55"/>
      <c r="AB794" s="49">
        <f>(B794*122.58+C794*297.941+D794*89.177+E794*40.302+F794*40+G794*160+H794*0+I794*100+J794*300)/(122.58+297.941+89.177+40.302+0+40+160+100+300)</f>
        <v>69.96906501982609</v>
      </c>
      <c r="AC794" s="44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68.589699280575545</v>
      </c>
    </row>
    <row r="795" spans="1:29" ht="15.75" x14ac:dyDescent="0.25">
      <c r="A795" s="31">
        <v>65105</v>
      </c>
      <c r="B795" s="14">
        <f>CHOOSE(CONTROL!$C$42, 67.9395, 67.9395) * CHOOSE(CONTROL!$C$21, $C$9, 100%, $E$9)</f>
        <v>67.939499999999995</v>
      </c>
      <c r="C795" s="14">
        <f>CHOOSE(CONTROL!$C$42, 67.9445, 67.9445) * CHOOSE(CONTROL!$C$21, $C$9, 100%, $E$9)</f>
        <v>67.944500000000005</v>
      </c>
      <c r="D795" s="14">
        <f>CHOOSE(CONTROL!$C$42, 68.024, 68.024) * CHOOSE(CONTROL!$C$21, $C$9, 100%, $E$9)</f>
        <v>68.024000000000001</v>
      </c>
      <c r="E795" s="14">
        <f>CHOOSE(CONTROL!$C$42, 68.0581, 68.0581) * CHOOSE(CONTROL!$C$21, $C$9, 100%, $E$9)</f>
        <v>68.058099999999996</v>
      </c>
      <c r="F795" s="14">
        <f>CHOOSE(CONTROL!$C$42, 67.9615, 67.9615)*CHOOSE(CONTROL!$C$21, $C$9, 100%, $E$9)</f>
        <v>67.961500000000001</v>
      </c>
      <c r="G795" s="14">
        <f>CHOOSE(CONTROL!$C$42, 67.9788, 67.9788)*CHOOSE(CONTROL!$C$21, $C$9, 100%, $E$9)</f>
        <v>67.978800000000007</v>
      </c>
      <c r="H795" s="14">
        <f>CHOOSE(CONTROL!$C$42, 68.0473, 68.0473) * CHOOSE(CONTROL!$C$21, $C$9, 100%, $E$9)</f>
        <v>68.047300000000007</v>
      </c>
      <c r="I795" s="14">
        <f>CHOOSE(CONTROL!$C$42, 68.1875, 68.1875)* CHOOSE(CONTROL!$C$21, $C$9, 100%, $E$9)</f>
        <v>68.1875</v>
      </c>
      <c r="J795" s="14">
        <f>CHOOSE(CONTROL!$C$42, 67.9545, 67.9545)* CHOOSE(CONTROL!$C$21, $C$9, 100%, $E$9)</f>
        <v>67.954499999999996</v>
      </c>
      <c r="K795" s="52">
        <f>CHOOSE(CONTROL!$C$42, 68.1837, 68.1837) * CHOOSE(CONTROL!$C$21, $C$9, 100%, $E$9)</f>
        <v>68.183700000000002</v>
      </c>
      <c r="L795" s="14">
        <f>CHOOSE(CONTROL!$C$42, 68.6343, 68.6343) * CHOOSE(CONTROL!$C$21, $C$9, 100%, $E$9)</f>
        <v>68.634299999999996</v>
      </c>
      <c r="M795" s="14">
        <f>CHOOSE(CONTROL!$C$42, 66.5699, 66.5699) * CHOOSE(CONTROL!$C$21, $C$9, 100%, $E$9)</f>
        <v>66.569900000000004</v>
      </c>
      <c r="N795" s="14">
        <f>CHOOSE(CONTROL!$C$42, 66.5868, 66.5868) * CHOOSE(CONTROL!$C$21, $C$9, 100%, $E$9)</f>
        <v>66.586799999999997</v>
      </c>
      <c r="O795" s="14">
        <f>CHOOSE(CONTROL!$C$42, 66.6607, 66.6607) * CHOOSE(CONTROL!$C$21, $C$9, 100%, $E$9)</f>
        <v>66.660700000000006</v>
      </c>
      <c r="P795" s="14">
        <f>CHOOSE(CONTROL!$C$42, 66.7939, 66.7939) * CHOOSE(CONTROL!$C$21, $C$9, 100%, $E$9)</f>
        <v>66.793899999999994</v>
      </c>
      <c r="Q795" s="14">
        <f>CHOOSE(CONTROL!$C$42, 67.2554, 67.2554) * CHOOSE(CONTROL!$C$21, $C$9, 100%, $E$9)</f>
        <v>67.255399999999995</v>
      </c>
      <c r="R795" s="14">
        <f>CHOOSE(CONTROL!$C$42, 68.0106, 68.0106) * CHOOSE(CONTROL!$C$21, $C$9, 100%, $E$9)</f>
        <v>68.010599999999997</v>
      </c>
      <c r="S795" s="14">
        <f>CHOOSE(CONTROL!$C$42, 65.2745, 65.2745) * CHOOSE(CONTROL!$C$21, $C$9, 100%, $E$9)</f>
        <v>65.274500000000003</v>
      </c>
      <c r="T79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56">
        <f>(1000*CHOOSE(CONTROL!$C$42, 695, 695)*CHOOSE(CONTROL!$C$42, 0.5599, 0.5599)*CHOOSE(CONTROL!$C$42, 31, 31))/1000000</f>
        <v>12.063045499999998</v>
      </c>
      <c r="V795" s="56">
        <f>(1000*CHOOSE(CONTROL!$C$42, 500, 500)*CHOOSE(CONTROL!$C$42, 0.275, 0.275)*CHOOSE(CONTROL!$C$42, 31, 31))/1000000</f>
        <v>4.2625000000000002</v>
      </c>
      <c r="W795" s="56">
        <f>(1000*CHOOSE(CONTROL!$C$42, 0.1146, 0.1146)*CHOOSE(CONTROL!$C$42, 121.5, 121.5)*CHOOSE(CONTROL!$C$42, 31, 31))/1000000</f>
        <v>0.43164089999999994</v>
      </c>
      <c r="X795" s="56">
        <f>(31*0.1790888*100000/1000000)+(31*0.2374*100000/1000000)</f>
        <v>1.2911152800000001</v>
      </c>
      <c r="Y795" s="56"/>
      <c r="Z795" s="14"/>
      <c r="AA795" s="55"/>
      <c r="AB795" s="49">
        <f>(B795*122.58+C795*297.941+D795*89.177+E795*40.302+F795*40+G795*160+H795*0+I795*100+J795*300)/(122.58+297.941+89.177+40.302+0+40+160+100+300)</f>
        <v>67.983215633652165</v>
      </c>
      <c r="AC795" s="44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66.644256834532371</v>
      </c>
    </row>
    <row r="796" spans="1:29" ht="15.75" x14ac:dyDescent="0.25">
      <c r="A796" s="31">
        <v>65135</v>
      </c>
      <c r="B796" s="14">
        <f>CHOOSE(CONTROL!$C$42, 67.7371, 67.7371) * CHOOSE(CONTROL!$C$21, $C$9, 100%, $E$9)</f>
        <v>67.737099999999998</v>
      </c>
      <c r="C796" s="14">
        <f>CHOOSE(CONTROL!$C$42, 67.7416, 67.7416) * CHOOSE(CONTROL!$C$21, $C$9, 100%, $E$9)</f>
        <v>67.741600000000005</v>
      </c>
      <c r="D796" s="14">
        <f>CHOOSE(CONTROL!$C$42, 67.9705, 67.9705) * CHOOSE(CONTROL!$C$21, $C$9, 100%, $E$9)</f>
        <v>67.970500000000001</v>
      </c>
      <c r="E796" s="14">
        <f>CHOOSE(CONTROL!$C$42, 68.0026, 68.0026) * CHOOSE(CONTROL!$C$21, $C$9, 100%, $E$9)</f>
        <v>68.002600000000001</v>
      </c>
      <c r="F796" s="14">
        <f>CHOOSE(CONTROL!$C$42, 67.7641, 67.7641)*CHOOSE(CONTROL!$C$21, $C$9, 100%, $E$9)</f>
        <v>67.764099999999999</v>
      </c>
      <c r="G796" s="14">
        <f>CHOOSE(CONTROL!$C$42, 67.7808, 67.7808)*CHOOSE(CONTROL!$C$21, $C$9, 100%, $E$9)</f>
        <v>67.780799999999999</v>
      </c>
      <c r="H796" s="14">
        <f>CHOOSE(CONTROL!$C$42, 67.9924, 67.9924) * CHOOSE(CONTROL!$C$21, $C$9, 100%, $E$9)</f>
        <v>67.992400000000004</v>
      </c>
      <c r="I796" s="14">
        <f>CHOOSE(CONTROL!$C$42, 67.9822, 67.9822)* CHOOSE(CONTROL!$C$21, $C$9, 100%, $E$9)</f>
        <v>67.982200000000006</v>
      </c>
      <c r="J796" s="14">
        <f>CHOOSE(CONTROL!$C$42, 67.7571, 67.7571)* CHOOSE(CONTROL!$C$21, $C$9, 100%, $E$9)</f>
        <v>67.757099999999994</v>
      </c>
      <c r="K796" s="52">
        <f>CHOOSE(CONTROL!$C$42, 67.9783, 67.9783) * CHOOSE(CONTROL!$C$21, $C$9, 100%, $E$9)</f>
        <v>67.978300000000004</v>
      </c>
      <c r="L796" s="14">
        <f>CHOOSE(CONTROL!$C$42, 68.5794, 68.5794) * CHOOSE(CONTROL!$C$21, $C$9, 100%, $E$9)</f>
        <v>68.579400000000007</v>
      </c>
      <c r="M796" s="14">
        <f>CHOOSE(CONTROL!$C$42, 66.3765, 66.3765) * CHOOSE(CONTROL!$C$21, $C$9, 100%, $E$9)</f>
        <v>66.376499999999993</v>
      </c>
      <c r="N796" s="14">
        <f>CHOOSE(CONTROL!$C$42, 66.3929, 66.3929) * CHOOSE(CONTROL!$C$21, $C$9, 100%, $E$9)</f>
        <v>66.392899999999997</v>
      </c>
      <c r="O796" s="14">
        <f>CHOOSE(CONTROL!$C$42, 66.607, 66.607) * CHOOSE(CONTROL!$C$21, $C$9, 100%, $E$9)</f>
        <v>66.606999999999999</v>
      </c>
      <c r="P796" s="14">
        <f>CHOOSE(CONTROL!$C$42, 66.5928, 66.5928) * CHOOSE(CONTROL!$C$21, $C$9, 100%, $E$9)</f>
        <v>66.592799999999997</v>
      </c>
      <c r="Q796" s="14">
        <f>CHOOSE(CONTROL!$C$42, 67.2017, 67.2017) * CHOOSE(CONTROL!$C$21, $C$9, 100%, $E$9)</f>
        <v>67.201700000000002</v>
      </c>
      <c r="R796" s="14">
        <f>CHOOSE(CONTROL!$C$42, 67.9567, 67.9567) * CHOOSE(CONTROL!$C$21, $C$9, 100%, $E$9)</f>
        <v>67.956699999999998</v>
      </c>
      <c r="S796" s="14">
        <f>CHOOSE(CONTROL!$C$42, 65.0793, 65.0793) * CHOOSE(CONTROL!$C$21, $C$9, 100%, $E$9)</f>
        <v>65.079300000000003</v>
      </c>
      <c r="T79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56">
        <f>(1000*CHOOSE(CONTROL!$C$42, 695, 695)*CHOOSE(CONTROL!$C$42, 0.5599, 0.5599)*CHOOSE(CONTROL!$C$42, 30, 30))/1000000</f>
        <v>11.673914999999997</v>
      </c>
      <c r="V796" s="56">
        <f>(1000*CHOOSE(CONTROL!$C$42, 500, 500)*CHOOSE(CONTROL!$C$42, 0.275, 0.275)*CHOOSE(CONTROL!$C$42, 30, 30))/1000000</f>
        <v>4.125</v>
      </c>
      <c r="W796" s="56">
        <f>(1000*CHOOSE(CONTROL!$C$42, 0.1146, 0.1146)*CHOOSE(CONTROL!$C$42, 121.5, 121.5)*CHOOSE(CONTROL!$C$42, 30, 30))/1000000</f>
        <v>0.417717</v>
      </c>
      <c r="X796" s="56">
        <f>(30*0.1790888*245000/1000000)+(30*0.2374*100000/1000000)</f>
        <v>2.0285026799999999</v>
      </c>
      <c r="Y796" s="56"/>
      <c r="Z796" s="14"/>
      <c r="AA796" s="55"/>
      <c r="AB796" s="49">
        <f>(B796*141.293+C796*267.993+D796*115.016+E796*89.698+F796*40+G796*185+H796*0+I796*100+J796*300)/(141.293+267.993+115.016+89.698+0+40+185+100+300)</f>
        <v>67.810982180710241</v>
      </c>
      <c r="AC796" s="44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66.513037410071931</v>
      </c>
    </row>
    <row r="797" spans="1:29" ht="15.75" x14ac:dyDescent="0.25">
      <c r="A797" s="31">
        <v>65166</v>
      </c>
      <c r="B797" s="14">
        <f>CHOOSE(CONTROL!$C$42, 68.3363, 68.3363) * CHOOSE(CONTROL!$C$21, $C$9, 100%, $E$9)</f>
        <v>68.336299999999994</v>
      </c>
      <c r="C797" s="14">
        <f>CHOOSE(CONTROL!$C$42, 68.3443, 68.3443) * CHOOSE(CONTROL!$C$21, $C$9, 100%, $E$9)</f>
        <v>68.344300000000004</v>
      </c>
      <c r="D797" s="14">
        <f>CHOOSE(CONTROL!$C$42, 68.5701, 68.5701) * CHOOSE(CONTROL!$C$21, $C$9, 100%, $E$9)</f>
        <v>68.570099999999996</v>
      </c>
      <c r="E797" s="14">
        <f>CHOOSE(CONTROL!$C$42, 68.6015, 68.6015) * CHOOSE(CONTROL!$C$21, $C$9, 100%, $E$9)</f>
        <v>68.601500000000001</v>
      </c>
      <c r="F797" s="14">
        <f>CHOOSE(CONTROL!$C$42, 68.3619, 68.3619)*CHOOSE(CONTROL!$C$21, $C$9, 100%, $E$9)</f>
        <v>68.361900000000006</v>
      </c>
      <c r="G797" s="14">
        <f>CHOOSE(CONTROL!$C$42, 68.3789, 68.3789)*CHOOSE(CONTROL!$C$21, $C$9, 100%, $E$9)</f>
        <v>68.378900000000002</v>
      </c>
      <c r="H797" s="14">
        <f>CHOOSE(CONTROL!$C$42, 68.5902, 68.5902) * CHOOSE(CONTROL!$C$21, $C$9, 100%, $E$9)</f>
        <v>68.590199999999996</v>
      </c>
      <c r="I797" s="14">
        <f>CHOOSE(CONTROL!$C$42, 68.5818, 68.5818)* CHOOSE(CONTROL!$C$21, $C$9, 100%, $E$9)</f>
        <v>68.581800000000001</v>
      </c>
      <c r="J797" s="14">
        <f>CHOOSE(CONTROL!$C$42, 68.3549, 68.3549)* CHOOSE(CONTROL!$C$21, $C$9, 100%, $E$9)</f>
        <v>68.354900000000001</v>
      </c>
      <c r="K797" s="52">
        <f>CHOOSE(CONTROL!$C$42, 68.5779, 68.5779) * CHOOSE(CONTROL!$C$21, $C$9, 100%, $E$9)</f>
        <v>68.5779</v>
      </c>
      <c r="L797" s="14">
        <f>CHOOSE(CONTROL!$C$42, 69.1772, 69.1772) * CHOOSE(CONTROL!$C$21, $C$9, 100%, $E$9)</f>
        <v>69.177199999999999</v>
      </c>
      <c r="M797" s="14">
        <f>CHOOSE(CONTROL!$C$42, 66.9621, 66.9621) * CHOOSE(CONTROL!$C$21, $C$9, 100%, $E$9)</f>
        <v>66.962100000000007</v>
      </c>
      <c r="N797" s="14">
        <f>CHOOSE(CONTROL!$C$42, 66.9787, 66.9787) * CHOOSE(CONTROL!$C$21, $C$9, 100%, $E$9)</f>
        <v>66.978700000000003</v>
      </c>
      <c r="O797" s="14">
        <f>CHOOSE(CONTROL!$C$42, 67.1925, 67.1925) * CHOOSE(CONTROL!$C$21, $C$9, 100%, $E$9)</f>
        <v>67.192499999999995</v>
      </c>
      <c r="P797" s="14">
        <f>CHOOSE(CONTROL!$C$42, 67.1801, 67.1801) * CHOOSE(CONTROL!$C$21, $C$9, 100%, $E$9)</f>
        <v>67.180099999999996</v>
      </c>
      <c r="Q797" s="14">
        <f>CHOOSE(CONTROL!$C$42, 67.7872, 67.7872) * CHOOSE(CONTROL!$C$21, $C$9, 100%, $E$9)</f>
        <v>67.787199999999999</v>
      </c>
      <c r="R797" s="14">
        <f>CHOOSE(CONTROL!$C$42, 68.5437, 68.5437) * CHOOSE(CONTROL!$C$21, $C$9, 100%, $E$9)</f>
        <v>68.543700000000001</v>
      </c>
      <c r="S797" s="14">
        <f>CHOOSE(CONTROL!$C$42, 65.6537, 65.6537) * CHOOSE(CONTROL!$C$21, $C$9, 100%, $E$9)</f>
        <v>65.653700000000001</v>
      </c>
      <c r="T79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56">
        <f>(1000*CHOOSE(CONTROL!$C$42, 695, 695)*CHOOSE(CONTROL!$C$42, 0.5599, 0.5599)*CHOOSE(CONTROL!$C$42, 31, 31))/1000000</f>
        <v>12.063045499999998</v>
      </c>
      <c r="V797" s="56">
        <f>(1000*CHOOSE(CONTROL!$C$42, 500, 500)*CHOOSE(CONTROL!$C$42, 0.275, 0.275)*CHOOSE(CONTROL!$C$42, 31, 31))/1000000</f>
        <v>4.2625000000000002</v>
      </c>
      <c r="W797" s="56">
        <f>(1000*CHOOSE(CONTROL!$C$42, 0.1146, 0.1146)*CHOOSE(CONTROL!$C$42, 121.5, 121.5)*CHOOSE(CONTROL!$C$42, 31, 31))/1000000</f>
        <v>0.43164089999999994</v>
      </c>
      <c r="X797" s="56">
        <f>(31*0.1790888*245000/1000000)+(31*0.2374*100000/1000000)</f>
        <v>2.0961194359999999</v>
      </c>
      <c r="Y797" s="56"/>
      <c r="Z797" s="14"/>
      <c r="AA797" s="55"/>
      <c r="AB797" s="49">
        <f>(B797*194.205+C797*267.466+D797*133.845+E797*53.484+F797*40+G797*185+H797*0+I797*100+J797*300)/(194.205+267.466+133.845+53.484+0+40+185+100+300)</f>
        <v>68.404315420565169</v>
      </c>
      <c r="AC797" s="44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67.098848201438855</v>
      </c>
    </row>
    <row r="798" spans="1:29" ht="15.75" x14ac:dyDescent="0.25">
      <c r="A798" s="31">
        <v>65196</v>
      </c>
      <c r="B798" s="14">
        <f>CHOOSE(CONTROL!$C$42, 70.2744, 70.2744) * CHOOSE(CONTROL!$C$21, $C$9, 100%, $E$9)</f>
        <v>70.2744</v>
      </c>
      <c r="C798" s="14">
        <f>CHOOSE(CONTROL!$C$42, 70.2824, 70.2824) * CHOOSE(CONTROL!$C$21, $C$9, 100%, $E$9)</f>
        <v>70.282399999999996</v>
      </c>
      <c r="D798" s="14">
        <f>CHOOSE(CONTROL!$C$42, 70.5082, 70.5082) * CHOOSE(CONTROL!$C$21, $C$9, 100%, $E$9)</f>
        <v>70.508200000000002</v>
      </c>
      <c r="E798" s="14">
        <f>CHOOSE(CONTROL!$C$42, 70.5396, 70.5396) * CHOOSE(CONTROL!$C$21, $C$9, 100%, $E$9)</f>
        <v>70.539599999999993</v>
      </c>
      <c r="F798" s="14">
        <f>CHOOSE(CONTROL!$C$42, 70.3005, 70.3005)*CHOOSE(CONTROL!$C$21, $C$9, 100%, $E$9)</f>
        <v>70.3005</v>
      </c>
      <c r="G798" s="14">
        <f>CHOOSE(CONTROL!$C$42, 70.3176, 70.3176)*CHOOSE(CONTROL!$C$21, $C$9, 100%, $E$9)</f>
        <v>70.317599999999999</v>
      </c>
      <c r="H798" s="14">
        <f>CHOOSE(CONTROL!$C$42, 70.5283, 70.5283) * CHOOSE(CONTROL!$C$21, $C$9, 100%, $E$9)</f>
        <v>70.528300000000002</v>
      </c>
      <c r="I798" s="14">
        <f>CHOOSE(CONTROL!$C$42, 70.526, 70.526)* CHOOSE(CONTROL!$C$21, $C$9, 100%, $E$9)</f>
        <v>70.525999999999996</v>
      </c>
      <c r="J798" s="14">
        <f>CHOOSE(CONTROL!$C$42, 70.2935, 70.2935)* CHOOSE(CONTROL!$C$21, $C$9, 100%, $E$9)</f>
        <v>70.293499999999995</v>
      </c>
      <c r="K798" s="52">
        <f>CHOOSE(CONTROL!$C$42, 70.5221, 70.5221) * CHOOSE(CONTROL!$C$21, $C$9, 100%, $E$9)</f>
        <v>70.522099999999995</v>
      </c>
      <c r="L798" s="14">
        <f>CHOOSE(CONTROL!$C$42, 71.1153, 71.1153) * CHOOSE(CONTROL!$C$21, $C$9, 100%, $E$9)</f>
        <v>71.115300000000005</v>
      </c>
      <c r="M798" s="14">
        <f>CHOOSE(CONTROL!$C$42, 68.8609, 68.8609) * CHOOSE(CONTROL!$C$21, $C$9, 100%, $E$9)</f>
        <v>68.860900000000001</v>
      </c>
      <c r="N798" s="14">
        <f>CHOOSE(CONTROL!$C$42, 68.8776, 68.8776) * CHOOSE(CONTROL!$C$21, $C$9, 100%, $E$9)</f>
        <v>68.877600000000001</v>
      </c>
      <c r="O798" s="14">
        <f>CHOOSE(CONTROL!$C$42, 69.0909, 69.0909) * CHOOSE(CONTROL!$C$21, $C$9, 100%, $E$9)</f>
        <v>69.090900000000005</v>
      </c>
      <c r="P798" s="14">
        <f>CHOOSE(CONTROL!$C$42, 69.0843, 69.0843) * CHOOSE(CONTROL!$C$21, $C$9, 100%, $E$9)</f>
        <v>69.084299999999999</v>
      </c>
      <c r="Q798" s="14">
        <f>CHOOSE(CONTROL!$C$42, 69.6856, 69.6856) * CHOOSE(CONTROL!$C$21, $C$9, 100%, $E$9)</f>
        <v>69.685599999999994</v>
      </c>
      <c r="R798" s="14">
        <f>CHOOSE(CONTROL!$C$42, 70.4468, 70.4468) * CHOOSE(CONTROL!$C$21, $C$9, 100%, $E$9)</f>
        <v>70.446799999999996</v>
      </c>
      <c r="S798" s="14">
        <f>CHOOSE(CONTROL!$C$42, 67.516, 67.516) * CHOOSE(CONTROL!$C$21, $C$9, 100%, $E$9)</f>
        <v>67.516000000000005</v>
      </c>
      <c r="T79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56">
        <f>(1000*CHOOSE(CONTROL!$C$42, 695, 695)*CHOOSE(CONTROL!$C$42, 0.5599, 0.5599)*CHOOSE(CONTROL!$C$42, 30, 30))/1000000</f>
        <v>11.673914999999997</v>
      </c>
      <c r="V798" s="56">
        <f>(1000*CHOOSE(CONTROL!$C$42, 500, 500)*CHOOSE(CONTROL!$C$42, 0.275, 0.275)*CHOOSE(CONTROL!$C$42, 30, 30))/1000000</f>
        <v>4.125</v>
      </c>
      <c r="W798" s="56">
        <f>(1000*CHOOSE(CONTROL!$C$42, 0.1146, 0.1146)*CHOOSE(CONTROL!$C$42, 121.5, 121.5)*CHOOSE(CONTROL!$C$42, 30, 30))/1000000</f>
        <v>0.417717</v>
      </c>
      <c r="X798" s="56">
        <f>(30*0.1790888*245000/1000000)+(30*0.2374*100000/1000000)</f>
        <v>2.0285026799999999</v>
      </c>
      <c r="Y798" s="56"/>
      <c r="Z798" s="14"/>
      <c r="AA798" s="55"/>
      <c r="AB798" s="49">
        <f>(B798*194.205+C798*267.466+D798*133.845+E798*53.484+F798*40+G798*185+H798*0+I798*100+J798*300)/(194.205+267.466+133.845+53.484+0+40+185+100+300)</f>
        <v>70.343114792621662</v>
      </c>
      <c r="AC798" s="44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68.998249640287767</v>
      </c>
    </row>
    <row r="799" spans="1:29" ht="15.75" x14ac:dyDescent="0.25">
      <c r="A799" s="31">
        <v>65227</v>
      </c>
      <c r="B799" s="14">
        <f>CHOOSE(CONTROL!$C$42, 68.9264, 68.9264) * CHOOSE(CONTROL!$C$21, $C$9, 100%, $E$9)</f>
        <v>68.926400000000001</v>
      </c>
      <c r="C799" s="14">
        <f>CHOOSE(CONTROL!$C$42, 68.9344, 68.9344) * CHOOSE(CONTROL!$C$21, $C$9, 100%, $E$9)</f>
        <v>68.934399999999997</v>
      </c>
      <c r="D799" s="14">
        <f>CHOOSE(CONTROL!$C$42, 69.1602, 69.1602) * CHOOSE(CONTROL!$C$21, $C$9, 100%, $E$9)</f>
        <v>69.160200000000003</v>
      </c>
      <c r="E799" s="14">
        <f>CHOOSE(CONTROL!$C$42, 69.1917, 69.1917) * CHOOSE(CONTROL!$C$21, $C$9, 100%, $E$9)</f>
        <v>69.191699999999997</v>
      </c>
      <c r="F799" s="14">
        <f>CHOOSE(CONTROL!$C$42, 68.953, 68.953)*CHOOSE(CONTROL!$C$21, $C$9, 100%, $E$9)</f>
        <v>68.953000000000003</v>
      </c>
      <c r="G799" s="14">
        <f>CHOOSE(CONTROL!$C$42, 68.9702, 68.9702)*CHOOSE(CONTROL!$C$21, $C$9, 100%, $E$9)</f>
        <v>68.970200000000006</v>
      </c>
      <c r="H799" s="14">
        <f>CHOOSE(CONTROL!$C$42, 69.1803, 69.1803) * CHOOSE(CONTROL!$C$21, $C$9, 100%, $E$9)</f>
        <v>69.180300000000003</v>
      </c>
      <c r="I799" s="14">
        <f>CHOOSE(CONTROL!$C$42, 69.1738, 69.1738)* CHOOSE(CONTROL!$C$21, $C$9, 100%, $E$9)</f>
        <v>69.1738</v>
      </c>
      <c r="J799" s="14">
        <f>CHOOSE(CONTROL!$C$42, 68.946, 68.946)* CHOOSE(CONTROL!$C$21, $C$9, 100%, $E$9)</f>
        <v>68.945999999999998</v>
      </c>
      <c r="K799" s="52">
        <f>CHOOSE(CONTROL!$C$42, 69.1699, 69.1699) * CHOOSE(CONTROL!$C$21, $C$9, 100%, $E$9)</f>
        <v>69.169899999999998</v>
      </c>
      <c r="L799" s="14">
        <f>CHOOSE(CONTROL!$C$42, 69.7673, 69.7673) * CHOOSE(CONTROL!$C$21, $C$9, 100%, $E$9)</f>
        <v>69.767300000000006</v>
      </c>
      <c r="M799" s="14">
        <f>CHOOSE(CONTROL!$C$42, 67.541, 67.541) * CHOOSE(CONTROL!$C$21, $C$9, 100%, $E$9)</f>
        <v>67.540999999999997</v>
      </c>
      <c r="N799" s="14">
        <f>CHOOSE(CONTROL!$C$42, 67.5579, 67.5579) * CHOOSE(CONTROL!$C$21, $C$9, 100%, $E$9)</f>
        <v>67.557900000000004</v>
      </c>
      <c r="O799" s="14">
        <f>CHOOSE(CONTROL!$C$42, 67.7705, 67.7705) * CHOOSE(CONTROL!$C$21, $C$9, 100%, $E$9)</f>
        <v>67.770499999999998</v>
      </c>
      <c r="P799" s="14">
        <f>CHOOSE(CONTROL!$C$42, 67.7599, 67.7599) * CHOOSE(CONTROL!$C$21, $C$9, 100%, $E$9)</f>
        <v>67.759900000000002</v>
      </c>
      <c r="Q799" s="14">
        <f>CHOOSE(CONTROL!$C$42, 68.3652, 68.3652) * CHOOSE(CONTROL!$C$21, $C$9, 100%, $E$9)</f>
        <v>68.365200000000002</v>
      </c>
      <c r="R799" s="14">
        <f>CHOOSE(CONTROL!$C$42, 69.1232, 69.1232) * CHOOSE(CONTROL!$C$21, $C$9, 100%, $E$9)</f>
        <v>69.123199999999997</v>
      </c>
      <c r="S799" s="14">
        <f>CHOOSE(CONTROL!$C$42, 66.2207, 66.2207) * CHOOSE(CONTROL!$C$21, $C$9, 100%, $E$9)</f>
        <v>66.220699999999994</v>
      </c>
      <c r="T79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56">
        <f>(1000*CHOOSE(CONTROL!$C$42, 695, 695)*CHOOSE(CONTROL!$C$42, 0.5599, 0.5599)*CHOOSE(CONTROL!$C$42, 31, 31))/1000000</f>
        <v>12.063045499999998</v>
      </c>
      <c r="V799" s="56">
        <f>(1000*CHOOSE(CONTROL!$C$42, 500, 500)*CHOOSE(CONTROL!$C$42, 0.275, 0.275)*CHOOSE(CONTROL!$C$42, 31, 31))/1000000</f>
        <v>4.2625000000000002</v>
      </c>
      <c r="W799" s="56">
        <f>(1000*CHOOSE(CONTROL!$C$42, 0.1146, 0.1146)*CHOOSE(CONTROL!$C$42, 121.5, 121.5)*CHOOSE(CONTROL!$C$42, 31, 31))/1000000</f>
        <v>0.43164089999999994</v>
      </c>
      <c r="X799" s="56">
        <f>(31*0.1790888*245000/1000000)+(31*0.2374*100000/1000000)</f>
        <v>2.0961194359999999</v>
      </c>
      <c r="Y799" s="56"/>
      <c r="Z799" s="14"/>
      <c r="AA799" s="55"/>
      <c r="AB799" s="49">
        <f>(B799*194.205+C799*267.466+D799*133.845+E799*53.484+F799*40+G799*185+H799*0+I799*100+J799*300)/(194.205+267.466+133.845+53.484+0+40+185+100+300)</f>
        <v>68.995009885557309</v>
      </c>
      <c r="AC799" s="44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67.677487050359701</v>
      </c>
    </row>
    <row r="800" spans="1:29" ht="15.75" x14ac:dyDescent="0.25">
      <c r="A800" s="31">
        <v>65258</v>
      </c>
      <c r="B800" s="14">
        <f>CHOOSE(CONTROL!$C$42, 65.5223, 65.5223) * CHOOSE(CONTROL!$C$21, $C$9, 100%, $E$9)</f>
        <v>65.522300000000001</v>
      </c>
      <c r="C800" s="14">
        <f>CHOOSE(CONTROL!$C$42, 65.5304, 65.5304) * CHOOSE(CONTROL!$C$21, $C$9, 100%, $E$9)</f>
        <v>65.5304</v>
      </c>
      <c r="D800" s="14">
        <f>CHOOSE(CONTROL!$C$42, 65.7562, 65.7562) * CHOOSE(CONTROL!$C$21, $C$9, 100%, $E$9)</f>
        <v>65.756200000000007</v>
      </c>
      <c r="E800" s="14">
        <f>CHOOSE(CONTROL!$C$42, 65.7876, 65.7876) * CHOOSE(CONTROL!$C$21, $C$9, 100%, $E$9)</f>
        <v>65.787599999999998</v>
      </c>
      <c r="F800" s="14">
        <f>CHOOSE(CONTROL!$C$42, 65.5492, 65.5492)*CHOOSE(CONTROL!$C$21, $C$9, 100%, $E$9)</f>
        <v>65.549199999999999</v>
      </c>
      <c r="G800" s="14">
        <f>CHOOSE(CONTROL!$C$42, 65.5664, 65.5664)*CHOOSE(CONTROL!$C$21, $C$9, 100%, $E$9)</f>
        <v>65.566400000000002</v>
      </c>
      <c r="H800" s="14">
        <f>CHOOSE(CONTROL!$C$42, 65.7763, 65.7763) * CHOOSE(CONTROL!$C$21, $C$9, 100%, $E$9)</f>
        <v>65.776300000000006</v>
      </c>
      <c r="I800" s="14">
        <f>CHOOSE(CONTROL!$C$42, 65.7591, 65.7591)* CHOOSE(CONTROL!$C$21, $C$9, 100%, $E$9)</f>
        <v>65.759100000000004</v>
      </c>
      <c r="J800" s="14">
        <f>CHOOSE(CONTROL!$C$42, 65.5422, 65.5422)* CHOOSE(CONTROL!$C$21, $C$9, 100%, $E$9)</f>
        <v>65.542199999999994</v>
      </c>
      <c r="K800" s="52">
        <f>CHOOSE(CONTROL!$C$42, 65.7552, 65.7552) * CHOOSE(CONTROL!$C$21, $C$9, 100%, $E$9)</f>
        <v>65.755200000000002</v>
      </c>
      <c r="L800" s="14">
        <f>CHOOSE(CONTROL!$C$42, 66.3633, 66.3633) * CHOOSE(CONTROL!$C$21, $C$9, 100%, $E$9)</f>
        <v>66.363299999999995</v>
      </c>
      <c r="M800" s="14">
        <f>CHOOSE(CONTROL!$C$42, 64.2069, 64.2069) * CHOOSE(CONTROL!$C$21, $C$9, 100%, $E$9)</f>
        <v>64.206900000000005</v>
      </c>
      <c r="N800" s="14">
        <f>CHOOSE(CONTROL!$C$42, 64.2238, 64.2238) * CHOOSE(CONTROL!$C$21, $C$9, 100%, $E$9)</f>
        <v>64.223799999999997</v>
      </c>
      <c r="O800" s="14">
        <f>CHOOSE(CONTROL!$C$42, 64.4362, 64.4362) * CHOOSE(CONTROL!$C$21, $C$9, 100%, $E$9)</f>
        <v>64.436199999999999</v>
      </c>
      <c r="P800" s="14">
        <f>CHOOSE(CONTROL!$C$42, 64.4154, 64.4154) * CHOOSE(CONTROL!$C$21, $C$9, 100%, $E$9)</f>
        <v>64.415400000000005</v>
      </c>
      <c r="Q800" s="14">
        <f>CHOOSE(CONTROL!$C$42, 65.0309, 65.0309) * CHOOSE(CONTROL!$C$21, $C$9, 100%, $E$9)</f>
        <v>65.030900000000003</v>
      </c>
      <c r="R800" s="14">
        <f>CHOOSE(CONTROL!$C$42, 65.7805, 65.7805) * CHOOSE(CONTROL!$C$21, $C$9, 100%, $E$9)</f>
        <v>65.780500000000004</v>
      </c>
      <c r="S800" s="14">
        <f>CHOOSE(CONTROL!$C$42, 62.9498, 62.9498) * CHOOSE(CONTROL!$C$21, $C$9, 100%, $E$9)</f>
        <v>62.949800000000003</v>
      </c>
      <c r="T80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56">
        <f>(1000*CHOOSE(CONTROL!$C$42, 695, 695)*CHOOSE(CONTROL!$C$42, 0.5599, 0.5599)*CHOOSE(CONTROL!$C$42, 31, 31))/1000000</f>
        <v>12.063045499999998</v>
      </c>
      <c r="V800" s="56">
        <f>(1000*CHOOSE(CONTROL!$C$42, 500, 500)*CHOOSE(CONTROL!$C$42, 0.275, 0.275)*CHOOSE(CONTROL!$C$42, 31, 31))/1000000</f>
        <v>4.2625000000000002</v>
      </c>
      <c r="W800" s="56">
        <f>(1000*CHOOSE(CONTROL!$C$42, 0.1146, 0.1146)*CHOOSE(CONTROL!$C$42, 121.5, 121.5)*CHOOSE(CONTROL!$C$42, 31, 31))/1000000</f>
        <v>0.43164089999999994</v>
      </c>
      <c r="X800" s="56">
        <f>(31*0.1790888*245000/1000000)+(31*0.2374*100000/1000000)</f>
        <v>2.0961194359999999</v>
      </c>
      <c r="Y800" s="56"/>
      <c r="Z800" s="14"/>
      <c r="AA800" s="55"/>
      <c r="AB800" s="49">
        <f>(B800*194.205+C800*267.466+D800*133.845+E800*53.484+F800*40+G800*185+H800*0+I800*100+J800*300)/(194.205+267.466+133.845+53.484+0+40+185+100+300)</f>
        <v>65.590232986891678</v>
      </c>
      <c r="AC800" s="44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64.341800000000006</v>
      </c>
    </row>
    <row r="801" spans="1:29" ht="15.75" x14ac:dyDescent="0.25">
      <c r="A801" s="31">
        <v>65288</v>
      </c>
      <c r="B801" s="14">
        <f>CHOOSE(CONTROL!$C$42, 61.363, 61.363) * CHOOSE(CONTROL!$C$21, $C$9, 100%, $E$9)</f>
        <v>61.363</v>
      </c>
      <c r="C801" s="14">
        <f>CHOOSE(CONTROL!$C$42, 61.371, 61.371) * CHOOSE(CONTROL!$C$21, $C$9, 100%, $E$9)</f>
        <v>61.371000000000002</v>
      </c>
      <c r="D801" s="14">
        <f>CHOOSE(CONTROL!$C$42, 61.5968, 61.5968) * CHOOSE(CONTROL!$C$21, $C$9, 100%, $E$9)</f>
        <v>61.596800000000002</v>
      </c>
      <c r="E801" s="14">
        <f>CHOOSE(CONTROL!$C$42, 61.6283, 61.6283) * CHOOSE(CONTROL!$C$21, $C$9, 100%, $E$9)</f>
        <v>61.628300000000003</v>
      </c>
      <c r="F801" s="14">
        <f>CHOOSE(CONTROL!$C$42, 61.3898, 61.3898)*CHOOSE(CONTROL!$C$21, $C$9, 100%, $E$9)</f>
        <v>61.389800000000001</v>
      </c>
      <c r="G801" s="14">
        <f>CHOOSE(CONTROL!$C$42, 61.4071, 61.4071)*CHOOSE(CONTROL!$C$21, $C$9, 100%, $E$9)</f>
        <v>61.4071</v>
      </c>
      <c r="H801" s="14">
        <f>CHOOSE(CONTROL!$C$42, 61.6169, 61.6169) * CHOOSE(CONTROL!$C$21, $C$9, 100%, $E$9)</f>
        <v>61.616900000000001</v>
      </c>
      <c r="I801" s="14">
        <f>CHOOSE(CONTROL!$C$42, 61.5867, 61.5867)* CHOOSE(CONTROL!$C$21, $C$9, 100%, $E$9)</f>
        <v>61.5867</v>
      </c>
      <c r="J801" s="14">
        <f>CHOOSE(CONTROL!$C$42, 61.3828, 61.3828)* CHOOSE(CONTROL!$C$21, $C$9, 100%, $E$9)</f>
        <v>61.382800000000003</v>
      </c>
      <c r="K801" s="52">
        <f>CHOOSE(CONTROL!$C$42, 61.5828, 61.5828) * CHOOSE(CONTROL!$C$21, $C$9, 100%, $E$9)</f>
        <v>61.582799999999999</v>
      </c>
      <c r="L801" s="14">
        <f>CHOOSE(CONTROL!$C$42, 62.2039, 62.2039) * CHOOSE(CONTROL!$C$21, $C$9, 100%, $E$9)</f>
        <v>62.203899999999997</v>
      </c>
      <c r="M801" s="14">
        <f>CHOOSE(CONTROL!$C$42, 60.1328, 60.1328) * CHOOSE(CONTROL!$C$21, $C$9, 100%, $E$9)</f>
        <v>60.132800000000003</v>
      </c>
      <c r="N801" s="14">
        <f>CHOOSE(CONTROL!$C$42, 60.1497, 60.1497) * CHOOSE(CONTROL!$C$21, $C$9, 100%, $E$9)</f>
        <v>60.149700000000003</v>
      </c>
      <c r="O801" s="14">
        <f>CHOOSE(CONTROL!$C$42, 60.3621, 60.3621) * CHOOSE(CONTROL!$C$21, $C$9, 100%, $E$9)</f>
        <v>60.362099999999998</v>
      </c>
      <c r="P801" s="14">
        <f>CHOOSE(CONTROL!$C$42, 60.3287, 60.3287) * CHOOSE(CONTROL!$C$21, $C$9, 100%, $E$9)</f>
        <v>60.328699999999998</v>
      </c>
      <c r="Q801" s="14">
        <f>CHOOSE(CONTROL!$C$42, 60.9568, 60.9568) * CHOOSE(CONTROL!$C$21, $C$9, 100%, $E$9)</f>
        <v>60.956800000000001</v>
      </c>
      <c r="R801" s="14">
        <f>CHOOSE(CONTROL!$C$42, 61.6962, 61.6962) * CHOOSE(CONTROL!$C$21, $C$9, 100%, $E$9)</f>
        <v>61.696199999999997</v>
      </c>
      <c r="S801" s="14">
        <f>CHOOSE(CONTROL!$C$42, 58.9531, 58.9531) * CHOOSE(CONTROL!$C$21, $C$9, 100%, $E$9)</f>
        <v>58.953099999999999</v>
      </c>
      <c r="T80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56">
        <f>(1000*CHOOSE(CONTROL!$C$42, 695, 695)*CHOOSE(CONTROL!$C$42, 0.5599, 0.5599)*CHOOSE(CONTROL!$C$42, 30, 30))/1000000</f>
        <v>11.673914999999997</v>
      </c>
      <c r="V801" s="56">
        <f>(1000*CHOOSE(CONTROL!$C$42, 500, 500)*CHOOSE(CONTROL!$C$42, 0.275, 0.275)*CHOOSE(CONTROL!$C$42, 30, 30))/1000000</f>
        <v>4.125</v>
      </c>
      <c r="W801" s="56">
        <f>(1000*CHOOSE(CONTROL!$C$42, 0.1146, 0.1146)*CHOOSE(CONTROL!$C$42, 121.5, 121.5)*CHOOSE(CONTROL!$C$42, 30, 30))/1000000</f>
        <v>0.417717</v>
      </c>
      <c r="X801" s="56">
        <f>(30*0.1790888*245000/1000000)+(30*0.2374*100000/1000000)</f>
        <v>2.0285026799999999</v>
      </c>
      <c r="Y801" s="56"/>
      <c r="Z801" s="14"/>
      <c r="AA801" s="55"/>
      <c r="AB801" s="49">
        <f>(B801*194.205+C801*267.466+D801*133.845+E801*53.484+F801*40+G801*185+H801*0+I801*100+J801*300)/(194.205+267.466+133.845+53.484+0+40+185+100+300)</f>
        <v>61.429846541758231</v>
      </c>
      <c r="AC801" s="44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60.265887050359709</v>
      </c>
    </row>
    <row r="802" spans="1:29" ht="15.75" x14ac:dyDescent="0.25">
      <c r="A802" s="31">
        <v>65319</v>
      </c>
      <c r="B802" s="14">
        <f>CHOOSE(CONTROL!$C$42, 60.1156, 60.1156) * CHOOSE(CONTROL!$C$21, $C$9, 100%, $E$9)</f>
        <v>60.115600000000001</v>
      </c>
      <c r="C802" s="14">
        <f>CHOOSE(CONTROL!$C$42, 60.1209, 60.1209) * CHOOSE(CONTROL!$C$21, $C$9, 100%, $E$9)</f>
        <v>60.120899999999999</v>
      </c>
      <c r="D802" s="14">
        <f>CHOOSE(CONTROL!$C$42, 60.3516, 60.3516) * CHOOSE(CONTROL!$C$21, $C$9, 100%, $E$9)</f>
        <v>60.351599999999998</v>
      </c>
      <c r="E802" s="14">
        <f>CHOOSE(CONTROL!$C$42, 60.3808, 60.3808) * CHOOSE(CONTROL!$C$21, $C$9, 100%, $E$9)</f>
        <v>60.380800000000001</v>
      </c>
      <c r="F802" s="14">
        <f>CHOOSE(CONTROL!$C$42, 60.1444, 60.1444)*CHOOSE(CONTROL!$C$21, $C$9, 100%, $E$9)</f>
        <v>60.144399999999997</v>
      </c>
      <c r="G802" s="14">
        <f>CHOOSE(CONTROL!$C$42, 60.1615, 60.1615)*CHOOSE(CONTROL!$C$21, $C$9, 100%, $E$9)</f>
        <v>60.161499999999997</v>
      </c>
      <c r="H802" s="14">
        <f>CHOOSE(CONTROL!$C$42, 60.3712, 60.3712) * CHOOSE(CONTROL!$C$21, $C$9, 100%, $E$9)</f>
        <v>60.371200000000002</v>
      </c>
      <c r="I802" s="14">
        <f>CHOOSE(CONTROL!$C$42, 60.3371, 60.3371)* CHOOSE(CONTROL!$C$21, $C$9, 100%, $E$9)</f>
        <v>60.3371</v>
      </c>
      <c r="J802" s="14">
        <f>CHOOSE(CONTROL!$C$42, 60.1374, 60.1374)* CHOOSE(CONTROL!$C$21, $C$9, 100%, $E$9)</f>
        <v>60.1374</v>
      </c>
      <c r="K802" s="52">
        <f>CHOOSE(CONTROL!$C$42, 60.3332, 60.3332) * CHOOSE(CONTROL!$C$21, $C$9, 100%, $E$9)</f>
        <v>60.333199999999998</v>
      </c>
      <c r="L802" s="14">
        <f>CHOOSE(CONTROL!$C$42, 60.9582, 60.9582) * CHOOSE(CONTROL!$C$21, $C$9, 100%, $E$9)</f>
        <v>60.958199999999998</v>
      </c>
      <c r="M802" s="14">
        <f>CHOOSE(CONTROL!$C$42, 58.9129, 58.9129) * CHOOSE(CONTROL!$C$21, $C$9, 100%, $E$9)</f>
        <v>58.9129</v>
      </c>
      <c r="N802" s="14">
        <f>CHOOSE(CONTROL!$C$42, 58.9297, 58.9297) * CHOOSE(CONTROL!$C$21, $C$9, 100%, $E$9)</f>
        <v>58.929699999999997</v>
      </c>
      <c r="O802" s="14">
        <f>CHOOSE(CONTROL!$C$42, 59.142, 59.142) * CHOOSE(CONTROL!$C$21, $C$9, 100%, $E$9)</f>
        <v>59.142000000000003</v>
      </c>
      <c r="P802" s="14">
        <f>CHOOSE(CONTROL!$C$42, 59.1048, 59.1048) * CHOOSE(CONTROL!$C$21, $C$9, 100%, $E$9)</f>
        <v>59.104799999999997</v>
      </c>
      <c r="Q802" s="14">
        <f>CHOOSE(CONTROL!$C$42, 59.7367, 59.7367) * CHOOSE(CONTROL!$C$21, $C$9, 100%, $E$9)</f>
        <v>59.736699999999999</v>
      </c>
      <c r="R802" s="14">
        <f>CHOOSE(CONTROL!$C$42, 60.473, 60.473) * CHOOSE(CONTROL!$C$21, $C$9, 100%, $E$9)</f>
        <v>60.472999999999999</v>
      </c>
      <c r="S802" s="14">
        <f>CHOOSE(CONTROL!$C$42, 57.7561, 57.7561) * CHOOSE(CONTROL!$C$21, $C$9, 100%, $E$9)</f>
        <v>57.756100000000004</v>
      </c>
      <c r="T80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56">
        <f>(1000*CHOOSE(CONTROL!$C$42, 695, 695)*CHOOSE(CONTROL!$C$42, 0.5599, 0.5599)*CHOOSE(CONTROL!$C$42, 31, 31))/1000000</f>
        <v>12.063045499999998</v>
      </c>
      <c r="V802" s="56">
        <f>(1000*CHOOSE(CONTROL!$C$42, 500, 500)*CHOOSE(CONTROL!$C$42, 0.275, 0.275)*CHOOSE(CONTROL!$C$42, 31, 31))/1000000</f>
        <v>4.2625000000000002</v>
      </c>
      <c r="W802" s="56">
        <f>(1000*CHOOSE(CONTROL!$C$42, 0.1146, 0.1146)*CHOOSE(CONTROL!$C$42, 121.5, 121.5)*CHOOSE(CONTROL!$C$42, 31, 31))/1000000</f>
        <v>0.43164089999999994</v>
      </c>
      <c r="X802" s="56">
        <f>(31*0.1790888*245000/1000000)+(31*0.2374*100000/1000000)</f>
        <v>2.0961194359999999</v>
      </c>
      <c r="Y802" s="56"/>
      <c r="Z802" s="14"/>
      <c r="AA802" s="55"/>
      <c r="AB802" s="49">
        <f>(B802*131.881+C802*277.167+D802*79.08+E802*125.872+F802*40+G802*185+H802*0+I802*100+J802*300)/(131.881+277.167+79.08+125.872+0+40+185+100+300)</f>
        <v>60.189729636400308</v>
      </c>
      <c r="AC802" s="44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59.045315107913659</v>
      </c>
    </row>
    <row r="803" spans="1:29" ht="15.75" x14ac:dyDescent="0.25">
      <c r="A803" s="31">
        <v>65349</v>
      </c>
      <c r="B803" s="14">
        <f>CHOOSE(CONTROL!$C$42, 61.6986, 61.6986) * CHOOSE(CONTROL!$C$21, $C$9, 100%, $E$9)</f>
        <v>61.698599999999999</v>
      </c>
      <c r="C803" s="14">
        <f>CHOOSE(CONTROL!$C$42, 61.7037, 61.7037) * CHOOSE(CONTROL!$C$21, $C$9, 100%, $E$9)</f>
        <v>61.703699999999998</v>
      </c>
      <c r="D803" s="14">
        <f>CHOOSE(CONTROL!$C$42, 61.7727, 61.7727) * CHOOSE(CONTROL!$C$21, $C$9, 100%, $E$9)</f>
        <v>61.7727</v>
      </c>
      <c r="E803" s="14">
        <f>CHOOSE(CONTROL!$C$42, 61.8068, 61.8068) * CHOOSE(CONTROL!$C$21, $C$9, 100%, $E$9)</f>
        <v>61.806800000000003</v>
      </c>
      <c r="F803" s="14">
        <f>CHOOSE(CONTROL!$C$42, 61.7342, 61.7342)*CHOOSE(CONTROL!$C$21, $C$9, 100%, $E$9)</f>
        <v>61.734200000000001</v>
      </c>
      <c r="G803" s="14">
        <f>CHOOSE(CONTROL!$C$42, 61.7516, 61.7516)*CHOOSE(CONTROL!$C$21, $C$9, 100%, $E$9)</f>
        <v>61.751600000000003</v>
      </c>
      <c r="H803" s="14">
        <f>CHOOSE(CONTROL!$C$42, 61.796, 61.796) * CHOOSE(CONTROL!$C$21, $C$9, 100%, $E$9)</f>
        <v>61.795999999999999</v>
      </c>
      <c r="I803" s="14">
        <f>CHOOSE(CONTROL!$C$42, 61.9282, 61.9282)* CHOOSE(CONTROL!$C$21, $C$9, 100%, $E$9)</f>
        <v>61.928199999999997</v>
      </c>
      <c r="J803" s="14">
        <f>CHOOSE(CONTROL!$C$42, 61.7272, 61.7272)* CHOOSE(CONTROL!$C$21, $C$9, 100%, $E$9)</f>
        <v>61.727200000000003</v>
      </c>
      <c r="K803" s="52">
        <f>CHOOSE(CONTROL!$C$42, 61.9243, 61.9243) * CHOOSE(CONTROL!$C$21, $C$9, 100%, $E$9)</f>
        <v>61.924300000000002</v>
      </c>
      <c r="L803" s="14">
        <f>CHOOSE(CONTROL!$C$42, 62.383, 62.383) * CHOOSE(CONTROL!$C$21, $C$9, 100%, $E$9)</f>
        <v>62.383000000000003</v>
      </c>
      <c r="M803" s="14">
        <f>CHOOSE(CONTROL!$C$42, 60.4701, 60.4701) * CHOOSE(CONTROL!$C$21, $C$9, 100%, $E$9)</f>
        <v>60.470100000000002</v>
      </c>
      <c r="N803" s="14">
        <f>CHOOSE(CONTROL!$C$42, 60.4872, 60.4872) * CHOOSE(CONTROL!$C$21, $C$9, 100%, $E$9)</f>
        <v>60.487200000000001</v>
      </c>
      <c r="O803" s="14">
        <f>CHOOSE(CONTROL!$C$42, 60.5375, 60.5375) * CHOOSE(CONTROL!$C$21, $C$9, 100%, $E$9)</f>
        <v>60.537500000000001</v>
      </c>
      <c r="P803" s="14">
        <f>CHOOSE(CONTROL!$C$42, 60.6632, 60.6632) * CHOOSE(CONTROL!$C$21, $C$9, 100%, $E$9)</f>
        <v>60.663200000000003</v>
      </c>
      <c r="Q803" s="14">
        <f>CHOOSE(CONTROL!$C$42, 61.1322, 61.1322) * CHOOSE(CONTROL!$C$21, $C$9, 100%, $E$9)</f>
        <v>61.132199999999997</v>
      </c>
      <c r="R803" s="14">
        <f>CHOOSE(CONTROL!$C$42, 61.8721, 61.8721) * CHOOSE(CONTROL!$C$21, $C$9, 100%, $E$9)</f>
        <v>61.872100000000003</v>
      </c>
      <c r="S803" s="14">
        <f>CHOOSE(CONTROL!$C$42, 59.2777, 59.2777) * CHOOSE(CONTROL!$C$21, $C$9, 100%, $E$9)</f>
        <v>59.277700000000003</v>
      </c>
      <c r="T80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56">
        <f>(1000*CHOOSE(CONTROL!$C$42, 695, 695)*CHOOSE(CONTROL!$C$42, 0.5599, 0.5599)*CHOOSE(CONTROL!$C$42, 30, 30))/1000000</f>
        <v>11.673914999999997</v>
      </c>
      <c r="V803" s="56">
        <f>(1000*CHOOSE(CONTROL!$C$42, 500, 500)*CHOOSE(CONTROL!$C$42, 0.275, 0.275)*CHOOSE(CONTROL!$C$42, 30, 30))/1000000</f>
        <v>4.125</v>
      </c>
      <c r="W803" s="56">
        <f>(1000*CHOOSE(CONTROL!$C$42, 0.1146, 0.1146)*CHOOSE(CONTROL!$C$42, 121.5, 121.5)*CHOOSE(CONTROL!$C$42, 30, 30))/1000000</f>
        <v>0.417717</v>
      </c>
      <c r="X803" s="56">
        <f>(30*0.1790888*100000/1000000)+(30*0.2374*100000/1000000)</f>
        <v>1.2494664</v>
      </c>
      <c r="Y803" s="56"/>
      <c r="Z803" s="14"/>
      <c r="AA803" s="55"/>
      <c r="AB803" s="49">
        <f>(B803*122.58+C803*297.941+D803*89.177+E803*40.302+F803*40+G803*160+H803*0+I803*100+J803*300)/(122.58+297.941+89.177+40.302+0+40+160+100+300)</f>
        <v>61.745497557565216</v>
      </c>
      <c r="AC803" s="44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60.529416546762597</v>
      </c>
    </row>
    <row r="804" spans="1:29" ht="15.75" x14ac:dyDescent="0.25">
      <c r="A804" s="31">
        <v>65380</v>
      </c>
      <c r="B804" s="14">
        <f>CHOOSE(CONTROL!$C$42, 65.9045, 65.9045) * CHOOSE(CONTROL!$C$21, $C$9, 100%, $E$9)</f>
        <v>65.904499999999999</v>
      </c>
      <c r="C804" s="14">
        <f>CHOOSE(CONTROL!$C$42, 65.9096, 65.9096) * CHOOSE(CONTROL!$C$21, $C$9, 100%, $E$9)</f>
        <v>65.909599999999998</v>
      </c>
      <c r="D804" s="14">
        <f>CHOOSE(CONTROL!$C$42, 65.9786, 65.9786) * CHOOSE(CONTROL!$C$21, $C$9, 100%, $E$9)</f>
        <v>65.9786</v>
      </c>
      <c r="E804" s="14">
        <f>CHOOSE(CONTROL!$C$42, 66.0127, 66.0127) * CHOOSE(CONTROL!$C$21, $C$9, 100%, $E$9)</f>
        <v>66.012699999999995</v>
      </c>
      <c r="F804" s="14">
        <f>CHOOSE(CONTROL!$C$42, 65.9424, 65.9424)*CHOOSE(CONTROL!$C$21, $C$9, 100%, $E$9)</f>
        <v>65.942400000000006</v>
      </c>
      <c r="G804" s="14">
        <f>CHOOSE(CONTROL!$C$42, 65.9604, 65.9604)*CHOOSE(CONTROL!$C$21, $C$9, 100%, $E$9)</f>
        <v>65.960400000000007</v>
      </c>
      <c r="H804" s="14">
        <f>CHOOSE(CONTROL!$C$42, 66.0019, 66.0019) * CHOOSE(CONTROL!$C$21, $C$9, 100%, $E$9)</f>
        <v>66.001900000000006</v>
      </c>
      <c r="I804" s="14">
        <f>CHOOSE(CONTROL!$C$42, 66.1473, 66.1473)* CHOOSE(CONTROL!$C$21, $C$9, 100%, $E$9)</f>
        <v>66.147300000000001</v>
      </c>
      <c r="J804" s="14">
        <f>CHOOSE(CONTROL!$C$42, 65.9354, 65.9354)* CHOOSE(CONTROL!$C$21, $C$9, 100%, $E$9)</f>
        <v>65.935400000000001</v>
      </c>
      <c r="K804" s="52">
        <f>CHOOSE(CONTROL!$C$42, 66.1434, 66.1434) * CHOOSE(CONTROL!$C$21, $C$9, 100%, $E$9)</f>
        <v>66.1434</v>
      </c>
      <c r="L804" s="14">
        <f>CHOOSE(CONTROL!$C$42, 66.5889, 66.5889) * CHOOSE(CONTROL!$C$21, $C$9, 100%, $E$9)</f>
        <v>66.588899999999995</v>
      </c>
      <c r="M804" s="14">
        <f>CHOOSE(CONTROL!$C$42, 64.5921, 64.5921) * CHOOSE(CONTROL!$C$21, $C$9, 100%, $E$9)</f>
        <v>64.592100000000002</v>
      </c>
      <c r="N804" s="14">
        <f>CHOOSE(CONTROL!$C$42, 64.6097, 64.6097) * CHOOSE(CONTROL!$C$21, $C$9, 100%, $E$9)</f>
        <v>64.609700000000004</v>
      </c>
      <c r="O804" s="14">
        <f>CHOOSE(CONTROL!$C$42, 64.6573, 64.6573) * CHOOSE(CONTROL!$C$21, $C$9, 100%, $E$9)</f>
        <v>64.657300000000006</v>
      </c>
      <c r="P804" s="14">
        <f>CHOOSE(CONTROL!$C$42, 64.7956, 64.7956) * CHOOSE(CONTROL!$C$21, $C$9, 100%, $E$9)</f>
        <v>64.795599999999993</v>
      </c>
      <c r="Q804" s="14">
        <f>CHOOSE(CONTROL!$C$42, 65.252, 65.252) * CHOOSE(CONTROL!$C$21, $C$9, 100%, $E$9)</f>
        <v>65.251999999999995</v>
      </c>
      <c r="R804" s="14">
        <f>CHOOSE(CONTROL!$C$42, 66.0021, 66.0021) * CHOOSE(CONTROL!$C$21, $C$9, 100%, $E$9)</f>
        <v>66.002099999999999</v>
      </c>
      <c r="S804" s="14">
        <f>CHOOSE(CONTROL!$C$42, 63.3191, 63.3191) * CHOOSE(CONTROL!$C$21, $C$9, 100%, $E$9)</f>
        <v>63.319099999999999</v>
      </c>
      <c r="T80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56">
        <f>(1000*CHOOSE(CONTROL!$C$42, 695, 695)*CHOOSE(CONTROL!$C$42, 0.5599, 0.5599)*CHOOSE(CONTROL!$C$42, 31, 31))/1000000</f>
        <v>12.063045499999998</v>
      </c>
      <c r="V804" s="56">
        <f>(1000*CHOOSE(CONTROL!$C$42, 500, 500)*CHOOSE(CONTROL!$C$42, 0.275, 0.275)*CHOOSE(CONTROL!$C$42, 31, 31))/1000000</f>
        <v>4.2625000000000002</v>
      </c>
      <c r="W804" s="56">
        <f>(1000*CHOOSE(CONTROL!$C$42, 0.1146, 0.1146)*CHOOSE(CONTROL!$C$42, 121.5, 121.5)*CHOOSE(CONTROL!$C$42, 31, 31))/1000000</f>
        <v>0.43164089999999994</v>
      </c>
      <c r="X804" s="56">
        <f>(31*0.1790888*100000/1000000)+(31*0.2374*100000/1000000)</f>
        <v>1.2911152800000001</v>
      </c>
      <c r="Y804" s="56"/>
      <c r="Z804" s="14"/>
      <c r="AA804" s="55"/>
      <c r="AB804" s="49">
        <f>(B804*122.58+C804*297.941+D804*89.177+E804*40.302+F804*40+G804*160+H804*0+I804*100+J804*300)/(122.58+297.941+89.177+40.302+0+40+160+100+300)</f>
        <v>65.953628861913046</v>
      </c>
      <c r="AC804" s="44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64.651944604316554</v>
      </c>
    </row>
    <row r="805" spans="1:29" ht="15.75" x14ac:dyDescent="0.25">
      <c r="A805" s="31">
        <v>65411</v>
      </c>
      <c r="B805" s="14">
        <f>CHOOSE(CONTROL!$C$42, 71.3673, 71.3673) * CHOOSE(CONTROL!$C$21, $C$9, 100%, $E$9)</f>
        <v>71.3673</v>
      </c>
      <c r="C805" s="14">
        <f>CHOOSE(CONTROL!$C$42, 71.3723, 71.3723) * CHOOSE(CONTROL!$C$21, $C$9, 100%, $E$9)</f>
        <v>71.372299999999996</v>
      </c>
      <c r="D805" s="14">
        <f>CHOOSE(CONTROL!$C$42, 71.4518, 71.4518) * CHOOSE(CONTROL!$C$21, $C$9, 100%, $E$9)</f>
        <v>71.451800000000006</v>
      </c>
      <c r="E805" s="14">
        <f>CHOOSE(CONTROL!$C$42, 71.4859, 71.4859) * CHOOSE(CONTROL!$C$21, $C$9, 100%, $E$9)</f>
        <v>71.485900000000001</v>
      </c>
      <c r="F805" s="14">
        <f>CHOOSE(CONTROL!$C$42, 71.3903, 71.3903)*CHOOSE(CONTROL!$C$21, $C$9, 100%, $E$9)</f>
        <v>71.390299999999996</v>
      </c>
      <c r="G805" s="14">
        <f>CHOOSE(CONTROL!$C$42, 71.4078, 71.4078)*CHOOSE(CONTROL!$C$21, $C$9, 100%, $E$9)</f>
        <v>71.407799999999995</v>
      </c>
      <c r="H805" s="14">
        <f>CHOOSE(CONTROL!$C$42, 71.4751, 71.4751) * CHOOSE(CONTROL!$C$21, $C$9, 100%, $E$9)</f>
        <v>71.475099999999998</v>
      </c>
      <c r="I805" s="14">
        <f>CHOOSE(CONTROL!$C$42, 71.6261, 71.6261)* CHOOSE(CONTROL!$C$21, $C$9, 100%, $E$9)</f>
        <v>71.626099999999994</v>
      </c>
      <c r="J805" s="14">
        <f>CHOOSE(CONTROL!$C$42, 71.3833, 71.3833)* CHOOSE(CONTROL!$C$21, $C$9, 100%, $E$9)</f>
        <v>71.383300000000006</v>
      </c>
      <c r="K805" s="52">
        <f>CHOOSE(CONTROL!$C$42, 71.6222, 71.6222) * CHOOSE(CONTROL!$C$21, $C$9, 100%, $E$9)</f>
        <v>71.622200000000007</v>
      </c>
      <c r="L805" s="14">
        <f>CHOOSE(CONTROL!$C$42, 72.0621, 72.0621) * CHOOSE(CONTROL!$C$21, $C$9, 100%, $E$9)</f>
        <v>72.062100000000001</v>
      </c>
      <c r="M805" s="14">
        <f>CHOOSE(CONTROL!$C$42, 69.9284, 69.9284) * CHOOSE(CONTROL!$C$21, $C$9, 100%, $E$9)</f>
        <v>69.928399999999996</v>
      </c>
      <c r="N805" s="14">
        <f>CHOOSE(CONTROL!$C$42, 69.9456, 69.9456) * CHOOSE(CONTROL!$C$21, $C$9, 100%, $E$9)</f>
        <v>69.945599999999999</v>
      </c>
      <c r="O805" s="14">
        <f>CHOOSE(CONTROL!$C$42, 70.0183, 70.0183) * CHOOSE(CONTROL!$C$21, $C$9, 100%, $E$9)</f>
        <v>70.018299999999996</v>
      </c>
      <c r="P805" s="14">
        <f>CHOOSE(CONTROL!$C$42, 70.1618, 70.1618) * CHOOSE(CONTROL!$C$21, $C$9, 100%, $E$9)</f>
        <v>70.161799999999999</v>
      </c>
      <c r="Q805" s="14">
        <f>CHOOSE(CONTROL!$C$42, 70.613, 70.613) * CHOOSE(CONTROL!$C$21, $C$9, 100%, $E$9)</f>
        <v>70.613</v>
      </c>
      <c r="R805" s="14">
        <f>CHOOSE(CONTROL!$C$42, 71.3765, 71.3765) * CHOOSE(CONTROL!$C$21, $C$9, 100%, $E$9)</f>
        <v>71.376499999999993</v>
      </c>
      <c r="S805" s="14">
        <f>CHOOSE(CONTROL!$C$42, 68.5683, 68.5683) * CHOOSE(CONTROL!$C$21, $C$9, 100%, $E$9)</f>
        <v>68.568299999999994</v>
      </c>
      <c r="T80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56">
        <f>(1000*CHOOSE(CONTROL!$C$42, 695, 695)*CHOOSE(CONTROL!$C$42, 0.5599, 0.5599)*CHOOSE(CONTROL!$C$42, 31, 31))/1000000</f>
        <v>12.063045499999998</v>
      </c>
      <c r="V805" s="56">
        <f>(1000*CHOOSE(CONTROL!$C$42, 500, 500)*CHOOSE(CONTROL!$C$42, 0.275, 0.275)*CHOOSE(CONTROL!$C$42, 31, 31))/1000000</f>
        <v>4.2625000000000002</v>
      </c>
      <c r="W805" s="56">
        <f>(1000*CHOOSE(CONTROL!$C$42, 0.1146, 0.1146)*CHOOSE(CONTROL!$C$42, 121.5, 121.5)*CHOOSE(CONTROL!$C$42, 31, 31))/1000000</f>
        <v>0.43164089999999994</v>
      </c>
      <c r="X805" s="56">
        <f>(31*0.1790888*100000/1000000)+(31*0.2374*100000/1000000)</f>
        <v>1.2911152800000001</v>
      </c>
      <c r="Y805" s="56"/>
      <c r="Z805" s="14"/>
      <c r="AA805" s="55"/>
      <c r="AB805" s="49">
        <f>(B805*122.58+C805*297.941+D805*89.177+E805*40.302+F805*40+G805*160+H805*0+I805*100+J805*300)/(122.58+297.941+89.177+40.302+0+40+160+100+300)</f>
        <v>71.412417372782599</v>
      </c>
      <c r="AC805" s="44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70.003718705035965</v>
      </c>
    </row>
    <row r="806" spans="1:29" ht="15.75" x14ac:dyDescent="0.25">
      <c r="A806" s="31">
        <v>65439</v>
      </c>
      <c r="B806" s="14">
        <f>CHOOSE(CONTROL!$C$42, 72.6376, 72.6376) * CHOOSE(CONTROL!$C$21, $C$9, 100%, $E$9)</f>
        <v>72.637600000000006</v>
      </c>
      <c r="C806" s="14">
        <f>CHOOSE(CONTROL!$C$42, 72.6426, 72.6426) * CHOOSE(CONTROL!$C$21, $C$9, 100%, $E$9)</f>
        <v>72.642600000000002</v>
      </c>
      <c r="D806" s="14">
        <f>CHOOSE(CONTROL!$C$42, 72.722, 72.722) * CHOOSE(CONTROL!$C$21, $C$9, 100%, $E$9)</f>
        <v>72.721999999999994</v>
      </c>
      <c r="E806" s="14">
        <f>CHOOSE(CONTROL!$C$42, 72.7562, 72.7562) * CHOOSE(CONTROL!$C$21, $C$9, 100%, $E$9)</f>
        <v>72.756200000000007</v>
      </c>
      <c r="F806" s="14">
        <f>CHOOSE(CONTROL!$C$42, 72.6603, 72.6603)*CHOOSE(CONTROL!$C$21, $C$9, 100%, $E$9)</f>
        <v>72.660300000000007</v>
      </c>
      <c r="G806" s="14">
        <f>CHOOSE(CONTROL!$C$42, 72.6778, 72.6778)*CHOOSE(CONTROL!$C$21, $C$9, 100%, $E$9)</f>
        <v>72.677800000000005</v>
      </c>
      <c r="H806" s="14">
        <f>CHOOSE(CONTROL!$C$42, 72.7453, 72.7453) * CHOOSE(CONTROL!$C$21, $C$9, 100%, $E$9)</f>
        <v>72.7453</v>
      </c>
      <c r="I806" s="14">
        <f>CHOOSE(CONTROL!$C$42, 72.9003, 72.9003)* CHOOSE(CONTROL!$C$21, $C$9, 100%, $E$9)</f>
        <v>72.900300000000001</v>
      </c>
      <c r="J806" s="14">
        <f>CHOOSE(CONTROL!$C$42, 72.6533, 72.6533)* CHOOSE(CONTROL!$C$21, $C$9, 100%, $E$9)</f>
        <v>72.653300000000002</v>
      </c>
      <c r="K806" s="52">
        <f>CHOOSE(CONTROL!$C$42, 72.8964, 72.8964) * CHOOSE(CONTROL!$C$21, $C$9, 100%, $E$9)</f>
        <v>72.8964</v>
      </c>
      <c r="L806" s="14">
        <f>CHOOSE(CONTROL!$C$42, 73.3323, 73.3323) * CHOOSE(CONTROL!$C$21, $C$9, 100%, $E$9)</f>
        <v>73.332300000000004</v>
      </c>
      <c r="M806" s="14">
        <f>CHOOSE(CONTROL!$C$42, 71.1724, 71.1724) * CHOOSE(CONTROL!$C$21, $C$9, 100%, $E$9)</f>
        <v>71.172399999999996</v>
      </c>
      <c r="N806" s="14">
        <f>CHOOSE(CONTROL!$C$42, 71.1895, 71.1895) * CHOOSE(CONTROL!$C$21, $C$9, 100%, $E$9)</f>
        <v>71.189499999999995</v>
      </c>
      <c r="O806" s="14">
        <f>CHOOSE(CONTROL!$C$42, 71.2625, 71.2625) * CHOOSE(CONTROL!$C$21, $C$9, 100%, $E$9)</f>
        <v>71.262500000000003</v>
      </c>
      <c r="P806" s="14">
        <f>CHOOSE(CONTROL!$C$42, 71.4098, 71.4098) * CHOOSE(CONTROL!$C$21, $C$9, 100%, $E$9)</f>
        <v>71.409800000000004</v>
      </c>
      <c r="Q806" s="14">
        <f>CHOOSE(CONTROL!$C$42, 71.8572, 71.8572) * CHOOSE(CONTROL!$C$21, $C$9, 100%, $E$9)</f>
        <v>71.857200000000006</v>
      </c>
      <c r="R806" s="14">
        <f>CHOOSE(CONTROL!$C$42, 72.6239, 72.6239) * CHOOSE(CONTROL!$C$21, $C$9, 100%, $E$9)</f>
        <v>72.623900000000006</v>
      </c>
      <c r="S806" s="14">
        <f>CHOOSE(CONTROL!$C$42, 69.7889, 69.7889) * CHOOSE(CONTROL!$C$21, $C$9, 100%, $E$9)</f>
        <v>69.788899999999998</v>
      </c>
      <c r="T80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06" s="56">
        <f>(1000*CHOOSE(CONTROL!$C$42, 695, 695)*CHOOSE(CONTROL!$C$42, 0.5599, 0.5599)*CHOOSE(CONTROL!$C$42, 28, 28))/1000000</f>
        <v>10.895653999999999</v>
      </c>
      <c r="V806" s="56">
        <f>(1000*CHOOSE(CONTROL!$C$42, 500, 500)*CHOOSE(CONTROL!$C$42, 0.275, 0.275)*CHOOSE(CONTROL!$C$42, 28, 28))/1000000</f>
        <v>3.85</v>
      </c>
      <c r="W806" s="56">
        <f>(1000*CHOOSE(CONTROL!$C$42, 0.1146, 0.1146)*CHOOSE(CONTROL!$C$42, 121.5, 121.5)*CHOOSE(CONTROL!$C$42, 28, 28))/1000000</f>
        <v>0.38986920000000003</v>
      </c>
      <c r="X806" s="56">
        <f>(28*0.1790888*100000/1000000)+(28*0.2374*100000/1000000)</f>
        <v>1.16616864</v>
      </c>
      <c r="Y806" s="56"/>
      <c r="Z806" s="14"/>
      <c r="AA806" s="55"/>
      <c r="AB806" s="49">
        <f>(B806*122.58+C806*297.941+D806*89.177+E806*40.302+F806*40+G806*160+H806*0+I806*100+J806*300)/(122.58+297.941+89.177+40.302+0+40+160+100+300)</f>
        <v>72.682918313913049</v>
      </c>
      <c r="AC806" s="44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71.248379136690644</v>
      </c>
    </row>
    <row r="807" spans="1:29" ht="15.75" x14ac:dyDescent="0.25">
      <c r="A807" s="31">
        <v>65470</v>
      </c>
      <c r="B807" s="14">
        <f>CHOOSE(CONTROL!$C$42, 70.5756, 70.5756) * CHOOSE(CONTROL!$C$21, $C$9, 100%, $E$9)</f>
        <v>70.575599999999994</v>
      </c>
      <c r="C807" s="14">
        <f>CHOOSE(CONTROL!$C$42, 70.5807, 70.5807) * CHOOSE(CONTROL!$C$21, $C$9, 100%, $E$9)</f>
        <v>70.580699999999993</v>
      </c>
      <c r="D807" s="14">
        <f>CHOOSE(CONTROL!$C$42, 70.6601, 70.6601) * CHOOSE(CONTROL!$C$21, $C$9, 100%, $E$9)</f>
        <v>70.6601</v>
      </c>
      <c r="E807" s="14">
        <f>CHOOSE(CONTROL!$C$42, 70.6942, 70.6942) * CHOOSE(CONTROL!$C$21, $C$9, 100%, $E$9)</f>
        <v>70.694199999999995</v>
      </c>
      <c r="F807" s="14">
        <f>CHOOSE(CONTROL!$C$42, 70.5976, 70.5976)*CHOOSE(CONTROL!$C$21, $C$9, 100%, $E$9)</f>
        <v>70.5976</v>
      </c>
      <c r="G807" s="14">
        <f>CHOOSE(CONTROL!$C$42, 70.6149, 70.6149)*CHOOSE(CONTROL!$C$21, $C$9, 100%, $E$9)</f>
        <v>70.614900000000006</v>
      </c>
      <c r="H807" s="14">
        <f>CHOOSE(CONTROL!$C$42, 70.6834, 70.6834) * CHOOSE(CONTROL!$C$21, $C$9, 100%, $E$9)</f>
        <v>70.683400000000006</v>
      </c>
      <c r="I807" s="14">
        <f>CHOOSE(CONTROL!$C$42, 70.8319, 70.8319)* CHOOSE(CONTROL!$C$21, $C$9, 100%, $E$9)</f>
        <v>70.831900000000005</v>
      </c>
      <c r="J807" s="14">
        <f>CHOOSE(CONTROL!$C$42, 70.5906, 70.5906)* CHOOSE(CONTROL!$C$21, $C$9, 100%, $E$9)</f>
        <v>70.590599999999995</v>
      </c>
      <c r="K807" s="52">
        <f>CHOOSE(CONTROL!$C$42, 70.828, 70.828) * CHOOSE(CONTROL!$C$21, $C$9, 100%, $E$9)</f>
        <v>70.828000000000003</v>
      </c>
      <c r="L807" s="14">
        <f>CHOOSE(CONTROL!$C$42, 71.2704, 71.2704) * CHOOSE(CONTROL!$C$21, $C$9, 100%, $E$9)</f>
        <v>71.270399999999995</v>
      </c>
      <c r="M807" s="14">
        <f>CHOOSE(CONTROL!$C$42, 69.152, 69.152) * CHOOSE(CONTROL!$C$21, $C$9, 100%, $E$9)</f>
        <v>69.152000000000001</v>
      </c>
      <c r="N807" s="14">
        <f>CHOOSE(CONTROL!$C$42, 69.1689, 69.1689) * CHOOSE(CONTROL!$C$21, $C$9, 100%, $E$9)</f>
        <v>69.168899999999994</v>
      </c>
      <c r="O807" s="14">
        <f>CHOOSE(CONTROL!$C$42, 69.2428, 69.2428) * CHOOSE(CONTROL!$C$21, $C$9, 100%, $E$9)</f>
        <v>69.242800000000003</v>
      </c>
      <c r="P807" s="14">
        <f>CHOOSE(CONTROL!$C$42, 69.3839, 69.3839) * CHOOSE(CONTROL!$C$21, $C$9, 100%, $E$9)</f>
        <v>69.383899999999997</v>
      </c>
      <c r="Q807" s="14">
        <f>CHOOSE(CONTROL!$C$42, 69.8375, 69.8375) * CHOOSE(CONTROL!$C$21, $C$9, 100%, $E$9)</f>
        <v>69.837500000000006</v>
      </c>
      <c r="R807" s="14">
        <f>CHOOSE(CONTROL!$C$42, 70.5991, 70.5991) * CHOOSE(CONTROL!$C$21, $C$9, 100%, $E$9)</f>
        <v>70.599100000000007</v>
      </c>
      <c r="S807" s="14">
        <f>CHOOSE(CONTROL!$C$42, 67.8076, 67.8076) * CHOOSE(CONTROL!$C$21, $C$9, 100%, $E$9)</f>
        <v>67.807599999999994</v>
      </c>
      <c r="T80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56">
        <f>(1000*CHOOSE(CONTROL!$C$42, 695, 695)*CHOOSE(CONTROL!$C$42, 0.5599, 0.5599)*CHOOSE(CONTROL!$C$42, 31, 31))/1000000</f>
        <v>12.063045499999998</v>
      </c>
      <c r="V807" s="56">
        <f>(1000*CHOOSE(CONTROL!$C$42, 500, 500)*CHOOSE(CONTROL!$C$42, 0.275, 0.275)*CHOOSE(CONTROL!$C$42, 31, 31))/1000000</f>
        <v>4.2625000000000002</v>
      </c>
      <c r="W807" s="56">
        <f>(1000*CHOOSE(CONTROL!$C$42, 0.1146, 0.1146)*CHOOSE(CONTROL!$C$42, 121.5, 121.5)*CHOOSE(CONTROL!$C$42, 31, 31))/1000000</f>
        <v>0.43164089999999994</v>
      </c>
      <c r="X807" s="56">
        <f>(31*0.1790888*100000/1000000)+(31*0.2374*100000/1000000)</f>
        <v>1.2911152800000001</v>
      </c>
      <c r="Y807" s="56"/>
      <c r="Z807" s="14"/>
      <c r="AA807" s="55"/>
      <c r="AB807" s="49">
        <f>(B807*122.58+C807*297.941+D807*89.177+E807*40.302+F807*40+G807*160+H807*0+I807*100+J807*300)/(122.58+297.941+89.177+40.302+0+40+160+100+300)</f>
        <v>70.620063280695646</v>
      </c>
      <c r="AC807" s="44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69.227493525179852</v>
      </c>
    </row>
    <row r="808" spans="1:29" ht="15.75" x14ac:dyDescent="0.25">
      <c r="A808" s="31">
        <v>65500</v>
      </c>
      <c r="B808" s="14">
        <f>CHOOSE(CONTROL!$C$42, 70.3653, 70.3653) * CHOOSE(CONTROL!$C$21, $C$9, 100%, $E$9)</f>
        <v>70.365300000000005</v>
      </c>
      <c r="C808" s="14">
        <f>CHOOSE(CONTROL!$C$42, 70.3698, 70.3698) * CHOOSE(CONTROL!$C$21, $C$9, 100%, $E$9)</f>
        <v>70.369799999999998</v>
      </c>
      <c r="D808" s="14">
        <f>CHOOSE(CONTROL!$C$42, 70.5987, 70.5987) * CHOOSE(CONTROL!$C$21, $C$9, 100%, $E$9)</f>
        <v>70.598699999999994</v>
      </c>
      <c r="E808" s="14">
        <f>CHOOSE(CONTROL!$C$42, 70.6308, 70.6308) * CHOOSE(CONTROL!$C$21, $C$9, 100%, $E$9)</f>
        <v>70.630799999999994</v>
      </c>
      <c r="F808" s="14">
        <f>CHOOSE(CONTROL!$C$42, 70.3923, 70.3923)*CHOOSE(CONTROL!$C$21, $C$9, 100%, $E$9)</f>
        <v>70.392300000000006</v>
      </c>
      <c r="G808" s="14">
        <f>CHOOSE(CONTROL!$C$42, 70.409, 70.409)*CHOOSE(CONTROL!$C$21, $C$9, 100%, $E$9)</f>
        <v>70.409000000000006</v>
      </c>
      <c r="H808" s="14">
        <f>CHOOSE(CONTROL!$C$42, 70.6206, 70.6206) * CHOOSE(CONTROL!$C$21, $C$9, 100%, $E$9)</f>
        <v>70.620599999999996</v>
      </c>
      <c r="I808" s="14">
        <f>CHOOSE(CONTROL!$C$42, 70.6186, 70.6186)* CHOOSE(CONTROL!$C$21, $C$9, 100%, $E$9)</f>
        <v>70.618600000000001</v>
      </c>
      <c r="J808" s="14">
        <f>CHOOSE(CONTROL!$C$42, 70.3853, 70.3853)* CHOOSE(CONTROL!$C$21, $C$9, 100%, $E$9)</f>
        <v>70.385300000000001</v>
      </c>
      <c r="K808" s="52">
        <f>CHOOSE(CONTROL!$C$42, 70.6147, 70.6147) * CHOOSE(CONTROL!$C$21, $C$9, 100%, $E$9)</f>
        <v>70.614699999999999</v>
      </c>
      <c r="L808" s="14">
        <f>CHOOSE(CONTROL!$C$42, 71.2076, 71.2076) * CHOOSE(CONTROL!$C$21, $C$9, 100%, $E$9)</f>
        <v>71.207599999999999</v>
      </c>
      <c r="M808" s="14">
        <f>CHOOSE(CONTROL!$C$42, 68.9509, 68.9509) * CHOOSE(CONTROL!$C$21, $C$9, 100%, $E$9)</f>
        <v>68.950900000000004</v>
      </c>
      <c r="N808" s="14">
        <f>CHOOSE(CONTROL!$C$42, 68.9672, 68.9672) * CHOOSE(CONTROL!$C$21, $C$9, 100%, $E$9)</f>
        <v>68.967200000000005</v>
      </c>
      <c r="O808" s="14">
        <f>CHOOSE(CONTROL!$C$42, 69.1813, 69.1813) * CHOOSE(CONTROL!$C$21, $C$9, 100%, $E$9)</f>
        <v>69.181299999999993</v>
      </c>
      <c r="P808" s="14">
        <f>CHOOSE(CONTROL!$C$42, 69.175, 69.175) * CHOOSE(CONTROL!$C$21, $C$9, 100%, $E$9)</f>
        <v>69.174999999999997</v>
      </c>
      <c r="Q808" s="14">
        <f>CHOOSE(CONTROL!$C$42, 69.776, 69.776) * CHOOSE(CONTROL!$C$21, $C$9, 100%, $E$9)</f>
        <v>69.775999999999996</v>
      </c>
      <c r="R808" s="14">
        <f>CHOOSE(CONTROL!$C$42, 70.5375, 70.5375) * CHOOSE(CONTROL!$C$21, $C$9, 100%, $E$9)</f>
        <v>70.537499999999994</v>
      </c>
      <c r="S808" s="14">
        <f>CHOOSE(CONTROL!$C$42, 67.6047, 67.6047) * CHOOSE(CONTROL!$C$21, $C$9, 100%, $E$9)</f>
        <v>67.604699999999994</v>
      </c>
      <c r="T80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56">
        <f>(1000*CHOOSE(CONTROL!$C$42, 695, 695)*CHOOSE(CONTROL!$C$42, 0.5599, 0.5599)*CHOOSE(CONTROL!$C$42, 30, 30))/1000000</f>
        <v>11.673914999999997</v>
      </c>
      <c r="V808" s="56">
        <f>(1000*CHOOSE(CONTROL!$C$42, 500, 500)*CHOOSE(CONTROL!$C$42, 0.275, 0.275)*CHOOSE(CONTROL!$C$42, 30, 30))/1000000</f>
        <v>4.125</v>
      </c>
      <c r="W808" s="56">
        <f>(1000*CHOOSE(CONTROL!$C$42, 0.1146, 0.1146)*CHOOSE(CONTROL!$C$42, 121.5, 121.5)*CHOOSE(CONTROL!$C$42, 30, 30))/1000000</f>
        <v>0.417717</v>
      </c>
      <c r="X808" s="56">
        <f>(30*0.1790888*245000/1000000)+(30*0.2374*100000/1000000)</f>
        <v>2.0285026799999999</v>
      </c>
      <c r="Y808" s="56"/>
      <c r="Z808" s="14"/>
      <c r="AA808" s="55"/>
      <c r="AB808" s="49">
        <f>(B808*141.293+C808*267.993+D808*115.016+E808*89.698+F808*40+G808*185+H808*0+I808*100+J808*300)/(141.293+267.993+115.016+89.698+0+40+185+100+300)</f>
        <v>70.439844004761909</v>
      </c>
      <c r="AC808" s="44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69.088508633093525</v>
      </c>
    </row>
    <row r="809" spans="1:29" ht="15.75" x14ac:dyDescent="0.25">
      <c r="A809" s="31">
        <v>65531</v>
      </c>
      <c r="B809" s="14">
        <f>CHOOSE(CONTROL!$C$42, 70.9877, 70.9877) * CHOOSE(CONTROL!$C$21, $C$9, 100%, $E$9)</f>
        <v>70.987700000000004</v>
      </c>
      <c r="C809" s="14">
        <f>CHOOSE(CONTROL!$C$42, 70.9957, 70.9957) * CHOOSE(CONTROL!$C$21, $C$9, 100%, $E$9)</f>
        <v>70.995699999999999</v>
      </c>
      <c r="D809" s="14">
        <f>CHOOSE(CONTROL!$C$42, 71.2215, 71.2215) * CHOOSE(CONTROL!$C$21, $C$9, 100%, $E$9)</f>
        <v>71.221500000000006</v>
      </c>
      <c r="E809" s="14">
        <f>CHOOSE(CONTROL!$C$42, 71.253, 71.253) * CHOOSE(CONTROL!$C$21, $C$9, 100%, $E$9)</f>
        <v>71.253</v>
      </c>
      <c r="F809" s="14">
        <f>CHOOSE(CONTROL!$C$42, 71.0133, 71.0133)*CHOOSE(CONTROL!$C$21, $C$9, 100%, $E$9)</f>
        <v>71.013300000000001</v>
      </c>
      <c r="G809" s="14">
        <f>CHOOSE(CONTROL!$C$42, 71.0303, 71.0303)*CHOOSE(CONTROL!$C$21, $C$9, 100%, $E$9)</f>
        <v>71.030299999999997</v>
      </c>
      <c r="H809" s="14">
        <f>CHOOSE(CONTROL!$C$42, 71.2416, 71.2416) * CHOOSE(CONTROL!$C$21, $C$9, 100%, $E$9)</f>
        <v>71.241600000000005</v>
      </c>
      <c r="I809" s="14">
        <f>CHOOSE(CONTROL!$C$42, 71.2415, 71.2415)* CHOOSE(CONTROL!$C$21, $C$9, 100%, $E$9)</f>
        <v>71.241500000000002</v>
      </c>
      <c r="J809" s="14">
        <f>CHOOSE(CONTROL!$C$42, 71.0063, 71.0063)* CHOOSE(CONTROL!$C$21, $C$9, 100%, $E$9)</f>
        <v>71.006299999999996</v>
      </c>
      <c r="K809" s="52">
        <f>CHOOSE(CONTROL!$C$42, 71.2376, 71.2376) * CHOOSE(CONTROL!$C$21, $C$9, 100%, $E$9)</f>
        <v>71.2376</v>
      </c>
      <c r="L809" s="14">
        <f>CHOOSE(CONTROL!$C$42, 71.8286, 71.8286) * CHOOSE(CONTROL!$C$21, $C$9, 100%, $E$9)</f>
        <v>71.828599999999994</v>
      </c>
      <c r="M809" s="14">
        <f>CHOOSE(CONTROL!$C$42, 69.5592, 69.5592) * CHOOSE(CONTROL!$C$21, $C$9, 100%, $E$9)</f>
        <v>69.559200000000004</v>
      </c>
      <c r="N809" s="14">
        <f>CHOOSE(CONTROL!$C$42, 69.5758, 69.5758) * CHOOSE(CONTROL!$C$21, $C$9, 100%, $E$9)</f>
        <v>69.575800000000001</v>
      </c>
      <c r="O809" s="14">
        <f>CHOOSE(CONTROL!$C$42, 69.7896, 69.7896) * CHOOSE(CONTROL!$C$21, $C$9, 100%, $E$9)</f>
        <v>69.789599999999993</v>
      </c>
      <c r="P809" s="14">
        <f>CHOOSE(CONTROL!$C$42, 69.7851, 69.7851) * CHOOSE(CONTROL!$C$21, $C$9, 100%, $E$9)</f>
        <v>69.7851</v>
      </c>
      <c r="Q809" s="14">
        <f>CHOOSE(CONTROL!$C$42, 70.3843, 70.3843) * CHOOSE(CONTROL!$C$21, $C$9, 100%, $E$9)</f>
        <v>70.384299999999996</v>
      </c>
      <c r="R809" s="14">
        <f>CHOOSE(CONTROL!$C$42, 71.1472, 71.1472) * CHOOSE(CONTROL!$C$21, $C$9, 100%, $E$9)</f>
        <v>71.147199999999998</v>
      </c>
      <c r="S809" s="14">
        <f>CHOOSE(CONTROL!$C$42, 68.2014, 68.2014) * CHOOSE(CONTROL!$C$21, $C$9, 100%, $E$9)</f>
        <v>68.201400000000007</v>
      </c>
      <c r="T80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56">
        <f>(1000*CHOOSE(CONTROL!$C$42, 695, 695)*CHOOSE(CONTROL!$C$42, 0.5599, 0.5599)*CHOOSE(CONTROL!$C$42, 31, 31))/1000000</f>
        <v>12.063045499999998</v>
      </c>
      <c r="V809" s="56">
        <f>(1000*CHOOSE(CONTROL!$C$42, 500, 500)*CHOOSE(CONTROL!$C$42, 0.275, 0.275)*CHOOSE(CONTROL!$C$42, 31, 31))/1000000</f>
        <v>4.2625000000000002</v>
      </c>
      <c r="W809" s="56">
        <f>(1000*CHOOSE(CONTROL!$C$42, 0.1146, 0.1146)*CHOOSE(CONTROL!$C$42, 121.5, 121.5)*CHOOSE(CONTROL!$C$42, 31, 31))/1000000</f>
        <v>0.43164089999999994</v>
      </c>
      <c r="X809" s="56">
        <f>(31*0.1790888*245000/1000000)+(31*0.2374*100000/1000000)</f>
        <v>2.0961194359999999</v>
      </c>
      <c r="Y809" s="56"/>
      <c r="Z809" s="14"/>
      <c r="AA809" s="55"/>
      <c r="AB809" s="49">
        <f>(B809*194.205+C809*267.466+D809*133.845+E809*53.484+F809*40+G809*185+H809*0+I809*100+J809*300)/(194.205+267.466+133.845+53.484+0+40+185+100+300)</f>
        <v>71.056371110047095</v>
      </c>
      <c r="AC809" s="44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69.697084892086338</v>
      </c>
    </row>
    <row r="810" spans="1:29" ht="15.75" x14ac:dyDescent="0.25">
      <c r="A810" s="31">
        <v>65561</v>
      </c>
      <c r="B810" s="14">
        <f>CHOOSE(CONTROL!$C$42, 73.001, 73.001) * CHOOSE(CONTROL!$C$21, $C$9, 100%, $E$9)</f>
        <v>73.001000000000005</v>
      </c>
      <c r="C810" s="14">
        <f>CHOOSE(CONTROL!$C$42, 73.009, 73.009) * CHOOSE(CONTROL!$C$21, $C$9, 100%, $E$9)</f>
        <v>73.009</v>
      </c>
      <c r="D810" s="14">
        <f>CHOOSE(CONTROL!$C$42, 73.2348, 73.2348) * CHOOSE(CONTROL!$C$21, $C$9, 100%, $E$9)</f>
        <v>73.234800000000007</v>
      </c>
      <c r="E810" s="14">
        <f>CHOOSE(CONTROL!$C$42, 73.2663, 73.2663) * CHOOSE(CONTROL!$C$21, $C$9, 100%, $E$9)</f>
        <v>73.266300000000001</v>
      </c>
      <c r="F810" s="14">
        <f>CHOOSE(CONTROL!$C$42, 73.0271, 73.0271)*CHOOSE(CONTROL!$C$21, $C$9, 100%, $E$9)</f>
        <v>73.027100000000004</v>
      </c>
      <c r="G810" s="14">
        <f>CHOOSE(CONTROL!$C$42, 73.0442, 73.0442)*CHOOSE(CONTROL!$C$21, $C$9, 100%, $E$9)</f>
        <v>73.044200000000004</v>
      </c>
      <c r="H810" s="14">
        <f>CHOOSE(CONTROL!$C$42, 73.2549, 73.2549) * CHOOSE(CONTROL!$C$21, $C$9, 100%, $E$9)</f>
        <v>73.254900000000006</v>
      </c>
      <c r="I810" s="14">
        <f>CHOOSE(CONTROL!$C$42, 73.2612, 73.2612)* CHOOSE(CONTROL!$C$21, $C$9, 100%, $E$9)</f>
        <v>73.261200000000002</v>
      </c>
      <c r="J810" s="14">
        <f>CHOOSE(CONTROL!$C$42, 73.0201, 73.0201)* CHOOSE(CONTROL!$C$21, $C$9, 100%, $E$9)</f>
        <v>73.020099999999999</v>
      </c>
      <c r="K810" s="52">
        <f>CHOOSE(CONTROL!$C$42, 73.2573, 73.2573) * CHOOSE(CONTROL!$C$21, $C$9, 100%, $E$9)</f>
        <v>73.257300000000001</v>
      </c>
      <c r="L810" s="14">
        <f>CHOOSE(CONTROL!$C$42, 73.8419, 73.8419) * CHOOSE(CONTROL!$C$21, $C$9, 100%, $E$9)</f>
        <v>73.841899999999995</v>
      </c>
      <c r="M810" s="14">
        <f>CHOOSE(CONTROL!$C$42, 71.5317, 71.5317) * CHOOSE(CONTROL!$C$21, $C$9, 100%, $E$9)</f>
        <v>71.531700000000001</v>
      </c>
      <c r="N810" s="14">
        <f>CHOOSE(CONTROL!$C$42, 71.5484, 71.5484) * CHOOSE(CONTROL!$C$21, $C$9, 100%, $E$9)</f>
        <v>71.548400000000001</v>
      </c>
      <c r="O810" s="14">
        <f>CHOOSE(CONTROL!$C$42, 71.7617, 71.7617) * CHOOSE(CONTROL!$C$21, $C$9, 100%, $E$9)</f>
        <v>71.761700000000005</v>
      </c>
      <c r="P810" s="14">
        <f>CHOOSE(CONTROL!$C$42, 71.7633, 71.7633) * CHOOSE(CONTROL!$C$21, $C$9, 100%, $E$9)</f>
        <v>71.763300000000001</v>
      </c>
      <c r="Q810" s="14">
        <f>CHOOSE(CONTROL!$C$42, 72.3564, 72.3564) * CHOOSE(CONTROL!$C$21, $C$9, 100%, $E$9)</f>
        <v>72.356399999999994</v>
      </c>
      <c r="R810" s="14">
        <f>CHOOSE(CONTROL!$C$42, 73.1243, 73.1243) * CHOOSE(CONTROL!$C$21, $C$9, 100%, $E$9)</f>
        <v>73.124300000000005</v>
      </c>
      <c r="S810" s="14">
        <f>CHOOSE(CONTROL!$C$42, 70.136, 70.136) * CHOOSE(CONTROL!$C$21, $C$9, 100%, $E$9)</f>
        <v>70.135999999999996</v>
      </c>
      <c r="T81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56">
        <f>(1000*CHOOSE(CONTROL!$C$42, 695, 695)*CHOOSE(CONTROL!$C$42, 0.5599, 0.5599)*CHOOSE(CONTROL!$C$42, 30, 30))/1000000</f>
        <v>11.673914999999997</v>
      </c>
      <c r="V810" s="56">
        <f>(1000*CHOOSE(CONTROL!$C$42, 500, 500)*CHOOSE(CONTROL!$C$42, 0.275, 0.275)*CHOOSE(CONTROL!$C$42, 30, 30))/1000000</f>
        <v>4.125</v>
      </c>
      <c r="W810" s="56">
        <f>(1000*CHOOSE(CONTROL!$C$42, 0.1146, 0.1146)*CHOOSE(CONTROL!$C$42, 121.5, 121.5)*CHOOSE(CONTROL!$C$42, 30, 30))/1000000</f>
        <v>0.417717</v>
      </c>
      <c r="X810" s="56">
        <f>(30*0.1790888*245000/1000000)+(30*0.2374*100000/1000000)</f>
        <v>2.0285026799999999</v>
      </c>
      <c r="Y810" s="56"/>
      <c r="Z810" s="14"/>
      <c r="AA810" s="55"/>
      <c r="AB810" s="49">
        <f>(B810*194.205+C810*267.466+D810*133.845+E810*53.484+F810*40+G810*185+H810*0+I810*100+J810*300)/(194.205+267.466+133.845+53.484+0+40+185+100+300)</f>
        <v>73.0703940299843</v>
      </c>
      <c r="AC810" s="44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71.670229496402882</v>
      </c>
    </row>
    <row r="811" spans="1:29" ht="15.75" x14ac:dyDescent="0.25">
      <c r="A811" s="31">
        <v>65592</v>
      </c>
      <c r="B811" s="14">
        <f>CHOOSE(CONTROL!$C$42, 71.6007, 71.6007) * CHOOSE(CONTROL!$C$21, $C$9, 100%, $E$9)</f>
        <v>71.600700000000003</v>
      </c>
      <c r="C811" s="14">
        <f>CHOOSE(CONTROL!$C$42, 71.6087, 71.6087) * CHOOSE(CONTROL!$C$21, $C$9, 100%, $E$9)</f>
        <v>71.608699999999999</v>
      </c>
      <c r="D811" s="14">
        <f>CHOOSE(CONTROL!$C$42, 71.8345, 71.8345) * CHOOSE(CONTROL!$C$21, $C$9, 100%, $E$9)</f>
        <v>71.834500000000006</v>
      </c>
      <c r="E811" s="14">
        <f>CHOOSE(CONTROL!$C$42, 71.866, 71.866) * CHOOSE(CONTROL!$C$21, $C$9, 100%, $E$9)</f>
        <v>71.866</v>
      </c>
      <c r="F811" s="14">
        <f>CHOOSE(CONTROL!$C$42, 71.6273, 71.6273)*CHOOSE(CONTROL!$C$21, $C$9, 100%, $E$9)</f>
        <v>71.627300000000005</v>
      </c>
      <c r="G811" s="14">
        <f>CHOOSE(CONTROL!$C$42, 71.6445, 71.6445)*CHOOSE(CONTROL!$C$21, $C$9, 100%, $E$9)</f>
        <v>71.644499999999994</v>
      </c>
      <c r="H811" s="14">
        <f>CHOOSE(CONTROL!$C$42, 71.8546, 71.8546) * CHOOSE(CONTROL!$C$21, $C$9, 100%, $E$9)</f>
        <v>71.854600000000005</v>
      </c>
      <c r="I811" s="14">
        <f>CHOOSE(CONTROL!$C$42, 71.8565, 71.8565)* CHOOSE(CONTROL!$C$21, $C$9, 100%, $E$9)</f>
        <v>71.856499999999997</v>
      </c>
      <c r="J811" s="14">
        <f>CHOOSE(CONTROL!$C$42, 71.6203, 71.6203)* CHOOSE(CONTROL!$C$21, $C$9, 100%, $E$9)</f>
        <v>71.6203</v>
      </c>
      <c r="K811" s="52">
        <f>CHOOSE(CONTROL!$C$42, 71.8526, 71.8526) * CHOOSE(CONTROL!$C$21, $C$9, 100%, $E$9)</f>
        <v>71.852599999999995</v>
      </c>
      <c r="L811" s="14">
        <f>CHOOSE(CONTROL!$C$42, 72.4416, 72.4416) * CHOOSE(CONTROL!$C$21, $C$9, 100%, $E$9)</f>
        <v>72.441599999999994</v>
      </c>
      <c r="M811" s="14">
        <f>CHOOSE(CONTROL!$C$42, 70.1605, 70.1605) * CHOOSE(CONTROL!$C$21, $C$9, 100%, $E$9)</f>
        <v>70.160499999999999</v>
      </c>
      <c r="N811" s="14">
        <f>CHOOSE(CONTROL!$C$42, 70.1774, 70.1774) * CHOOSE(CONTROL!$C$21, $C$9, 100%, $E$9)</f>
        <v>70.177400000000006</v>
      </c>
      <c r="O811" s="14">
        <f>CHOOSE(CONTROL!$C$42, 70.3901, 70.3901) * CHOOSE(CONTROL!$C$21, $C$9, 100%, $E$9)</f>
        <v>70.390100000000004</v>
      </c>
      <c r="P811" s="14">
        <f>CHOOSE(CONTROL!$C$42, 70.3875, 70.3875) * CHOOSE(CONTROL!$C$21, $C$9, 100%, $E$9)</f>
        <v>70.387500000000003</v>
      </c>
      <c r="Q811" s="14">
        <f>CHOOSE(CONTROL!$C$42, 70.9848, 70.9848) * CHOOSE(CONTROL!$C$21, $C$9, 100%, $E$9)</f>
        <v>70.984800000000007</v>
      </c>
      <c r="R811" s="14">
        <f>CHOOSE(CONTROL!$C$42, 71.7492, 71.7492) * CHOOSE(CONTROL!$C$21, $C$9, 100%, $E$9)</f>
        <v>71.749200000000002</v>
      </c>
      <c r="S811" s="14">
        <f>CHOOSE(CONTROL!$C$42, 68.7905, 68.7905) * CHOOSE(CONTROL!$C$21, $C$9, 100%, $E$9)</f>
        <v>68.790499999999994</v>
      </c>
      <c r="T81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56">
        <f>(1000*CHOOSE(CONTROL!$C$42, 695, 695)*CHOOSE(CONTROL!$C$42, 0.5599, 0.5599)*CHOOSE(CONTROL!$C$42, 31, 31))/1000000</f>
        <v>12.063045499999998</v>
      </c>
      <c r="V811" s="56">
        <f>(1000*CHOOSE(CONTROL!$C$42, 500, 500)*CHOOSE(CONTROL!$C$42, 0.275, 0.275)*CHOOSE(CONTROL!$C$42, 31, 31))/1000000</f>
        <v>4.2625000000000002</v>
      </c>
      <c r="W811" s="56">
        <f>(1000*CHOOSE(CONTROL!$C$42, 0.1146, 0.1146)*CHOOSE(CONTROL!$C$42, 121.5, 121.5)*CHOOSE(CONTROL!$C$42, 31, 31))/1000000</f>
        <v>0.43164089999999994</v>
      </c>
      <c r="X811" s="56">
        <f>(31*0.1790888*245000/1000000)+(31*0.2374*100000/1000000)</f>
        <v>2.0961194359999999</v>
      </c>
      <c r="Y811" s="56"/>
      <c r="Z811" s="14"/>
      <c r="AA811" s="55"/>
      <c r="AB811" s="49">
        <f>(B811*194.205+C811*267.466+D811*133.845+E811*53.484+F811*40+G811*185+H811*0+I811*100+J811*300)/(194.205+267.466+133.845+53.484+0+40+185+100+300)</f>
        <v>71.669969226216637</v>
      </c>
      <c r="AC811" s="44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70.298197841726619</v>
      </c>
    </row>
    <row r="812" spans="1:29" ht="15.75" x14ac:dyDescent="0.25">
      <c r="A812" s="31">
        <v>65623</v>
      </c>
      <c r="B812" s="14">
        <f>CHOOSE(CONTROL!$C$42, 68.0646, 68.0646) * CHOOSE(CONTROL!$C$21, $C$9, 100%, $E$9)</f>
        <v>68.064599999999999</v>
      </c>
      <c r="C812" s="14">
        <f>CHOOSE(CONTROL!$C$42, 68.0726, 68.0726) * CHOOSE(CONTROL!$C$21, $C$9, 100%, $E$9)</f>
        <v>68.072599999999994</v>
      </c>
      <c r="D812" s="14">
        <f>CHOOSE(CONTROL!$C$42, 68.2984, 68.2984) * CHOOSE(CONTROL!$C$21, $C$9, 100%, $E$9)</f>
        <v>68.298400000000001</v>
      </c>
      <c r="E812" s="14">
        <f>CHOOSE(CONTROL!$C$42, 68.3298, 68.3298) * CHOOSE(CONTROL!$C$21, $C$9, 100%, $E$9)</f>
        <v>68.329800000000006</v>
      </c>
      <c r="F812" s="14">
        <f>CHOOSE(CONTROL!$C$42, 68.0914, 68.0914)*CHOOSE(CONTROL!$C$21, $C$9, 100%, $E$9)</f>
        <v>68.091399999999993</v>
      </c>
      <c r="G812" s="14">
        <f>CHOOSE(CONTROL!$C$42, 68.1086, 68.1086)*CHOOSE(CONTROL!$C$21, $C$9, 100%, $E$9)</f>
        <v>68.108599999999996</v>
      </c>
      <c r="H812" s="14">
        <f>CHOOSE(CONTROL!$C$42, 68.3185, 68.3185) * CHOOSE(CONTROL!$C$21, $C$9, 100%, $E$9)</f>
        <v>68.3185</v>
      </c>
      <c r="I812" s="14">
        <f>CHOOSE(CONTROL!$C$42, 68.3093, 68.3093)* CHOOSE(CONTROL!$C$21, $C$9, 100%, $E$9)</f>
        <v>68.309299999999993</v>
      </c>
      <c r="J812" s="14">
        <f>CHOOSE(CONTROL!$C$42, 68.0844, 68.0844)* CHOOSE(CONTROL!$C$21, $C$9, 100%, $E$9)</f>
        <v>68.084400000000002</v>
      </c>
      <c r="K812" s="52">
        <f>CHOOSE(CONTROL!$C$42, 68.3054, 68.3054) * CHOOSE(CONTROL!$C$21, $C$9, 100%, $E$9)</f>
        <v>68.305400000000006</v>
      </c>
      <c r="L812" s="14">
        <f>CHOOSE(CONTROL!$C$42, 68.9055, 68.9055) * CHOOSE(CONTROL!$C$21, $C$9, 100%, $E$9)</f>
        <v>68.905500000000004</v>
      </c>
      <c r="M812" s="14">
        <f>CHOOSE(CONTROL!$C$42, 66.6971, 66.6971) * CHOOSE(CONTROL!$C$21, $C$9, 100%, $E$9)</f>
        <v>66.697100000000006</v>
      </c>
      <c r="N812" s="14">
        <f>CHOOSE(CONTROL!$C$42, 66.714, 66.714) * CHOOSE(CONTROL!$C$21, $C$9, 100%, $E$9)</f>
        <v>66.713999999999999</v>
      </c>
      <c r="O812" s="14">
        <f>CHOOSE(CONTROL!$C$42, 66.9264, 66.9264) * CHOOSE(CONTROL!$C$21, $C$9, 100%, $E$9)</f>
        <v>66.926400000000001</v>
      </c>
      <c r="P812" s="14">
        <f>CHOOSE(CONTROL!$C$42, 66.9131, 66.9131) * CHOOSE(CONTROL!$C$21, $C$9, 100%, $E$9)</f>
        <v>66.9131</v>
      </c>
      <c r="Q812" s="14">
        <f>CHOOSE(CONTROL!$C$42, 67.5211, 67.5211) * CHOOSE(CONTROL!$C$21, $C$9, 100%, $E$9)</f>
        <v>67.521100000000004</v>
      </c>
      <c r="R812" s="14">
        <f>CHOOSE(CONTROL!$C$42, 68.2769, 68.2769) * CHOOSE(CONTROL!$C$21, $C$9, 100%, $E$9)</f>
        <v>68.276899999999998</v>
      </c>
      <c r="S812" s="14">
        <f>CHOOSE(CONTROL!$C$42, 65.3926, 65.3926) * CHOOSE(CONTROL!$C$21, $C$9, 100%, $E$9)</f>
        <v>65.392600000000002</v>
      </c>
      <c r="T81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56">
        <f>(1000*CHOOSE(CONTROL!$C$42, 695, 695)*CHOOSE(CONTROL!$C$42, 0.5599, 0.5599)*CHOOSE(CONTROL!$C$42, 31, 31))/1000000</f>
        <v>12.063045499999998</v>
      </c>
      <c r="V812" s="56">
        <f>(1000*CHOOSE(CONTROL!$C$42, 500, 500)*CHOOSE(CONTROL!$C$42, 0.275, 0.275)*CHOOSE(CONTROL!$C$42, 31, 31))/1000000</f>
        <v>4.2625000000000002</v>
      </c>
      <c r="W812" s="56">
        <f>(1000*CHOOSE(CONTROL!$C$42, 0.1146, 0.1146)*CHOOSE(CONTROL!$C$42, 121.5, 121.5)*CHOOSE(CONTROL!$C$42, 31, 31))/1000000</f>
        <v>0.43164089999999994</v>
      </c>
      <c r="X812" s="56">
        <f>(31*0.1790888*245000/1000000)+(31*0.2374*100000/1000000)</f>
        <v>2.0961194359999999</v>
      </c>
      <c r="Y812" s="56"/>
      <c r="Z812" s="14"/>
      <c r="AA812" s="55"/>
      <c r="AB812" s="49">
        <f>(B812*194.205+C812*267.466+D812*133.845+E812*53.484+F812*40+G812*185+H812*0+I812*100+J812*300)/(194.205+267.466+133.845+53.484+0+40+185+100+300)</f>
        <v>68.133076174097326</v>
      </c>
      <c r="AC812" s="44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66.833079136690642</v>
      </c>
    </row>
    <row r="813" spans="1:29" ht="15.75" x14ac:dyDescent="0.25">
      <c r="A813" s="31">
        <v>65653</v>
      </c>
      <c r="B813" s="14">
        <f>CHOOSE(CONTROL!$C$42, 63.7438, 63.7438) * CHOOSE(CONTROL!$C$21, $C$9, 100%, $E$9)</f>
        <v>63.7438</v>
      </c>
      <c r="C813" s="14">
        <f>CHOOSE(CONTROL!$C$42, 63.7518, 63.7518) * CHOOSE(CONTROL!$C$21, $C$9, 100%, $E$9)</f>
        <v>63.751800000000003</v>
      </c>
      <c r="D813" s="14">
        <f>CHOOSE(CONTROL!$C$42, 63.9776, 63.9776) * CHOOSE(CONTROL!$C$21, $C$9, 100%, $E$9)</f>
        <v>63.977600000000002</v>
      </c>
      <c r="E813" s="14">
        <f>CHOOSE(CONTROL!$C$42, 64.0091, 64.0091) * CHOOSE(CONTROL!$C$21, $C$9, 100%, $E$9)</f>
        <v>64.009100000000004</v>
      </c>
      <c r="F813" s="14">
        <f>CHOOSE(CONTROL!$C$42, 63.7706, 63.7706)*CHOOSE(CONTROL!$C$21, $C$9, 100%, $E$9)</f>
        <v>63.770600000000002</v>
      </c>
      <c r="G813" s="14">
        <f>CHOOSE(CONTROL!$C$42, 63.7879, 63.7879)*CHOOSE(CONTROL!$C$21, $C$9, 100%, $E$9)</f>
        <v>63.7879</v>
      </c>
      <c r="H813" s="14">
        <f>CHOOSE(CONTROL!$C$42, 63.9977, 63.9977) * CHOOSE(CONTROL!$C$21, $C$9, 100%, $E$9)</f>
        <v>63.997700000000002</v>
      </c>
      <c r="I813" s="14">
        <f>CHOOSE(CONTROL!$C$42, 63.975, 63.975)* CHOOSE(CONTROL!$C$21, $C$9, 100%, $E$9)</f>
        <v>63.975000000000001</v>
      </c>
      <c r="J813" s="14">
        <f>CHOOSE(CONTROL!$C$42, 63.7636, 63.7636)* CHOOSE(CONTROL!$C$21, $C$9, 100%, $E$9)</f>
        <v>63.763599999999997</v>
      </c>
      <c r="K813" s="52">
        <f>CHOOSE(CONTROL!$C$42, 63.9711, 63.9711) * CHOOSE(CONTROL!$C$21, $C$9, 100%, $E$9)</f>
        <v>63.9711</v>
      </c>
      <c r="L813" s="14">
        <f>CHOOSE(CONTROL!$C$42, 64.5847, 64.5847) * CHOOSE(CONTROL!$C$21, $C$9, 100%, $E$9)</f>
        <v>64.584699999999998</v>
      </c>
      <c r="M813" s="14">
        <f>CHOOSE(CONTROL!$C$42, 62.4649, 62.4649) * CHOOSE(CONTROL!$C$21, $C$9, 100%, $E$9)</f>
        <v>62.4649</v>
      </c>
      <c r="N813" s="14">
        <f>CHOOSE(CONTROL!$C$42, 62.4818, 62.4818) * CHOOSE(CONTROL!$C$21, $C$9, 100%, $E$9)</f>
        <v>62.4818</v>
      </c>
      <c r="O813" s="14">
        <f>CHOOSE(CONTROL!$C$42, 62.6942, 62.6942) * CHOOSE(CONTROL!$C$21, $C$9, 100%, $E$9)</f>
        <v>62.694200000000002</v>
      </c>
      <c r="P813" s="14">
        <f>CHOOSE(CONTROL!$C$42, 62.6679, 62.6679) * CHOOSE(CONTROL!$C$21, $C$9, 100%, $E$9)</f>
        <v>62.667900000000003</v>
      </c>
      <c r="Q813" s="14">
        <f>CHOOSE(CONTROL!$C$42, 63.2889, 63.2889) * CHOOSE(CONTROL!$C$21, $C$9, 100%, $E$9)</f>
        <v>63.288899999999998</v>
      </c>
      <c r="R813" s="14">
        <f>CHOOSE(CONTROL!$C$42, 64.0341, 64.0341) * CHOOSE(CONTROL!$C$21, $C$9, 100%, $E$9)</f>
        <v>64.034099999999995</v>
      </c>
      <c r="S813" s="14">
        <f>CHOOSE(CONTROL!$C$42, 61.2408, 61.2408) * CHOOSE(CONTROL!$C$21, $C$9, 100%, $E$9)</f>
        <v>61.2408</v>
      </c>
      <c r="T81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56">
        <f>(1000*CHOOSE(CONTROL!$C$42, 695, 695)*CHOOSE(CONTROL!$C$42, 0.5599, 0.5599)*CHOOSE(CONTROL!$C$42, 30, 30))/1000000</f>
        <v>11.673914999999997</v>
      </c>
      <c r="V813" s="56">
        <f>(1000*CHOOSE(CONTROL!$C$42, 500, 500)*CHOOSE(CONTROL!$C$42, 0.275, 0.275)*CHOOSE(CONTROL!$C$42, 30, 30))/1000000</f>
        <v>4.125</v>
      </c>
      <c r="W813" s="56">
        <f>(1000*CHOOSE(CONTROL!$C$42, 0.1146, 0.1146)*CHOOSE(CONTROL!$C$42, 121.5, 121.5)*CHOOSE(CONTROL!$C$42, 30, 30))/1000000</f>
        <v>0.417717</v>
      </c>
      <c r="X813" s="56">
        <f>(30*0.1790888*245000/1000000)+(30*0.2374*100000/1000000)</f>
        <v>2.0285026799999999</v>
      </c>
      <c r="Y813" s="56"/>
      <c r="Z813" s="14"/>
      <c r="AA813" s="55"/>
      <c r="AB813" s="49">
        <f>(B813*194.205+C813*267.466+D813*133.845+E813*53.484+F813*40+G813*185+H813*0+I813*100+J813*300)/(194.205+267.466+133.845+53.484+0+40+185+100+300)</f>
        <v>63.811235238775517</v>
      </c>
      <c r="AC813" s="44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62.599008633093526</v>
      </c>
    </row>
    <row r="814" spans="1:29" ht="15.75" x14ac:dyDescent="0.25">
      <c r="A814" s="31">
        <v>65684</v>
      </c>
      <c r="B814" s="14">
        <f>CHOOSE(CONTROL!$C$42, 62.448, 62.448) * CHOOSE(CONTROL!$C$21, $C$9, 100%, $E$9)</f>
        <v>62.448</v>
      </c>
      <c r="C814" s="14">
        <f>CHOOSE(CONTROL!$C$42, 62.4534, 62.4534) * CHOOSE(CONTROL!$C$21, $C$9, 100%, $E$9)</f>
        <v>62.453400000000002</v>
      </c>
      <c r="D814" s="14">
        <f>CHOOSE(CONTROL!$C$42, 62.6841, 62.6841) * CHOOSE(CONTROL!$C$21, $C$9, 100%, $E$9)</f>
        <v>62.684100000000001</v>
      </c>
      <c r="E814" s="14">
        <f>CHOOSE(CONTROL!$C$42, 62.7132, 62.7132) * CHOOSE(CONTROL!$C$21, $C$9, 100%, $E$9)</f>
        <v>62.713200000000001</v>
      </c>
      <c r="F814" s="14">
        <f>CHOOSE(CONTROL!$C$42, 62.4769, 62.4769)*CHOOSE(CONTROL!$C$21, $C$9, 100%, $E$9)</f>
        <v>62.476900000000001</v>
      </c>
      <c r="G814" s="14">
        <f>CHOOSE(CONTROL!$C$42, 62.494, 62.494)*CHOOSE(CONTROL!$C$21, $C$9, 100%, $E$9)</f>
        <v>62.494</v>
      </c>
      <c r="H814" s="14">
        <f>CHOOSE(CONTROL!$C$42, 62.7037, 62.7037) * CHOOSE(CONTROL!$C$21, $C$9, 100%, $E$9)</f>
        <v>62.703699999999998</v>
      </c>
      <c r="I814" s="14">
        <f>CHOOSE(CONTROL!$C$42, 62.6769, 62.6769)* CHOOSE(CONTROL!$C$21, $C$9, 100%, $E$9)</f>
        <v>62.676900000000003</v>
      </c>
      <c r="J814" s="14">
        <f>CHOOSE(CONTROL!$C$42, 62.4699, 62.4699)* CHOOSE(CONTROL!$C$21, $C$9, 100%, $E$9)</f>
        <v>62.469900000000003</v>
      </c>
      <c r="K814" s="52">
        <f>CHOOSE(CONTROL!$C$42, 62.673, 62.673) * CHOOSE(CONTROL!$C$21, $C$9, 100%, $E$9)</f>
        <v>62.673000000000002</v>
      </c>
      <c r="L814" s="14">
        <f>CHOOSE(CONTROL!$C$42, 63.2907, 63.2907) * CHOOSE(CONTROL!$C$21, $C$9, 100%, $E$9)</f>
        <v>63.290700000000001</v>
      </c>
      <c r="M814" s="14">
        <f>CHOOSE(CONTROL!$C$42, 61.1976, 61.1976) * CHOOSE(CONTROL!$C$21, $C$9, 100%, $E$9)</f>
        <v>61.197600000000001</v>
      </c>
      <c r="N814" s="14">
        <f>CHOOSE(CONTROL!$C$42, 61.2144, 61.2144) * CHOOSE(CONTROL!$C$21, $C$9, 100%, $E$9)</f>
        <v>61.214399999999998</v>
      </c>
      <c r="O814" s="14">
        <f>CHOOSE(CONTROL!$C$42, 61.4267, 61.4267) * CHOOSE(CONTROL!$C$21, $C$9, 100%, $E$9)</f>
        <v>61.426699999999997</v>
      </c>
      <c r="P814" s="14">
        <f>CHOOSE(CONTROL!$C$42, 61.3966, 61.3966) * CHOOSE(CONTROL!$C$21, $C$9, 100%, $E$9)</f>
        <v>61.396599999999999</v>
      </c>
      <c r="Q814" s="14">
        <f>CHOOSE(CONTROL!$C$42, 62.0214, 62.0214) * CHOOSE(CONTROL!$C$21, $C$9, 100%, $E$9)</f>
        <v>62.0214</v>
      </c>
      <c r="R814" s="14">
        <f>CHOOSE(CONTROL!$C$42, 62.7634, 62.7634) * CHOOSE(CONTROL!$C$21, $C$9, 100%, $E$9)</f>
        <v>62.763399999999997</v>
      </c>
      <c r="S814" s="14">
        <f>CHOOSE(CONTROL!$C$42, 59.9974, 59.9974) * CHOOSE(CONTROL!$C$21, $C$9, 100%, $E$9)</f>
        <v>59.997399999999999</v>
      </c>
      <c r="T81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56">
        <f>(1000*CHOOSE(CONTROL!$C$42, 695, 695)*CHOOSE(CONTROL!$C$42, 0.5599, 0.5599)*CHOOSE(CONTROL!$C$42, 31, 31))/1000000</f>
        <v>12.063045499999998</v>
      </c>
      <c r="V814" s="56">
        <f>(1000*CHOOSE(CONTROL!$C$42, 500, 500)*CHOOSE(CONTROL!$C$42, 0.275, 0.275)*CHOOSE(CONTROL!$C$42, 31, 31))/1000000</f>
        <v>4.2625000000000002</v>
      </c>
      <c r="W814" s="56">
        <f>(1000*CHOOSE(CONTROL!$C$42, 0.1146, 0.1146)*CHOOSE(CONTROL!$C$42, 121.5, 121.5)*CHOOSE(CONTROL!$C$42, 31, 31))/1000000</f>
        <v>0.43164089999999994</v>
      </c>
      <c r="X814" s="56">
        <f>(31*0.1790888*245000/1000000)+(31*0.2374*100000/1000000)</f>
        <v>2.0961194359999999</v>
      </c>
      <c r="Y814" s="56"/>
      <c r="Z814" s="14"/>
      <c r="AA814" s="55"/>
      <c r="AB814" s="49">
        <f>(B814*131.881+C814*277.167+D814*79.08+E814*125.872+F814*40+G814*185+H814*0+I814*100+J814*300)/(131.881+277.167+79.08+125.872+0+40+185+100+300)</f>
        <v>62.52279801791768</v>
      </c>
      <c r="AC814" s="44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61.331036690647487</v>
      </c>
    </row>
    <row r="815" spans="1:29" ht="15.75" x14ac:dyDescent="0.25">
      <c r="A815" s="31">
        <v>65714</v>
      </c>
      <c r="B815" s="14">
        <f>CHOOSE(CONTROL!$C$42, 64.0925, 64.0925) * CHOOSE(CONTROL!$C$21, $C$9, 100%, $E$9)</f>
        <v>64.092500000000001</v>
      </c>
      <c r="C815" s="14">
        <f>CHOOSE(CONTROL!$C$42, 64.0976, 64.0976) * CHOOSE(CONTROL!$C$21, $C$9, 100%, $E$9)</f>
        <v>64.0976</v>
      </c>
      <c r="D815" s="14">
        <f>CHOOSE(CONTROL!$C$42, 64.1666, 64.1666) * CHOOSE(CONTROL!$C$21, $C$9, 100%, $E$9)</f>
        <v>64.166600000000003</v>
      </c>
      <c r="E815" s="14">
        <f>CHOOSE(CONTROL!$C$42, 64.2007, 64.2007) * CHOOSE(CONTROL!$C$21, $C$9, 100%, $E$9)</f>
        <v>64.200699999999998</v>
      </c>
      <c r="F815" s="14">
        <f>CHOOSE(CONTROL!$C$42, 64.1281, 64.1281)*CHOOSE(CONTROL!$C$21, $C$9, 100%, $E$9)</f>
        <v>64.128100000000003</v>
      </c>
      <c r="G815" s="14">
        <f>CHOOSE(CONTROL!$C$42, 64.1455, 64.1455)*CHOOSE(CONTROL!$C$21, $C$9, 100%, $E$9)</f>
        <v>64.145499999999998</v>
      </c>
      <c r="H815" s="14">
        <f>CHOOSE(CONTROL!$C$42, 64.1899, 64.1899) * CHOOSE(CONTROL!$C$21, $C$9, 100%, $E$9)</f>
        <v>64.189899999999994</v>
      </c>
      <c r="I815" s="14">
        <f>CHOOSE(CONTROL!$C$42, 64.3296, 64.3296)* CHOOSE(CONTROL!$C$21, $C$9, 100%, $E$9)</f>
        <v>64.329599999999999</v>
      </c>
      <c r="J815" s="14">
        <f>CHOOSE(CONTROL!$C$42, 64.1211, 64.1211)* CHOOSE(CONTROL!$C$21, $C$9, 100%, $E$9)</f>
        <v>64.121099999999998</v>
      </c>
      <c r="K815" s="52">
        <f>CHOOSE(CONTROL!$C$42, 64.3257, 64.3257) * CHOOSE(CONTROL!$C$21, $C$9, 100%, $E$9)</f>
        <v>64.325699999999998</v>
      </c>
      <c r="L815" s="14">
        <f>CHOOSE(CONTROL!$C$42, 64.7769, 64.7769) * CHOOSE(CONTROL!$C$21, $C$9, 100%, $E$9)</f>
        <v>64.776899999999998</v>
      </c>
      <c r="M815" s="14">
        <f>CHOOSE(CONTROL!$C$42, 62.815, 62.815) * CHOOSE(CONTROL!$C$21, $C$9, 100%, $E$9)</f>
        <v>62.814999999999998</v>
      </c>
      <c r="N815" s="14">
        <f>CHOOSE(CONTROL!$C$42, 62.8321, 62.8321) * CHOOSE(CONTROL!$C$21, $C$9, 100%, $E$9)</f>
        <v>62.832099999999997</v>
      </c>
      <c r="O815" s="14">
        <f>CHOOSE(CONTROL!$C$42, 62.8824, 62.8824) * CHOOSE(CONTROL!$C$21, $C$9, 100%, $E$9)</f>
        <v>62.882399999999997</v>
      </c>
      <c r="P815" s="14">
        <f>CHOOSE(CONTROL!$C$42, 63.0153, 63.0153) * CHOOSE(CONTROL!$C$21, $C$9, 100%, $E$9)</f>
        <v>63.015300000000003</v>
      </c>
      <c r="Q815" s="14">
        <f>CHOOSE(CONTROL!$C$42, 63.4771, 63.4771) * CHOOSE(CONTROL!$C$21, $C$9, 100%, $E$9)</f>
        <v>63.4771</v>
      </c>
      <c r="R815" s="14">
        <f>CHOOSE(CONTROL!$C$42, 64.2228, 64.2228) * CHOOSE(CONTROL!$C$21, $C$9, 100%, $E$9)</f>
        <v>64.222800000000007</v>
      </c>
      <c r="S815" s="14">
        <f>CHOOSE(CONTROL!$C$42, 61.578, 61.578) * CHOOSE(CONTROL!$C$21, $C$9, 100%, $E$9)</f>
        <v>61.578000000000003</v>
      </c>
      <c r="T81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56">
        <f>(1000*CHOOSE(CONTROL!$C$42, 695, 695)*CHOOSE(CONTROL!$C$42, 0.5599, 0.5599)*CHOOSE(CONTROL!$C$42, 30, 30))/1000000</f>
        <v>11.673914999999997</v>
      </c>
      <c r="V815" s="56">
        <f>(1000*CHOOSE(CONTROL!$C$42, 500, 500)*CHOOSE(CONTROL!$C$42, 0.275, 0.275)*CHOOSE(CONTROL!$C$42, 30, 30))/1000000</f>
        <v>4.125</v>
      </c>
      <c r="W815" s="56">
        <f>(1000*CHOOSE(CONTROL!$C$42, 0.1146, 0.1146)*CHOOSE(CONTROL!$C$42, 121.5, 121.5)*CHOOSE(CONTROL!$C$42, 30, 30))/1000000</f>
        <v>0.417717</v>
      </c>
      <c r="X815" s="56">
        <f>(30*0.1790888*100000/1000000)+(30*0.2374*100000/1000000)</f>
        <v>1.2494664</v>
      </c>
      <c r="Y815" s="56"/>
      <c r="Z815" s="14"/>
      <c r="AA815" s="55"/>
      <c r="AB815" s="49">
        <f>(B815*122.58+C815*297.941+D815*89.177+E815*40.302+F815*40+G815*160+H815*0+I815*100+J815*300)/(122.58+297.941+89.177+40.302+0+40+160+100+300)</f>
        <v>64.140049731478257</v>
      </c>
      <c r="AC815" s="44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62.875352517985604</v>
      </c>
    </row>
    <row r="816" spans="1:29" ht="15.75" x14ac:dyDescent="0.25">
      <c r="A816" s="31">
        <v>65745</v>
      </c>
      <c r="B816" s="14">
        <f>CHOOSE(CONTROL!$C$42, 68.4617, 68.4617) * CHOOSE(CONTROL!$C$21, $C$9, 100%, $E$9)</f>
        <v>68.461699999999993</v>
      </c>
      <c r="C816" s="14">
        <f>CHOOSE(CONTROL!$C$42, 68.4668, 68.4668) * CHOOSE(CONTROL!$C$21, $C$9, 100%, $E$9)</f>
        <v>68.466800000000006</v>
      </c>
      <c r="D816" s="14">
        <f>CHOOSE(CONTROL!$C$42, 68.5358, 68.5358) * CHOOSE(CONTROL!$C$21, $C$9, 100%, $E$9)</f>
        <v>68.535799999999995</v>
      </c>
      <c r="E816" s="14">
        <f>CHOOSE(CONTROL!$C$42, 68.5699, 68.5699) * CHOOSE(CONTROL!$C$21, $C$9, 100%, $E$9)</f>
        <v>68.569900000000004</v>
      </c>
      <c r="F816" s="14">
        <f>CHOOSE(CONTROL!$C$42, 68.4995, 68.4995)*CHOOSE(CONTROL!$C$21, $C$9, 100%, $E$9)</f>
        <v>68.499499999999998</v>
      </c>
      <c r="G816" s="14">
        <f>CHOOSE(CONTROL!$C$42, 68.5175, 68.5175)*CHOOSE(CONTROL!$C$21, $C$9, 100%, $E$9)</f>
        <v>68.517499999999998</v>
      </c>
      <c r="H816" s="14">
        <f>CHOOSE(CONTROL!$C$42, 68.5591, 68.5591) * CHOOSE(CONTROL!$C$21, $C$9, 100%, $E$9)</f>
        <v>68.559100000000001</v>
      </c>
      <c r="I816" s="14">
        <f>CHOOSE(CONTROL!$C$42, 68.7124, 68.7124)* CHOOSE(CONTROL!$C$21, $C$9, 100%, $E$9)</f>
        <v>68.712400000000002</v>
      </c>
      <c r="J816" s="14">
        <f>CHOOSE(CONTROL!$C$42, 68.4925, 68.4925)* CHOOSE(CONTROL!$C$21, $C$9, 100%, $E$9)</f>
        <v>68.492500000000007</v>
      </c>
      <c r="K816" s="52">
        <f>CHOOSE(CONTROL!$C$42, 68.7085, 68.7085) * CHOOSE(CONTROL!$C$21, $C$9, 100%, $E$9)</f>
        <v>68.708500000000001</v>
      </c>
      <c r="L816" s="14">
        <f>CHOOSE(CONTROL!$C$42, 69.1461, 69.1461) * CHOOSE(CONTROL!$C$21, $C$9, 100%, $E$9)</f>
        <v>69.146100000000004</v>
      </c>
      <c r="M816" s="14">
        <f>CHOOSE(CONTROL!$C$42, 67.0969, 67.0969) * CHOOSE(CONTROL!$C$21, $C$9, 100%, $E$9)</f>
        <v>67.096900000000005</v>
      </c>
      <c r="N816" s="14">
        <f>CHOOSE(CONTROL!$C$42, 67.1145, 67.1145) * CHOOSE(CONTROL!$C$21, $C$9, 100%, $E$9)</f>
        <v>67.114500000000007</v>
      </c>
      <c r="O816" s="14">
        <f>CHOOSE(CONTROL!$C$42, 67.162, 67.162) * CHOOSE(CONTROL!$C$21, $C$9, 100%, $E$9)</f>
        <v>67.162000000000006</v>
      </c>
      <c r="P816" s="14">
        <f>CHOOSE(CONTROL!$C$42, 67.308, 67.308) * CHOOSE(CONTROL!$C$21, $C$9, 100%, $E$9)</f>
        <v>67.308000000000007</v>
      </c>
      <c r="Q816" s="14">
        <f>CHOOSE(CONTROL!$C$42, 67.7567, 67.7567) * CHOOSE(CONTROL!$C$21, $C$9, 100%, $E$9)</f>
        <v>67.756699999999995</v>
      </c>
      <c r="R816" s="14">
        <f>CHOOSE(CONTROL!$C$42, 68.5131, 68.5131) * CHOOSE(CONTROL!$C$21, $C$9, 100%, $E$9)</f>
        <v>68.513099999999994</v>
      </c>
      <c r="S816" s="14">
        <f>CHOOSE(CONTROL!$C$42, 65.7763, 65.7763) * CHOOSE(CONTROL!$C$21, $C$9, 100%, $E$9)</f>
        <v>65.776300000000006</v>
      </c>
      <c r="T81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56">
        <f>(1000*CHOOSE(CONTROL!$C$42, 695, 695)*CHOOSE(CONTROL!$C$42, 0.5599, 0.5599)*CHOOSE(CONTROL!$C$42, 31, 31))/1000000</f>
        <v>12.063045499999998</v>
      </c>
      <c r="V816" s="56">
        <f>(1000*CHOOSE(CONTROL!$C$42, 500, 500)*CHOOSE(CONTROL!$C$42, 0.275, 0.275)*CHOOSE(CONTROL!$C$42, 31, 31))/1000000</f>
        <v>4.2625000000000002</v>
      </c>
      <c r="W816" s="56">
        <f>(1000*CHOOSE(CONTROL!$C$42, 0.1146, 0.1146)*CHOOSE(CONTROL!$C$42, 121.5, 121.5)*CHOOSE(CONTROL!$C$42, 31, 31))/1000000</f>
        <v>0.43164089999999994</v>
      </c>
      <c r="X816" s="56">
        <f>(31*0.1790888*100000/1000000)+(31*0.2374*100000/1000000)</f>
        <v>1.2911152800000001</v>
      </c>
      <c r="Y816" s="56"/>
      <c r="Z816" s="14"/>
      <c r="AA816" s="55"/>
      <c r="AB816" s="49">
        <f>(B816*122.58+C816*297.941+D816*89.177+E816*40.302+F816*40+G816*160+H816*0+I816*100+J816*300)/(122.58+297.941+89.177+40.302+0+40+160+100+300)</f>
        <v>68.51147234017391</v>
      </c>
      <c r="AC816" s="44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67.157792805755406</v>
      </c>
    </row>
    <row r="817" spans="1:29" ht="15.75" x14ac:dyDescent="0.25">
      <c r="A817" s="31">
        <v>65776</v>
      </c>
      <c r="B817" s="14">
        <f>CHOOSE(CONTROL!$C$42, 74.1364, 74.1364) * CHOOSE(CONTROL!$C$21, $C$9, 100%, $E$9)</f>
        <v>74.136399999999995</v>
      </c>
      <c r="C817" s="14">
        <f>CHOOSE(CONTROL!$C$42, 74.1415, 74.1415) * CHOOSE(CONTROL!$C$21, $C$9, 100%, $E$9)</f>
        <v>74.141499999999994</v>
      </c>
      <c r="D817" s="14">
        <f>CHOOSE(CONTROL!$C$42, 74.2209, 74.2209) * CHOOSE(CONTROL!$C$21, $C$9, 100%, $E$9)</f>
        <v>74.2209</v>
      </c>
      <c r="E817" s="14">
        <f>CHOOSE(CONTROL!$C$42, 74.255, 74.255) * CHOOSE(CONTROL!$C$21, $C$9, 100%, $E$9)</f>
        <v>74.254999999999995</v>
      </c>
      <c r="F817" s="14">
        <f>CHOOSE(CONTROL!$C$42, 74.1595, 74.1595)*CHOOSE(CONTROL!$C$21, $C$9, 100%, $E$9)</f>
        <v>74.159499999999994</v>
      </c>
      <c r="G817" s="14">
        <f>CHOOSE(CONTROL!$C$42, 74.177, 74.177)*CHOOSE(CONTROL!$C$21, $C$9, 100%, $E$9)</f>
        <v>74.177000000000007</v>
      </c>
      <c r="H817" s="14">
        <f>CHOOSE(CONTROL!$C$42, 74.2442, 74.2442) * CHOOSE(CONTROL!$C$21, $C$9, 100%, $E$9)</f>
        <v>74.244200000000006</v>
      </c>
      <c r="I817" s="14">
        <f>CHOOSE(CONTROL!$C$42, 74.4039, 74.4039)* CHOOSE(CONTROL!$C$21, $C$9, 100%, $E$9)</f>
        <v>74.403899999999993</v>
      </c>
      <c r="J817" s="14">
        <f>CHOOSE(CONTROL!$C$42, 74.1525, 74.1525)* CHOOSE(CONTROL!$C$21, $C$9, 100%, $E$9)</f>
        <v>74.152500000000003</v>
      </c>
      <c r="K817" s="52">
        <f>CHOOSE(CONTROL!$C$42, 74.4, 74.4) * CHOOSE(CONTROL!$C$21, $C$9, 100%, $E$9)</f>
        <v>74.400000000000006</v>
      </c>
      <c r="L817" s="14">
        <f>CHOOSE(CONTROL!$C$42, 74.8312, 74.8312) * CHOOSE(CONTROL!$C$21, $C$9, 100%, $E$9)</f>
        <v>74.831199999999995</v>
      </c>
      <c r="M817" s="14">
        <f>CHOOSE(CONTROL!$C$42, 72.6408, 72.6408) * CHOOSE(CONTROL!$C$21, $C$9, 100%, $E$9)</f>
        <v>72.640799999999999</v>
      </c>
      <c r="N817" s="14">
        <f>CHOOSE(CONTROL!$C$42, 72.658, 72.658) * CHOOSE(CONTROL!$C$21, $C$9, 100%, $E$9)</f>
        <v>72.658000000000001</v>
      </c>
      <c r="O817" s="14">
        <f>CHOOSE(CONTROL!$C$42, 72.7307, 72.7307) * CHOOSE(CONTROL!$C$21, $C$9, 100%, $E$9)</f>
        <v>72.730699999999999</v>
      </c>
      <c r="P817" s="14">
        <f>CHOOSE(CONTROL!$C$42, 72.8825, 72.8825) * CHOOSE(CONTROL!$C$21, $C$9, 100%, $E$9)</f>
        <v>72.882499999999993</v>
      </c>
      <c r="Q817" s="14">
        <f>CHOOSE(CONTROL!$C$42, 73.3254, 73.3254) * CHOOSE(CONTROL!$C$21, $C$9, 100%, $E$9)</f>
        <v>73.325400000000002</v>
      </c>
      <c r="R817" s="14">
        <f>CHOOSE(CONTROL!$C$42, 74.0957, 74.0957) * CHOOSE(CONTROL!$C$21, $C$9, 100%, $E$9)</f>
        <v>74.095699999999994</v>
      </c>
      <c r="S817" s="14">
        <f>CHOOSE(CONTROL!$C$42, 71.2292, 71.2292) * CHOOSE(CONTROL!$C$21, $C$9, 100%, $E$9)</f>
        <v>71.229200000000006</v>
      </c>
      <c r="T81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56">
        <f>(1000*CHOOSE(CONTROL!$C$42, 695, 695)*CHOOSE(CONTROL!$C$42, 0.5599, 0.5599)*CHOOSE(CONTROL!$C$42, 31, 31))/1000000</f>
        <v>12.063045499999998</v>
      </c>
      <c r="V817" s="56">
        <f>(1000*CHOOSE(CONTROL!$C$42, 500, 500)*CHOOSE(CONTROL!$C$42, 0.275, 0.275)*CHOOSE(CONTROL!$C$42, 31, 31))/1000000</f>
        <v>4.2625000000000002</v>
      </c>
      <c r="W817" s="56">
        <f>(1000*CHOOSE(CONTROL!$C$42, 0.1146, 0.1146)*CHOOSE(CONTROL!$C$42, 121.5, 121.5)*CHOOSE(CONTROL!$C$42, 31, 31))/1000000</f>
        <v>0.43164089999999994</v>
      </c>
      <c r="X817" s="56">
        <f>(31*0.1790888*100000/1000000)+(31*0.2374*100000/1000000)</f>
        <v>1.2911152800000001</v>
      </c>
      <c r="Y817" s="56"/>
      <c r="Z817" s="14"/>
      <c r="AA817" s="55"/>
      <c r="AB817" s="49">
        <f>(B817*122.58+C817*297.941+D817*89.177+E817*40.302+F817*40+G817*160+H817*0+I817*100+J817*300)/(122.58+297.941+89.177+40.302+0+40+160+100+300)</f>
        <v>74.182343280695648</v>
      </c>
      <c r="AC817" s="44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72.717312949640288</v>
      </c>
    </row>
    <row r="818" spans="1:29" ht="15.75" x14ac:dyDescent="0.25">
      <c r="A818" s="31">
        <v>65805</v>
      </c>
      <c r="B818" s="14">
        <f>CHOOSE(CONTROL!$C$42, 75.456, 75.456) * CHOOSE(CONTROL!$C$21, $C$9, 100%, $E$9)</f>
        <v>75.456000000000003</v>
      </c>
      <c r="C818" s="14">
        <f>CHOOSE(CONTROL!$C$42, 75.4611, 75.4611) * CHOOSE(CONTROL!$C$21, $C$9, 100%, $E$9)</f>
        <v>75.461100000000002</v>
      </c>
      <c r="D818" s="14">
        <f>CHOOSE(CONTROL!$C$42, 75.5405, 75.5405) * CHOOSE(CONTROL!$C$21, $C$9, 100%, $E$9)</f>
        <v>75.540499999999994</v>
      </c>
      <c r="E818" s="14">
        <f>CHOOSE(CONTROL!$C$42, 75.5746, 75.5746) * CHOOSE(CONTROL!$C$21, $C$9, 100%, $E$9)</f>
        <v>75.574600000000004</v>
      </c>
      <c r="F818" s="14">
        <f>CHOOSE(CONTROL!$C$42, 75.4788, 75.4788)*CHOOSE(CONTROL!$C$21, $C$9, 100%, $E$9)</f>
        <v>75.478800000000007</v>
      </c>
      <c r="G818" s="14">
        <f>CHOOSE(CONTROL!$C$42, 75.4962, 75.4962)*CHOOSE(CONTROL!$C$21, $C$9, 100%, $E$9)</f>
        <v>75.496200000000002</v>
      </c>
      <c r="H818" s="14">
        <f>CHOOSE(CONTROL!$C$42, 75.5638, 75.5638) * CHOOSE(CONTROL!$C$21, $C$9, 100%, $E$9)</f>
        <v>75.563800000000001</v>
      </c>
      <c r="I818" s="14">
        <f>CHOOSE(CONTROL!$C$42, 75.7276, 75.7276)* CHOOSE(CONTROL!$C$21, $C$9, 100%, $E$9)</f>
        <v>75.727599999999995</v>
      </c>
      <c r="J818" s="14">
        <f>CHOOSE(CONTROL!$C$42, 75.4718, 75.4718)* CHOOSE(CONTROL!$C$21, $C$9, 100%, $E$9)</f>
        <v>75.471800000000002</v>
      </c>
      <c r="K818" s="52">
        <f>CHOOSE(CONTROL!$C$42, 75.7237, 75.7237) * CHOOSE(CONTROL!$C$21, $C$9, 100%, $E$9)</f>
        <v>75.723699999999994</v>
      </c>
      <c r="L818" s="14">
        <f>CHOOSE(CONTROL!$C$42, 76.1508, 76.1508) * CHOOSE(CONTROL!$C$21, $C$9, 100%, $E$9)</f>
        <v>76.150800000000004</v>
      </c>
      <c r="M818" s="14">
        <f>CHOOSE(CONTROL!$C$42, 73.9331, 73.9331) * CHOOSE(CONTROL!$C$21, $C$9, 100%, $E$9)</f>
        <v>73.933099999999996</v>
      </c>
      <c r="N818" s="14">
        <f>CHOOSE(CONTROL!$C$42, 73.9502, 73.9502) * CHOOSE(CONTROL!$C$21, $C$9, 100%, $E$9)</f>
        <v>73.950199999999995</v>
      </c>
      <c r="O818" s="14">
        <f>CHOOSE(CONTROL!$C$42, 74.0232, 74.0232) * CHOOSE(CONTROL!$C$21, $C$9, 100%, $E$9)</f>
        <v>74.023200000000003</v>
      </c>
      <c r="P818" s="14">
        <f>CHOOSE(CONTROL!$C$42, 74.179, 74.179) * CHOOSE(CONTROL!$C$21, $C$9, 100%, $E$9)</f>
        <v>74.179000000000002</v>
      </c>
      <c r="Q818" s="14">
        <f>CHOOSE(CONTROL!$C$42, 74.6179, 74.6179) * CHOOSE(CONTROL!$C$21, $C$9, 100%, $E$9)</f>
        <v>74.617900000000006</v>
      </c>
      <c r="R818" s="14">
        <f>CHOOSE(CONTROL!$C$42, 75.3915, 75.3915) * CHOOSE(CONTROL!$C$21, $C$9, 100%, $E$9)</f>
        <v>75.391499999999994</v>
      </c>
      <c r="S818" s="14">
        <f>CHOOSE(CONTROL!$C$42, 72.4971, 72.4971) * CHOOSE(CONTROL!$C$21, $C$9, 100%, $E$9)</f>
        <v>72.497100000000003</v>
      </c>
      <c r="T818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18" s="56">
        <f>(1000*CHOOSE(CONTROL!$C$42, 695, 695)*CHOOSE(CONTROL!$C$42, 0.5599, 0.5599)*CHOOSE(CONTROL!$C$42, 29, 29))/1000000</f>
        <v>11.284784499999999</v>
      </c>
      <c r="V818" s="56">
        <f>(1000*CHOOSE(CONTROL!$C$42, 500, 500)*CHOOSE(CONTROL!$C$42, 0.275, 0.275)*CHOOSE(CONTROL!$C$42, 29, 29))/1000000</f>
        <v>3.9874999999999998</v>
      </c>
      <c r="W818" s="56">
        <f>(1000*CHOOSE(CONTROL!$C$42, 0.1146, 0.1146)*CHOOSE(CONTROL!$C$42, 121.5, 121.5)*CHOOSE(CONTROL!$C$42, 29, 29))/1000000</f>
        <v>0.40379309999999996</v>
      </c>
      <c r="X818" s="56">
        <f>(29*0.1790888*100000/1000000)+(29*0.2374*100000/1000000)</f>
        <v>1.2078175199999999</v>
      </c>
      <c r="Y818" s="56"/>
      <c r="Z818" s="14"/>
      <c r="AA818" s="55"/>
      <c r="AB818" s="49">
        <f>(B818*122.58+C818*297.941+D818*89.177+E818*40.302+F818*40+G818*160+H818*0+I818*100+J818*300)/(122.58+297.941+89.177+40.302+0+40+160+100+300)</f>
        <v>75.502155454608697</v>
      </c>
      <c r="AC818" s="44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74.010302158273376</v>
      </c>
    </row>
    <row r="819" spans="1:29" ht="15.75" x14ac:dyDescent="0.25">
      <c r="A819" s="31">
        <v>65836</v>
      </c>
      <c r="B819" s="14">
        <f>CHOOSE(CONTROL!$C$42, 73.314, 73.314) * CHOOSE(CONTROL!$C$21, $C$9, 100%, $E$9)</f>
        <v>73.313999999999993</v>
      </c>
      <c r="C819" s="14">
        <f>CHOOSE(CONTROL!$C$42, 73.3191, 73.3191) * CHOOSE(CONTROL!$C$21, $C$9, 100%, $E$9)</f>
        <v>73.319100000000006</v>
      </c>
      <c r="D819" s="14">
        <f>CHOOSE(CONTROL!$C$42, 73.3985, 73.3985) * CHOOSE(CONTROL!$C$21, $C$9, 100%, $E$9)</f>
        <v>73.398499999999999</v>
      </c>
      <c r="E819" s="14">
        <f>CHOOSE(CONTROL!$C$42, 73.4326, 73.4326) * CHOOSE(CONTROL!$C$21, $C$9, 100%, $E$9)</f>
        <v>73.432599999999994</v>
      </c>
      <c r="F819" s="14">
        <f>CHOOSE(CONTROL!$C$42, 73.3361, 73.3361)*CHOOSE(CONTROL!$C$21, $C$9, 100%, $E$9)</f>
        <v>73.336100000000002</v>
      </c>
      <c r="G819" s="14">
        <f>CHOOSE(CONTROL!$C$42, 73.3533, 73.3533)*CHOOSE(CONTROL!$C$21, $C$9, 100%, $E$9)</f>
        <v>73.353300000000004</v>
      </c>
      <c r="H819" s="14">
        <f>CHOOSE(CONTROL!$C$42, 73.4218, 73.4218) * CHOOSE(CONTROL!$C$21, $C$9, 100%, $E$9)</f>
        <v>73.421800000000005</v>
      </c>
      <c r="I819" s="14">
        <f>CHOOSE(CONTROL!$C$42, 73.5789, 73.5789)* CHOOSE(CONTROL!$C$21, $C$9, 100%, $E$9)</f>
        <v>73.578900000000004</v>
      </c>
      <c r="J819" s="14">
        <f>CHOOSE(CONTROL!$C$42, 73.3291, 73.3291)* CHOOSE(CONTROL!$C$21, $C$9, 100%, $E$9)</f>
        <v>73.329099999999997</v>
      </c>
      <c r="K819" s="52">
        <f>CHOOSE(CONTROL!$C$42, 73.575, 73.575) * CHOOSE(CONTROL!$C$21, $C$9, 100%, $E$9)</f>
        <v>73.575000000000003</v>
      </c>
      <c r="L819" s="14">
        <f>CHOOSE(CONTROL!$C$42, 74.0088, 74.0088) * CHOOSE(CONTROL!$C$21, $C$9, 100%, $E$9)</f>
        <v>74.008799999999994</v>
      </c>
      <c r="M819" s="14">
        <f>CHOOSE(CONTROL!$C$42, 71.8343, 71.8343) * CHOOSE(CONTROL!$C$21, $C$9, 100%, $E$9)</f>
        <v>71.834299999999999</v>
      </c>
      <c r="N819" s="14">
        <f>CHOOSE(CONTROL!$C$42, 71.8512, 71.8512) * CHOOSE(CONTROL!$C$21, $C$9, 100%, $E$9)</f>
        <v>71.851200000000006</v>
      </c>
      <c r="O819" s="14">
        <f>CHOOSE(CONTROL!$C$42, 71.9251, 71.9251) * CHOOSE(CONTROL!$C$21, $C$9, 100%, $E$9)</f>
        <v>71.9251</v>
      </c>
      <c r="P819" s="14">
        <f>CHOOSE(CONTROL!$C$42, 72.0745, 72.0745) * CHOOSE(CONTROL!$C$21, $C$9, 100%, $E$9)</f>
        <v>72.0745</v>
      </c>
      <c r="Q819" s="14">
        <f>CHOOSE(CONTROL!$C$42, 72.5198, 72.5198) * CHOOSE(CONTROL!$C$21, $C$9, 100%, $E$9)</f>
        <v>72.519800000000004</v>
      </c>
      <c r="R819" s="14">
        <f>CHOOSE(CONTROL!$C$42, 73.2881, 73.2881) * CHOOSE(CONTROL!$C$21, $C$9, 100%, $E$9)</f>
        <v>73.2881</v>
      </c>
      <c r="S819" s="14">
        <f>CHOOSE(CONTROL!$C$42, 70.4389, 70.4389) * CHOOSE(CONTROL!$C$21, $C$9, 100%, $E$9)</f>
        <v>70.438900000000004</v>
      </c>
      <c r="T81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56">
        <f>(1000*CHOOSE(CONTROL!$C$42, 695, 695)*CHOOSE(CONTROL!$C$42, 0.5599, 0.5599)*CHOOSE(CONTROL!$C$42, 31, 31))/1000000</f>
        <v>12.063045499999998</v>
      </c>
      <c r="V819" s="56">
        <f>(1000*CHOOSE(CONTROL!$C$42, 500, 500)*CHOOSE(CONTROL!$C$42, 0.275, 0.275)*CHOOSE(CONTROL!$C$42, 31, 31))/1000000</f>
        <v>4.2625000000000002</v>
      </c>
      <c r="W819" s="56">
        <f>(1000*CHOOSE(CONTROL!$C$42, 0.1146, 0.1146)*CHOOSE(CONTROL!$C$42, 121.5, 121.5)*CHOOSE(CONTROL!$C$42, 31, 31))/1000000</f>
        <v>0.43164089999999994</v>
      </c>
      <c r="X819" s="56">
        <f>(31*0.1790888*100000/1000000)+(31*0.2374*100000/1000000)</f>
        <v>1.2911152800000001</v>
      </c>
      <c r="Y819" s="56"/>
      <c r="Z819" s="14"/>
      <c r="AA819" s="55"/>
      <c r="AB819" s="49">
        <f>(B819*122.58+C819*297.941+D819*89.177+E819*40.302+F819*40+G819*160+H819*0+I819*100+J819*300)/(122.58+297.941+89.177+40.302+0+40+160+100+300)</f>
        <v>73.359240671999999</v>
      </c>
      <c r="AC819" s="44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71.910987769784157</v>
      </c>
    </row>
    <row r="820" spans="1:29" ht="15.75" x14ac:dyDescent="0.25">
      <c r="A820" s="31">
        <v>65866</v>
      </c>
      <c r="B820" s="14">
        <f>CHOOSE(CONTROL!$C$42, 73.0955, 73.0955) * CHOOSE(CONTROL!$C$21, $C$9, 100%, $E$9)</f>
        <v>73.095500000000001</v>
      </c>
      <c r="C820" s="14">
        <f>CHOOSE(CONTROL!$C$42, 73.1, 73.1) * CHOOSE(CONTROL!$C$21, $C$9, 100%, $E$9)</f>
        <v>73.099999999999994</v>
      </c>
      <c r="D820" s="14">
        <f>CHOOSE(CONTROL!$C$42, 73.329, 73.329) * CHOOSE(CONTROL!$C$21, $C$9, 100%, $E$9)</f>
        <v>73.328999999999994</v>
      </c>
      <c r="E820" s="14">
        <f>CHOOSE(CONTROL!$C$42, 73.3611, 73.3611) * CHOOSE(CONTROL!$C$21, $C$9, 100%, $E$9)</f>
        <v>73.361099999999993</v>
      </c>
      <c r="F820" s="14">
        <f>CHOOSE(CONTROL!$C$42, 73.1225, 73.1225)*CHOOSE(CONTROL!$C$21, $C$9, 100%, $E$9)</f>
        <v>73.122500000000002</v>
      </c>
      <c r="G820" s="14">
        <f>CHOOSE(CONTROL!$C$42, 73.1393, 73.1393)*CHOOSE(CONTROL!$C$21, $C$9, 100%, $E$9)</f>
        <v>73.139300000000006</v>
      </c>
      <c r="H820" s="14">
        <f>CHOOSE(CONTROL!$C$42, 73.3508, 73.3508) * CHOOSE(CONTROL!$C$21, $C$9, 100%, $E$9)</f>
        <v>73.350800000000007</v>
      </c>
      <c r="I820" s="14">
        <f>CHOOSE(CONTROL!$C$42, 73.3574, 73.3574)* CHOOSE(CONTROL!$C$21, $C$9, 100%, $E$9)</f>
        <v>73.357399999999998</v>
      </c>
      <c r="J820" s="14">
        <f>CHOOSE(CONTROL!$C$42, 73.1155, 73.1155)* CHOOSE(CONTROL!$C$21, $C$9, 100%, $E$9)</f>
        <v>73.115499999999997</v>
      </c>
      <c r="K820" s="52">
        <f>CHOOSE(CONTROL!$C$42, 73.3535, 73.3535) * CHOOSE(CONTROL!$C$21, $C$9, 100%, $E$9)</f>
        <v>73.353499999999997</v>
      </c>
      <c r="L820" s="14">
        <f>CHOOSE(CONTROL!$C$42, 73.9378, 73.9378) * CHOOSE(CONTROL!$C$21, $C$9, 100%, $E$9)</f>
        <v>73.937799999999996</v>
      </c>
      <c r="M820" s="14">
        <f>CHOOSE(CONTROL!$C$42, 71.6251, 71.6251) * CHOOSE(CONTROL!$C$21, $C$9, 100%, $E$9)</f>
        <v>71.625100000000003</v>
      </c>
      <c r="N820" s="14">
        <f>CHOOSE(CONTROL!$C$42, 71.6415, 71.6415) * CHOOSE(CONTROL!$C$21, $C$9, 100%, $E$9)</f>
        <v>71.641499999999994</v>
      </c>
      <c r="O820" s="14">
        <f>CHOOSE(CONTROL!$C$42, 71.8556, 71.8556) * CHOOSE(CONTROL!$C$21, $C$9, 100%, $E$9)</f>
        <v>71.855599999999995</v>
      </c>
      <c r="P820" s="14">
        <f>CHOOSE(CONTROL!$C$42, 71.8575, 71.8575) * CHOOSE(CONTROL!$C$21, $C$9, 100%, $E$9)</f>
        <v>71.857500000000002</v>
      </c>
      <c r="Q820" s="14">
        <f>CHOOSE(CONTROL!$C$42, 72.4503, 72.4503) * CHOOSE(CONTROL!$C$21, $C$9, 100%, $E$9)</f>
        <v>72.450299999999999</v>
      </c>
      <c r="R820" s="14">
        <f>CHOOSE(CONTROL!$C$42, 73.2185, 73.2185) * CHOOSE(CONTROL!$C$21, $C$9, 100%, $E$9)</f>
        <v>73.218500000000006</v>
      </c>
      <c r="S820" s="14">
        <f>CHOOSE(CONTROL!$C$42, 70.2282, 70.2282) * CHOOSE(CONTROL!$C$21, $C$9, 100%, $E$9)</f>
        <v>70.228200000000001</v>
      </c>
      <c r="T82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56">
        <f>(1000*CHOOSE(CONTROL!$C$42, 695, 695)*CHOOSE(CONTROL!$C$42, 0.5599, 0.5599)*CHOOSE(CONTROL!$C$42, 30, 30))/1000000</f>
        <v>11.673914999999997</v>
      </c>
      <c r="V820" s="56">
        <f>(1000*CHOOSE(CONTROL!$C$42, 500, 500)*CHOOSE(CONTROL!$C$42, 0.275, 0.275)*CHOOSE(CONTROL!$C$42, 30, 30))/1000000</f>
        <v>4.125</v>
      </c>
      <c r="W820" s="56">
        <f>(1000*CHOOSE(CONTROL!$C$42, 0.1146, 0.1146)*CHOOSE(CONTROL!$C$42, 121.5, 121.5)*CHOOSE(CONTROL!$C$42, 30, 30))/1000000</f>
        <v>0.417717</v>
      </c>
      <c r="X820" s="56">
        <f>(30*0.1790888*245000/1000000)+(30*0.2374*100000/1000000)</f>
        <v>2.0285026799999999</v>
      </c>
      <c r="Y820" s="56"/>
      <c r="Z820" s="14"/>
      <c r="AA820" s="55"/>
      <c r="AB820" s="49">
        <f>(B820*141.293+C820*267.993+D820*115.016+E820*89.698+F820*40+G820*185+H820*0+I820*100+J820*300)/(141.293+267.993+115.016+89.698+0+40+185+100+300)</f>
        <v>73.170769566828085</v>
      </c>
      <c r="AC820" s="44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71.763953956834541</v>
      </c>
    </row>
    <row r="821" spans="1:29" ht="15.75" x14ac:dyDescent="0.25">
      <c r="A821" s="31">
        <v>65897</v>
      </c>
      <c r="B821" s="14">
        <f>CHOOSE(CONTROL!$C$42, 73.742, 73.742) * CHOOSE(CONTROL!$C$21, $C$9, 100%, $E$9)</f>
        <v>73.742000000000004</v>
      </c>
      <c r="C821" s="14">
        <f>CHOOSE(CONTROL!$C$42, 73.75, 73.75) * CHOOSE(CONTROL!$C$21, $C$9, 100%, $E$9)</f>
        <v>73.75</v>
      </c>
      <c r="D821" s="14">
        <f>CHOOSE(CONTROL!$C$42, 73.9758, 73.9758) * CHOOSE(CONTROL!$C$21, $C$9, 100%, $E$9)</f>
        <v>73.975800000000007</v>
      </c>
      <c r="E821" s="14">
        <f>CHOOSE(CONTROL!$C$42, 74.0073, 74.0073) * CHOOSE(CONTROL!$C$21, $C$9, 100%, $E$9)</f>
        <v>74.007300000000001</v>
      </c>
      <c r="F821" s="14">
        <f>CHOOSE(CONTROL!$C$42, 73.7677, 73.7677)*CHOOSE(CONTROL!$C$21, $C$9, 100%, $E$9)</f>
        <v>73.767700000000005</v>
      </c>
      <c r="G821" s="14">
        <f>CHOOSE(CONTROL!$C$42, 73.7846, 73.7846)*CHOOSE(CONTROL!$C$21, $C$9, 100%, $E$9)</f>
        <v>73.784599999999998</v>
      </c>
      <c r="H821" s="14">
        <f>CHOOSE(CONTROL!$C$42, 73.9959, 73.9959) * CHOOSE(CONTROL!$C$21, $C$9, 100%, $E$9)</f>
        <v>73.995900000000006</v>
      </c>
      <c r="I821" s="14">
        <f>CHOOSE(CONTROL!$C$42, 74.0045, 74.0045)* CHOOSE(CONTROL!$C$21, $C$9, 100%, $E$9)</f>
        <v>74.004499999999993</v>
      </c>
      <c r="J821" s="14">
        <f>CHOOSE(CONTROL!$C$42, 73.7607, 73.7607)* CHOOSE(CONTROL!$C$21, $C$9, 100%, $E$9)</f>
        <v>73.7607</v>
      </c>
      <c r="K821" s="52">
        <f>CHOOSE(CONTROL!$C$42, 74.0006, 74.0006) * CHOOSE(CONTROL!$C$21, $C$9, 100%, $E$9)</f>
        <v>74.000600000000006</v>
      </c>
      <c r="L821" s="14">
        <f>CHOOSE(CONTROL!$C$42, 74.5829, 74.5829) * CHOOSE(CONTROL!$C$21, $C$9, 100%, $E$9)</f>
        <v>74.582899999999995</v>
      </c>
      <c r="M821" s="14">
        <f>CHOOSE(CONTROL!$C$42, 72.257, 72.257) * CHOOSE(CONTROL!$C$21, $C$9, 100%, $E$9)</f>
        <v>72.257000000000005</v>
      </c>
      <c r="N821" s="14">
        <f>CHOOSE(CONTROL!$C$42, 72.2737, 72.2737) * CHOOSE(CONTROL!$C$21, $C$9, 100%, $E$9)</f>
        <v>72.273700000000005</v>
      </c>
      <c r="O821" s="14">
        <f>CHOOSE(CONTROL!$C$42, 72.4875, 72.4875) * CHOOSE(CONTROL!$C$21, $C$9, 100%, $E$9)</f>
        <v>72.487499999999997</v>
      </c>
      <c r="P821" s="14">
        <f>CHOOSE(CONTROL!$C$42, 72.4913, 72.4913) * CHOOSE(CONTROL!$C$21, $C$9, 100%, $E$9)</f>
        <v>72.491299999999995</v>
      </c>
      <c r="Q821" s="14">
        <f>CHOOSE(CONTROL!$C$42, 73.0822, 73.0822) * CHOOSE(CONTROL!$C$21, $C$9, 100%, $E$9)</f>
        <v>73.0822</v>
      </c>
      <c r="R821" s="14">
        <f>CHOOSE(CONTROL!$C$42, 73.8519, 73.8519) * CHOOSE(CONTROL!$C$21, $C$9, 100%, $E$9)</f>
        <v>73.851900000000001</v>
      </c>
      <c r="S821" s="14">
        <f>CHOOSE(CONTROL!$C$42, 70.848, 70.848) * CHOOSE(CONTROL!$C$21, $C$9, 100%, $E$9)</f>
        <v>70.847999999999999</v>
      </c>
      <c r="T82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56">
        <f>(1000*CHOOSE(CONTROL!$C$42, 695, 695)*CHOOSE(CONTROL!$C$42, 0.5599, 0.5599)*CHOOSE(CONTROL!$C$42, 31, 31))/1000000</f>
        <v>12.063045499999998</v>
      </c>
      <c r="V821" s="56">
        <f>(1000*CHOOSE(CONTROL!$C$42, 500, 500)*CHOOSE(CONTROL!$C$42, 0.275, 0.275)*CHOOSE(CONTROL!$C$42, 31, 31))/1000000</f>
        <v>4.2625000000000002</v>
      </c>
      <c r="W821" s="56">
        <f>(1000*CHOOSE(CONTROL!$C$42, 0.1146, 0.1146)*CHOOSE(CONTROL!$C$42, 121.5, 121.5)*CHOOSE(CONTROL!$C$42, 31, 31))/1000000</f>
        <v>0.43164089999999994</v>
      </c>
      <c r="X821" s="56">
        <f>(31*0.1790888*245000/1000000)+(31*0.2374*100000/1000000)</f>
        <v>2.0961194359999999</v>
      </c>
      <c r="Y821" s="56"/>
      <c r="Z821" s="14"/>
      <c r="AA821" s="55"/>
      <c r="AB821" s="49">
        <f>(B821*194.205+C821*267.466+D821*133.845+E821*53.484+F821*40+G821*185+H821*0+I821*100+J821*300)/(194.205+267.466+133.845+53.484+0+40+185+100+300)</f>
        <v>73.811380686185245</v>
      </c>
      <c r="AC821" s="44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72.396144604316532</v>
      </c>
    </row>
    <row r="822" spans="1:29" ht="15.75" x14ac:dyDescent="0.25">
      <c r="A822" s="31">
        <v>65927</v>
      </c>
      <c r="B822" s="14">
        <f>CHOOSE(CONTROL!$C$42, 75.8335, 75.8335) * CHOOSE(CONTROL!$C$21, $C$9, 100%, $E$9)</f>
        <v>75.833500000000001</v>
      </c>
      <c r="C822" s="14">
        <f>CHOOSE(CONTROL!$C$42, 75.8415, 75.8415) * CHOOSE(CONTROL!$C$21, $C$9, 100%, $E$9)</f>
        <v>75.841499999999996</v>
      </c>
      <c r="D822" s="14">
        <f>CHOOSE(CONTROL!$C$42, 76.0673, 76.0673) * CHOOSE(CONTROL!$C$21, $C$9, 100%, $E$9)</f>
        <v>76.067300000000003</v>
      </c>
      <c r="E822" s="14">
        <f>CHOOSE(CONTROL!$C$42, 76.0987, 76.0987) * CHOOSE(CONTROL!$C$21, $C$9, 100%, $E$9)</f>
        <v>76.098699999999994</v>
      </c>
      <c r="F822" s="14">
        <f>CHOOSE(CONTROL!$C$42, 75.8596, 75.8596)*CHOOSE(CONTROL!$C$21, $C$9, 100%, $E$9)</f>
        <v>75.8596</v>
      </c>
      <c r="G822" s="14">
        <f>CHOOSE(CONTROL!$C$42, 75.8766, 75.8766)*CHOOSE(CONTROL!$C$21, $C$9, 100%, $E$9)</f>
        <v>75.876599999999996</v>
      </c>
      <c r="H822" s="14">
        <f>CHOOSE(CONTROL!$C$42, 76.0874, 76.0874) * CHOOSE(CONTROL!$C$21, $C$9, 100%, $E$9)</f>
        <v>76.087400000000002</v>
      </c>
      <c r="I822" s="14">
        <f>CHOOSE(CONTROL!$C$42, 76.1025, 76.1025)* CHOOSE(CONTROL!$C$21, $C$9, 100%, $E$9)</f>
        <v>76.102500000000006</v>
      </c>
      <c r="J822" s="14">
        <f>CHOOSE(CONTROL!$C$42, 75.8526, 75.8526)* CHOOSE(CONTROL!$C$21, $C$9, 100%, $E$9)</f>
        <v>75.852599999999995</v>
      </c>
      <c r="K822" s="52">
        <f>CHOOSE(CONTROL!$C$42, 76.0986, 76.0986) * CHOOSE(CONTROL!$C$21, $C$9, 100%, $E$9)</f>
        <v>76.098600000000005</v>
      </c>
      <c r="L822" s="14">
        <f>CHOOSE(CONTROL!$C$42, 76.6744, 76.6744) * CHOOSE(CONTROL!$C$21, $C$9, 100%, $E$9)</f>
        <v>76.674400000000006</v>
      </c>
      <c r="M822" s="14">
        <f>CHOOSE(CONTROL!$C$42, 74.3061, 74.3061) * CHOOSE(CONTROL!$C$21, $C$9, 100%, $E$9)</f>
        <v>74.306100000000001</v>
      </c>
      <c r="N822" s="14">
        <f>CHOOSE(CONTROL!$C$42, 74.3228, 74.3228) * CHOOSE(CONTROL!$C$21, $C$9, 100%, $E$9)</f>
        <v>74.322800000000001</v>
      </c>
      <c r="O822" s="14">
        <f>CHOOSE(CONTROL!$C$42, 74.5361, 74.5361) * CHOOSE(CONTROL!$C$21, $C$9, 100%, $E$9)</f>
        <v>74.536100000000005</v>
      </c>
      <c r="P822" s="14">
        <f>CHOOSE(CONTROL!$C$42, 74.5462, 74.5462) * CHOOSE(CONTROL!$C$21, $C$9, 100%, $E$9)</f>
        <v>74.546199999999999</v>
      </c>
      <c r="Q822" s="14">
        <f>CHOOSE(CONTROL!$C$42, 75.1308, 75.1308) * CHOOSE(CONTROL!$C$21, $C$9, 100%, $E$9)</f>
        <v>75.130799999999994</v>
      </c>
      <c r="R822" s="14">
        <f>CHOOSE(CONTROL!$C$42, 75.9056, 75.9056) * CHOOSE(CONTROL!$C$21, $C$9, 100%, $E$9)</f>
        <v>75.905600000000007</v>
      </c>
      <c r="S822" s="14">
        <f>CHOOSE(CONTROL!$C$42, 72.8577, 72.8577) * CHOOSE(CONTROL!$C$21, $C$9, 100%, $E$9)</f>
        <v>72.857699999999994</v>
      </c>
      <c r="T82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56">
        <f>(1000*CHOOSE(CONTROL!$C$42, 695, 695)*CHOOSE(CONTROL!$C$42, 0.5599, 0.5599)*CHOOSE(CONTROL!$C$42, 30, 30))/1000000</f>
        <v>11.673914999999997</v>
      </c>
      <c r="V822" s="56">
        <f>(1000*CHOOSE(CONTROL!$C$42, 500, 500)*CHOOSE(CONTROL!$C$42, 0.275, 0.275)*CHOOSE(CONTROL!$C$42, 30, 30))/1000000</f>
        <v>4.125</v>
      </c>
      <c r="W822" s="56">
        <f>(1000*CHOOSE(CONTROL!$C$42, 0.1146, 0.1146)*CHOOSE(CONTROL!$C$42, 121.5, 121.5)*CHOOSE(CONTROL!$C$42, 30, 30))/1000000</f>
        <v>0.417717</v>
      </c>
      <c r="X822" s="56">
        <f>(30*0.1790888*245000/1000000)+(30*0.2374*100000/1000000)</f>
        <v>2.0285026799999999</v>
      </c>
      <c r="Y822" s="56"/>
      <c r="Z822" s="14"/>
      <c r="AA822" s="55"/>
      <c r="AB822" s="49">
        <f>(B822*194.205+C822*267.466+D822*133.845+E822*53.484+F822*40+G822*185+H822*0+I822*100+J822*300)/(194.205+267.466+133.845+53.484+0+40+185+100+300)</f>
        <v>75.903566048508637</v>
      </c>
      <c r="AC822" s="44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74.445852517985614</v>
      </c>
    </row>
    <row r="823" spans="1:29" ht="15.75" x14ac:dyDescent="0.25">
      <c r="A823" s="31">
        <v>65958</v>
      </c>
      <c r="B823" s="14">
        <f>CHOOSE(CONTROL!$C$42, 74.3788, 74.3788) * CHOOSE(CONTROL!$C$21, $C$9, 100%, $E$9)</f>
        <v>74.378799999999998</v>
      </c>
      <c r="C823" s="14">
        <f>CHOOSE(CONTROL!$C$42, 74.3869, 74.3869) * CHOOSE(CONTROL!$C$21, $C$9, 100%, $E$9)</f>
        <v>74.386899999999997</v>
      </c>
      <c r="D823" s="14">
        <f>CHOOSE(CONTROL!$C$42, 74.6126, 74.6126) * CHOOSE(CONTROL!$C$21, $C$9, 100%, $E$9)</f>
        <v>74.6126</v>
      </c>
      <c r="E823" s="14">
        <f>CHOOSE(CONTROL!$C$42, 74.6441, 74.6441) * CHOOSE(CONTROL!$C$21, $C$9, 100%, $E$9)</f>
        <v>74.644099999999995</v>
      </c>
      <c r="F823" s="14">
        <f>CHOOSE(CONTROL!$C$42, 74.4054, 74.4054)*CHOOSE(CONTROL!$C$21, $C$9, 100%, $E$9)</f>
        <v>74.4054</v>
      </c>
      <c r="G823" s="14">
        <f>CHOOSE(CONTROL!$C$42, 74.4226, 74.4226)*CHOOSE(CONTROL!$C$21, $C$9, 100%, $E$9)</f>
        <v>74.422600000000003</v>
      </c>
      <c r="H823" s="14">
        <f>CHOOSE(CONTROL!$C$42, 74.6327, 74.6327) * CHOOSE(CONTROL!$C$21, $C$9, 100%, $E$9)</f>
        <v>74.6327</v>
      </c>
      <c r="I823" s="14">
        <f>CHOOSE(CONTROL!$C$42, 74.6433, 74.6433)* CHOOSE(CONTROL!$C$21, $C$9, 100%, $E$9)</f>
        <v>74.643299999999996</v>
      </c>
      <c r="J823" s="14">
        <f>CHOOSE(CONTROL!$C$42, 74.3984, 74.3984)* CHOOSE(CONTROL!$C$21, $C$9, 100%, $E$9)</f>
        <v>74.398399999999995</v>
      </c>
      <c r="K823" s="52">
        <f>CHOOSE(CONTROL!$C$42, 74.6394, 74.6394) * CHOOSE(CONTROL!$C$21, $C$9, 100%, $E$9)</f>
        <v>74.639399999999995</v>
      </c>
      <c r="L823" s="14">
        <f>CHOOSE(CONTROL!$C$42, 75.2197, 75.2197) * CHOOSE(CONTROL!$C$21, $C$9, 100%, $E$9)</f>
        <v>75.219700000000003</v>
      </c>
      <c r="M823" s="14">
        <f>CHOOSE(CONTROL!$C$42, 72.8817, 72.8817) * CHOOSE(CONTROL!$C$21, $C$9, 100%, $E$9)</f>
        <v>72.881699999999995</v>
      </c>
      <c r="N823" s="14">
        <f>CHOOSE(CONTROL!$C$42, 72.8986, 72.8986) * CHOOSE(CONTROL!$C$21, $C$9, 100%, $E$9)</f>
        <v>72.898600000000002</v>
      </c>
      <c r="O823" s="14">
        <f>CHOOSE(CONTROL!$C$42, 73.1113, 73.1113) * CHOOSE(CONTROL!$C$21, $C$9, 100%, $E$9)</f>
        <v>73.1113</v>
      </c>
      <c r="P823" s="14">
        <f>CHOOSE(CONTROL!$C$42, 73.117, 73.117) * CHOOSE(CONTROL!$C$21, $C$9, 100%, $E$9)</f>
        <v>73.117000000000004</v>
      </c>
      <c r="Q823" s="14">
        <f>CHOOSE(CONTROL!$C$42, 73.706, 73.706) * CHOOSE(CONTROL!$C$21, $C$9, 100%, $E$9)</f>
        <v>73.706000000000003</v>
      </c>
      <c r="R823" s="14">
        <f>CHOOSE(CONTROL!$C$42, 74.4772, 74.4772) * CHOOSE(CONTROL!$C$21, $C$9, 100%, $E$9)</f>
        <v>74.477199999999996</v>
      </c>
      <c r="S823" s="14">
        <f>CHOOSE(CONTROL!$C$42, 71.46, 71.46) * CHOOSE(CONTROL!$C$21, $C$9, 100%, $E$9)</f>
        <v>71.459999999999994</v>
      </c>
      <c r="T82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56">
        <f>(1000*CHOOSE(CONTROL!$C$42, 695, 695)*CHOOSE(CONTROL!$C$42, 0.5599, 0.5599)*CHOOSE(CONTROL!$C$42, 31, 31))/1000000</f>
        <v>12.063045499999998</v>
      </c>
      <c r="V823" s="56">
        <f>(1000*CHOOSE(CONTROL!$C$42, 500, 500)*CHOOSE(CONTROL!$C$42, 0.275, 0.275)*CHOOSE(CONTROL!$C$42, 31, 31))/1000000</f>
        <v>4.2625000000000002</v>
      </c>
      <c r="W823" s="56">
        <f>(1000*CHOOSE(CONTROL!$C$42, 0.1146, 0.1146)*CHOOSE(CONTROL!$C$42, 121.5, 121.5)*CHOOSE(CONTROL!$C$42, 31, 31))/1000000</f>
        <v>0.43164089999999994</v>
      </c>
      <c r="X823" s="56">
        <f>(31*0.1790888*245000/1000000)+(31*0.2374*100000/1000000)</f>
        <v>2.0961194359999999</v>
      </c>
      <c r="Y823" s="56"/>
      <c r="Z823" s="14"/>
      <c r="AA823" s="55"/>
      <c r="AB823" s="49">
        <f>(B823*194.205+C823*267.466+D823*133.845+E823*53.484+F823*40+G823*185+H823*0+I823*100+J823*300)/(194.205+267.466+133.845+53.484+0+40+185+100+300)</f>
        <v>74.448773108948203</v>
      </c>
      <c r="AC823" s="44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73.020592086330936</v>
      </c>
    </row>
    <row r="824" spans="1:29" ht="15.75" x14ac:dyDescent="0.25">
      <c r="A824" s="31">
        <v>65989</v>
      </c>
      <c r="B824" s="14">
        <f>CHOOSE(CONTROL!$C$42, 70.7055, 70.7055) * CHOOSE(CONTROL!$C$21, $C$9, 100%, $E$9)</f>
        <v>70.705500000000001</v>
      </c>
      <c r="C824" s="14">
        <f>CHOOSE(CONTROL!$C$42, 70.7135, 70.7135) * CHOOSE(CONTROL!$C$21, $C$9, 100%, $E$9)</f>
        <v>70.713499999999996</v>
      </c>
      <c r="D824" s="14">
        <f>CHOOSE(CONTROL!$C$42, 70.9393, 70.9393) * CHOOSE(CONTROL!$C$21, $C$9, 100%, $E$9)</f>
        <v>70.939300000000003</v>
      </c>
      <c r="E824" s="14">
        <f>CHOOSE(CONTROL!$C$42, 70.9707, 70.9707) * CHOOSE(CONTROL!$C$21, $C$9, 100%, $E$9)</f>
        <v>70.970699999999994</v>
      </c>
      <c r="F824" s="14">
        <f>CHOOSE(CONTROL!$C$42, 70.7323, 70.7323)*CHOOSE(CONTROL!$C$21, $C$9, 100%, $E$9)</f>
        <v>70.732299999999995</v>
      </c>
      <c r="G824" s="14">
        <f>CHOOSE(CONTROL!$C$42, 70.7495, 70.7495)*CHOOSE(CONTROL!$C$21, $C$9, 100%, $E$9)</f>
        <v>70.749499999999998</v>
      </c>
      <c r="H824" s="14">
        <f>CHOOSE(CONTROL!$C$42, 70.9594, 70.9594) * CHOOSE(CONTROL!$C$21, $C$9, 100%, $E$9)</f>
        <v>70.959400000000002</v>
      </c>
      <c r="I824" s="14">
        <f>CHOOSE(CONTROL!$C$42, 70.9584, 70.9584)* CHOOSE(CONTROL!$C$21, $C$9, 100%, $E$9)</f>
        <v>70.958399999999997</v>
      </c>
      <c r="J824" s="14">
        <f>CHOOSE(CONTROL!$C$42, 70.7253, 70.7253)* CHOOSE(CONTROL!$C$21, $C$9, 100%, $E$9)</f>
        <v>70.725300000000004</v>
      </c>
      <c r="K824" s="52">
        <f>CHOOSE(CONTROL!$C$42, 70.9545, 70.9545) * CHOOSE(CONTROL!$C$21, $C$9, 100%, $E$9)</f>
        <v>70.954499999999996</v>
      </c>
      <c r="L824" s="14">
        <f>CHOOSE(CONTROL!$C$42, 71.5464, 71.5464) * CHOOSE(CONTROL!$C$21, $C$9, 100%, $E$9)</f>
        <v>71.546400000000006</v>
      </c>
      <c r="M824" s="14">
        <f>CHOOSE(CONTROL!$C$42, 69.2838, 69.2838) * CHOOSE(CONTROL!$C$21, $C$9, 100%, $E$9)</f>
        <v>69.283799999999999</v>
      </c>
      <c r="N824" s="14">
        <f>CHOOSE(CONTROL!$C$42, 69.3008, 69.3008) * CHOOSE(CONTROL!$C$21, $C$9, 100%, $E$9)</f>
        <v>69.300799999999995</v>
      </c>
      <c r="O824" s="14">
        <f>CHOOSE(CONTROL!$C$42, 69.5131, 69.5131) * CHOOSE(CONTROL!$C$21, $C$9, 100%, $E$9)</f>
        <v>69.513099999999994</v>
      </c>
      <c r="P824" s="14">
        <f>CHOOSE(CONTROL!$C$42, 69.5079, 69.5079) * CHOOSE(CONTROL!$C$21, $C$9, 100%, $E$9)</f>
        <v>69.507900000000006</v>
      </c>
      <c r="Q824" s="14">
        <f>CHOOSE(CONTROL!$C$42, 70.1078, 70.1078) * CHOOSE(CONTROL!$C$21, $C$9, 100%, $E$9)</f>
        <v>70.107799999999997</v>
      </c>
      <c r="R824" s="14">
        <f>CHOOSE(CONTROL!$C$42, 70.8701, 70.8701) * CHOOSE(CONTROL!$C$21, $C$9, 100%, $E$9)</f>
        <v>70.870099999999994</v>
      </c>
      <c r="S824" s="14">
        <f>CHOOSE(CONTROL!$C$42, 67.9302, 67.9302) * CHOOSE(CONTROL!$C$21, $C$9, 100%, $E$9)</f>
        <v>67.930199999999999</v>
      </c>
      <c r="T82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56">
        <f>(1000*CHOOSE(CONTROL!$C$42, 695, 695)*CHOOSE(CONTROL!$C$42, 0.5599, 0.5599)*CHOOSE(CONTROL!$C$42, 31, 31))/1000000</f>
        <v>12.063045499999998</v>
      </c>
      <c r="V824" s="56">
        <f>(1000*CHOOSE(CONTROL!$C$42, 500, 500)*CHOOSE(CONTROL!$C$42, 0.275, 0.275)*CHOOSE(CONTROL!$C$42, 31, 31))/1000000</f>
        <v>4.2625000000000002</v>
      </c>
      <c r="W824" s="56">
        <f>(1000*CHOOSE(CONTROL!$C$42, 0.1146, 0.1146)*CHOOSE(CONTROL!$C$42, 121.5, 121.5)*CHOOSE(CONTROL!$C$42, 31, 31))/1000000</f>
        <v>0.43164089999999994</v>
      </c>
      <c r="X824" s="56">
        <f>(31*0.1790888*245000/1000000)+(31*0.2374*100000/1000000)</f>
        <v>2.0961194359999999</v>
      </c>
      <c r="Y824" s="56"/>
      <c r="Z824" s="14"/>
      <c r="AA824" s="55"/>
      <c r="AB824" s="49">
        <f>(B824*194.205+C824*267.466+D824*133.845+E824*53.484+F824*40+G824*185+H824*0+I824*100+J824*300)/(194.205+267.466+133.845+53.484+0+40+185+100+300)</f>
        <v>70.774619816169547</v>
      </c>
      <c r="AC824" s="44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69.420950359712236</v>
      </c>
    </row>
    <row r="825" spans="1:29" ht="15.75" x14ac:dyDescent="0.25">
      <c r="A825" s="31">
        <v>66019</v>
      </c>
      <c r="B825" s="14">
        <f>CHOOSE(CONTROL!$C$42, 66.217, 66.217) * CHOOSE(CONTROL!$C$21, $C$9, 100%, $E$9)</f>
        <v>66.216999999999999</v>
      </c>
      <c r="C825" s="14">
        <f>CHOOSE(CONTROL!$C$42, 66.2251, 66.2251) * CHOOSE(CONTROL!$C$21, $C$9, 100%, $E$9)</f>
        <v>66.225099999999998</v>
      </c>
      <c r="D825" s="14">
        <f>CHOOSE(CONTROL!$C$42, 66.4509, 66.4509) * CHOOSE(CONTROL!$C$21, $C$9, 100%, $E$9)</f>
        <v>66.450900000000004</v>
      </c>
      <c r="E825" s="14">
        <f>CHOOSE(CONTROL!$C$42, 66.4823, 66.4823) * CHOOSE(CONTROL!$C$21, $C$9, 100%, $E$9)</f>
        <v>66.482299999999995</v>
      </c>
      <c r="F825" s="14">
        <f>CHOOSE(CONTROL!$C$42, 66.2439, 66.2439)*CHOOSE(CONTROL!$C$21, $C$9, 100%, $E$9)</f>
        <v>66.243899999999996</v>
      </c>
      <c r="G825" s="14">
        <f>CHOOSE(CONTROL!$C$42, 66.2611, 66.2611)*CHOOSE(CONTROL!$C$21, $C$9, 100%, $E$9)</f>
        <v>66.261099999999999</v>
      </c>
      <c r="H825" s="14">
        <f>CHOOSE(CONTROL!$C$42, 66.4709, 66.4709) * CHOOSE(CONTROL!$C$21, $C$9, 100%, $E$9)</f>
        <v>66.4709</v>
      </c>
      <c r="I825" s="14">
        <f>CHOOSE(CONTROL!$C$42, 66.456, 66.456)* CHOOSE(CONTROL!$C$21, $C$9, 100%, $E$9)</f>
        <v>66.456000000000003</v>
      </c>
      <c r="J825" s="14">
        <f>CHOOSE(CONTROL!$C$42, 66.2369, 66.2369)* CHOOSE(CONTROL!$C$21, $C$9, 100%, $E$9)</f>
        <v>66.236900000000006</v>
      </c>
      <c r="K825" s="52">
        <f>CHOOSE(CONTROL!$C$42, 66.4521, 66.4521) * CHOOSE(CONTROL!$C$21, $C$9, 100%, $E$9)</f>
        <v>66.452100000000002</v>
      </c>
      <c r="L825" s="14">
        <f>CHOOSE(CONTROL!$C$42, 67.0579, 67.0579) * CHOOSE(CONTROL!$C$21, $C$9, 100%, $E$9)</f>
        <v>67.057900000000004</v>
      </c>
      <c r="M825" s="14">
        <f>CHOOSE(CONTROL!$C$42, 64.8874, 64.8874) * CHOOSE(CONTROL!$C$21, $C$9, 100%, $E$9)</f>
        <v>64.8874</v>
      </c>
      <c r="N825" s="14">
        <f>CHOOSE(CONTROL!$C$42, 64.9043, 64.9043) * CHOOSE(CONTROL!$C$21, $C$9, 100%, $E$9)</f>
        <v>64.904300000000006</v>
      </c>
      <c r="O825" s="14">
        <f>CHOOSE(CONTROL!$C$42, 65.1167, 65.1167) * CHOOSE(CONTROL!$C$21, $C$9, 100%, $E$9)</f>
        <v>65.116699999999994</v>
      </c>
      <c r="P825" s="14">
        <f>CHOOSE(CONTROL!$C$42, 65.0979, 65.0979) * CHOOSE(CONTROL!$C$21, $C$9, 100%, $E$9)</f>
        <v>65.097899999999996</v>
      </c>
      <c r="Q825" s="14">
        <f>CHOOSE(CONTROL!$C$42, 65.7114, 65.7114) * CHOOSE(CONTROL!$C$21, $C$9, 100%, $E$9)</f>
        <v>65.711399999999998</v>
      </c>
      <c r="R825" s="14">
        <f>CHOOSE(CONTROL!$C$42, 66.4627, 66.4627) * CHOOSE(CONTROL!$C$21, $C$9, 100%, $E$9)</f>
        <v>66.462699999999998</v>
      </c>
      <c r="S825" s="14">
        <f>CHOOSE(CONTROL!$C$42, 63.6173, 63.6173) * CHOOSE(CONTROL!$C$21, $C$9, 100%, $E$9)</f>
        <v>63.6173</v>
      </c>
      <c r="T82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56">
        <f>(1000*CHOOSE(CONTROL!$C$42, 695, 695)*CHOOSE(CONTROL!$C$42, 0.5599, 0.5599)*CHOOSE(CONTROL!$C$42, 30, 30))/1000000</f>
        <v>11.673914999999997</v>
      </c>
      <c r="V825" s="56">
        <f>(1000*CHOOSE(CONTROL!$C$42, 500, 500)*CHOOSE(CONTROL!$C$42, 0.275, 0.275)*CHOOSE(CONTROL!$C$42, 30, 30))/1000000</f>
        <v>4.125</v>
      </c>
      <c r="W825" s="56">
        <f>(1000*CHOOSE(CONTROL!$C$42, 0.1146, 0.1146)*CHOOSE(CONTROL!$C$42, 121.5, 121.5)*CHOOSE(CONTROL!$C$42, 30, 30))/1000000</f>
        <v>0.417717</v>
      </c>
      <c r="X825" s="56">
        <f>(30*0.1790888*245000/1000000)+(30*0.2374*100000/1000000)</f>
        <v>2.0285026799999999</v>
      </c>
      <c r="Y825" s="56"/>
      <c r="Z825" s="14"/>
      <c r="AA825" s="55"/>
      <c r="AB825" s="49">
        <f>(B825*194.205+C825*267.466+D825*133.845+E825*53.484+F825*40+G825*185+H825*0+I825*100+J825*300)/(194.205+267.466+133.845+53.484+0+40+185+100+300)</f>
        <v>66.285105671350081</v>
      </c>
      <c r="AC825" s="44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65.022587769784167</v>
      </c>
    </row>
    <row r="826" spans="1:29" ht="15.75" x14ac:dyDescent="0.25">
      <c r="A826" s="31">
        <v>66050</v>
      </c>
      <c r="B826" s="14">
        <f>CHOOSE(CONTROL!$C$42, 64.871, 64.871) * CHOOSE(CONTROL!$C$21, $C$9, 100%, $E$9)</f>
        <v>64.870999999999995</v>
      </c>
      <c r="C826" s="14">
        <f>CHOOSE(CONTROL!$C$42, 64.8764, 64.8764) * CHOOSE(CONTROL!$C$21, $C$9, 100%, $E$9)</f>
        <v>64.876400000000004</v>
      </c>
      <c r="D826" s="14">
        <f>CHOOSE(CONTROL!$C$42, 65.1071, 65.1071) * CHOOSE(CONTROL!$C$21, $C$9, 100%, $E$9)</f>
        <v>65.107100000000003</v>
      </c>
      <c r="E826" s="14">
        <f>CHOOSE(CONTROL!$C$42, 65.1362, 65.1362) * CHOOSE(CONTROL!$C$21, $C$9, 100%, $E$9)</f>
        <v>65.136200000000002</v>
      </c>
      <c r="F826" s="14">
        <f>CHOOSE(CONTROL!$C$42, 64.8999, 64.8999)*CHOOSE(CONTROL!$C$21, $C$9, 100%, $E$9)</f>
        <v>64.899900000000002</v>
      </c>
      <c r="G826" s="14">
        <f>CHOOSE(CONTROL!$C$42, 64.917, 64.917)*CHOOSE(CONTROL!$C$21, $C$9, 100%, $E$9)</f>
        <v>64.917000000000002</v>
      </c>
      <c r="H826" s="14">
        <f>CHOOSE(CONTROL!$C$42, 65.1267, 65.1267) * CHOOSE(CONTROL!$C$21, $C$9, 100%, $E$9)</f>
        <v>65.1267</v>
      </c>
      <c r="I826" s="14">
        <f>CHOOSE(CONTROL!$C$42, 65.1075, 65.1075)* CHOOSE(CONTROL!$C$21, $C$9, 100%, $E$9)</f>
        <v>65.107500000000002</v>
      </c>
      <c r="J826" s="14">
        <f>CHOOSE(CONTROL!$C$42, 64.8929, 64.8929)* CHOOSE(CONTROL!$C$21, $C$9, 100%, $E$9)</f>
        <v>64.892899999999997</v>
      </c>
      <c r="K826" s="52">
        <f>CHOOSE(CONTROL!$C$42, 65.1036, 65.1036) * CHOOSE(CONTROL!$C$21, $C$9, 100%, $E$9)</f>
        <v>65.1036</v>
      </c>
      <c r="L826" s="14">
        <f>CHOOSE(CONTROL!$C$42, 65.7137, 65.7137) * CHOOSE(CONTROL!$C$21, $C$9, 100%, $E$9)</f>
        <v>65.713700000000003</v>
      </c>
      <c r="M826" s="14">
        <f>CHOOSE(CONTROL!$C$42, 63.571, 63.571) * CHOOSE(CONTROL!$C$21, $C$9, 100%, $E$9)</f>
        <v>63.570999999999998</v>
      </c>
      <c r="N826" s="14">
        <f>CHOOSE(CONTROL!$C$42, 63.5878, 63.5878) * CHOOSE(CONTROL!$C$21, $C$9, 100%, $E$9)</f>
        <v>63.587800000000001</v>
      </c>
      <c r="O826" s="14">
        <f>CHOOSE(CONTROL!$C$42, 63.8, 63.8) * CHOOSE(CONTROL!$C$21, $C$9, 100%, $E$9)</f>
        <v>63.8</v>
      </c>
      <c r="P826" s="14">
        <f>CHOOSE(CONTROL!$C$42, 63.7772, 63.7772) * CHOOSE(CONTROL!$C$21, $C$9, 100%, $E$9)</f>
        <v>63.777200000000001</v>
      </c>
      <c r="Q826" s="14">
        <f>CHOOSE(CONTROL!$C$42, 64.3947, 64.3947) * CHOOSE(CONTROL!$C$21, $C$9, 100%, $E$9)</f>
        <v>64.3947</v>
      </c>
      <c r="R826" s="14">
        <f>CHOOSE(CONTROL!$C$42, 65.1427, 65.1427) * CHOOSE(CONTROL!$C$21, $C$9, 100%, $E$9)</f>
        <v>65.142700000000005</v>
      </c>
      <c r="S826" s="14">
        <f>CHOOSE(CONTROL!$C$42, 62.3256, 62.3256) * CHOOSE(CONTROL!$C$21, $C$9, 100%, $E$9)</f>
        <v>62.325600000000001</v>
      </c>
      <c r="T82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56">
        <f>(1000*CHOOSE(CONTROL!$C$42, 695, 695)*CHOOSE(CONTROL!$C$42, 0.5599, 0.5599)*CHOOSE(CONTROL!$C$42, 31, 31))/1000000</f>
        <v>12.063045499999998</v>
      </c>
      <c r="V826" s="56">
        <f>(1000*CHOOSE(CONTROL!$C$42, 500, 500)*CHOOSE(CONTROL!$C$42, 0.275, 0.275)*CHOOSE(CONTROL!$C$42, 31, 31))/1000000</f>
        <v>4.2625000000000002</v>
      </c>
      <c r="W826" s="56">
        <f>(1000*CHOOSE(CONTROL!$C$42, 0.1146, 0.1146)*CHOOSE(CONTROL!$C$42, 121.5, 121.5)*CHOOSE(CONTROL!$C$42, 31, 31))/1000000</f>
        <v>0.43164089999999994</v>
      </c>
      <c r="X826" s="56">
        <f>(31*0.1790888*245000/1000000)+(31*0.2374*100000/1000000)</f>
        <v>2.0961194359999999</v>
      </c>
      <c r="Y826" s="56"/>
      <c r="Z826" s="14"/>
      <c r="AA826" s="55"/>
      <c r="AB826" s="49">
        <f>(B826*131.881+C826*277.167+D826*79.08+E826*125.872+F826*40+G826*185+H826*0+I826*100+J826*300)/(131.881+277.167+79.08+125.872+0+40+185+100+300)</f>
        <v>64.946411415819199</v>
      </c>
      <c r="AC826" s="44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63.705427338129489</v>
      </c>
    </row>
    <row r="827" spans="1:29" ht="15.75" x14ac:dyDescent="0.25">
      <c r="A827" s="31">
        <v>66080</v>
      </c>
      <c r="B827" s="14">
        <f>CHOOSE(CONTROL!$C$42, 66.5794, 66.5794) * CHOOSE(CONTROL!$C$21, $C$9, 100%, $E$9)</f>
        <v>66.579400000000007</v>
      </c>
      <c r="C827" s="14">
        <f>CHOOSE(CONTROL!$C$42, 66.5844, 66.5844) * CHOOSE(CONTROL!$C$21, $C$9, 100%, $E$9)</f>
        <v>66.584400000000002</v>
      </c>
      <c r="D827" s="14">
        <f>CHOOSE(CONTROL!$C$42, 66.6535, 66.6535) * CHOOSE(CONTROL!$C$21, $C$9, 100%, $E$9)</f>
        <v>66.653499999999994</v>
      </c>
      <c r="E827" s="14">
        <f>CHOOSE(CONTROL!$C$42, 66.6876, 66.6876) * CHOOSE(CONTROL!$C$21, $C$9, 100%, $E$9)</f>
        <v>66.687600000000003</v>
      </c>
      <c r="F827" s="14">
        <f>CHOOSE(CONTROL!$C$42, 66.615, 66.615)*CHOOSE(CONTROL!$C$21, $C$9, 100%, $E$9)</f>
        <v>66.614999999999995</v>
      </c>
      <c r="G827" s="14">
        <f>CHOOSE(CONTROL!$C$42, 66.6324, 66.6324)*CHOOSE(CONTROL!$C$21, $C$9, 100%, $E$9)</f>
        <v>66.632400000000004</v>
      </c>
      <c r="H827" s="14">
        <f>CHOOSE(CONTROL!$C$42, 66.6768, 66.6768) * CHOOSE(CONTROL!$C$21, $C$9, 100%, $E$9)</f>
        <v>66.6768</v>
      </c>
      <c r="I827" s="14">
        <f>CHOOSE(CONTROL!$C$42, 66.8242, 66.8242)* CHOOSE(CONTROL!$C$21, $C$9, 100%, $E$9)</f>
        <v>66.824200000000005</v>
      </c>
      <c r="J827" s="14">
        <f>CHOOSE(CONTROL!$C$42, 66.608, 66.608)* CHOOSE(CONTROL!$C$21, $C$9, 100%, $E$9)</f>
        <v>66.608000000000004</v>
      </c>
      <c r="K827" s="52">
        <f>CHOOSE(CONTROL!$C$42, 66.8203, 66.8203) * CHOOSE(CONTROL!$C$21, $C$9, 100%, $E$9)</f>
        <v>66.820300000000003</v>
      </c>
      <c r="L827" s="14">
        <f>CHOOSE(CONTROL!$C$42, 67.2638, 67.2638) * CHOOSE(CONTROL!$C$21, $C$9, 100%, $E$9)</f>
        <v>67.263800000000003</v>
      </c>
      <c r="M827" s="14">
        <f>CHOOSE(CONTROL!$C$42, 65.2509, 65.2509) * CHOOSE(CONTROL!$C$21, $C$9, 100%, $E$9)</f>
        <v>65.250900000000001</v>
      </c>
      <c r="N827" s="14">
        <f>CHOOSE(CONTROL!$C$42, 65.268, 65.268) * CHOOSE(CONTROL!$C$21, $C$9, 100%, $E$9)</f>
        <v>65.268000000000001</v>
      </c>
      <c r="O827" s="14">
        <f>CHOOSE(CONTROL!$C$42, 65.3183, 65.3183) * CHOOSE(CONTROL!$C$21, $C$9, 100%, $E$9)</f>
        <v>65.318299999999994</v>
      </c>
      <c r="P827" s="14">
        <f>CHOOSE(CONTROL!$C$42, 65.4586, 65.4586) * CHOOSE(CONTROL!$C$21, $C$9, 100%, $E$9)</f>
        <v>65.458600000000004</v>
      </c>
      <c r="Q827" s="14">
        <f>CHOOSE(CONTROL!$C$42, 65.913, 65.913) * CHOOSE(CONTROL!$C$21, $C$9, 100%, $E$9)</f>
        <v>65.912999999999997</v>
      </c>
      <c r="R827" s="14">
        <f>CHOOSE(CONTROL!$C$42, 66.6648, 66.6648) * CHOOSE(CONTROL!$C$21, $C$9, 100%, $E$9)</f>
        <v>66.6648</v>
      </c>
      <c r="S827" s="14">
        <f>CHOOSE(CONTROL!$C$42, 63.9676, 63.9676) * CHOOSE(CONTROL!$C$21, $C$9, 100%, $E$9)</f>
        <v>63.967599999999997</v>
      </c>
      <c r="T82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56">
        <f>(1000*CHOOSE(CONTROL!$C$42, 695, 695)*CHOOSE(CONTROL!$C$42, 0.5599, 0.5599)*CHOOSE(CONTROL!$C$42, 30, 30))/1000000</f>
        <v>11.673914999999997</v>
      </c>
      <c r="V827" s="56">
        <f>(1000*CHOOSE(CONTROL!$C$42, 500, 500)*CHOOSE(CONTROL!$C$42, 0.275, 0.275)*CHOOSE(CONTROL!$C$42, 30, 30))/1000000</f>
        <v>4.125</v>
      </c>
      <c r="W827" s="56">
        <f>(1000*CHOOSE(CONTROL!$C$42, 0.1146, 0.1146)*CHOOSE(CONTROL!$C$42, 121.5, 121.5)*CHOOSE(CONTROL!$C$42, 30, 30))/1000000</f>
        <v>0.417717</v>
      </c>
      <c r="X827" s="56">
        <f>(30*0.1790888*100000/1000000)+(30*0.2374*100000/1000000)</f>
        <v>1.2494664</v>
      </c>
      <c r="Y827" s="56"/>
      <c r="Z827" s="14"/>
      <c r="AA827" s="55"/>
      <c r="AB827" s="49">
        <f>(B827*122.58+C827*297.941+D827*89.177+E827*40.302+F827*40+G827*160+H827*0+I827*100+J827*300)/(122.58+297.941+89.177+40.302+0+40+160+100+300)</f>
        <v>66.627593388782614</v>
      </c>
      <c r="AC827" s="44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65.312317266187051</v>
      </c>
    </row>
    <row r="828" spans="1:29" ht="15.75" x14ac:dyDescent="0.25">
      <c r="A828" s="31">
        <v>66111</v>
      </c>
      <c r="B828" s="14">
        <f>CHOOSE(CONTROL!$C$42, 71.1181, 71.1181) * CHOOSE(CONTROL!$C$21, $C$9, 100%, $E$9)</f>
        <v>71.118099999999998</v>
      </c>
      <c r="C828" s="14">
        <f>CHOOSE(CONTROL!$C$42, 71.1231, 71.1231) * CHOOSE(CONTROL!$C$21, $C$9, 100%, $E$9)</f>
        <v>71.123099999999994</v>
      </c>
      <c r="D828" s="14">
        <f>CHOOSE(CONTROL!$C$42, 71.1922, 71.1922) * CHOOSE(CONTROL!$C$21, $C$9, 100%, $E$9)</f>
        <v>71.1922</v>
      </c>
      <c r="E828" s="14">
        <f>CHOOSE(CONTROL!$C$42, 71.2263, 71.2263) * CHOOSE(CONTROL!$C$21, $C$9, 100%, $E$9)</f>
        <v>71.226299999999995</v>
      </c>
      <c r="F828" s="14">
        <f>CHOOSE(CONTROL!$C$42, 71.1559, 71.1559)*CHOOSE(CONTROL!$C$21, $C$9, 100%, $E$9)</f>
        <v>71.155900000000003</v>
      </c>
      <c r="G828" s="14">
        <f>CHOOSE(CONTROL!$C$42, 71.1739, 71.1739)*CHOOSE(CONTROL!$C$21, $C$9, 100%, $E$9)</f>
        <v>71.173900000000003</v>
      </c>
      <c r="H828" s="14">
        <f>CHOOSE(CONTROL!$C$42, 71.2155, 71.2155) * CHOOSE(CONTROL!$C$21, $C$9, 100%, $E$9)</f>
        <v>71.215500000000006</v>
      </c>
      <c r="I828" s="14">
        <f>CHOOSE(CONTROL!$C$42, 71.3771, 71.3771)* CHOOSE(CONTROL!$C$21, $C$9, 100%, $E$9)</f>
        <v>71.377099999999999</v>
      </c>
      <c r="J828" s="14">
        <f>CHOOSE(CONTROL!$C$42, 71.1489, 71.1489)* CHOOSE(CONTROL!$C$21, $C$9, 100%, $E$9)</f>
        <v>71.148899999999998</v>
      </c>
      <c r="K828" s="52">
        <f>CHOOSE(CONTROL!$C$42, 71.3733, 71.3733) * CHOOSE(CONTROL!$C$21, $C$9, 100%, $E$9)</f>
        <v>71.3733</v>
      </c>
      <c r="L828" s="14">
        <f>CHOOSE(CONTROL!$C$42, 71.8025, 71.8025) * CHOOSE(CONTROL!$C$21, $C$9, 100%, $E$9)</f>
        <v>71.802499999999995</v>
      </c>
      <c r="M828" s="14">
        <f>CHOOSE(CONTROL!$C$42, 69.6988, 69.6988) * CHOOSE(CONTROL!$C$21, $C$9, 100%, $E$9)</f>
        <v>69.698800000000006</v>
      </c>
      <c r="N828" s="14">
        <f>CHOOSE(CONTROL!$C$42, 69.7164, 69.7164) * CHOOSE(CONTROL!$C$21, $C$9, 100%, $E$9)</f>
        <v>69.716399999999993</v>
      </c>
      <c r="O828" s="14">
        <f>CHOOSE(CONTROL!$C$42, 69.764, 69.764) * CHOOSE(CONTROL!$C$21, $C$9, 100%, $E$9)</f>
        <v>69.763999999999996</v>
      </c>
      <c r="P828" s="14">
        <f>CHOOSE(CONTROL!$C$42, 69.918, 69.918) * CHOOSE(CONTROL!$C$21, $C$9, 100%, $E$9)</f>
        <v>69.918000000000006</v>
      </c>
      <c r="Q828" s="14">
        <f>CHOOSE(CONTROL!$C$42, 70.3587, 70.3587) * CHOOSE(CONTROL!$C$21, $C$9, 100%, $E$9)</f>
        <v>70.358699999999999</v>
      </c>
      <c r="R828" s="14">
        <f>CHOOSE(CONTROL!$C$42, 71.1216, 71.1216) * CHOOSE(CONTROL!$C$21, $C$9, 100%, $E$9)</f>
        <v>71.121600000000001</v>
      </c>
      <c r="S828" s="14">
        <f>CHOOSE(CONTROL!$C$42, 68.3288, 68.3288) * CHOOSE(CONTROL!$C$21, $C$9, 100%, $E$9)</f>
        <v>68.328800000000001</v>
      </c>
      <c r="T82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56">
        <f>(1000*CHOOSE(CONTROL!$C$42, 695, 695)*CHOOSE(CONTROL!$C$42, 0.5599, 0.5599)*CHOOSE(CONTROL!$C$42, 31, 31))/1000000</f>
        <v>12.063045499999998</v>
      </c>
      <c r="V828" s="56">
        <f>(1000*CHOOSE(CONTROL!$C$42, 500, 500)*CHOOSE(CONTROL!$C$42, 0.275, 0.275)*CHOOSE(CONTROL!$C$42, 31, 31))/1000000</f>
        <v>4.2625000000000002</v>
      </c>
      <c r="W828" s="56">
        <f>(1000*CHOOSE(CONTROL!$C$42, 0.1146, 0.1146)*CHOOSE(CONTROL!$C$42, 121.5, 121.5)*CHOOSE(CONTROL!$C$42, 31, 31))/1000000</f>
        <v>0.43164089999999994</v>
      </c>
      <c r="X828" s="56">
        <f>(31*0.1790888*100000/1000000)+(31*0.2374*100000/1000000)</f>
        <v>1.2911152800000001</v>
      </c>
      <c r="Y828" s="56"/>
      <c r="Z828" s="14"/>
      <c r="AA828" s="55"/>
      <c r="AB828" s="49">
        <f>(B828*122.58+C828*297.941+D828*89.177+E828*40.302+F828*40+G828*160+H828*0+I828*100+J828*300)/(122.58+297.941+89.177+40.302+0+40+160+100+300)</f>
        <v>71.1685681713913</v>
      </c>
      <c r="AC828" s="44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69.760903597122308</v>
      </c>
    </row>
    <row r="829" spans="1:29" ht="15.75" x14ac:dyDescent="0.25">
      <c r="A829" s="31">
        <v>66142</v>
      </c>
      <c r="B829" s="14">
        <f>CHOOSE(CONTROL!$C$42, 77.013, 77.013) * CHOOSE(CONTROL!$C$21, $C$9, 100%, $E$9)</f>
        <v>77.013000000000005</v>
      </c>
      <c r="C829" s="14">
        <f>CHOOSE(CONTROL!$C$42, 77.0181, 77.0181) * CHOOSE(CONTROL!$C$21, $C$9, 100%, $E$9)</f>
        <v>77.018100000000004</v>
      </c>
      <c r="D829" s="14">
        <f>CHOOSE(CONTROL!$C$42, 77.0975, 77.0975) * CHOOSE(CONTROL!$C$21, $C$9, 100%, $E$9)</f>
        <v>77.097499999999997</v>
      </c>
      <c r="E829" s="14">
        <f>CHOOSE(CONTROL!$C$42, 77.1316, 77.1316) * CHOOSE(CONTROL!$C$21, $C$9, 100%, $E$9)</f>
        <v>77.131600000000006</v>
      </c>
      <c r="F829" s="14">
        <f>CHOOSE(CONTROL!$C$42, 77.0361, 77.0361)*CHOOSE(CONTROL!$C$21, $C$9, 100%, $E$9)</f>
        <v>77.036100000000005</v>
      </c>
      <c r="G829" s="14">
        <f>CHOOSE(CONTROL!$C$42, 77.0536, 77.0536)*CHOOSE(CONTROL!$C$21, $C$9, 100%, $E$9)</f>
        <v>77.053600000000003</v>
      </c>
      <c r="H829" s="14">
        <f>CHOOSE(CONTROL!$C$42, 77.1208, 77.1208) * CHOOSE(CONTROL!$C$21, $C$9, 100%, $E$9)</f>
        <v>77.120800000000003</v>
      </c>
      <c r="I829" s="14">
        <f>CHOOSE(CONTROL!$C$42, 77.2895, 77.2895)* CHOOSE(CONTROL!$C$21, $C$9, 100%, $E$9)</f>
        <v>77.289500000000004</v>
      </c>
      <c r="J829" s="14">
        <f>CHOOSE(CONTROL!$C$42, 77.0291, 77.0291)* CHOOSE(CONTROL!$C$21, $C$9, 100%, $E$9)</f>
        <v>77.0291</v>
      </c>
      <c r="K829" s="52">
        <f>CHOOSE(CONTROL!$C$42, 77.2856, 77.2856) * CHOOSE(CONTROL!$C$21, $C$9, 100%, $E$9)</f>
        <v>77.285600000000002</v>
      </c>
      <c r="L829" s="14">
        <f>CHOOSE(CONTROL!$C$42, 77.7078, 77.7078) * CHOOSE(CONTROL!$C$21, $C$9, 100%, $E$9)</f>
        <v>77.707800000000006</v>
      </c>
      <c r="M829" s="14">
        <f>CHOOSE(CONTROL!$C$42, 75.4585, 75.4585) * CHOOSE(CONTROL!$C$21, $C$9, 100%, $E$9)</f>
        <v>75.458500000000001</v>
      </c>
      <c r="N829" s="14">
        <f>CHOOSE(CONTROL!$C$42, 75.4756, 75.4756) * CHOOSE(CONTROL!$C$21, $C$9, 100%, $E$9)</f>
        <v>75.4756</v>
      </c>
      <c r="O829" s="14">
        <f>CHOOSE(CONTROL!$C$42, 75.5484, 75.5484) * CHOOSE(CONTROL!$C$21, $C$9, 100%, $E$9)</f>
        <v>75.548400000000001</v>
      </c>
      <c r="P829" s="14">
        <f>CHOOSE(CONTROL!$C$42, 75.7088, 75.7088) * CHOOSE(CONTROL!$C$21, $C$9, 100%, $E$9)</f>
        <v>75.708799999999997</v>
      </c>
      <c r="Q829" s="14">
        <f>CHOOSE(CONTROL!$C$42, 76.1431, 76.1431) * CHOOSE(CONTROL!$C$21, $C$9, 100%, $E$9)</f>
        <v>76.143100000000004</v>
      </c>
      <c r="R829" s="14">
        <f>CHOOSE(CONTROL!$C$42, 76.9204, 76.9204) * CHOOSE(CONTROL!$C$21, $C$9, 100%, $E$9)</f>
        <v>76.920400000000001</v>
      </c>
      <c r="S829" s="14">
        <f>CHOOSE(CONTROL!$C$42, 73.9933, 73.9933) * CHOOSE(CONTROL!$C$21, $C$9, 100%, $E$9)</f>
        <v>73.993300000000005</v>
      </c>
      <c r="T82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56">
        <f>(1000*CHOOSE(CONTROL!$C$42, 695, 695)*CHOOSE(CONTROL!$C$42, 0.5599, 0.5599)*CHOOSE(CONTROL!$C$42, 31, 31))/1000000</f>
        <v>12.063045499999998</v>
      </c>
      <c r="V829" s="56">
        <f>(1000*CHOOSE(CONTROL!$C$42, 500, 500)*CHOOSE(CONTROL!$C$42, 0.275, 0.275)*CHOOSE(CONTROL!$C$42, 31, 31))/1000000</f>
        <v>4.2625000000000002</v>
      </c>
      <c r="W829" s="56">
        <f>(1000*CHOOSE(CONTROL!$C$42, 0.1146, 0.1146)*CHOOSE(CONTROL!$C$42, 121.5, 121.5)*CHOOSE(CONTROL!$C$42, 31, 31))/1000000</f>
        <v>0.43164089999999994</v>
      </c>
      <c r="X829" s="56">
        <f>(31*0.1790888*100000/1000000)+(31*0.2374*100000/1000000)</f>
        <v>1.2911152800000001</v>
      </c>
      <c r="Y829" s="56"/>
      <c r="Z829" s="14"/>
      <c r="AA829" s="55"/>
      <c r="AB829" s="49">
        <f>(B829*122.58+C829*297.941+D829*89.177+E829*40.302+F829*40+G829*160+H829*0+I829*100+J829*300)/(122.58+297.941+89.177+40.302+0+40+160+100+300)</f>
        <v>77.059725889391302</v>
      </c>
      <c r="AC829" s="44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75.536244604316536</v>
      </c>
    </row>
    <row r="830" spans="1:29" ht="15.75" x14ac:dyDescent="0.25">
      <c r="A830" s="31">
        <v>66170</v>
      </c>
      <c r="B830" s="14">
        <f>CHOOSE(CONTROL!$C$42, 78.3838, 78.3838) * CHOOSE(CONTROL!$C$21, $C$9, 100%, $E$9)</f>
        <v>78.383799999999994</v>
      </c>
      <c r="C830" s="14">
        <f>CHOOSE(CONTROL!$C$42, 78.3889, 78.3889) * CHOOSE(CONTROL!$C$21, $C$9, 100%, $E$9)</f>
        <v>78.388900000000007</v>
      </c>
      <c r="D830" s="14">
        <f>CHOOSE(CONTROL!$C$42, 78.4683, 78.4683) * CHOOSE(CONTROL!$C$21, $C$9, 100%, $E$9)</f>
        <v>78.468299999999999</v>
      </c>
      <c r="E830" s="14">
        <f>CHOOSE(CONTROL!$C$42, 78.5024, 78.5024) * CHOOSE(CONTROL!$C$21, $C$9, 100%, $E$9)</f>
        <v>78.502399999999994</v>
      </c>
      <c r="F830" s="14">
        <f>CHOOSE(CONTROL!$C$42, 78.4066, 78.4066)*CHOOSE(CONTROL!$C$21, $C$9, 100%, $E$9)</f>
        <v>78.406599999999997</v>
      </c>
      <c r="G830" s="14">
        <f>CHOOSE(CONTROL!$C$42, 78.424, 78.424)*CHOOSE(CONTROL!$C$21, $C$9, 100%, $E$9)</f>
        <v>78.424000000000007</v>
      </c>
      <c r="H830" s="14">
        <f>CHOOSE(CONTROL!$C$42, 78.4916, 78.4916) * CHOOSE(CONTROL!$C$21, $C$9, 100%, $E$9)</f>
        <v>78.491600000000005</v>
      </c>
      <c r="I830" s="14">
        <f>CHOOSE(CONTROL!$C$42, 78.6646, 78.6646)* CHOOSE(CONTROL!$C$21, $C$9, 100%, $E$9)</f>
        <v>78.664599999999993</v>
      </c>
      <c r="J830" s="14">
        <f>CHOOSE(CONTROL!$C$42, 78.3996, 78.3996)* CHOOSE(CONTROL!$C$21, $C$9, 100%, $E$9)</f>
        <v>78.399600000000007</v>
      </c>
      <c r="K830" s="52">
        <f>CHOOSE(CONTROL!$C$42, 78.6607, 78.6607) * CHOOSE(CONTROL!$C$21, $C$9, 100%, $E$9)</f>
        <v>78.660700000000006</v>
      </c>
      <c r="L830" s="14">
        <f>CHOOSE(CONTROL!$C$42, 79.0786, 79.0786) * CHOOSE(CONTROL!$C$21, $C$9, 100%, $E$9)</f>
        <v>79.078599999999994</v>
      </c>
      <c r="M830" s="14">
        <f>CHOOSE(CONTROL!$C$42, 76.8009, 76.8009) * CHOOSE(CONTROL!$C$21, $C$9, 100%, $E$9)</f>
        <v>76.800899999999999</v>
      </c>
      <c r="N830" s="14">
        <f>CHOOSE(CONTROL!$C$42, 76.818, 76.818) * CHOOSE(CONTROL!$C$21, $C$9, 100%, $E$9)</f>
        <v>76.817999999999998</v>
      </c>
      <c r="O830" s="14">
        <f>CHOOSE(CONTROL!$C$42, 76.891, 76.891) * CHOOSE(CONTROL!$C$21, $C$9, 100%, $E$9)</f>
        <v>76.891000000000005</v>
      </c>
      <c r="P830" s="14">
        <f>CHOOSE(CONTROL!$C$42, 77.0556, 77.0556) * CHOOSE(CONTROL!$C$21, $C$9, 100%, $E$9)</f>
        <v>77.055599999999998</v>
      </c>
      <c r="Q830" s="14">
        <f>CHOOSE(CONTROL!$C$42, 77.4857, 77.4857) * CHOOSE(CONTROL!$C$21, $C$9, 100%, $E$9)</f>
        <v>77.485699999999994</v>
      </c>
      <c r="R830" s="14">
        <f>CHOOSE(CONTROL!$C$42, 78.2665, 78.2665) * CHOOSE(CONTROL!$C$21, $C$9, 100%, $E$9)</f>
        <v>78.266499999999994</v>
      </c>
      <c r="S830" s="14">
        <f>CHOOSE(CONTROL!$C$42, 75.3105, 75.3105) * CHOOSE(CONTROL!$C$21, $C$9, 100%, $E$9)</f>
        <v>75.310500000000005</v>
      </c>
      <c r="T83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56">
        <f>(1000*CHOOSE(CONTROL!$C$42, 695, 695)*CHOOSE(CONTROL!$C$42, 0.5599, 0.5599)*CHOOSE(CONTROL!$C$42, 28, 28))/1000000</f>
        <v>10.895653999999999</v>
      </c>
      <c r="V830" s="56">
        <f>(1000*CHOOSE(CONTROL!$C$42, 500, 500)*CHOOSE(CONTROL!$C$42, 0.275, 0.275)*CHOOSE(CONTROL!$C$42, 28, 28))/1000000</f>
        <v>3.85</v>
      </c>
      <c r="W830" s="56">
        <f>(1000*CHOOSE(CONTROL!$C$42, 0.1146, 0.1146)*CHOOSE(CONTROL!$C$42, 121.5, 121.5)*CHOOSE(CONTROL!$C$42, 28, 28))/1000000</f>
        <v>0.38986920000000003</v>
      </c>
      <c r="X830" s="56">
        <f>(28*0.1790888*100000/1000000)+(28*0.2374*100000/1000000)</f>
        <v>1.16616864</v>
      </c>
      <c r="Y830" s="56"/>
      <c r="Z830" s="14"/>
      <c r="AA830" s="55"/>
      <c r="AB830" s="49">
        <f>(B830*122.58+C830*297.941+D830*89.177+E830*40.302+F830*40+G830*160+H830*0+I830*100+J830*300)/(122.58+297.941+89.177+40.302+0+40+160+100+300)</f>
        <v>78.430755454608686</v>
      </c>
      <c r="AC830" s="44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76.879368345323741</v>
      </c>
    </row>
    <row r="831" spans="1:29" ht="15.75" x14ac:dyDescent="0.25">
      <c r="A831" s="31">
        <v>66201</v>
      </c>
      <c r="B831" s="14">
        <f>CHOOSE(CONTROL!$C$42, 76.1587, 76.1587) * CHOOSE(CONTROL!$C$21, $C$9, 100%, $E$9)</f>
        <v>76.158699999999996</v>
      </c>
      <c r="C831" s="14">
        <f>CHOOSE(CONTROL!$C$42, 76.1638, 76.1638) * CHOOSE(CONTROL!$C$21, $C$9, 100%, $E$9)</f>
        <v>76.163799999999995</v>
      </c>
      <c r="D831" s="14">
        <f>CHOOSE(CONTROL!$C$42, 76.2432, 76.2432) * CHOOSE(CONTROL!$C$21, $C$9, 100%, $E$9)</f>
        <v>76.243200000000002</v>
      </c>
      <c r="E831" s="14">
        <f>CHOOSE(CONTROL!$C$42, 76.2773, 76.2773) * CHOOSE(CONTROL!$C$21, $C$9, 100%, $E$9)</f>
        <v>76.277299999999997</v>
      </c>
      <c r="F831" s="14">
        <f>CHOOSE(CONTROL!$C$42, 76.1808, 76.1808)*CHOOSE(CONTROL!$C$21, $C$9, 100%, $E$9)</f>
        <v>76.180800000000005</v>
      </c>
      <c r="G831" s="14">
        <f>CHOOSE(CONTROL!$C$42, 76.198, 76.198)*CHOOSE(CONTROL!$C$21, $C$9, 100%, $E$9)</f>
        <v>76.197999999999993</v>
      </c>
      <c r="H831" s="14">
        <f>CHOOSE(CONTROL!$C$42, 76.2665, 76.2665) * CHOOSE(CONTROL!$C$21, $C$9, 100%, $E$9)</f>
        <v>76.266499999999994</v>
      </c>
      <c r="I831" s="14">
        <f>CHOOSE(CONTROL!$C$42, 76.4325, 76.4325)* CHOOSE(CONTROL!$C$21, $C$9, 100%, $E$9)</f>
        <v>76.432500000000005</v>
      </c>
      <c r="J831" s="14">
        <f>CHOOSE(CONTROL!$C$42, 76.1738, 76.1738)* CHOOSE(CONTROL!$C$21, $C$9, 100%, $E$9)</f>
        <v>76.1738</v>
      </c>
      <c r="K831" s="52">
        <f>CHOOSE(CONTROL!$C$42, 76.4286, 76.4286) * CHOOSE(CONTROL!$C$21, $C$9, 100%, $E$9)</f>
        <v>76.428600000000003</v>
      </c>
      <c r="L831" s="14">
        <f>CHOOSE(CONTROL!$C$42, 76.8535, 76.8535) * CHOOSE(CONTROL!$C$21, $C$9, 100%, $E$9)</f>
        <v>76.853499999999997</v>
      </c>
      <c r="M831" s="14">
        <f>CHOOSE(CONTROL!$C$42, 74.6207, 74.6207) * CHOOSE(CONTROL!$C$21, $C$9, 100%, $E$9)</f>
        <v>74.620699999999999</v>
      </c>
      <c r="N831" s="14">
        <f>CHOOSE(CONTROL!$C$42, 74.6376, 74.6376) * CHOOSE(CONTROL!$C$21, $C$9, 100%, $E$9)</f>
        <v>74.637600000000006</v>
      </c>
      <c r="O831" s="14">
        <f>CHOOSE(CONTROL!$C$42, 74.7115, 74.7115) * CHOOSE(CONTROL!$C$21, $C$9, 100%, $E$9)</f>
        <v>74.711500000000001</v>
      </c>
      <c r="P831" s="14">
        <f>CHOOSE(CONTROL!$C$42, 74.8694, 74.8694) * CHOOSE(CONTROL!$C$21, $C$9, 100%, $E$9)</f>
        <v>74.869399999999999</v>
      </c>
      <c r="Q831" s="14">
        <f>CHOOSE(CONTROL!$C$42, 75.3062, 75.3062) * CHOOSE(CONTROL!$C$21, $C$9, 100%, $E$9)</f>
        <v>75.306200000000004</v>
      </c>
      <c r="R831" s="14">
        <f>CHOOSE(CONTROL!$C$42, 76.0815, 76.0815) * CHOOSE(CONTROL!$C$21, $C$9, 100%, $E$9)</f>
        <v>76.081500000000005</v>
      </c>
      <c r="S831" s="14">
        <f>CHOOSE(CONTROL!$C$42, 73.1724, 73.1724) * CHOOSE(CONTROL!$C$21, $C$9, 100%, $E$9)</f>
        <v>73.172399999999996</v>
      </c>
      <c r="T83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56">
        <f>(1000*CHOOSE(CONTROL!$C$42, 695, 695)*CHOOSE(CONTROL!$C$42, 0.5599, 0.5599)*CHOOSE(CONTROL!$C$42, 31, 31))/1000000</f>
        <v>12.063045499999998</v>
      </c>
      <c r="V831" s="56">
        <f>(1000*CHOOSE(CONTROL!$C$42, 500, 500)*CHOOSE(CONTROL!$C$42, 0.275, 0.275)*CHOOSE(CONTROL!$C$42, 31, 31))/1000000</f>
        <v>4.2625000000000002</v>
      </c>
      <c r="W831" s="56">
        <f>(1000*CHOOSE(CONTROL!$C$42, 0.1146, 0.1146)*CHOOSE(CONTROL!$C$42, 121.5, 121.5)*CHOOSE(CONTROL!$C$42, 31, 31))/1000000</f>
        <v>0.43164089999999994</v>
      </c>
      <c r="X831" s="56">
        <f>(31*0.1790888*100000/1000000)+(31*0.2374*100000/1000000)</f>
        <v>1.2911152800000001</v>
      </c>
      <c r="Y831" s="56"/>
      <c r="Z831" s="14"/>
      <c r="AA831" s="55"/>
      <c r="AB831" s="49">
        <f>(B831*122.58+C831*297.941+D831*89.177+E831*40.302+F831*40+G831*160+H831*0+I831*100+J831*300)/(122.58+297.941+89.177+40.302+0+40+160+100+300)</f>
        <v>76.20471458504349</v>
      </c>
      <c r="AC831" s="44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74.698610791366917</v>
      </c>
    </row>
    <row r="832" spans="1:29" ht="15.75" x14ac:dyDescent="0.25">
      <c r="A832" s="31">
        <v>66231</v>
      </c>
      <c r="B832" s="14">
        <f>CHOOSE(CONTROL!$C$42, 75.9317, 75.9317) * CHOOSE(CONTROL!$C$21, $C$9, 100%, $E$9)</f>
        <v>75.931700000000006</v>
      </c>
      <c r="C832" s="14">
        <f>CHOOSE(CONTROL!$C$42, 75.9362, 75.9362) * CHOOSE(CONTROL!$C$21, $C$9, 100%, $E$9)</f>
        <v>75.936199999999999</v>
      </c>
      <c r="D832" s="14">
        <f>CHOOSE(CONTROL!$C$42, 76.1651, 76.1651) * CHOOSE(CONTROL!$C$21, $C$9, 100%, $E$9)</f>
        <v>76.165099999999995</v>
      </c>
      <c r="E832" s="14">
        <f>CHOOSE(CONTROL!$C$42, 76.1972, 76.1972) * CHOOSE(CONTROL!$C$21, $C$9, 100%, $E$9)</f>
        <v>76.197199999999995</v>
      </c>
      <c r="F832" s="14">
        <f>CHOOSE(CONTROL!$C$42, 75.9587, 75.9587)*CHOOSE(CONTROL!$C$21, $C$9, 100%, $E$9)</f>
        <v>75.958699999999993</v>
      </c>
      <c r="G832" s="14">
        <f>CHOOSE(CONTROL!$C$42, 75.9754, 75.9754)*CHOOSE(CONTROL!$C$21, $C$9, 100%, $E$9)</f>
        <v>75.975399999999993</v>
      </c>
      <c r="H832" s="14">
        <f>CHOOSE(CONTROL!$C$42, 76.187, 76.187) * CHOOSE(CONTROL!$C$21, $C$9, 100%, $E$9)</f>
        <v>76.186999999999998</v>
      </c>
      <c r="I832" s="14">
        <f>CHOOSE(CONTROL!$C$42, 76.2025, 76.2025)* CHOOSE(CONTROL!$C$21, $C$9, 100%, $E$9)</f>
        <v>76.202500000000001</v>
      </c>
      <c r="J832" s="14">
        <f>CHOOSE(CONTROL!$C$42, 75.9517, 75.9517)* CHOOSE(CONTROL!$C$21, $C$9, 100%, $E$9)</f>
        <v>75.951700000000002</v>
      </c>
      <c r="K832" s="52">
        <f>CHOOSE(CONTROL!$C$42, 76.1986, 76.1986) * CHOOSE(CONTROL!$C$21, $C$9, 100%, $E$9)</f>
        <v>76.198599999999999</v>
      </c>
      <c r="L832" s="14">
        <f>CHOOSE(CONTROL!$C$42, 76.774, 76.774) * CHOOSE(CONTROL!$C$21, $C$9, 100%, $E$9)</f>
        <v>76.774000000000001</v>
      </c>
      <c r="M832" s="14">
        <f>CHOOSE(CONTROL!$C$42, 74.4032, 74.4032) * CHOOSE(CONTROL!$C$21, $C$9, 100%, $E$9)</f>
        <v>74.403199999999998</v>
      </c>
      <c r="N832" s="14">
        <f>CHOOSE(CONTROL!$C$42, 74.4196, 74.4196) * CHOOSE(CONTROL!$C$21, $C$9, 100%, $E$9)</f>
        <v>74.419600000000003</v>
      </c>
      <c r="O832" s="14">
        <f>CHOOSE(CONTROL!$C$42, 74.6337, 74.6337) * CHOOSE(CONTROL!$C$21, $C$9, 100%, $E$9)</f>
        <v>74.633700000000005</v>
      </c>
      <c r="P832" s="14">
        <f>CHOOSE(CONTROL!$C$42, 74.6441, 74.6441) * CHOOSE(CONTROL!$C$21, $C$9, 100%, $E$9)</f>
        <v>74.644099999999995</v>
      </c>
      <c r="Q832" s="14">
        <f>CHOOSE(CONTROL!$C$42, 75.2284, 75.2284) * CHOOSE(CONTROL!$C$21, $C$9, 100%, $E$9)</f>
        <v>75.228399999999993</v>
      </c>
      <c r="R832" s="14">
        <f>CHOOSE(CONTROL!$C$42, 76.0035, 76.0035) * CHOOSE(CONTROL!$C$21, $C$9, 100%, $E$9)</f>
        <v>76.003500000000003</v>
      </c>
      <c r="S832" s="14">
        <f>CHOOSE(CONTROL!$C$42, 72.9535, 72.9535) * CHOOSE(CONTROL!$C$21, $C$9, 100%, $E$9)</f>
        <v>72.953500000000005</v>
      </c>
      <c r="T83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56">
        <f>(1000*CHOOSE(CONTROL!$C$42, 695, 695)*CHOOSE(CONTROL!$C$42, 0.5599, 0.5599)*CHOOSE(CONTROL!$C$42, 30, 30))/1000000</f>
        <v>11.673914999999997</v>
      </c>
      <c r="V832" s="56">
        <f>(1000*CHOOSE(CONTROL!$C$42, 500, 500)*CHOOSE(CONTROL!$C$42, 0.275, 0.275)*CHOOSE(CONTROL!$C$42, 30, 30))/1000000</f>
        <v>4.125</v>
      </c>
      <c r="W832" s="56">
        <f>(1000*CHOOSE(CONTROL!$C$42, 0.1146, 0.1146)*CHOOSE(CONTROL!$C$42, 121.5, 121.5)*CHOOSE(CONTROL!$C$42, 30, 30))/1000000</f>
        <v>0.417717</v>
      </c>
      <c r="X832" s="56">
        <f>(30*0.1790888*245000/1000000)+(30*0.2374*100000/1000000)</f>
        <v>2.0285026799999999</v>
      </c>
      <c r="Y832" s="56"/>
      <c r="Z832" s="14"/>
      <c r="AA832" s="55"/>
      <c r="AB832" s="49">
        <f>(B832*141.293+C832*267.993+D832*115.016+E832*89.698+F832*40+G832*185+H832*0+I832*100+J832*300)/(141.293+267.993+115.016+89.698+0+40+185+100+300)</f>
        <v>76.007656434140443</v>
      </c>
      <c r="AC832" s="44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74.543276978417268</v>
      </c>
    </row>
    <row r="833" spans="1:29" ht="15.75" x14ac:dyDescent="0.25">
      <c r="A833" s="31">
        <v>66262</v>
      </c>
      <c r="B833" s="14">
        <f>CHOOSE(CONTROL!$C$42, 76.6032, 76.6032) * CHOOSE(CONTROL!$C$21, $C$9, 100%, $E$9)</f>
        <v>76.603200000000001</v>
      </c>
      <c r="C833" s="14">
        <f>CHOOSE(CONTROL!$C$42, 76.6112, 76.6112) * CHOOSE(CONTROL!$C$21, $C$9, 100%, $E$9)</f>
        <v>76.611199999999997</v>
      </c>
      <c r="D833" s="14">
        <f>CHOOSE(CONTROL!$C$42, 76.837, 76.837) * CHOOSE(CONTROL!$C$21, $C$9, 100%, $E$9)</f>
        <v>76.837000000000003</v>
      </c>
      <c r="E833" s="14">
        <f>CHOOSE(CONTROL!$C$42, 76.8685, 76.8685) * CHOOSE(CONTROL!$C$21, $C$9, 100%, $E$9)</f>
        <v>76.868499999999997</v>
      </c>
      <c r="F833" s="14">
        <f>CHOOSE(CONTROL!$C$42, 76.6289, 76.6289)*CHOOSE(CONTROL!$C$21, $C$9, 100%, $E$9)</f>
        <v>76.628900000000002</v>
      </c>
      <c r="G833" s="14">
        <f>CHOOSE(CONTROL!$C$42, 76.6458, 76.6458)*CHOOSE(CONTROL!$C$21, $C$9, 100%, $E$9)</f>
        <v>76.645799999999994</v>
      </c>
      <c r="H833" s="14">
        <f>CHOOSE(CONTROL!$C$42, 76.8571, 76.8571) * CHOOSE(CONTROL!$C$21, $C$9, 100%, $E$9)</f>
        <v>76.857100000000003</v>
      </c>
      <c r="I833" s="14">
        <f>CHOOSE(CONTROL!$C$42, 76.8746, 76.8746)* CHOOSE(CONTROL!$C$21, $C$9, 100%, $E$9)</f>
        <v>76.874600000000001</v>
      </c>
      <c r="J833" s="14">
        <f>CHOOSE(CONTROL!$C$42, 76.6219, 76.6219)* CHOOSE(CONTROL!$C$21, $C$9, 100%, $E$9)</f>
        <v>76.621899999999997</v>
      </c>
      <c r="K833" s="52">
        <f>CHOOSE(CONTROL!$C$42, 76.8708, 76.8708) * CHOOSE(CONTROL!$C$21, $C$9, 100%, $E$9)</f>
        <v>76.870800000000003</v>
      </c>
      <c r="L833" s="14">
        <f>CHOOSE(CONTROL!$C$42, 77.4441, 77.4441) * CHOOSE(CONTROL!$C$21, $C$9, 100%, $E$9)</f>
        <v>77.444100000000006</v>
      </c>
      <c r="M833" s="14">
        <f>CHOOSE(CONTROL!$C$42, 75.0596, 75.0596) * CHOOSE(CONTROL!$C$21, $C$9, 100%, $E$9)</f>
        <v>75.059600000000003</v>
      </c>
      <c r="N833" s="14">
        <f>CHOOSE(CONTROL!$C$42, 75.0762, 75.0762) * CHOOSE(CONTROL!$C$21, $C$9, 100%, $E$9)</f>
        <v>75.0762</v>
      </c>
      <c r="O833" s="14">
        <f>CHOOSE(CONTROL!$C$42, 75.29, 75.29) * CHOOSE(CONTROL!$C$21, $C$9, 100%, $E$9)</f>
        <v>75.290000000000006</v>
      </c>
      <c r="P833" s="14">
        <f>CHOOSE(CONTROL!$C$42, 75.3025, 75.3025) * CHOOSE(CONTROL!$C$21, $C$9, 100%, $E$9)</f>
        <v>75.302499999999995</v>
      </c>
      <c r="Q833" s="14">
        <f>CHOOSE(CONTROL!$C$42, 75.8847, 75.8847) * CHOOSE(CONTROL!$C$21, $C$9, 100%, $E$9)</f>
        <v>75.884699999999995</v>
      </c>
      <c r="R833" s="14">
        <f>CHOOSE(CONTROL!$C$42, 76.6615, 76.6615) * CHOOSE(CONTROL!$C$21, $C$9, 100%, $E$9)</f>
        <v>76.661500000000004</v>
      </c>
      <c r="S833" s="14">
        <f>CHOOSE(CONTROL!$C$42, 73.5974, 73.5974) * CHOOSE(CONTROL!$C$21, $C$9, 100%, $E$9)</f>
        <v>73.597399999999993</v>
      </c>
      <c r="T83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56">
        <f>(1000*CHOOSE(CONTROL!$C$42, 695, 695)*CHOOSE(CONTROL!$C$42, 0.5599, 0.5599)*CHOOSE(CONTROL!$C$42, 31, 31))/1000000</f>
        <v>12.063045499999998</v>
      </c>
      <c r="V833" s="56">
        <f>(1000*CHOOSE(CONTROL!$C$42, 500, 500)*CHOOSE(CONTROL!$C$42, 0.275, 0.275)*CHOOSE(CONTROL!$C$42, 31, 31))/1000000</f>
        <v>4.2625000000000002</v>
      </c>
      <c r="W833" s="56">
        <f>(1000*CHOOSE(CONTROL!$C$42, 0.1146, 0.1146)*CHOOSE(CONTROL!$C$42, 121.5, 121.5)*CHOOSE(CONTROL!$C$42, 31, 31))/1000000</f>
        <v>0.43164089999999994</v>
      </c>
      <c r="X833" s="56">
        <f>(31*0.1790888*245000/1000000)+(31*0.2374*100000/1000000)</f>
        <v>2.0961194359999999</v>
      </c>
      <c r="Y833" s="56"/>
      <c r="Z833" s="14"/>
      <c r="AA833" s="55"/>
      <c r="AB833" s="49">
        <f>(B833*194.205+C833*267.466+D833*133.845+E833*53.484+F833*40+G833*185+H833*0+I833*100+J833*300)/(194.205+267.466+133.845+53.484+0+40+185+100+300)</f>
        <v>76.673279273312403</v>
      </c>
      <c r="AC833" s="44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75.1999309352518</v>
      </c>
    </row>
    <row r="834" spans="1:29" ht="15.75" x14ac:dyDescent="0.25">
      <c r="A834" s="31">
        <v>66292</v>
      </c>
      <c r="B834" s="14">
        <f>CHOOSE(CONTROL!$C$42, 78.7758, 78.7758) * CHOOSE(CONTROL!$C$21, $C$9, 100%, $E$9)</f>
        <v>78.775800000000004</v>
      </c>
      <c r="C834" s="14">
        <f>CHOOSE(CONTROL!$C$42, 78.7838, 78.7838) * CHOOSE(CONTROL!$C$21, $C$9, 100%, $E$9)</f>
        <v>78.783799999999999</v>
      </c>
      <c r="D834" s="14">
        <f>CHOOSE(CONTROL!$C$42, 79.0096, 79.0096) * CHOOSE(CONTROL!$C$21, $C$9, 100%, $E$9)</f>
        <v>79.009600000000006</v>
      </c>
      <c r="E834" s="14">
        <f>CHOOSE(CONTROL!$C$42, 79.0411, 79.0411) * CHOOSE(CONTROL!$C$21, $C$9, 100%, $E$9)</f>
        <v>79.0411</v>
      </c>
      <c r="F834" s="14">
        <f>CHOOSE(CONTROL!$C$42, 78.8019, 78.8019)*CHOOSE(CONTROL!$C$21, $C$9, 100%, $E$9)</f>
        <v>78.801900000000003</v>
      </c>
      <c r="G834" s="14">
        <f>CHOOSE(CONTROL!$C$42, 78.819, 78.819)*CHOOSE(CONTROL!$C$21, $C$9, 100%, $E$9)</f>
        <v>78.819000000000003</v>
      </c>
      <c r="H834" s="14">
        <f>CHOOSE(CONTROL!$C$42, 79.0297, 79.0297) * CHOOSE(CONTROL!$C$21, $C$9, 100%, $E$9)</f>
        <v>79.029700000000005</v>
      </c>
      <c r="I834" s="14">
        <f>CHOOSE(CONTROL!$C$42, 79.0541, 79.0541)* CHOOSE(CONTROL!$C$21, $C$9, 100%, $E$9)</f>
        <v>79.054100000000005</v>
      </c>
      <c r="J834" s="14">
        <f>CHOOSE(CONTROL!$C$42, 78.7949, 78.7949)* CHOOSE(CONTROL!$C$21, $C$9, 100%, $E$9)</f>
        <v>78.794899999999998</v>
      </c>
      <c r="K834" s="52">
        <f>CHOOSE(CONTROL!$C$42, 79.0502, 79.0502) * CHOOSE(CONTROL!$C$21, $C$9, 100%, $E$9)</f>
        <v>79.050200000000004</v>
      </c>
      <c r="L834" s="14">
        <f>CHOOSE(CONTROL!$C$42, 79.6167, 79.6167) * CHOOSE(CONTROL!$C$21, $C$9, 100%, $E$9)</f>
        <v>79.616699999999994</v>
      </c>
      <c r="M834" s="14">
        <f>CHOOSE(CONTROL!$C$42, 77.1882, 77.1882) * CHOOSE(CONTROL!$C$21, $C$9, 100%, $E$9)</f>
        <v>77.188199999999995</v>
      </c>
      <c r="N834" s="14">
        <f>CHOOSE(CONTROL!$C$42, 77.2049, 77.2049) * CHOOSE(CONTROL!$C$21, $C$9, 100%, $E$9)</f>
        <v>77.204899999999995</v>
      </c>
      <c r="O834" s="14">
        <f>CHOOSE(CONTROL!$C$42, 77.4182, 77.4182) * CHOOSE(CONTROL!$C$21, $C$9, 100%, $E$9)</f>
        <v>77.418199999999999</v>
      </c>
      <c r="P834" s="14">
        <f>CHOOSE(CONTROL!$C$42, 77.4371, 77.4371) * CHOOSE(CONTROL!$C$21, $C$9, 100%, $E$9)</f>
        <v>77.437100000000001</v>
      </c>
      <c r="Q834" s="14">
        <f>CHOOSE(CONTROL!$C$42, 78.0129, 78.0129) * CHOOSE(CONTROL!$C$21, $C$9, 100%, $E$9)</f>
        <v>78.012900000000002</v>
      </c>
      <c r="R834" s="14">
        <f>CHOOSE(CONTROL!$C$42, 78.7949, 78.7949) * CHOOSE(CONTROL!$C$21, $C$9, 100%, $E$9)</f>
        <v>78.794899999999998</v>
      </c>
      <c r="S834" s="14">
        <f>CHOOSE(CONTROL!$C$42, 75.685, 75.685) * CHOOSE(CONTROL!$C$21, $C$9, 100%, $E$9)</f>
        <v>75.685000000000002</v>
      </c>
      <c r="T83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56">
        <f>(1000*CHOOSE(CONTROL!$C$42, 695, 695)*CHOOSE(CONTROL!$C$42, 0.5599, 0.5599)*CHOOSE(CONTROL!$C$42, 30, 30))/1000000</f>
        <v>11.673914999999997</v>
      </c>
      <c r="V834" s="56">
        <f>(1000*CHOOSE(CONTROL!$C$42, 500, 500)*CHOOSE(CONTROL!$C$42, 0.275, 0.275)*CHOOSE(CONTROL!$C$42, 30, 30))/1000000</f>
        <v>4.125</v>
      </c>
      <c r="W834" s="56">
        <f>(1000*CHOOSE(CONTROL!$C$42, 0.1146, 0.1146)*CHOOSE(CONTROL!$C$42, 121.5, 121.5)*CHOOSE(CONTROL!$C$42, 30, 30))/1000000</f>
        <v>0.417717</v>
      </c>
      <c r="X834" s="56">
        <f>(30*0.1790888*245000/1000000)+(30*0.2374*100000/1000000)</f>
        <v>2.0285026799999999</v>
      </c>
      <c r="Y834" s="56"/>
      <c r="Z834" s="14"/>
      <c r="AA834" s="55"/>
      <c r="AB834" s="49">
        <f>(B834*194.205+C834*267.466+D834*133.845+E834*53.484+F834*40+G834*185+H834*0+I834*100+J834*300)/(194.205+267.466+133.845+53.484+0+40+185+100+300)</f>
        <v>78.846614752119322</v>
      </c>
      <c r="AC834" s="44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77.329218705035956</v>
      </c>
    </row>
    <row r="835" spans="1:29" ht="15.75" x14ac:dyDescent="0.25">
      <c r="A835" s="31">
        <v>66323</v>
      </c>
      <c r="B835" s="14">
        <f>CHOOSE(CONTROL!$C$42, 77.2647, 77.2647) * CHOOSE(CONTROL!$C$21, $C$9, 100%, $E$9)</f>
        <v>77.264700000000005</v>
      </c>
      <c r="C835" s="14">
        <f>CHOOSE(CONTROL!$C$42, 77.2728, 77.2728) * CHOOSE(CONTROL!$C$21, $C$9, 100%, $E$9)</f>
        <v>77.272800000000004</v>
      </c>
      <c r="D835" s="14">
        <f>CHOOSE(CONTROL!$C$42, 77.4986, 77.4986) * CHOOSE(CONTROL!$C$21, $C$9, 100%, $E$9)</f>
        <v>77.498599999999996</v>
      </c>
      <c r="E835" s="14">
        <f>CHOOSE(CONTROL!$C$42, 77.53, 77.53) * CHOOSE(CONTROL!$C$21, $C$9, 100%, $E$9)</f>
        <v>77.53</v>
      </c>
      <c r="F835" s="14">
        <f>CHOOSE(CONTROL!$C$42, 77.2913, 77.2913)*CHOOSE(CONTROL!$C$21, $C$9, 100%, $E$9)</f>
        <v>77.291300000000007</v>
      </c>
      <c r="G835" s="14">
        <f>CHOOSE(CONTROL!$C$42, 77.3085, 77.3085)*CHOOSE(CONTROL!$C$21, $C$9, 100%, $E$9)</f>
        <v>77.308499999999995</v>
      </c>
      <c r="H835" s="14">
        <f>CHOOSE(CONTROL!$C$42, 77.5187, 77.5187) * CHOOSE(CONTROL!$C$21, $C$9, 100%, $E$9)</f>
        <v>77.518699999999995</v>
      </c>
      <c r="I835" s="14">
        <f>CHOOSE(CONTROL!$C$42, 77.5383, 77.5383)* CHOOSE(CONTROL!$C$21, $C$9, 100%, $E$9)</f>
        <v>77.538300000000007</v>
      </c>
      <c r="J835" s="14">
        <f>CHOOSE(CONTROL!$C$42, 77.2843, 77.2843)* CHOOSE(CONTROL!$C$21, $C$9, 100%, $E$9)</f>
        <v>77.284300000000002</v>
      </c>
      <c r="K835" s="52">
        <f>CHOOSE(CONTROL!$C$42, 77.5344, 77.5344) * CHOOSE(CONTROL!$C$21, $C$9, 100%, $E$9)</f>
        <v>77.534400000000005</v>
      </c>
      <c r="L835" s="14">
        <f>CHOOSE(CONTROL!$C$42, 78.1057, 78.1057) * CHOOSE(CONTROL!$C$21, $C$9, 100%, $E$9)</f>
        <v>78.105699999999999</v>
      </c>
      <c r="M835" s="14">
        <f>CHOOSE(CONTROL!$C$42, 75.7085, 75.7085) * CHOOSE(CONTROL!$C$21, $C$9, 100%, $E$9)</f>
        <v>75.708500000000001</v>
      </c>
      <c r="N835" s="14">
        <f>CHOOSE(CONTROL!$C$42, 75.7254, 75.7254) * CHOOSE(CONTROL!$C$21, $C$9, 100%, $E$9)</f>
        <v>75.725399999999993</v>
      </c>
      <c r="O835" s="14">
        <f>CHOOSE(CONTROL!$C$42, 75.938, 75.938) * CHOOSE(CONTROL!$C$21, $C$9, 100%, $E$9)</f>
        <v>75.938000000000002</v>
      </c>
      <c r="P835" s="14">
        <f>CHOOSE(CONTROL!$C$42, 75.9525, 75.9525) * CHOOSE(CONTROL!$C$21, $C$9, 100%, $E$9)</f>
        <v>75.952500000000001</v>
      </c>
      <c r="Q835" s="14">
        <f>CHOOSE(CONTROL!$C$42, 76.5327, 76.5327) * CHOOSE(CONTROL!$C$21, $C$9, 100%, $E$9)</f>
        <v>76.532700000000006</v>
      </c>
      <c r="R835" s="14">
        <f>CHOOSE(CONTROL!$C$42, 77.3111, 77.3111) * CHOOSE(CONTROL!$C$21, $C$9, 100%, $E$9)</f>
        <v>77.311099999999996</v>
      </c>
      <c r="S835" s="14">
        <f>CHOOSE(CONTROL!$C$42, 74.2331, 74.2331) * CHOOSE(CONTROL!$C$21, $C$9, 100%, $E$9)</f>
        <v>74.233099999999993</v>
      </c>
      <c r="T83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56">
        <f>(1000*CHOOSE(CONTROL!$C$42, 695, 695)*CHOOSE(CONTROL!$C$42, 0.5599, 0.5599)*CHOOSE(CONTROL!$C$42, 31, 31))/1000000</f>
        <v>12.063045499999998</v>
      </c>
      <c r="V835" s="56">
        <f>(1000*CHOOSE(CONTROL!$C$42, 500, 500)*CHOOSE(CONTROL!$C$42, 0.275, 0.275)*CHOOSE(CONTROL!$C$42, 31, 31))/1000000</f>
        <v>4.2625000000000002</v>
      </c>
      <c r="W835" s="56">
        <f>(1000*CHOOSE(CONTROL!$C$42, 0.1146, 0.1146)*CHOOSE(CONTROL!$C$42, 121.5, 121.5)*CHOOSE(CONTROL!$C$42, 31, 31))/1000000</f>
        <v>0.43164089999999994</v>
      </c>
      <c r="X835" s="56">
        <f>(31*0.1790888*245000/1000000)+(31*0.2374*100000/1000000)</f>
        <v>2.0961194359999999</v>
      </c>
      <c r="Y835" s="56"/>
      <c r="Z835" s="14"/>
      <c r="AA835" s="55"/>
      <c r="AB835" s="49">
        <f>(B835*194.205+C835*267.466+D835*133.845+E835*53.484+F835*40+G835*185+H835*0+I835*100+J835*300)/(194.205+267.466+133.845+53.484+0+40+185+100+300)</f>
        <v>77.335397900549452</v>
      </c>
      <c r="AC835" s="44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75.848598561151078</v>
      </c>
    </row>
    <row r="836" spans="1:29" ht="15.75" x14ac:dyDescent="0.25">
      <c r="A836" s="31">
        <v>66354</v>
      </c>
      <c r="B836" s="14">
        <f>CHOOSE(CONTROL!$C$42, 73.4488, 73.4488) * CHOOSE(CONTROL!$C$21, $C$9, 100%, $E$9)</f>
        <v>73.448800000000006</v>
      </c>
      <c r="C836" s="14">
        <f>CHOOSE(CONTROL!$C$42, 73.4568, 73.4568) * CHOOSE(CONTROL!$C$21, $C$9, 100%, $E$9)</f>
        <v>73.456800000000001</v>
      </c>
      <c r="D836" s="14">
        <f>CHOOSE(CONTROL!$C$42, 73.6826, 73.6826) * CHOOSE(CONTROL!$C$21, $C$9, 100%, $E$9)</f>
        <v>73.682599999999994</v>
      </c>
      <c r="E836" s="14">
        <f>CHOOSE(CONTROL!$C$42, 73.7141, 73.7141) * CHOOSE(CONTROL!$C$21, $C$9, 100%, $E$9)</f>
        <v>73.714100000000002</v>
      </c>
      <c r="F836" s="14">
        <f>CHOOSE(CONTROL!$C$42, 73.4756, 73.4756)*CHOOSE(CONTROL!$C$21, $C$9, 100%, $E$9)</f>
        <v>73.4756</v>
      </c>
      <c r="G836" s="14">
        <f>CHOOSE(CONTROL!$C$42, 73.4929, 73.4929)*CHOOSE(CONTROL!$C$21, $C$9, 100%, $E$9)</f>
        <v>73.492900000000006</v>
      </c>
      <c r="H836" s="14">
        <f>CHOOSE(CONTROL!$C$42, 73.7027, 73.7027) * CHOOSE(CONTROL!$C$21, $C$9, 100%, $E$9)</f>
        <v>73.702699999999993</v>
      </c>
      <c r="I836" s="14">
        <f>CHOOSE(CONTROL!$C$42, 73.7104, 73.7104)* CHOOSE(CONTROL!$C$21, $C$9, 100%, $E$9)</f>
        <v>73.710400000000007</v>
      </c>
      <c r="J836" s="14">
        <f>CHOOSE(CONTROL!$C$42, 73.4686, 73.4686)* CHOOSE(CONTROL!$C$21, $C$9, 100%, $E$9)</f>
        <v>73.468599999999995</v>
      </c>
      <c r="K836" s="52">
        <f>CHOOSE(CONTROL!$C$42, 73.7065, 73.7065) * CHOOSE(CONTROL!$C$21, $C$9, 100%, $E$9)</f>
        <v>73.706500000000005</v>
      </c>
      <c r="L836" s="14">
        <f>CHOOSE(CONTROL!$C$42, 74.2897, 74.2897) * CHOOSE(CONTROL!$C$21, $C$9, 100%, $E$9)</f>
        <v>74.289699999999996</v>
      </c>
      <c r="M836" s="14">
        <f>CHOOSE(CONTROL!$C$42, 71.971, 71.971) * CHOOSE(CONTROL!$C$21, $C$9, 100%, $E$9)</f>
        <v>71.971000000000004</v>
      </c>
      <c r="N836" s="14">
        <f>CHOOSE(CONTROL!$C$42, 71.9879, 71.9879) * CHOOSE(CONTROL!$C$21, $C$9, 100%, $E$9)</f>
        <v>71.987899999999996</v>
      </c>
      <c r="O836" s="14">
        <f>CHOOSE(CONTROL!$C$42, 72.2003, 72.2003) * CHOOSE(CONTROL!$C$21, $C$9, 100%, $E$9)</f>
        <v>72.200299999999999</v>
      </c>
      <c r="P836" s="14">
        <f>CHOOSE(CONTROL!$C$42, 72.2032, 72.2032) * CHOOSE(CONTROL!$C$21, $C$9, 100%, $E$9)</f>
        <v>72.203199999999995</v>
      </c>
      <c r="Q836" s="14">
        <f>CHOOSE(CONTROL!$C$42, 72.795, 72.795) * CHOOSE(CONTROL!$C$21, $C$9, 100%, $E$9)</f>
        <v>72.795000000000002</v>
      </c>
      <c r="R836" s="14">
        <f>CHOOSE(CONTROL!$C$42, 73.564, 73.564) * CHOOSE(CONTROL!$C$21, $C$9, 100%, $E$9)</f>
        <v>73.563999999999993</v>
      </c>
      <c r="S836" s="14">
        <f>CHOOSE(CONTROL!$C$42, 70.5663, 70.5663) * CHOOSE(CONTROL!$C$21, $C$9, 100%, $E$9)</f>
        <v>70.566299999999998</v>
      </c>
      <c r="T83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56">
        <f>(1000*CHOOSE(CONTROL!$C$42, 695, 695)*CHOOSE(CONTROL!$C$42, 0.5599, 0.5599)*CHOOSE(CONTROL!$C$42, 31, 31))/1000000</f>
        <v>12.063045499999998</v>
      </c>
      <c r="V836" s="56">
        <f>(1000*CHOOSE(CONTROL!$C$42, 500, 500)*CHOOSE(CONTROL!$C$42, 0.275, 0.275)*CHOOSE(CONTROL!$C$42, 31, 31))/1000000</f>
        <v>4.2625000000000002</v>
      </c>
      <c r="W836" s="56">
        <f>(1000*CHOOSE(CONTROL!$C$42, 0.1146, 0.1146)*CHOOSE(CONTROL!$C$42, 121.5, 121.5)*CHOOSE(CONTROL!$C$42, 31, 31))/1000000</f>
        <v>0.43164089999999994</v>
      </c>
      <c r="X836" s="56">
        <f>(31*0.1790888*245000/1000000)+(31*0.2374*100000/1000000)</f>
        <v>2.0961194359999999</v>
      </c>
      <c r="Y836" s="56"/>
      <c r="Z836" s="14"/>
      <c r="AA836" s="55"/>
      <c r="AB836" s="49">
        <f>(B836*194.205+C836*267.466+D836*133.845+E836*53.484+F836*40+G836*185+H836*0+I836*100+J836*300)/(194.205+267.466+133.845+53.484+0+40+185+100+300)</f>
        <v>73.518621424018846</v>
      </c>
      <c r="AC836" s="44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72.109310071942446</v>
      </c>
    </row>
    <row r="837" spans="1:29" ht="15.75" x14ac:dyDescent="0.25">
      <c r="A837" s="31">
        <v>66384</v>
      </c>
      <c r="B837" s="14">
        <f>CHOOSE(CONTROL!$C$42, 68.7862, 68.7862) * CHOOSE(CONTROL!$C$21, $C$9, 100%, $E$9)</f>
        <v>68.786199999999994</v>
      </c>
      <c r="C837" s="14">
        <f>CHOOSE(CONTROL!$C$42, 68.7943, 68.7943) * CHOOSE(CONTROL!$C$21, $C$9, 100%, $E$9)</f>
        <v>68.794300000000007</v>
      </c>
      <c r="D837" s="14">
        <f>CHOOSE(CONTROL!$C$42, 69.02, 69.02) * CHOOSE(CONTROL!$C$21, $C$9, 100%, $E$9)</f>
        <v>69.02</v>
      </c>
      <c r="E837" s="14">
        <f>CHOOSE(CONTROL!$C$42, 69.0515, 69.0515) * CHOOSE(CONTROL!$C$21, $C$9, 100%, $E$9)</f>
        <v>69.051500000000004</v>
      </c>
      <c r="F837" s="14">
        <f>CHOOSE(CONTROL!$C$42, 68.813, 68.813)*CHOOSE(CONTROL!$C$21, $C$9, 100%, $E$9)</f>
        <v>68.813000000000002</v>
      </c>
      <c r="G837" s="14">
        <f>CHOOSE(CONTROL!$C$42, 68.8303, 68.8303)*CHOOSE(CONTROL!$C$21, $C$9, 100%, $E$9)</f>
        <v>68.830299999999994</v>
      </c>
      <c r="H837" s="14">
        <f>CHOOSE(CONTROL!$C$42, 69.0401, 69.0401) * CHOOSE(CONTROL!$C$21, $C$9, 100%, $E$9)</f>
        <v>69.040099999999995</v>
      </c>
      <c r="I837" s="14">
        <f>CHOOSE(CONTROL!$C$42, 69.0332, 69.0332)* CHOOSE(CONTROL!$C$21, $C$9, 100%, $E$9)</f>
        <v>69.033199999999994</v>
      </c>
      <c r="J837" s="14">
        <f>CHOOSE(CONTROL!$C$42, 68.806, 68.806)* CHOOSE(CONTROL!$C$21, $C$9, 100%, $E$9)</f>
        <v>68.805999999999997</v>
      </c>
      <c r="K837" s="52">
        <f>CHOOSE(CONTROL!$C$42, 69.0293, 69.0293) * CHOOSE(CONTROL!$C$21, $C$9, 100%, $E$9)</f>
        <v>69.029300000000006</v>
      </c>
      <c r="L837" s="14">
        <f>CHOOSE(CONTROL!$C$42, 69.6271, 69.6271) * CHOOSE(CONTROL!$C$21, $C$9, 100%, $E$9)</f>
        <v>69.627099999999999</v>
      </c>
      <c r="M837" s="14">
        <f>CHOOSE(CONTROL!$C$42, 67.4039, 67.4039) * CHOOSE(CONTROL!$C$21, $C$9, 100%, $E$9)</f>
        <v>67.403899999999993</v>
      </c>
      <c r="N837" s="14">
        <f>CHOOSE(CONTROL!$C$42, 67.4209, 67.4209) * CHOOSE(CONTROL!$C$21, $C$9, 100%, $E$9)</f>
        <v>67.420900000000003</v>
      </c>
      <c r="O837" s="14">
        <f>CHOOSE(CONTROL!$C$42, 67.6333, 67.6333) * CHOOSE(CONTROL!$C$21, $C$9, 100%, $E$9)</f>
        <v>67.633300000000006</v>
      </c>
      <c r="P837" s="14">
        <f>CHOOSE(CONTROL!$C$42, 67.6222, 67.6222) * CHOOSE(CONTROL!$C$21, $C$9, 100%, $E$9)</f>
        <v>67.622200000000007</v>
      </c>
      <c r="Q837" s="14">
        <f>CHOOSE(CONTROL!$C$42, 68.228, 68.228) * CHOOSE(CONTROL!$C$21, $C$9, 100%, $E$9)</f>
        <v>68.227999999999994</v>
      </c>
      <c r="R837" s="14">
        <f>CHOOSE(CONTROL!$C$42, 68.9855, 68.9855) * CHOOSE(CONTROL!$C$21, $C$9, 100%, $E$9)</f>
        <v>68.985500000000002</v>
      </c>
      <c r="S837" s="14">
        <f>CHOOSE(CONTROL!$C$42, 66.0861, 66.0861) * CHOOSE(CONTROL!$C$21, $C$9, 100%, $E$9)</f>
        <v>66.086100000000002</v>
      </c>
      <c r="T83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56">
        <f>(1000*CHOOSE(CONTROL!$C$42, 695, 695)*CHOOSE(CONTROL!$C$42, 0.5599, 0.5599)*CHOOSE(CONTROL!$C$42, 30, 30))/1000000</f>
        <v>11.673914999999997</v>
      </c>
      <c r="V837" s="56">
        <f>(1000*CHOOSE(CONTROL!$C$42, 500, 500)*CHOOSE(CONTROL!$C$42, 0.275, 0.275)*CHOOSE(CONTROL!$C$42, 30, 30))/1000000</f>
        <v>4.125</v>
      </c>
      <c r="W837" s="56">
        <f>(1000*CHOOSE(CONTROL!$C$42, 0.1146, 0.1146)*CHOOSE(CONTROL!$C$42, 121.5, 121.5)*CHOOSE(CONTROL!$C$42, 30, 30))/1000000</f>
        <v>0.417717</v>
      </c>
      <c r="X837" s="56">
        <f>(30*0.1790888*245000/1000000)+(30*0.2374*100000/1000000)</f>
        <v>2.0285026799999999</v>
      </c>
      <c r="Y837" s="56"/>
      <c r="Z837" s="14"/>
      <c r="AA837" s="55"/>
      <c r="AB837" s="49">
        <f>(B837*194.205+C837*267.466+D837*133.845+E837*53.484+F837*40+G837*185+H837*0+I837*100+J837*300)/(194.205+267.466+133.845+53.484+0+40+185+100+300)</f>
        <v>68.854896421350077</v>
      </c>
      <c r="AC837" s="44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67.540261151079136</v>
      </c>
    </row>
    <row r="838" spans="1:29" ht="15.75" x14ac:dyDescent="0.25">
      <c r="A838" s="31">
        <v>66415</v>
      </c>
      <c r="B838" s="14">
        <f>CHOOSE(CONTROL!$C$42, 67.3881, 67.3881) * CHOOSE(CONTROL!$C$21, $C$9, 100%, $E$9)</f>
        <v>67.388099999999994</v>
      </c>
      <c r="C838" s="14">
        <f>CHOOSE(CONTROL!$C$42, 67.3934, 67.3934) * CHOOSE(CONTROL!$C$21, $C$9, 100%, $E$9)</f>
        <v>67.3934</v>
      </c>
      <c r="D838" s="14">
        <f>CHOOSE(CONTROL!$C$42, 67.6242, 67.6242) * CHOOSE(CONTROL!$C$21, $C$9, 100%, $E$9)</f>
        <v>67.624200000000002</v>
      </c>
      <c r="E838" s="14">
        <f>CHOOSE(CONTROL!$C$42, 67.6533, 67.6533) * CHOOSE(CONTROL!$C$21, $C$9, 100%, $E$9)</f>
        <v>67.653300000000002</v>
      </c>
      <c r="F838" s="14">
        <f>CHOOSE(CONTROL!$C$42, 67.4169, 67.4169)*CHOOSE(CONTROL!$C$21, $C$9, 100%, $E$9)</f>
        <v>67.416899999999998</v>
      </c>
      <c r="G838" s="14">
        <f>CHOOSE(CONTROL!$C$42, 67.4341, 67.4341)*CHOOSE(CONTROL!$C$21, $C$9, 100%, $E$9)</f>
        <v>67.434100000000001</v>
      </c>
      <c r="H838" s="14">
        <f>CHOOSE(CONTROL!$C$42, 67.6437, 67.6437) * CHOOSE(CONTROL!$C$21, $C$9, 100%, $E$9)</f>
        <v>67.643699999999995</v>
      </c>
      <c r="I838" s="14">
        <f>CHOOSE(CONTROL!$C$42, 67.6324, 67.6324)* CHOOSE(CONTROL!$C$21, $C$9, 100%, $E$9)</f>
        <v>67.632400000000004</v>
      </c>
      <c r="J838" s="14">
        <f>CHOOSE(CONTROL!$C$42, 67.4099, 67.4099)* CHOOSE(CONTROL!$C$21, $C$9, 100%, $E$9)</f>
        <v>67.409899999999993</v>
      </c>
      <c r="K838" s="52">
        <f>CHOOSE(CONTROL!$C$42, 67.6285, 67.6285) * CHOOSE(CONTROL!$C$21, $C$9, 100%, $E$9)</f>
        <v>67.628500000000003</v>
      </c>
      <c r="L838" s="14">
        <f>CHOOSE(CONTROL!$C$42, 68.2307, 68.2307) * CHOOSE(CONTROL!$C$21, $C$9, 100%, $E$9)</f>
        <v>68.230699999999999</v>
      </c>
      <c r="M838" s="14">
        <f>CHOOSE(CONTROL!$C$42, 66.0364, 66.0364) * CHOOSE(CONTROL!$C$21, $C$9, 100%, $E$9)</f>
        <v>66.0364</v>
      </c>
      <c r="N838" s="14">
        <f>CHOOSE(CONTROL!$C$42, 66.0532, 66.0532) * CHOOSE(CONTROL!$C$21, $C$9, 100%, $E$9)</f>
        <v>66.053200000000004</v>
      </c>
      <c r="O838" s="14">
        <f>CHOOSE(CONTROL!$C$42, 66.2655, 66.2655) * CHOOSE(CONTROL!$C$21, $C$9, 100%, $E$9)</f>
        <v>66.265500000000003</v>
      </c>
      <c r="P838" s="14">
        <f>CHOOSE(CONTROL!$C$42, 66.2502, 66.2502) * CHOOSE(CONTROL!$C$21, $C$9, 100%, $E$9)</f>
        <v>66.250200000000007</v>
      </c>
      <c r="Q838" s="14">
        <f>CHOOSE(CONTROL!$C$42, 66.8602, 66.8602) * CHOOSE(CONTROL!$C$21, $C$9, 100%, $E$9)</f>
        <v>66.860200000000006</v>
      </c>
      <c r="R838" s="14">
        <f>CHOOSE(CONTROL!$C$42, 67.6143, 67.6143) * CHOOSE(CONTROL!$C$21, $C$9, 100%, $E$9)</f>
        <v>67.6143</v>
      </c>
      <c r="S838" s="14">
        <f>CHOOSE(CONTROL!$C$42, 64.7443, 64.7443) * CHOOSE(CONTROL!$C$21, $C$9, 100%, $E$9)</f>
        <v>64.744299999999996</v>
      </c>
      <c r="T83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56">
        <f>(1000*CHOOSE(CONTROL!$C$42, 695, 695)*CHOOSE(CONTROL!$C$42, 0.5599, 0.5599)*CHOOSE(CONTROL!$C$42, 31, 31))/1000000</f>
        <v>12.063045499999998</v>
      </c>
      <c r="V838" s="56">
        <f>(1000*CHOOSE(CONTROL!$C$42, 500, 500)*CHOOSE(CONTROL!$C$42, 0.275, 0.275)*CHOOSE(CONTROL!$C$42, 31, 31))/1000000</f>
        <v>4.2625000000000002</v>
      </c>
      <c r="W838" s="56">
        <f>(1000*CHOOSE(CONTROL!$C$42, 0.1146, 0.1146)*CHOOSE(CONTROL!$C$42, 121.5, 121.5)*CHOOSE(CONTROL!$C$42, 31, 31))/1000000</f>
        <v>0.43164089999999994</v>
      </c>
      <c r="X838" s="56">
        <f>(31*0.1790888*245000/1000000)+(31*0.2374*100000/1000000)</f>
        <v>2.0961194359999999</v>
      </c>
      <c r="Y838" s="56"/>
      <c r="Z838" s="14"/>
      <c r="AA838" s="55"/>
      <c r="AB838" s="49">
        <f>(B838*131.881+C838*277.167+D838*79.08+E838*125.872+F838*40+G838*185+H838*0+I838*100+J838*300)/(131.881+277.167+79.08+125.872+0+40+185+100+300)</f>
        <v>67.464091144067794</v>
      </c>
      <c r="AC838" s="44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66.171966187050359</v>
      </c>
    </row>
    <row r="839" spans="1:29" ht="15.75" x14ac:dyDescent="0.25">
      <c r="A839" s="31">
        <v>66445</v>
      </c>
      <c r="B839" s="14">
        <f>CHOOSE(CONTROL!$C$42, 69.1627, 69.1627) * CHOOSE(CONTROL!$C$21, $C$9, 100%, $E$9)</f>
        <v>69.162700000000001</v>
      </c>
      <c r="C839" s="14">
        <f>CHOOSE(CONTROL!$C$42, 69.1678, 69.1678) * CHOOSE(CONTROL!$C$21, $C$9, 100%, $E$9)</f>
        <v>69.1678</v>
      </c>
      <c r="D839" s="14">
        <f>CHOOSE(CONTROL!$C$42, 69.2368, 69.2368) * CHOOSE(CONTROL!$C$21, $C$9, 100%, $E$9)</f>
        <v>69.236800000000002</v>
      </c>
      <c r="E839" s="14">
        <f>CHOOSE(CONTROL!$C$42, 69.2709, 69.2709) * CHOOSE(CONTROL!$C$21, $C$9, 100%, $E$9)</f>
        <v>69.270899999999997</v>
      </c>
      <c r="F839" s="14">
        <f>CHOOSE(CONTROL!$C$42, 69.1983, 69.1983)*CHOOSE(CONTROL!$C$21, $C$9, 100%, $E$9)</f>
        <v>69.198300000000003</v>
      </c>
      <c r="G839" s="14">
        <f>CHOOSE(CONTROL!$C$42, 69.2157, 69.2157)*CHOOSE(CONTROL!$C$21, $C$9, 100%, $E$9)</f>
        <v>69.215699999999998</v>
      </c>
      <c r="H839" s="14">
        <f>CHOOSE(CONTROL!$C$42, 69.2601, 69.2601) * CHOOSE(CONTROL!$C$21, $C$9, 100%, $E$9)</f>
        <v>69.260099999999994</v>
      </c>
      <c r="I839" s="14">
        <f>CHOOSE(CONTROL!$C$42, 69.4157, 69.4157)* CHOOSE(CONTROL!$C$21, $C$9, 100%, $E$9)</f>
        <v>69.415700000000001</v>
      </c>
      <c r="J839" s="14">
        <f>CHOOSE(CONTROL!$C$42, 69.1913, 69.1913)* CHOOSE(CONTROL!$C$21, $C$9, 100%, $E$9)</f>
        <v>69.191299999999998</v>
      </c>
      <c r="K839" s="52">
        <f>CHOOSE(CONTROL!$C$42, 69.4118, 69.4118) * CHOOSE(CONTROL!$C$21, $C$9, 100%, $E$9)</f>
        <v>69.411799999999999</v>
      </c>
      <c r="L839" s="14">
        <f>CHOOSE(CONTROL!$C$42, 69.8471, 69.8471) * CHOOSE(CONTROL!$C$21, $C$9, 100%, $E$9)</f>
        <v>69.847099999999998</v>
      </c>
      <c r="M839" s="14">
        <f>CHOOSE(CONTROL!$C$42, 67.7813, 67.7813) * CHOOSE(CONTROL!$C$21, $C$9, 100%, $E$9)</f>
        <v>67.781300000000002</v>
      </c>
      <c r="N839" s="14">
        <f>CHOOSE(CONTROL!$C$42, 67.7984, 67.7984) * CHOOSE(CONTROL!$C$21, $C$9, 100%, $E$9)</f>
        <v>67.798400000000001</v>
      </c>
      <c r="O839" s="14">
        <f>CHOOSE(CONTROL!$C$42, 67.8487, 67.8487) * CHOOSE(CONTROL!$C$21, $C$9, 100%, $E$9)</f>
        <v>67.848699999999994</v>
      </c>
      <c r="P839" s="14">
        <f>CHOOSE(CONTROL!$C$42, 67.9968, 67.9968) * CHOOSE(CONTROL!$C$21, $C$9, 100%, $E$9)</f>
        <v>67.996799999999993</v>
      </c>
      <c r="Q839" s="14">
        <f>CHOOSE(CONTROL!$C$42, 68.4434, 68.4434) * CHOOSE(CONTROL!$C$21, $C$9, 100%, $E$9)</f>
        <v>68.443399999999997</v>
      </c>
      <c r="R839" s="14">
        <f>CHOOSE(CONTROL!$C$42, 69.2015, 69.2015) * CHOOSE(CONTROL!$C$21, $C$9, 100%, $E$9)</f>
        <v>69.201499999999996</v>
      </c>
      <c r="S839" s="14">
        <f>CHOOSE(CONTROL!$C$42, 66.4499, 66.4499) * CHOOSE(CONTROL!$C$21, $C$9, 100%, $E$9)</f>
        <v>66.4499</v>
      </c>
      <c r="T83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56">
        <f>(1000*CHOOSE(CONTROL!$C$42, 695, 695)*CHOOSE(CONTROL!$C$42, 0.5599, 0.5599)*CHOOSE(CONTROL!$C$42, 30, 30))/1000000</f>
        <v>11.673914999999997</v>
      </c>
      <c r="V839" s="56">
        <f>(1000*CHOOSE(CONTROL!$C$42, 500, 500)*CHOOSE(CONTROL!$C$42, 0.275, 0.275)*CHOOSE(CONTROL!$C$42, 30, 30))/1000000</f>
        <v>4.125</v>
      </c>
      <c r="W839" s="56">
        <f>(1000*CHOOSE(CONTROL!$C$42, 0.1146, 0.1146)*CHOOSE(CONTROL!$C$42, 121.5, 121.5)*CHOOSE(CONTROL!$C$42, 30, 30))/1000000</f>
        <v>0.417717</v>
      </c>
      <c r="X839" s="56">
        <f>(30*0.1790888*100000/1000000)+(30*0.2374*100000/1000000)</f>
        <v>1.2494664</v>
      </c>
      <c r="Y839" s="56"/>
      <c r="Z839" s="14"/>
      <c r="AA839" s="55"/>
      <c r="AB839" s="49">
        <f>(B839*122.58+C839*297.941+D839*89.177+E839*40.302+F839*40+G839*160+H839*0+I839*100+J839*300)/(122.58+297.941+89.177+40.302+0+40+160+100+300)</f>
        <v>69.211632340173921</v>
      </c>
      <c r="AC839" s="44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67.843839568345317</v>
      </c>
    </row>
    <row r="840" spans="1:29" ht="15.75" x14ac:dyDescent="0.25">
      <c r="A840" s="31">
        <v>66476</v>
      </c>
      <c r="B840" s="14">
        <f>CHOOSE(CONTROL!$C$42, 73.8775, 73.8775) * CHOOSE(CONTROL!$C$21, $C$9, 100%, $E$9)</f>
        <v>73.877499999999998</v>
      </c>
      <c r="C840" s="14">
        <f>CHOOSE(CONTROL!$C$42, 73.8826, 73.8826) * CHOOSE(CONTROL!$C$21, $C$9, 100%, $E$9)</f>
        <v>73.882599999999996</v>
      </c>
      <c r="D840" s="14">
        <f>CHOOSE(CONTROL!$C$42, 73.9516, 73.9516) * CHOOSE(CONTROL!$C$21, $C$9, 100%, $E$9)</f>
        <v>73.951599999999999</v>
      </c>
      <c r="E840" s="14">
        <f>CHOOSE(CONTROL!$C$42, 73.9857, 73.9857) * CHOOSE(CONTROL!$C$21, $C$9, 100%, $E$9)</f>
        <v>73.985699999999994</v>
      </c>
      <c r="F840" s="14">
        <f>CHOOSE(CONTROL!$C$42, 73.9154, 73.9154)*CHOOSE(CONTROL!$C$21, $C$9, 100%, $E$9)</f>
        <v>73.915400000000005</v>
      </c>
      <c r="G840" s="14">
        <f>CHOOSE(CONTROL!$C$42, 73.9334, 73.9334)*CHOOSE(CONTROL!$C$21, $C$9, 100%, $E$9)</f>
        <v>73.933400000000006</v>
      </c>
      <c r="H840" s="14">
        <f>CHOOSE(CONTROL!$C$42, 73.9749, 73.9749) * CHOOSE(CONTROL!$C$21, $C$9, 100%, $E$9)</f>
        <v>73.974900000000005</v>
      </c>
      <c r="I840" s="14">
        <f>CHOOSE(CONTROL!$C$42, 74.1453, 74.1453)* CHOOSE(CONTROL!$C$21, $C$9, 100%, $E$9)</f>
        <v>74.145300000000006</v>
      </c>
      <c r="J840" s="14">
        <f>CHOOSE(CONTROL!$C$42, 73.9084, 73.9084)* CHOOSE(CONTROL!$C$21, $C$9, 100%, $E$9)</f>
        <v>73.9084</v>
      </c>
      <c r="K840" s="52">
        <f>CHOOSE(CONTROL!$C$42, 74.1414, 74.1414) * CHOOSE(CONTROL!$C$21, $C$9, 100%, $E$9)</f>
        <v>74.141400000000004</v>
      </c>
      <c r="L840" s="14">
        <f>CHOOSE(CONTROL!$C$42, 74.5619, 74.5619) * CHOOSE(CONTROL!$C$21, $C$9, 100%, $E$9)</f>
        <v>74.561899999999994</v>
      </c>
      <c r="M840" s="14">
        <f>CHOOSE(CONTROL!$C$42, 72.4017, 72.4017) * CHOOSE(CONTROL!$C$21, $C$9, 100%, $E$9)</f>
        <v>72.401700000000005</v>
      </c>
      <c r="N840" s="14">
        <f>CHOOSE(CONTROL!$C$42, 72.4194, 72.4194) * CHOOSE(CONTROL!$C$21, $C$9, 100%, $E$9)</f>
        <v>72.419399999999996</v>
      </c>
      <c r="O840" s="14">
        <f>CHOOSE(CONTROL!$C$42, 72.4669, 72.4669) * CHOOSE(CONTROL!$C$21, $C$9, 100%, $E$9)</f>
        <v>72.466899999999995</v>
      </c>
      <c r="P840" s="14">
        <f>CHOOSE(CONTROL!$C$42, 72.6292, 72.6292) * CHOOSE(CONTROL!$C$21, $C$9, 100%, $E$9)</f>
        <v>72.629199999999997</v>
      </c>
      <c r="Q840" s="14">
        <f>CHOOSE(CONTROL!$C$42, 73.0616, 73.0616) * CHOOSE(CONTROL!$C$21, $C$9, 100%, $E$9)</f>
        <v>73.061599999999999</v>
      </c>
      <c r="R840" s="14">
        <f>CHOOSE(CONTROL!$C$42, 73.8313, 73.8313) * CHOOSE(CONTROL!$C$21, $C$9, 100%, $E$9)</f>
        <v>73.831299999999999</v>
      </c>
      <c r="S840" s="14">
        <f>CHOOSE(CONTROL!$C$42, 70.9804, 70.9804) * CHOOSE(CONTROL!$C$21, $C$9, 100%, $E$9)</f>
        <v>70.980400000000003</v>
      </c>
      <c r="T84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56">
        <f>(1000*CHOOSE(CONTROL!$C$42, 695, 695)*CHOOSE(CONTROL!$C$42, 0.5599, 0.5599)*CHOOSE(CONTROL!$C$42, 31, 31))/1000000</f>
        <v>12.063045499999998</v>
      </c>
      <c r="V840" s="56">
        <f>(1000*CHOOSE(CONTROL!$C$42, 500, 500)*CHOOSE(CONTROL!$C$42, 0.275, 0.275)*CHOOSE(CONTROL!$C$42, 31, 31))/1000000</f>
        <v>4.2625000000000002</v>
      </c>
      <c r="W840" s="56">
        <f>(1000*CHOOSE(CONTROL!$C$42, 0.1146, 0.1146)*CHOOSE(CONTROL!$C$42, 121.5, 121.5)*CHOOSE(CONTROL!$C$42, 31, 31))/1000000</f>
        <v>0.43164089999999994</v>
      </c>
      <c r="X840" s="56">
        <f>(31*0.1790888*100000/1000000)+(31*0.2374*100000/1000000)</f>
        <v>1.2911152800000001</v>
      </c>
      <c r="Y840" s="56"/>
      <c r="Z840" s="14"/>
      <c r="AA840" s="55"/>
      <c r="AB840" s="49">
        <f>(B840*122.58+C840*297.941+D840*89.177+E840*40.302+F840*40+G840*160+H840*0+I840*100+J840*300)/(122.58+297.941+89.177+40.302+0+40+160+100+300)</f>
        <v>73.928802774956523</v>
      </c>
      <c r="AC840" s="44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72.465003597122305</v>
      </c>
    </row>
    <row r="841" spans="1:29" ht="15.75" x14ac:dyDescent="0.25">
      <c r="A841" s="31">
        <v>66507</v>
      </c>
      <c r="B841" s="14">
        <f>CHOOSE(CONTROL!$C$42, 80.0013, 80.0013) * CHOOSE(CONTROL!$C$21, $C$9, 100%, $E$9)</f>
        <v>80.001300000000001</v>
      </c>
      <c r="C841" s="14">
        <f>CHOOSE(CONTROL!$C$42, 80.0063, 80.0063) * CHOOSE(CONTROL!$C$21, $C$9, 100%, $E$9)</f>
        <v>80.006299999999996</v>
      </c>
      <c r="D841" s="14">
        <f>CHOOSE(CONTROL!$C$42, 80.0857, 80.0857) * CHOOSE(CONTROL!$C$21, $C$9, 100%, $E$9)</f>
        <v>80.085700000000003</v>
      </c>
      <c r="E841" s="14">
        <f>CHOOSE(CONTROL!$C$42, 80.1199, 80.1199) * CHOOSE(CONTROL!$C$21, $C$9, 100%, $E$9)</f>
        <v>80.119900000000001</v>
      </c>
      <c r="F841" s="14">
        <f>CHOOSE(CONTROL!$C$42, 80.0243, 80.0243)*CHOOSE(CONTROL!$C$21, $C$9, 100%, $E$9)</f>
        <v>80.024299999999997</v>
      </c>
      <c r="G841" s="14">
        <f>CHOOSE(CONTROL!$C$42, 80.0418, 80.0418)*CHOOSE(CONTROL!$C$21, $C$9, 100%, $E$9)</f>
        <v>80.041799999999995</v>
      </c>
      <c r="H841" s="14">
        <f>CHOOSE(CONTROL!$C$42, 80.1091, 80.1091) * CHOOSE(CONTROL!$C$21, $C$9, 100%, $E$9)</f>
        <v>80.109099999999998</v>
      </c>
      <c r="I841" s="14">
        <f>CHOOSE(CONTROL!$C$42, 80.2871, 80.2871)* CHOOSE(CONTROL!$C$21, $C$9, 100%, $E$9)</f>
        <v>80.287099999999995</v>
      </c>
      <c r="J841" s="14">
        <f>CHOOSE(CONTROL!$C$42, 80.0173, 80.0173)* CHOOSE(CONTROL!$C$21, $C$9, 100%, $E$9)</f>
        <v>80.017300000000006</v>
      </c>
      <c r="K841" s="52">
        <f>CHOOSE(CONTROL!$C$42, 80.2832, 80.2832) * CHOOSE(CONTROL!$C$21, $C$9, 100%, $E$9)</f>
        <v>80.283199999999994</v>
      </c>
      <c r="L841" s="14">
        <f>CHOOSE(CONTROL!$C$42, 80.6961, 80.6961) * CHOOSE(CONTROL!$C$21, $C$9, 100%, $E$9)</f>
        <v>80.696100000000001</v>
      </c>
      <c r="M841" s="14">
        <f>CHOOSE(CONTROL!$C$42, 78.3855, 78.3855) * CHOOSE(CONTROL!$C$21, $C$9, 100%, $E$9)</f>
        <v>78.385499999999993</v>
      </c>
      <c r="N841" s="14">
        <f>CHOOSE(CONTROL!$C$42, 78.4026, 78.4026) * CHOOSE(CONTROL!$C$21, $C$9, 100%, $E$9)</f>
        <v>78.402600000000007</v>
      </c>
      <c r="O841" s="14">
        <f>CHOOSE(CONTROL!$C$42, 78.4754, 78.4754) * CHOOSE(CONTROL!$C$21, $C$9, 100%, $E$9)</f>
        <v>78.475399999999993</v>
      </c>
      <c r="P841" s="14">
        <f>CHOOSE(CONTROL!$C$42, 78.6448, 78.6448) * CHOOSE(CONTROL!$C$21, $C$9, 100%, $E$9)</f>
        <v>78.644800000000004</v>
      </c>
      <c r="Q841" s="14">
        <f>CHOOSE(CONTROL!$C$42, 79.0701, 79.0701) * CHOOSE(CONTROL!$C$21, $C$9, 100%, $E$9)</f>
        <v>79.070099999999996</v>
      </c>
      <c r="R841" s="14">
        <f>CHOOSE(CONTROL!$C$42, 79.8547, 79.8547) * CHOOSE(CONTROL!$C$21, $C$9, 100%, $E$9)</f>
        <v>79.854699999999994</v>
      </c>
      <c r="S841" s="14">
        <f>CHOOSE(CONTROL!$C$42, 76.8647, 76.8647) * CHOOSE(CONTROL!$C$21, $C$9, 100%, $E$9)</f>
        <v>76.864699999999999</v>
      </c>
      <c r="T84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56">
        <f>(1000*CHOOSE(CONTROL!$C$42, 695, 695)*CHOOSE(CONTROL!$C$42, 0.5599, 0.5599)*CHOOSE(CONTROL!$C$42, 31, 31))/1000000</f>
        <v>12.063045499999998</v>
      </c>
      <c r="V841" s="56">
        <f>(1000*CHOOSE(CONTROL!$C$42, 500, 500)*CHOOSE(CONTROL!$C$42, 0.275, 0.275)*CHOOSE(CONTROL!$C$42, 31, 31))/1000000</f>
        <v>4.2625000000000002</v>
      </c>
      <c r="W841" s="56">
        <f>(1000*CHOOSE(CONTROL!$C$42, 0.1146, 0.1146)*CHOOSE(CONTROL!$C$42, 121.5, 121.5)*CHOOSE(CONTROL!$C$42, 31, 31))/1000000</f>
        <v>0.43164089999999994</v>
      </c>
      <c r="X841" s="56">
        <f>(31*0.1790888*100000/1000000)+(31*0.2374*100000/1000000)</f>
        <v>1.2911152800000001</v>
      </c>
      <c r="Y841" s="56"/>
      <c r="Z841" s="14"/>
      <c r="AA841" s="55"/>
      <c r="AB841" s="49">
        <f>(B841*122.58+C841*297.941+D841*89.177+E841*40.302+F841*40+G841*160+H841*0+I841*100+J841*300)/(122.58+297.941+89.177+40.302+0+40+160+100+300)</f>
        <v>80.048757444347828</v>
      </c>
      <c r="AC841" s="44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78.464539568345316</v>
      </c>
    </row>
    <row r="842" spans="1:29" ht="15.75" x14ac:dyDescent="0.25">
      <c r="A842" s="31">
        <v>66535</v>
      </c>
      <c r="B842" s="14">
        <f>CHOOSE(CONTROL!$C$42, 81.4252, 81.4252) * CHOOSE(CONTROL!$C$21, $C$9, 100%, $E$9)</f>
        <v>81.425200000000004</v>
      </c>
      <c r="C842" s="14">
        <f>CHOOSE(CONTROL!$C$42, 81.4303, 81.4303) * CHOOSE(CONTROL!$C$21, $C$9, 100%, $E$9)</f>
        <v>81.430300000000003</v>
      </c>
      <c r="D842" s="14">
        <f>CHOOSE(CONTROL!$C$42, 81.5097, 81.5097) * CHOOSE(CONTROL!$C$21, $C$9, 100%, $E$9)</f>
        <v>81.509699999999995</v>
      </c>
      <c r="E842" s="14">
        <f>CHOOSE(CONTROL!$C$42, 81.5438, 81.5438) * CHOOSE(CONTROL!$C$21, $C$9, 100%, $E$9)</f>
        <v>81.543800000000005</v>
      </c>
      <c r="F842" s="14">
        <f>CHOOSE(CONTROL!$C$42, 81.448, 81.448)*CHOOSE(CONTROL!$C$21, $C$9, 100%, $E$9)</f>
        <v>81.447999999999993</v>
      </c>
      <c r="G842" s="14">
        <f>CHOOSE(CONTROL!$C$42, 81.4655, 81.4655)*CHOOSE(CONTROL!$C$21, $C$9, 100%, $E$9)</f>
        <v>81.465500000000006</v>
      </c>
      <c r="H842" s="14">
        <f>CHOOSE(CONTROL!$C$42, 81.533, 81.533) * CHOOSE(CONTROL!$C$21, $C$9, 100%, $E$9)</f>
        <v>81.533000000000001</v>
      </c>
      <c r="I842" s="14">
        <f>CHOOSE(CONTROL!$C$42, 81.7155, 81.7155)* CHOOSE(CONTROL!$C$21, $C$9, 100%, $E$9)</f>
        <v>81.715500000000006</v>
      </c>
      <c r="J842" s="14">
        <f>CHOOSE(CONTROL!$C$42, 81.441, 81.441)* CHOOSE(CONTROL!$C$21, $C$9, 100%, $E$9)</f>
        <v>81.441000000000003</v>
      </c>
      <c r="K842" s="52">
        <f>CHOOSE(CONTROL!$C$42, 81.7116, 81.7116) * CHOOSE(CONTROL!$C$21, $C$9, 100%, $E$9)</f>
        <v>81.711600000000004</v>
      </c>
      <c r="L842" s="14">
        <f>CHOOSE(CONTROL!$C$42, 82.12, 82.12) * CHOOSE(CONTROL!$C$21, $C$9, 100%, $E$9)</f>
        <v>82.12</v>
      </c>
      <c r="M842" s="14">
        <f>CHOOSE(CONTROL!$C$42, 79.78, 79.78) * CHOOSE(CONTROL!$C$21, $C$9, 100%, $E$9)</f>
        <v>79.78</v>
      </c>
      <c r="N842" s="14">
        <f>CHOOSE(CONTROL!$C$42, 79.7971, 79.7971) * CHOOSE(CONTROL!$C$21, $C$9, 100%, $E$9)</f>
        <v>79.7971</v>
      </c>
      <c r="O842" s="14">
        <f>CHOOSE(CONTROL!$C$42, 79.8702, 79.8702) * CHOOSE(CONTROL!$C$21, $C$9, 100%, $E$9)</f>
        <v>79.870199999999997</v>
      </c>
      <c r="P842" s="14">
        <f>CHOOSE(CONTROL!$C$42, 80.0439, 80.0439) * CHOOSE(CONTROL!$C$21, $C$9, 100%, $E$9)</f>
        <v>80.043899999999994</v>
      </c>
      <c r="Q842" s="14">
        <f>CHOOSE(CONTROL!$C$42, 80.4649, 80.4649) * CHOOSE(CONTROL!$C$21, $C$9, 100%, $E$9)</f>
        <v>80.4649</v>
      </c>
      <c r="R842" s="14">
        <f>CHOOSE(CONTROL!$C$42, 81.253, 81.253) * CHOOSE(CONTROL!$C$21, $C$9, 100%, $E$9)</f>
        <v>81.253</v>
      </c>
      <c r="S842" s="14">
        <f>CHOOSE(CONTROL!$C$42, 78.233, 78.233) * CHOOSE(CONTROL!$C$21, $C$9, 100%, $E$9)</f>
        <v>78.233000000000004</v>
      </c>
      <c r="T84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56">
        <f>(1000*CHOOSE(CONTROL!$C$42, 695, 695)*CHOOSE(CONTROL!$C$42, 0.5599, 0.5599)*CHOOSE(CONTROL!$C$42, 28, 28))/1000000</f>
        <v>10.895653999999999</v>
      </c>
      <c r="V842" s="56">
        <f>(1000*CHOOSE(CONTROL!$C$42, 500, 500)*CHOOSE(CONTROL!$C$42, 0.275, 0.275)*CHOOSE(CONTROL!$C$42, 28, 28))/1000000</f>
        <v>3.85</v>
      </c>
      <c r="W842" s="56">
        <f>(1000*CHOOSE(CONTROL!$C$42, 0.1146, 0.1146)*CHOOSE(CONTROL!$C$42, 121.5, 121.5)*CHOOSE(CONTROL!$C$42, 28, 28))/1000000</f>
        <v>0.38986920000000003</v>
      </c>
      <c r="X842" s="56">
        <f>(28*0.1790888*100000/1000000)+(28*0.2374*100000/1000000)</f>
        <v>1.16616864</v>
      </c>
      <c r="Y842" s="56"/>
      <c r="Z842" s="14"/>
      <c r="AA842" s="55"/>
      <c r="AB842" s="49">
        <f>(B842*122.58+C842*297.941+D842*89.177+E842*40.302+F842*40+G842*160+H842*0+I842*100+J842*300)/(122.58+297.941+89.177+40.302+0+40+160+100+300)</f>
        <v>81.472995454608693</v>
      </c>
      <c r="AC842" s="44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79.859837410071947</v>
      </c>
    </row>
    <row r="843" spans="1:29" ht="15.75" x14ac:dyDescent="0.25">
      <c r="A843" s="31">
        <v>66566</v>
      </c>
      <c r="B843" s="14">
        <f>CHOOSE(CONTROL!$C$42, 79.1138, 79.1138) * CHOOSE(CONTROL!$C$21, $C$9, 100%, $E$9)</f>
        <v>79.113799999999998</v>
      </c>
      <c r="C843" s="14">
        <f>CHOOSE(CONTROL!$C$42, 79.1188, 79.1188) * CHOOSE(CONTROL!$C$21, $C$9, 100%, $E$9)</f>
        <v>79.118799999999993</v>
      </c>
      <c r="D843" s="14">
        <f>CHOOSE(CONTROL!$C$42, 79.1983, 79.1983) * CHOOSE(CONTROL!$C$21, $C$9, 100%, $E$9)</f>
        <v>79.198300000000003</v>
      </c>
      <c r="E843" s="14">
        <f>CHOOSE(CONTROL!$C$42, 79.2324, 79.2324) * CHOOSE(CONTROL!$C$21, $C$9, 100%, $E$9)</f>
        <v>79.232399999999998</v>
      </c>
      <c r="F843" s="14">
        <f>CHOOSE(CONTROL!$C$42, 79.1358, 79.1358)*CHOOSE(CONTROL!$C$21, $C$9, 100%, $E$9)</f>
        <v>79.135800000000003</v>
      </c>
      <c r="G843" s="14">
        <f>CHOOSE(CONTROL!$C$42, 79.1531, 79.1531)*CHOOSE(CONTROL!$C$21, $C$9, 100%, $E$9)</f>
        <v>79.153099999999995</v>
      </c>
      <c r="H843" s="14">
        <f>CHOOSE(CONTROL!$C$42, 79.2216, 79.2216) * CHOOSE(CONTROL!$C$21, $C$9, 100%, $E$9)</f>
        <v>79.221599999999995</v>
      </c>
      <c r="I843" s="14">
        <f>CHOOSE(CONTROL!$C$42, 79.3968, 79.3968)* CHOOSE(CONTROL!$C$21, $C$9, 100%, $E$9)</f>
        <v>79.396799999999999</v>
      </c>
      <c r="J843" s="14">
        <f>CHOOSE(CONTROL!$C$42, 79.1288, 79.1288)* CHOOSE(CONTROL!$C$21, $C$9, 100%, $E$9)</f>
        <v>79.128799999999998</v>
      </c>
      <c r="K843" s="52">
        <f>CHOOSE(CONTROL!$C$42, 79.393, 79.393) * CHOOSE(CONTROL!$C$21, $C$9, 100%, $E$9)</f>
        <v>79.393000000000001</v>
      </c>
      <c r="L843" s="14">
        <f>CHOOSE(CONTROL!$C$42, 79.8086, 79.8086) * CHOOSE(CONTROL!$C$21, $C$9, 100%, $E$9)</f>
        <v>79.808599999999998</v>
      </c>
      <c r="M843" s="14">
        <f>CHOOSE(CONTROL!$C$42, 77.5152, 77.5152) * CHOOSE(CONTROL!$C$21, $C$9, 100%, $E$9)</f>
        <v>77.515199999999993</v>
      </c>
      <c r="N843" s="14">
        <f>CHOOSE(CONTROL!$C$42, 77.5321, 77.5321) * CHOOSE(CONTROL!$C$21, $C$9, 100%, $E$9)</f>
        <v>77.5321</v>
      </c>
      <c r="O843" s="14">
        <f>CHOOSE(CONTROL!$C$42, 77.6061, 77.6061) * CHOOSE(CONTROL!$C$21, $C$9, 100%, $E$9)</f>
        <v>77.606099999999998</v>
      </c>
      <c r="P843" s="14">
        <f>CHOOSE(CONTROL!$C$42, 77.7728, 77.7728) * CHOOSE(CONTROL!$C$21, $C$9, 100%, $E$9)</f>
        <v>77.772800000000004</v>
      </c>
      <c r="Q843" s="14">
        <f>CHOOSE(CONTROL!$C$42, 78.2008, 78.2008) * CHOOSE(CONTROL!$C$21, $C$9, 100%, $E$9)</f>
        <v>78.200800000000001</v>
      </c>
      <c r="R843" s="14">
        <f>CHOOSE(CONTROL!$C$42, 78.9833, 78.9833) * CHOOSE(CONTROL!$C$21, $C$9, 100%, $E$9)</f>
        <v>78.9833</v>
      </c>
      <c r="S843" s="14">
        <f>CHOOSE(CONTROL!$C$42, 76.0119, 76.0119) * CHOOSE(CONTROL!$C$21, $C$9, 100%, $E$9)</f>
        <v>76.011899999999997</v>
      </c>
      <c r="T84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56">
        <f>(1000*CHOOSE(CONTROL!$C$42, 695, 695)*CHOOSE(CONTROL!$C$42, 0.5599, 0.5599)*CHOOSE(CONTROL!$C$42, 31, 31))/1000000</f>
        <v>12.063045499999998</v>
      </c>
      <c r="V843" s="56">
        <f>(1000*CHOOSE(CONTROL!$C$42, 500, 500)*CHOOSE(CONTROL!$C$42, 0.275, 0.275)*CHOOSE(CONTROL!$C$42, 31, 31))/1000000</f>
        <v>4.2625000000000002</v>
      </c>
      <c r="W843" s="56">
        <f>(1000*CHOOSE(CONTROL!$C$42, 0.1146, 0.1146)*CHOOSE(CONTROL!$C$42, 121.5, 121.5)*CHOOSE(CONTROL!$C$42, 31, 31))/1000000</f>
        <v>0.43164089999999994</v>
      </c>
      <c r="X843" s="56">
        <f>(31*0.1790888*100000/1000000)+(31*0.2374*100000/1000000)</f>
        <v>1.2911152800000001</v>
      </c>
      <c r="Y843" s="56"/>
      <c r="Z843" s="14"/>
      <c r="AA843" s="55"/>
      <c r="AB843" s="49">
        <f>(B843*122.58+C843*297.941+D843*89.177+E843*40.302+F843*40+G843*160+H843*0+I843*100+J843*300)/(122.58+297.941+89.177+40.302+0+40+160+100+300)</f>
        <v>79.160559111913045</v>
      </c>
      <c r="AC843" s="44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77.59443669064747</v>
      </c>
    </row>
    <row r="844" spans="1:29" ht="15.75" x14ac:dyDescent="0.25">
      <c r="A844" s="31">
        <v>66596</v>
      </c>
      <c r="B844" s="14">
        <f>CHOOSE(CONTROL!$C$42, 78.8779, 78.8779) * CHOOSE(CONTROL!$C$21, $C$9, 100%, $E$9)</f>
        <v>78.877899999999997</v>
      </c>
      <c r="C844" s="14">
        <f>CHOOSE(CONTROL!$C$42, 78.8824, 78.8824) * CHOOSE(CONTROL!$C$21, $C$9, 100%, $E$9)</f>
        <v>78.882400000000004</v>
      </c>
      <c r="D844" s="14">
        <f>CHOOSE(CONTROL!$C$42, 79.1114, 79.1114) * CHOOSE(CONTROL!$C$21, $C$9, 100%, $E$9)</f>
        <v>79.111400000000003</v>
      </c>
      <c r="E844" s="14">
        <f>CHOOSE(CONTROL!$C$42, 79.1435, 79.1435) * CHOOSE(CONTROL!$C$21, $C$9, 100%, $E$9)</f>
        <v>79.143500000000003</v>
      </c>
      <c r="F844" s="14">
        <f>CHOOSE(CONTROL!$C$42, 78.9049, 78.9049)*CHOOSE(CONTROL!$C$21, $C$9, 100%, $E$9)</f>
        <v>78.904899999999998</v>
      </c>
      <c r="G844" s="14">
        <f>CHOOSE(CONTROL!$C$42, 78.9217, 78.9217)*CHOOSE(CONTROL!$C$21, $C$9, 100%, $E$9)</f>
        <v>78.921700000000001</v>
      </c>
      <c r="H844" s="14">
        <f>CHOOSE(CONTROL!$C$42, 79.1332, 79.1332) * CHOOSE(CONTROL!$C$21, $C$9, 100%, $E$9)</f>
        <v>79.133200000000002</v>
      </c>
      <c r="I844" s="14">
        <f>CHOOSE(CONTROL!$C$42, 79.1579, 79.1579)* CHOOSE(CONTROL!$C$21, $C$9, 100%, $E$9)</f>
        <v>79.157899999999998</v>
      </c>
      <c r="J844" s="14">
        <f>CHOOSE(CONTROL!$C$42, 78.8979, 78.8979)* CHOOSE(CONTROL!$C$21, $C$9, 100%, $E$9)</f>
        <v>78.897900000000007</v>
      </c>
      <c r="K844" s="52">
        <f>CHOOSE(CONTROL!$C$42, 79.154, 79.154) * CHOOSE(CONTROL!$C$21, $C$9, 100%, $E$9)</f>
        <v>79.153999999999996</v>
      </c>
      <c r="L844" s="14">
        <f>CHOOSE(CONTROL!$C$42, 79.7202, 79.7202) * CHOOSE(CONTROL!$C$21, $C$9, 100%, $E$9)</f>
        <v>79.720200000000006</v>
      </c>
      <c r="M844" s="14">
        <f>CHOOSE(CONTROL!$C$42, 77.2891, 77.2891) * CHOOSE(CONTROL!$C$21, $C$9, 100%, $E$9)</f>
        <v>77.289100000000005</v>
      </c>
      <c r="N844" s="14">
        <f>CHOOSE(CONTROL!$C$42, 77.3054, 77.3054) * CHOOSE(CONTROL!$C$21, $C$9, 100%, $E$9)</f>
        <v>77.305400000000006</v>
      </c>
      <c r="O844" s="14">
        <f>CHOOSE(CONTROL!$C$42, 77.5196, 77.5196) * CHOOSE(CONTROL!$C$21, $C$9, 100%, $E$9)</f>
        <v>77.519599999999997</v>
      </c>
      <c r="P844" s="14">
        <f>CHOOSE(CONTROL!$C$42, 77.5388, 77.5388) * CHOOSE(CONTROL!$C$21, $C$9, 100%, $E$9)</f>
        <v>77.538799999999995</v>
      </c>
      <c r="Q844" s="14">
        <f>CHOOSE(CONTROL!$C$42, 78.1143, 78.1143) * CHOOSE(CONTROL!$C$21, $C$9, 100%, $E$9)</f>
        <v>78.1143</v>
      </c>
      <c r="R844" s="14">
        <f>CHOOSE(CONTROL!$C$42, 78.8965, 78.8965) * CHOOSE(CONTROL!$C$21, $C$9, 100%, $E$9)</f>
        <v>78.896500000000003</v>
      </c>
      <c r="S844" s="14">
        <f>CHOOSE(CONTROL!$C$42, 75.7845, 75.7845) * CHOOSE(CONTROL!$C$21, $C$9, 100%, $E$9)</f>
        <v>75.784499999999994</v>
      </c>
      <c r="T84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56">
        <f>(1000*CHOOSE(CONTROL!$C$42, 695, 695)*CHOOSE(CONTROL!$C$42, 0.5599, 0.5599)*CHOOSE(CONTROL!$C$42, 30, 30))/1000000</f>
        <v>11.673914999999997</v>
      </c>
      <c r="V844" s="56">
        <f>(1000*CHOOSE(CONTROL!$C$42, 500, 500)*CHOOSE(CONTROL!$C$42, 0.275, 0.275)*CHOOSE(CONTROL!$C$42, 30, 30))/1000000</f>
        <v>4.125</v>
      </c>
      <c r="W844" s="56">
        <f>(1000*CHOOSE(CONTROL!$C$42, 0.1146, 0.1146)*CHOOSE(CONTROL!$C$42, 121.5, 121.5)*CHOOSE(CONTROL!$C$42, 30, 30))/1000000</f>
        <v>0.417717</v>
      </c>
      <c r="X844" s="56">
        <f>(30*0.1790888*245000/1000000)+(30*0.2374*100000/1000000)</f>
        <v>2.0285026799999999</v>
      </c>
      <c r="Y844" s="56"/>
      <c r="Z844" s="14"/>
      <c r="AA844" s="55"/>
      <c r="AB844" s="49">
        <f>(B844*141.293+C844*267.993+D844*115.016+E844*89.698+F844*40+G844*185+H844*0+I844*100+J844*300)/(141.293+267.993+115.016+89.698+0+40+185+100+300)</f>
        <v>78.954630422356729</v>
      </c>
      <c r="AC844" s="44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77.430437410071946</v>
      </c>
    </row>
    <row r="845" spans="1:29" ht="15.75" x14ac:dyDescent="0.25">
      <c r="A845" s="31">
        <v>66627</v>
      </c>
      <c r="B845" s="14">
        <f>CHOOSE(CONTROL!$C$42, 79.5754, 79.5754) * CHOOSE(CONTROL!$C$21, $C$9, 100%, $E$9)</f>
        <v>79.575400000000002</v>
      </c>
      <c r="C845" s="14">
        <f>CHOOSE(CONTROL!$C$42, 79.5835, 79.5835) * CHOOSE(CONTROL!$C$21, $C$9, 100%, $E$9)</f>
        <v>79.583500000000001</v>
      </c>
      <c r="D845" s="14">
        <f>CHOOSE(CONTROL!$C$42, 79.8092, 79.8092) * CHOOSE(CONTROL!$C$21, $C$9, 100%, $E$9)</f>
        <v>79.809200000000004</v>
      </c>
      <c r="E845" s="14">
        <f>CHOOSE(CONTROL!$C$42, 79.8407, 79.8407) * CHOOSE(CONTROL!$C$21, $C$9, 100%, $E$9)</f>
        <v>79.840699999999998</v>
      </c>
      <c r="F845" s="14">
        <f>CHOOSE(CONTROL!$C$42, 79.6011, 79.6011)*CHOOSE(CONTROL!$C$21, $C$9, 100%, $E$9)</f>
        <v>79.601100000000002</v>
      </c>
      <c r="G845" s="14">
        <f>CHOOSE(CONTROL!$C$42, 79.6181, 79.6181)*CHOOSE(CONTROL!$C$21, $C$9, 100%, $E$9)</f>
        <v>79.618099999999998</v>
      </c>
      <c r="H845" s="14">
        <f>CHOOSE(CONTROL!$C$42, 79.8293, 79.8293) * CHOOSE(CONTROL!$C$21, $C$9, 100%, $E$9)</f>
        <v>79.829300000000003</v>
      </c>
      <c r="I845" s="14">
        <f>CHOOSE(CONTROL!$C$42, 79.8562, 79.8562)* CHOOSE(CONTROL!$C$21, $C$9, 100%, $E$9)</f>
        <v>79.856200000000001</v>
      </c>
      <c r="J845" s="14">
        <f>CHOOSE(CONTROL!$C$42, 79.5941, 79.5941)* CHOOSE(CONTROL!$C$21, $C$9, 100%, $E$9)</f>
        <v>79.594099999999997</v>
      </c>
      <c r="K845" s="52">
        <f>CHOOSE(CONTROL!$C$42, 79.8523, 79.8523) * CHOOSE(CONTROL!$C$21, $C$9, 100%, $E$9)</f>
        <v>79.8523</v>
      </c>
      <c r="L845" s="14">
        <f>CHOOSE(CONTROL!$C$42, 80.4163, 80.4163) * CHOOSE(CONTROL!$C$21, $C$9, 100%, $E$9)</f>
        <v>80.416300000000007</v>
      </c>
      <c r="M845" s="14">
        <f>CHOOSE(CONTROL!$C$42, 77.971, 77.971) * CHOOSE(CONTROL!$C$21, $C$9, 100%, $E$9)</f>
        <v>77.971000000000004</v>
      </c>
      <c r="N845" s="14">
        <f>CHOOSE(CONTROL!$C$42, 77.9876, 77.9876) * CHOOSE(CONTROL!$C$21, $C$9, 100%, $E$9)</f>
        <v>77.9876</v>
      </c>
      <c r="O845" s="14">
        <f>CHOOSE(CONTROL!$C$42, 78.2014, 78.2014) * CHOOSE(CONTROL!$C$21, $C$9, 100%, $E$9)</f>
        <v>78.201400000000007</v>
      </c>
      <c r="P845" s="14">
        <f>CHOOSE(CONTROL!$C$42, 78.2227, 78.2227) * CHOOSE(CONTROL!$C$21, $C$9, 100%, $E$9)</f>
        <v>78.222700000000003</v>
      </c>
      <c r="Q845" s="14">
        <f>CHOOSE(CONTROL!$C$42, 78.7961, 78.7961) * CHOOSE(CONTROL!$C$21, $C$9, 100%, $E$9)</f>
        <v>78.796099999999996</v>
      </c>
      <c r="R845" s="14">
        <f>CHOOSE(CONTROL!$C$42, 79.5801, 79.5801) * CHOOSE(CONTROL!$C$21, $C$9, 100%, $E$9)</f>
        <v>79.580100000000002</v>
      </c>
      <c r="S845" s="14">
        <f>CHOOSE(CONTROL!$C$42, 76.4534, 76.4534) * CHOOSE(CONTROL!$C$21, $C$9, 100%, $E$9)</f>
        <v>76.453400000000002</v>
      </c>
      <c r="T84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56">
        <f>(1000*CHOOSE(CONTROL!$C$42, 695, 695)*CHOOSE(CONTROL!$C$42, 0.5599, 0.5599)*CHOOSE(CONTROL!$C$42, 31, 31))/1000000</f>
        <v>12.063045499999998</v>
      </c>
      <c r="V845" s="56">
        <f>(1000*CHOOSE(CONTROL!$C$42, 500, 500)*CHOOSE(CONTROL!$C$42, 0.275, 0.275)*CHOOSE(CONTROL!$C$42, 31, 31))/1000000</f>
        <v>4.2625000000000002</v>
      </c>
      <c r="W845" s="56">
        <f>(1000*CHOOSE(CONTROL!$C$42, 0.1146, 0.1146)*CHOOSE(CONTROL!$C$42, 121.5, 121.5)*CHOOSE(CONTROL!$C$42, 31, 31))/1000000</f>
        <v>0.43164089999999994</v>
      </c>
      <c r="X845" s="56">
        <f>(31*0.1790888*245000/1000000)+(31*0.2374*100000/1000000)</f>
        <v>2.0961194359999999</v>
      </c>
      <c r="Y845" s="56"/>
      <c r="Z845" s="14"/>
      <c r="AA845" s="55"/>
      <c r="AB845" s="49">
        <f>(B845*194.205+C845*267.466+D845*133.845+E845*53.484+F845*40+G845*185+H845*0+I845*100+J845*300)/(194.205+267.466+133.845+53.484+0+40+185+100+300)</f>
        <v>79.646252622291996</v>
      </c>
      <c r="AC845" s="44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78.112597122302162</v>
      </c>
    </row>
    <row r="846" spans="1:29" ht="15.75" x14ac:dyDescent="0.25">
      <c r="A846" s="31">
        <v>66657</v>
      </c>
      <c r="B846" s="14">
        <f>CHOOSE(CONTROL!$C$42, 81.8324, 81.8324) * CHOOSE(CONTROL!$C$21, $C$9, 100%, $E$9)</f>
        <v>81.832400000000007</v>
      </c>
      <c r="C846" s="14">
        <f>CHOOSE(CONTROL!$C$42, 81.8404, 81.8404) * CHOOSE(CONTROL!$C$21, $C$9, 100%, $E$9)</f>
        <v>81.840400000000002</v>
      </c>
      <c r="D846" s="14">
        <f>CHOOSE(CONTROL!$C$42, 82.0662, 82.0662) * CHOOSE(CONTROL!$C$21, $C$9, 100%, $E$9)</f>
        <v>82.066199999999995</v>
      </c>
      <c r="E846" s="14">
        <f>CHOOSE(CONTROL!$C$42, 82.0976, 82.0976) * CHOOSE(CONTROL!$C$21, $C$9, 100%, $E$9)</f>
        <v>82.0976</v>
      </c>
      <c r="F846" s="14">
        <f>CHOOSE(CONTROL!$C$42, 81.8585, 81.8585)*CHOOSE(CONTROL!$C$21, $C$9, 100%, $E$9)</f>
        <v>81.858500000000006</v>
      </c>
      <c r="G846" s="14">
        <f>CHOOSE(CONTROL!$C$42, 81.8755, 81.8755)*CHOOSE(CONTROL!$C$21, $C$9, 100%, $E$9)</f>
        <v>81.875500000000002</v>
      </c>
      <c r="H846" s="14">
        <f>CHOOSE(CONTROL!$C$42, 82.0863, 82.0863) * CHOOSE(CONTROL!$C$21, $C$9, 100%, $E$9)</f>
        <v>82.086299999999994</v>
      </c>
      <c r="I846" s="14">
        <f>CHOOSE(CONTROL!$C$42, 82.1202, 82.1202)* CHOOSE(CONTROL!$C$21, $C$9, 100%, $E$9)</f>
        <v>82.120199999999997</v>
      </c>
      <c r="J846" s="14">
        <f>CHOOSE(CONTROL!$C$42, 81.8515, 81.8515)* CHOOSE(CONTROL!$C$21, $C$9, 100%, $E$9)</f>
        <v>81.851500000000001</v>
      </c>
      <c r="K846" s="52">
        <f>CHOOSE(CONTROL!$C$42, 82.1163, 82.1163) * CHOOSE(CONTROL!$C$21, $C$9, 100%, $E$9)</f>
        <v>82.116299999999995</v>
      </c>
      <c r="L846" s="14">
        <f>CHOOSE(CONTROL!$C$42, 82.6733, 82.6733) * CHOOSE(CONTROL!$C$21, $C$9, 100%, $E$9)</f>
        <v>82.673299999999998</v>
      </c>
      <c r="M846" s="14">
        <f>CHOOSE(CONTROL!$C$42, 80.1821, 80.1821) * CHOOSE(CONTROL!$C$21, $C$9, 100%, $E$9)</f>
        <v>80.182100000000005</v>
      </c>
      <c r="N846" s="14">
        <f>CHOOSE(CONTROL!$C$42, 80.1988, 80.1988) * CHOOSE(CONTROL!$C$21, $C$9, 100%, $E$9)</f>
        <v>80.198800000000006</v>
      </c>
      <c r="O846" s="14">
        <f>CHOOSE(CONTROL!$C$42, 80.4121, 80.4121) * CHOOSE(CONTROL!$C$21, $C$9, 100%, $E$9)</f>
        <v>80.412099999999995</v>
      </c>
      <c r="P846" s="14">
        <f>CHOOSE(CONTROL!$C$42, 80.4402, 80.4402) * CHOOSE(CONTROL!$C$21, $C$9, 100%, $E$9)</f>
        <v>80.440200000000004</v>
      </c>
      <c r="Q846" s="14">
        <f>CHOOSE(CONTROL!$C$42, 81.0068, 81.0068) * CHOOSE(CONTROL!$C$21, $C$9, 100%, $E$9)</f>
        <v>81.006799999999998</v>
      </c>
      <c r="R846" s="14">
        <f>CHOOSE(CONTROL!$C$42, 81.7963, 81.7963) * CHOOSE(CONTROL!$C$21, $C$9, 100%, $E$9)</f>
        <v>81.796300000000002</v>
      </c>
      <c r="S846" s="14">
        <f>CHOOSE(CONTROL!$C$42, 78.6221, 78.6221) * CHOOSE(CONTROL!$C$21, $C$9, 100%, $E$9)</f>
        <v>78.622100000000003</v>
      </c>
      <c r="T84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56">
        <f>(1000*CHOOSE(CONTROL!$C$42, 695, 695)*CHOOSE(CONTROL!$C$42, 0.5599, 0.5599)*CHOOSE(CONTROL!$C$42, 30, 30))/1000000</f>
        <v>11.673914999999997</v>
      </c>
      <c r="V846" s="56">
        <f>(1000*CHOOSE(CONTROL!$C$42, 500, 500)*CHOOSE(CONTROL!$C$42, 0.275, 0.275)*CHOOSE(CONTROL!$C$42, 30, 30))/1000000</f>
        <v>4.125</v>
      </c>
      <c r="W846" s="56">
        <f>(1000*CHOOSE(CONTROL!$C$42, 0.1146, 0.1146)*CHOOSE(CONTROL!$C$42, 121.5, 121.5)*CHOOSE(CONTROL!$C$42, 30, 30))/1000000</f>
        <v>0.417717</v>
      </c>
      <c r="X846" s="56">
        <f>(30*0.1790888*245000/1000000)+(30*0.2374*100000/1000000)</f>
        <v>2.0285026799999999</v>
      </c>
      <c r="Y846" s="56"/>
      <c r="Z846" s="14"/>
      <c r="AA846" s="55"/>
      <c r="AB846" s="49">
        <f>(B846*194.205+C846*267.466+D846*133.845+E846*53.484+F846*40+G846*185+H846*0+I846*100+J846*300)/(194.205+267.466+133.845+53.484+0+40+185+100+300)</f>
        <v>81.903941715698593</v>
      </c>
      <c r="AC846" s="44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80.324442446043165</v>
      </c>
    </row>
    <row r="847" spans="1:29" ht="15.75" x14ac:dyDescent="0.25">
      <c r="A847" s="31">
        <v>66688</v>
      </c>
      <c r="B847" s="14">
        <f>CHOOSE(CONTROL!$C$42, 80.2627, 80.2627) * CHOOSE(CONTROL!$C$21, $C$9, 100%, $E$9)</f>
        <v>80.262699999999995</v>
      </c>
      <c r="C847" s="14">
        <f>CHOOSE(CONTROL!$C$42, 80.2707, 80.2707) * CHOOSE(CONTROL!$C$21, $C$9, 100%, $E$9)</f>
        <v>80.270700000000005</v>
      </c>
      <c r="D847" s="14">
        <f>CHOOSE(CONTROL!$C$42, 80.4965, 80.4965) * CHOOSE(CONTROL!$C$21, $C$9, 100%, $E$9)</f>
        <v>80.496499999999997</v>
      </c>
      <c r="E847" s="14">
        <f>CHOOSE(CONTROL!$C$42, 80.5279, 80.5279) * CHOOSE(CONTROL!$C$21, $C$9, 100%, $E$9)</f>
        <v>80.527900000000002</v>
      </c>
      <c r="F847" s="14">
        <f>CHOOSE(CONTROL!$C$42, 80.2892, 80.2892)*CHOOSE(CONTROL!$C$21, $C$9, 100%, $E$9)</f>
        <v>80.289199999999994</v>
      </c>
      <c r="G847" s="14">
        <f>CHOOSE(CONTROL!$C$42, 80.3064, 80.3064)*CHOOSE(CONTROL!$C$21, $C$9, 100%, $E$9)</f>
        <v>80.306399999999996</v>
      </c>
      <c r="H847" s="14">
        <f>CHOOSE(CONTROL!$C$42, 80.5166, 80.5166) * CHOOSE(CONTROL!$C$21, $C$9, 100%, $E$9)</f>
        <v>80.516599999999997</v>
      </c>
      <c r="I847" s="14">
        <f>CHOOSE(CONTROL!$C$42, 80.5456, 80.5456)* CHOOSE(CONTROL!$C$21, $C$9, 100%, $E$9)</f>
        <v>80.545599999999993</v>
      </c>
      <c r="J847" s="14">
        <f>CHOOSE(CONTROL!$C$42, 80.2822, 80.2822)* CHOOSE(CONTROL!$C$21, $C$9, 100%, $E$9)</f>
        <v>80.282200000000003</v>
      </c>
      <c r="K847" s="52">
        <f>CHOOSE(CONTROL!$C$42, 80.5417, 80.5417) * CHOOSE(CONTROL!$C$21, $C$9, 100%, $E$9)</f>
        <v>80.541700000000006</v>
      </c>
      <c r="L847" s="14">
        <f>CHOOSE(CONTROL!$C$42, 81.1036, 81.1036) * CHOOSE(CONTROL!$C$21, $C$9, 100%, $E$9)</f>
        <v>81.1036</v>
      </c>
      <c r="M847" s="14">
        <f>CHOOSE(CONTROL!$C$42, 78.645, 78.645) * CHOOSE(CONTROL!$C$21, $C$9, 100%, $E$9)</f>
        <v>78.644999999999996</v>
      </c>
      <c r="N847" s="14">
        <f>CHOOSE(CONTROL!$C$42, 78.6618, 78.6618) * CHOOSE(CONTROL!$C$21, $C$9, 100%, $E$9)</f>
        <v>78.661799999999999</v>
      </c>
      <c r="O847" s="14">
        <f>CHOOSE(CONTROL!$C$42, 78.8745, 78.8745) * CHOOSE(CONTROL!$C$21, $C$9, 100%, $E$9)</f>
        <v>78.874499999999998</v>
      </c>
      <c r="P847" s="14">
        <f>CHOOSE(CONTROL!$C$42, 78.8979, 78.8979) * CHOOSE(CONTROL!$C$21, $C$9, 100%, $E$9)</f>
        <v>78.897900000000007</v>
      </c>
      <c r="Q847" s="14">
        <f>CHOOSE(CONTROL!$C$42, 79.4692, 79.4692) * CHOOSE(CONTROL!$C$21, $C$9, 100%, $E$9)</f>
        <v>79.469200000000001</v>
      </c>
      <c r="R847" s="14">
        <f>CHOOSE(CONTROL!$C$42, 80.2549, 80.2549) * CHOOSE(CONTROL!$C$21, $C$9, 100%, $E$9)</f>
        <v>80.254900000000006</v>
      </c>
      <c r="S847" s="14">
        <f>CHOOSE(CONTROL!$C$42, 77.1137, 77.1137) * CHOOSE(CONTROL!$C$21, $C$9, 100%, $E$9)</f>
        <v>77.113699999999994</v>
      </c>
      <c r="T84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56">
        <f>(1000*CHOOSE(CONTROL!$C$42, 695, 695)*CHOOSE(CONTROL!$C$42, 0.5599, 0.5599)*CHOOSE(CONTROL!$C$42, 31, 31))/1000000</f>
        <v>12.063045499999998</v>
      </c>
      <c r="V847" s="56">
        <f>(1000*CHOOSE(CONTROL!$C$42, 500, 500)*CHOOSE(CONTROL!$C$42, 0.275, 0.275)*CHOOSE(CONTROL!$C$42, 31, 31))/1000000</f>
        <v>4.2625000000000002</v>
      </c>
      <c r="W847" s="56">
        <f>(1000*CHOOSE(CONTROL!$C$42, 0.1146, 0.1146)*CHOOSE(CONTROL!$C$42, 121.5, 121.5)*CHOOSE(CONTROL!$C$42, 31, 31))/1000000</f>
        <v>0.43164089999999994</v>
      </c>
      <c r="X847" s="56">
        <f>(31*0.1790888*245000/1000000)+(31*0.2374*100000/1000000)</f>
        <v>2.0961194359999999</v>
      </c>
      <c r="Y847" s="56"/>
      <c r="Z847" s="14"/>
      <c r="AA847" s="55"/>
      <c r="AB847" s="49">
        <f>(B847*194.205+C847*267.466+D847*133.845+E847*53.484+F847*40+G847*185+H847*0+I847*100+J847*300)/(194.205+267.466+133.845+53.484+0+40+185+100+300)</f>
        <v>80.33405097786499</v>
      </c>
      <c r="AC847" s="44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78.786373381294965</v>
      </c>
    </row>
    <row r="848" spans="1:29" ht="15.75" x14ac:dyDescent="0.25">
      <c r="A848" s="31">
        <v>66719</v>
      </c>
      <c r="B848" s="14">
        <f>CHOOSE(CONTROL!$C$42, 76.2986, 76.2986) * CHOOSE(CONTROL!$C$21, $C$9, 100%, $E$9)</f>
        <v>76.298599999999993</v>
      </c>
      <c r="C848" s="14">
        <f>CHOOSE(CONTROL!$C$42, 76.3067, 76.3067) * CHOOSE(CONTROL!$C$21, $C$9, 100%, $E$9)</f>
        <v>76.306700000000006</v>
      </c>
      <c r="D848" s="14">
        <f>CHOOSE(CONTROL!$C$42, 76.5325, 76.5325) * CHOOSE(CONTROL!$C$21, $C$9, 100%, $E$9)</f>
        <v>76.532499999999999</v>
      </c>
      <c r="E848" s="14">
        <f>CHOOSE(CONTROL!$C$42, 76.5639, 76.5639) * CHOOSE(CONTROL!$C$21, $C$9, 100%, $E$9)</f>
        <v>76.563900000000004</v>
      </c>
      <c r="F848" s="14">
        <f>CHOOSE(CONTROL!$C$42, 76.3255, 76.3255)*CHOOSE(CONTROL!$C$21, $C$9, 100%, $E$9)</f>
        <v>76.325500000000005</v>
      </c>
      <c r="G848" s="14">
        <f>CHOOSE(CONTROL!$C$42, 76.3427, 76.3427)*CHOOSE(CONTROL!$C$21, $C$9, 100%, $E$9)</f>
        <v>76.342699999999994</v>
      </c>
      <c r="H848" s="14">
        <f>CHOOSE(CONTROL!$C$42, 76.5526, 76.5526) * CHOOSE(CONTROL!$C$21, $C$9, 100%, $E$9)</f>
        <v>76.552599999999998</v>
      </c>
      <c r="I848" s="14">
        <f>CHOOSE(CONTROL!$C$42, 76.5691, 76.5691)* CHOOSE(CONTROL!$C$21, $C$9, 100%, $E$9)</f>
        <v>76.569100000000006</v>
      </c>
      <c r="J848" s="14">
        <f>CHOOSE(CONTROL!$C$42, 76.3185, 76.3185)* CHOOSE(CONTROL!$C$21, $C$9, 100%, $E$9)</f>
        <v>76.3185</v>
      </c>
      <c r="K848" s="52">
        <f>CHOOSE(CONTROL!$C$42, 76.5652, 76.5652) * CHOOSE(CONTROL!$C$21, $C$9, 100%, $E$9)</f>
        <v>76.565200000000004</v>
      </c>
      <c r="L848" s="14">
        <f>CHOOSE(CONTROL!$C$42, 77.1396, 77.1396) * CHOOSE(CONTROL!$C$21, $C$9, 100%, $E$9)</f>
        <v>77.139600000000002</v>
      </c>
      <c r="M848" s="14">
        <f>CHOOSE(CONTROL!$C$42, 74.7624, 74.7624) * CHOOSE(CONTROL!$C$21, $C$9, 100%, $E$9)</f>
        <v>74.7624</v>
      </c>
      <c r="N848" s="14">
        <f>CHOOSE(CONTROL!$C$42, 74.7793, 74.7793) * CHOOSE(CONTROL!$C$21, $C$9, 100%, $E$9)</f>
        <v>74.779300000000006</v>
      </c>
      <c r="O848" s="14">
        <f>CHOOSE(CONTROL!$C$42, 74.9917, 74.9917) * CHOOSE(CONTROL!$C$21, $C$9, 100%, $E$9)</f>
        <v>74.991699999999994</v>
      </c>
      <c r="P848" s="14">
        <f>CHOOSE(CONTROL!$C$42, 75.0032, 75.0032) * CHOOSE(CONTROL!$C$21, $C$9, 100%, $E$9)</f>
        <v>75.003200000000007</v>
      </c>
      <c r="Q848" s="14">
        <f>CHOOSE(CONTROL!$C$42, 75.5864, 75.5864) * CHOOSE(CONTROL!$C$21, $C$9, 100%, $E$9)</f>
        <v>75.586399999999998</v>
      </c>
      <c r="R848" s="14">
        <f>CHOOSE(CONTROL!$C$42, 76.3624, 76.3624) * CHOOSE(CONTROL!$C$21, $C$9, 100%, $E$9)</f>
        <v>76.362399999999994</v>
      </c>
      <c r="S848" s="14">
        <f>CHOOSE(CONTROL!$C$42, 73.3047, 73.3047) * CHOOSE(CONTROL!$C$21, $C$9, 100%, $E$9)</f>
        <v>73.304699999999997</v>
      </c>
      <c r="T84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56">
        <f>(1000*CHOOSE(CONTROL!$C$42, 695, 695)*CHOOSE(CONTROL!$C$42, 0.5599, 0.5599)*CHOOSE(CONTROL!$C$42, 31, 31))/1000000</f>
        <v>12.063045499999998</v>
      </c>
      <c r="V848" s="56">
        <f>(1000*CHOOSE(CONTROL!$C$42, 500, 500)*CHOOSE(CONTROL!$C$42, 0.275, 0.275)*CHOOSE(CONTROL!$C$42, 31, 31))/1000000</f>
        <v>4.2625000000000002</v>
      </c>
      <c r="W848" s="56">
        <f>(1000*CHOOSE(CONTROL!$C$42, 0.1146, 0.1146)*CHOOSE(CONTROL!$C$42, 121.5, 121.5)*CHOOSE(CONTROL!$C$42, 31, 31))/1000000</f>
        <v>0.43164089999999994</v>
      </c>
      <c r="X848" s="56">
        <f>(31*0.1790888*245000/1000000)+(31*0.2374*100000/1000000)</f>
        <v>2.0961194359999999</v>
      </c>
      <c r="Y848" s="56"/>
      <c r="Z848" s="14"/>
      <c r="AA848" s="55"/>
      <c r="AB848" s="49">
        <f>(B848*194.205+C848*267.466+D848*133.845+E848*53.484+F848*40+G848*185+H848*0+I848*100+J848*300)/(194.205+267.466+133.845+53.484+0+40+185+100+300)</f>
        <v>76.36917819882261</v>
      </c>
      <c r="AC848" s="44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74.901947482014378</v>
      </c>
    </row>
    <row r="849" spans="1:29" ht="15.75" x14ac:dyDescent="0.25">
      <c r="A849" s="31">
        <v>66749</v>
      </c>
      <c r="B849" s="14">
        <f>CHOOSE(CONTROL!$C$42, 71.4551, 71.4551) * CHOOSE(CONTROL!$C$21, $C$9, 100%, $E$9)</f>
        <v>71.455100000000002</v>
      </c>
      <c r="C849" s="14">
        <f>CHOOSE(CONTROL!$C$42, 71.4632, 71.4632) * CHOOSE(CONTROL!$C$21, $C$9, 100%, $E$9)</f>
        <v>71.463200000000001</v>
      </c>
      <c r="D849" s="14">
        <f>CHOOSE(CONTROL!$C$42, 71.6889, 71.6889) * CHOOSE(CONTROL!$C$21, $C$9, 100%, $E$9)</f>
        <v>71.688900000000004</v>
      </c>
      <c r="E849" s="14">
        <f>CHOOSE(CONTROL!$C$42, 71.7204, 71.7204) * CHOOSE(CONTROL!$C$21, $C$9, 100%, $E$9)</f>
        <v>71.720399999999998</v>
      </c>
      <c r="F849" s="14">
        <f>CHOOSE(CONTROL!$C$42, 71.4819, 71.4819)*CHOOSE(CONTROL!$C$21, $C$9, 100%, $E$9)</f>
        <v>71.481899999999996</v>
      </c>
      <c r="G849" s="14">
        <f>CHOOSE(CONTROL!$C$42, 71.4992, 71.4992)*CHOOSE(CONTROL!$C$21, $C$9, 100%, $E$9)</f>
        <v>71.499200000000002</v>
      </c>
      <c r="H849" s="14">
        <f>CHOOSE(CONTROL!$C$42, 71.709, 71.709) * CHOOSE(CONTROL!$C$21, $C$9, 100%, $E$9)</f>
        <v>71.709000000000003</v>
      </c>
      <c r="I849" s="14">
        <f>CHOOSE(CONTROL!$C$42, 71.7105, 71.7105)* CHOOSE(CONTROL!$C$21, $C$9, 100%, $E$9)</f>
        <v>71.710499999999996</v>
      </c>
      <c r="J849" s="14">
        <f>CHOOSE(CONTROL!$C$42, 71.4749, 71.4749)* CHOOSE(CONTROL!$C$21, $C$9, 100%, $E$9)</f>
        <v>71.474900000000005</v>
      </c>
      <c r="K849" s="52">
        <f>CHOOSE(CONTROL!$C$42, 71.7066, 71.7066) * CHOOSE(CONTROL!$C$21, $C$9, 100%, $E$9)</f>
        <v>71.706599999999995</v>
      </c>
      <c r="L849" s="14">
        <f>CHOOSE(CONTROL!$C$42, 72.296, 72.296) * CHOOSE(CONTROL!$C$21, $C$9, 100%, $E$9)</f>
        <v>72.296000000000006</v>
      </c>
      <c r="M849" s="14">
        <f>CHOOSE(CONTROL!$C$42, 70.0182, 70.0182) * CHOOSE(CONTROL!$C$21, $C$9, 100%, $E$9)</f>
        <v>70.018199999999993</v>
      </c>
      <c r="N849" s="14">
        <f>CHOOSE(CONTROL!$C$42, 70.0351, 70.0351) * CHOOSE(CONTROL!$C$21, $C$9, 100%, $E$9)</f>
        <v>70.0351</v>
      </c>
      <c r="O849" s="14">
        <f>CHOOSE(CONTROL!$C$42, 70.2475, 70.2475) * CHOOSE(CONTROL!$C$21, $C$9, 100%, $E$9)</f>
        <v>70.247500000000002</v>
      </c>
      <c r="P849" s="14">
        <f>CHOOSE(CONTROL!$C$42, 70.2444, 70.2444) * CHOOSE(CONTROL!$C$21, $C$9, 100%, $E$9)</f>
        <v>70.244399999999999</v>
      </c>
      <c r="Q849" s="14">
        <f>CHOOSE(CONTROL!$C$42, 70.8422, 70.8422) * CHOOSE(CONTROL!$C$21, $C$9, 100%, $E$9)</f>
        <v>70.842200000000005</v>
      </c>
      <c r="R849" s="14">
        <f>CHOOSE(CONTROL!$C$42, 71.6063, 71.6063) * CHOOSE(CONTROL!$C$21, $C$9, 100%, $E$9)</f>
        <v>71.606300000000005</v>
      </c>
      <c r="S849" s="14">
        <f>CHOOSE(CONTROL!$C$42, 68.6506, 68.6506) * CHOOSE(CONTROL!$C$21, $C$9, 100%, $E$9)</f>
        <v>68.650599999999997</v>
      </c>
      <c r="T84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56">
        <f>(1000*CHOOSE(CONTROL!$C$42, 695, 695)*CHOOSE(CONTROL!$C$42, 0.5599, 0.5599)*CHOOSE(CONTROL!$C$42, 30, 30))/1000000</f>
        <v>11.673914999999997</v>
      </c>
      <c r="V849" s="56">
        <f>(1000*CHOOSE(CONTROL!$C$42, 500, 500)*CHOOSE(CONTROL!$C$42, 0.275, 0.275)*CHOOSE(CONTROL!$C$42, 30, 30))/1000000</f>
        <v>4.125</v>
      </c>
      <c r="W849" s="56">
        <f>(1000*CHOOSE(CONTROL!$C$42, 0.1146, 0.1146)*CHOOSE(CONTROL!$C$42, 121.5, 121.5)*CHOOSE(CONTROL!$C$42, 30, 30))/1000000</f>
        <v>0.417717</v>
      </c>
      <c r="X849" s="56">
        <f>(30*0.1790888*245000/1000000)+(30*0.2374*100000/1000000)</f>
        <v>2.0285026799999999</v>
      </c>
      <c r="Y849" s="56"/>
      <c r="Z849" s="14"/>
      <c r="AA849" s="55"/>
      <c r="AB849" s="49">
        <f>(B849*194.205+C849*267.466+D849*133.845+E849*53.484+F849*40+G849*185+H849*0+I849*100+J849*300)/(194.205+267.466+133.845+53.484+0+40+185+100+300)</f>
        <v>71.524455762009424</v>
      </c>
      <c r="AC849" s="44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70.155646762589924</v>
      </c>
    </row>
    <row r="850" spans="1:29" ht="15.75" x14ac:dyDescent="0.25">
      <c r="A850" s="31">
        <v>66780</v>
      </c>
      <c r="B850" s="14">
        <f>CHOOSE(CONTROL!$C$42, 70.0028, 70.0028) * CHOOSE(CONTROL!$C$21, $C$9, 100%, $E$9)</f>
        <v>70.002799999999993</v>
      </c>
      <c r="C850" s="14">
        <f>CHOOSE(CONTROL!$C$42, 70.0081, 70.0081) * CHOOSE(CONTROL!$C$21, $C$9, 100%, $E$9)</f>
        <v>70.008099999999999</v>
      </c>
      <c r="D850" s="14">
        <f>CHOOSE(CONTROL!$C$42, 70.2389, 70.2389) * CHOOSE(CONTROL!$C$21, $C$9, 100%, $E$9)</f>
        <v>70.238900000000001</v>
      </c>
      <c r="E850" s="14">
        <f>CHOOSE(CONTROL!$C$42, 70.268, 70.268) * CHOOSE(CONTROL!$C$21, $C$9, 100%, $E$9)</f>
        <v>70.268000000000001</v>
      </c>
      <c r="F850" s="14">
        <f>CHOOSE(CONTROL!$C$42, 70.0316, 70.0316)*CHOOSE(CONTROL!$C$21, $C$9, 100%, $E$9)</f>
        <v>70.031599999999997</v>
      </c>
      <c r="G850" s="14">
        <f>CHOOSE(CONTROL!$C$42, 70.0488, 70.0488)*CHOOSE(CONTROL!$C$21, $C$9, 100%, $E$9)</f>
        <v>70.0488</v>
      </c>
      <c r="H850" s="14">
        <f>CHOOSE(CONTROL!$C$42, 70.2584, 70.2584) * CHOOSE(CONTROL!$C$21, $C$9, 100%, $E$9)</f>
        <v>70.258399999999995</v>
      </c>
      <c r="I850" s="14">
        <f>CHOOSE(CONTROL!$C$42, 70.2553, 70.2553)* CHOOSE(CONTROL!$C$21, $C$9, 100%, $E$9)</f>
        <v>70.255300000000005</v>
      </c>
      <c r="J850" s="14">
        <f>CHOOSE(CONTROL!$C$42, 70.0246, 70.0246)* CHOOSE(CONTROL!$C$21, $C$9, 100%, $E$9)</f>
        <v>70.024600000000007</v>
      </c>
      <c r="K850" s="52">
        <f>CHOOSE(CONTROL!$C$42, 70.2514, 70.2514) * CHOOSE(CONTROL!$C$21, $C$9, 100%, $E$9)</f>
        <v>70.251400000000004</v>
      </c>
      <c r="L850" s="14">
        <f>CHOOSE(CONTROL!$C$42, 70.8454, 70.8454) * CHOOSE(CONTROL!$C$21, $C$9, 100%, $E$9)</f>
        <v>70.845399999999998</v>
      </c>
      <c r="M850" s="14">
        <f>CHOOSE(CONTROL!$C$42, 68.5976, 68.5976) * CHOOSE(CONTROL!$C$21, $C$9, 100%, $E$9)</f>
        <v>68.5976</v>
      </c>
      <c r="N850" s="14">
        <f>CHOOSE(CONTROL!$C$42, 68.6143, 68.6143) * CHOOSE(CONTROL!$C$21, $C$9, 100%, $E$9)</f>
        <v>68.6143</v>
      </c>
      <c r="O850" s="14">
        <f>CHOOSE(CONTROL!$C$42, 68.8266, 68.8266) * CHOOSE(CONTROL!$C$21, $C$9, 100%, $E$9)</f>
        <v>68.826599999999999</v>
      </c>
      <c r="P850" s="14">
        <f>CHOOSE(CONTROL!$C$42, 68.8192, 68.8192) * CHOOSE(CONTROL!$C$21, $C$9, 100%, $E$9)</f>
        <v>68.819199999999995</v>
      </c>
      <c r="Q850" s="14">
        <f>CHOOSE(CONTROL!$C$42, 69.4213, 69.4213) * CHOOSE(CONTROL!$C$21, $C$9, 100%, $E$9)</f>
        <v>69.421300000000002</v>
      </c>
      <c r="R850" s="14">
        <f>CHOOSE(CONTROL!$C$42, 70.1818, 70.1818) * CHOOSE(CONTROL!$C$21, $C$9, 100%, $E$9)</f>
        <v>70.181799999999996</v>
      </c>
      <c r="S850" s="14">
        <f>CHOOSE(CONTROL!$C$42, 67.2567, 67.2567) * CHOOSE(CONTROL!$C$21, $C$9, 100%, $E$9)</f>
        <v>67.256699999999995</v>
      </c>
      <c r="T85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56">
        <f>(1000*CHOOSE(CONTROL!$C$42, 695, 695)*CHOOSE(CONTROL!$C$42, 0.5599, 0.5599)*CHOOSE(CONTROL!$C$42, 31, 31))/1000000</f>
        <v>12.063045499999998</v>
      </c>
      <c r="V850" s="56">
        <f>(1000*CHOOSE(CONTROL!$C$42, 500, 500)*CHOOSE(CONTROL!$C$42, 0.275, 0.275)*CHOOSE(CONTROL!$C$42, 31, 31))/1000000</f>
        <v>4.2625000000000002</v>
      </c>
      <c r="W850" s="56">
        <f>(1000*CHOOSE(CONTROL!$C$42, 0.1146, 0.1146)*CHOOSE(CONTROL!$C$42, 121.5, 121.5)*CHOOSE(CONTROL!$C$42, 31, 31))/1000000</f>
        <v>0.43164089999999994</v>
      </c>
      <c r="X850" s="56">
        <f>(31*0.1790888*245000/1000000)+(31*0.2374*100000/1000000)</f>
        <v>2.0961194359999999</v>
      </c>
      <c r="Y850" s="56"/>
      <c r="Z850" s="14"/>
      <c r="AA850" s="55"/>
      <c r="AB850" s="49">
        <f>(B850*131.881+C850*277.167+D850*79.08+E850*125.872+F850*40+G850*185+H850*0+I850*100+J850*300)/(131.881+277.167+79.08+125.872+0+40+185+100+300)</f>
        <v>70.079452968119455</v>
      </c>
      <c r="AC850" s="44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68.734237410071941</v>
      </c>
    </row>
    <row r="851" spans="1:29" ht="15.75" x14ac:dyDescent="0.25">
      <c r="A851" s="31">
        <v>66810</v>
      </c>
      <c r="B851" s="14">
        <f>CHOOSE(CONTROL!$C$42, 71.8463, 71.8463) * CHOOSE(CONTROL!$C$21, $C$9, 100%, $E$9)</f>
        <v>71.846299999999999</v>
      </c>
      <c r="C851" s="14">
        <f>CHOOSE(CONTROL!$C$42, 71.8514, 71.8514) * CHOOSE(CONTROL!$C$21, $C$9, 100%, $E$9)</f>
        <v>71.851399999999998</v>
      </c>
      <c r="D851" s="14">
        <f>CHOOSE(CONTROL!$C$42, 71.9204, 71.9204) * CHOOSE(CONTROL!$C$21, $C$9, 100%, $E$9)</f>
        <v>71.920400000000001</v>
      </c>
      <c r="E851" s="14">
        <f>CHOOSE(CONTROL!$C$42, 71.9545, 71.9545) * CHOOSE(CONTROL!$C$21, $C$9, 100%, $E$9)</f>
        <v>71.954499999999996</v>
      </c>
      <c r="F851" s="14">
        <f>CHOOSE(CONTROL!$C$42, 71.8819, 71.8819)*CHOOSE(CONTROL!$C$21, $C$9, 100%, $E$9)</f>
        <v>71.881900000000002</v>
      </c>
      <c r="G851" s="14">
        <f>CHOOSE(CONTROL!$C$42, 71.8993, 71.8993)*CHOOSE(CONTROL!$C$21, $C$9, 100%, $E$9)</f>
        <v>71.899299999999997</v>
      </c>
      <c r="H851" s="14">
        <f>CHOOSE(CONTROL!$C$42, 71.9437, 71.9437) * CHOOSE(CONTROL!$C$21, $C$9, 100%, $E$9)</f>
        <v>71.943700000000007</v>
      </c>
      <c r="I851" s="14">
        <f>CHOOSE(CONTROL!$C$42, 72.1077, 72.1077)* CHOOSE(CONTROL!$C$21, $C$9, 100%, $E$9)</f>
        <v>72.107699999999994</v>
      </c>
      <c r="J851" s="14">
        <f>CHOOSE(CONTROL!$C$42, 71.8749, 71.8749)* CHOOSE(CONTROL!$C$21, $C$9, 100%, $E$9)</f>
        <v>71.874899999999997</v>
      </c>
      <c r="K851" s="52">
        <f>CHOOSE(CONTROL!$C$42, 72.1038, 72.1038) * CHOOSE(CONTROL!$C$21, $C$9, 100%, $E$9)</f>
        <v>72.103800000000007</v>
      </c>
      <c r="L851" s="14">
        <f>CHOOSE(CONTROL!$C$42, 72.5307, 72.5307) * CHOOSE(CONTROL!$C$21, $C$9, 100%, $E$9)</f>
        <v>72.530699999999996</v>
      </c>
      <c r="M851" s="14">
        <f>CHOOSE(CONTROL!$C$42, 70.4099, 70.4099) * CHOOSE(CONTROL!$C$21, $C$9, 100%, $E$9)</f>
        <v>70.409899999999993</v>
      </c>
      <c r="N851" s="14">
        <f>CHOOSE(CONTROL!$C$42, 70.427, 70.427) * CHOOSE(CONTROL!$C$21, $C$9, 100%, $E$9)</f>
        <v>70.427000000000007</v>
      </c>
      <c r="O851" s="14">
        <f>CHOOSE(CONTROL!$C$42, 70.4773, 70.4773) * CHOOSE(CONTROL!$C$21, $C$9, 100%, $E$9)</f>
        <v>70.4773</v>
      </c>
      <c r="P851" s="14">
        <f>CHOOSE(CONTROL!$C$42, 70.6335, 70.6335) * CHOOSE(CONTROL!$C$21, $C$9, 100%, $E$9)</f>
        <v>70.633499999999998</v>
      </c>
      <c r="Q851" s="14">
        <f>CHOOSE(CONTROL!$C$42, 71.072, 71.072) * CHOOSE(CONTROL!$C$21, $C$9, 100%, $E$9)</f>
        <v>71.072000000000003</v>
      </c>
      <c r="R851" s="14">
        <f>CHOOSE(CONTROL!$C$42, 71.8367, 71.8367) * CHOOSE(CONTROL!$C$21, $C$9, 100%, $E$9)</f>
        <v>71.836699999999993</v>
      </c>
      <c r="S851" s="14">
        <f>CHOOSE(CONTROL!$C$42, 69.0286, 69.0286) * CHOOSE(CONTROL!$C$21, $C$9, 100%, $E$9)</f>
        <v>69.028599999999997</v>
      </c>
      <c r="T85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56">
        <f>(1000*CHOOSE(CONTROL!$C$42, 695, 695)*CHOOSE(CONTROL!$C$42, 0.5599, 0.5599)*CHOOSE(CONTROL!$C$42, 30, 30))/1000000</f>
        <v>11.673914999999997</v>
      </c>
      <c r="V851" s="56">
        <f>(1000*CHOOSE(CONTROL!$C$42, 500, 500)*CHOOSE(CONTROL!$C$42, 0.275, 0.275)*CHOOSE(CONTROL!$C$42, 30, 30))/1000000</f>
        <v>4.125</v>
      </c>
      <c r="W851" s="56">
        <f>(1000*CHOOSE(CONTROL!$C$42, 0.1146, 0.1146)*CHOOSE(CONTROL!$C$42, 121.5, 121.5)*CHOOSE(CONTROL!$C$42, 30, 30))/1000000</f>
        <v>0.417717</v>
      </c>
      <c r="X851" s="56">
        <f>(30*0.1790888*100000/1000000)+(30*0.2374*100000/1000000)</f>
        <v>1.2494664</v>
      </c>
      <c r="Y851" s="56"/>
      <c r="Z851" s="14"/>
      <c r="AA851" s="55"/>
      <c r="AB851" s="49">
        <f>(B851*122.58+C851*297.941+D851*89.177+E851*40.302+F851*40+G851*160+H851*0+I851*100+J851*300)/(122.58+297.941+89.177+40.302+0+40+160+100+300)</f>
        <v>71.895962774956516</v>
      </c>
      <c r="AC851" s="44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70.473605035971218</v>
      </c>
    </row>
    <row r="852" spans="1:29" ht="15.75" x14ac:dyDescent="0.25">
      <c r="A852" s="31">
        <v>66841</v>
      </c>
      <c r="B852" s="14">
        <f>CHOOSE(CONTROL!$C$42, 76.7441, 76.7441) * CHOOSE(CONTROL!$C$21, $C$9, 100%, $E$9)</f>
        <v>76.744100000000003</v>
      </c>
      <c r="C852" s="14">
        <f>CHOOSE(CONTROL!$C$42, 76.7492, 76.7492) * CHOOSE(CONTROL!$C$21, $C$9, 100%, $E$9)</f>
        <v>76.749200000000002</v>
      </c>
      <c r="D852" s="14">
        <f>CHOOSE(CONTROL!$C$42, 76.8182, 76.8182) * CHOOSE(CONTROL!$C$21, $C$9, 100%, $E$9)</f>
        <v>76.818200000000004</v>
      </c>
      <c r="E852" s="14">
        <f>CHOOSE(CONTROL!$C$42, 76.8523, 76.8523) * CHOOSE(CONTROL!$C$21, $C$9, 100%, $E$9)</f>
        <v>76.8523</v>
      </c>
      <c r="F852" s="14">
        <f>CHOOSE(CONTROL!$C$42, 76.7819, 76.7819)*CHOOSE(CONTROL!$C$21, $C$9, 100%, $E$9)</f>
        <v>76.781899999999993</v>
      </c>
      <c r="G852" s="14">
        <f>CHOOSE(CONTROL!$C$42, 76.7999, 76.7999)*CHOOSE(CONTROL!$C$21, $C$9, 100%, $E$9)</f>
        <v>76.799899999999994</v>
      </c>
      <c r="H852" s="14">
        <f>CHOOSE(CONTROL!$C$42, 76.8415, 76.8415) * CHOOSE(CONTROL!$C$21, $C$9, 100%, $E$9)</f>
        <v>76.841499999999996</v>
      </c>
      <c r="I852" s="14">
        <f>CHOOSE(CONTROL!$C$42, 77.0208, 77.0208)* CHOOSE(CONTROL!$C$21, $C$9, 100%, $E$9)</f>
        <v>77.020799999999994</v>
      </c>
      <c r="J852" s="14">
        <f>CHOOSE(CONTROL!$C$42, 76.7749, 76.7749)* CHOOSE(CONTROL!$C$21, $C$9, 100%, $E$9)</f>
        <v>76.774900000000002</v>
      </c>
      <c r="K852" s="52">
        <f>CHOOSE(CONTROL!$C$42, 77.0169, 77.0169) * CHOOSE(CONTROL!$C$21, $C$9, 100%, $E$9)</f>
        <v>77.016900000000007</v>
      </c>
      <c r="L852" s="14">
        <f>CHOOSE(CONTROL!$C$42, 77.4285, 77.4285) * CHOOSE(CONTROL!$C$21, $C$9, 100%, $E$9)</f>
        <v>77.4285</v>
      </c>
      <c r="M852" s="14">
        <f>CHOOSE(CONTROL!$C$42, 75.2096, 75.2096) * CHOOSE(CONTROL!$C$21, $C$9, 100%, $E$9)</f>
        <v>75.209599999999995</v>
      </c>
      <c r="N852" s="14">
        <f>CHOOSE(CONTROL!$C$42, 75.2272, 75.2272) * CHOOSE(CONTROL!$C$21, $C$9, 100%, $E$9)</f>
        <v>75.227199999999996</v>
      </c>
      <c r="O852" s="14">
        <f>CHOOSE(CONTROL!$C$42, 75.2748, 75.2748) * CHOOSE(CONTROL!$C$21, $C$9, 100%, $E$9)</f>
        <v>75.274799999999999</v>
      </c>
      <c r="P852" s="14">
        <f>CHOOSE(CONTROL!$C$42, 75.4456, 75.4456) * CHOOSE(CONTROL!$C$21, $C$9, 100%, $E$9)</f>
        <v>75.445599999999999</v>
      </c>
      <c r="Q852" s="14">
        <f>CHOOSE(CONTROL!$C$42, 75.8695, 75.8695) * CHOOSE(CONTROL!$C$21, $C$9, 100%, $E$9)</f>
        <v>75.869500000000002</v>
      </c>
      <c r="R852" s="14">
        <f>CHOOSE(CONTROL!$C$42, 76.6461, 76.6461) * CHOOSE(CONTROL!$C$21, $C$9, 100%, $E$9)</f>
        <v>76.646100000000004</v>
      </c>
      <c r="S852" s="14">
        <f>CHOOSE(CONTROL!$C$42, 73.7349, 73.7349) * CHOOSE(CONTROL!$C$21, $C$9, 100%, $E$9)</f>
        <v>73.734899999999996</v>
      </c>
      <c r="T85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56">
        <f>(1000*CHOOSE(CONTROL!$C$42, 695, 695)*CHOOSE(CONTROL!$C$42, 0.5599, 0.5599)*CHOOSE(CONTROL!$C$42, 31, 31))/1000000</f>
        <v>12.063045499999998</v>
      </c>
      <c r="V852" s="56">
        <f>(1000*CHOOSE(CONTROL!$C$42, 500, 500)*CHOOSE(CONTROL!$C$42, 0.275, 0.275)*CHOOSE(CONTROL!$C$42, 31, 31))/1000000</f>
        <v>4.2625000000000002</v>
      </c>
      <c r="W852" s="56">
        <f>(1000*CHOOSE(CONTROL!$C$42, 0.1146, 0.1146)*CHOOSE(CONTROL!$C$42, 121.5, 121.5)*CHOOSE(CONTROL!$C$42, 31, 31))/1000000</f>
        <v>0.43164089999999994</v>
      </c>
      <c r="X852" s="56">
        <f>(31*0.1790888*100000/1000000)+(31*0.2374*100000/1000000)</f>
        <v>1.2911152800000001</v>
      </c>
      <c r="Y852" s="56"/>
      <c r="Z852" s="14"/>
      <c r="AA852" s="55"/>
      <c r="AB852" s="49">
        <f>(B852*122.58+C852*297.941+D852*89.177+E852*40.302+F852*40+G852*160+H852*0+I852*100+J852*300)/(122.58+297.941+89.177+40.302+0+40+160+100+300)</f>
        <v>76.796133209739125</v>
      </c>
      <c r="AC852" s="44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75.274120863309349</v>
      </c>
    </row>
    <row r="853" spans="1:29" ht="15.75" x14ac:dyDescent="0.25">
      <c r="A853" s="31">
        <v>66872</v>
      </c>
      <c r="B853" s="14">
        <f>CHOOSE(CONTROL!$C$42, 83.1055, 83.1055) * CHOOSE(CONTROL!$C$21, $C$9, 100%, $E$9)</f>
        <v>83.105500000000006</v>
      </c>
      <c r="C853" s="14">
        <f>CHOOSE(CONTROL!$C$42, 83.1105, 83.1105) * CHOOSE(CONTROL!$C$21, $C$9, 100%, $E$9)</f>
        <v>83.110500000000002</v>
      </c>
      <c r="D853" s="14">
        <f>CHOOSE(CONTROL!$C$42, 83.1899, 83.1899) * CHOOSE(CONTROL!$C$21, $C$9, 100%, $E$9)</f>
        <v>83.189899999999994</v>
      </c>
      <c r="E853" s="14">
        <f>CHOOSE(CONTROL!$C$42, 83.224, 83.224) * CHOOSE(CONTROL!$C$21, $C$9, 100%, $E$9)</f>
        <v>83.224000000000004</v>
      </c>
      <c r="F853" s="14">
        <f>CHOOSE(CONTROL!$C$42, 83.1285, 83.1285)*CHOOSE(CONTROL!$C$21, $C$9, 100%, $E$9)</f>
        <v>83.128500000000003</v>
      </c>
      <c r="G853" s="14">
        <f>CHOOSE(CONTROL!$C$42, 83.146, 83.146)*CHOOSE(CONTROL!$C$21, $C$9, 100%, $E$9)</f>
        <v>83.146000000000001</v>
      </c>
      <c r="H853" s="14">
        <f>CHOOSE(CONTROL!$C$42, 83.2132, 83.2132) * CHOOSE(CONTROL!$C$21, $C$9, 100%, $E$9)</f>
        <v>83.213200000000001</v>
      </c>
      <c r="I853" s="14">
        <f>CHOOSE(CONTROL!$C$42, 83.401, 83.401)* CHOOSE(CONTROL!$C$21, $C$9, 100%, $E$9)</f>
        <v>83.400999999999996</v>
      </c>
      <c r="J853" s="14">
        <f>CHOOSE(CONTROL!$C$42, 83.1215, 83.1215)* CHOOSE(CONTROL!$C$21, $C$9, 100%, $E$9)</f>
        <v>83.121499999999997</v>
      </c>
      <c r="K853" s="52">
        <f>CHOOSE(CONTROL!$C$42, 83.3971, 83.3971) * CHOOSE(CONTROL!$C$21, $C$9, 100%, $E$9)</f>
        <v>83.397099999999995</v>
      </c>
      <c r="L853" s="14">
        <f>CHOOSE(CONTROL!$C$42, 83.8002, 83.8002) * CHOOSE(CONTROL!$C$21, $C$9, 100%, $E$9)</f>
        <v>83.800200000000004</v>
      </c>
      <c r="M853" s="14">
        <f>CHOOSE(CONTROL!$C$42, 81.4261, 81.4261) * CHOOSE(CONTROL!$C$21, $C$9, 100%, $E$9)</f>
        <v>81.426100000000005</v>
      </c>
      <c r="N853" s="14">
        <f>CHOOSE(CONTROL!$C$42, 81.4432, 81.4432) * CHOOSE(CONTROL!$C$21, $C$9, 100%, $E$9)</f>
        <v>81.443200000000004</v>
      </c>
      <c r="O853" s="14">
        <f>CHOOSE(CONTROL!$C$42, 81.516, 81.516) * CHOOSE(CONTROL!$C$21, $C$9, 100%, $E$9)</f>
        <v>81.516000000000005</v>
      </c>
      <c r="P853" s="14">
        <f>CHOOSE(CONTROL!$C$42, 81.6947, 81.6947) * CHOOSE(CONTROL!$C$21, $C$9, 100%, $E$9)</f>
        <v>81.694699999999997</v>
      </c>
      <c r="Q853" s="14">
        <f>CHOOSE(CONTROL!$C$42, 82.1107, 82.1107) * CHOOSE(CONTROL!$C$21, $C$9, 100%, $E$9)</f>
        <v>82.110699999999994</v>
      </c>
      <c r="R853" s="14">
        <f>CHOOSE(CONTROL!$C$42, 82.9029, 82.9029) * CHOOSE(CONTROL!$C$21, $C$9, 100%, $E$9)</f>
        <v>82.902900000000002</v>
      </c>
      <c r="S853" s="14">
        <f>CHOOSE(CONTROL!$C$42, 79.8475, 79.8475) * CHOOSE(CONTROL!$C$21, $C$9, 100%, $E$9)</f>
        <v>79.847499999999997</v>
      </c>
      <c r="T85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56">
        <f>(1000*CHOOSE(CONTROL!$C$42, 695, 695)*CHOOSE(CONTROL!$C$42, 0.5599, 0.5599)*CHOOSE(CONTROL!$C$42, 31, 31))/1000000</f>
        <v>12.063045499999998</v>
      </c>
      <c r="V853" s="56">
        <f>(1000*CHOOSE(CONTROL!$C$42, 500, 500)*CHOOSE(CONTROL!$C$42, 0.275, 0.275)*CHOOSE(CONTROL!$C$42, 31, 31))/1000000</f>
        <v>4.2625000000000002</v>
      </c>
      <c r="W853" s="56">
        <f>(1000*CHOOSE(CONTROL!$C$42, 0.1146, 0.1146)*CHOOSE(CONTROL!$C$42, 121.5, 121.5)*CHOOSE(CONTROL!$C$42, 31, 31))/1000000</f>
        <v>0.43164089999999994</v>
      </c>
      <c r="X853" s="56">
        <f>(31*0.1790888*100000/1000000)+(31*0.2374*100000/1000000)</f>
        <v>1.2911152800000001</v>
      </c>
      <c r="Y853" s="56"/>
      <c r="Z853" s="14"/>
      <c r="AA853" s="55"/>
      <c r="AB853" s="49">
        <f>(B853*122.58+C853*297.941+D853*89.177+E853*40.302+F853*40+G853*160+H853*0+I853*100+J853*300)/(122.58+297.941+89.177+40.302+0+40+160+100+300)</f>
        <v>83.153797418086953</v>
      </c>
      <c r="AC853" s="44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81.506477697841731</v>
      </c>
    </row>
    <row r="854" spans="1:29" ht="15.75" x14ac:dyDescent="0.25">
      <c r="A854" s="31">
        <v>66900</v>
      </c>
      <c r="B854" s="14">
        <f>CHOOSE(CONTROL!$C$42, 84.5847, 84.5847) * CHOOSE(CONTROL!$C$21, $C$9, 100%, $E$9)</f>
        <v>84.584699999999998</v>
      </c>
      <c r="C854" s="14">
        <f>CHOOSE(CONTROL!$C$42, 84.5897, 84.5897) * CHOOSE(CONTROL!$C$21, $C$9, 100%, $E$9)</f>
        <v>84.589699999999993</v>
      </c>
      <c r="D854" s="14">
        <f>CHOOSE(CONTROL!$C$42, 84.6692, 84.6692) * CHOOSE(CONTROL!$C$21, $C$9, 100%, $E$9)</f>
        <v>84.669200000000004</v>
      </c>
      <c r="E854" s="14">
        <f>CHOOSE(CONTROL!$C$42, 84.7033, 84.7033) * CHOOSE(CONTROL!$C$21, $C$9, 100%, $E$9)</f>
        <v>84.703299999999999</v>
      </c>
      <c r="F854" s="14">
        <f>CHOOSE(CONTROL!$C$42, 84.6075, 84.6075)*CHOOSE(CONTROL!$C$21, $C$9, 100%, $E$9)</f>
        <v>84.607500000000002</v>
      </c>
      <c r="G854" s="14">
        <f>CHOOSE(CONTROL!$C$42, 84.6249, 84.6249)*CHOOSE(CONTROL!$C$21, $C$9, 100%, $E$9)</f>
        <v>84.624899999999997</v>
      </c>
      <c r="H854" s="14">
        <f>CHOOSE(CONTROL!$C$42, 84.6925, 84.6925) * CHOOSE(CONTROL!$C$21, $C$9, 100%, $E$9)</f>
        <v>84.692499999999995</v>
      </c>
      <c r="I854" s="14">
        <f>CHOOSE(CONTROL!$C$42, 84.8849, 84.8849)* CHOOSE(CONTROL!$C$21, $C$9, 100%, $E$9)</f>
        <v>84.884900000000002</v>
      </c>
      <c r="J854" s="14">
        <f>CHOOSE(CONTROL!$C$42, 84.6005, 84.6005)* CHOOSE(CONTROL!$C$21, $C$9, 100%, $E$9)</f>
        <v>84.600499999999997</v>
      </c>
      <c r="K854" s="52">
        <f>CHOOSE(CONTROL!$C$42, 84.881, 84.881) * CHOOSE(CONTROL!$C$21, $C$9, 100%, $E$9)</f>
        <v>84.881</v>
      </c>
      <c r="L854" s="14">
        <f>CHOOSE(CONTROL!$C$42, 85.2795, 85.2795) * CHOOSE(CONTROL!$C$21, $C$9, 100%, $E$9)</f>
        <v>85.279499999999999</v>
      </c>
      <c r="M854" s="14">
        <f>CHOOSE(CONTROL!$C$42, 82.8748, 82.8748) * CHOOSE(CONTROL!$C$21, $C$9, 100%, $E$9)</f>
        <v>82.874799999999993</v>
      </c>
      <c r="N854" s="14">
        <f>CHOOSE(CONTROL!$C$42, 82.8919, 82.8919) * CHOOSE(CONTROL!$C$21, $C$9, 100%, $E$9)</f>
        <v>82.891900000000007</v>
      </c>
      <c r="O854" s="14">
        <f>CHOOSE(CONTROL!$C$42, 82.9649, 82.9649) * CHOOSE(CONTROL!$C$21, $C$9, 100%, $E$9)</f>
        <v>82.9649</v>
      </c>
      <c r="P854" s="14">
        <f>CHOOSE(CONTROL!$C$42, 83.1481, 83.1481) * CHOOSE(CONTROL!$C$21, $C$9, 100%, $E$9)</f>
        <v>83.148099999999999</v>
      </c>
      <c r="Q854" s="14">
        <f>CHOOSE(CONTROL!$C$42, 83.5596, 83.5596) * CHOOSE(CONTROL!$C$21, $C$9, 100%, $E$9)</f>
        <v>83.559600000000003</v>
      </c>
      <c r="R854" s="14">
        <f>CHOOSE(CONTROL!$C$42, 84.3555, 84.3555) * CHOOSE(CONTROL!$C$21, $C$9, 100%, $E$9)</f>
        <v>84.355500000000006</v>
      </c>
      <c r="S854" s="14">
        <f>CHOOSE(CONTROL!$C$42, 81.2689, 81.2689) * CHOOSE(CONTROL!$C$21, $C$9, 100%, $E$9)</f>
        <v>81.268900000000002</v>
      </c>
      <c r="T85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54" s="56">
        <f>(1000*CHOOSE(CONTROL!$C$42, 695, 695)*CHOOSE(CONTROL!$C$42, 0.5599, 0.5599)*CHOOSE(CONTROL!$C$42, 28, 28))/1000000</f>
        <v>10.895653999999999</v>
      </c>
      <c r="V854" s="56">
        <f>(1000*CHOOSE(CONTROL!$C$42, 500, 500)*CHOOSE(CONTROL!$C$42, 0.275, 0.275)*CHOOSE(CONTROL!$C$42, 28, 28))/1000000</f>
        <v>3.85</v>
      </c>
      <c r="W854" s="56">
        <f>(1000*CHOOSE(CONTROL!$C$42, 0.1146, 0.1146)*CHOOSE(CONTROL!$C$42, 121.5, 121.5)*CHOOSE(CONTROL!$C$42, 28, 28))/1000000</f>
        <v>0.38986920000000003</v>
      </c>
      <c r="X854" s="56">
        <f>(28*0.1790888*100000/1000000)+(28*0.2374*100000/1000000)</f>
        <v>1.16616864</v>
      </c>
      <c r="Y854" s="56"/>
      <c r="Z854" s="14"/>
      <c r="AA854" s="55"/>
      <c r="AB854" s="49">
        <f>(B854*122.58+C854*297.941+D854*89.177+E854*40.302+F854*40+G854*160+H854*0+I854*100+J854*300)/(122.58+297.941+89.177+40.302+0+40+160+100+300)</f>
        <v>84.633316503217387</v>
      </c>
      <c r="AC854" s="44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82.955944604316542</v>
      </c>
    </row>
    <row r="855" spans="1:29" ht="15.75" x14ac:dyDescent="0.25">
      <c r="A855" s="31">
        <v>66931</v>
      </c>
      <c r="B855" s="14">
        <f>CHOOSE(CONTROL!$C$42, 82.1835, 82.1835) * CHOOSE(CONTROL!$C$21, $C$9, 100%, $E$9)</f>
        <v>82.183499999999995</v>
      </c>
      <c r="C855" s="14">
        <f>CHOOSE(CONTROL!$C$42, 82.1886, 82.1886) * CHOOSE(CONTROL!$C$21, $C$9, 100%, $E$9)</f>
        <v>82.188599999999994</v>
      </c>
      <c r="D855" s="14">
        <f>CHOOSE(CONTROL!$C$42, 82.268, 82.268) * CHOOSE(CONTROL!$C$21, $C$9, 100%, $E$9)</f>
        <v>82.268000000000001</v>
      </c>
      <c r="E855" s="14">
        <f>CHOOSE(CONTROL!$C$42, 82.3021, 82.3021) * CHOOSE(CONTROL!$C$21, $C$9, 100%, $E$9)</f>
        <v>82.302099999999996</v>
      </c>
      <c r="F855" s="14">
        <f>CHOOSE(CONTROL!$C$42, 82.2056, 82.2056)*CHOOSE(CONTROL!$C$21, $C$9, 100%, $E$9)</f>
        <v>82.205600000000004</v>
      </c>
      <c r="G855" s="14">
        <f>CHOOSE(CONTROL!$C$42, 82.2228, 82.2228)*CHOOSE(CONTROL!$C$21, $C$9, 100%, $E$9)</f>
        <v>82.222800000000007</v>
      </c>
      <c r="H855" s="14">
        <f>CHOOSE(CONTROL!$C$42, 82.2913, 82.2913) * CHOOSE(CONTROL!$C$21, $C$9, 100%, $E$9)</f>
        <v>82.291300000000007</v>
      </c>
      <c r="I855" s="14">
        <f>CHOOSE(CONTROL!$C$42, 82.4762, 82.4762)* CHOOSE(CONTROL!$C$21, $C$9, 100%, $E$9)</f>
        <v>82.476200000000006</v>
      </c>
      <c r="J855" s="14">
        <f>CHOOSE(CONTROL!$C$42, 82.1986, 82.1986)* CHOOSE(CONTROL!$C$21, $C$9, 100%, $E$9)</f>
        <v>82.198599999999999</v>
      </c>
      <c r="K855" s="52">
        <f>CHOOSE(CONTROL!$C$42, 82.4723, 82.4723) * CHOOSE(CONTROL!$C$21, $C$9, 100%, $E$9)</f>
        <v>82.472300000000004</v>
      </c>
      <c r="L855" s="14">
        <f>CHOOSE(CONTROL!$C$42, 82.8783, 82.8783) * CHOOSE(CONTROL!$C$21, $C$9, 100%, $E$9)</f>
        <v>82.878299999999996</v>
      </c>
      <c r="M855" s="14">
        <f>CHOOSE(CONTROL!$C$42, 80.5221, 80.5221) * CHOOSE(CONTROL!$C$21, $C$9, 100%, $E$9)</f>
        <v>80.522099999999995</v>
      </c>
      <c r="N855" s="14">
        <f>CHOOSE(CONTROL!$C$42, 80.539, 80.539) * CHOOSE(CONTROL!$C$21, $C$9, 100%, $E$9)</f>
        <v>80.539000000000001</v>
      </c>
      <c r="O855" s="14">
        <f>CHOOSE(CONTROL!$C$42, 80.6129, 80.6129) * CHOOSE(CONTROL!$C$21, $C$9, 100%, $E$9)</f>
        <v>80.612899999999996</v>
      </c>
      <c r="P855" s="14">
        <f>CHOOSE(CONTROL!$C$42, 80.7889, 80.7889) * CHOOSE(CONTROL!$C$21, $C$9, 100%, $E$9)</f>
        <v>80.788899999999998</v>
      </c>
      <c r="Q855" s="14">
        <f>CHOOSE(CONTROL!$C$42, 81.2076, 81.2076) * CHOOSE(CONTROL!$C$21, $C$9, 100%, $E$9)</f>
        <v>81.207599999999999</v>
      </c>
      <c r="R855" s="14">
        <f>CHOOSE(CONTROL!$C$42, 81.9976, 81.9976) * CHOOSE(CONTROL!$C$21, $C$9, 100%, $E$9)</f>
        <v>81.997600000000006</v>
      </c>
      <c r="S855" s="14">
        <f>CHOOSE(CONTROL!$C$42, 78.9616, 78.9616) * CHOOSE(CONTROL!$C$21, $C$9, 100%, $E$9)</f>
        <v>78.961600000000004</v>
      </c>
      <c r="T85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56">
        <f>(1000*CHOOSE(CONTROL!$C$42, 695, 695)*CHOOSE(CONTROL!$C$42, 0.5599, 0.5599)*CHOOSE(CONTROL!$C$42, 31, 31))/1000000</f>
        <v>12.063045499999998</v>
      </c>
      <c r="V855" s="56">
        <f>(1000*CHOOSE(CONTROL!$C$42, 500, 500)*CHOOSE(CONTROL!$C$42, 0.275, 0.275)*CHOOSE(CONTROL!$C$42, 31, 31))/1000000</f>
        <v>4.2625000000000002</v>
      </c>
      <c r="W855" s="56">
        <f>(1000*CHOOSE(CONTROL!$C$42, 0.1146, 0.1146)*CHOOSE(CONTROL!$C$42, 121.5, 121.5)*CHOOSE(CONTROL!$C$42, 31, 31))/1000000</f>
        <v>0.43164089999999994</v>
      </c>
      <c r="X855" s="56">
        <f>(31*0.1790888*100000/1000000)+(31*0.2374*100000/1000000)</f>
        <v>1.2911152800000001</v>
      </c>
      <c r="Y855" s="56"/>
      <c r="Z855" s="14"/>
      <c r="AA855" s="55"/>
      <c r="AB855" s="49">
        <f>(B855*122.58+C855*297.941+D855*89.177+E855*40.302+F855*40+G855*160+H855*0+I855*100+J855*300)/(122.58+297.941+89.177+40.302+0+40+160+100+300)</f>
        <v>82.231158063304349</v>
      </c>
      <c r="AC855" s="44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80.602615107913678</v>
      </c>
    </row>
    <row r="856" spans="1:29" ht="15.75" x14ac:dyDescent="0.25">
      <c r="A856" s="31">
        <v>66961</v>
      </c>
      <c r="B856" s="14">
        <f>CHOOSE(CONTROL!$C$42, 81.9385, 81.9385) * CHOOSE(CONTROL!$C$21, $C$9, 100%, $E$9)</f>
        <v>81.938500000000005</v>
      </c>
      <c r="C856" s="14">
        <f>CHOOSE(CONTROL!$C$42, 81.943, 81.943) * CHOOSE(CONTROL!$C$21, $C$9, 100%, $E$9)</f>
        <v>81.942999999999998</v>
      </c>
      <c r="D856" s="14">
        <f>CHOOSE(CONTROL!$C$42, 82.1719, 82.1719) * CHOOSE(CONTROL!$C$21, $C$9, 100%, $E$9)</f>
        <v>82.171899999999994</v>
      </c>
      <c r="E856" s="14">
        <f>CHOOSE(CONTROL!$C$42, 82.204, 82.204) * CHOOSE(CONTROL!$C$21, $C$9, 100%, $E$9)</f>
        <v>82.203999999999994</v>
      </c>
      <c r="F856" s="14">
        <f>CHOOSE(CONTROL!$C$42, 81.9655, 81.9655)*CHOOSE(CONTROL!$C$21, $C$9, 100%, $E$9)</f>
        <v>81.965500000000006</v>
      </c>
      <c r="G856" s="14">
        <f>CHOOSE(CONTROL!$C$42, 81.9822, 81.9822)*CHOOSE(CONTROL!$C$21, $C$9, 100%, $E$9)</f>
        <v>81.982200000000006</v>
      </c>
      <c r="H856" s="14">
        <f>CHOOSE(CONTROL!$C$42, 82.1938, 82.1938) * CHOOSE(CONTROL!$C$21, $C$9, 100%, $E$9)</f>
        <v>82.193799999999996</v>
      </c>
      <c r="I856" s="14">
        <f>CHOOSE(CONTROL!$C$42, 82.2281, 82.2281)* CHOOSE(CONTROL!$C$21, $C$9, 100%, $E$9)</f>
        <v>82.228099999999998</v>
      </c>
      <c r="J856" s="14">
        <f>CHOOSE(CONTROL!$C$42, 81.9585, 81.9585)* CHOOSE(CONTROL!$C$21, $C$9, 100%, $E$9)</f>
        <v>81.958500000000001</v>
      </c>
      <c r="K856" s="52">
        <f>CHOOSE(CONTROL!$C$42, 82.2242, 82.2242) * CHOOSE(CONTROL!$C$21, $C$9, 100%, $E$9)</f>
        <v>82.224199999999996</v>
      </c>
      <c r="L856" s="14">
        <f>CHOOSE(CONTROL!$C$42, 82.7808, 82.7808) * CHOOSE(CONTROL!$C$21, $C$9, 100%, $E$9)</f>
        <v>82.780799999999999</v>
      </c>
      <c r="M856" s="14">
        <f>CHOOSE(CONTROL!$C$42, 80.2869, 80.2869) * CHOOSE(CONTROL!$C$21, $C$9, 100%, $E$9)</f>
        <v>80.286900000000003</v>
      </c>
      <c r="N856" s="14">
        <f>CHOOSE(CONTROL!$C$42, 80.3033, 80.3033) * CHOOSE(CONTROL!$C$21, $C$9, 100%, $E$9)</f>
        <v>80.303299999999993</v>
      </c>
      <c r="O856" s="14">
        <f>CHOOSE(CONTROL!$C$42, 80.5174, 80.5174) * CHOOSE(CONTROL!$C$21, $C$9, 100%, $E$9)</f>
        <v>80.517399999999995</v>
      </c>
      <c r="P856" s="14">
        <f>CHOOSE(CONTROL!$C$42, 80.5459, 80.5459) * CHOOSE(CONTROL!$C$21, $C$9, 100%, $E$9)</f>
        <v>80.545900000000003</v>
      </c>
      <c r="Q856" s="14">
        <f>CHOOSE(CONTROL!$C$42, 81.1121, 81.1121) * CHOOSE(CONTROL!$C$21, $C$9, 100%, $E$9)</f>
        <v>81.112099999999998</v>
      </c>
      <c r="R856" s="14">
        <f>CHOOSE(CONTROL!$C$42, 81.9019, 81.9019) * CHOOSE(CONTROL!$C$21, $C$9, 100%, $E$9)</f>
        <v>81.901899999999998</v>
      </c>
      <c r="S856" s="14">
        <f>CHOOSE(CONTROL!$C$42, 78.7254, 78.7254) * CHOOSE(CONTROL!$C$21, $C$9, 100%, $E$9)</f>
        <v>78.725399999999993</v>
      </c>
      <c r="T85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56">
        <f>(1000*CHOOSE(CONTROL!$C$42, 695, 695)*CHOOSE(CONTROL!$C$42, 0.5599, 0.5599)*CHOOSE(CONTROL!$C$42, 30, 30))/1000000</f>
        <v>11.673914999999997</v>
      </c>
      <c r="V856" s="56">
        <f>(1000*CHOOSE(CONTROL!$C$42, 500, 500)*CHOOSE(CONTROL!$C$42, 0.275, 0.275)*CHOOSE(CONTROL!$C$42, 30, 30))/1000000</f>
        <v>4.125</v>
      </c>
      <c r="W856" s="56">
        <f>(1000*CHOOSE(CONTROL!$C$42, 0.1146, 0.1146)*CHOOSE(CONTROL!$C$42, 121.5, 121.5)*CHOOSE(CONTROL!$C$42, 30, 30))/1000000</f>
        <v>0.417717</v>
      </c>
      <c r="X856" s="56">
        <f>(30*0.1790888*245000/1000000)+(30*0.2374*100000/1000000)</f>
        <v>2.0285026799999999</v>
      </c>
      <c r="Y856" s="56"/>
      <c r="Z856" s="14"/>
      <c r="AA856" s="55"/>
      <c r="AB856" s="49">
        <f>(B856*141.293+C856*267.993+D856*115.016+E856*89.698+F856*40+G856*185+H856*0+I856*100+J856*300)/(141.293+267.993+115.016+89.698+0+40+185+100+300)</f>
        <v>82.015973786844228</v>
      </c>
      <c r="AC856" s="44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80.429581294964024</v>
      </c>
    </row>
    <row r="857" spans="1:29" ht="15.75" x14ac:dyDescent="0.25">
      <c r="A857" s="31">
        <v>66992</v>
      </c>
      <c r="B857" s="14">
        <f>CHOOSE(CONTROL!$C$42, 82.663, 82.663) * CHOOSE(CONTROL!$C$21, $C$9, 100%, $E$9)</f>
        <v>82.662999999999997</v>
      </c>
      <c r="C857" s="14">
        <f>CHOOSE(CONTROL!$C$42, 82.671, 82.671) * CHOOSE(CONTROL!$C$21, $C$9, 100%, $E$9)</f>
        <v>82.671000000000006</v>
      </c>
      <c r="D857" s="14">
        <f>CHOOSE(CONTROL!$C$42, 82.8968, 82.8968) * CHOOSE(CONTROL!$C$21, $C$9, 100%, $E$9)</f>
        <v>82.896799999999999</v>
      </c>
      <c r="E857" s="14">
        <f>CHOOSE(CONTROL!$C$42, 82.9283, 82.9283) * CHOOSE(CONTROL!$C$21, $C$9, 100%, $E$9)</f>
        <v>82.928299999999993</v>
      </c>
      <c r="F857" s="14">
        <f>CHOOSE(CONTROL!$C$42, 82.6887, 82.6887)*CHOOSE(CONTROL!$C$21, $C$9, 100%, $E$9)</f>
        <v>82.688699999999997</v>
      </c>
      <c r="G857" s="14">
        <f>CHOOSE(CONTROL!$C$42, 82.7056, 82.7056)*CHOOSE(CONTROL!$C$21, $C$9, 100%, $E$9)</f>
        <v>82.705600000000004</v>
      </c>
      <c r="H857" s="14">
        <f>CHOOSE(CONTROL!$C$42, 82.9169, 82.9169) * CHOOSE(CONTROL!$C$21, $C$9, 100%, $E$9)</f>
        <v>82.916899999999998</v>
      </c>
      <c r="I857" s="14">
        <f>CHOOSE(CONTROL!$C$42, 82.9534, 82.9534)* CHOOSE(CONTROL!$C$21, $C$9, 100%, $E$9)</f>
        <v>82.953400000000002</v>
      </c>
      <c r="J857" s="14">
        <f>CHOOSE(CONTROL!$C$42, 82.6817, 82.6817)* CHOOSE(CONTROL!$C$21, $C$9, 100%, $E$9)</f>
        <v>82.681700000000006</v>
      </c>
      <c r="K857" s="52">
        <f>CHOOSE(CONTROL!$C$42, 82.9495, 82.9495) * CHOOSE(CONTROL!$C$21, $C$9, 100%, $E$9)</f>
        <v>82.9495</v>
      </c>
      <c r="L857" s="14">
        <f>CHOOSE(CONTROL!$C$42, 83.5039, 83.5039) * CHOOSE(CONTROL!$C$21, $C$9, 100%, $E$9)</f>
        <v>83.503900000000002</v>
      </c>
      <c r="M857" s="14">
        <f>CHOOSE(CONTROL!$C$42, 80.9953, 80.9953) * CHOOSE(CONTROL!$C$21, $C$9, 100%, $E$9)</f>
        <v>80.9953</v>
      </c>
      <c r="N857" s="14">
        <f>CHOOSE(CONTROL!$C$42, 81.0119, 81.0119) * CHOOSE(CONTROL!$C$21, $C$9, 100%, $E$9)</f>
        <v>81.011899999999997</v>
      </c>
      <c r="O857" s="14">
        <f>CHOOSE(CONTROL!$C$42, 81.2257, 81.2257) * CHOOSE(CONTROL!$C$21, $C$9, 100%, $E$9)</f>
        <v>81.225700000000003</v>
      </c>
      <c r="P857" s="14">
        <f>CHOOSE(CONTROL!$C$42, 81.2563, 81.2563) * CHOOSE(CONTROL!$C$21, $C$9, 100%, $E$9)</f>
        <v>81.256299999999996</v>
      </c>
      <c r="Q857" s="14">
        <f>CHOOSE(CONTROL!$C$42, 81.8204, 81.8204) * CHOOSE(CONTROL!$C$21, $C$9, 100%, $E$9)</f>
        <v>81.820400000000006</v>
      </c>
      <c r="R857" s="14">
        <f>CHOOSE(CONTROL!$C$42, 82.6119, 82.6119) * CHOOSE(CONTROL!$C$21, $C$9, 100%, $E$9)</f>
        <v>82.611900000000006</v>
      </c>
      <c r="S857" s="14">
        <f>CHOOSE(CONTROL!$C$42, 79.4202, 79.4202) * CHOOSE(CONTROL!$C$21, $C$9, 100%, $E$9)</f>
        <v>79.420199999999994</v>
      </c>
      <c r="T85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56">
        <f>(1000*CHOOSE(CONTROL!$C$42, 695, 695)*CHOOSE(CONTROL!$C$42, 0.5599, 0.5599)*CHOOSE(CONTROL!$C$42, 31, 31))/1000000</f>
        <v>12.063045499999998</v>
      </c>
      <c r="V857" s="56">
        <f>(1000*CHOOSE(CONTROL!$C$42, 500, 500)*CHOOSE(CONTROL!$C$42, 0.275, 0.275)*CHOOSE(CONTROL!$C$42, 31, 31))/1000000</f>
        <v>4.2625000000000002</v>
      </c>
      <c r="W857" s="56">
        <f>(1000*CHOOSE(CONTROL!$C$42, 0.1146, 0.1146)*CHOOSE(CONTROL!$C$42, 121.5, 121.5)*CHOOSE(CONTROL!$C$42, 31, 31))/1000000</f>
        <v>0.43164089999999994</v>
      </c>
      <c r="X857" s="56">
        <f>(31*0.1790888*245000/1000000)+(31*0.2374*100000/1000000)</f>
        <v>2.0961194359999999</v>
      </c>
      <c r="Y857" s="56"/>
      <c r="Z857" s="14"/>
      <c r="AA857" s="55"/>
      <c r="AB857" s="49">
        <f>(B857*194.205+C857*267.466+D857*133.845+E857*53.484+F857*40+G857*185+H857*0+I857*100+J857*300)/(194.205+267.466+133.845+53.484+0+40+185+100+300)</f>
        <v>82.734570639089483</v>
      </c>
      <c r="AC857" s="44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81.138235251798548</v>
      </c>
    </row>
    <row r="858" spans="1:29" ht="15.75" x14ac:dyDescent="0.25">
      <c r="A858" s="31">
        <v>67022</v>
      </c>
      <c r="B858" s="14">
        <f>CHOOSE(CONTROL!$C$42, 85.0075, 85.0075) * CHOOSE(CONTROL!$C$21, $C$9, 100%, $E$9)</f>
        <v>85.007499999999993</v>
      </c>
      <c r="C858" s="14">
        <f>CHOOSE(CONTROL!$C$42, 85.0156, 85.0156) * CHOOSE(CONTROL!$C$21, $C$9, 100%, $E$9)</f>
        <v>85.015600000000006</v>
      </c>
      <c r="D858" s="14">
        <f>CHOOSE(CONTROL!$C$42, 85.2413, 85.2413) * CHOOSE(CONTROL!$C$21, $C$9, 100%, $E$9)</f>
        <v>85.241299999999995</v>
      </c>
      <c r="E858" s="14">
        <f>CHOOSE(CONTROL!$C$42, 85.2728, 85.2728) * CHOOSE(CONTROL!$C$21, $C$9, 100%, $E$9)</f>
        <v>85.272800000000004</v>
      </c>
      <c r="F858" s="14">
        <f>CHOOSE(CONTROL!$C$42, 85.0336, 85.0336)*CHOOSE(CONTROL!$C$21, $C$9, 100%, $E$9)</f>
        <v>85.033600000000007</v>
      </c>
      <c r="G858" s="14">
        <f>CHOOSE(CONTROL!$C$42, 85.0507, 85.0507)*CHOOSE(CONTROL!$C$21, $C$9, 100%, $E$9)</f>
        <v>85.050700000000006</v>
      </c>
      <c r="H858" s="14">
        <f>CHOOSE(CONTROL!$C$42, 85.2614, 85.2614) * CHOOSE(CONTROL!$C$21, $C$9, 100%, $E$9)</f>
        <v>85.261399999999995</v>
      </c>
      <c r="I858" s="14">
        <f>CHOOSE(CONTROL!$C$42, 85.3053, 85.3053)* CHOOSE(CONTROL!$C$21, $C$9, 100%, $E$9)</f>
        <v>85.305300000000003</v>
      </c>
      <c r="J858" s="14">
        <f>CHOOSE(CONTROL!$C$42, 85.0266, 85.0266)* CHOOSE(CONTROL!$C$21, $C$9, 100%, $E$9)</f>
        <v>85.026600000000002</v>
      </c>
      <c r="K858" s="52">
        <f>CHOOSE(CONTROL!$C$42, 85.3014, 85.3014) * CHOOSE(CONTROL!$C$21, $C$9, 100%, $E$9)</f>
        <v>85.301400000000001</v>
      </c>
      <c r="L858" s="14">
        <f>CHOOSE(CONTROL!$C$42, 85.8484, 85.8484) * CHOOSE(CONTROL!$C$21, $C$9, 100%, $E$9)</f>
        <v>85.848399999999998</v>
      </c>
      <c r="M858" s="14">
        <f>CHOOSE(CONTROL!$C$42, 83.2922, 83.2922) * CHOOSE(CONTROL!$C$21, $C$9, 100%, $E$9)</f>
        <v>83.292199999999994</v>
      </c>
      <c r="N858" s="14">
        <f>CHOOSE(CONTROL!$C$42, 83.3089, 83.3089) * CHOOSE(CONTROL!$C$21, $C$9, 100%, $E$9)</f>
        <v>83.308899999999994</v>
      </c>
      <c r="O858" s="14">
        <f>CHOOSE(CONTROL!$C$42, 83.5222, 83.5222) * CHOOSE(CONTROL!$C$21, $C$9, 100%, $E$9)</f>
        <v>83.522199999999998</v>
      </c>
      <c r="P858" s="14">
        <f>CHOOSE(CONTROL!$C$42, 83.5599, 83.5599) * CHOOSE(CONTROL!$C$21, $C$9, 100%, $E$9)</f>
        <v>83.559899999999999</v>
      </c>
      <c r="Q858" s="14">
        <f>CHOOSE(CONTROL!$C$42, 84.1169, 84.1169) * CHOOSE(CONTROL!$C$21, $C$9, 100%, $E$9)</f>
        <v>84.116900000000001</v>
      </c>
      <c r="R858" s="14">
        <f>CHOOSE(CONTROL!$C$42, 84.9142, 84.9142) * CHOOSE(CONTROL!$C$21, $C$9, 100%, $E$9)</f>
        <v>84.914199999999994</v>
      </c>
      <c r="S858" s="14">
        <f>CHOOSE(CONTROL!$C$42, 81.6731, 81.6731) * CHOOSE(CONTROL!$C$21, $C$9, 100%, $E$9)</f>
        <v>81.673100000000005</v>
      </c>
      <c r="T85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56">
        <f>(1000*CHOOSE(CONTROL!$C$42, 695, 695)*CHOOSE(CONTROL!$C$42, 0.5599, 0.5599)*CHOOSE(CONTROL!$C$42, 30, 30))/1000000</f>
        <v>11.673914999999997</v>
      </c>
      <c r="V858" s="56">
        <f>(1000*CHOOSE(CONTROL!$C$42, 500, 500)*CHOOSE(CONTROL!$C$42, 0.275, 0.275)*CHOOSE(CONTROL!$C$42, 30, 30))/1000000</f>
        <v>4.125</v>
      </c>
      <c r="W858" s="56">
        <f>(1000*CHOOSE(CONTROL!$C$42, 0.1146, 0.1146)*CHOOSE(CONTROL!$C$42, 121.5, 121.5)*CHOOSE(CONTROL!$C$42, 30, 30))/1000000</f>
        <v>0.417717</v>
      </c>
      <c r="X858" s="56">
        <f>(30*0.1790888*245000/1000000)+(30*0.2374*100000/1000000)</f>
        <v>2.0285026799999999</v>
      </c>
      <c r="Y858" s="56"/>
      <c r="Z858" s="14"/>
      <c r="AA858" s="55"/>
      <c r="AB858" s="49">
        <f>(B858*194.205+C858*267.466+D858*133.845+E858*53.484+F858*40+G858*185+H858*0+I858*100+J858*300)/(194.205+267.466+133.845+53.484+0+40+185+100+300)</f>
        <v>85.079866358555719</v>
      </c>
      <c r="AC858" s="44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83.435923741007187</v>
      </c>
    </row>
    <row r="859" spans="1:29" ht="15.75" x14ac:dyDescent="0.25">
      <c r="A859" s="31">
        <v>67053</v>
      </c>
      <c r="B859" s="14">
        <f>CHOOSE(CONTROL!$C$42, 83.3769, 83.3769) * CHOOSE(CONTROL!$C$21, $C$9, 100%, $E$9)</f>
        <v>83.376900000000006</v>
      </c>
      <c r="C859" s="14">
        <f>CHOOSE(CONTROL!$C$42, 83.3849, 83.3849) * CHOOSE(CONTROL!$C$21, $C$9, 100%, $E$9)</f>
        <v>83.384900000000002</v>
      </c>
      <c r="D859" s="14">
        <f>CHOOSE(CONTROL!$C$42, 83.6107, 83.6107) * CHOOSE(CONTROL!$C$21, $C$9, 100%, $E$9)</f>
        <v>83.610699999999994</v>
      </c>
      <c r="E859" s="14">
        <f>CHOOSE(CONTROL!$C$42, 83.6422, 83.6422) * CHOOSE(CONTROL!$C$21, $C$9, 100%, $E$9)</f>
        <v>83.642200000000003</v>
      </c>
      <c r="F859" s="14">
        <f>CHOOSE(CONTROL!$C$42, 83.4035, 83.4035)*CHOOSE(CONTROL!$C$21, $C$9, 100%, $E$9)</f>
        <v>83.403499999999994</v>
      </c>
      <c r="G859" s="14">
        <f>CHOOSE(CONTROL!$C$42, 83.4207, 83.4207)*CHOOSE(CONTROL!$C$21, $C$9, 100%, $E$9)</f>
        <v>83.420699999999997</v>
      </c>
      <c r="H859" s="14">
        <f>CHOOSE(CONTROL!$C$42, 83.6308, 83.6308) * CHOOSE(CONTROL!$C$21, $C$9, 100%, $E$9)</f>
        <v>83.630799999999994</v>
      </c>
      <c r="I859" s="14">
        <f>CHOOSE(CONTROL!$C$42, 83.6696, 83.6696)* CHOOSE(CONTROL!$C$21, $C$9, 100%, $E$9)</f>
        <v>83.669600000000003</v>
      </c>
      <c r="J859" s="14">
        <f>CHOOSE(CONTROL!$C$42, 83.3965, 83.3965)* CHOOSE(CONTROL!$C$21, $C$9, 100%, $E$9)</f>
        <v>83.396500000000003</v>
      </c>
      <c r="K859" s="52">
        <f>CHOOSE(CONTROL!$C$42, 83.6657, 83.6657) * CHOOSE(CONTROL!$C$21, $C$9, 100%, $E$9)</f>
        <v>83.665700000000001</v>
      </c>
      <c r="L859" s="14">
        <f>CHOOSE(CONTROL!$C$42, 84.2178, 84.2178) * CHOOSE(CONTROL!$C$21, $C$9, 100%, $E$9)</f>
        <v>84.217799999999997</v>
      </c>
      <c r="M859" s="14">
        <f>CHOOSE(CONTROL!$C$42, 81.6954, 81.6954) * CHOOSE(CONTROL!$C$21, $C$9, 100%, $E$9)</f>
        <v>81.695400000000006</v>
      </c>
      <c r="N859" s="14">
        <f>CHOOSE(CONTROL!$C$42, 81.7123, 81.7123) * CHOOSE(CONTROL!$C$21, $C$9, 100%, $E$9)</f>
        <v>81.712299999999999</v>
      </c>
      <c r="O859" s="14">
        <f>CHOOSE(CONTROL!$C$42, 81.925, 81.925) * CHOOSE(CONTROL!$C$21, $C$9, 100%, $E$9)</f>
        <v>81.924999999999997</v>
      </c>
      <c r="P859" s="14">
        <f>CHOOSE(CONTROL!$C$42, 81.9577, 81.9577) * CHOOSE(CONTROL!$C$21, $C$9, 100%, $E$9)</f>
        <v>81.957700000000003</v>
      </c>
      <c r="Q859" s="14">
        <f>CHOOSE(CONTROL!$C$42, 82.5197, 82.5197) * CHOOSE(CONTROL!$C$21, $C$9, 100%, $E$9)</f>
        <v>82.5197</v>
      </c>
      <c r="R859" s="14">
        <f>CHOOSE(CONTROL!$C$42, 83.313, 83.313) * CHOOSE(CONTROL!$C$21, $C$9, 100%, $E$9)</f>
        <v>83.313000000000002</v>
      </c>
      <c r="S859" s="14">
        <f>CHOOSE(CONTROL!$C$42, 80.1062, 80.1062) * CHOOSE(CONTROL!$C$21, $C$9, 100%, $E$9)</f>
        <v>80.106200000000001</v>
      </c>
      <c r="T85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56">
        <f>(1000*CHOOSE(CONTROL!$C$42, 695, 695)*CHOOSE(CONTROL!$C$42, 0.5599, 0.5599)*CHOOSE(CONTROL!$C$42, 31, 31))/1000000</f>
        <v>12.063045499999998</v>
      </c>
      <c r="V859" s="56">
        <f>(1000*CHOOSE(CONTROL!$C$42, 500, 500)*CHOOSE(CONTROL!$C$42, 0.275, 0.275)*CHOOSE(CONTROL!$C$42, 31, 31))/1000000</f>
        <v>4.2625000000000002</v>
      </c>
      <c r="W859" s="56">
        <f>(1000*CHOOSE(CONTROL!$C$42, 0.1146, 0.1146)*CHOOSE(CONTROL!$C$42, 121.5, 121.5)*CHOOSE(CONTROL!$C$42, 31, 31))/1000000</f>
        <v>0.43164089999999994</v>
      </c>
      <c r="X859" s="56">
        <f>(31*0.1790888*245000/1000000)+(31*0.2374*100000/1000000)</f>
        <v>2.0961194359999999</v>
      </c>
      <c r="Y859" s="56"/>
      <c r="Z859" s="14"/>
      <c r="AA859" s="55"/>
      <c r="AB859" s="49">
        <f>(B859*194.205+C859*267.466+D859*133.845+E859*53.484+F859*40+G859*185+H859*0+I859*100+J859*300)/(194.205+267.466+133.845+53.484+0+40+185+100+300)</f>
        <v>83.449065615541613</v>
      </c>
      <c r="AC859" s="44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81.838176978417266</v>
      </c>
    </row>
    <row r="860" spans="1:29" ht="15.75" x14ac:dyDescent="0.25">
      <c r="A860" s="31">
        <v>67084</v>
      </c>
      <c r="B860" s="14">
        <f>CHOOSE(CONTROL!$C$42, 79.2591, 79.2591) * CHOOSE(CONTROL!$C$21, $C$9, 100%, $E$9)</f>
        <v>79.259100000000004</v>
      </c>
      <c r="C860" s="14">
        <f>CHOOSE(CONTROL!$C$42, 79.2671, 79.2671) * CHOOSE(CONTROL!$C$21, $C$9, 100%, $E$9)</f>
        <v>79.267099999999999</v>
      </c>
      <c r="D860" s="14">
        <f>CHOOSE(CONTROL!$C$42, 79.4929, 79.4929) * CHOOSE(CONTROL!$C$21, $C$9, 100%, $E$9)</f>
        <v>79.492900000000006</v>
      </c>
      <c r="E860" s="14">
        <f>CHOOSE(CONTROL!$C$42, 79.5243, 79.5243) * CHOOSE(CONTROL!$C$21, $C$9, 100%, $E$9)</f>
        <v>79.524299999999997</v>
      </c>
      <c r="F860" s="14">
        <f>CHOOSE(CONTROL!$C$42, 79.2859, 79.2859)*CHOOSE(CONTROL!$C$21, $C$9, 100%, $E$9)</f>
        <v>79.285899999999998</v>
      </c>
      <c r="G860" s="14">
        <f>CHOOSE(CONTROL!$C$42, 79.3031, 79.3031)*CHOOSE(CONTROL!$C$21, $C$9, 100%, $E$9)</f>
        <v>79.303100000000001</v>
      </c>
      <c r="H860" s="14">
        <f>CHOOSE(CONTROL!$C$42, 79.513, 79.513) * CHOOSE(CONTROL!$C$21, $C$9, 100%, $E$9)</f>
        <v>79.513000000000005</v>
      </c>
      <c r="I860" s="14">
        <f>CHOOSE(CONTROL!$C$42, 79.5388, 79.5388)* CHOOSE(CONTROL!$C$21, $C$9, 100%, $E$9)</f>
        <v>79.538799999999995</v>
      </c>
      <c r="J860" s="14">
        <f>CHOOSE(CONTROL!$C$42, 79.2789, 79.2789)* CHOOSE(CONTROL!$C$21, $C$9, 100%, $E$9)</f>
        <v>79.278899999999993</v>
      </c>
      <c r="K860" s="52">
        <f>CHOOSE(CONTROL!$C$42, 79.5349, 79.5349) * CHOOSE(CONTROL!$C$21, $C$9, 100%, $E$9)</f>
        <v>79.534899999999993</v>
      </c>
      <c r="L860" s="14">
        <f>CHOOSE(CONTROL!$C$42, 80.1, 80.1) * CHOOSE(CONTROL!$C$21, $C$9, 100%, $E$9)</f>
        <v>80.099999999999994</v>
      </c>
      <c r="M860" s="14">
        <f>CHOOSE(CONTROL!$C$42, 77.6622, 77.6622) * CHOOSE(CONTROL!$C$21, $C$9, 100%, $E$9)</f>
        <v>77.662199999999999</v>
      </c>
      <c r="N860" s="14">
        <f>CHOOSE(CONTROL!$C$42, 77.6791, 77.6791) * CHOOSE(CONTROL!$C$21, $C$9, 100%, $E$9)</f>
        <v>77.679100000000005</v>
      </c>
      <c r="O860" s="14">
        <f>CHOOSE(CONTROL!$C$42, 77.8915, 77.8915) * CHOOSE(CONTROL!$C$21, $C$9, 100%, $E$9)</f>
        <v>77.891499999999994</v>
      </c>
      <c r="P860" s="14">
        <f>CHOOSE(CONTROL!$C$42, 77.9119, 77.9119) * CHOOSE(CONTROL!$C$21, $C$9, 100%, $E$9)</f>
        <v>77.911900000000003</v>
      </c>
      <c r="Q860" s="14">
        <f>CHOOSE(CONTROL!$C$42, 78.4862, 78.4862) * CHOOSE(CONTROL!$C$21, $C$9, 100%, $E$9)</f>
        <v>78.486199999999997</v>
      </c>
      <c r="R860" s="14">
        <f>CHOOSE(CONTROL!$C$42, 79.2694, 79.2694) * CHOOSE(CONTROL!$C$21, $C$9, 100%, $E$9)</f>
        <v>79.269400000000005</v>
      </c>
      <c r="S860" s="14">
        <f>CHOOSE(CONTROL!$C$42, 76.1494, 76.1494) * CHOOSE(CONTROL!$C$21, $C$9, 100%, $E$9)</f>
        <v>76.1494</v>
      </c>
      <c r="T86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56">
        <f>(1000*CHOOSE(CONTROL!$C$42, 695, 695)*CHOOSE(CONTROL!$C$42, 0.5599, 0.5599)*CHOOSE(CONTROL!$C$42, 31, 31))/1000000</f>
        <v>12.063045499999998</v>
      </c>
      <c r="V860" s="56">
        <f>(1000*CHOOSE(CONTROL!$C$42, 500, 500)*CHOOSE(CONTROL!$C$42, 0.275, 0.275)*CHOOSE(CONTROL!$C$42, 31, 31))/1000000</f>
        <v>4.2625000000000002</v>
      </c>
      <c r="W860" s="56">
        <f>(1000*CHOOSE(CONTROL!$C$42, 0.1146, 0.1146)*CHOOSE(CONTROL!$C$42, 121.5, 121.5)*CHOOSE(CONTROL!$C$42, 31, 31))/1000000</f>
        <v>0.43164089999999994</v>
      </c>
      <c r="X860" s="56">
        <f>(31*0.1790888*245000/1000000)+(31*0.2374*100000/1000000)</f>
        <v>2.0961194359999999</v>
      </c>
      <c r="Y860" s="56"/>
      <c r="Z860" s="14"/>
      <c r="AA860" s="55"/>
      <c r="AB860" s="49">
        <f>(B860*194.205+C860*267.466+D860*133.845+E860*53.484+F860*40+G860*185+H860*0+I860*100+J860*300)/(194.205+267.466+133.845+53.484+0+40+185+100+300)</f>
        <v>79.330323426844586</v>
      </c>
      <c r="AC860" s="44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77.803028057553959</v>
      </c>
    </row>
    <row r="861" spans="1:29" ht="15.75" x14ac:dyDescent="0.25">
      <c r="A861" s="31">
        <v>67114</v>
      </c>
      <c r="B861" s="14">
        <f>CHOOSE(CONTROL!$C$42, 74.2276, 74.2276) * CHOOSE(CONTROL!$C$21, $C$9, 100%, $E$9)</f>
        <v>74.227599999999995</v>
      </c>
      <c r="C861" s="14">
        <f>CHOOSE(CONTROL!$C$42, 74.2356, 74.2356) * CHOOSE(CONTROL!$C$21, $C$9, 100%, $E$9)</f>
        <v>74.235600000000005</v>
      </c>
      <c r="D861" s="14">
        <f>CHOOSE(CONTROL!$C$42, 74.4614, 74.4614) * CHOOSE(CONTROL!$C$21, $C$9, 100%, $E$9)</f>
        <v>74.461399999999998</v>
      </c>
      <c r="E861" s="14">
        <f>CHOOSE(CONTROL!$C$42, 74.4929, 74.4929) * CHOOSE(CONTROL!$C$21, $C$9, 100%, $E$9)</f>
        <v>74.492900000000006</v>
      </c>
      <c r="F861" s="14">
        <f>CHOOSE(CONTROL!$C$42, 74.2544, 74.2544)*CHOOSE(CONTROL!$C$21, $C$9, 100%, $E$9)</f>
        <v>74.254400000000004</v>
      </c>
      <c r="G861" s="14">
        <f>CHOOSE(CONTROL!$C$42, 74.2717, 74.2717)*CHOOSE(CONTROL!$C$21, $C$9, 100%, $E$9)</f>
        <v>74.271699999999996</v>
      </c>
      <c r="H861" s="14">
        <f>CHOOSE(CONTROL!$C$42, 74.4815, 74.4815) * CHOOSE(CONTROL!$C$21, $C$9, 100%, $E$9)</f>
        <v>74.481499999999997</v>
      </c>
      <c r="I861" s="14">
        <f>CHOOSE(CONTROL!$C$42, 74.4916, 74.4916)* CHOOSE(CONTROL!$C$21, $C$9, 100%, $E$9)</f>
        <v>74.491600000000005</v>
      </c>
      <c r="J861" s="14">
        <f>CHOOSE(CONTROL!$C$42, 74.2474, 74.2474)* CHOOSE(CONTROL!$C$21, $C$9, 100%, $E$9)</f>
        <v>74.247399999999999</v>
      </c>
      <c r="K861" s="52">
        <f>CHOOSE(CONTROL!$C$42, 74.4877, 74.4877) * CHOOSE(CONTROL!$C$21, $C$9, 100%, $E$9)</f>
        <v>74.487700000000004</v>
      </c>
      <c r="L861" s="14">
        <f>CHOOSE(CONTROL!$C$42, 75.0685, 75.0685) * CHOOSE(CONTROL!$C$21, $C$9, 100%, $E$9)</f>
        <v>75.0685</v>
      </c>
      <c r="M861" s="14">
        <f>CHOOSE(CONTROL!$C$42, 72.7338, 72.7338) * CHOOSE(CONTROL!$C$21, $C$9, 100%, $E$9)</f>
        <v>72.733800000000002</v>
      </c>
      <c r="N861" s="14">
        <f>CHOOSE(CONTROL!$C$42, 72.7507, 72.7507) * CHOOSE(CONTROL!$C$21, $C$9, 100%, $E$9)</f>
        <v>72.750699999999995</v>
      </c>
      <c r="O861" s="14">
        <f>CHOOSE(CONTROL!$C$42, 72.9631, 72.9631) * CHOOSE(CONTROL!$C$21, $C$9, 100%, $E$9)</f>
        <v>72.963099999999997</v>
      </c>
      <c r="P861" s="14">
        <f>CHOOSE(CONTROL!$C$42, 72.9684, 72.9684) * CHOOSE(CONTROL!$C$21, $C$9, 100%, $E$9)</f>
        <v>72.968400000000003</v>
      </c>
      <c r="Q861" s="14">
        <f>CHOOSE(CONTROL!$C$42, 73.5578, 73.5578) * CHOOSE(CONTROL!$C$21, $C$9, 100%, $E$9)</f>
        <v>73.5578</v>
      </c>
      <c r="R861" s="14">
        <f>CHOOSE(CONTROL!$C$42, 74.3287, 74.3287) * CHOOSE(CONTROL!$C$21, $C$9, 100%, $E$9)</f>
        <v>74.328699999999998</v>
      </c>
      <c r="S861" s="14">
        <f>CHOOSE(CONTROL!$C$42, 71.3147, 71.3147) * CHOOSE(CONTROL!$C$21, $C$9, 100%, $E$9)</f>
        <v>71.314700000000002</v>
      </c>
      <c r="T86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56">
        <f>(1000*CHOOSE(CONTROL!$C$42, 695, 695)*CHOOSE(CONTROL!$C$42, 0.5599, 0.5599)*CHOOSE(CONTROL!$C$42, 30, 30))/1000000</f>
        <v>11.673914999999997</v>
      </c>
      <c r="V861" s="56">
        <f>(1000*CHOOSE(CONTROL!$C$42, 500, 500)*CHOOSE(CONTROL!$C$42, 0.275, 0.275)*CHOOSE(CONTROL!$C$42, 30, 30))/1000000</f>
        <v>4.125</v>
      </c>
      <c r="W861" s="56">
        <f>(1000*CHOOSE(CONTROL!$C$42, 0.1146, 0.1146)*CHOOSE(CONTROL!$C$42, 121.5, 121.5)*CHOOSE(CONTROL!$C$42, 30, 30))/1000000</f>
        <v>0.417717</v>
      </c>
      <c r="X861" s="56">
        <f>(30*0.1790888*245000/1000000)+(30*0.2374*100000/1000000)</f>
        <v>2.0285026799999999</v>
      </c>
      <c r="Y861" s="56"/>
      <c r="Z861" s="14"/>
      <c r="AA861" s="55"/>
      <c r="AB861" s="49">
        <f>(B861*194.205+C861*267.466+D861*133.845+E861*53.484+F861*40+G861*185+H861*0+I861*100+J861*300)/(194.205+267.466+133.845+53.484+0+40+185+100+300)</f>
        <v>74.297609807064362</v>
      </c>
      <c r="AC861" s="44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72.872455395683446</v>
      </c>
    </row>
    <row r="862" spans="1:29" ht="15.75" x14ac:dyDescent="0.25">
      <c r="A862" s="31">
        <v>67145</v>
      </c>
      <c r="B862" s="14">
        <f>CHOOSE(CONTROL!$C$42, 72.719, 72.719) * CHOOSE(CONTROL!$C$21, $C$9, 100%, $E$9)</f>
        <v>72.718999999999994</v>
      </c>
      <c r="C862" s="14">
        <f>CHOOSE(CONTROL!$C$42, 72.7243, 72.7243) * CHOOSE(CONTROL!$C$21, $C$9, 100%, $E$9)</f>
        <v>72.724299999999999</v>
      </c>
      <c r="D862" s="14">
        <f>CHOOSE(CONTROL!$C$42, 72.955, 72.955) * CHOOSE(CONTROL!$C$21, $C$9, 100%, $E$9)</f>
        <v>72.954999999999998</v>
      </c>
      <c r="E862" s="14">
        <f>CHOOSE(CONTROL!$C$42, 72.9842, 72.9842) * CHOOSE(CONTROL!$C$21, $C$9, 100%, $E$9)</f>
        <v>72.984200000000001</v>
      </c>
      <c r="F862" s="14">
        <f>CHOOSE(CONTROL!$C$42, 72.7478, 72.7478)*CHOOSE(CONTROL!$C$21, $C$9, 100%, $E$9)</f>
        <v>72.747799999999998</v>
      </c>
      <c r="G862" s="14">
        <f>CHOOSE(CONTROL!$C$42, 72.7649, 72.7649)*CHOOSE(CONTROL!$C$21, $C$9, 100%, $E$9)</f>
        <v>72.764899999999997</v>
      </c>
      <c r="H862" s="14">
        <f>CHOOSE(CONTROL!$C$42, 72.9746, 72.9746) * CHOOSE(CONTROL!$C$21, $C$9, 100%, $E$9)</f>
        <v>72.974599999999995</v>
      </c>
      <c r="I862" s="14">
        <f>CHOOSE(CONTROL!$C$42, 72.98, 72.98)* CHOOSE(CONTROL!$C$21, $C$9, 100%, $E$9)</f>
        <v>72.98</v>
      </c>
      <c r="J862" s="14">
        <f>CHOOSE(CONTROL!$C$42, 72.7408, 72.7408)* CHOOSE(CONTROL!$C$21, $C$9, 100%, $E$9)</f>
        <v>72.740799999999993</v>
      </c>
      <c r="K862" s="52">
        <f>CHOOSE(CONTROL!$C$42, 72.9761, 72.9761) * CHOOSE(CONTROL!$C$21, $C$9, 100%, $E$9)</f>
        <v>72.976100000000002</v>
      </c>
      <c r="L862" s="14">
        <f>CHOOSE(CONTROL!$C$42, 73.5616, 73.5616) * CHOOSE(CONTROL!$C$21, $C$9, 100%, $E$9)</f>
        <v>73.561599999999999</v>
      </c>
      <c r="M862" s="14">
        <f>CHOOSE(CONTROL!$C$42, 71.2581, 71.2581) * CHOOSE(CONTROL!$C$21, $C$9, 100%, $E$9)</f>
        <v>71.258099999999999</v>
      </c>
      <c r="N862" s="14">
        <f>CHOOSE(CONTROL!$C$42, 71.2749, 71.2749) * CHOOSE(CONTROL!$C$21, $C$9, 100%, $E$9)</f>
        <v>71.274900000000002</v>
      </c>
      <c r="O862" s="14">
        <f>CHOOSE(CONTROL!$C$42, 71.4871, 71.4871) * CHOOSE(CONTROL!$C$21, $C$9, 100%, $E$9)</f>
        <v>71.487099999999998</v>
      </c>
      <c r="P862" s="14">
        <f>CHOOSE(CONTROL!$C$42, 71.4879, 71.4879) * CHOOSE(CONTROL!$C$21, $C$9, 100%, $E$9)</f>
        <v>71.487899999999996</v>
      </c>
      <c r="Q862" s="14">
        <f>CHOOSE(CONTROL!$C$42, 72.0818, 72.0818) * CHOOSE(CONTROL!$C$21, $C$9, 100%, $E$9)</f>
        <v>72.081800000000001</v>
      </c>
      <c r="R862" s="14">
        <f>CHOOSE(CONTROL!$C$42, 72.849, 72.849) * CHOOSE(CONTROL!$C$21, $C$9, 100%, $E$9)</f>
        <v>72.849000000000004</v>
      </c>
      <c r="S862" s="14">
        <f>CHOOSE(CONTROL!$C$42, 69.8667, 69.8667) * CHOOSE(CONTROL!$C$21, $C$9, 100%, $E$9)</f>
        <v>69.866699999999994</v>
      </c>
      <c r="T86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56">
        <f>(1000*CHOOSE(CONTROL!$C$42, 695, 695)*CHOOSE(CONTROL!$C$42, 0.5599, 0.5599)*CHOOSE(CONTROL!$C$42, 31, 31))/1000000</f>
        <v>12.063045499999998</v>
      </c>
      <c r="V862" s="56">
        <f>(1000*CHOOSE(CONTROL!$C$42, 500, 500)*CHOOSE(CONTROL!$C$42, 0.275, 0.275)*CHOOSE(CONTROL!$C$42, 31, 31))/1000000</f>
        <v>4.2625000000000002</v>
      </c>
      <c r="W862" s="56">
        <f>(1000*CHOOSE(CONTROL!$C$42, 0.1146, 0.1146)*CHOOSE(CONTROL!$C$42, 121.5, 121.5)*CHOOSE(CONTROL!$C$42, 31, 31))/1000000</f>
        <v>0.43164089999999994</v>
      </c>
      <c r="X862" s="56">
        <f>(31*0.1790888*245000/1000000)+(31*0.2374*100000/1000000)</f>
        <v>2.0961194359999999</v>
      </c>
      <c r="Y862" s="56"/>
      <c r="Z862" s="14"/>
      <c r="AA862" s="55"/>
      <c r="AB862" s="49">
        <f>(B862*131.881+C862*277.167+D862*79.08+E862*125.872+F862*40+G862*185+H862*0+I862*100+J862*300)/(131.881+277.167+79.08+125.872+0+40+185+100+300)</f>
        <v>72.796317691283292</v>
      </c>
      <c r="AC862" s="44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71.395923021582732</v>
      </c>
    </row>
    <row r="863" spans="1:29" ht="15.75" x14ac:dyDescent="0.25">
      <c r="A863" s="31">
        <v>67175</v>
      </c>
      <c r="B863" s="14">
        <f>CHOOSE(CONTROL!$C$42, 74.634, 74.634) * CHOOSE(CONTROL!$C$21, $C$9, 100%, $E$9)</f>
        <v>74.634</v>
      </c>
      <c r="C863" s="14">
        <f>CHOOSE(CONTROL!$C$42, 74.6391, 74.6391) * CHOOSE(CONTROL!$C$21, $C$9, 100%, $E$9)</f>
        <v>74.639099999999999</v>
      </c>
      <c r="D863" s="14">
        <f>CHOOSE(CONTROL!$C$42, 74.7081, 74.7081) * CHOOSE(CONTROL!$C$21, $C$9, 100%, $E$9)</f>
        <v>74.708100000000002</v>
      </c>
      <c r="E863" s="14">
        <f>CHOOSE(CONTROL!$C$42, 74.7422, 74.7422) * CHOOSE(CONTROL!$C$21, $C$9, 100%, $E$9)</f>
        <v>74.742199999999997</v>
      </c>
      <c r="F863" s="14">
        <f>CHOOSE(CONTROL!$C$42, 74.6696, 74.6696)*CHOOSE(CONTROL!$C$21, $C$9, 100%, $E$9)</f>
        <v>74.669600000000003</v>
      </c>
      <c r="G863" s="14">
        <f>CHOOSE(CONTROL!$C$42, 74.687, 74.687)*CHOOSE(CONTROL!$C$21, $C$9, 100%, $E$9)</f>
        <v>74.686999999999998</v>
      </c>
      <c r="H863" s="14">
        <f>CHOOSE(CONTROL!$C$42, 74.7314, 74.7314) * CHOOSE(CONTROL!$C$21, $C$9, 100%, $E$9)</f>
        <v>74.731399999999994</v>
      </c>
      <c r="I863" s="14">
        <f>CHOOSE(CONTROL!$C$42, 74.9041, 74.9041)* CHOOSE(CONTROL!$C$21, $C$9, 100%, $E$9)</f>
        <v>74.9041</v>
      </c>
      <c r="J863" s="14">
        <f>CHOOSE(CONTROL!$C$42, 74.6626, 74.6626)* CHOOSE(CONTROL!$C$21, $C$9, 100%, $E$9)</f>
        <v>74.662599999999998</v>
      </c>
      <c r="K863" s="52">
        <f>CHOOSE(CONTROL!$C$42, 74.9002, 74.9002) * CHOOSE(CONTROL!$C$21, $C$9, 100%, $E$9)</f>
        <v>74.900199999999998</v>
      </c>
      <c r="L863" s="14">
        <f>CHOOSE(CONTROL!$C$42, 75.3184, 75.3184) * CHOOSE(CONTROL!$C$21, $C$9, 100%, $E$9)</f>
        <v>75.318399999999997</v>
      </c>
      <c r="M863" s="14">
        <f>CHOOSE(CONTROL!$C$42, 73.1405, 73.1405) * CHOOSE(CONTROL!$C$21, $C$9, 100%, $E$9)</f>
        <v>73.140500000000003</v>
      </c>
      <c r="N863" s="14">
        <f>CHOOSE(CONTROL!$C$42, 73.1576, 73.1576) * CHOOSE(CONTROL!$C$21, $C$9, 100%, $E$9)</f>
        <v>73.157600000000002</v>
      </c>
      <c r="O863" s="14">
        <f>CHOOSE(CONTROL!$C$42, 73.2079, 73.2079) * CHOOSE(CONTROL!$C$21, $C$9, 100%, $E$9)</f>
        <v>73.207899999999995</v>
      </c>
      <c r="P863" s="14">
        <f>CHOOSE(CONTROL!$C$42, 73.3724, 73.3724) * CHOOSE(CONTROL!$C$21, $C$9, 100%, $E$9)</f>
        <v>73.372399999999999</v>
      </c>
      <c r="Q863" s="14">
        <f>CHOOSE(CONTROL!$C$42, 73.8026, 73.8026) * CHOOSE(CONTROL!$C$21, $C$9, 100%, $E$9)</f>
        <v>73.802599999999998</v>
      </c>
      <c r="R863" s="14">
        <f>CHOOSE(CONTROL!$C$42, 74.5741, 74.5741) * CHOOSE(CONTROL!$C$21, $C$9, 100%, $E$9)</f>
        <v>74.574100000000001</v>
      </c>
      <c r="S863" s="14">
        <f>CHOOSE(CONTROL!$C$42, 71.7073, 71.7073) * CHOOSE(CONTROL!$C$21, $C$9, 100%, $E$9)</f>
        <v>71.707300000000004</v>
      </c>
      <c r="T86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56">
        <f>(1000*CHOOSE(CONTROL!$C$42, 695, 695)*CHOOSE(CONTROL!$C$42, 0.5599, 0.5599)*CHOOSE(CONTROL!$C$42, 30, 30))/1000000</f>
        <v>11.673914999999997</v>
      </c>
      <c r="V863" s="56">
        <f>(1000*CHOOSE(CONTROL!$C$42, 500, 500)*CHOOSE(CONTROL!$C$42, 0.275, 0.275)*CHOOSE(CONTROL!$C$42, 30, 30))/1000000</f>
        <v>4.125</v>
      </c>
      <c r="W863" s="56">
        <f>(1000*CHOOSE(CONTROL!$C$42, 0.1146, 0.1146)*CHOOSE(CONTROL!$C$42, 121.5, 121.5)*CHOOSE(CONTROL!$C$42, 30, 30))/1000000</f>
        <v>0.417717</v>
      </c>
      <c r="X863" s="56">
        <f>(30*0.1790888*100000/1000000)+(30*0.2374*100000/1000000)</f>
        <v>1.2494664</v>
      </c>
      <c r="Y863" s="56"/>
      <c r="Z863" s="14"/>
      <c r="AA863" s="55"/>
      <c r="AB863" s="49">
        <f>(B863*122.58+C863*297.941+D863*89.177+E863*40.302+F863*40+G863*160+H863*0+I863*100+J863*300)/(122.58+297.941+89.177+40.302+0+40+160+100+300)</f>
        <v>74.684419296695651</v>
      </c>
      <c r="AC863" s="44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73.205399280575534</v>
      </c>
    </row>
    <row r="864" spans="1:29" ht="15.75" x14ac:dyDescent="0.25">
      <c r="A864" s="31">
        <v>67206</v>
      </c>
      <c r="B864" s="14">
        <f>CHOOSE(CONTROL!$C$42, 79.7219, 79.7219) * CHOOSE(CONTROL!$C$21, $C$9, 100%, $E$9)</f>
        <v>79.721900000000005</v>
      </c>
      <c r="C864" s="14">
        <f>CHOOSE(CONTROL!$C$42, 79.727, 79.727) * CHOOSE(CONTROL!$C$21, $C$9, 100%, $E$9)</f>
        <v>79.727000000000004</v>
      </c>
      <c r="D864" s="14">
        <f>CHOOSE(CONTROL!$C$42, 79.796, 79.796) * CHOOSE(CONTROL!$C$21, $C$9, 100%, $E$9)</f>
        <v>79.796000000000006</v>
      </c>
      <c r="E864" s="14">
        <f>CHOOSE(CONTROL!$C$42, 79.8301, 79.8301) * CHOOSE(CONTROL!$C$21, $C$9, 100%, $E$9)</f>
        <v>79.830100000000002</v>
      </c>
      <c r="F864" s="14">
        <f>CHOOSE(CONTROL!$C$42, 79.7597, 79.7597)*CHOOSE(CONTROL!$C$21, $C$9, 100%, $E$9)</f>
        <v>79.759699999999995</v>
      </c>
      <c r="G864" s="14">
        <f>CHOOSE(CONTROL!$C$42, 79.7777, 79.7777)*CHOOSE(CONTROL!$C$21, $C$9, 100%, $E$9)</f>
        <v>79.777699999999996</v>
      </c>
      <c r="H864" s="14">
        <f>CHOOSE(CONTROL!$C$42, 79.8193, 79.8193) * CHOOSE(CONTROL!$C$21, $C$9, 100%, $E$9)</f>
        <v>79.819299999999998</v>
      </c>
      <c r="I864" s="14">
        <f>CHOOSE(CONTROL!$C$42, 80.0079, 80.0079)* CHOOSE(CONTROL!$C$21, $C$9, 100%, $E$9)</f>
        <v>80.007900000000006</v>
      </c>
      <c r="J864" s="14">
        <f>CHOOSE(CONTROL!$C$42, 79.7527, 79.7527)* CHOOSE(CONTROL!$C$21, $C$9, 100%, $E$9)</f>
        <v>79.752700000000004</v>
      </c>
      <c r="K864" s="52">
        <f>CHOOSE(CONTROL!$C$42, 80.004, 80.004) * CHOOSE(CONTROL!$C$21, $C$9, 100%, $E$9)</f>
        <v>80.004000000000005</v>
      </c>
      <c r="L864" s="14">
        <f>CHOOSE(CONTROL!$C$42, 80.4063, 80.4063) * CHOOSE(CONTROL!$C$21, $C$9, 100%, $E$9)</f>
        <v>80.406300000000002</v>
      </c>
      <c r="M864" s="14">
        <f>CHOOSE(CONTROL!$C$42, 78.1263, 78.1263) * CHOOSE(CONTROL!$C$21, $C$9, 100%, $E$9)</f>
        <v>78.126300000000001</v>
      </c>
      <c r="N864" s="14">
        <f>CHOOSE(CONTROL!$C$42, 78.144, 78.144) * CHOOSE(CONTROL!$C$21, $C$9, 100%, $E$9)</f>
        <v>78.144000000000005</v>
      </c>
      <c r="O864" s="14">
        <f>CHOOSE(CONTROL!$C$42, 78.1915, 78.1915) * CHOOSE(CONTROL!$C$21, $C$9, 100%, $E$9)</f>
        <v>78.191500000000005</v>
      </c>
      <c r="P864" s="14">
        <f>CHOOSE(CONTROL!$C$42, 78.3713, 78.3713) * CHOOSE(CONTROL!$C$21, $C$9, 100%, $E$9)</f>
        <v>78.371300000000005</v>
      </c>
      <c r="Q864" s="14">
        <f>CHOOSE(CONTROL!$C$42, 78.7862, 78.7862) * CHOOSE(CONTROL!$C$21, $C$9, 100%, $E$9)</f>
        <v>78.786199999999994</v>
      </c>
      <c r="R864" s="14">
        <f>CHOOSE(CONTROL!$C$42, 79.5702, 79.5702) * CHOOSE(CONTROL!$C$21, $C$9, 100%, $E$9)</f>
        <v>79.5702</v>
      </c>
      <c r="S864" s="14">
        <f>CHOOSE(CONTROL!$C$42, 76.5962, 76.5962) * CHOOSE(CONTROL!$C$21, $C$9, 100%, $E$9)</f>
        <v>76.596199999999996</v>
      </c>
      <c r="T86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56">
        <f>(1000*CHOOSE(CONTROL!$C$42, 695, 695)*CHOOSE(CONTROL!$C$42, 0.5599, 0.5599)*CHOOSE(CONTROL!$C$42, 31, 31))/1000000</f>
        <v>12.063045499999998</v>
      </c>
      <c r="V864" s="56">
        <f>(1000*CHOOSE(CONTROL!$C$42, 500, 500)*CHOOSE(CONTROL!$C$42, 0.275, 0.275)*CHOOSE(CONTROL!$C$42, 31, 31))/1000000</f>
        <v>4.2625000000000002</v>
      </c>
      <c r="W864" s="56">
        <f>(1000*CHOOSE(CONTROL!$C$42, 0.1146, 0.1146)*CHOOSE(CONTROL!$C$42, 121.5, 121.5)*CHOOSE(CONTROL!$C$42, 31, 31))/1000000</f>
        <v>0.43164089999999994</v>
      </c>
      <c r="X864" s="56">
        <f>(31*0.1790888*100000/1000000)+(31*0.2374*100000/1000000)</f>
        <v>1.2911152800000001</v>
      </c>
      <c r="Y864" s="56"/>
      <c r="Z864" s="14"/>
      <c r="AA864" s="55"/>
      <c r="AB864" s="49">
        <f>(B864*122.58+C864*297.941+D864*89.177+E864*40.302+F864*40+G864*160+H864*0+I864*100+J864*300)/(122.58+297.941+89.177+40.302+0+40+160+100+300)</f>
        <v>79.774741905391309</v>
      </c>
      <c r="AC864" s="44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78.192121582733819</v>
      </c>
    </row>
    <row r="865" spans="1:29" ht="15.75" x14ac:dyDescent="0.25">
      <c r="A865" s="31">
        <v>67237</v>
      </c>
      <c r="B865" s="14">
        <f>CHOOSE(CONTROL!$C$42, 86.3301, 86.3301) * CHOOSE(CONTROL!$C$21, $C$9, 100%, $E$9)</f>
        <v>86.330100000000002</v>
      </c>
      <c r="C865" s="14">
        <f>CHOOSE(CONTROL!$C$42, 86.3352, 86.3352) * CHOOSE(CONTROL!$C$21, $C$9, 100%, $E$9)</f>
        <v>86.3352</v>
      </c>
      <c r="D865" s="14">
        <f>CHOOSE(CONTROL!$C$42, 86.4146, 86.4146) * CHOOSE(CONTROL!$C$21, $C$9, 100%, $E$9)</f>
        <v>86.414599999999993</v>
      </c>
      <c r="E865" s="14">
        <f>CHOOSE(CONTROL!$C$42, 86.4487, 86.4487) * CHOOSE(CONTROL!$C$21, $C$9, 100%, $E$9)</f>
        <v>86.448700000000002</v>
      </c>
      <c r="F865" s="14">
        <f>CHOOSE(CONTROL!$C$42, 86.3531, 86.3531)*CHOOSE(CONTROL!$C$21, $C$9, 100%, $E$9)</f>
        <v>86.353099999999998</v>
      </c>
      <c r="G865" s="14">
        <f>CHOOSE(CONTROL!$C$42, 86.3707, 86.3707)*CHOOSE(CONTROL!$C$21, $C$9, 100%, $E$9)</f>
        <v>86.370699999999999</v>
      </c>
      <c r="H865" s="14">
        <f>CHOOSE(CONTROL!$C$42, 86.4379, 86.4379) * CHOOSE(CONTROL!$C$21, $C$9, 100%, $E$9)</f>
        <v>86.437899999999999</v>
      </c>
      <c r="I865" s="14">
        <f>CHOOSE(CONTROL!$C$42, 86.6358, 86.6358)* CHOOSE(CONTROL!$C$21, $C$9, 100%, $E$9)</f>
        <v>86.635800000000003</v>
      </c>
      <c r="J865" s="14">
        <f>CHOOSE(CONTROL!$C$42, 86.3461, 86.3461)* CHOOSE(CONTROL!$C$21, $C$9, 100%, $E$9)</f>
        <v>86.346100000000007</v>
      </c>
      <c r="K865" s="52">
        <f>CHOOSE(CONTROL!$C$42, 86.6319, 86.6319) * CHOOSE(CONTROL!$C$21, $C$9, 100%, $E$9)</f>
        <v>86.631900000000002</v>
      </c>
      <c r="L865" s="14">
        <f>CHOOSE(CONTROL!$C$42, 87.0249, 87.0249) * CHOOSE(CONTROL!$C$21, $C$9, 100%, $E$9)</f>
        <v>87.024900000000002</v>
      </c>
      <c r="M865" s="14">
        <f>CHOOSE(CONTROL!$C$42, 84.5847, 84.5847) * CHOOSE(CONTROL!$C$21, $C$9, 100%, $E$9)</f>
        <v>84.584699999999998</v>
      </c>
      <c r="N865" s="14">
        <f>CHOOSE(CONTROL!$C$42, 84.6018, 84.6018) * CHOOSE(CONTROL!$C$21, $C$9, 100%, $E$9)</f>
        <v>84.601799999999997</v>
      </c>
      <c r="O865" s="14">
        <f>CHOOSE(CONTROL!$C$42, 84.6745, 84.6745) * CHOOSE(CONTROL!$C$21, $C$9, 100%, $E$9)</f>
        <v>84.674499999999995</v>
      </c>
      <c r="P865" s="14">
        <f>CHOOSE(CONTROL!$C$42, 84.863, 84.863) * CHOOSE(CONTROL!$C$21, $C$9, 100%, $E$9)</f>
        <v>84.863</v>
      </c>
      <c r="Q865" s="14">
        <f>CHOOSE(CONTROL!$C$42, 85.2692, 85.2692) * CHOOSE(CONTROL!$C$21, $C$9, 100%, $E$9)</f>
        <v>85.269199999999998</v>
      </c>
      <c r="R865" s="14">
        <f>CHOOSE(CONTROL!$C$42, 86.0694, 86.0694) * CHOOSE(CONTROL!$C$21, $C$9, 100%, $E$9)</f>
        <v>86.069400000000002</v>
      </c>
      <c r="S865" s="14">
        <f>CHOOSE(CONTROL!$C$42, 82.9461, 82.9461) * CHOOSE(CONTROL!$C$21, $C$9, 100%, $E$9)</f>
        <v>82.946100000000001</v>
      </c>
      <c r="T86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56">
        <f>(1000*CHOOSE(CONTROL!$C$42, 695, 695)*CHOOSE(CONTROL!$C$42, 0.5599, 0.5599)*CHOOSE(CONTROL!$C$42, 31, 31))/1000000</f>
        <v>12.063045499999998</v>
      </c>
      <c r="V865" s="56">
        <f>(1000*CHOOSE(CONTROL!$C$42, 500, 500)*CHOOSE(CONTROL!$C$42, 0.275, 0.275)*CHOOSE(CONTROL!$C$42, 31, 31))/1000000</f>
        <v>4.2625000000000002</v>
      </c>
      <c r="W865" s="56">
        <f>(1000*CHOOSE(CONTROL!$C$42, 0.1146, 0.1146)*CHOOSE(CONTROL!$C$42, 121.5, 121.5)*CHOOSE(CONTROL!$C$42, 31, 31))/1000000</f>
        <v>0.43164089999999994</v>
      </c>
      <c r="X865" s="56">
        <f>(31*0.1790888*100000/1000000)+(31*0.2374*100000/1000000)</f>
        <v>1.2911152800000001</v>
      </c>
      <c r="Y865" s="56"/>
      <c r="Z865" s="14"/>
      <c r="AA865" s="55"/>
      <c r="AB865" s="49">
        <f>(B865*122.58+C865*297.941+D865*89.177+E865*40.302+F865*40+G865*160+H865*0+I865*100+J865*300)/(122.58+297.941+89.177+40.302+0+40+160+100+300)</f>
        <v>86.379335454608693</v>
      </c>
      <c r="AC865" s="44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84.666428057553958</v>
      </c>
    </row>
    <row r="866" spans="1:29" ht="15.75" x14ac:dyDescent="0.25">
      <c r="A866" s="31">
        <v>67266</v>
      </c>
      <c r="B866" s="14">
        <f>CHOOSE(CONTROL!$C$42, 87.8667, 87.8667) * CHOOSE(CONTROL!$C$21, $C$9, 100%, $E$9)</f>
        <v>87.866699999999994</v>
      </c>
      <c r="C866" s="14">
        <f>CHOOSE(CONTROL!$C$42, 87.8718, 87.8718) * CHOOSE(CONTROL!$C$21, $C$9, 100%, $E$9)</f>
        <v>87.871799999999993</v>
      </c>
      <c r="D866" s="14">
        <f>CHOOSE(CONTROL!$C$42, 87.9512, 87.9512) * CHOOSE(CONTROL!$C$21, $C$9, 100%, $E$9)</f>
        <v>87.9512</v>
      </c>
      <c r="E866" s="14">
        <f>CHOOSE(CONTROL!$C$42, 87.9853, 87.9853) * CHOOSE(CONTROL!$C$21, $C$9, 100%, $E$9)</f>
        <v>87.985299999999995</v>
      </c>
      <c r="F866" s="14">
        <f>CHOOSE(CONTROL!$C$42, 87.8895, 87.8895)*CHOOSE(CONTROL!$C$21, $C$9, 100%, $E$9)</f>
        <v>87.889499999999998</v>
      </c>
      <c r="G866" s="14">
        <f>CHOOSE(CONTROL!$C$42, 87.907, 87.907)*CHOOSE(CONTROL!$C$21, $C$9, 100%, $E$9)</f>
        <v>87.906999999999996</v>
      </c>
      <c r="H866" s="14">
        <f>CHOOSE(CONTROL!$C$42, 87.9745, 87.9745) * CHOOSE(CONTROL!$C$21, $C$9, 100%, $E$9)</f>
        <v>87.974500000000006</v>
      </c>
      <c r="I866" s="14">
        <f>CHOOSE(CONTROL!$C$42, 88.1772, 88.1772)* CHOOSE(CONTROL!$C$21, $C$9, 100%, $E$9)</f>
        <v>88.177199999999999</v>
      </c>
      <c r="J866" s="14">
        <f>CHOOSE(CONTROL!$C$42, 87.8825, 87.8825)* CHOOSE(CONTROL!$C$21, $C$9, 100%, $E$9)</f>
        <v>87.882499999999993</v>
      </c>
      <c r="K866" s="52">
        <f>CHOOSE(CONTROL!$C$42, 88.1733, 88.1733) * CHOOSE(CONTROL!$C$21, $C$9, 100%, $E$9)</f>
        <v>88.173299999999998</v>
      </c>
      <c r="L866" s="14">
        <f>CHOOSE(CONTROL!$C$42, 88.5615, 88.5615) * CHOOSE(CONTROL!$C$21, $C$9, 100%, $E$9)</f>
        <v>88.561499999999995</v>
      </c>
      <c r="M866" s="14">
        <f>CHOOSE(CONTROL!$C$42, 86.0896, 86.0896) * CHOOSE(CONTROL!$C$21, $C$9, 100%, $E$9)</f>
        <v>86.089600000000004</v>
      </c>
      <c r="N866" s="14">
        <f>CHOOSE(CONTROL!$C$42, 86.1067, 86.1067) * CHOOSE(CONTROL!$C$21, $C$9, 100%, $E$9)</f>
        <v>86.106700000000004</v>
      </c>
      <c r="O866" s="14">
        <f>CHOOSE(CONTROL!$C$42, 86.1797, 86.1797) * CHOOSE(CONTROL!$C$21, $C$9, 100%, $E$9)</f>
        <v>86.179699999999997</v>
      </c>
      <c r="P866" s="14">
        <f>CHOOSE(CONTROL!$C$42, 86.3728, 86.3728) * CHOOSE(CONTROL!$C$21, $C$9, 100%, $E$9)</f>
        <v>86.372799999999998</v>
      </c>
      <c r="Q866" s="14">
        <f>CHOOSE(CONTROL!$C$42, 86.7744, 86.7744) * CHOOSE(CONTROL!$C$21, $C$9, 100%, $E$9)</f>
        <v>86.7744</v>
      </c>
      <c r="R866" s="14">
        <f>CHOOSE(CONTROL!$C$42, 87.5783, 87.5783) * CHOOSE(CONTROL!$C$21, $C$9, 100%, $E$9)</f>
        <v>87.578299999999999</v>
      </c>
      <c r="S866" s="14">
        <f>CHOOSE(CONTROL!$C$42, 84.4226, 84.4226) * CHOOSE(CONTROL!$C$21, $C$9, 100%, $E$9)</f>
        <v>84.422600000000003</v>
      </c>
      <c r="T866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6" s="56">
        <f>(1000*CHOOSE(CONTROL!$C$42, 695, 695)*CHOOSE(CONTROL!$C$42, 0.5599, 0.5599)*CHOOSE(CONTROL!$C$42, 29, 29))/1000000</f>
        <v>11.284784499999999</v>
      </c>
      <c r="V866" s="56">
        <f>(1000*CHOOSE(CONTROL!$C$42, 500, 500)*CHOOSE(CONTROL!$C$42, 0.275, 0.275)*CHOOSE(CONTROL!$C$42, 29, 29))/1000000</f>
        <v>3.9874999999999998</v>
      </c>
      <c r="W866" s="56">
        <f>(1000*CHOOSE(CONTROL!$C$42, 0.1146, 0.1146)*CHOOSE(CONTROL!$C$42, 121.5, 121.5)*CHOOSE(CONTROL!$C$42, 29, 29))/1000000</f>
        <v>0.40379309999999996</v>
      </c>
      <c r="X866" s="56">
        <f>(29*0.1790888*100000/1000000)+(29*0.2374*100000/1000000)</f>
        <v>1.2078175199999999</v>
      </c>
      <c r="Y866" s="56"/>
      <c r="Z866" s="14"/>
      <c r="AA866" s="55"/>
      <c r="AB866" s="49">
        <f>(B866*122.58+C866*297.941+D866*89.177+E866*40.302+F866*40+G866*160+H866*0+I866*100+J866*300)/(122.58+297.941+89.177+40.302+0+40+160+100+300)</f>
        <v>87.916251976347823</v>
      </c>
      <c r="AC866" s="44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86.172169064748203</v>
      </c>
    </row>
    <row r="867" spans="1:29" ht="15.75" x14ac:dyDescent="0.25">
      <c r="A867" s="31">
        <v>67297</v>
      </c>
      <c r="B867" s="14">
        <f>CHOOSE(CONTROL!$C$42, 85.3724, 85.3724) * CHOOSE(CONTROL!$C$21, $C$9, 100%, $E$9)</f>
        <v>85.372399999999999</v>
      </c>
      <c r="C867" s="14">
        <f>CHOOSE(CONTROL!$C$42, 85.3775, 85.3775) * CHOOSE(CONTROL!$C$21, $C$9, 100%, $E$9)</f>
        <v>85.377499999999998</v>
      </c>
      <c r="D867" s="14">
        <f>CHOOSE(CONTROL!$C$42, 85.4569, 85.4569) * CHOOSE(CONTROL!$C$21, $C$9, 100%, $E$9)</f>
        <v>85.456900000000005</v>
      </c>
      <c r="E867" s="14">
        <f>CHOOSE(CONTROL!$C$42, 85.491, 85.491) * CHOOSE(CONTROL!$C$21, $C$9, 100%, $E$9)</f>
        <v>85.491</v>
      </c>
      <c r="F867" s="14">
        <f>CHOOSE(CONTROL!$C$42, 85.3945, 85.3945)*CHOOSE(CONTROL!$C$21, $C$9, 100%, $E$9)</f>
        <v>85.394499999999994</v>
      </c>
      <c r="G867" s="14">
        <f>CHOOSE(CONTROL!$C$42, 85.4117, 85.4117)*CHOOSE(CONTROL!$C$21, $C$9, 100%, $E$9)</f>
        <v>85.411699999999996</v>
      </c>
      <c r="H867" s="14">
        <f>CHOOSE(CONTROL!$C$42, 85.4802, 85.4802) * CHOOSE(CONTROL!$C$21, $C$9, 100%, $E$9)</f>
        <v>85.480199999999996</v>
      </c>
      <c r="I867" s="14">
        <f>CHOOSE(CONTROL!$C$42, 85.6751, 85.6751)* CHOOSE(CONTROL!$C$21, $C$9, 100%, $E$9)</f>
        <v>85.6751</v>
      </c>
      <c r="J867" s="14">
        <f>CHOOSE(CONTROL!$C$42, 85.3875, 85.3875)* CHOOSE(CONTROL!$C$21, $C$9, 100%, $E$9)</f>
        <v>85.387500000000003</v>
      </c>
      <c r="K867" s="52">
        <f>CHOOSE(CONTROL!$C$42, 85.6712, 85.6712) * CHOOSE(CONTROL!$C$21, $C$9, 100%, $E$9)</f>
        <v>85.671199999999999</v>
      </c>
      <c r="L867" s="14">
        <f>CHOOSE(CONTROL!$C$42, 86.0672, 86.0672) * CHOOSE(CONTROL!$C$21, $C$9, 100%, $E$9)</f>
        <v>86.0672</v>
      </c>
      <c r="M867" s="14">
        <f>CHOOSE(CONTROL!$C$42, 83.6456, 83.6456) * CHOOSE(CONTROL!$C$21, $C$9, 100%, $E$9)</f>
        <v>83.645600000000002</v>
      </c>
      <c r="N867" s="14">
        <f>CHOOSE(CONTROL!$C$42, 83.6625, 83.6625) * CHOOSE(CONTROL!$C$21, $C$9, 100%, $E$9)</f>
        <v>83.662499999999994</v>
      </c>
      <c r="O867" s="14">
        <f>CHOOSE(CONTROL!$C$42, 83.7365, 83.7365) * CHOOSE(CONTROL!$C$21, $C$9, 100%, $E$9)</f>
        <v>83.736500000000007</v>
      </c>
      <c r="P867" s="14">
        <f>CHOOSE(CONTROL!$C$42, 83.922, 83.922) * CHOOSE(CONTROL!$C$21, $C$9, 100%, $E$9)</f>
        <v>83.921999999999997</v>
      </c>
      <c r="Q867" s="14">
        <f>CHOOSE(CONTROL!$C$42, 84.3312, 84.3312) * CHOOSE(CONTROL!$C$21, $C$9, 100%, $E$9)</f>
        <v>84.331199999999995</v>
      </c>
      <c r="R867" s="14">
        <f>CHOOSE(CONTROL!$C$42, 85.129, 85.129) * CHOOSE(CONTROL!$C$21, $C$9, 100%, $E$9)</f>
        <v>85.129000000000005</v>
      </c>
      <c r="S867" s="14">
        <f>CHOOSE(CONTROL!$C$42, 82.0258, 82.0258) * CHOOSE(CONTROL!$C$21, $C$9, 100%, $E$9)</f>
        <v>82.025800000000004</v>
      </c>
      <c r="T86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56">
        <f>(1000*CHOOSE(CONTROL!$C$42, 695, 695)*CHOOSE(CONTROL!$C$42, 0.5599, 0.5599)*CHOOSE(CONTROL!$C$42, 31, 31))/1000000</f>
        <v>12.063045499999998</v>
      </c>
      <c r="V867" s="56">
        <f>(1000*CHOOSE(CONTROL!$C$42, 500, 500)*CHOOSE(CONTROL!$C$42, 0.275, 0.275)*CHOOSE(CONTROL!$C$42, 31, 31))/1000000</f>
        <v>4.2625000000000002</v>
      </c>
      <c r="W867" s="56">
        <f>(1000*CHOOSE(CONTROL!$C$42, 0.1146, 0.1146)*CHOOSE(CONTROL!$C$42, 121.5, 121.5)*CHOOSE(CONTROL!$C$42, 31, 31))/1000000</f>
        <v>0.43164089999999994</v>
      </c>
      <c r="X867" s="56">
        <f>(31*0.1790888*100000/1000000)+(31*0.2374*100000/1000000)</f>
        <v>1.2911152800000001</v>
      </c>
      <c r="Y867" s="56"/>
      <c r="Z867" s="14"/>
      <c r="AA867" s="55"/>
      <c r="AB867" s="49">
        <f>(B867*122.58+C867*297.941+D867*89.177+E867*40.302+F867*40+G867*160+H867*0+I867*100+J867*300)/(122.58+297.941+89.177+40.302+0+40+160+100+300)</f>
        <v>85.420927628521738</v>
      </c>
      <c r="AC867" s="44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83.727541726618696</v>
      </c>
    </row>
    <row r="868" spans="1:29" ht="15.75" x14ac:dyDescent="0.25">
      <c r="A868" s="31">
        <v>67327</v>
      </c>
      <c r="B868" s="14">
        <f>CHOOSE(CONTROL!$C$42, 85.1178, 85.1178) * CHOOSE(CONTROL!$C$21, $C$9, 100%, $E$9)</f>
        <v>85.117800000000003</v>
      </c>
      <c r="C868" s="14">
        <f>CHOOSE(CONTROL!$C$42, 85.1223, 85.1223) * CHOOSE(CONTROL!$C$21, $C$9, 100%, $E$9)</f>
        <v>85.122299999999996</v>
      </c>
      <c r="D868" s="14">
        <f>CHOOSE(CONTROL!$C$42, 85.3512, 85.3512) * CHOOSE(CONTROL!$C$21, $C$9, 100%, $E$9)</f>
        <v>85.351200000000006</v>
      </c>
      <c r="E868" s="14">
        <f>CHOOSE(CONTROL!$C$42, 85.3834, 85.3834) * CHOOSE(CONTROL!$C$21, $C$9, 100%, $E$9)</f>
        <v>85.383399999999995</v>
      </c>
      <c r="F868" s="14">
        <f>CHOOSE(CONTROL!$C$42, 85.1448, 85.1448)*CHOOSE(CONTROL!$C$21, $C$9, 100%, $E$9)</f>
        <v>85.144800000000004</v>
      </c>
      <c r="G868" s="14">
        <f>CHOOSE(CONTROL!$C$42, 85.1616, 85.1616)*CHOOSE(CONTROL!$C$21, $C$9, 100%, $E$9)</f>
        <v>85.161600000000007</v>
      </c>
      <c r="H868" s="14">
        <f>CHOOSE(CONTROL!$C$42, 85.3731, 85.3731) * CHOOSE(CONTROL!$C$21, $C$9, 100%, $E$9)</f>
        <v>85.373099999999994</v>
      </c>
      <c r="I868" s="14">
        <f>CHOOSE(CONTROL!$C$42, 85.4173, 85.4173)* CHOOSE(CONTROL!$C$21, $C$9, 100%, $E$9)</f>
        <v>85.417299999999997</v>
      </c>
      <c r="J868" s="14">
        <f>CHOOSE(CONTROL!$C$42, 85.1378, 85.1378)* CHOOSE(CONTROL!$C$21, $C$9, 100%, $E$9)</f>
        <v>85.137799999999999</v>
      </c>
      <c r="K868" s="52">
        <f>CHOOSE(CONTROL!$C$42, 85.4135, 85.4135) * CHOOSE(CONTROL!$C$21, $C$9, 100%, $E$9)</f>
        <v>85.413499999999999</v>
      </c>
      <c r="L868" s="14">
        <f>CHOOSE(CONTROL!$C$42, 85.9601, 85.9601) * CHOOSE(CONTROL!$C$21, $C$9, 100%, $E$9)</f>
        <v>85.960099999999997</v>
      </c>
      <c r="M868" s="14">
        <f>CHOOSE(CONTROL!$C$42, 83.4011, 83.4011) * CHOOSE(CONTROL!$C$21, $C$9, 100%, $E$9)</f>
        <v>83.4011</v>
      </c>
      <c r="N868" s="14">
        <f>CHOOSE(CONTROL!$C$42, 83.4175, 83.4175) * CHOOSE(CONTROL!$C$21, $C$9, 100%, $E$9)</f>
        <v>83.417500000000004</v>
      </c>
      <c r="O868" s="14">
        <f>CHOOSE(CONTROL!$C$42, 83.6316, 83.6316) * CHOOSE(CONTROL!$C$21, $C$9, 100%, $E$9)</f>
        <v>83.631600000000006</v>
      </c>
      <c r="P868" s="14">
        <f>CHOOSE(CONTROL!$C$42, 83.6696, 83.6696) * CHOOSE(CONTROL!$C$21, $C$9, 100%, $E$9)</f>
        <v>83.669600000000003</v>
      </c>
      <c r="Q868" s="14">
        <f>CHOOSE(CONTROL!$C$42, 84.2263, 84.2263) * CHOOSE(CONTROL!$C$21, $C$9, 100%, $E$9)</f>
        <v>84.226299999999995</v>
      </c>
      <c r="R868" s="14">
        <f>CHOOSE(CONTROL!$C$42, 85.0239, 85.0239) * CHOOSE(CONTROL!$C$21, $C$9, 100%, $E$9)</f>
        <v>85.023899999999998</v>
      </c>
      <c r="S868" s="14">
        <f>CHOOSE(CONTROL!$C$42, 81.7804, 81.7804) * CHOOSE(CONTROL!$C$21, $C$9, 100%, $E$9)</f>
        <v>81.7804</v>
      </c>
      <c r="T86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56">
        <f>(1000*CHOOSE(CONTROL!$C$42, 695, 695)*CHOOSE(CONTROL!$C$42, 0.5599, 0.5599)*CHOOSE(CONTROL!$C$42, 30, 30))/1000000</f>
        <v>11.673914999999997</v>
      </c>
      <c r="V868" s="56">
        <f>(1000*CHOOSE(CONTROL!$C$42, 500, 500)*CHOOSE(CONTROL!$C$42, 0.275, 0.275)*CHOOSE(CONTROL!$C$42, 30, 30))/1000000</f>
        <v>4.125</v>
      </c>
      <c r="W868" s="56">
        <f>(1000*CHOOSE(CONTROL!$C$42, 0.1146, 0.1146)*CHOOSE(CONTROL!$C$42, 121.5, 121.5)*CHOOSE(CONTROL!$C$42, 30, 30))/1000000</f>
        <v>0.417717</v>
      </c>
      <c r="X868" s="56">
        <f>(30*0.1790888*245000/1000000)+(30*0.2374*100000/1000000)</f>
        <v>2.0285026799999999</v>
      </c>
      <c r="Y868" s="56"/>
      <c r="Z868" s="14"/>
      <c r="AA868" s="55"/>
      <c r="AB868" s="49">
        <f>(B868*141.293+C868*267.993+D868*115.016+E868*89.698+F868*40+G868*185+H868*0+I868*100+J868*300)/(141.293+267.993+115.016+89.698+0+40+185+100+300)</f>
        <v>85.196094989265532</v>
      </c>
      <c r="AC868" s="44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83.545148201438849</v>
      </c>
    </row>
    <row r="869" spans="1:29" ht="15.75" x14ac:dyDescent="0.25">
      <c r="A869" s="31">
        <v>67358</v>
      </c>
      <c r="B869" s="14">
        <f>CHOOSE(CONTROL!$C$42, 85.8704, 85.8704) * CHOOSE(CONTROL!$C$21, $C$9, 100%, $E$9)</f>
        <v>85.870400000000004</v>
      </c>
      <c r="C869" s="14">
        <f>CHOOSE(CONTROL!$C$42, 85.8784, 85.8784) * CHOOSE(CONTROL!$C$21, $C$9, 100%, $E$9)</f>
        <v>85.878399999999999</v>
      </c>
      <c r="D869" s="14">
        <f>CHOOSE(CONTROL!$C$42, 86.1042, 86.1042) * CHOOSE(CONTROL!$C$21, $C$9, 100%, $E$9)</f>
        <v>86.104200000000006</v>
      </c>
      <c r="E869" s="14">
        <f>CHOOSE(CONTROL!$C$42, 86.1357, 86.1357) * CHOOSE(CONTROL!$C$21, $C$9, 100%, $E$9)</f>
        <v>86.1357</v>
      </c>
      <c r="F869" s="14">
        <f>CHOOSE(CONTROL!$C$42, 85.8961, 85.8961)*CHOOSE(CONTROL!$C$21, $C$9, 100%, $E$9)</f>
        <v>85.896100000000004</v>
      </c>
      <c r="G869" s="14">
        <f>CHOOSE(CONTROL!$C$42, 85.913, 85.913)*CHOOSE(CONTROL!$C$21, $C$9, 100%, $E$9)</f>
        <v>85.912999999999997</v>
      </c>
      <c r="H869" s="14">
        <f>CHOOSE(CONTROL!$C$42, 86.1243, 86.1243) * CHOOSE(CONTROL!$C$21, $C$9, 100%, $E$9)</f>
        <v>86.124300000000005</v>
      </c>
      <c r="I869" s="14">
        <f>CHOOSE(CONTROL!$C$42, 86.1709, 86.1709)* CHOOSE(CONTROL!$C$21, $C$9, 100%, $E$9)</f>
        <v>86.170900000000003</v>
      </c>
      <c r="J869" s="14">
        <f>CHOOSE(CONTROL!$C$42, 85.8891, 85.8891)* CHOOSE(CONTROL!$C$21, $C$9, 100%, $E$9)</f>
        <v>85.889099999999999</v>
      </c>
      <c r="K869" s="52">
        <f>CHOOSE(CONTROL!$C$42, 86.167, 86.167) * CHOOSE(CONTROL!$C$21, $C$9, 100%, $E$9)</f>
        <v>86.167000000000002</v>
      </c>
      <c r="L869" s="14">
        <f>CHOOSE(CONTROL!$C$42, 86.7113, 86.7113) * CHOOSE(CONTROL!$C$21, $C$9, 100%, $E$9)</f>
        <v>86.711299999999994</v>
      </c>
      <c r="M869" s="14">
        <f>CHOOSE(CONTROL!$C$42, 84.1369, 84.1369) * CHOOSE(CONTROL!$C$21, $C$9, 100%, $E$9)</f>
        <v>84.136899999999997</v>
      </c>
      <c r="N869" s="14">
        <f>CHOOSE(CONTROL!$C$42, 84.1536, 84.1536) * CHOOSE(CONTROL!$C$21, $C$9, 100%, $E$9)</f>
        <v>84.153599999999997</v>
      </c>
      <c r="O869" s="14">
        <f>CHOOSE(CONTROL!$C$42, 84.3674, 84.3674) * CHOOSE(CONTROL!$C$21, $C$9, 100%, $E$9)</f>
        <v>84.367400000000004</v>
      </c>
      <c r="P869" s="14">
        <f>CHOOSE(CONTROL!$C$42, 84.4076, 84.4076) * CHOOSE(CONTROL!$C$21, $C$9, 100%, $E$9)</f>
        <v>84.407600000000002</v>
      </c>
      <c r="Q869" s="14">
        <f>CHOOSE(CONTROL!$C$42, 84.9621, 84.9621) * CHOOSE(CONTROL!$C$21, $C$9, 100%, $E$9)</f>
        <v>84.962100000000007</v>
      </c>
      <c r="R869" s="14">
        <f>CHOOSE(CONTROL!$C$42, 85.7615, 85.7615) * CHOOSE(CONTROL!$C$21, $C$9, 100%, $E$9)</f>
        <v>85.761499999999998</v>
      </c>
      <c r="S869" s="14">
        <f>CHOOSE(CONTROL!$C$42, 82.5022, 82.5022) * CHOOSE(CONTROL!$C$21, $C$9, 100%, $E$9)</f>
        <v>82.502200000000002</v>
      </c>
      <c r="T86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56">
        <f>(1000*CHOOSE(CONTROL!$C$42, 695, 695)*CHOOSE(CONTROL!$C$42, 0.5599, 0.5599)*CHOOSE(CONTROL!$C$42, 31, 31))/1000000</f>
        <v>12.063045499999998</v>
      </c>
      <c r="V869" s="56">
        <f>(1000*CHOOSE(CONTROL!$C$42, 500, 500)*CHOOSE(CONTROL!$C$42, 0.275, 0.275)*CHOOSE(CONTROL!$C$42, 31, 31))/1000000</f>
        <v>4.2625000000000002</v>
      </c>
      <c r="W869" s="56">
        <f>(1000*CHOOSE(CONTROL!$C$42, 0.1146, 0.1146)*CHOOSE(CONTROL!$C$42, 121.5, 121.5)*CHOOSE(CONTROL!$C$42, 31, 31))/1000000</f>
        <v>0.43164089999999994</v>
      </c>
      <c r="X869" s="56">
        <f>(31*0.1790888*245000/1000000)+(31*0.2374*100000/1000000)</f>
        <v>2.0961194359999999</v>
      </c>
      <c r="Y869" s="56"/>
      <c r="Z869" s="14"/>
      <c r="AA869" s="55"/>
      <c r="AB869" s="49">
        <f>(B869*194.205+C869*267.466+D869*133.845+E869*53.484+F869*40+G869*185+H869*0+I869*100+J869*300)/(194.205+267.466+133.845+53.484+0+40+185+100+300)</f>
        <v>85.9427634177394</v>
      </c>
      <c r="AC869" s="44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84.281282014388495</v>
      </c>
    </row>
    <row r="870" spans="1:29" ht="15.75" x14ac:dyDescent="0.25">
      <c r="A870" s="31">
        <v>67388</v>
      </c>
      <c r="B870" s="14">
        <f>CHOOSE(CONTROL!$C$42, 88.3059, 88.3059) * CHOOSE(CONTROL!$C$21, $C$9, 100%, $E$9)</f>
        <v>88.305899999999994</v>
      </c>
      <c r="C870" s="14">
        <f>CHOOSE(CONTROL!$C$42, 88.3139, 88.3139) * CHOOSE(CONTROL!$C$21, $C$9, 100%, $E$9)</f>
        <v>88.313900000000004</v>
      </c>
      <c r="D870" s="14">
        <f>CHOOSE(CONTROL!$C$42, 88.5397, 88.5397) * CHOOSE(CONTROL!$C$21, $C$9, 100%, $E$9)</f>
        <v>88.539699999999996</v>
      </c>
      <c r="E870" s="14">
        <f>CHOOSE(CONTROL!$C$42, 88.5712, 88.5712) * CHOOSE(CONTROL!$C$21, $C$9, 100%, $E$9)</f>
        <v>88.571200000000005</v>
      </c>
      <c r="F870" s="14">
        <f>CHOOSE(CONTROL!$C$42, 88.332, 88.332)*CHOOSE(CONTROL!$C$21, $C$9, 100%, $E$9)</f>
        <v>88.331999999999994</v>
      </c>
      <c r="G870" s="14">
        <f>CHOOSE(CONTROL!$C$42, 88.3491, 88.3491)*CHOOSE(CONTROL!$C$21, $C$9, 100%, $E$9)</f>
        <v>88.349100000000007</v>
      </c>
      <c r="H870" s="14">
        <f>CHOOSE(CONTROL!$C$42, 88.5598, 88.5598) * CHOOSE(CONTROL!$C$21, $C$9, 100%, $E$9)</f>
        <v>88.559799999999996</v>
      </c>
      <c r="I870" s="14">
        <f>CHOOSE(CONTROL!$C$42, 88.614, 88.614)* CHOOSE(CONTROL!$C$21, $C$9, 100%, $E$9)</f>
        <v>88.614000000000004</v>
      </c>
      <c r="J870" s="14">
        <f>CHOOSE(CONTROL!$C$42, 88.325, 88.325)* CHOOSE(CONTROL!$C$21, $C$9, 100%, $E$9)</f>
        <v>88.325000000000003</v>
      </c>
      <c r="K870" s="52">
        <f>CHOOSE(CONTROL!$C$42, 88.6101, 88.6101) * CHOOSE(CONTROL!$C$21, $C$9, 100%, $E$9)</f>
        <v>88.610100000000003</v>
      </c>
      <c r="L870" s="14">
        <f>CHOOSE(CONTROL!$C$42, 89.1468, 89.1468) * CHOOSE(CONTROL!$C$21, $C$9, 100%, $E$9)</f>
        <v>89.146799999999999</v>
      </c>
      <c r="M870" s="14">
        <f>CHOOSE(CONTROL!$C$42, 86.523, 86.523) * CHOOSE(CONTROL!$C$21, $C$9, 100%, $E$9)</f>
        <v>86.522999999999996</v>
      </c>
      <c r="N870" s="14">
        <f>CHOOSE(CONTROL!$C$42, 86.5397, 86.5397) * CHOOSE(CONTROL!$C$21, $C$9, 100%, $E$9)</f>
        <v>86.539699999999996</v>
      </c>
      <c r="O870" s="14">
        <f>CHOOSE(CONTROL!$C$42, 86.753, 86.753) * CHOOSE(CONTROL!$C$21, $C$9, 100%, $E$9)</f>
        <v>86.753</v>
      </c>
      <c r="P870" s="14">
        <f>CHOOSE(CONTROL!$C$42, 86.8006, 86.8006) * CHOOSE(CONTROL!$C$21, $C$9, 100%, $E$9)</f>
        <v>86.800600000000003</v>
      </c>
      <c r="Q870" s="14">
        <f>CHOOSE(CONTROL!$C$42, 87.3477, 87.3477) * CHOOSE(CONTROL!$C$21, $C$9, 100%, $E$9)</f>
        <v>87.347700000000003</v>
      </c>
      <c r="R870" s="14">
        <f>CHOOSE(CONTROL!$C$42, 88.153, 88.153) * CHOOSE(CONTROL!$C$21, $C$9, 100%, $E$9)</f>
        <v>88.153000000000006</v>
      </c>
      <c r="S870" s="14">
        <f>CHOOSE(CONTROL!$C$42, 84.8425, 84.8425) * CHOOSE(CONTROL!$C$21, $C$9, 100%, $E$9)</f>
        <v>84.842500000000001</v>
      </c>
      <c r="T87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56">
        <f>(1000*CHOOSE(CONTROL!$C$42, 695, 695)*CHOOSE(CONTROL!$C$42, 0.5599, 0.5599)*CHOOSE(CONTROL!$C$42, 30, 30))/1000000</f>
        <v>11.673914999999997</v>
      </c>
      <c r="V870" s="56">
        <f>(1000*CHOOSE(CONTROL!$C$42, 500, 500)*CHOOSE(CONTROL!$C$42, 0.275, 0.275)*CHOOSE(CONTROL!$C$42, 30, 30))/1000000</f>
        <v>4.125</v>
      </c>
      <c r="W870" s="56">
        <f>(1000*CHOOSE(CONTROL!$C$42, 0.1146, 0.1146)*CHOOSE(CONTROL!$C$42, 121.5, 121.5)*CHOOSE(CONTROL!$C$42, 30, 30))/1000000</f>
        <v>0.417717</v>
      </c>
      <c r="X870" s="56">
        <f>(30*0.1790888*245000/1000000)+(30*0.2374*100000/1000000)</f>
        <v>2.0285026799999999</v>
      </c>
      <c r="Y870" s="56"/>
      <c r="Z870" s="14"/>
      <c r="AA870" s="55"/>
      <c r="AB870" s="49">
        <f>(B870*194.205+C870*267.466+D870*133.845+E870*53.484+F870*40+G870*185+H870*0+I870*100+J870*300)/(194.205+267.466+133.845+53.484+0+40+185+100+300)</f>
        <v>88.379053841601262</v>
      </c>
      <c r="AC870" s="44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86.668148201438839</v>
      </c>
    </row>
    <row r="871" spans="1:29" ht="15.75" x14ac:dyDescent="0.25">
      <c r="A871" s="31">
        <v>67419</v>
      </c>
      <c r="B871" s="14">
        <f>CHOOSE(CONTROL!$C$42, 86.612, 86.612) * CHOOSE(CONTROL!$C$21, $C$9, 100%, $E$9)</f>
        <v>86.611999999999995</v>
      </c>
      <c r="C871" s="14">
        <f>CHOOSE(CONTROL!$C$42, 86.62, 86.62) * CHOOSE(CONTROL!$C$21, $C$9, 100%, $E$9)</f>
        <v>86.62</v>
      </c>
      <c r="D871" s="14">
        <f>CHOOSE(CONTROL!$C$42, 86.8458, 86.8458) * CHOOSE(CONTROL!$C$21, $C$9, 100%, $E$9)</f>
        <v>86.845799999999997</v>
      </c>
      <c r="E871" s="14">
        <f>CHOOSE(CONTROL!$C$42, 86.8773, 86.8773) * CHOOSE(CONTROL!$C$21, $C$9, 100%, $E$9)</f>
        <v>86.877300000000005</v>
      </c>
      <c r="F871" s="14">
        <f>CHOOSE(CONTROL!$C$42, 86.6386, 86.6386)*CHOOSE(CONTROL!$C$21, $C$9, 100%, $E$9)</f>
        <v>86.638599999999997</v>
      </c>
      <c r="G871" s="14">
        <f>CHOOSE(CONTROL!$C$42, 86.6558, 86.6558)*CHOOSE(CONTROL!$C$21, $C$9, 100%, $E$9)</f>
        <v>86.655799999999999</v>
      </c>
      <c r="H871" s="14">
        <f>CHOOSE(CONTROL!$C$42, 86.8659, 86.8659) * CHOOSE(CONTROL!$C$21, $C$9, 100%, $E$9)</f>
        <v>86.865899999999996</v>
      </c>
      <c r="I871" s="14">
        <f>CHOOSE(CONTROL!$C$42, 86.9148, 86.9148)* CHOOSE(CONTROL!$C$21, $C$9, 100%, $E$9)</f>
        <v>86.9148</v>
      </c>
      <c r="J871" s="14">
        <f>CHOOSE(CONTROL!$C$42, 86.6316, 86.6316)* CHOOSE(CONTROL!$C$21, $C$9, 100%, $E$9)</f>
        <v>86.631600000000006</v>
      </c>
      <c r="K871" s="52">
        <f>CHOOSE(CONTROL!$C$42, 86.9109, 86.9109) * CHOOSE(CONTROL!$C$21, $C$9, 100%, $E$9)</f>
        <v>86.910899999999998</v>
      </c>
      <c r="L871" s="14">
        <f>CHOOSE(CONTROL!$C$42, 87.4529, 87.4529) * CHOOSE(CONTROL!$C$21, $C$9, 100%, $E$9)</f>
        <v>87.4529</v>
      </c>
      <c r="M871" s="14">
        <f>CHOOSE(CONTROL!$C$42, 84.8642, 84.8642) * CHOOSE(CONTROL!$C$21, $C$9, 100%, $E$9)</f>
        <v>84.864199999999997</v>
      </c>
      <c r="N871" s="14">
        <f>CHOOSE(CONTROL!$C$42, 84.8811, 84.8811) * CHOOSE(CONTROL!$C$21, $C$9, 100%, $E$9)</f>
        <v>84.881100000000004</v>
      </c>
      <c r="O871" s="14">
        <f>CHOOSE(CONTROL!$C$42, 85.0938, 85.0938) * CHOOSE(CONTROL!$C$21, $C$9, 100%, $E$9)</f>
        <v>85.093800000000002</v>
      </c>
      <c r="P871" s="14">
        <f>CHOOSE(CONTROL!$C$42, 85.1363, 85.1363) * CHOOSE(CONTROL!$C$21, $C$9, 100%, $E$9)</f>
        <v>85.136300000000006</v>
      </c>
      <c r="Q871" s="14">
        <f>CHOOSE(CONTROL!$C$42, 85.6885, 85.6885) * CHOOSE(CONTROL!$C$21, $C$9, 100%, $E$9)</f>
        <v>85.688500000000005</v>
      </c>
      <c r="R871" s="14">
        <f>CHOOSE(CONTROL!$C$42, 86.4897, 86.4897) * CHOOSE(CONTROL!$C$21, $C$9, 100%, $E$9)</f>
        <v>86.489699999999999</v>
      </c>
      <c r="S871" s="14">
        <f>CHOOSE(CONTROL!$C$42, 83.2148, 83.2148) * CHOOSE(CONTROL!$C$21, $C$9, 100%, $E$9)</f>
        <v>83.214799999999997</v>
      </c>
      <c r="T87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56">
        <f>(1000*CHOOSE(CONTROL!$C$42, 695, 695)*CHOOSE(CONTROL!$C$42, 0.5599, 0.5599)*CHOOSE(CONTROL!$C$42, 31, 31))/1000000</f>
        <v>12.063045499999998</v>
      </c>
      <c r="V871" s="56">
        <f>(1000*CHOOSE(CONTROL!$C$42, 500, 500)*CHOOSE(CONTROL!$C$42, 0.275, 0.275)*CHOOSE(CONTROL!$C$42, 31, 31))/1000000</f>
        <v>4.2625000000000002</v>
      </c>
      <c r="W871" s="56">
        <f>(1000*CHOOSE(CONTROL!$C$42, 0.1146, 0.1146)*CHOOSE(CONTROL!$C$42, 121.5, 121.5)*CHOOSE(CONTROL!$C$42, 31, 31))/1000000</f>
        <v>0.43164089999999994</v>
      </c>
      <c r="X871" s="56">
        <f>(31*0.1790888*245000/1000000)+(31*0.2374*100000/1000000)</f>
        <v>2.0961194359999999</v>
      </c>
      <c r="Y871" s="56"/>
      <c r="Z871" s="14"/>
      <c r="AA871" s="55"/>
      <c r="AB871" s="49">
        <f>(B871*194.205+C871*267.466+D871*133.845+E871*53.484+F871*40+G871*185+H871*0+I871*100+J871*300)/(194.205+267.466+133.845+53.484+0+40+185+100+300)</f>
        <v>86.684958394191526</v>
      </c>
      <c r="AC871" s="44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85.008387050359715</v>
      </c>
    </row>
    <row r="872" spans="1:29" ht="15.75" x14ac:dyDescent="0.25">
      <c r="A872" s="31">
        <v>67450</v>
      </c>
      <c r="B872" s="14">
        <f>CHOOSE(CONTROL!$C$42, 82.3344, 82.3344) * CHOOSE(CONTROL!$C$21, $C$9, 100%, $E$9)</f>
        <v>82.334400000000002</v>
      </c>
      <c r="C872" s="14">
        <f>CHOOSE(CONTROL!$C$42, 82.3424, 82.3424) * CHOOSE(CONTROL!$C$21, $C$9, 100%, $E$9)</f>
        <v>82.342399999999998</v>
      </c>
      <c r="D872" s="14">
        <f>CHOOSE(CONTROL!$C$42, 82.5682, 82.5682) * CHOOSE(CONTROL!$C$21, $C$9, 100%, $E$9)</f>
        <v>82.568200000000004</v>
      </c>
      <c r="E872" s="14">
        <f>CHOOSE(CONTROL!$C$42, 82.5996, 82.5996) * CHOOSE(CONTROL!$C$21, $C$9, 100%, $E$9)</f>
        <v>82.599599999999995</v>
      </c>
      <c r="F872" s="14">
        <f>CHOOSE(CONTROL!$C$42, 82.3612, 82.3612)*CHOOSE(CONTROL!$C$21, $C$9, 100%, $E$9)</f>
        <v>82.361199999999997</v>
      </c>
      <c r="G872" s="14">
        <f>CHOOSE(CONTROL!$C$42, 82.3784, 82.3784)*CHOOSE(CONTROL!$C$21, $C$9, 100%, $E$9)</f>
        <v>82.378399999999999</v>
      </c>
      <c r="H872" s="14">
        <f>CHOOSE(CONTROL!$C$42, 82.5883, 82.5883) * CHOOSE(CONTROL!$C$21, $C$9, 100%, $E$9)</f>
        <v>82.588300000000004</v>
      </c>
      <c r="I872" s="14">
        <f>CHOOSE(CONTROL!$C$42, 82.6238, 82.6238)* CHOOSE(CONTROL!$C$21, $C$9, 100%, $E$9)</f>
        <v>82.623800000000003</v>
      </c>
      <c r="J872" s="14">
        <f>CHOOSE(CONTROL!$C$42, 82.3542, 82.3542)* CHOOSE(CONTROL!$C$21, $C$9, 100%, $E$9)</f>
        <v>82.354200000000006</v>
      </c>
      <c r="K872" s="52">
        <f>CHOOSE(CONTROL!$C$42, 82.6199, 82.6199) * CHOOSE(CONTROL!$C$21, $C$9, 100%, $E$9)</f>
        <v>82.619900000000001</v>
      </c>
      <c r="L872" s="14">
        <f>CHOOSE(CONTROL!$C$42, 83.1753, 83.1753) * CHOOSE(CONTROL!$C$21, $C$9, 100%, $E$9)</f>
        <v>83.175299999999993</v>
      </c>
      <c r="M872" s="14">
        <f>CHOOSE(CONTROL!$C$42, 80.6745, 80.6745) * CHOOSE(CONTROL!$C$21, $C$9, 100%, $E$9)</f>
        <v>80.674499999999995</v>
      </c>
      <c r="N872" s="14">
        <f>CHOOSE(CONTROL!$C$42, 80.6914, 80.6914) * CHOOSE(CONTROL!$C$21, $C$9, 100%, $E$9)</f>
        <v>80.691400000000002</v>
      </c>
      <c r="O872" s="14">
        <f>CHOOSE(CONTROL!$C$42, 80.9038, 80.9038) * CHOOSE(CONTROL!$C$21, $C$9, 100%, $E$9)</f>
        <v>80.903800000000004</v>
      </c>
      <c r="P872" s="14">
        <f>CHOOSE(CONTROL!$C$42, 80.9334, 80.9334) * CHOOSE(CONTROL!$C$21, $C$9, 100%, $E$9)</f>
        <v>80.933400000000006</v>
      </c>
      <c r="Q872" s="14">
        <f>CHOOSE(CONTROL!$C$42, 81.4985, 81.4985) * CHOOSE(CONTROL!$C$21, $C$9, 100%, $E$9)</f>
        <v>81.498500000000007</v>
      </c>
      <c r="R872" s="14">
        <f>CHOOSE(CONTROL!$C$42, 82.2892, 82.2892) * CHOOSE(CONTROL!$C$21, $C$9, 100%, $E$9)</f>
        <v>82.289199999999994</v>
      </c>
      <c r="S872" s="14">
        <f>CHOOSE(CONTROL!$C$42, 79.1045, 79.1045) * CHOOSE(CONTROL!$C$21, $C$9, 100%, $E$9)</f>
        <v>79.104500000000002</v>
      </c>
      <c r="T87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56">
        <f>(1000*CHOOSE(CONTROL!$C$42, 695, 695)*CHOOSE(CONTROL!$C$42, 0.5599, 0.5599)*CHOOSE(CONTROL!$C$42, 31, 31))/1000000</f>
        <v>12.063045499999998</v>
      </c>
      <c r="V872" s="56">
        <f>(1000*CHOOSE(CONTROL!$C$42, 500, 500)*CHOOSE(CONTROL!$C$42, 0.275, 0.275)*CHOOSE(CONTROL!$C$42, 31, 31))/1000000</f>
        <v>4.2625000000000002</v>
      </c>
      <c r="W872" s="56">
        <f>(1000*CHOOSE(CONTROL!$C$42, 0.1146, 0.1146)*CHOOSE(CONTROL!$C$42, 121.5, 121.5)*CHOOSE(CONTROL!$C$42, 31, 31))/1000000</f>
        <v>0.43164089999999994</v>
      </c>
      <c r="X872" s="56">
        <f>(31*0.1790888*245000/1000000)+(31*0.2374*100000/1000000)</f>
        <v>2.0961194359999999</v>
      </c>
      <c r="Y872" s="56"/>
      <c r="Z872" s="14"/>
      <c r="AA872" s="55"/>
      <c r="AB872" s="49">
        <f>(B872*194.205+C872*267.466+D872*133.845+E872*53.484+F872*40+G872*185+H872*0+I872*100+J872*300)/(194.205+267.466+133.845+53.484+0+40+185+100+300)</f>
        <v>82.406384808320254</v>
      </c>
      <c r="AC872" s="44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80.816651798561139</v>
      </c>
    </row>
    <row r="873" spans="1:29" ht="15.75" x14ac:dyDescent="0.25">
      <c r="A873" s="31">
        <v>67480</v>
      </c>
      <c r="B873" s="14">
        <f>CHOOSE(CONTROL!$C$42, 77.1076, 77.1076) * CHOOSE(CONTROL!$C$21, $C$9, 100%, $E$9)</f>
        <v>77.107600000000005</v>
      </c>
      <c r="C873" s="14">
        <f>CHOOSE(CONTROL!$C$42, 77.1157, 77.1157) * CHOOSE(CONTROL!$C$21, $C$9, 100%, $E$9)</f>
        <v>77.115700000000004</v>
      </c>
      <c r="D873" s="14">
        <f>CHOOSE(CONTROL!$C$42, 77.3415, 77.3415) * CHOOSE(CONTROL!$C$21, $C$9, 100%, $E$9)</f>
        <v>77.341499999999996</v>
      </c>
      <c r="E873" s="14">
        <f>CHOOSE(CONTROL!$C$42, 77.3729, 77.3729) * CHOOSE(CONTROL!$C$21, $C$9, 100%, $E$9)</f>
        <v>77.372900000000001</v>
      </c>
      <c r="F873" s="14">
        <f>CHOOSE(CONTROL!$C$42, 77.1345, 77.1345)*CHOOSE(CONTROL!$C$21, $C$9, 100%, $E$9)</f>
        <v>77.134500000000003</v>
      </c>
      <c r="G873" s="14">
        <f>CHOOSE(CONTROL!$C$42, 77.1517, 77.1517)*CHOOSE(CONTROL!$C$21, $C$9, 100%, $E$9)</f>
        <v>77.151700000000005</v>
      </c>
      <c r="H873" s="14">
        <f>CHOOSE(CONTROL!$C$42, 77.3616, 77.3616) * CHOOSE(CONTROL!$C$21, $C$9, 100%, $E$9)</f>
        <v>77.361599999999996</v>
      </c>
      <c r="I873" s="14">
        <f>CHOOSE(CONTROL!$C$42, 77.3807, 77.3807)* CHOOSE(CONTROL!$C$21, $C$9, 100%, $E$9)</f>
        <v>77.380700000000004</v>
      </c>
      <c r="J873" s="14">
        <f>CHOOSE(CONTROL!$C$42, 77.1275, 77.1275)* CHOOSE(CONTROL!$C$21, $C$9, 100%, $E$9)</f>
        <v>77.127499999999998</v>
      </c>
      <c r="K873" s="52">
        <f>CHOOSE(CONTROL!$C$42, 77.3768, 77.3768) * CHOOSE(CONTROL!$C$21, $C$9, 100%, $E$9)</f>
        <v>77.376800000000003</v>
      </c>
      <c r="L873" s="14">
        <f>CHOOSE(CONTROL!$C$42, 77.9486, 77.9486) * CHOOSE(CONTROL!$C$21, $C$9, 100%, $E$9)</f>
        <v>77.948599999999999</v>
      </c>
      <c r="M873" s="14">
        <f>CHOOSE(CONTROL!$C$42, 75.5549, 75.5549) * CHOOSE(CONTROL!$C$21, $C$9, 100%, $E$9)</f>
        <v>75.554900000000004</v>
      </c>
      <c r="N873" s="14">
        <f>CHOOSE(CONTROL!$C$42, 75.5718, 75.5718) * CHOOSE(CONTROL!$C$21, $C$9, 100%, $E$9)</f>
        <v>75.571799999999996</v>
      </c>
      <c r="O873" s="14">
        <f>CHOOSE(CONTROL!$C$42, 75.7842, 75.7842) * CHOOSE(CONTROL!$C$21, $C$9, 100%, $E$9)</f>
        <v>75.784199999999998</v>
      </c>
      <c r="P873" s="14">
        <f>CHOOSE(CONTROL!$C$42, 75.7981, 75.7981) * CHOOSE(CONTROL!$C$21, $C$9, 100%, $E$9)</f>
        <v>75.798100000000005</v>
      </c>
      <c r="Q873" s="14">
        <f>CHOOSE(CONTROL!$C$42, 76.3789, 76.3789) * CHOOSE(CONTROL!$C$21, $C$9, 100%, $E$9)</f>
        <v>76.378900000000002</v>
      </c>
      <c r="R873" s="14">
        <f>CHOOSE(CONTROL!$C$42, 77.1568, 77.1568) * CHOOSE(CONTROL!$C$21, $C$9, 100%, $E$9)</f>
        <v>77.156800000000004</v>
      </c>
      <c r="S873" s="14">
        <f>CHOOSE(CONTROL!$C$42, 74.0821, 74.0821) * CHOOSE(CONTROL!$C$21, $C$9, 100%, $E$9)</f>
        <v>74.082099999999997</v>
      </c>
      <c r="T87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56">
        <f>(1000*CHOOSE(CONTROL!$C$42, 695, 695)*CHOOSE(CONTROL!$C$42, 0.5599, 0.5599)*CHOOSE(CONTROL!$C$42, 30, 30))/1000000</f>
        <v>11.673914999999997</v>
      </c>
      <c r="V873" s="56">
        <f>(1000*CHOOSE(CONTROL!$C$42, 500, 500)*CHOOSE(CONTROL!$C$42, 0.275, 0.275)*CHOOSE(CONTROL!$C$42, 30, 30))/1000000</f>
        <v>4.125</v>
      </c>
      <c r="W873" s="56">
        <f>(1000*CHOOSE(CONTROL!$C$42, 0.1146, 0.1146)*CHOOSE(CONTROL!$C$42, 121.5, 121.5)*CHOOSE(CONTROL!$C$42, 30, 30))/1000000</f>
        <v>0.417717</v>
      </c>
      <c r="X873" s="56">
        <f>(30*0.1790888*245000/1000000)+(30*0.2374*100000/1000000)</f>
        <v>2.0285026799999999</v>
      </c>
      <c r="Y873" s="56"/>
      <c r="Z873" s="14"/>
      <c r="AA873" s="55"/>
      <c r="AB873" s="49">
        <f>(B873*194.205+C873*267.466+D873*133.845+E873*53.484+F873*40+G873*185+H873*0+I873*100+J873*300)/(194.205+267.466+133.845+53.484+0+40+185+100+300)</f>
        <v>77.178382280455267</v>
      </c>
      <c r="AC873" s="44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75.694792805755384</v>
      </c>
    </row>
    <row r="874" spans="1:29" ht="15.75" x14ac:dyDescent="0.25">
      <c r="A874" s="31">
        <v>67511</v>
      </c>
      <c r="B874" s="14">
        <f>CHOOSE(CONTROL!$C$42, 75.5405, 75.5405) * CHOOSE(CONTROL!$C$21, $C$9, 100%, $E$9)</f>
        <v>75.540499999999994</v>
      </c>
      <c r="C874" s="14">
        <f>CHOOSE(CONTROL!$C$42, 75.5459, 75.5459) * CHOOSE(CONTROL!$C$21, $C$9, 100%, $E$9)</f>
        <v>75.545900000000003</v>
      </c>
      <c r="D874" s="14">
        <f>CHOOSE(CONTROL!$C$42, 75.7766, 75.7766) * CHOOSE(CONTROL!$C$21, $C$9, 100%, $E$9)</f>
        <v>75.776600000000002</v>
      </c>
      <c r="E874" s="14">
        <f>CHOOSE(CONTROL!$C$42, 75.8057, 75.8057) * CHOOSE(CONTROL!$C$21, $C$9, 100%, $E$9)</f>
        <v>75.805700000000002</v>
      </c>
      <c r="F874" s="14">
        <f>CHOOSE(CONTROL!$C$42, 75.5694, 75.5694)*CHOOSE(CONTROL!$C$21, $C$9, 100%, $E$9)</f>
        <v>75.569400000000002</v>
      </c>
      <c r="G874" s="14">
        <f>CHOOSE(CONTROL!$C$42, 75.5865, 75.5865)*CHOOSE(CONTROL!$C$21, $C$9, 100%, $E$9)</f>
        <v>75.586500000000001</v>
      </c>
      <c r="H874" s="14">
        <f>CHOOSE(CONTROL!$C$42, 75.7962, 75.7962) * CHOOSE(CONTROL!$C$21, $C$9, 100%, $E$9)</f>
        <v>75.796199999999999</v>
      </c>
      <c r="I874" s="14">
        <f>CHOOSE(CONTROL!$C$42, 75.8104, 75.8104)* CHOOSE(CONTROL!$C$21, $C$9, 100%, $E$9)</f>
        <v>75.810400000000001</v>
      </c>
      <c r="J874" s="14">
        <f>CHOOSE(CONTROL!$C$42, 75.5624, 75.5624)* CHOOSE(CONTROL!$C$21, $C$9, 100%, $E$9)</f>
        <v>75.562399999999997</v>
      </c>
      <c r="K874" s="52">
        <f>CHOOSE(CONTROL!$C$42, 75.8065, 75.8065) * CHOOSE(CONTROL!$C$21, $C$9, 100%, $E$9)</f>
        <v>75.8065</v>
      </c>
      <c r="L874" s="14">
        <f>CHOOSE(CONTROL!$C$42, 76.3832, 76.3832) * CHOOSE(CONTROL!$C$21, $C$9, 100%, $E$9)</f>
        <v>76.383200000000002</v>
      </c>
      <c r="M874" s="14">
        <f>CHOOSE(CONTROL!$C$42, 74.0219, 74.0219) * CHOOSE(CONTROL!$C$21, $C$9, 100%, $E$9)</f>
        <v>74.021900000000002</v>
      </c>
      <c r="N874" s="14">
        <f>CHOOSE(CONTROL!$C$42, 74.0386, 74.0386) * CHOOSE(CONTROL!$C$21, $C$9, 100%, $E$9)</f>
        <v>74.038600000000002</v>
      </c>
      <c r="O874" s="14">
        <f>CHOOSE(CONTROL!$C$42, 74.2509, 74.2509) * CHOOSE(CONTROL!$C$21, $C$9, 100%, $E$9)</f>
        <v>74.250900000000001</v>
      </c>
      <c r="P874" s="14">
        <f>CHOOSE(CONTROL!$C$42, 74.2601, 74.2601) * CHOOSE(CONTROL!$C$21, $C$9, 100%, $E$9)</f>
        <v>74.260099999999994</v>
      </c>
      <c r="Q874" s="14">
        <f>CHOOSE(CONTROL!$C$42, 74.8456, 74.8456) * CHOOSE(CONTROL!$C$21, $C$9, 100%, $E$9)</f>
        <v>74.845600000000005</v>
      </c>
      <c r="R874" s="14">
        <f>CHOOSE(CONTROL!$C$42, 75.6197, 75.6197) * CHOOSE(CONTROL!$C$21, $C$9, 100%, $E$9)</f>
        <v>75.619699999999995</v>
      </c>
      <c r="S874" s="14">
        <f>CHOOSE(CONTROL!$C$42, 72.578, 72.578) * CHOOSE(CONTROL!$C$21, $C$9, 100%, $E$9)</f>
        <v>72.578000000000003</v>
      </c>
      <c r="T87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56">
        <f>(1000*CHOOSE(CONTROL!$C$42, 695, 695)*CHOOSE(CONTROL!$C$42, 0.5599, 0.5599)*CHOOSE(CONTROL!$C$42, 31, 31))/1000000</f>
        <v>12.063045499999998</v>
      </c>
      <c r="V874" s="56">
        <f>(1000*CHOOSE(CONTROL!$C$42, 500, 500)*CHOOSE(CONTROL!$C$42, 0.275, 0.275)*CHOOSE(CONTROL!$C$42, 31, 31))/1000000</f>
        <v>4.2625000000000002</v>
      </c>
      <c r="W874" s="56">
        <f>(1000*CHOOSE(CONTROL!$C$42, 0.1146, 0.1146)*CHOOSE(CONTROL!$C$42, 121.5, 121.5)*CHOOSE(CONTROL!$C$42, 31, 31))/1000000</f>
        <v>0.43164089999999994</v>
      </c>
      <c r="X874" s="56">
        <f>(31*0.1790888*245000/1000000)+(31*0.2374*100000/1000000)</f>
        <v>2.0961194359999999</v>
      </c>
      <c r="Y874" s="56"/>
      <c r="Z874" s="14"/>
      <c r="AA874" s="55"/>
      <c r="AB874" s="49">
        <f>(B874*131.881+C874*277.167+D874*79.08+E874*125.872+F874*40+G874*185+H874*0+I874*100+J874*300)/(131.881+277.167+79.08+125.872+0+40+185+100+300)</f>
        <v>75.618607138175946</v>
      </c>
      <c r="AC874" s="44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74.160925899280585</v>
      </c>
    </row>
    <row r="875" spans="1:29" ht="15.75" x14ac:dyDescent="0.25">
      <c r="A875" s="31">
        <v>67541</v>
      </c>
      <c r="B875" s="14">
        <f>CHOOSE(CONTROL!$C$42, 77.53, 77.53) * CHOOSE(CONTROL!$C$21, $C$9, 100%, $E$9)</f>
        <v>77.53</v>
      </c>
      <c r="C875" s="14">
        <f>CHOOSE(CONTROL!$C$42, 77.535, 77.535) * CHOOSE(CONTROL!$C$21, $C$9, 100%, $E$9)</f>
        <v>77.534999999999997</v>
      </c>
      <c r="D875" s="14">
        <f>CHOOSE(CONTROL!$C$42, 77.604, 77.604) * CHOOSE(CONTROL!$C$21, $C$9, 100%, $E$9)</f>
        <v>77.603999999999999</v>
      </c>
      <c r="E875" s="14">
        <f>CHOOSE(CONTROL!$C$42, 77.6381, 77.6381) * CHOOSE(CONTROL!$C$21, $C$9, 100%, $E$9)</f>
        <v>77.638099999999994</v>
      </c>
      <c r="F875" s="14">
        <f>CHOOSE(CONTROL!$C$42, 77.5655, 77.5655)*CHOOSE(CONTROL!$C$21, $C$9, 100%, $E$9)</f>
        <v>77.5655</v>
      </c>
      <c r="G875" s="14">
        <f>CHOOSE(CONTROL!$C$42, 77.5829, 77.5829)*CHOOSE(CONTROL!$C$21, $C$9, 100%, $E$9)</f>
        <v>77.582899999999995</v>
      </c>
      <c r="H875" s="14">
        <f>CHOOSE(CONTROL!$C$42, 77.6273, 77.6273) * CHOOSE(CONTROL!$C$21, $C$9, 100%, $E$9)</f>
        <v>77.627300000000005</v>
      </c>
      <c r="I875" s="14">
        <f>CHOOSE(CONTROL!$C$42, 77.8091, 77.8091)* CHOOSE(CONTROL!$C$21, $C$9, 100%, $E$9)</f>
        <v>77.809100000000001</v>
      </c>
      <c r="J875" s="14">
        <f>CHOOSE(CONTROL!$C$42, 77.5585, 77.5585)* CHOOSE(CONTROL!$C$21, $C$9, 100%, $E$9)</f>
        <v>77.558499999999995</v>
      </c>
      <c r="K875" s="52">
        <f>CHOOSE(CONTROL!$C$42, 77.8052, 77.8052) * CHOOSE(CONTROL!$C$21, $C$9, 100%, $E$9)</f>
        <v>77.805199999999999</v>
      </c>
      <c r="L875" s="14">
        <f>CHOOSE(CONTROL!$C$42, 78.2143, 78.2143) * CHOOSE(CONTROL!$C$21, $C$9, 100%, $E$9)</f>
        <v>78.214299999999994</v>
      </c>
      <c r="M875" s="14">
        <f>CHOOSE(CONTROL!$C$42, 75.9771, 75.9771) * CHOOSE(CONTROL!$C$21, $C$9, 100%, $E$9)</f>
        <v>75.977099999999993</v>
      </c>
      <c r="N875" s="14">
        <f>CHOOSE(CONTROL!$C$42, 75.9942, 75.9942) * CHOOSE(CONTROL!$C$21, $C$9, 100%, $E$9)</f>
        <v>75.994200000000006</v>
      </c>
      <c r="O875" s="14">
        <f>CHOOSE(CONTROL!$C$42, 76.0445, 76.0445) * CHOOSE(CONTROL!$C$21, $C$9, 100%, $E$9)</f>
        <v>76.044499999999999</v>
      </c>
      <c r="P875" s="14">
        <f>CHOOSE(CONTROL!$C$42, 76.2177, 76.2177) * CHOOSE(CONTROL!$C$21, $C$9, 100%, $E$9)</f>
        <v>76.217699999999994</v>
      </c>
      <c r="Q875" s="14">
        <f>CHOOSE(CONTROL!$C$42, 76.6392, 76.6392) * CHOOSE(CONTROL!$C$21, $C$9, 100%, $E$9)</f>
        <v>76.639200000000002</v>
      </c>
      <c r="R875" s="14">
        <f>CHOOSE(CONTROL!$C$42, 77.4178, 77.4178) * CHOOSE(CONTROL!$C$21, $C$9, 100%, $E$9)</f>
        <v>77.4178</v>
      </c>
      <c r="S875" s="14">
        <f>CHOOSE(CONTROL!$C$42, 74.49, 74.49) * CHOOSE(CONTROL!$C$21, $C$9, 100%, $E$9)</f>
        <v>74.489999999999995</v>
      </c>
      <c r="T87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56">
        <f>(1000*CHOOSE(CONTROL!$C$42, 695, 695)*CHOOSE(CONTROL!$C$42, 0.5599, 0.5599)*CHOOSE(CONTROL!$C$42, 30, 30))/1000000</f>
        <v>11.673914999999997</v>
      </c>
      <c r="V875" s="56">
        <f>(1000*CHOOSE(CONTROL!$C$42, 500, 500)*CHOOSE(CONTROL!$C$42, 0.275, 0.275)*CHOOSE(CONTROL!$C$42, 30, 30))/1000000</f>
        <v>4.125</v>
      </c>
      <c r="W875" s="56">
        <f>(1000*CHOOSE(CONTROL!$C$42, 0.1146, 0.1146)*CHOOSE(CONTROL!$C$42, 121.5, 121.5)*CHOOSE(CONTROL!$C$42, 30, 30))/1000000</f>
        <v>0.417717</v>
      </c>
      <c r="X875" s="56">
        <f>(30*0.1790888*100000/1000000)+(30*0.2374*100000/1000000)</f>
        <v>1.2494664</v>
      </c>
      <c r="Y875" s="56"/>
      <c r="Z875" s="14"/>
      <c r="AA875" s="55"/>
      <c r="AB875" s="49">
        <f>(B875*122.58+C875*297.941+D875*89.177+E875*40.302+F875*40+G875*160+H875*0+I875*100+J875*300)/(122.58+297.941+89.177+40.302+0+40+160+100+300)</f>
        <v>77.581121260173916</v>
      </c>
      <c r="AC875" s="44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76.043251079136681</v>
      </c>
    </row>
    <row r="876" spans="1:29" ht="15.75" x14ac:dyDescent="0.25">
      <c r="A876" s="31">
        <v>67572</v>
      </c>
      <c r="B876" s="14">
        <f>CHOOSE(CONTROL!$C$42, 82.8153, 82.8153) * CHOOSE(CONTROL!$C$21, $C$9, 100%, $E$9)</f>
        <v>82.815299999999993</v>
      </c>
      <c r="C876" s="14">
        <f>CHOOSE(CONTROL!$C$42, 82.8203, 82.8203) * CHOOSE(CONTROL!$C$21, $C$9, 100%, $E$9)</f>
        <v>82.820300000000003</v>
      </c>
      <c r="D876" s="14">
        <f>CHOOSE(CONTROL!$C$42, 82.8893, 82.8893) * CHOOSE(CONTROL!$C$21, $C$9, 100%, $E$9)</f>
        <v>82.889300000000006</v>
      </c>
      <c r="E876" s="14">
        <f>CHOOSE(CONTROL!$C$42, 82.9234, 82.9234) * CHOOSE(CONTROL!$C$21, $C$9, 100%, $E$9)</f>
        <v>82.923400000000001</v>
      </c>
      <c r="F876" s="14">
        <f>CHOOSE(CONTROL!$C$42, 82.8531, 82.8531)*CHOOSE(CONTROL!$C$21, $C$9, 100%, $E$9)</f>
        <v>82.853099999999998</v>
      </c>
      <c r="G876" s="14">
        <f>CHOOSE(CONTROL!$C$42, 82.8711, 82.8711)*CHOOSE(CONTROL!$C$21, $C$9, 100%, $E$9)</f>
        <v>82.871099999999998</v>
      </c>
      <c r="H876" s="14">
        <f>CHOOSE(CONTROL!$C$42, 82.9126, 82.9126) * CHOOSE(CONTROL!$C$21, $C$9, 100%, $E$9)</f>
        <v>82.912599999999998</v>
      </c>
      <c r="I876" s="14">
        <f>CHOOSE(CONTROL!$C$42, 83.111, 83.111)* CHOOSE(CONTROL!$C$21, $C$9, 100%, $E$9)</f>
        <v>83.111000000000004</v>
      </c>
      <c r="J876" s="14">
        <f>CHOOSE(CONTROL!$C$42, 82.8461, 82.8461)* CHOOSE(CONTROL!$C$21, $C$9, 100%, $E$9)</f>
        <v>82.846100000000007</v>
      </c>
      <c r="K876" s="52">
        <f>CHOOSE(CONTROL!$C$42, 83.1071, 83.1071) * CHOOSE(CONTROL!$C$21, $C$9, 100%, $E$9)</f>
        <v>83.107100000000003</v>
      </c>
      <c r="L876" s="14">
        <f>CHOOSE(CONTROL!$C$42, 83.4996, 83.4996) * CHOOSE(CONTROL!$C$21, $C$9, 100%, $E$9)</f>
        <v>83.499600000000001</v>
      </c>
      <c r="M876" s="14">
        <f>CHOOSE(CONTROL!$C$42, 81.1563, 81.1563) * CHOOSE(CONTROL!$C$21, $C$9, 100%, $E$9)</f>
        <v>81.156300000000002</v>
      </c>
      <c r="N876" s="14">
        <f>CHOOSE(CONTROL!$C$42, 81.174, 81.174) * CHOOSE(CONTROL!$C$21, $C$9, 100%, $E$9)</f>
        <v>81.174000000000007</v>
      </c>
      <c r="O876" s="14">
        <f>CHOOSE(CONTROL!$C$42, 81.2215, 81.2215) * CHOOSE(CONTROL!$C$21, $C$9, 100%, $E$9)</f>
        <v>81.221500000000006</v>
      </c>
      <c r="P876" s="14">
        <f>CHOOSE(CONTROL!$C$42, 81.4106, 81.4106) * CHOOSE(CONTROL!$C$21, $C$9, 100%, $E$9)</f>
        <v>81.410600000000002</v>
      </c>
      <c r="Q876" s="14">
        <f>CHOOSE(CONTROL!$C$42, 81.8162, 81.8162) * CHOOSE(CONTROL!$C$21, $C$9, 100%, $E$9)</f>
        <v>81.816199999999995</v>
      </c>
      <c r="R876" s="14">
        <f>CHOOSE(CONTROL!$C$42, 82.6077, 82.6077) * CHOOSE(CONTROL!$C$21, $C$9, 100%, $E$9)</f>
        <v>82.607699999999994</v>
      </c>
      <c r="S876" s="14">
        <f>CHOOSE(CONTROL!$C$42, 79.5686, 79.5686) * CHOOSE(CONTROL!$C$21, $C$9, 100%, $E$9)</f>
        <v>79.568600000000004</v>
      </c>
      <c r="T87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56">
        <f>(1000*CHOOSE(CONTROL!$C$42, 695, 695)*CHOOSE(CONTROL!$C$42, 0.5599, 0.5599)*CHOOSE(CONTROL!$C$42, 31, 31))/1000000</f>
        <v>12.063045499999998</v>
      </c>
      <c r="V876" s="56">
        <f>(1000*CHOOSE(CONTROL!$C$42, 500, 500)*CHOOSE(CONTROL!$C$42, 0.275, 0.275)*CHOOSE(CONTROL!$C$42, 31, 31))/1000000</f>
        <v>4.2625000000000002</v>
      </c>
      <c r="W876" s="56">
        <f>(1000*CHOOSE(CONTROL!$C$42, 0.1146, 0.1146)*CHOOSE(CONTROL!$C$42, 121.5, 121.5)*CHOOSE(CONTROL!$C$42, 31, 31))/1000000</f>
        <v>0.43164089999999994</v>
      </c>
      <c r="X876" s="56">
        <f>(31*0.1790888*100000/1000000)+(31*0.2374*100000/1000000)</f>
        <v>1.2911152800000001</v>
      </c>
      <c r="Y876" s="56"/>
      <c r="Z876" s="14"/>
      <c r="AA876" s="55"/>
      <c r="AB876" s="49">
        <f>(B876*122.58+C876*297.941+D876*89.177+E876*40.302+F876*40+G876*160+H876*0+I876*100+J876*300)/(122.58+297.941+89.177+40.302+0+40+160+100+300)</f>
        <v>82.868948216695657</v>
      </c>
      <c r="AC876" s="44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81.223459712230209</v>
      </c>
    </row>
    <row r="877" spans="1:29" ht="15.75" x14ac:dyDescent="0.25">
      <c r="A877" s="31">
        <v>67603</v>
      </c>
      <c r="B877" s="14">
        <f>CHOOSE(CONTROL!$C$42, 89.6799, 89.6799) * CHOOSE(CONTROL!$C$21, $C$9, 100%, $E$9)</f>
        <v>89.679900000000004</v>
      </c>
      <c r="C877" s="14">
        <f>CHOOSE(CONTROL!$C$42, 89.685, 89.685) * CHOOSE(CONTROL!$C$21, $C$9, 100%, $E$9)</f>
        <v>89.685000000000002</v>
      </c>
      <c r="D877" s="14">
        <f>CHOOSE(CONTROL!$C$42, 89.7644, 89.7644) * CHOOSE(CONTROL!$C$21, $C$9, 100%, $E$9)</f>
        <v>89.764399999999995</v>
      </c>
      <c r="E877" s="14">
        <f>CHOOSE(CONTROL!$C$42, 89.7985, 89.7985) * CHOOSE(CONTROL!$C$21, $C$9, 100%, $E$9)</f>
        <v>89.798500000000004</v>
      </c>
      <c r="F877" s="14">
        <f>CHOOSE(CONTROL!$C$42, 89.7029, 89.7029)*CHOOSE(CONTROL!$C$21, $C$9, 100%, $E$9)</f>
        <v>89.7029</v>
      </c>
      <c r="G877" s="14">
        <f>CHOOSE(CONTROL!$C$42, 89.7205, 89.7205)*CHOOSE(CONTROL!$C$21, $C$9, 100%, $E$9)</f>
        <v>89.720500000000001</v>
      </c>
      <c r="H877" s="14">
        <f>CHOOSE(CONTROL!$C$42, 89.7877, 89.7877) * CHOOSE(CONTROL!$C$21, $C$9, 100%, $E$9)</f>
        <v>89.787700000000001</v>
      </c>
      <c r="I877" s="14">
        <f>CHOOSE(CONTROL!$C$42, 89.9961, 89.9961)* CHOOSE(CONTROL!$C$21, $C$9, 100%, $E$9)</f>
        <v>89.996099999999998</v>
      </c>
      <c r="J877" s="14">
        <f>CHOOSE(CONTROL!$C$42, 89.6959, 89.6959)* CHOOSE(CONTROL!$C$21, $C$9, 100%, $E$9)</f>
        <v>89.695899999999995</v>
      </c>
      <c r="K877" s="52">
        <f>CHOOSE(CONTROL!$C$42, 89.9922, 89.9922) * CHOOSE(CONTROL!$C$21, $C$9, 100%, $E$9)</f>
        <v>89.992199999999997</v>
      </c>
      <c r="L877" s="14">
        <f>CHOOSE(CONTROL!$C$42, 90.3747, 90.3747) * CHOOSE(CONTROL!$C$21, $C$9, 100%, $E$9)</f>
        <v>90.374700000000004</v>
      </c>
      <c r="M877" s="14">
        <f>CHOOSE(CONTROL!$C$42, 87.8658, 87.8658) * CHOOSE(CONTROL!$C$21, $C$9, 100%, $E$9)</f>
        <v>87.865799999999993</v>
      </c>
      <c r="N877" s="14">
        <f>CHOOSE(CONTROL!$C$42, 87.883, 87.883) * CHOOSE(CONTROL!$C$21, $C$9, 100%, $E$9)</f>
        <v>87.882999999999996</v>
      </c>
      <c r="O877" s="14">
        <f>CHOOSE(CONTROL!$C$42, 87.9557, 87.9557) * CHOOSE(CONTROL!$C$21, $C$9, 100%, $E$9)</f>
        <v>87.955699999999993</v>
      </c>
      <c r="P877" s="14">
        <f>CHOOSE(CONTROL!$C$42, 88.1542, 88.1542) * CHOOSE(CONTROL!$C$21, $C$9, 100%, $E$9)</f>
        <v>88.154200000000003</v>
      </c>
      <c r="Q877" s="14">
        <f>CHOOSE(CONTROL!$C$42, 88.5504, 88.5504) * CHOOSE(CONTROL!$C$21, $C$9, 100%, $E$9)</f>
        <v>88.550399999999996</v>
      </c>
      <c r="R877" s="14">
        <f>CHOOSE(CONTROL!$C$42, 89.3588, 89.3588) * CHOOSE(CONTROL!$C$21, $C$9, 100%, $E$9)</f>
        <v>89.358800000000002</v>
      </c>
      <c r="S877" s="14">
        <f>CHOOSE(CONTROL!$C$42, 86.1649, 86.1649) * CHOOSE(CONTROL!$C$21, $C$9, 100%, $E$9)</f>
        <v>86.164900000000003</v>
      </c>
      <c r="T87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56">
        <f>(1000*CHOOSE(CONTROL!$C$42, 695, 695)*CHOOSE(CONTROL!$C$42, 0.5599, 0.5599)*CHOOSE(CONTROL!$C$42, 31, 31))/1000000</f>
        <v>12.063045499999998</v>
      </c>
      <c r="V877" s="56">
        <f>(1000*CHOOSE(CONTROL!$C$42, 500, 500)*CHOOSE(CONTROL!$C$42, 0.275, 0.275)*CHOOSE(CONTROL!$C$42, 31, 31))/1000000</f>
        <v>4.2625000000000002</v>
      </c>
      <c r="W877" s="56">
        <f>(1000*CHOOSE(CONTROL!$C$42, 0.1146, 0.1146)*CHOOSE(CONTROL!$C$42, 121.5, 121.5)*CHOOSE(CONTROL!$C$42, 31, 31))/1000000</f>
        <v>0.43164089999999994</v>
      </c>
      <c r="X877" s="56">
        <f>(31*0.1790888*100000/1000000)+(31*0.2374*100000/1000000)</f>
        <v>1.2911152800000001</v>
      </c>
      <c r="Y877" s="56"/>
      <c r="Z877" s="14"/>
      <c r="AA877" s="55"/>
      <c r="AB877" s="49">
        <f>(B877*122.58+C877*297.941+D877*89.177+E877*40.302+F877*40+G877*160+H877*0+I877*100+J877*300)/(122.58+297.941+89.177+40.302+0+40+160+100+300)</f>
        <v>89.730048498086958</v>
      </c>
      <c r="AC877" s="44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87.94903237410071</v>
      </c>
    </row>
    <row r="878" spans="1:29" ht="15.75" x14ac:dyDescent="0.25">
      <c r="A878" s="31">
        <v>67631</v>
      </c>
      <c r="B878" s="14">
        <f>CHOOSE(CONTROL!$C$42, 91.2762, 91.2762) * CHOOSE(CONTROL!$C$21, $C$9, 100%, $E$9)</f>
        <v>91.276200000000003</v>
      </c>
      <c r="C878" s="14">
        <f>CHOOSE(CONTROL!$C$42, 91.2812, 91.2812) * CHOOSE(CONTROL!$C$21, $C$9, 100%, $E$9)</f>
        <v>91.281199999999998</v>
      </c>
      <c r="D878" s="14">
        <f>CHOOSE(CONTROL!$C$42, 91.3607, 91.3607) * CHOOSE(CONTROL!$C$21, $C$9, 100%, $E$9)</f>
        <v>91.360699999999994</v>
      </c>
      <c r="E878" s="14">
        <f>CHOOSE(CONTROL!$C$42, 91.3948, 91.3948) * CHOOSE(CONTROL!$C$21, $C$9, 100%, $E$9)</f>
        <v>91.394800000000004</v>
      </c>
      <c r="F878" s="14">
        <f>CHOOSE(CONTROL!$C$42, 91.299, 91.299)*CHOOSE(CONTROL!$C$21, $C$9, 100%, $E$9)</f>
        <v>91.299000000000007</v>
      </c>
      <c r="G878" s="14">
        <f>CHOOSE(CONTROL!$C$42, 91.3164, 91.3164)*CHOOSE(CONTROL!$C$21, $C$9, 100%, $E$9)</f>
        <v>91.316400000000002</v>
      </c>
      <c r="H878" s="14">
        <f>CHOOSE(CONTROL!$C$42, 91.384, 91.384) * CHOOSE(CONTROL!$C$21, $C$9, 100%, $E$9)</f>
        <v>91.384</v>
      </c>
      <c r="I878" s="14">
        <f>CHOOSE(CONTROL!$C$42, 91.5973, 91.5973)* CHOOSE(CONTROL!$C$21, $C$9, 100%, $E$9)</f>
        <v>91.597300000000004</v>
      </c>
      <c r="J878" s="14">
        <f>CHOOSE(CONTROL!$C$42, 91.292, 91.292)* CHOOSE(CONTROL!$C$21, $C$9, 100%, $E$9)</f>
        <v>91.292000000000002</v>
      </c>
      <c r="K878" s="52">
        <f>CHOOSE(CONTROL!$C$42, 91.5934, 91.5934) * CHOOSE(CONTROL!$C$21, $C$9, 100%, $E$9)</f>
        <v>91.593400000000003</v>
      </c>
      <c r="L878" s="14">
        <f>CHOOSE(CONTROL!$C$42, 91.971, 91.971) * CHOOSE(CONTROL!$C$21, $C$9, 100%, $E$9)</f>
        <v>91.971000000000004</v>
      </c>
      <c r="M878" s="14">
        <f>CHOOSE(CONTROL!$C$42, 89.4291, 89.4291) * CHOOSE(CONTROL!$C$21, $C$9, 100%, $E$9)</f>
        <v>89.429100000000005</v>
      </c>
      <c r="N878" s="14">
        <f>CHOOSE(CONTROL!$C$42, 89.4462, 89.4462) * CHOOSE(CONTROL!$C$21, $C$9, 100%, $E$9)</f>
        <v>89.446200000000005</v>
      </c>
      <c r="O878" s="14">
        <f>CHOOSE(CONTROL!$C$42, 89.5193, 89.5193) * CHOOSE(CONTROL!$C$21, $C$9, 100%, $E$9)</f>
        <v>89.519300000000001</v>
      </c>
      <c r="P878" s="14">
        <f>CHOOSE(CONTROL!$C$42, 89.7226, 89.7226) * CHOOSE(CONTROL!$C$21, $C$9, 100%, $E$9)</f>
        <v>89.7226</v>
      </c>
      <c r="Q878" s="14">
        <f>CHOOSE(CONTROL!$C$42, 90.114, 90.114) * CHOOSE(CONTROL!$C$21, $C$9, 100%, $E$9)</f>
        <v>90.114000000000004</v>
      </c>
      <c r="R878" s="14">
        <f>CHOOSE(CONTROL!$C$42, 90.9262, 90.9262) * CHOOSE(CONTROL!$C$21, $C$9, 100%, $E$9)</f>
        <v>90.926199999999994</v>
      </c>
      <c r="S878" s="14">
        <f>CHOOSE(CONTROL!$C$42, 87.6987, 87.6987) * CHOOSE(CONTROL!$C$21, $C$9, 100%, $E$9)</f>
        <v>87.698700000000002</v>
      </c>
      <c r="T87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56">
        <f>(1000*CHOOSE(CONTROL!$C$42, 695, 695)*CHOOSE(CONTROL!$C$42, 0.5599, 0.5599)*CHOOSE(CONTROL!$C$42, 28, 28))/1000000</f>
        <v>10.895653999999999</v>
      </c>
      <c r="V878" s="56">
        <f>(1000*CHOOSE(CONTROL!$C$42, 500, 500)*CHOOSE(CONTROL!$C$42, 0.275, 0.275)*CHOOSE(CONTROL!$C$42, 28, 28))/1000000</f>
        <v>3.85</v>
      </c>
      <c r="W878" s="56">
        <f>(1000*CHOOSE(CONTROL!$C$42, 0.1146, 0.1146)*CHOOSE(CONTROL!$C$42, 121.5, 121.5)*CHOOSE(CONTROL!$C$42, 28, 28))/1000000</f>
        <v>0.38986920000000003</v>
      </c>
      <c r="X878" s="56">
        <f>(28*0.1790888*100000/1000000)+(28*0.2374*100000/1000000)</f>
        <v>1.16616864</v>
      </c>
      <c r="Y878" s="56"/>
      <c r="Z878" s="14"/>
      <c r="AA878" s="55"/>
      <c r="AB878" s="49">
        <f>(B878*122.58+C878*297.941+D878*89.177+E878*40.302+F878*40+G878*160+H878*0+I878*100+J878*300)/(122.58+297.941+89.177+40.302+0+40+160+100+300)</f>
        <v>91.326633894521734</v>
      </c>
      <c r="AC878" s="44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89.513196402877711</v>
      </c>
    </row>
    <row r="879" spans="1:29" ht="15.75" x14ac:dyDescent="0.25">
      <c r="A879" s="31">
        <v>67662</v>
      </c>
      <c r="B879" s="14">
        <f>CHOOSE(CONTROL!$C$42, 88.6851, 88.6851) * CHOOSE(CONTROL!$C$21, $C$9, 100%, $E$9)</f>
        <v>88.685100000000006</v>
      </c>
      <c r="C879" s="14">
        <f>CHOOSE(CONTROL!$C$42, 88.6901, 88.6901) * CHOOSE(CONTROL!$C$21, $C$9, 100%, $E$9)</f>
        <v>88.690100000000001</v>
      </c>
      <c r="D879" s="14">
        <f>CHOOSE(CONTROL!$C$42, 88.7695, 88.7695) * CHOOSE(CONTROL!$C$21, $C$9, 100%, $E$9)</f>
        <v>88.769499999999994</v>
      </c>
      <c r="E879" s="14">
        <f>CHOOSE(CONTROL!$C$42, 88.8036, 88.8036) * CHOOSE(CONTROL!$C$21, $C$9, 100%, $E$9)</f>
        <v>88.803600000000003</v>
      </c>
      <c r="F879" s="14">
        <f>CHOOSE(CONTROL!$C$42, 88.7071, 88.7071)*CHOOSE(CONTROL!$C$21, $C$9, 100%, $E$9)</f>
        <v>88.707099999999997</v>
      </c>
      <c r="G879" s="14">
        <f>CHOOSE(CONTROL!$C$42, 88.7244, 88.7244)*CHOOSE(CONTROL!$C$21, $C$9, 100%, $E$9)</f>
        <v>88.724400000000003</v>
      </c>
      <c r="H879" s="14">
        <f>CHOOSE(CONTROL!$C$42, 88.7928, 88.7928) * CHOOSE(CONTROL!$C$21, $C$9, 100%, $E$9)</f>
        <v>88.7928</v>
      </c>
      <c r="I879" s="14">
        <f>CHOOSE(CONTROL!$C$42, 88.9981, 88.9981)* CHOOSE(CONTROL!$C$21, $C$9, 100%, $E$9)</f>
        <v>88.998099999999994</v>
      </c>
      <c r="J879" s="14">
        <f>CHOOSE(CONTROL!$C$42, 88.7001, 88.7001)* CHOOSE(CONTROL!$C$21, $C$9, 100%, $E$9)</f>
        <v>88.700100000000006</v>
      </c>
      <c r="K879" s="52">
        <f>CHOOSE(CONTROL!$C$42, 88.9942, 88.9942) * CHOOSE(CONTROL!$C$21, $C$9, 100%, $E$9)</f>
        <v>88.994200000000006</v>
      </c>
      <c r="L879" s="14">
        <f>CHOOSE(CONTROL!$C$42, 89.3798, 89.3798) * CHOOSE(CONTROL!$C$21, $C$9, 100%, $E$9)</f>
        <v>89.379800000000003</v>
      </c>
      <c r="M879" s="14">
        <f>CHOOSE(CONTROL!$C$42, 86.8904, 86.8904) * CHOOSE(CONTROL!$C$21, $C$9, 100%, $E$9)</f>
        <v>86.8904</v>
      </c>
      <c r="N879" s="14">
        <f>CHOOSE(CONTROL!$C$42, 86.9073, 86.9073) * CHOOSE(CONTROL!$C$21, $C$9, 100%, $E$9)</f>
        <v>86.907300000000006</v>
      </c>
      <c r="O879" s="14">
        <f>CHOOSE(CONTROL!$C$42, 86.9812, 86.9812) * CHOOSE(CONTROL!$C$21, $C$9, 100%, $E$9)</f>
        <v>86.981200000000001</v>
      </c>
      <c r="P879" s="14">
        <f>CHOOSE(CONTROL!$C$42, 87.1768, 87.1768) * CHOOSE(CONTROL!$C$21, $C$9, 100%, $E$9)</f>
        <v>87.1768</v>
      </c>
      <c r="Q879" s="14">
        <f>CHOOSE(CONTROL!$C$42, 87.5759, 87.5759) * CHOOSE(CONTROL!$C$21, $C$9, 100%, $E$9)</f>
        <v>87.575900000000004</v>
      </c>
      <c r="R879" s="14">
        <f>CHOOSE(CONTROL!$C$42, 88.3819, 88.3819) * CHOOSE(CONTROL!$C$21, $C$9, 100%, $E$9)</f>
        <v>88.381900000000002</v>
      </c>
      <c r="S879" s="14">
        <f>CHOOSE(CONTROL!$C$42, 85.2089, 85.2089) * CHOOSE(CONTROL!$C$21, $C$9, 100%, $E$9)</f>
        <v>85.2089</v>
      </c>
      <c r="T87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56">
        <f>(1000*CHOOSE(CONTROL!$C$42, 695, 695)*CHOOSE(CONTROL!$C$42, 0.5599, 0.5599)*CHOOSE(CONTROL!$C$42, 31, 31))/1000000</f>
        <v>12.063045499999998</v>
      </c>
      <c r="V879" s="56">
        <f>(1000*CHOOSE(CONTROL!$C$42, 500, 500)*CHOOSE(CONTROL!$C$42, 0.275, 0.275)*CHOOSE(CONTROL!$C$42, 31, 31))/1000000</f>
        <v>4.2625000000000002</v>
      </c>
      <c r="W879" s="56">
        <f>(1000*CHOOSE(CONTROL!$C$42, 0.1146, 0.1146)*CHOOSE(CONTROL!$C$42, 121.5, 121.5)*CHOOSE(CONTROL!$C$42, 31, 31))/1000000</f>
        <v>0.43164089999999994</v>
      </c>
      <c r="X879" s="56">
        <f>(31*0.1790888*100000/1000000)+(31*0.2374*100000/1000000)</f>
        <v>1.2911152800000001</v>
      </c>
      <c r="Y879" s="56"/>
      <c r="Z879" s="14"/>
      <c r="AA879" s="55"/>
      <c r="AB879" s="49">
        <f>(B879*122.58+C879*297.941+D879*89.177+E879*40.302+F879*40+G879*160+H879*0+I879*100+J879*300)/(122.58+297.941+89.177+40.302+0+40+160+100+300)</f>
        <v>88.734456548521734</v>
      </c>
      <c r="AC879" s="44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86.973735251798573</v>
      </c>
    </row>
    <row r="880" spans="1:29" ht="15.75" x14ac:dyDescent="0.25">
      <c r="A880" s="31">
        <v>67692</v>
      </c>
      <c r="B880" s="14">
        <f>CHOOSE(CONTROL!$C$42, 88.4205, 88.4205) * CHOOSE(CONTROL!$C$21, $C$9, 100%, $E$9)</f>
        <v>88.420500000000004</v>
      </c>
      <c r="C880" s="14">
        <f>CHOOSE(CONTROL!$C$42, 88.425, 88.425) * CHOOSE(CONTROL!$C$21, $C$9, 100%, $E$9)</f>
        <v>88.424999999999997</v>
      </c>
      <c r="D880" s="14">
        <f>CHOOSE(CONTROL!$C$42, 88.654, 88.654) * CHOOSE(CONTROL!$C$21, $C$9, 100%, $E$9)</f>
        <v>88.653999999999996</v>
      </c>
      <c r="E880" s="14">
        <f>CHOOSE(CONTROL!$C$42, 88.6861, 88.6861) * CHOOSE(CONTROL!$C$21, $C$9, 100%, $E$9)</f>
        <v>88.686099999999996</v>
      </c>
      <c r="F880" s="14">
        <f>CHOOSE(CONTROL!$C$42, 88.4475, 88.4475)*CHOOSE(CONTROL!$C$21, $C$9, 100%, $E$9)</f>
        <v>88.447500000000005</v>
      </c>
      <c r="G880" s="14">
        <f>CHOOSE(CONTROL!$C$42, 88.4643, 88.4643)*CHOOSE(CONTROL!$C$21, $C$9, 100%, $E$9)</f>
        <v>88.464299999999994</v>
      </c>
      <c r="H880" s="14">
        <f>CHOOSE(CONTROL!$C$42, 88.6759, 88.6759) * CHOOSE(CONTROL!$C$21, $C$9, 100%, $E$9)</f>
        <v>88.675899999999999</v>
      </c>
      <c r="I880" s="14">
        <f>CHOOSE(CONTROL!$C$42, 88.7304, 88.7304)* CHOOSE(CONTROL!$C$21, $C$9, 100%, $E$9)</f>
        <v>88.730400000000003</v>
      </c>
      <c r="J880" s="14">
        <f>CHOOSE(CONTROL!$C$42, 88.4405, 88.4405)* CHOOSE(CONTROL!$C$21, $C$9, 100%, $E$9)</f>
        <v>88.4405</v>
      </c>
      <c r="K880" s="52">
        <f>CHOOSE(CONTROL!$C$42, 88.7265, 88.7265) * CHOOSE(CONTROL!$C$21, $C$9, 100%, $E$9)</f>
        <v>88.726500000000001</v>
      </c>
      <c r="L880" s="14">
        <f>CHOOSE(CONTROL!$C$42, 89.2629, 89.2629) * CHOOSE(CONTROL!$C$21, $C$9, 100%, $E$9)</f>
        <v>89.262900000000002</v>
      </c>
      <c r="M880" s="14">
        <f>CHOOSE(CONTROL!$C$42, 86.6362, 86.6362) * CHOOSE(CONTROL!$C$21, $C$9, 100%, $E$9)</f>
        <v>86.636200000000002</v>
      </c>
      <c r="N880" s="14">
        <f>CHOOSE(CONTROL!$C$42, 86.6525, 86.6525) * CHOOSE(CONTROL!$C$21, $C$9, 100%, $E$9)</f>
        <v>86.652500000000003</v>
      </c>
      <c r="O880" s="14">
        <f>CHOOSE(CONTROL!$C$42, 86.8666, 86.8666) * CHOOSE(CONTROL!$C$21, $C$9, 100%, $E$9)</f>
        <v>86.866600000000005</v>
      </c>
      <c r="P880" s="14">
        <f>CHOOSE(CONTROL!$C$42, 86.9146, 86.9146) * CHOOSE(CONTROL!$C$21, $C$9, 100%, $E$9)</f>
        <v>86.914599999999993</v>
      </c>
      <c r="Q880" s="14">
        <f>CHOOSE(CONTROL!$C$42, 87.4613, 87.4613) * CHOOSE(CONTROL!$C$21, $C$9, 100%, $E$9)</f>
        <v>87.461299999999994</v>
      </c>
      <c r="R880" s="14">
        <f>CHOOSE(CONTROL!$C$42, 88.267, 88.267) * CHOOSE(CONTROL!$C$21, $C$9, 100%, $E$9)</f>
        <v>88.266999999999996</v>
      </c>
      <c r="S880" s="14">
        <f>CHOOSE(CONTROL!$C$42, 84.954, 84.954) * CHOOSE(CONTROL!$C$21, $C$9, 100%, $E$9)</f>
        <v>84.953999999999994</v>
      </c>
      <c r="T88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56">
        <f>(1000*CHOOSE(CONTROL!$C$42, 695, 695)*CHOOSE(CONTROL!$C$42, 0.5599, 0.5599)*CHOOSE(CONTROL!$C$42, 30, 30))/1000000</f>
        <v>11.673914999999997</v>
      </c>
      <c r="V880" s="56">
        <f>(1000*CHOOSE(CONTROL!$C$42, 500, 500)*CHOOSE(CONTROL!$C$42, 0.275, 0.275)*CHOOSE(CONTROL!$C$42, 30, 30))/1000000</f>
        <v>4.125</v>
      </c>
      <c r="W880" s="56">
        <f>(1000*CHOOSE(CONTROL!$C$42, 0.1146, 0.1146)*CHOOSE(CONTROL!$C$42, 121.5, 121.5)*CHOOSE(CONTROL!$C$42, 30, 30))/1000000</f>
        <v>0.417717</v>
      </c>
      <c r="X880" s="56">
        <f>(30*0.1790888*245000/1000000)+(30*0.2374*100000/1000000)</f>
        <v>2.0285026799999999</v>
      </c>
      <c r="Y880" s="56"/>
      <c r="Z880" s="14"/>
      <c r="AA880" s="55"/>
      <c r="AB880" s="49">
        <f>(B880*141.293+C880*267.993+D880*115.016+E880*89.698+F880*40+G880*185+H880*0+I880*100+J880*300)/(141.293+267.993+115.016+89.698+0+40+185+100+300)</f>
        <v>88.499643658837769</v>
      </c>
      <c r="AC880" s="44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86.78162158273382</v>
      </c>
    </row>
    <row r="881" spans="1:29" ht="15.75" x14ac:dyDescent="0.25">
      <c r="A881" s="31">
        <v>67723</v>
      </c>
      <c r="B881" s="14">
        <f>CHOOSE(CONTROL!$C$42, 89.2023, 89.2023) * CHOOSE(CONTROL!$C$21, $C$9, 100%, $E$9)</f>
        <v>89.202299999999994</v>
      </c>
      <c r="C881" s="14">
        <f>CHOOSE(CONTROL!$C$42, 89.2103, 89.2103) * CHOOSE(CONTROL!$C$21, $C$9, 100%, $E$9)</f>
        <v>89.210300000000004</v>
      </c>
      <c r="D881" s="14">
        <f>CHOOSE(CONTROL!$C$42, 89.4361, 89.4361) * CHOOSE(CONTROL!$C$21, $C$9, 100%, $E$9)</f>
        <v>89.436099999999996</v>
      </c>
      <c r="E881" s="14">
        <f>CHOOSE(CONTROL!$C$42, 89.4675, 89.4675) * CHOOSE(CONTROL!$C$21, $C$9, 100%, $E$9)</f>
        <v>89.467500000000001</v>
      </c>
      <c r="F881" s="14">
        <f>CHOOSE(CONTROL!$C$42, 89.2279, 89.2279)*CHOOSE(CONTROL!$C$21, $C$9, 100%, $E$9)</f>
        <v>89.227900000000005</v>
      </c>
      <c r="G881" s="14">
        <f>CHOOSE(CONTROL!$C$42, 89.2449, 89.2449)*CHOOSE(CONTROL!$C$21, $C$9, 100%, $E$9)</f>
        <v>89.244900000000001</v>
      </c>
      <c r="H881" s="14">
        <f>CHOOSE(CONTROL!$C$42, 89.4562, 89.4562) * CHOOSE(CONTROL!$C$21, $C$9, 100%, $E$9)</f>
        <v>89.456199999999995</v>
      </c>
      <c r="I881" s="14">
        <f>CHOOSE(CONTROL!$C$42, 89.5132, 89.5132)* CHOOSE(CONTROL!$C$21, $C$9, 100%, $E$9)</f>
        <v>89.513199999999998</v>
      </c>
      <c r="J881" s="14">
        <f>CHOOSE(CONTROL!$C$42, 89.2209, 89.2209)* CHOOSE(CONTROL!$C$21, $C$9, 100%, $E$9)</f>
        <v>89.2209</v>
      </c>
      <c r="K881" s="52">
        <f>CHOOSE(CONTROL!$C$42, 89.5093, 89.5093) * CHOOSE(CONTROL!$C$21, $C$9, 100%, $E$9)</f>
        <v>89.509299999999996</v>
      </c>
      <c r="L881" s="14">
        <f>CHOOSE(CONTROL!$C$42, 90.0432, 90.0432) * CHOOSE(CONTROL!$C$21, $C$9, 100%, $E$9)</f>
        <v>90.043199999999999</v>
      </c>
      <c r="M881" s="14">
        <f>CHOOSE(CONTROL!$C$42, 87.4005, 87.4005) * CHOOSE(CONTROL!$C$21, $C$9, 100%, $E$9)</f>
        <v>87.400499999999994</v>
      </c>
      <c r="N881" s="14">
        <f>CHOOSE(CONTROL!$C$42, 87.4172, 87.4172) * CHOOSE(CONTROL!$C$21, $C$9, 100%, $E$9)</f>
        <v>87.417199999999994</v>
      </c>
      <c r="O881" s="14">
        <f>CHOOSE(CONTROL!$C$42, 87.631, 87.631) * CHOOSE(CONTROL!$C$21, $C$9, 100%, $E$9)</f>
        <v>87.631</v>
      </c>
      <c r="P881" s="14">
        <f>CHOOSE(CONTROL!$C$42, 87.6813, 87.6813) * CHOOSE(CONTROL!$C$21, $C$9, 100%, $E$9)</f>
        <v>87.681299999999993</v>
      </c>
      <c r="Q881" s="14">
        <f>CHOOSE(CONTROL!$C$42, 88.2257, 88.2257) * CHOOSE(CONTROL!$C$21, $C$9, 100%, $E$9)</f>
        <v>88.225700000000003</v>
      </c>
      <c r="R881" s="14">
        <f>CHOOSE(CONTROL!$C$42, 89.0332, 89.0332) * CHOOSE(CONTROL!$C$21, $C$9, 100%, $E$9)</f>
        <v>89.033199999999994</v>
      </c>
      <c r="S881" s="14">
        <f>CHOOSE(CONTROL!$C$42, 85.7038, 85.7038) * CHOOSE(CONTROL!$C$21, $C$9, 100%, $E$9)</f>
        <v>85.703800000000001</v>
      </c>
      <c r="T88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56">
        <f>(1000*CHOOSE(CONTROL!$C$42, 695, 695)*CHOOSE(CONTROL!$C$42, 0.5599, 0.5599)*CHOOSE(CONTROL!$C$42, 31, 31))/1000000</f>
        <v>12.063045499999998</v>
      </c>
      <c r="V881" s="56">
        <f>(1000*CHOOSE(CONTROL!$C$42, 500, 500)*CHOOSE(CONTROL!$C$42, 0.275, 0.275)*CHOOSE(CONTROL!$C$42, 31, 31))/1000000</f>
        <v>4.2625000000000002</v>
      </c>
      <c r="W881" s="56">
        <f>(1000*CHOOSE(CONTROL!$C$42, 0.1146, 0.1146)*CHOOSE(CONTROL!$C$42, 121.5, 121.5)*CHOOSE(CONTROL!$C$42, 31, 31))/1000000</f>
        <v>0.43164089999999994</v>
      </c>
      <c r="X881" s="56">
        <f>(31*0.1790888*245000/1000000)+(31*0.2374*100000/1000000)</f>
        <v>2.0961194359999999</v>
      </c>
      <c r="Y881" s="56"/>
      <c r="Z881" s="14"/>
      <c r="AA881" s="55"/>
      <c r="AB881" s="49">
        <f>(B881*194.205+C881*267.466+D881*133.845+E881*53.484+F881*40+G881*185+H881*0+I881*100+J881*300)/(194.205+267.466+133.845+53.484+0+40+185+100+300)</f>
        <v>89.27544885855572</v>
      </c>
      <c r="AC881" s="44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87.546335251798553</v>
      </c>
    </row>
    <row r="882" spans="1:29" ht="15.75" x14ac:dyDescent="0.25">
      <c r="A882" s="31">
        <v>67753</v>
      </c>
      <c r="B882" s="14">
        <f>CHOOSE(CONTROL!$C$42, 91.7323, 91.7323) * CHOOSE(CONTROL!$C$21, $C$9, 100%, $E$9)</f>
        <v>91.732299999999995</v>
      </c>
      <c r="C882" s="14">
        <f>CHOOSE(CONTROL!$C$42, 91.7403, 91.7403) * CHOOSE(CONTROL!$C$21, $C$9, 100%, $E$9)</f>
        <v>91.740300000000005</v>
      </c>
      <c r="D882" s="14">
        <f>CHOOSE(CONTROL!$C$42, 91.9661, 91.9661) * CHOOSE(CONTROL!$C$21, $C$9, 100%, $E$9)</f>
        <v>91.966099999999997</v>
      </c>
      <c r="E882" s="14">
        <f>CHOOSE(CONTROL!$C$42, 91.9976, 91.9976) * CHOOSE(CONTROL!$C$21, $C$9, 100%, $E$9)</f>
        <v>91.997600000000006</v>
      </c>
      <c r="F882" s="14">
        <f>CHOOSE(CONTROL!$C$42, 91.7584, 91.7584)*CHOOSE(CONTROL!$C$21, $C$9, 100%, $E$9)</f>
        <v>91.758399999999995</v>
      </c>
      <c r="G882" s="14">
        <f>CHOOSE(CONTROL!$C$42, 91.7755, 91.7755)*CHOOSE(CONTROL!$C$21, $C$9, 100%, $E$9)</f>
        <v>91.775499999999994</v>
      </c>
      <c r="H882" s="14">
        <f>CHOOSE(CONTROL!$C$42, 91.9862, 91.9862) * CHOOSE(CONTROL!$C$21, $C$9, 100%, $E$9)</f>
        <v>91.986199999999997</v>
      </c>
      <c r="I882" s="14">
        <f>CHOOSE(CONTROL!$C$42, 92.0511, 92.0511)* CHOOSE(CONTROL!$C$21, $C$9, 100%, $E$9)</f>
        <v>92.051100000000005</v>
      </c>
      <c r="J882" s="14">
        <f>CHOOSE(CONTROL!$C$42, 91.7514, 91.7514)* CHOOSE(CONTROL!$C$21, $C$9, 100%, $E$9)</f>
        <v>91.751400000000004</v>
      </c>
      <c r="K882" s="52">
        <f>CHOOSE(CONTROL!$C$42, 92.0472, 92.0472) * CHOOSE(CONTROL!$C$21, $C$9, 100%, $E$9)</f>
        <v>92.047200000000004</v>
      </c>
      <c r="L882" s="14">
        <f>CHOOSE(CONTROL!$C$42, 92.5732, 92.5732) * CHOOSE(CONTROL!$C$21, $C$9, 100%, $E$9)</f>
        <v>92.5732</v>
      </c>
      <c r="M882" s="14">
        <f>CHOOSE(CONTROL!$C$42, 89.8791, 89.8791) * CHOOSE(CONTROL!$C$21, $C$9, 100%, $E$9)</f>
        <v>89.879099999999994</v>
      </c>
      <c r="N882" s="14">
        <f>CHOOSE(CONTROL!$C$42, 89.8959, 89.8959) * CHOOSE(CONTROL!$C$21, $C$9, 100%, $E$9)</f>
        <v>89.895899999999997</v>
      </c>
      <c r="O882" s="14">
        <f>CHOOSE(CONTROL!$C$42, 90.1091, 90.1091) * CHOOSE(CONTROL!$C$21, $C$9, 100%, $E$9)</f>
        <v>90.109099999999998</v>
      </c>
      <c r="P882" s="14">
        <f>CHOOSE(CONTROL!$C$42, 90.167, 90.167) * CHOOSE(CONTROL!$C$21, $C$9, 100%, $E$9)</f>
        <v>90.167000000000002</v>
      </c>
      <c r="Q882" s="14">
        <f>CHOOSE(CONTROL!$C$42, 90.7038, 90.7038) * CHOOSE(CONTROL!$C$21, $C$9, 100%, $E$9)</f>
        <v>90.703800000000001</v>
      </c>
      <c r="R882" s="14">
        <f>CHOOSE(CONTROL!$C$42, 91.5176, 91.5176) * CHOOSE(CONTROL!$C$21, $C$9, 100%, $E$9)</f>
        <v>91.517600000000002</v>
      </c>
      <c r="S882" s="14">
        <f>CHOOSE(CONTROL!$C$42, 88.1349, 88.1349) * CHOOSE(CONTROL!$C$21, $C$9, 100%, $E$9)</f>
        <v>88.134900000000002</v>
      </c>
      <c r="T88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56">
        <f>(1000*CHOOSE(CONTROL!$C$42, 695, 695)*CHOOSE(CONTROL!$C$42, 0.5599, 0.5599)*CHOOSE(CONTROL!$C$42, 30, 30))/1000000</f>
        <v>11.673914999999997</v>
      </c>
      <c r="V882" s="56">
        <f>(1000*CHOOSE(CONTROL!$C$42, 500, 500)*CHOOSE(CONTROL!$C$42, 0.275, 0.275)*CHOOSE(CONTROL!$C$42, 30, 30))/1000000</f>
        <v>4.125</v>
      </c>
      <c r="W882" s="56">
        <f>(1000*CHOOSE(CONTROL!$C$42, 0.1146, 0.1146)*CHOOSE(CONTROL!$C$42, 121.5, 121.5)*CHOOSE(CONTROL!$C$42, 30, 30))/1000000</f>
        <v>0.417717</v>
      </c>
      <c r="X882" s="56">
        <f>(30*0.1790888*245000/1000000)+(30*0.2374*100000/1000000)</f>
        <v>2.0285026799999999</v>
      </c>
      <c r="Y882" s="56"/>
      <c r="Z882" s="14"/>
      <c r="AA882" s="55"/>
      <c r="AB882" s="49">
        <f>(B882*194.205+C882*267.466+D882*133.845+E882*53.484+F882*40+G882*185+H882*0+I882*100+J882*300)/(194.205+267.466+133.845+53.484+0+40+185+100+300)</f>
        <v>91.806293716012561</v>
      </c>
      <c r="AC882" s="44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90.025735971223014</v>
      </c>
    </row>
    <row r="883" spans="1:29" ht="15.75" x14ac:dyDescent="0.25">
      <c r="A883" s="31">
        <v>67784</v>
      </c>
      <c r="B883" s="14">
        <f>CHOOSE(CONTROL!$C$42, 89.9726, 89.9726) * CHOOSE(CONTROL!$C$21, $C$9, 100%, $E$9)</f>
        <v>89.9726</v>
      </c>
      <c r="C883" s="14">
        <f>CHOOSE(CONTROL!$C$42, 89.9807, 89.9807) * CHOOSE(CONTROL!$C$21, $C$9, 100%, $E$9)</f>
        <v>89.980699999999999</v>
      </c>
      <c r="D883" s="14">
        <f>CHOOSE(CONTROL!$C$42, 90.2065, 90.2065) * CHOOSE(CONTROL!$C$21, $C$9, 100%, $E$9)</f>
        <v>90.206500000000005</v>
      </c>
      <c r="E883" s="14">
        <f>CHOOSE(CONTROL!$C$42, 90.2379, 90.2379) * CHOOSE(CONTROL!$C$21, $C$9, 100%, $E$9)</f>
        <v>90.237899999999996</v>
      </c>
      <c r="F883" s="14">
        <f>CHOOSE(CONTROL!$C$42, 89.9992, 89.9992)*CHOOSE(CONTROL!$C$21, $C$9, 100%, $E$9)</f>
        <v>89.999200000000002</v>
      </c>
      <c r="G883" s="14">
        <f>CHOOSE(CONTROL!$C$42, 90.0164, 90.0164)*CHOOSE(CONTROL!$C$21, $C$9, 100%, $E$9)</f>
        <v>90.016400000000004</v>
      </c>
      <c r="H883" s="14">
        <f>CHOOSE(CONTROL!$C$42, 90.2265, 90.2265) * CHOOSE(CONTROL!$C$21, $C$9, 100%, $E$9)</f>
        <v>90.226500000000001</v>
      </c>
      <c r="I883" s="14">
        <f>CHOOSE(CONTROL!$C$42, 90.286, 90.286)* CHOOSE(CONTROL!$C$21, $C$9, 100%, $E$9)</f>
        <v>90.286000000000001</v>
      </c>
      <c r="J883" s="14">
        <f>CHOOSE(CONTROL!$C$42, 89.9922, 89.9922)* CHOOSE(CONTROL!$C$21, $C$9, 100%, $E$9)</f>
        <v>89.992199999999997</v>
      </c>
      <c r="K883" s="52">
        <f>CHOOSE(CONTROL!$C$42, 90.2821, 90.2821) * CHOOSE(CONTROL!$C$21, $C$9, 100%, $E$9)</f>
        <v>90.2821</v>
      </c>
      <c r="L883" s="14">
        <f>CHOOSE(CONTROL!$C$42, 90.8135, 90.8135) * CHOOSE(CONTROL!$C$21, $C$9, 100%, $E$9)</f>
        <v>90.813500000000005</v>
      </c>
      <c r="M883" s="14">
        <f>CHOOSE(CONTROL!$C$42, 88.156, 88.156) * CHOOSE(CONTROL!$C$21, $C$9, 100%, $E$9)</f>
        <v>88.156000000000006</v>
      </c>
      <c r="N883" s="14">
        <f>CHOOSE(CONTROL!$C$42, 88.1729, 88.1729) * CHOOSE(CONTROL!$C$21, $C$9, 100%, $E$9)</f>
        <v>88.172899999999998</v>
      </c>
      <c r="O883" s="14">
        <f>CHOOSE(CONTROL!$C$42, 88.3856, 88.3856) * CHOOSE(CONTROL!$C$21, $C$9, 100%, $E$9)</f>
        <v>88.385599999999997</v>
      </c>
      <c r="P883" s="14">
        <f>CHOOSE(CONTROL!$C$42, 88.4382, 88.4382) * CHOOSE(CONTROL!$C$21, $C$9, 100%, $E$9)</f>
        <v>88.438199999999995</v>
      </c>
      <c r="Q883" s="14">
        <f>CHOOSE(CONTROL!$C$42, 88.9803, 88.9803) * CHOOSE(CONTROL!$C$21, $C$9, 100%, $E$9)</f>
        <v>88.9803</v>
      </c>
      <c r="R883" s="14">
        <f>CHOOSE(CONTROL!$C$42, 89.7897, 89.7897) * CHOOSE(CONTROL!$C$21, $C$9, 100%, $E$9)</f>
        <v>89.789699999999996</v>
      </c>
      <c r="S883" s="14">
        <f>CHOOSE(CONTROL!$C$42, 86.4441, 86.4441) * CHOOSE(CONTROL!$C$21, $C$9, 100%, $E$9)</f>
        <v>86.444100000000006</v>
      </c>
      <c r="T88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56">
        <f>(1000*CHOOSE(CONTROL!$C$42, 695, 695)*CHOOSE(CONTROL!$C$42, 0.5599, 0.5599)*CHOOSE(CONTROL!$C$42, 31, 31))/1000000</f>
        <v>12.063045499999998</v>
      </c>
      <c r="V883" s="56">
        <f>(1000*CHOOSE(CONTROL!$C$42, 500, 500)*CHOOSE(CONTROL!$C$42, 0.275, 0.275)*CHOOSE(CONTROL!$C$42, 31, 31))/1000000</f>
        <v>4.2625000000000002</v>
      </c>
      <c r="W883" s="56">
        <f>(1000*CHOOSE(CONTROL!$C$42, 0.1146, 0.1146)*CHOOSE(CONTROL!$C$42, 121.5, 121.5)*CHOOSE(CONTROL!$C$42, 31, 31))/1000000</f>
        <v>0.43164089999999994</v>
      </c>
      <c r="X883" s="56">
        <f>(31*0.1790888*245000/1000000)+(31*0.2374*100000/1000000)</f>
        <v>2.0961194359999999</v>
      </c>
      <c r="Y883" s="56"/>
      <c r="Z883" s="14"/>
      <c r="AA883" s="55"/>
      <c r="AB883" s="49">
        <f>(B883*194.205+C883*267.466+D883*133.845+E883*53.484+F883*40+G883*185+H883*0+I883*100+J883*300)/(194.205+267.466+133.845+53.484+0+40+185+100+300)</f>
        <v>90.046421919387768</v>
      </c>
      <c r="AC883" s="44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88.3016402877698</v>
      </c>
    </row>
    <row r="884" spans="1:29" ht="15.75" x14ac:dyDescent="0.25">
      <c r="A884" s="31">
        <v>67815</v>
      </c>
      <c r="B884" s="14">
        <f>CHOOSE(CONTROL!$C$42, 85.529, 85.529) * CHOOSE(CONTROL!$C$21, $C$9, 100%, $E$9)</f>
        <v>85.528999999999996</v>
      </c>
      <c r="C884" s="14">
        <f>CHOOSE(CONTROL!$C$42, 85.537, 85.537) * CHOOSE(CONTROL!$C$21, $C$9, 100%, $E$9)</f>
        <v>85.537000000000006</v>
      </c>
      <c r="D884" s="14">
        <f>CHOOSE(CONTROL!$C$42, 85.7628, 85.7628) * CHOOSE(CONTROL!$C$21, $C$9, 100%, $E$9)</f>
        <v>85.762799999999999</v>
      </c>
      <c r="E884" s="14">
        <f>CHOOSE(CONTROL!$C$42, 85.7943, 85.7943) * CHOOSE(CONTROL!$C$21, $C$9, 100%, $E$9)</f>
        <v>85.794300000000007</v>
      </c>
      <c r="F884" s="14">
        <f>CHOOSE(CONTROL!$C$42, 85.5558, 85.5558)*CHOOSE(CONTROL!$C$21, $C$9, 100%, $E$9)</f>
        <v>85.555800000000005</v>
      </c>
      <c r="G884" s="14">
        <f>CHOOSE(CONTROL!$C$42, 85.5731, 85.5731)*CHOOSE(CONTROL!$C$21, $C$9, 100%, $E$9)</f>
        <v>85.573099999999997</v>
      </c>
      <c r="H884" s="14">
        <f>CHOOSE(CONTROL!$C$42, 85.7829, 85.7829) * CHOOSE(CONTROL!$C$21, $C$9, 100%, $E$9)</f>
        <v>85.782899999999998</v>
      </c>
      <c r="I884" s="14">
        <f>CHOOSE(CONTROL!$C$42, 85.8284, 85.8284)* CHOOSE(CONTROL!$C$21, $C$9, 100%, $E$9)</f>
        <v>85.828400000000002</v>
      </c>
      <c r="J884" s="14">
        <f>CHOOSE(CONTROL!$C$42, 85.5488, 85.5488)* CHOOSE(CONTROL!$C$21, $C$9, 100%, $E$9)</f>
        <v>85.5488</v>
      </c>
      <c r="K884" s="52">
        <f>CHOOSE(CONTROL!$C$42, 85.8245, 85.8245) * CHOOSE(CONTROL!$C$21, $C$9, 100%, $E$9)</f>
        <v>85.8245</v>
      </c>
      <c r="L884" s="14">
        <f>CHOOSE(CONTROL!$C$42, 86.3699, 86.3699) * CHOOSE(CONTROL!$C$21, $C$9, 100%, $E$9)</f>
        <v>86.369900000000001</v>
      </c>
      <c r="M884" s="14">
        <f>CHOOSE(CONTROL!$C$42, 83.8037, 83.8037) * CHOOSE(CONTROL!$C$21, $C$9, 100%, $E$9)</f>
        <v>83.803700000000006</v>
      </c>
      <c r="N884" s="14">
        <f>CHOOSE(CONTROL!$C$42, 83.8206, 83.8206) * CHOOSE(CONTROL!$C$21, $C$9, 100%, $E$9)</f>
        <v>83.820599999999999</v>
      </c>
      <c r="O884" s="14">
        <f>CHOOSE(CONTROL!$C$42, 84.033, 84.033) * CHOOSE(CONTROL!$C$21, $C$9, 100%, $E$9)</f>
        <v>84.033000000000001</v>
      </c>
      <c r="P884" s="14">
        <f>CHOOSE(CONTROL!$C$42, 84.0722, 84.0722) * CHOOSE(CONTROL!$C$21, $C$9, 100%, $E$9)</f>
        <v>84.072199999999995</v>
      </c>
      <c r="Q884" s="14">
        <f>CHOOSE(CONTROL!$C$42, 84.6277, 84.6277) * CHOOSE(CONTROL!$C$21, $C$9, 100%, $E$9)</f>
        <v>84.627700000000004</v>
      </c>
      <c r="R884" s="14">
        <f>CHOOSE(CONTROL!$C$42, 85.4262, 85.4262) * CHOOSE(CONTROL!$C$21, $C$9, 100%, $E$9)</f>
        <v>85.426199999999994</v>
      </c>
      <c r="S884" s="14">
        <f>CHOOSE(CONTROL!$C$42, 82.1742, 82.1742) * CHOOSE(CONTROL!$C$21, $C$9, 100%, $E$9)</f>
        <v>82.174199999999999</v>
      </c>
      <c r="T88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56">
        <f>(1000*CHOOSE(CONTROL!$C$42, 695, 695)*CHOOSE(CONTROL!$C$42, 0.5599, 0.5599)*CHOOSE(CONTROL!$C$42, 31, 31))/1000000</f>
        <v>12.063045499999998</v>
      </c>
      <c r="V884" s="56">
        <f>(1000*CHOOSE(CONTROL!$C$42, 500, 500)*CHOOSE(CONTROL!$C$42, 0.275, 0.275)*CHOOSE(CONTROL!$C$42, 31, 31))/1000000</f>
        <v>4.2625000000000002</v>
      </c>
      <c r="W884" s="56">
        <f>(1000*CHOOSE(CONTROL!$C$42, 0.1146, 0.1146)*CHOOSE(CONTROL!$C$42, 121.5, 121.5)*CHOOSE(CONTROL!$C$42, 31, 31))/1000000</f>
        <v>0.43164089999999994</v>
      </c>
      <c r="X884" s="56">
        <f>(31*0.1790888*245000/1000000)+(31*0.2374*100000/1000000)</f>
        <v>2.0961194359999999</v>
      </c>
      <c r="Y884" s="56"/>
      <c r="Z884" s="14"/>
      <c r="AA884" s="55"/>
      <c r="AB884" s="49">
        <f>(B884*194.205+C884*267.466+D884*133.845+E884*53.484+F884*40+G884*185+H884*0+I884*100+J884*300)/(194.205+267.466+133.845+53.484+0+40+185+100+300)</f>
        <v>85.601788456985872</v>
      </c>
      <c r="AC884" s="44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83.947233093525185</v>
      </c>
    </row>
    <row r="885" spans="1:29" ht="15.75" x14ac:dyDescent="0.25">
      <c r="A885" s="31">
        <v>67845</v>
      </c>
      <c r="B885" s="14">
        <f>CHOOSE(CONTROL!$C$42, 80.0995, 80.0995) * CHOOSE(CONTROL!$C$21, $C$9, 100%, $E$9)</f>
        <v>80.099500000000006</v>
      </c>
      <c r="C885" s="14">
        <f>CHOOSE(CONTROL!$C$42, 80.1075, 80.1075) * CHOOSE(CONTROL!$C$21, $C$9, 100%, $E$9)</f>
        <v>80.107500000000002</v>
      </c>
      <c r="D885" s="14">
        <f>CHOOSE(CONTROL!$C$42, 80.3333, 80.3333) * CHOOSE(CONTROL!$C$21, $C$9, 100%, $E$9)</f>
        <v>80.333299999999994</v>
      </c>
      <c r="E885" s="14">
        <f>CHOOSE(CONTROL!$C$42, 80.3647, 80.3647) * CHOOSE(CONTROL!$C$21, $C$9, 100%, $E$9)</f>
        <v>80.364699999999999</v>
      </c>
      <c r="F885" s="14">
        <f>CHOOSE(CONTROL!$C$42, 80.1263, 80.1263)*CHOOSE(CONTROL!$C$21, $C$9, 100%, $E$9)</f>
        <v>80.126300000000001</v>
      </c>
      <c r="G885" s="14">
        <f>CHOOSE(CONTROL!$C$42, 80.1435, 80.1435)*CHOOSE(CONTROL!$C$21, $C$9, 100%, $E$9)</f>
        <v>80.143500000000003</v>
      </c>
      <c r="H885" s="14">
        <f>CHOOSE(CONTROL!$C$42, 80.3534, 80.3534) * CHOOSE(CONTROL!$C$21, $C$9, 100%, $E$9)</f>
        <v>80.353399999999993</v>
      </c>
      <c r="I885" s="14">
        <f>CHOOSE(CONTROL!$C$42, 80.3819, 80.3819)* CHOOSE(CONTROL!$C$21, $C$9, 100%, $E$9)</f>
        <v>80.381900000000002</v>
      </c>
      <c r="J885" s="14">
        <f>CHOOSE(CONTROL!$C$42, 80.1193, 80.1193)* CHOOSE(CONTROL!$C$21, $C$9, 100%, $E$9)</f>
        <v>80.119299999999996</v>
      </c>
      <c r="K885" s="52">
        <f>CHOOSE(CONTROL!$C$42, 80.378, 80.378) * CHOOSE(CONTROL!$C$21, $C$9, 100%, $E$9)</f>
        <v>80.378</v>
      </c>
      <c r="L885" s="14">
        <f>CHOOSE(CONTROL!$C$42, 80.9404, 80.9404) * CHOOSE(CONTROL!$C$21, $C$9, 100%, $E$9)</f>
        <v>80.940399999999997</v>
      </c>
      <c r="M885" s="14">
        <f>CHOOSE(CONTROL!$C$42, 78.4854, 78.4854) * CHOOSE(CONTROL!$C$21, $C$9, 100%, $E$9)</f>
        <v>78.485399999999998</v>
      </c>
      <c r="N885" s="14">
        <f>CHOOSE(CONTROL!$C$42, 78.5023, 78.5023) * CHOOSE(CONTROL!$C$21, $C$9, 100%, $E$9)</f>
        <v>78.502300000000005</v>
      </c>
      <c r="O885" s="14">
        <f>CHOOSE(CONTROL!$C$42, 78.7147, 78.7147) * CHOOSE(CONTROL!$C$21, $C$9, 100%, $E$9)</f>
        <v>78.714699999999993</v>
      </c>
      <c r="P885" s="14">
        <f>CHOOSE(CONTROL!$C$42, 78.7376, 78.7376) * CHOOSE(CONTROL!$C$21, $C$9, 100%, $E$9)</f>
        <v>78.7376</v>
      </c>
      <c r="Q885" s="14">
        <f>CHOOSE(CONTROL!$C$42, 79.3094, 79.3094) * CHOOSE(CONTROL!$C$21, $C$9, 100%, $E$9)</f>
        <v>79.309399999999997</v>
      </c>
      <c r="R885" s="14">
        <f>CHOOSE(CONTROL!$C$42, 80.0947, 80.0947) * CHOOSE(CONTROL!$C$21, $C$9, 100%, $E$9)</f>
        <v>80.094700000000003</v>
      </c>
      <c r="S885" s="14">
        <f>CHOOSE(CONTROL!$C$42, 76.9569, 76.9569) * CHOOSE(CONTROL!$C$21, $C$9, 100%, $E$9)</f>
        <v>76.956900000000005</v>
      </c>
      <c r="T88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56">
        <f>(1000*CHOOSE(CONTROL!$C$42, 695, 695)*CHOOSE(CONTROL!$C$42, 0.5599, 0.5599)*CHOOSE(CONTROL!$C$42, 30, 30))/1000000</f>
        <v>11.673914999999997</v>
      </c>
      <c r="V885" s="56">
        <f>(1000*CHOOSE(CONTROL!$C$42, 500, 500)*CHOOSE(CONTROL!$C$42, 0.275, 0.275)*CHOOSE(CONTROL!$C$42, 30, 30))/1000000</f>
        <v>4.125</v>
      </c>
      <c r="W885" s="56">
        <f>(1000*CHOOSE(CONTROL!$C$42, 0.1146, 0.1146)*CHOOSE(CONTROL!$C$42, 121.5, 121.5)*CHOOSE(CONTROL!$C$42, 30, 30))/1000000</f>
        <v>0.417717</v>
      </c>
      <c r="X885" s="56">
        <f>(30*0.1790888*245000/1000000)+(30*0.2374*100000/1000000)</f>
        <v>2.0285026799999999</v>
      </c>
      <c r="Y885" s="56"/>
      <c r="Z885" s="14"/>
      <c r="AA885" s="55"/>
      <c r="AB885" s="49">
        <f>(B885*194.205+C885*267.466+D885*133.845+E885*53.484+F885*40+G885*185+H885*0+I885*100+J885*300)/(194.205+267.466+133.845+53.484+0+40+185+100+300)</f>
        <v>80.170935357770801</v>
      </c>
      <c r="AC885" s="44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78.62658776978418</v>
      </c>
    </row>
    <row r="886" spans="1:29" ht="15.75" x14ac:dyDescent="0.25">
      <c r="A886" s="31">
        <v>67876</v>
      </c>
      <c r="B886" s="14">
        <f>CHOOSE(CONTROL!$C$42, 78.4716, 78.4716) * CHOOSE(CONTROL!$C$21, $C$9, 100%, $E$9)</f>
        <v>78.471599999999995</v>
      </c>
      <c r="C886" s="14">
        <f>CHOOSE(CONTROL!$C$42, 78.4769, 78.4769) * CHOOSE(CONTROL!$C$21, $C$9, 100%, $E$9)</f>
        <v>78.476900000000001</v>
      </c>
      <c r="D886" s="14">
        <f>CHOOSE(CONTROL!$C$42, 78.7077, 78.7077) * CHOOSE(CONTROL!$C$21, $C$9, 100%, $E$9)</f>
        <v>78.707700000000003</v>
      </c>
      <c r="E886" s="14">
        <f>CHOOSE(CONTROL!$C$42, 78.7368, 78.7368) * CHOOSE(CONTROL!$C$21, $C$9, 100%, $E$9)</f>
        <v>78.736800000000002</v>
      </c>
      <c r="F886" s="14">
        <f>CHOOSE(CONTROL!$C$42, 78.5005, 78.5005)*CHOOSE(CONTROL!$C$21, $C$9, 100%, $E$9)</f>
        <v>78.500500000000002</v>
      </c>
      <c r="G886" s="14">
        <f>CHOOSE(CONTROL!$C$42, 78.5176, 78.5176)*CHOOSE(CONTROL!$C$21, $C$9, 100%, $E$9)</f>
        <v>78.517600000000002</v>
      </c>
      <c r="H886" s="14">
        <f>CHOOSE(CONTROL!$C$42, 78.7273, 78.7273) * CHOOSE(CONTROL!$C$21, $C$9, 100%, $E$9)</f>
        <v>78.7273</v>
      </c>
      <c r="I886" s="14">
        <f>CHOOSE(CONTROL!$C$42, 78.7507, 78.7507)* CHOOSE(CONTROL!$C$21, $C$9, 100%, $E$9)</f>
        <v>78.750699999999995</v>
      </c>
      <c r="J886" s="14">
        <f>CHOOSE(CONTROL!$C$42, 78.4935, 78.4935)* CHOOSE(CONTROL!$C$21, $C$9, 100%, $E$9)</f>
        <v>78.493499999999997</v>
      </c>
      <c r="K886" s="52">
        <f>CHOOSE(CONTROL!$C$42, 78.7468, 78.7468) * CHOOSE(CONTROL!$C$21, $C$9, 100%, $E$9)</f>
        <v>78.746799999999993</v>
      </c>
      <c r="L886" s="14">
        <f>CHOOSE(CONTROL!$C$42, 79.3143, 79.3143) * CHOOSE(CONTROL!$C$21, $C$9, 100%, $E$9)</f>
        <v>79.314300000000003</v>
      </c>
      <c r="M886" s="14">
        <f>CHOOSE(CONTROL!$C$42, 76.8929, 76.8929) * CHOOSE(CONTROL!$C$21, $C$9, 100%, $E$9)</f>
        <v>76.892899999999997</v>
      </c>
      <c r="N886" s="14">
        <f>CHOOSE(CONTROL!$C$42, 76.9096, 76.9096) * CHOOSE(CONTROL!$C$21, $C$9, 100%, $E$9)</f>
        <v>76.909599999999998</v>
      </c>
      <c r="O886" s="14">
        <f>CHOOSE(CONTROL!$C$42, 77.1219, 77.1219) * CHOOSE(CONTROL!$C$21, $C$9, 100%, $E$9)</f>
        <v>77.121899999999997</v>
      </c>
      <c r="P886" s="14">
        <f>CHOOSE(CONTROL!$C$42, 77.1399, 77.1399) * CHOOSE(CONTROL!$C$21, $C$9, 100%, $E$9)</f>
        <v>77.139899999999997</v>
      </c>
      <c r="Q886" s="14">
        <f>CHOOSE(CONTROL!$C$42, 77.7166, 77.7166) * CHOOSE(CONTROL!$C$21, $C$9, 100%, $E$9)</f>
        <v>77.7166</v>
      </c>
      <c r="R886" s="14">
        <f>CHOOSE(CONTROL!$C$42, 78.4979, 78.4979) * CHOOSE(CONTROL!$C$21, $C$9, 100%, $E$9)</f>
        <v>78.497900000000001</v>
      </c>
      <c r="S886" s="14">
        <f>CHOOSE(CONTROL!$C$42, 75.3944, 75.3944) * CHOOSE(CONTROL!$C$21, $C$9, 100%, $E$9)</f>
        <v>75.394400000000005</v>
      </c>
      <c r="T88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56">
        <f>(1000*CHOOSE(CONTROL!$C$42, 695, 695)*CHOOSE(CONTROL!$C$42, 0.5599, 0.5599)*CHOOSE(CONTROL!$C$42, 31, 31))/1000000</f>
        <v>12.063045499999998</v>
      </c>
      <c r="V886" s="56">
        <f>(1000*CHOOSE(CONTROL!$C$42, 500, 500)*CHOOSE(CONTROL!$C$42, 0.275, 0.275)*CHOOSE(CONTROL!$C$42, 31, 31))/1000000</f>
        <v>4.2625000000000002</v>
      </c>
      <c r="W886" s="56">
        <f>(1000*CHOOSE(CONTROL!$C$42, 0.1146, 0.1146)*CHOOSE(CONTROL!$C$42, 121.5, 121.5)*CHOOSE(CONTROL!$C$42, 31, 31))/1000000</f>
        <v>0.43164089999999994</v>
      </c>
      <c r="X886" s="56">
        <f>(31*0.1790888*245000/1000000)+(31*0.2374*100000/1000000)</f>
        <v>2.0961194359999999</v>
      </c>
      <c r="Y886" s="56"/>
      <c r="Z886" s="14"/>
      <c r="AA886" s="55"/>
      <c r="AB886" s="49">
        <f>(B886*131.881+C886*277.167+D886*79.08+E886*125.872+F886*40+G886*185+H886*0+I886*100+J886*300)/(131.881+277.167+79.08+125.872+0+40+185+100+300)</f>
        <v>78.550427302259891</v>
      </c>
      <c r="AC886" s="44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77.033192086330942</v>
      </c>
    </row>
    <row r="887" spans="1:29" ht="15.75" x14ac:dyDescent="0.25">
      <c r="A887" s="31">
        <v>67906</v>
      </c>
      <c r="B887" s="14">
        <f>CHOOSE(CONTROL!$C$42, 80.5382, 80.5382) * CHOOSE(CONTROL!$C$21, $C$9, 100%, $E$9)</f>
        <v>80.538200000000003</v>
      </c>
      <c r="C887" s="14">
        <f>CHOOSE(CONTROL!$C$42, 80.5433, 80.5433) * CHOOSE(CONTROL!$C$21, $C$9, 100%, $E$9)</f>
        <v>80.543300000000002</v>
      </c>
      <c r="D887" s="14">
        <f>CHOOSE(CONTROL!$C$42, 80.6123, 80.6123) * CHOOSE(CONTROL!$C$21, $C$9, 100%, $E$9)</f>
        <v>80.612300000000005</v>
      </c>
      <c r="E887" s="14">
        <f>CHOOSE(CONTROL!$C$42, 80.6464, 80.6464) * CHOOSE(CONTROL!$C$21, $C$9, 100%, $E$9)</f>
        <v>80.6464</v>
      </c>
      <c r="F887" s="14">
        <f>CHOOSE(CONTROL!$C$42, 80.5738, 80.5738)*CHOOSE(CONTROL!$C$21, $C$9, 100%, $E$9)</f>
        <v>80.573800000000006</v>
      </c>
      <c r="G887" s="14">
        <f>CHOOSE(CONTROL!$C$42, 80.5912, 80.5912)*CHOOSE(CONTROL!$C$21, $C$9, 100%, $E$9)</f>
        <v>80.591200000000001</v>
      </c>
      <c r="H887" s="14">
        <f>CHOOSE(CONTROL!$C$42, 80.6356, 80.6356) * CHOOSE(CONTROL!$C$21, $C$9, 100%, $E$9)</f>
        <v>80.635599999999997</v>
      </c>
      <c r="I887" s="14">
        <f>CHOOSE(CONTROL!$C$42, 80.8268, 80.8268)* CHOOSE(CONTROL!$C$21, $C$9, 100%, $E$9)</f>
        <v>80.826800000000006</v>
      </c>
      <c r="J887" s="14">
        <f>CHOOSE(CONTROL!$C$42, 80.5668, 80.5668)* CHOOSE(CONTROL!$C$21, $C$9, 100%, $E$9)</f>
        <v>80.566800000000001</v>
      </c>
      <c r="K887" s="52">
        <f>CHOOSE(CONTROL!$C$42, 80.8229, 80.8229) * CHOOSE(CONTROL!$C$21, $C$9, 100%, $E$9)</f>
        <v>80.822900000000004</v>
      </c>
      <c r="L887" s="14">
        <f>CHOOSE(CONTROL!$C$42, 81.2226, 81.2226) * CHOOSE(CONTROL!$C$21, $C$9, 100%, $E$9)</f>
        <v>81.2226</v>
      </c>
      <c r="M887" s="14">
        <f>CHOOSE(CONTROL!$C$42, 78.9238, 78.9238) * CHOOSE(CONTROL!$C$21, $C$9, 100%, $E$9)</f>
        <v>78.9238</v>
      </c>
      <c r="N887" s="14">
        <f>CHOOSE(CONTROL!$C$42, 78.9408, 78.9408) * CHOOSE(CONTROL!$C$21, $C$9, 100%, $E$9)</f>
        <v>78.940799999999996</v>
      </c>
      <c r="O887" s="14">
        <f>CHOOSE(CONTROL!$C$42, 78.9911, 78.9911) * CHOOSE(CONTROL!$C$21, $C$9, 100%, $E$9)</f>
        <v>78.991100000000003</v>
      </c>
      <c r="P887" s="14">
        <f>CHOOSE(CONTROL!$C$42, 79.1734, 79.1734) * CHOOSE(CONTROL!$C$21, $C$9, 100%, $E$9)</f>
        <v>79.173400000000001</v>
      </c>
      <c r="Q887" s="14">
        <f>CHOOSE(CONTROL!$C$42, 79.5858, 79.5858) * CHOOSE(CONTROL!$C$21, $C$9, 100%, $E$9)</f>
        <v>79.585800000000006</v>
      </c>
      <c r="R887" s="14">
        <f>CHOOSE(CONTROL!$C$42, 80.3718, 80.3718) * CHOOSE(CONTROL!$C$21, $C$9, 100%, $E$9)</f>
        <v>80.371799999999993</v>
      </c>
      <c r="S887" s="14">
        <f>CHOOSE(CONTROL!$C$42, 77.3807, 77.3807) * CHOOSE(CONTROL!$C$21, $C$9, 100%, $E$9)</f>
        <v>77.380700000000004</v>
      </c>
      <c r="T88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56">
        <f>(1000*CHOOSE(CONTROL!$C$42, 695, 695)*CHOOSE(CONTROL!$C$42, 0.5599, 0.5599)*CHOOSE(CONTROL!$C$42, 30, 30))/1000000</f>
        <v>11.673914999999997</v>
      </c>
      <c r="V887" s="56">
        <f>(1000*CHOOSE(CONTROL!$C$42, 500, 500)*CHOOSE(CONTROL!$C$42, 0.275, 0.275)*CHOOSE(CONTROL!$C$42, 30, 30))/1000000</f>
        <v>4.125</v>
      </c>
      <c r="W887" s="56">
        <f>(1000*CHOOSE(CONTROL!$C$42, 0.1146, 0.1146)*CHOOSE(CONTROL!$C$42, 121.5, 121.5)*CHOOSE(CONTROL!$C$42, 30, 30))/1000000</f>
        <v>0.417717</v>
      </c>
      <c r="X887" s="56">
        <f>(30*0.1790888*100000/1000000)+(30*0.2374*100000/1000000)</f>
        <v>1.2494664</v>
      </c>
      <c r="Y887" s="56"/>
      <c r="Z887" s="14"/>
      <c r="AA887" s="55"/>
      <c r="AB887" s="49">
        <f>(B887*122.58+C887*297.941+D887*89.177+E887*40.302+F887*40+G887*160+H887*0+I887*100+J887*300)/(122.58+297.941+89.177+40.302+0+40+160+100+300)</f>
        <v>80.590227992347835</v>
      </c>
      <c r="AC887" s="44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78.991194964028779</v>
      </c>
    </row>
    <row r="888" spans="1:29" ht="15.75" x14ac:dyDescent="0.25">
      <c r="A888" s="31">
        <v>67937</v>
      </c>
      <c r="B888" s="14">
        <f>CHOOSE(CONTROL!$C$42, 86.0287, 86.0287) * CHOOSE(CONTROL!$C$21, $C$9, 100%, $E$9)</f>
        <v>86.028700000000001</v>
      </c>
      <c r="C888" s="14">
        <f>CHOOSE(CONTROL!$C$42, 86.0337, 86.0337) * CHOOSE(CONTROL!$C$21, $C$9, 100%, $E$9)</f>
        <v>86.033699999999996</v>
      </c>
      <c r="D888" s="14">
        <f>CHOOSE(CONTROL!$C$42, 86.1027, 86.1027) * CHOOSE(CONTROL!$C$21, $C$9, 100%, $E$9)</f>
        <v>86.102699999999999</v>
      </c>
      <c r="E888" s="14">
        <f>CHOOSE(CONTROL!$C$42, 86.1368, 86.1368) * CHOOSE(CONTROL!$C$21, $C$9, 100%, $E$9)</f>
        <v>86.136799999999994</v>
      </c>
      <c r="F888" s="14">
        <f>CHOOSE(CONTROL!$C$42, 86.0665, 86.0665)*CHOOSE(CONTROL!$C$21, $C$9, 100%, $E$9)</f>
        <v>86.066500000000005</v>
      </c>
      <c r="G888" s="14">
        <f>CHOOSE(CONTROL!$C$42, 86.0845, 86.0845)*CHOOSE(CONTROL!$C$21, $C$9, 100%, $E$9)</f>
        <v>86.084500000000006</v>
      </c>
      <c r="H888" s="14">
        <f>CHOOSE(CONTROL!$C$42, 86.126, 86.126) * CHOOSE(CONTROL!$C$21, $C$9, 100%, $E$9)</f>
        <v>86.126000000000005</v>
      </c>
      <c r="I888" s="14">
        <f>CHOOSE(CONTROL!$C$42, 86.3344, 86.3344)* CHOOSE(CONTROL!$C$21, $C$9, 100%, $E$9)</f>
        <v>86.334400000000002</v>
      </c>
      <c r="J888" s="14">
        <f>CHOOSE(CONTROL!$C$42, 86.0595, 86.0595)* CHOOSE(CONTROL!$C$21, $C$9, 100%, $E$9)</f>
        <v>86.0595</v>
      </c>
      <c r="K888" s="52">
        <f>CHOOSE(CONTROL!$C$42, 86.3305, 86.3305) * CHOOSE(CONTROL!$C$21, $C$9, 100%, $E$9)</f>
        <v>86.330500000000001</v>
      </c>
      <c r="L888" s="14">
        <f>CHOOSE(CONTROL!$C$42, 86.713, 86.713) * CHOOSE(CONTROL!$C$21, $C$9, 100%, $E$9)</f>
        <v>86.712999999999994</v>
      </c>
      <c r="M888" s="14">
        <f>CHOOSE(CONTROL!$C$42, 84.3039, 84.3039) * CHOOSE(CONTROL!$C$21, $C$9, 100%, $E$9)</f>
        <v>84.303899999999999</v>
      </c>
      <c r="N888" s="14">
        <f>CHOOSE(CONTROL!$C$42, 84.3215, 84.3215) * CHOOSE(CONTROL!$C$21, $C$9, 100%, $E$9)</f>
        <v>84.3215</v>
      </c>
      <c r="O888" s="14">
        <f>CHOOSE(CONTROL!$C$42, 84.3691, 84.3691) * CHOOSE(CONTROL!$C$21, $C$9, 100%, $E$9)</f>
        <v>84.369100000000003</v>
      </c>
      <c r="P888" s="14">
        <f>CHOOSE(CONTROL!$C$42, 84.5678, 84.5678) * CHOOSE(CONTROL!$C$21, $C$9, 100%, $E$9)</f>
        <v>84.567800000000005</v>
      </c>
      <c r="Q888" s="14">
        <f>CHOOSE(CONTROL!$C$42, 84.9638, 84.9638) * CHOOSE(CONTROL!$C$21, $C$9, 100%, $E$9)</f>
        <v>84.963800000000006</v>
      </c>
      <c r="R888" s="14">
        <f>CHOOSE(CONTROL!$C$42, 85.7632, 85.7632) * CHOOSE(CONTROL!$C$21, $C$9, 100%, $E$9)</f>
        <v>85.763199999999998</v>
      </c>
      <c r="S888" s="14">
        <f>CHOOSE(CONTROL!$C$42, 82.6564, 82.6564) * CHOOSE(CONTROL!$C$21, $C$9, 100%, $E$9)</f>
        <v>82.656400000000005</v>
      </c>
      <c r="T88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56">
        <f>(1000*CHOOSE(CONTROL!$C$42, 695, 695)*CHOOSE(CONTROL!$C$42, 0.5599, 0.5599)*CHOOSE(CONTROL!$C$42, 31, 31))/1000000</f>
        <v>12.063045499999998</v>
      </c>
      <c r="V888" s="56">
        <f>(1000*CHOOSE(CONTROL!$C$42, 500, 500)*CHOOSE(CONTROL!$C$42, 0.275, 0.275)*CHOOSE(CONTROL!$C$42, 31, 31))/1000000</f>
        <v>4.2625000000000002</v>
      </c>
      <c r="W888" s="56">
        <f>(1000*CHOOSE(CONTROL!$C$42, 0.1146, 0.1146)*CHOOSE(CONTROL!$C$42, 121.5, 121.5)*CHOOSE(CONTROL!$C$42, 31, 31))/1000000</f>
        <v>0.43164089999999994</v>
      </c>
      <c r="X888" s="56">
        <f>(31*0.1790888*100000/1000000)+(31*0.2374*100000/1000000)</f>
        <v>1.2911152800000001</v>
      </c>
      <c r="Y888" s="56"/>
      <c r="Z888" s="14"/>
      <c r="AA888" s="55"/>
      <c r="AB888" s="49">
        <f>(B888*122.58+C888*297.941+D888*89.177+E888*40.302+F888*40+G888*160+H888*0+I888*100+J888*300)/(122.58+297.941+89.177+40.302+0+40+160+100+300)</f>
        <v>86.083217781913035</v>
      </c>
      <c r="AC888" s="44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84.372435251798564</v>
      </c>
    </row>
    <row r="889" spans="1:29" ht="15.75" x14ac:dyDescent="0.25">
      <c r="A889" s="31">
        <v>67968</v>
      </c>
      <c r="B889" s="14">
        <f>CHOOSE(CONTROL!$C$42, 93.1597, 93.1597) * CHOOSE(CONTROL!$C$21, $C$9, 100%, $E$9)</f>
        <v>93.159700000000001</v>
      </c>
      <c r="C889" s="14">
        <f>CHOOSE(CONTROL!$C$42, 93.1648, 93.1648) * CHOOSE(CONTROL!$C$21, $C$9, 100%, $E$9)</f>
        <v>93.1648</v>
      </c>
      <c r="D889" s="14">
        <f>CHOOSE(CONTROL!$C$42, 93.2442, 93.2442) * CHOOSE(CONTROL!$C$21, $C$9, 100%, $E$9)</f>
        <v>93.244200000000006</v>
      </c>
      <c r="E889" s="14">
        <f>CHOOSE(CONTROL!$C$42, 93.2783, 93.2783) * CHOOSE(CONTROL!$C$21, $C$9, 100%, $E$9)</f>
        <v>93.278300000000002</v>
      </c>
      <c r="F889" s="14">
        <f>CHOOSE(CONTROL!$C$42, 93.1827, 93.1827)*CHOOSE(CONTROL!$C$21, $C$9, 100%, $E$9)</f>
        <v>93.182699999999997</v>
      </c>
      <c r="G889" s="14">
        <f>CHOOSE(CONTROL!$C$42, 93.2002, 93.2002)*CHOOSE(CONTROL!$C$21, $C$9, 100%, $E$9)</f>
        <v>93.200199999999995</v>
      </c>
      <c r="H889" s="14">
        <f>CHOOSE(CONTROL!$C$42, 93.2675, 93.2675) * CHOOSE(CONTROL!$C$21, $C$9, 100%, $E$9)</f>
        <v>93.267499999999998</v>
      </c>
      <c r="I889" s="14">
        <f>CHOOSE(CONTROL!$C$42, 93.4868, 93.4868)* CHOOSE(CONTROL!$C$21, $C$9, 100%, $E$9)</f>
        <v>93.486800000000002</v>
      </c>
      <c r="J889" s="14">
        <f>CHOOSE(CONTROL!$C$42, 93.1757, 93.1757)* CHOOSE(CONTROL!$C$21, $C$9, 100%, $E$9)</f>
        <v>93.175700000000006</v>
      </c>
      <c r="K889" s="52">
        <f>CHOOSE(CONTROL!$C$42, 93.4829, 93.4829) * CHOOSE(CONTROL!$C$21, $C$9, 100%, $E$9)</f>
        <v>93.482900000000001</v>
      </c>
      <c r="L889" s="14">
        <f>CHOOSE(CONTROL!$C$42, 93.8545, 93.8545) * CHOOSE(CONTROL!$C$21, $C$9, 100%, $E$9)</f>
        <v>93.854500000000002</v>
      </c>
      <c r="M889" s="14">
        <f>CHOOSE(CONTROL!$C$42, 91.2743, 91.2743) * CHOOSE(CONTROL!$C$21, $C$9, 100%, $E$9)</f>
        <v>91.274299999999997</v>
      </c>
      <c r="N889" s="14">
        <f>CHOOSE(CONTROL!$C$42, 91.2915, 91.2915) * CHOOSE(CONTROL!$C$21, $C$9, 100%, $E$9)</f>
        <v>91.291499999999999</v>
      </c>
      <c r="O889" s="14">
        <f>CHOOSE(CONTROL!$C$42, 91.3642, 91.3642) * CHOOSE(CONTROL!$C$21, $C$9, 100%, $E$9)</f>
        <v>91.364199999999997</v>
      </c>
      <c r="P889" s="14">
        <f>CHOOSE(CONTROL!$C$42, 91.5732, 91.5732) * CHOOSE(CONTROL!$C$21, $C$9, 100%, $E$9)</f>
        <v>91.5732</v>
      </c>
      <c r="Q889" s="14">
        <f>CHOOSE(CONTROL!$C$42, 91.9589, 91.9589) * CHOOSE(CONTROL!$C$21, $C$9, 100%, $E$9)</f>
        <v>91.9589</v>
      </c>
      <c r="R889" s="14">
        <f>CHOOSE(CONTROL!$C$42, 92.7758, 92.7758) * CHOOSE(CONTROL!$C$21, $C$9, 100%, $E$9)</f>
        <v>92.775800000000004</v>
      </c>
      <c r="S889" s="14">
        <f>CHOOSE(CONTROL!$C$42, 89.5086, 89.5086) * CHOOSE(CONTROL!$C$21, $C$9, 100%, $E$9)</f>
        <v>89.508600000000001</v>
      </c>
      <c r="T88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56">
        <f>(1000*CHOOSE(CONTROL!$C$42, 695, 695)*CHOOSE(CONTROL!$C$42, 0.5599, 0.5599)*CHOOSE(CONTROL!$C$42, 31, 31))/1000000</f>
        <v>12.063045499999998</v>
      </c>
      <c r="V889" s="56">
        <f>(1000*CHOOSE(CONTROL!$C$42, 500, 500)*CHOOSE(CONTROL!$C$42, 0.275, 0.275)*CHOOSE(CONTROL!$C$42, 31, 31))/1000000</f>
        <v>4.2625000000000002</v>
      </c>
      <c r="W889" s="56">
        <f>(1000*CHOOSE(CONTROL!$C$42, 0.1146, 0.1146)*CHOOSE(CONTROL!$C$42, 121.5, 121.5)*CHOOSE(CONTROL!$C$42, 31, 31))/1000000</f>
        <v>0.43164089999999994</v>
      </c>
      <c r="X889" s="56">
        <f>(31*0.1790888*100000/1000000)+(31*0.2374*100000/1000000)</f>
        <v>1.2911152800000001</v>
      </c>
      <c r="Y889" s="56"/>
      <c r="Z889" s="14"/>
      <c r="AA889" s="55"/>
      <c r="AB889" s="49">
        <f>(B889*122.58+C889*297.941+D889*89.177+E889*40.302+F889*40+G889*160+H889*0+I889*100+J889*300)/(122.58+297.941+89.177+40.302+0+40+160+100+300)</f>
        <v>93.210782411130438</v>
      </c>
      <c r="AC889" s="44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91.359043165467625</v>
      </c>
    </row>
    <row r="890" spans="1:29" ht="15.75" x14ac:dyDescent="0.25">
      <c r="A890" s="31">
        <v>67996</v>
      </c>
      <c r="B890" s="14">
        <f>CHOOSE(CONTROL!$C$42, 94.8179, 94.8179) * CHOOSE(CONTROL!$C$21, $C$9, 100%, $E$9)</f>
        <v>94.817899999999995</v>
      </c>
      <c r="C890" s="14">
        <f>CHOOSE(CONTROL!$C$42, 94.823, 94.823) * CHOOSE(CONTROL!$C$21, $C$9, 100%, $E$9)</f>
        <v>94.822999999999993</v>
      </c>
      <c r="D890" s="14">
        <f>CHOOSE(CONTROL!$C$42, 94.9024, 94.9024) * CHOOSE(CONTROL!$C$21, $C$9, 100%, $E$9)</f>
        <v>94.9024</v>
      </c>
      <c r="E890" s="14">
        <f>CHOOSE(CONTROL!$C$42, 94.9365, 94.9365) * CHOOSE(CONTROL!$C$21, $C$9, 100%, $E$9)</f>
        <v>94.936499999999995</v>
      </c>
      <c r="F890" s="14">
        <f>CHOOSE(CONTROL!$C$42, 94.8407, 94.8407)*CHOOSE(CONTROL!$C$21, $C$9, 100%, $E$9)</f>
        <v>94.840699999999998</v>
      </c>
      <c r="G890" s="14">
        <f>CHOOSE(CONTROL!$C$42, 94.8582, 94.8582)*CHOOSE(CONTROL!$C$21, $C$9, 100%, $E$9)</f>
        <v>94.858199999999997</v>
      </c>
      <c r="H890" s="14">
        <f>CHOOSE(CONTROL!$C$42, 94.9257, 94.9257) * CHOOSE(CONTROL!$C$21, $C$9, 100%, $E$9)</f>
        <v>94.925700000000006</v>
      </c>
      <c r="I890" s="14">
        <f>CHOOSE(CONTROL!$C$42, 95.1502, 95.1502)* CHOOSE(CONTROL!$C$21, $C$9, 100%, $E$9)</f>
        <v>95.150199999999998</v>
      </c>
      <c r="J890" s="14">
        <f>CHOOSE(CONTROL!$C$42, 94.8337, 94.8337)* CHOOSE(CONTROL!$C$21, $C$9, 100%, $E$9)</f>
        <v>94.833699999999993</v>
      </c>
      <c r="K890" s="52">
        <f>CHOOSE(CONTROL!$C$42, 95.1463, 95.1463) * CHOOSE(CONTROL!$C$21, $C$9, 100%, $E$9)</f>
        <v>95.146299999999997</v>
      </c>
      <c r="L890" s="14">
        <f>CHOOSE(CONTROL!$C$42, 95.5127, 95.5127) * CHOOSE(CONTROL!$C$21, $C$9, 100%, $E$9)</f>
        <v>95.512699999999995</v>
      </c>
      <c r="M890" s="14">
        <f>CHOOSE(CONTROL!$C$42, 92.8983, 92.8983) * CHOOSE(CONTROL!$C$21, $C$9, 100%, $E$9)</f>
        <v>92.898300000000006</v>
      </c>
      <c r="N890" s="14">
        <f>CHOOSE(CONTROL!$C$42, 92.9154, 92.9154) * CHOOSE(CONTROL!$C$21, $C$9, 100%, $E$9)</f>
        <v>92.915400000000005</v>
      </c>
      <c r="O890" s="14">
        <f>CHOOSE(CONTROL!$C$42, 92.9884, 92.9884) * CHOOSE(CONTROL!$C$21, $C$9, 100%, $E$9)</f>
        <v>92.988399999999999</v>
      </c>
      <c r="P890" s="14">
        <f>CHOOSE(CONTROL!$C$42, 93.2024, 93.2024) * CHOOSE(CONTROL!$C$21, $C$9, 100%, $E$9)</f>
        <v>93.202399999999997</v>
      </c>
      <c r="Q890" s="14">
        <f>CHOOSE(CONTROL!$C$42, 93.5831, 93.5831) * CHOOSE(CONTROL!$C$21, $C$9, 100%, $E$9)</f>
        <v>93.583100000000002</v>
      </c>
      <c r="R890" s="14">
        <f>CHOOSE(CONTROL!$C$42, 94.4041, 94.4041) * CHOOSE(CONTROL!$C$21, $C$9, 100%, $E$9)</f>
        <v>94.4041</v>
      </c>
      <c r="S890" s="14">
        <f>CHOOSE(CONTROL!$C$42, 91.102, 91.102) * CHOOSE(CONTROL!$C$21, $C$9, 100%, $E$9)</f>
        <v>91.102000000000004</v>
      </c>
      <c r="T89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56">
        <f>(1000*CHOOSE(CONTROL!$C$42, 695, 695)*CHOOSE(CONTROL!$C$42, 0.5599, 0.5599)*CHOOSE(CONTROL!$C$42, 28, 28))/1000000</f>
        <v>10.895653999999999</v>
      </c>
      <c r="V890" s="56">
        <f>(1000*CHOOSE(CONTROL!$C$42, 500, 500)*CHOOSE(CONTROL!$C$42, 0.275, 0.275)*CHOOSE(CONTROL!$C$42, 28, 28))/1000000</f>
        <v>3.85</v>
      </c>
      <c r="W890" s="56">
        <f>(1000*CHOOSE(CONTROL!$C$42, 0.1146, 0.1146)*CHOOSE(CONTROL!$C$42, 121.5, 121.5)*CHOOSE(CONTROL!$C$42, 28, 28))/1000000</f>
        <v>0.38986920000000003</v>
      </c>
      <c r="X890" s="56">
        <f>(28*0.1790888*100000/1000000)+(28*0.2374*100000/1000000)</f>
        <v>1.16616864</v>
      </c>
      <c r="Y890" s="56"/>
      <c r="Z890" s="14"/>
      <c r="AA890" s="55"/>
      <c r="AB890" s="49">
        <f>(B890*122.58+C890*297.941+D890*89.177+E890*40.302+F890*40+G890*160+H890*0+I890*100+J890*300)/(122.58+297.941+89.177+40.302+0+40+160+100+300)</f>
        <v>94.869347628521737</v>
      </c>
      <c r="AC890" s="44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92.983876258992808</v>
      </c>
    </row>
    <row r="891" spans="1:29" ht="15.75" x14ac:dyDescent="0.25">
      <c r="A891" s="31">
        <v>68027</v>
      </c>
      <c r="B891" s="14">
        <f>CHOOSE(CONTROL!$C$42, 92.1262, 92.1262) * CHOOSE(CONTROL!$C$21, $C$9, 100%, $E$9)</f>
        <v>92.126199999999997</v>
      </c>
      <c r="C891" s="14">
        <f>CHOOSE(CONTROL!$C$42, 92.1313, 92.1313) * CHOOSE(CONTROL!$C$21, $C$9, 100%, $E$9)</f>
        <v>92.131299999999996</v>
      </c>
      <c r="D891" s="14">
        <f>CHOOSE(CONTROL!$C$42, 92.2107, 92.2107) * CHOOSE(CONTROL!$C$21, $C$9, 100%, $E$9)</f>
        <v>92.210700000000003</v>
      </c>
      <c r="E891" s="14">
        <f>CHOOSE(CONTROL!$C$42, 92.2448, 92.2448) * CHOOSE(CONTROL!$C$21, $C$9, 100%, $E$9)</f>
        <v>92.244799999999998</v>
      </c>
      <c r="F891" s="14">
        <f>CHOOSE(CONTROL!$C$42, 92.1483, 92.1483)*CHOOSE(CONTROL!$C$21, $C$9, 100%, $E$9)</f>
        <v>92.148300000000006</v>
      </c>
      <c r="G891" s="14">
        <f>CHOOSE(CONTROL!$C$42, 92.1655, 92.1655)*CHOOSE(CONTROL!$C$21, $C$9, 100%, $E$9)</f>
        <v>92.165499999999994</v>
      </c>
      <c r="H891" s="14">
        <f>CHOOSE(CONTROL!$C$42, 92.234, 92.234) * CHOOSE(CONTROL!$C$21, $C$9, 100%, $E$9)</f>
        <v>92.233999999999995</v>
      </c>
      <c r="I891" s="14">
        <f>CHOOSE(CONTROL!$C$42, 92.45, 92.45)* CHOOSE(CONTROL!$C$21, $C$9, 100%, $E$9)</f>
        <v>92.45</v>
      </c>
      <c r="J891" s="14">
        <f>CHOOSE(CONTROL!$C$42, 92.1413, 92.1413)* CHOOSE(CONTROL!$C$21, $C$9, 100%, $E$9)</f>
        <v>92.141300000000001</v>
      </c>
      <c r="K891" s="52">
        <f>CHOOSE(CONTROL!$C$42, 92.4462, 92.4462) * CHOOSE(CONTROL!$C$21, $C$9, 100%, $E$9)</f>
        <v>92.446200000000005</v>
      </c>
      <c r="L891" s="14">
        <f>CHOOSE(CONTROL!$C$42, 92.821, 92.821) * CHOOSE(CONTROL!$C$21, $C$9, 100%, $E$9)</f>
        <v>92.820999999999998</v>
      </c>
      <c r="M891" s="14">
        <f>CHOOSE(CONTROL!$C$42, 90.2611, 90.2611) * CHOOSE(CONTROL!$C$21, $C$9, 100%, $E$9)</f>
        <v>90.261099999999999</v>
      </c>
      <c r="N891" s="14">
        <f>CHOOSE(CONTROL!$C$42, 90.278, 90.278) * CHOOSE(CONTROL!$C$21, $C$9, 100%, $E$9)</f>
        <v>90.278000000000006</v>
      </c>
      <c r="O891" s="14">
        <f>CHOOSE(CONTROL!$C$42, 90.3519, 90.3519) * CHOOSE(CONTROL!$C$21, $C$9, 100%, $E$9)</f>
        <v>90.351900000000001</v>
      </c>
      <c r="P891" s="14">
        <f>CHOOSE(CONTROL!$C$42, 90.5578, 90.5578) * CHOOSE(CONTROL!$C$21, $C$9, 100%, $E$9)</f>
        <v>90.5578</v>
      </c>
      <c r="Q891" s="14">
        <f>CHOOSE(CONTROL!$C$42, 90.9466, 90.9466) * CHOOSE(CONTROL!$C$21, $C$9, 100%, $E$9)</f>
        <v>90.946600000000004</v>
      </c>
      <c r="R891" s="14">
        <f>CHOOSE(CONTROL!$C$42, 91.761, 91.761) * CHOOSE(CONTROL!$C$21, $C$9, 100%, $E$9)</f>
        <v>91.760999999999996</v>
      </c>
      <c r="S891" s="14">
        <f>CHOOSE(CONTROL!$C$42, 88.5156, 88.5156) * CHOOSE(CONTROL!$C$21, $C$9, 100%, $E$9)</f>
        <v>88.515600000000006</v>
      </c>
      <c r="T89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56">
        <f>(1000*CHOOSE(CONTROL!$C$42, 695, 695)*CHOOSE(CONTROL!$C$42, 0.5599, 0.5599)*CHOOSE(CONTROL!$C$42, 31, 31))/1000000</f>
        <v>12.063045499999998</v>
      </c>
      <c r="V891" s="56">
        <f>(1000*CHOOSE(CONTROL!$C$42, 500, 500)*CHOOSE(CONTROL!$C$42, 0.275, 0.275)*CHOOSE(CONTROL!$C$42, 31, 31))/1000000</f>
        <v>4.2625000000000002</v>
      </c>
      <c r="W891" s="56">
        <f>(1000*CHOOSE(CONTROL!$C$42, 0.1146, 0.1146)*CHOOSE(CONTROL!$C$42, 121.5, 121.5)*CHOOSE(CONTROL!$C$42, 31, 31))/1000000</f>
        <v>0.43164089999999994</v>
      </c>
      <c r="X891" s="56">
        <f>(31*0.1790888*100000/1000000)+(31*0.2374*100000/1000000)</f>
        <v>1.2911152800000001</v>
      </c>
      <c r="Y891" s="56"/>
      <c r="Z891" s="14"/>
      <c r="AA891" s="55"/>
      <c r="AB891" s="49">
        <f>(B891*122.58+C891*297.941+D891*89.177+E891*40.302+F891*40+G891*160+H891*0+I891*100+J891*300)/(122.58+297.941+89.177+40.302+0+40+160+100+300)</f>
        <v>92.176562411130433</v>
      </c>
      <c r="AC891" s="44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90.345917266187044</v>
      </c>
    </row>
    <row r="892" spans="1:29" ht="15.75" x14ac:dyDescent="0.25">
      <c r="A892" s="31">
        <v>68057</v>
      </c>
      <c r="B892" s="14">
        <f>CHOOSE(CONTROL!$C$42, 91.8514, 91.8514) * CHOOSE(CONTROL!$C$21, $C$9, 100%, $E$9)</f>
        <v>91.851399999999998</v>
      </c>
      <c r="C892" s="14">
        <f>CHOOSE(CONTROL!$C$42, 91.8559, 91.8559) * CHOOSE(CONTROL!$C$21, $C$9, 100%, $E$9)</f>
        <v>91.855900000000005</v>
      </c>
      <c r="D892" s="14">
        <f>CHOOSE(CONTROL!$C$42, 92.0848, 92.0848) * CHOOSE(CONTROL!$C$21, $C$9, 100%, $E$9)</f>
        <v>92.084800000000001</v>
      </c>
      <c r="E892" s="14">
        <f>CHOOSE(CONTROL!$C$42, 92.1169, 92.1169) * CHOOSE(CONTROL!$C$21, $C$9, 100%, $E$9)</f>
        <v>92.116900000000001</v>
      </c>
      <c r="F892" s="14">
        <f>CHOOSE(CONTROL!$C$42, 91.8784, 91.8784)*CHOOSE(CONTROL!$C$21, $C$9, 100%, $E$9)</f>
        <v>91.878399999999999</v>
      </c>
      <c r="G892" s="14">
        <f>CHOOSE(CONTROL!$C$42, 91.8951, 91.8951)*CHOOSE(CONTROL!$C$21, $C$9, 100%, $E$9)</f>
        <v>91.895099999999999</v>
      </c>
      <c r="H892" s="14">
        <f>CHOOSE(CONTROL!$C$42, 92.1067, 92.1067) * CHOOSE(CONTROL!$C$21, $C$9, 100%, $E$9)</f>
        <v>92.106700000000004</v>
      </c>
      <c r="I892" s="14">
        <f>CHOOSE(CONTROL!$C$42, 92.172, 92.172)* CHOOSE(CONTROL!$C$21, $C$9, 100%, $E$9)</f>
        <v>92.171999999999997</v>
      </c>
      <c r="J892" s="14">
        <f>CHOOSE(CONTROL!$C$42, 91.8714, 91.8714)* CHOOSE(CONTROL!$C$21, $C$9, 100%, $E$9)</f>
        <v>91.871399999999994</v>
      </c>
      <c r="K892" s="52">
        <f>CHOOSE(CONTROL!$C$42, 92.1681, 92.1681) * CHOOSE(CONTROL!$C$21, $C$9, 100%, $E$9)</f>
        <v>92.168099999999995</v>
      </c>
      <c r="L892" s="14">
        <f>CHOOSE(CONTROL!$C$42, 92.6937, 92.6937) * CHOOSE(CONTROL!$C$21, $C$9, 100%, $E$9)</f>
        <v>92.693700000000007</v>
      </c>
      <c r="M892" s="14">
        <f>CHOOSE(CONTROL!$C$42, 89.9967, 89.9967) * CHOOSE(CONTROL!$C$21, $C$9, 100%, $E$9)</f>
        <v>89.996700000000004</v>
      </c>
      <c r="N892" s="14">
        <f>CHOOSE(CONTROL!$C$42, 90.0131, 90.0131) * CHOOSE(CONTROL!$C$21, $C$9, 100%, $E$9)</f>
        <v>90.013099999999994</v>
      </c>
      <c r="O892" s="14">
        <f>CHOOSE(CONTROL!$C$42, 90.2272, 90.2272) * CHOOSE(CONTROL!$C$21, $C$9, 100%, $E$9)</f>
        <v>90.227199999999996</v>
      </c>
      <c r="P892" s="14">
        <f>CHOOSE(CONTROL!$C$42, 90.2855, 90.2855) * CHOOSE(CONTROL!$C$21, $C$9, 100%, $E$9)</f>
        <v>90.285499999999999</v>
      </c>
      <c r="Q892" s="14">
        <f>CHOOSE(CONTROL!$C$42, 90.8219, 90.8219) * CHOOSE(CONTROL!$C$21, $C$9, 100%, $E$9)</f>
        <v>90.821899999999999</v>
      </c>
      <c r="R892" s="14">
        <f>CHOOSE(CONTROL!$C$42, 91.636, 91.636) * CHOOSE(CONTROL!$C$21, $C$9, 100%, $E$9)</f>
        <v>91.635999999999996</v>
      </c>
      <c r="S892" s="14">
        <f>CHOOSE(CONTROL!$C$42, 88.2507, 88.2507) * CHOOSE(CONTROL!$C$21, $C$9, 100%, $E$9)</f>
        <v>88.250699999999995</v>
      </c>
      <c r="T89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56">
        <f>(1000*CHOOSE(CONTROL!$C$42, 695, 695)*CHOOSE(CONTROL!$C$42, 0.5599, 0.5599)*CHOOSE(CONTROL!$C$42, 30, 30))/1000000</f>
        <v>11.673914999999997</v>
      </c>
      <c r="V892" s="56">
        <f>(1000*CHOOSE(CONTROL!$C$42, 500, 500)*CHOOSE(CONTROL!$C$42, 0.275, 0.275)*CHOOSE(CONTROL!$C$42, 30, 30))/1000000</f>
        <v>4.125</v>
      </c>
      <c r="W892" s="56">
        <f>(1000*CHOOSE(CONTROL!$C$42, 0.1146, 0.1146)*CHOOSE(CONTROL!$C$42, 121.5, 121.5)*CHOOSE(CONTROL!$C$42, 30, 30))/1000000</f>
        <v>0.417717</v>
      </c>
      <c r="X892" s="56">
        <f>(30*0.1790888*245000/1000000)+(30*0.2374*100000/1000000)</f>
        <v>2.0285026799999999</v>
      </c>
      <c r="Y892" s="56"/>
      <c r="Z892" s="14"/>
      <c r="AA892" s="55"/>
      <c r="AB892" s="49">
        <f>(B892*141.293+C892*267.993+D892*115.016+E892*89.698+F892*40+G892*185+H892*0+I892*100+J892*300)/(141.293+267.993+115.016+89.698+0+40+185+100+300)</f>
        <v>91.931375804600478</v>
      </c>
      <c r="AC892" s="44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90.14366906474821</v>
      </c>
    </row>
    <row r="893" spans="1:29" ht="15.75" x14ac:dyDescent="0.25">
      <c r="A893" s="31">
        <v>68088</v>
      </c>
      <c r="B893" s="14">
        <f>CHOOSE(CONTROL!$C$42, 92.6634, 92.6634) * CHOOSE(CONTROL!$C$21, $C$9, 100%, $E$9)</f>
        <v>92.663399999999996</v>
      </c>
      <c r="C893" s="14">
        <f>CHOOSE(CONTROL!$C$42, 92.6715, 92.6715) * CHOOSE(CONTROL!$C$21, $C$9, 100%, $E$9)</f>
        <v>92.671499999999995</v>
      </c>
      <c r="D893" s="14">
        <f>CHOOSE(CONTROL!$C$42, 92.8972, 92.8972) * CHOOSE(CONTROL!$C$21, $C$9, 100%, $E$9)</f>
        <v>92.897199999999998</v>
      </c>
      <c r="E893" s="14">
        <f>CHOOSE(CONTROL!$C$42, 92.9287, 92.9287) * CHOOSE(CONTROL!$C$21, $C$9, 100%, $E$9)</f>
        <v>92.928700000000006</v>
      </c>
      <c r="F893" s="14">
        <f>CHOOSE(CONTROL!$C$42, 92.6891, 92.6891)*CHOOSE(CONTROL!$C$21, $C$9, 100%, $E$9)</f>
        <v>92.689099999999996</v>
      </c>
      <c r="G893" s="14">
        <f>CHOOSE(CONTROL!$C$42, 92.706, 92.706)*CHOOSE(CONTROL!$C$21, $C$9, 100%, $E$9)</f>
        <v>92.706000000000003</v>
      </c>
      <c r="H893" s="14">
        <f>CHOOSE(CONTROL!$C$42, 92.9173, 92.9173) * CHOOSE(CONTROL!$C$21, $C$9, 100%, $E$9)</f>
        <v>92.917299999999997</v>
      </c>
      <c r="I893" s="14">
        <f>CHOOSE(CONTROL!$C$42, 92.9852, 92.9852)* CHOOSE(CONTROL!$C$21, $C$9, 100%, $E$9)</f>
        <v>92.985200000000006</v>
      </c>
      <c r="J893" s="14">
        <f>CHOOSE(CONTROL!$C$42, 92.6821, 92.6821)* CHOOSE(CONTROL!$C$21, $C$9, 100%, $E$9)</f>
        <v>92.682100000000005</v>
      </c>
      <c r="K893" s="52">
        <f>CHOOSE(CONTROL!$C$42, 92.9813, 92.9813) * CHOOSE(CONTROL!$C$21, $C$9, 100%, $E$9)</f>
        <v>92.981300000000005</v>
      </c>
      <c r="L893" s="14">
        <f>CHOOSE(CONTROL!$C$42, 93.5043, 93.5043) * CHOOSE(CONTROL!$C$21, $C$9, 100%, $E$9)</f>
        <v>93.504300000000001</v>
      </c>
      <c r="M893" s="14">
        <f>CHOOSE(CONTROL!$C$42, 90.7908, 90.7908) * CHOOSE(CONTROL!$C$21, $C$9, 100%, $E$9)</f>
        <v>90.790800000000004</v>
      </c>
      <c r="N893" s="14">
        <f>CHOOSE(CONTROL!$C$42, 90.8074, 90.8074) * CHOOSE(CONTROL!$C$21, $C$9, 100%, $E$9)</f>
        <v>90.807400000000001</v>
      </c>
      <c r="O893" s="14">
        <f>CHOOSE(CONTROL!$C$42, 91.0212, 91.0212) * CHOOSE(CONTROL!$C$21, $C$9, 100%, $E$9)</f>
        <v>91.021199999999993</v>
      </c>
      <c r="P893" s="14">
        <f>CHOOSE(CONTROL!$C$42, 91.0819, 91.0819) * CHOOSE(CONTROL!$C$21, $C$9, 100%, $E$9)</f>
        <v>91.081900000000005</v>
      </c>
      <c r="Q893" s="14">
        <f>CHOOSE(CONTROL!$C$42, 91.6159, 91.6159) * CHOOSE(CONTROL!$C$21, $C$9, 100%, $E$9)</f>
        <v>91.615899999999996</v>
      </c>
      <c r="R893" s="14">
        <f>CHOOSE(CONTROL!$C$42, 92.432, 92.432) * CHOOSE(CONTROL!$C$21, $C$9, 100%, $E$9)</f>
        <v>92.432000000000002</v>
      </c>
      <c r="S893" s="14">
        <f>CHOOSE(CONTROL!$C$42, 89.0297, 89.0297) * CHOOSE(CONTROL!$C$21, $C$9, 100%, $E$9)</f>
        <v>89.029700000000005</v>
      </c>
      <c r="T89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56">
        <f>(1000*CHOOSE(CONTROL!$C$42, 695, 695)*CHOOSE(CONTROL!$C$42, 0.5599, 0.5599)*CHOOSE(CONTROL!$C$42, 31, 31))/1000000</f>
        <v>12.063045499999998</v>
      </c>
      <c r="V893" s="56">
        <f>(1000*CHOOSE(CONTROL!$C$42, 500, 500)*CHOOSE(CONTROL!$C$42, 0.275, 0.275)*CHOOSE(CONTROL!$C$42, 31, 31))/1000000</f>
        <v>4.2625000000000002</v>
      </c>
      <c r="W893" s="56">
        <f>(1000*CHOOSE(CONTROL!$C$42, 0.1146, 0.1146)*CHOOSE(CONTROL!$C$42, 121.5, 121.5)*CHOOSE(CONTROL!$C$42, 31, 31))/1000000</f>
        <v>0.43164089999999994</v>
      </c>
      <c r="X893" s="56">
        <f>(31*0.1790888*245000/1000000)+(31*0.2374*100000/1000000)</f>
        <v>2.0961194359999999</v>
      </c>
      <c r="Y893" s="56"/>
      <c r="Z893" s="14"/>
      <c r="AA893" s="55"/>
      <c r="AB893" s="49">
        <f>(B893*194.205+C893*267.466+D893*133.845+E893*53.484+F893*40+G893*185+H893*0+I893*100+J893*300)/(194.205+267.466+133.845+53.484+0+40+185+100+300)</f>
        <v>92.737456311459979</v>
      </c>
      <c r="AC893" s="44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90.938066187050367</v>
      </c>
    </row>
    <row r="894" spans="1:29" ht="15.75" x14ac:dyDescent="0.25">
      <c r="A894" s="31">
        <v>68118</v>
      </c>
      <c r="B894" s="14">
        <f>CHOOSE(CONTROL!$C$42, 95.2916, 95.2916) * CHOOSE(CONTROL!$C$21, $C$9, 100%, $E$9)</f>
        <v>95.291600000000003</v>
      </c>
      <c r="C894" s="14">
        <f>CHOOSE(CONTROL!$C$42, 95.2996, 95.2996) * CHOOSE(CONTROL!$C$21, $C$9, 100%, $E$9)</f>
        <v>95.299599999999998</v>
      </c>
      <c r="D894" s="14">
        <f>CHOOSE(CONTROL!$C$42, 95.5254, 95.5254) * CHOOSE(CONTROL!$C$21, $C$9, 100%, $E$9)</f>
        <v>95.525400000000005</v>
      </c>
      <c r="E894" s="14">
        <f>CHOOSE(CONTROL!$C$42, 95.5569, 95.5569) * CHOOSE(CONTROL!$C$21, $C$9, 100%, $E$9)</f>
        <v>95.556899999999999</v>
      </c>
      <c r="F894" s="14">
        <f>CHOOSE(CONTROL!$C$42, 95.3177, 95.3177)*CHOOSE(CONTROL!$C$21, $C$9, 100%, $E$9)</f>
        <v>95.317700000000002</v>
      </c>
      <c r="G894" s="14">
        <f>CHOOSE(CONTROL!$C$42, 95.3348, 95.3348)*CHOOSE(CONTROL!$C$21, $C$9, 100%, $E$9)</f>
        <v>95.334800000000001</v>
      </c>
      <c r="H894" s="14">
        <f>CHOOSE(CONTROL!$C$42, 95.5455, 95.5455) * CHOOSE(CONTROL!$C$21, $C$9, 100%, $E$9)</f>
        <v>95.545500000000004</v>
      </c>
      <c r="I894" s="14">
        <f>CHOOSE(CONTROL!$C$42, 95.6216, 95.6216)* CHOOSE(CONTROL!$C$21, $C$9, 100%, $E$9)</f>
        <v>95.621600000000001</v>
      </c>
      <c r="J894" s="14">
        <f>CHOOSE(CONTROL!$C$42, 95.3107, 95.3107)* CHOOSE(CONTROL!$C$21, $C$9, 100%, $E$9)</f>
        <v>95.310699999999997</v>
      </c>
      <c r="K894" s="52">
        <f>CHOOSE(CONTROL!$C$42, 95.6177, 95.6177) * CHOOSE(CONTROL!$C$21, $C$9, 100%, $E$9)</f>
        <v>95.617699999999999</v>
      </c>
      <c r="L894" s="14">
        <f>CHOOSE(CONTROL!$C$42, 96.1325, 96.1325) * CHOOSE(CONTROL!$C$21, $C$9, 100%, $E$9)</f>
        <v>96.132499999999993</v>
      </c>
      <c r="M894" s="14">
        <f>CHOOSE(CONTROL!$C$42, 93.3656, 93.3656) * CHOOSE(CONTROL!$C$21, $C$9, 100%, $E$9)</f>
        <v>93.365600000000001</v>
      </c>
      <c r="N894" s="14">
        <f>CHOOSE(CONTROL!$C$42, 93.3823, 93.3823) * CHOOSE(CONTROL!$C$21, $C$9, 100%, $E$9)</f>
        <v>93.382300000000001</v>
      </c>
      <c r="O894" s="14">
        <f>CHOOSE(CONTROL!$C$42, 93.5956, 93.5956) * CHOOSE(CONTROL!$C$21, $C$9, 100%, $E$9)</f>
        <v>93.595600000000005</v>
      </c>
      <c r="P894" s="14">
        <f>CHOOSE(CONTROL!$C$42, 93.6641, 93.6641) * CHOOSE(CONTROL!$C$21, $C$9, 100%, $E$9)</f>
        <v>93.664100000000005</v>
      </c>
      <c r="Q894" s="14">
        <f>CHOOSE(CONTROL!$C$42, 94.1903, 94.1903) * CHOOSE(CONTROL!$C$21, $C$9, 100%, $E$9)</f>
        <v>94.190299999999993</v>
      </c>
      <c r="R894" s="14">
        <f>CHOOSE(CONTROL!$C$42, 95.0127, 95.0127) * CHOOSE(CONTROL!$C$21, $C$9, 100%, $E$9)</f>
        <v>95.012699999999995</v>
      </c>
      <c r="S894" s="14">
        <f>CHOOSE(CONTROL!$C$42, 91.5551, 91.5551) * CHOOSE(CONTROL!$C$21, $C$9, 100%, $E$9)</f>
        <v>91.555099999999996</v>
      </c>
      <c r="T89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56">
        <f>(1000*CHOOSE(CONTROL!$C$42, 695, 695)*CHOOSE(CONTROL!$C$42, 0.5599, 0.5599)*CHOOSE(CONTROL!$C$42, 30, 30))/1000000</f>
        <v>11.673914999999997</v>
      </c>
      <c r="V894" s="56">
        <f>(1000*CHOOSE(CONTROL!$C$42, 500, 500)*CHOOSE(CONTROL!$C$42, 0.275, 0.275)*CHOOSE(CONTROL!$C$42, 30, 30))/1000000</f>
        <v>4.125</v>
      </c>
      <c r="W894" s="56">
        <f>(1000*CHOOSE(CONTROL!$C$42, 0.1146, 0.1146)*CHOOSE(CONTROL!$C$42, 121.5, 121.5)*CHOOSE(CONTROL!$C$42, 30, 30))/1000000</f>
        <v>0.417717</v>
      </c>
      <c r="X894" s="56">
        <f>(30*0.1790888*245000/1000000)+(30*0.2374*100000/1000000)</f>
        <v>2.0285026799999999</v>
      </c>
      <c r="Y894" s="56"/>
      <c r="Z894" s="14"/>
      <c r="AA894" s="55"/>
      <c r="AB894" s="49">
        <f>(B894*194.205+C894*267.466+D894*133.845+E894*53.484+F894*40+G894*185+H894*0+I894*100+J894*300)/(194.205+267.466+133.845+53.484+0+40+185+100+300)</f>
        <v>95.366472836891688</v>
      </c>
      <c r="AC894" s="44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93.513755395683447</v>
      </c>
    </row>
    <row r="895" spans="1:29" ht="15.75" x14ac:dyDescent="0.25">
      <c r="A895" s="31">
        <v>68149</v>
      </c>
      <c r="B895" s="14">
        <f>CHOOSE(CONTROL!$C$42, 93.4637, 93.4637) * CHOOSE(CONTROL!$C$21, $C$9, 100%, $E$9)</f>
        <v>93.463700000000003</v>
      </c>
      <c r="C895" s="14">
        <f>CHOOSE(CONTROL!$C$42, 93.4717, 93.4717) * CHOOSE(CONTROL!$C$21, $C$9, 100%, $E$9)</f>
        <v>93.471699999999998</v>
      </c>
      <c r="D895" s="14">
        <f>CHOOSE(CONTROL!$C$42, 93.6975, 93.6975) * CHOOSE(CONTROL!$C$21, $C$9, 100%, $E$9)</f>
        <v>93.697500000000005</v>
      </c>
      <c r="E895" s="14">
        <f>CHOOSE(CONTROL!$C$42, 93.729, 93.729) * CHOOSE(CONTROL!$C$21, $C$9, 100%, $E$9)</f>
        <v>93.728999999999999</v>
      </c>
      <c r="F895" s="14">
        <f>CHOOSE(CONTROL!$C$42, 93.4903, 93.4903)*CHOOSE(CONTROL!$C$21, $C$9, 100%, $E$9)</f>
        <v>93.490300000000005</v>
      </c>
      <c r="G895" s="14">
        <f>CHOOSE(CONTROL!$C$42, 93.5075, 93.5075)*CHOOSE(CONTROL!$C$21, $C$9, 100%, $E$9)</f>
        <v>93.507499999999993</v>
      </c>
      <c r="H895" s="14">
        <f>CHOOSE(CONTROL!$C$42, 93.7176, 93.7176) * CHOOSE(CONTROL!$C$21, $C$9, 100%, $E$9)</f>
        <v>93.717600000000004</v>
      </c>
      <c r="I895" s="14">
        <f>CHOOSE(CONTROL!$C$42, 93.7879, 93.7879)* CHOOSE(CONTROL!$C$21, $C$9, 100%, $E$9)</f>
        <v>93.787899999999993</v>
      </c>
      <c r="J895" s="14">
        <f>CHOOSE(CONTROL!$C$42, 93.4833, 93.4833)* CHOOSE(CONTROL!$C$21, $C$9, 100%, $E$9)</f>
        <v>93.4833</v>
      </c>
      <c r="K895" s="52">
        <f>CHOOSE(CONTROL!$C$42, 93.7841, 93.7841) * CHOOSE(CONTROL!$C$21, $C$9, 100%, $E$9)</f>
        <v>93.784099999999995</v>
      </c>
      <c r="L895" s="14">
        <f>CHOOSE(CONTROL!$C$42, 94.3046, 94.3046) * CHOOSE(CONTROL!$C$21, $C$9, 100%, $E$9)</f>
        <v>94.304599999999994</v>
      </c>
      <c r="M895" s="14">
        <f>CHOOSE(CONTROL!$C$42, 91.5756, 91.5756) * CHOOSE(CONTROL!$C$21, $C$9, 100%, $E$9)</f>
        <v>91.575599999999994</v>
      </c>
      <c r="N895" s="14">
        <f>CHOOSE(CONTROL!$C$42, 91.5924, 91.5924) * CHOOSE(CONTROL!$C$21, $C$9, 100%, $E$9)</f>
        <v>91.592399999999998</v>
      </c>
      <c r="O895" s="14">
        <f>CHOOSE(CONTROL!$C$42, 91.8051, 91.8051) * CHOOSE(CONTROL!$C$21, $C$9, 100%, $E$9)</f>
        <v>91.805099999999996</v>
      </c>
      <c r="P895" s="14">
        <f>CHOOSE(CONTROL!$C$42, 91.8682, 91.8682) * CHOOSE(CONTROL!$C$21, $C$9, 100%, $E$9)</f>
        <v>91.868200000000002</v>
      </c>
      <c r="Q895" s="14">
        <f>CHOOSE(CONTROL!$C$42, 92.3998, 92.3998) * CHOOSE(CONTROL!$C$21, $C$9, 100%, $E$9)</f>
        <v>92.399799999999999</v>
      </c>
      <c r="R895" s="14">
        <f>CHOOSE(CONTROL!$C$42, 93.2178, 93.2178) * CHOOSE(CONTROL!$C$21, $C$9, 100%, $E$9)</f>
        <v>93.217799999999997</v>
      </c>
      <c r="S895" s="14">
        <f>CHOOSE(CONTROL!$C$42, 89.7986, 89.7986) * CHOOSE(CONTROL!$C$21, $C$9, 100%, $E$9)</f>
        <v>89.798599999999993</v>
      </c>
      <c r="T89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56">
        <f>(1000*CHOOSE(CONTROL!$C$42, 695, 695)*CHOOSE(CONTROL!$C$42, 0.5599, 0.5599)*CHOOSE(CONTROL!$C$42, 31, 31))/1000000</f>
        <v>12.063045499999998</v>
      </c>
      <c r="V895" s="56">
        <f>(1000*CHOOSE(CONTROL!$C$42, 500, 500)*CHOOSE(CONTROL!$C$42, 0.275, 0.275)*CHOOSE(CONTROL!$C$42, 31, 31))/1000000</f>
        <v>4.2625000000000002</v>
      </c>
      <c r="W895" s="56">
        <f>(1000*CHOOSE(CONTROL!$C$42, 0.1146, 0.1146)*CHOOSE(CONTROL!$C$42, 121.5, 121.5)*CHOOSE(CONTROL!$C$42, 31, 31))/1000000</f>
        <v>0.43164089999999994</v>
      </c>
      <c r="X895" s="56">
        <f>(31*0.1790888*245000/1000000)+(31*0.2374*100000/1000000)</f>
        <v>2.0961194359999999</v>
      </c>
      <c r="Y895" s="56"/>
      <c r="Z895" s="14"/>
      <c r="AA895" s="55"/>
      <c r="AB895" s="49">
        <f>(B895*194.205+C895*267.466+D895*133.845+E895*53.484+F895*40+G895*185+H895*0+I895*100+J895*300)/(194.205+267.466+133.845+53.484+0+40+185+100+300)</f>
        <v>93.53833814301413</v>
      </c>
      <c r="AC895" s="44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91.722685611510784</v>
      </c>
    </row>
    <row r="896" spans="1:29" ht="15.75" x14ac:dyDescent="0.25">
      <c r="A896" s="31">
        <v>68180</v>
      </c>
      <c r="B896" s="14">
        <f>CHOOSE(CONTROL!$C$42, 88.8476, 88.8476) * CHOOSE(CONTROL!$C$21, $C$9, 100%, $E$9)</f>
        <v>88.8476</v>
      </c>
      <c r="C896" s="14">
        <f>CHOOSE(CONTROL!$C$42, 88.8556, 88.8556) * CHOOSE(CONTROL!$C$21, $C$9, 100%, $E$9)</f>
        <v>88.855599999999995</v>
      </c>
      <c r="D896" s="14">
        <f>CHOOSE(CONTROL!$C$42, 89.0814, 89.0814) * CHOOSE(CONTROL!$C$21, $C$9, 100%, $E$9)</f>
        <v>89.081400000000002</v>
      </c>
      <c r="E896" s="14">
        <f>CHOOSE(CONTROL!$C$42, 89.1129, 89.1129) * CHOOSE(CONTROL!$C$21, $C$9, 100%, $E$9)</f>
        <v>89.112899999999996</v>
      </c>
      <c r="F896" s="14">
        <f>CHOOSE(CONTROL!$C$42, 88.8744, 88.8744)*CHOOSE(CONTROL!$C$21, $C$9, 100%, $E$9)</f>
        <v>88.874399999999994</v>
      </c>
      <c r="G896" s="14">
        <f>CHOOSE(CONTROL!$C$42, 88.8917, 88.8917)*CHOOSE(CONTROL!$C$21, $C$9, 100%, $E$9)</f>
        <v>88.8917</v>
      </c>
      <c r="H896" s="14">
        <f>CHOOSE(CONTROL!$C$42, 89.1015, 89.1015) * CHOOSE(CONTROL!$C$21, $C$9, 100%, $E$9)</f>
        <v>89.101500000000001</v>
      </c>
      <c r="I896" s="14">
        <f>CHOOSE(CONTROL!$C$42, 89.1574, 89.1574)* CHOOSE(CONTROL!$C$21, $C$9, 100%, $E$9)</f>
        <v>89.157399999999996</v>
      </c>
      <c r="J896" s="14">
        <f>CHOOSE(CONTROL!$C$42, 88.8674, 88.8674)* CHOOSE(CONTROL!$C$21, $C$9, 100%, $E$9)</f>
        <v>88.867400000000004</v>
      </c>
      <c r="K896" s="52">
        <f>CHOOSE(CONTROL!$C$42, 89.1535, 89.1535) * CHOOSE(CONTROL!$C$21, $C$9, 100%, $E$9)</f>
        <v>89.153499999999994</v>
      </c>
      <c r="L896" s="14">
        <f>CHOOSE(CONTROL!$C$42, 89.6885, 89.6885) * CHOOSE(CONTROL!$C$21, $C$9, 100%, $E$9)</f>
        <v>89.688500000000005</v>
      </c>
      <c r="M896" s="14">
        <f>CHOOSE(CONTROL!$C$42, 87.0543, 87.0543) * CHOOSE(CONTROL!$C$21, $C$9, 100%, $E$9)</f>
        <v>87.054299999999998</v>
      </c>
      <c r="N896" s="14">
        <f>CHOOSE(CONTROL!$C$42, 87.0712, 87.0712) * CHOOSE(CONTROL!$C$21, $C$9, 100%, $E$9)</f>
        <v>87.071200000000005</v>
      </c>
      <c r="O896" s="14">
        <f>CHOOSE(CONTROL!$C$42, 87.2836, 87.2836) * CHOOSE(CONTROL!$C$21, $C$9, 100%, $E$9)</f>
        <v>87.283600000000007</v>
      </c>
      <c r="P896" s="14">
        <f>CHOOSE(CONTROL!$C$42, 87.3328, 87.3328) * CHOOSE(CONTROL!$C$21, $C$9, 100%, $E$9)</f>
        <v>87.332800000000006</v>
      </c>
      <c r="Q896" s="14">
        <f>CHOOSE(CONTROL!$C$42, 87.8783, 87.8783) * CHOOSE(CONTROL!$C$21, $C$9, 100%, $E$9)</f>
        <v>87.878299999999996</v>
      </c>
      <c r="R896" s="14">
        <f>CHOOSE(CONTROL!$C$42, 88.685, 88.685) * CHOOSE(CONTROL!$C$21, $C$9, 100%, $E$9)</f>
        <v>88.685000000000002</v>
      </c>
      <c r="S896" s="14">
        <f>CHOOSE(CONTROL!$C$42, 85.363, 85.363) * CHOOSE(CONTROL!$C$21, $C$9, 100%, $E$9)</f>
        <v>85.363</v>
      </c>
      <c r="T89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56">
        <f>(1000*CHOOSE(CONTROL!$C$42, 695, 695)*CHOOSE(CONTROL!$C$42, 0.5599, 0.5599)*CHOOSE(CONTROL!$C$42, 31, 31))/1000000</f>
        <v>12.063045499999998</v>
      </c>
      <c r="V896" s="56">
        <f>(1000*CHOOSE(CONTROL!$C$42, 500, 500)*CHOOSE(CONTROL!$C$42, 0.275, 0.275)*CHOOSE(CONTROL!$C$42, 31, 31))/1000000</f>
        <v>4.2625000000000002</v>
      </c>
      <c r="W896" s="56">
        <f>(1000*CHOOSE(CONTROL!$C$42, 0.1146, 0.1146)*CHOOSE(CONTROL!$C$42, 121.5, 121.5)*CHOOSE(CONTROL!$C$42, 31, 31))/1000000</f>
        <v>0.43164089999999994</v>
      </c>
      <c r="X896" s="56">
        <f>(31*0.1790888*245000/1000000)+(31*0.2374*100000/1000000)</f>
        <v>2.0961194359999999</v>
      </c>
      <c r="Y896" s="56"/>
      <c r="Z896" s="14"/>
      <c r="AA896" s="55"/>
      <c r="AB896" s="49">
        <f>(B896*194.205+C896*267.466+D896*133.845+E896*53.484+F896*40+G896*185+H896*0+I896*100+J896*300)/(194.205+267.466+133.845+53.484+0+40+185+100+300)</f>
        <v>88.921204783516487</v>
      </c>
      <c r="AC896" s="44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87.199271942446046</v>
      </c>
    </row>
    <row r="897" spans="1:29" ht="15.75" x14ac:dyDescent="0.25">
      <c r="A897" s="31">
        <v>68210</v>
      </c>
      <c r="B897" s="14">
        <f>CHOOSE(CONTROL!$C$42, 83.2074, 83.2074) * CHOOSE(CONTROL!$C$21, $C$9, 100%, $E$9)</f>
        <v>83.207400000000007</v>
      </c>
      <c r="C897" s="14">
        <f>CHOOSE(CONTROL!$C$42, 83.2154, 83.2154) * CHOOSE(CONTROL!$C$21, $C$9, 100%, $E$9)</f>
        <v>83.215400000000002</v>
      </c>
      <c r="D897" s="14">
        <f>CHOOSE(CONTROL!$C$42, 83.4412, 83.4412) * CHOOSE(CONTROL!$C$21, $C$9, 100%, $E$9)</f>
        <v>83.441199999999995</v>
      </c>
      <c r="E897" s="14">
        <f>CHOOSE(CONTROL!$C$42, 83.4727, 83.4727) * CHOOSE(CONTROL!$C$21, $C$9, 100%, $E$9)</f>
        <v>83.472700000000003</v>
      </c>
      <c r="F897" s="14">
        <f>CHOOSE(CONTROL!$C$42, 83.2342, 83.2342)*CHOOSE(CONTROL!$C$21, $C$9, 100%, $E$9)</f>
        <v>83.234200000000001</v>
      </c>
      <c r="G897" s="14">
        <f>CHOOSE(CONTROL!$C$42, 83.2515, 83.2515)*CHOOSE(CONTROL!$C$21, $C$9, 100%, $E$9)</f>
        <v>83.251499999999993</v>
      </c>
      <c r="H897" s="14">
        <f>CHOOSE(CONTROL!$C$42, 83.4613, 83.4613) * CHOOSE(CONTROL!$C$21, $C$9, 100%, $E$9)</f>
        <v>83.461299999999994</v>
      </c>
      <c r="I897" s="14">
        <f>CHOOSE(CONTROL!$C$42, 83.4995, 83.4995)* CHOOSE(CONTROL!$C$21, $C$9, 100%, $E$9)</f>
        <v>83.499499999999998</v>
      </c>
      <c r="J897" s="14">
        <f>CHOOSE(CONTROL!$C$42, 83.2272, 83.2272)* CHOOSE(CONTROL!$C$21, $C$9, 100%, $E$9)</f>
        <v>83.227199999999996</v>
      </c>
      <c r="K897" s="52">
        <f>CHOOSE(CONTROL!$C$42, 83.4956, 83.4956) * CHOOSE(CONTROL!$C$21, $C$9, 100%, $E$9)</f>
        <v>83.495599999999996</v>
      </c>
      <c r="L897" s="14">
        <f>CHOOSE(CONTROL!$C$42, 84.0483, 84.0483) * CHOOSE(CONTROL!$C$21, $C$9, 100%, $E$9)</f>
        <v>84.048299999999998</v>
      </c>
      <c r="M897" s="14">
        <f>CHOOSE(CONTROL!$C$42, 81.5296, 81.5296) * CHOOSE(CONTROL!$C$21, $C$9, 100%, $E$9)</f>
        <v>81.529600000000002</v>
      </c>
      <c r="N897" s="14">
        <f>CHOOSE(CONTROL!$C$42, 81.5465, 81.5465) * CHOOSE(CONTROL!$C$21, $C$9, 100%, $E$9)</f>
        <v>81.546499999999995</v>
      </c>
      <c r="O897" s="14">
        <f>CHOOSE(CONTROL!$C$42, 81.7589, 81.7589) * CHOOSE(CONTROL!$C$21, $C$9, 100%, $E$9)</f>
        <v>81.758899999999997</v>
      </c>
      <c r="P897" s="14">
        <f>CHOOSE(CONTROL!$C$42, 81.7912, 81.7912) * CHOOSE(CONTROL!$C$21, $C$9, 100%, $E$9)</f>
        <v>81.791200000000003</v>
      </c>
      <c r="Q897" s="14">
        <f>CHOOSE(CONTROL!$C$42, 82.3536, 82.3536) * CHOOSE(CONTROL!$C$21, $C$9, 100%, $E$9)</f>
        <v>82.3536</v>
      </c>
      <c r="R897" s="14">
        <f>CHOOSE(CONTROL!$C$42, 83.1465, 83.1465) * CHOOSE(CONTROL!$C$21, $C$9, 100%, $E$9)</f>
        <v>83.146500000000003</v>
      </c>
      <c r="S897" s="14">
        <f>CHOOSE(CONTROL!$C$42, 79.9433, 79.9433) * CHOOSE(CONTROL!$C$21, $C$9, 100%, $E$9)</f>
        <v>79.943299999999994</v>
      </c>
      <c r="T89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56">
        <f>(1000*CHOOSE(CONTROL!$C$42, 695, 695)*CHOOSE(CONTROL!$C$42, 0.5599, 0.5599)*CHOOSE(CONTROL!$C$42, 30, 30))/1000000</f>
        <v>11.673914999999997</v>
      </c>
      <c r="V897" s="56">
        <f>(1000*CHOOSE(CONTROL!$C$42, 500, 500)*CHOOSE(CONTROL!$C$42, 0.275, 0.275)*CHOOSE(CONTROL!$C$42, 30, 30))/1000000</f>
        <v>4.125</v>
      </c>
      <c r="W897" s="56">
        <f>(1000*CHOOSE(CONTROL!$C$42, 0.1146, 0.1146)*CHOOSE(CONTROL!$C$42, 121.5, 121.5)*CHOOSE(CONTROL!$C$42, 30, 30))/1000000</f>
        <v>0.417717</v>
      </c>
      <c r="X897" s="56">
        <f>(30*0.1790888*245000/1000000)+(30*0.2374*100000/1000000)</f>
        <v>2.0285026799999999</v>
      </c>
      <c r="Y897" s="56"/>
      <c r="Z897" s="14"/>
      <c r="AA897" s="55"/>
      <c r="AB897" s="49">
        <f>(B897*194.205+C897*267.466+D897*133.845+E897*53.484+F897*40+G897*185+H897*0+I897*100+J897*300)/(194.205+267.466+133.845+53.484+0+40+185+100+300)</f>
        <v>83.279615458555739</v>
      </c>
      <c r="AC897" s="44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81.672140287769793</v>
      </c>
    </row>
    <row r="898" spans="1:29" ht="15.75" x14ac:dyDescent="0.25">
      <c r="A898" s="31">
        <v>68241</v>
      </c>
      <c r="B898" s="14">
        <f>CHOOSE(CONTROL!$C$42, 81.5164, 81.5164) * CHOOSE(CONTROL!$C$21, $C$9, 100%, $E$9)</f>
        <v>81.516400000000004</v>
      </c>
      <c r="C898" s="14">
        <f>CHOOSE(CONTROL!$C$42, 81.5217, 81.5217) * CHOOSE(CONTROL!$C$21, $C$9, 100%, $E$9)</f>
        <v>81.521699999999996</v>
      </c>
      <c r="D898" s="14">
        <f>CHOOSE(CONTROL!$C$42, 81.7525, 81.7525) * CHOOSE(CONTROL!$C$21, $C$9, 100%, $E$9)</f>
        <v>81.752499999999998</v>
      </c>
      <c r="E898" s="14">
        <f>CHOOSE(CONTROL!$C$42, 81.7816, 81.7816) * CHOOSE(CONTROL!$C$21, $C$9, 100%, $E$9)</f>
        <v>81.781599999999997</v>
      </c>
      <c r="F898" s="14">
        <f>CHOOSE(CONTROL!$C$42, 81.5453, 81.5453)*CHOOSE(CONTROL!$C$21, $C$9, 100%, $E$9)</f>
        <v>81.545299999999997</v>
      </c>
      <c r="G898" s="14">
        <f>CHOOSE(CONTROL!$C$42, 81.5624, 81.5624)*CHOOSE(CONTROL!$C$21, $C$9, 100%, $E$9)</f>
        <v>81.562399999999997</v>
      </c>
      <c r="H898" s="14">
        <f>CHOOSE(CONTROL!$C$42, 81.7721, 81.7721) * CHOOSE(CONTROL!$C$21, $C$9, 100%, $E$9)</f>
        <v>81.772099999999995</v>
      </c>
      <c r="I898" s="14">
        <f>CHOOSE(CONTROL!$C$42, 81.805, 81.805)* CHOOSE(CONTROL!$C$21, $C$9, 100%, $E$9)</f>
        <v>81.805000000000007</v>
      </c>
      <c r="J898" s="14">
        <f>CHOOSE(CONTROL!$C$42, 81.5383, 81.5383)* CHOOSE(CONTROL!$C$21, $C$9, 100%, $E$9)</f>
        <v>81.538300000000007</v>
      </c>
      <c r="K898" s="52">
        <f>CHOOSE(CONTROL!$C$42, 81.8011, 81.8011) * CHOOSE(CONTROL!$C$21, $C$9, 100%, $E$9)</f>
        <v>81.801100000000005</v>
      </c>
      <c r="L898" s="14">
        <f>CHOOSE(CONTROL!$C$42, 82.3591, 82.3591) * CHOOSE(CONTROL!$C$21, $C$9, 100%, $E$9)</f>
        <v>82.359099999999998</v>
      </c>
      <c r="M898" s="14">
        <f>CHOOSE(CONTROL!$C$42, 79.8753, 79.8753) * CHOOSE(CONTROL!$C$21, $C$9, 100%, $E$9)</f>
        <v>79.875299999999996</v>
      </c>
      <c r="N898" s="14">
        <f>CHOOSE(CONTROL!$C$42, 79.8921, 79.8921) * CHOOSE(CONTROL!$C$21, $C$9, 100%, $E$9)</f>
        <v>79.892099999999999</v>
      </c>
      <c r="O898" s="14">
        <f>CHOOSE(CONTROL!$C$42, 80.1043, 80.1043) * CHOOSE(CONTROL!$C$21, $C$9, 100%, $E$9)</f>
        <v>80.104299999999995</v>
      </c>
      <c r="P898" s="14">
        <f>CHOOSE(CONTROL!$C$42, 80.1315, 80.1315) * CHOOSE(CONTROL!$C$21, $C$9, 100%, $E$9)</f>
        <v>80.131500000000003</v>
      </c>
      <c r="Q898" s="14">
        <f>CHOOSE(CONTROL!$C$42, 80.699, 80.699) * CHOOSE(CONTROL!$C$21, $C$9, 100%, $E$9)</f>
        <v>80.698999999999998</v>
      </c>
      <c r="R898" s="14">
        <f>CHOOSE(CONTROL!$C$42, 81.4878, 81.4878) * CHOOSE(CONTROL!$C$21, $C$9, 100%, $E$9)</f>
        <v>81.487799999999993</v>
      </c>
      <c r="S898" s="14">
        <f>CHOOSE(CONTROL!$C$42, 78.3202, 78.3202) * CHOOSE(CONTROL!$C$21, $C$9, 100%, $E$9)</f>
        <v>78.3202</v>
      </c>
      <c r="T89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56">
        <f>(1000*CHOOSE(CONTROL!$C$42, 695, 695)*CHOOSE(CONTROL!$C$42, 0.5599, 0.5599)*CHOOSE(CONTROL!$C$42, 31, 31))/1000000</f>
        <v>12.063045499999998</v>
      </c>
      <c r="V898" s="56">
        <f>(1000*CHOOSE(CONTROL!$C$42, 500, 500)*CHOOSE(CONTROL!$C$42, 0.275, 0.275)*CHOOSE(CONTROL!$C$42, 31, 31))/1000000</f>
        <v>4.2625000000000002</v>
      </c>
      <c r="W898" s="56">
        <f>(1000*CHOOSE(CONTROL!$C$42, 0.1146, 0.1146)*CHOOSE(CONTROL!$C$42, 121.5, 121.5)*CHOOSE(CONTROL!$C$42, 31, 31))/1000000</f>
        <v>0.43164089999999994</v>
      </c>
      <c r="X898" s="56">
        <f>(31*0.1790888*245000/1000000)+(31*0.2374*100000/1000000)</f>
        <v>2.0961194359999999</v>
      </c>
      <c r="Y898" s="56"/>
      <c r="Z898" s="14"/>
      <c r="AA898" s="55"/>
      <c r="AB898" s="49">
        <f>(B898*131.881+C898*277.167+D898*79.08+E898*125.872+F898*40+G898*185+H898*0+I898*100+J898*300)/(131.881+277.167+79.08+125.872+0+40+185+100+300)</f>
        <v>81.595994049636801</v>
      </c>
      <c r="AC898" s="44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80.016921582733815</v>
      </c>
    </row>
    <row r="899" spans="1:29" ht="15.75" x14ac:dyDescent="0.25">
      <c r="A899" s="31">
        <v>68271</v>
      </c>
      <c r="B899" s="14">
        <f>CHOOSE(CONTROL!$C$42, 83.6633, 83.6633) * CHOOSE(CONTROL!$C$21, $C$9, 100%, $E$9)</f>
        <v>83.663300000000007</v>
      </c>
      <c r="C899" s="14">
        <f>CHOOSE(CONTROL!$C$42, 83.6683, 83.6683) * CHOOSE(CONTROL!$C$21, $C$9, 100%, $E$9)</f>
        <v>83.668300000000002</v>
      </c>
      <c r="D899" s="14">
        <f>CHOOSE(CONTROL!$C$42, 83.7374, 83.7374) * CHOOSE(CONTROL!$C$21, $C$9, 100%, $E$9)</f>
        <v>83.737399999999994</v>
      </c>
      <c r="E899" s="14">
        <f>CHOOSE(CONTROL!$C$42, 83.7715, 83.7715) * CHOOSE(CONTROL!$C$21, $C$9, 100%, $E$9)</f>
        <v>83.771500000000003</v>
      </c>
      <c r="F899" s="14">
        <f>CHOOSE(CONTROL!$C$42, 83.6989, 83.6989)*CHOOSE(CONTROL!$C$21, $C$9, 100%, $E$9)</f>
        <v>83.698899999999995</v>
      </c>
      <c r="G899" s="14">
        <f>CHOOSE(CONTROL!$C$42, 83.7163, 83.7163)*CHOOSE(CONTROL!$C$21, $C$9, 100%, $E$9)</f>
        <v>83.716300000000004</v>
      </c>
      <c r="H899" s="14">
        <f>CHOOSE(CONTROL!$C$42, 83.7607, 83.7607) * CHOOSE(CONTROL!$C$21, $C$9, 100%, $E$9)</f>
        <v>83.7607</v>
      </c>
      <c r="I899" s="14">
        <f>CHOOSE(CONTROL!$C$42, 83.9616, 83.9616)* CHOOSE(CONTROL!$C$21, $C$9, 100%, $E$9)</f>
        <v>83.961600000000004</v>
      </c>
      <c r="J899" s="14">
        <f>CHOOSE(CONTROL!$C$42, 83.6919, 83.6919)* CHOOSE(CONTROL!$C$21, $C$9, 100%, $E$9)</f>
        <v>83.691900000000004</v>
      </c>
      <c r="K899" s="52">
        <f>CHOOSE(CONTROL!$C$42, 83.9577, 83.9577) * CHOOSE(CONTROL!$C$21, $C$9, 100%, $E$9)</f>
        <v>83.957700000000003</v>
      </c>
      <c r="L899" s="14">
        <f>CHOOSE(CONTROL!$C$42, 84.3477, 84.3477) * CHOOSE(CONTROL!$C$21, $C$9, 100%, $E$9)</f>
        <v>84.347700000000003</v>
      </c>
      <c r="M899" s="14">
        <f>CHOOSE(CONTROL!$C$42, 81.9848, 81.9848) * CHOOSE(CONTROL!$C$21, $C$9, 100%, $E$9)</f>
        <v>81.984800000000007</v>
      </c>
      <c r="N899" s="14">
        <f>CHOOSE(CONTROL!$C$42, 82.0018, 82.0018) * CHOOSE(CONTROL!$C$21, $C$9, 100%, $E$9)</f>
        <v>82.001800000000003</v>
      </c>
      <c r="O899" s="14">
        <f>CHOOSE(CONTROL!$C$42, 82.0522, 82.0522) * CHOOSE(CONTROL!$C$21, $C$9, 100%, $E$9)</f>
        <v>82.052199999999999</v>
      </c>
      <c r="P899" s="14">
        <f>CHOOSE(CONTROL!$C$42, 82.2438, 82.2438) * CHOOSE(CONTROL!$C$21, $C$9, 100%, $E$9)</f>
        <v>82.243799999999993</v>
      </c>
      <c r="Q899" s="14">
        <f>CHOOSE(CONTROL!$C$42, 82.6469, 82.6469) * CHOOSE(CONTROL!$C$21, $C$9, 100%, $E$9)</f>
        <v>82.646900000000002</v>
      </c>
      <c r="R899" s="14">
        <f>CHOOSE(CONTROL!$C$42, 83.4405, 83.4405) * CHOOSE(CONTROL!$C$21, $C$9, 100%, $E$9)</f>
        <v>83.4405</v>
      </c>
      <c r="S899" s="14">
        <f>CHOOSE(CONTROL!$C$42, 80.3835, 80.3835) * CHOOSE(CONTROL!$C$21, $C$9, 100%, $E$9)</f>
        <v>80.383499999999998</v>
      </c>
      <c r="T89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56">
        <f>(1000*CHOOSE(CONTROL!$C$42, 695, 695)*CHOOSE(CONTROL!$C$42, 0.5599, 0.5599)*CHOOSE(CONTROL!$C$42, 30, 30))/1000000</f>
        <v>11.673914999999997</v>
      </c>
      <c r="V899" s="56">
        <f>(1000*CHOOSE(CONTROL!$C$42, 500, 500)*CHOOSE(CONTROL!$C$42, 0.275, 0.275)*CHOOSE(CONTROL!$C$42, 30, 30))/1000000</f>
        <v>4.125</v>
      </c>
      <c r="W899" s="56">
        <f>(1000*CHOOSE(CONTROL!$C$42, 0.1146, 0.1146)*CHOOSE(CONTROL!$C$42, 121.5, 121.5)*CHOOSE(CONTROL!$C$42, 30, 30))/1000000</f>
        <v>0.417717</v>
      </c>
      <c r="X899" s="56">
        <f>(30*0.1790888*100000/1000000)+(30*0.2374*100000/1000000)</f>
        <v>1.2494664</v>
      </c>
      <c r="Y899" s="56"/>
      <c r="Z899" s="14"/>
      <c r="AA899" s="55"/>
      <c r="AB899" s="49">
        <f>(B899*122.58+C899*297.941+D899*89.177+E899*40.302+F899*40+G899*160+H899*0+I899*100+J899*300)/(122.58+297.941+89.177+40.302+0+40+160+100+300)</f>
        <v>83.716145562695658</v>
      </c>
      <c r="AC899" s="44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82.053592805755386</v>
      </c>
    </row>
    <row r="900" spans="1:29" ht="15.75" x14ac:dyDescent="0.25">
      <c r="A900" s="31">
        <v>68302</v>
      </c>
      <c r="B900" s="14">
        <f>CHOOSE(CONTROL!$C$42, 89.3667, 89.3667) * CHOOSE(CONTROL!$C$21, $C$9, 100%, $E$9)</f>
        <v>89.366699999999994</v>
      </c>
      <c r="C900" s="14">
        <f>CHOOSE(CONTROL!$C$42, 89.3718, 89.3718) * CHOOSE(CONTROL!$C$21, $C$9, 100%, $E$9)</f>
        <v>89.371799999999993</v>
      </c>
      <c r="D900" s="14">
        <f>CHOOSE(CONTROL!$C$42, 89.4408, 89.4408) * CHOOSE(CONTROL!$C$21, $C$9, 100%, $E$9)</f>
        <v>89.440799999999996</v>
      </c>
      <c r="E900" s="14">
        <f>CHOOSE(CONTROL!$C$42, 89.4749, 89.4749) * CHOOSE(CONTROL!$C$21, $C$9, 100%, $E$9)</f>
        <v>89.474900000000005</v>
      </c>
      <c r="F900" s="14">
        <f>CHOOSE(CONTROL!$C$42, 89.4046, 89.4046)*CHOOSE(CONTROL!$C$21, $C$9, 100%, $E$9)</f>
        <v>89.404600000000002</v>
      </c>
      <c r="G900" s="14">
        <f>CHOOSE(CONTROL!$C$42, 89.4226, 89.4226)*CHOOSE(CONTROL!$C$21, $C$9, 100%, $E$9)</f>
        <v>89.422600000000003</v>
      </c>
      <c r="H900" s="14">
        <f>CHOOSE(CONTROL!$C$42, 89.4641, 89.4641) * CHOOSE(CONTROL!$C$21, $C$9, 100%, $E$9)</f>
        <v>89.464100000000002</v>
      </c>
      <c r="I900" s="14">
        <f>CHOOSE(CONTROL!$C$42, 89.683, 89.683)* CHOOSE(CONTROL!$C$21, $C$9, 100%, $E$9)</f>
        <v>89.683000000000007</v>
      </c>
      <c r="J900" s="14">
        <f>CHOOSE(CONTROL!$C$42, 89.3976, 89.3976)* CHOOSE(CONTROL!$C$21, $C$9, 100%, $E$9)</f>
        <v>89.397599999999997</v>
      </c>
      <c r="K900" s="52">
        <f>CHOOSE(CONTROL!$C$42, 89.6791, 89.6791) * CHOOSE(CONTROL!$C$21, $C$9, 100%, $E$9)</f>
        <v>89.679100000000005</v>
      </c>
      <c r="L900" s="14">
        <f>CHOOSE(CONTROL!$C$42, 90.0511, 90.0511) * CHOOSE(CONTROL!$C$21, $C$9, 100%, $E$9)</f>
        <v>90.051100000000005</v>
      </c>
      <c r="M900" s="14">
        <f>CHOOSE(CONTROL!$C$42, 87.5736, 87.5736) * CHOOSE(CONTROL!$C$21, $C$9, 100%, $E$9)</f>
        <v>87.573599999999999</v>
      </c>
      <c r="N900" s="14">
        <f>CHOOSE(CONTROL!$C$42, 87.5912, 87.5912) * CHOOSE(CONTROL!$C$21, $C$9, 100%, $E$9)</f>
        <v>87.591200000000001</v>
      </c>
      <c r="O900" s="14">
        <f>CHOOSE(CONTROL!$C$42, 87.6388, 87.6388) * CHOOSE(CONTROL!$C$21, $C$9, 100%, $E$9)</f>
        <v>87.638800000000003</v>
      </c>
      <c r="P900" s="14">
        <f>CHOOSE(CONTROL!$C$42, 87.8476, 87.8476) * CHOOSE(CONTROL!$C$21, $C$9, 100%, $E$9)</f>
        <v>87.8476</v>
      </c>
      <c r="Q900" s="14">
        <f>CHOOSE(CONTROL!$C$42, 88.2335, 88.2335) * CHOOSE(CONTROL!$C$21, $C$9, 100%, $E$9)</f>
        <v>88.233500000000006</v>
      </c>
      <c r="R900" s="14">
        <f>CHOOSE(CONTROL!$C$42, 89.041, 89.041) * CHOOSE(CONTROL!$C$21, $C$9, 100%, $E$9)</f>
        <v>89.040999999999997</v>
      </c>
      <c r="S900" s="14">
        <f>CHOOSE(CONTROL!$C$42, 85.864, 85.864) * CHOOSE(CONTROL!$C$21, $C$9, 100%, $E$9)</f>
        <v>85.864000000000004</v>
      </c>
      <c r="T90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56">
        <f>(1000*CHOOSE(CONTROL!$C$42, 695, 695)*CHOOSE(CONTROL!$C$42, 0.5599, 0.5599)*CHOOSE(CONTROL!$C$42, 31, 31))/1000000</f>
        <v>12.063045499999998</v>
      </c>
      <c r="V900" s="56">
        <f>(1000*CHOOSE(CONTROL!$C$42, 500, 500)*CHOOSE(CONTROL!$C$42, 0.275, 0.275)*CHOOSE(CONTROL!$C$42, 31, 31))/1000000</f>
        <v>4.2625000000000002</v>
      </c>
      <c r="W900" s="56">
        <f>(1000*CHOOSE(CONTROL!$C$42, 0.1146, 0.1146)*CHOOSE(CONTROL!$C$42, 121.5, 121.5)*CHOOSE(CONTROL!$C$42, 31, 31))/1000000</f>
        <v>0.43164089999999994</v>
      </c>
      <c r="X900" s="56">
        <f>(31*0.1790888*100000/1000000)+(31*0.2374*100000/1000000)</f>
        <v>1.2911152800000001</v>
      </c>
      <c r="Y900" s="56"/>
      <c r="Z900" s="14"/>
      <c r="AA900" s="55"/>
      <c r="AB900" s="49">
        <f>(B900*122.58+C900*297.941+D900*89.177+E900*40.302+F900*40+G900*160+H900*0+I900*100+J900*300)/(122.58+297.941+89.177+40.302+0+40+160+100+300)</f>
        <v>89.422220166260871</v>
      </c>
      <c r="AC900" s="44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87.643588489208639</v>
      </c>
    </row>
    <row r="901" spans="1:29" ht="15.75" x14ac:dyDescent="0.25">
      <c r="A901" s="31">
        <v>68333</v>
      </c>
      <c r="B901" s="14">
        <f>CHOOSE(CONTROL!$C$42, 96.7745, 96.7745) * CHOOSE(CONTROL!$C$21, $C$9, 100%, $E$9)</f>
        <v>96.774500000000003</v>
      </c>
      <c r="C901" s="14">
        <f>CHOOSE(CONTROL!$C$42, 96.7796, 96.7796) * CHOOSE(CONTROL!$C$21, $C$9, 100%, $E$9)</f>
        <v>96.779600000000002</v>
      </c>
      <c r="D901" s="14">
        <f>CHOOSE(CONTROL!$C$42, 96.859, 96.859) * CHOOSE(CONTROL!$C$21, $C$9, 100%, $E$9)</f>
        <v>96.858999999999995</v>
      </c>
      <c r="E901" s="14">
        <f>CHOOSE(CONTROL!$C$42, 96.8931, 96.8931) * CHOOSE(CONTROL!$C$21, $C$9, 100%, $E$9)</f>
        <v>96.893100000000004</v>
      </c>
      <c r="F901" s="14">
        <f>CHOOSE(CONTROL!$C$42, 96.7976, 96.7976)*CHOOSE(CONTROL!$C$21, $C$9, 100%, $E$9)</f>
        <v>96.797600000000003</v>
      </c>
      <c r="G901" s="14">
        <f>CHOOSE(CONTROL!$C$42, 96.8151, 96.8151)*CHOOSE(CONTROL!$C$21, $C$9, 100%, $E$9)</f>
        <v>96.815100000000001</v>
      </c>
      <c r="H901" s="14">
        <f>CHOOSE(CONTROL!$C$42, 96.8823, 96.8823) * CHOOSE(CONTROL!$C$21, $C$9, 100%, $E$9)</f>
        <v>96.882300000000001</v>
      </c>
      <c r="I901" s="14">
        <f>CHOOSE(CONTROL!$C$42, 97.1129, 97.1129)* CHOOSE(CONTROL!$C$21, $C$9, 100%, $E$9)</f>
        <v>97.112899999999996</v>
      </c>
      <c r="J901" s="14">
        <f>CHOOSE(CONTROL!$C$42, 96.7906, 96.7906)* CHOOSE(CONTROL!$C$21, $C$9, 100%, $E$9)</f>
        <v>96.790599999999998</v>
      </c>
      <c r="K901" s="52">
        <f>CHOOSE(CONTROL!$C$42, 97.109, 97.109) * CHOOSE(CONTROL!$C$21, $C$9, 100%, $E$9)</f>
        <v>97.108999999999995</v>
      </c>
      <c r="L901" s="14">
        <f>CHOOSE(CONTROL!$C$42, 97.4693, 97.4693) * CHOOSE(CONTROL!$C$21, $C$9, 100%, $E$9)</f>
        <v>97.469300000000004</v>
      </c>
      <c r="M901" s="14">
        <f>CHOOSE(CONTROL!$C$42, 94.8151, 94.8151) * CHOOSE(CONTROL!$C$21, $C$9, 100%, $E$9)</f>
        <v>94.815100000000001</v>
      </c>
      <c r="N901" s="14">
        <f>CHOOSE(CONTROL!$C$42, 94.8322, 94.8322) * CHOOSE(CONTROL!$C$21, $C$9, 100%, $E$9)</f>
        <v>94.8322</v>
      </c>
      <c r="O901" s="14">
        <f>CHOOSE(CONTROL!$C$42, 94.905, 94.905) * CHOOSE(CONTROL!$C$21, $C$9, 100%, $E$9)</f>
        <v>94.905000000000001</v>
      </c>
      <c r="P901" s="14">
        <f>CHOOSE(CONTROL!$C$42, 95.1248, 95.1248) * CHOOSE(CONTROL!$C$21, $C$9, 100%, $E$9)</f>
        <v>95.124799999999993</v>
      </c>
      <c r="Q901" s="14">
        <f>CHOOSE(CONTROL!$C$42, 95.4997, 95.4997) * CHOOSE(CONTROL!$C$21, $C$9, 100%, $E$9)</f>
        <v>95.499700000000004</v>
      </c>
      <c r="R901" s="14">
        <f>CHOOSE(CONTROL!$C$42, 96.3254, 96.3254) * CHOOSE(CONTROL!$C$21, $C$9, 100%, $E$9)</f>
        <v>96.325400000000002</v>
      </c>
      <c r="S901" s="14">
        <f>CHOOSE(CONTROL!$C$42, 92.9821, 92.9821) * CHOOSE(CONTROL!$C$21, $C$9, 100%, $E$9)</f>
        <v>92.982100000000003</v>
      </c>
      <c r="T90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56">
        <f>(1000*CHOOSE(CONTROL!$C$42, 695, 695)*CHOOSE(CONTROL!$C$42, 0.5599, 0.5599)*CHOOSE(CONTROL!$C$42, 31, 31))/1000000</f>
        <v>12.063045499999998</v>
      </c>
      <c r="V901" s="56">
        <f>(1000*CHOOSE(CONTROL!$C$42, 500, 500)*CHOOSE(CONTROL!$C$42, 0.275, 0.275)*CHOOSE(CONTROL!$C$42, 31, 31))/1000000</f>
        <v>4.2625000000000002</v>
      </c>
      <c r="W901" s="56">
        <f>(1000*CHOOSE(CONTROL!$C$42, 0.1146, 0.1146)*CHOOSE(CONTROL!$C$42, 121.5, 121.5)*CHOOSE(CONTROL!$C$42, 31, 31))/1000000</f>
        <v>0.43164089999999994</v>
      </c>
      <c r="X901" s="56">
        <f>(31*0.1790888*100000/1000000)+(31*0.2374*100000/1000000)</f>
        <v>1.2911152800000001</v>
      </c>
      <c r="Y901" s="56"/>
      <c r="Z901" s="14"/>
      <c r="AA901" s="55"/>
      <c r="AB901" s="49">
        <f>(B901*122.58+C901*297.941+D901*89.177+E901*40.302+F901*40+G901*160+H901*0+I901*100+J901*300)/(122.58+297.941+89.177+40.302+0+40+160+100+300)</f>
        <v>96.826608498086955</v>
      </c>
      <c r="AC901" s="44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94.901391366906481</v>
      </c>
    </row>
    <row r="902" spans="1:29" ht="15.75" x14ac:dyDescent="0.25">
      <c r="A902" s="31">
        <v>68361</v>
      </c>
      <c r="B902" s="14">
        <f>CHOOSE(CONTROL!$C$42, 98.4971, 98.4971) * CHOOSE(CONTROL!$C$21, $C$9, 100%, $E$9)</f>
        <v>98.497100000000003</v>
      </c>
      <c r="C902" s="14">
        <f>CHOOSE(CONTROL!$C$42, 98.5022, 98.5022) * CHOOSE(CONTROL!$C$21, $C$9, 100%, $E$9)</f>
        <v>98.502200000000002</v>
      </c>
      <c r="D902" s="14">
        <f>CHOOSE(CONTROL!$C$42, 98.5816, 98.5816) * CHOOSE(CONTROL!$C$21, $C$9, 100%, $E$9)</f>
        <v>98.581599999999995</v>
      </c>
      <c r="E902" s="14">
        <f>CHOOSE(CONTROL!$C$42, 98.6157, 98.6157) * CHOOSE(CONTROL!$C$21, $C$9, 100%, $E$9)</f>
        <v>98.615700000000004</v>
      </c>
      <c r="F902" s="14">
        <f>CHOOSE(CONTROL!$C$42, 98.5199, 98.5199)*CHOOSE(CONTROL!$C$21, $C$9, 100%, $E$9)</f>
        <v>98.519900000000007</v>
      </c>
      <c r="G902" s="14">
        <f>CHOOSE(CONTROL!$C$42, 98.5373, 98.5373)*CHOOSE(CONTROL!$C$21, $C$9, 100%, $E$9)</f>
        <v>98.537300000000002</v>
      </c>
      <c r="H902" s="14">
        <f>CHOOSE(CONTROL!$C$42, 98.6049, 98.6049) * CHOOSE(CONTROL!$C$21, $C$9, 100%, $E$9)</f>
        <v>98.604900000000001</v>
      </c>
      <c r="I902" s="14">
        <f>CHOOSE(CONTROL!$C$42, 98.8409, 98.8409)* CHOOSE(CONTROL!$C$21, $C$9, 100%, $E$9)</f>
        <v>98.840900000000005</v>
      </c>
      <c r="J902" s="14">
        <f>CHOOSE(CONTROL!$C$42, 98.5129, 98.5129)* CHOOSE(CONTROL!$C$21, $C$9, 100%, $E$9)</f>
        <v>98.512900000000002</v>
      </c>
      <c r="K902" s="52">
        <f>CHOOSE(CONTROL!$C$42, 98.837, 98.837) * CHOOSE(CONTROL!$C$21, $C$9, 100%, $E$9)</f>
        <v>98.837000000000003</v>
      </c>
      <c r="L902" s="14">
        <f>CHOOSE(CONTROL!$C$42, 99.1919, 99.1919) * CHOOSE(CONTROL!$C$21, $C$9, 100%, $E$9)</f>
        <v>99.191900000000004</v>
      </c>
      <c r="M902" s="14">
        <f>CHOOSE(CONTROL!$C$42, 96.5021, 96.5021) * CHOOSE(CONTROL!$C$21, $C$9, 100%, $E$9)</f>
        <v>96.502099999999999</v>
      </c>
      <c r="N902" s="14">
        <f>CHOOSE(CONTROL!$C$42, 96.5192, 96.5192) * CHOOSE(CONTROL!$C$21, $C$9, 100%, $E$9)</f>
        <v>96.519199999999998</v>
      </c>
      <c r="O902" s="14">
        <f>CHOOSE(CONTROL!$C$42, 96.5922, 96.5922) * CHOOSE(CONTROL!$C$21, $C$9, 100%, $E$9)</f>
        <v>96.592200000000005</v>
      </c>
      <c r="P902" s="14">
        <f>CHOOSE(CONTROL!$C$42, 96.8172, 96.8172) * CHOOSE(CONTROL!$C$21, $C$9, 100%, $E$9)</f>
        <v>96.8172</v>
      </c>
      <c r="Q902" s="14">
        <f>CHOOSE(CONTROL!$C$42, 97.1869, 97.1869) * CHOOSE(CONTROL!$C$21, $C$9, 100%, $E$9)</f>
        <v>97.186899999999994</v>
      </c>
      <c r="R902" s="14">
        <f>CHOOSE(CONTROL!$C$42, 98.0169, 98.0169) * CHOOSE(CONTROL!$C$21, $C$9, 100%, $E$9)</f>
        <v>98.016900000000007</v>
      </c>
      <c r="S902" s="14">
        <f>CHOOSE(CONTROL!$C$42, 94.6373, 94.6373) * CHOOSE(CONTROL!$C$21, $C$9, 100%, $E$9)</f>
        <v>94.637299999999996</v>
      </c>
      <c r="T90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02" s="56">
        <f>(1000*CHOOSE(CONTROL!$C$42, 695, 695)*CHOOSE(CONTROL!$C$42, 0.5599, 0.5599)*CHOOSE(CONTROL!$C$42, 28, 28))/1000000</f>
        <v>10.895653999999999</v>
      </c>
      <c r="V902" s="56">
        <f>(1000*CHOOSE(CONTROL!$C$42, 500, 500)*CHOOSE(CONTROL!$C$42, 0.275, 0.275)*CHOOSE(CONTROL!$C$42, 28, 28))/1000000</f>
        <v>3.85</v>
      </c>
      <c r="W902" s="56">
        <f>(1000*CHOOSE(CONTROL!$C$42, 0.1146, 0.1146)*CHOOSE(CONTROL!$C$42, 121.5, 121.5)*CHOOSE(CONTROL!$C$42, 28, 28))/1000000</f>
        <v>0.38986920000000003</v>
      </c>
      <c r="X902" s="56">
        <f>(28*0.1790888*100000/1000000)+(28*0.2374*100000/1000000)</f>
        <v>1.16616864</v>
      </c>
      <c r="Y902" s="56"/>
      <c r="Z902" s="14"/>
      <c r="AA902" s="55"/>
      <c r="AB902" s="49">
        <f>(B902*122.58+C902*297.941+D902*89.177+E902*40.302+F902*40+G902*160+H902*0+I902*100+J902*300)/(122.58+297.941+89.177+40.302+0+40+160+100+300)</f>
        <v>98.549533715478262</v>
      </c>
      <c r="AC902" s="44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96.589258992805767</v>
      </c>
    </row>
    <row r="903" spans="1:29" ht="15.75" x14ac:dyDescent="0.25">
      <c r="A903" s="31">
        <v>68392</v>
      </c>
      <c r="B903" s="14">
        <f>CHOOSE(CONTROL!$C$42, 95.701, 95.701) * CHOOSE(CONTROL!$C$21, $C$9, 100%, $E$9)</f>
        <v>95.700999999999993</v>
      </c>
      <c r="C903" s="14">
        <f>CHOOSE(CONTROL!$C$42, 95.706, 95.706) * CHOOSE(CONTROL!$C$21, $C$9, 100%, $E$9)</f>
        <v>95.706000000000003</v>
      </c>
      <c r="D903" s="14">
        <f>CHOOSE(CONTROL!$C$42, 95.7854, 95.7854) * CHOOSE(CONTROL!$C$21, $C$9, 100%, $E$9)</f>
        <v>95.785399999999996</v>
      </c>
      <c r="E903" s="14">
        <f>CHOOSE(CONTROL!$C$42, 95.8196, 95.8196) * CHOOSE(CONTROL!$C$21, $C$9, 100%, $E$9)</f>
        <v>95.819599999999994</v>
      </c>
      <c r="F903" s="14">
        <f>CHOOSE(CONTROL!$C$42, 95.723, 95.723)*CHOOSE(CONTROL!$C$21, $C$9, 100%, $E$9)</f>
        <v>95.722999999999999</v>
      </c>
      <c r="G903" s="14">
        <f>CHOOSE(CONTROL!$C$42, 95.7403, 95.7403)*CHOOSE(CONTROL!$C$21, $C$9, 100%, $E$9)</f>
        <v>95.740300000000005</v>
      </c>
      <c r="H903" s="14">
        <f>CHOOSE(CONTROL!$C$42, 95.8087, 95.8087) * CHOOSE(CONTROL!$C$21, $C$9, 100%, $E$9)</f>
        <v>95.808700000000002</v>
      </c>
      <c r="I903" s="14">
        <f>CHOOSE(CONTROL!$C$42, 96.036, 96.036)* CHOOSE(CONTROL!$C$21, $C$9, 100%, $E$9)</f>
        <v>96.036000000000001</v>
      </c>
      <c r="J903" s="14">
        <f>CHOOSE(CONTROL!$C$42, 95.716, 95.716)* CHOOSE(CONTROL!$C$21, $C$9, 100%, $E$9)</f>
        <v>95.715999999999994</v>
      </c>
      <c r="K903" s="52">
        <f>CHOOSE(CONTROL!$C$42, 96.0321, 96.0321) * CHOOSE(CONTROL!$C$21, $C$9, 100%, $E$9)</f>
        <v>96.0321</v>
      </c>
      <c r="L903" s="14">
        <f>CHOOSE(CONTROL!$C$42, 96.3957, 96.3957) * CHOOSE(CONTROL!$C$21, $C$9, 100%, $E$9)</f>
        <v>96.395700000000005</v>
      </c>
      <c r="M903" s="14">
        <f>CHOOSE(CONTROL!$C$42, 93.7625, 93.7625) * CHOOSE(CONTROL!$C$21, $C$9, 100%, $E$9)</f>
        <v>93.762500000000003</v>
      </c>
      <c r="N903" s="14">
        <f>CHOOSE(CONTROL!$C$42, 93.7795, 93.7795) * CHOOSE(CONTROL!$C$21, $C$9, 100%, $E$9)</f>
        <v>93.779499999999999</v>
      </c>
      <c r="O903" s="14">
        <f>CHOOSE(CONTROL!$C$42, 93.8534, 93.8534) * CHOOSE(CONTROL!$C$21, $C$9, 100%, $E$9)</f>
        <v>93.853399999999993</v>
      </c>
      <c r="P903" s="14">
        <f>CHOOSE(CONTROL!$C$42, 94.07, 94.07) * CHOOSE(CONTROL!$C$21, $C$9, 100%, $E$9)</f>
        <v>94.07</v>
      </c>
      <c r="Q903" s="14">
        <f>CHOOSE(CONTROL!$C$42, 94.4481, 94.4481) * CHOOSE(CONTROL!$C$21, $C$9, 100%, $E$9)</f>
        <v>94.448099999999997</v>
      </c>
      <c r="R903" s="14">
        <f>CHOOSE(CONTROL!$C$42, 95.2712, 95.2712) * CHOOSE(CONTROL!$C$21, $C$9, 100%, $E$9)</f>
        <v>95.271199999999993</v>
      </c>
      <c r="S903" s="14">
        <f>CHOOSE(CONTROL!$C$42, 91.9505, 91.9505) * CHOOSE(CONTROL!$C$21, $C$9, 100%, $E$9)</f>
        <v>91.950500000000005</v>
      </c>
      <c r="T90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56">
        <f>(1000*CHOOSE(CONTROL!$C$42, 695, 695)*CHOOSE(CONTROL!$C$42, 0.5599, 0.5599)*CHOOSE(CONTROL!$C$42, 31, 31))/1000000</f>
        <v>12.063045499999998</v>
      </c>
      <c r="V903" s="56">
        <f>(1000*CHOOSE(CONTROL!$C$42, 500, 500)*CHOOSE(CONTROL!$C$42, 0.275, 0.275)*CHOOSE(CONTROL!$C$42, 31, 31))/1000000</f>
        <v>4.2625000000000002</v>
      </c>
      <c r="W903" s="56">
        <f>(1000*CHOOSE(CONTROL!$C$42, 0.1146, 0.1146)*CHOOSE(CONTROL!$C$42, 121.5, 121.5)*CHOOSE(CONTROL!$C$42, 31, 31))/1000000</f>
        <v>0.43164089999999994</v>
      </c>
      <c r="X903" s="56">
        <f>(31*0.1790888*100000/1000000)+(31*0.2374*100000/1000000)</f>
        <v>1.2911152800000001</v>
      </c>
      <c r="Y903" s="56"/>
      <c r="Z903" s="14"/>
      <c r="AA903" s="55"/>
      <c r="AB903" s="49">
        <f>(B903*122.58+C903*297.941+D903*89.177+E903*40.302+F903*40+G903*160+H903*0+I903*100+J903*300)/(122.58+297.941+89.177+40.302+0+40+160+100+300)</f>
        <v>95.752273096521733</v>
      </c>
      <c r="AC903" s="44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93.848922302158272</v>
      </c>
    </row>
    <row r="904" spans="1:29" ht="15.75" x14ac:dyDescent="0.25">
      <c r="A904" s="31">
        <v>68422</v>
      </c>
      <c r="B904" s="14">
        <f>CHOOSE(CONTROL!$C$42, 95.4154, 95.4154) * CHOOSE(CONTROL!$C$21, $C$9, 100%, $E$9)</f>
        <v>95.415400000000005</v>
      </c>
      <c r="C904" s="14">
        <f>CHOOSE(CONTROL!$C$42, 95.4199, 95.4199) * CHOOSE(CONTROL!$C$21, $C$9, 100%, $E$9)</f>
        <v>95.419899999999998</v>
      </c>
      <c r="D904" s="14">
        <f>CHOOSE(CONTROL!$C$42, 95.6489, 95.6489) * CHOOSE(CONTROL!$C$21, $C$9, 100%, $E$9)</f>
        <v>95.648899999999998</v>
      </c>
      <c r="E904" s="14">
        <f>CHOOSE(CONTROL!$C$42, 95.681, 95.681) * CHOOSE(CONTROL!$C$21, $C$9, 100%, $E$9)</f>
        <v>95.680999999999997</v>
      </c>
      <c r="F904" s="14">
        <f>CHOOSE(CONTROL!$C$42, 95.4424, 95.4424)*CHOOSE(CONTROL!$C$21, $C$9, 100%, $E$9)</f>
        <v>95.442400000000006</v>
      </c>
      <c r="G904" s="14">
        <f>CHOOSE(CONTROL!$C$42, 95.4592, 95.4592)*CHOOSE(CONTROL!$C$21, $C$9, 100%, $E$9)</f>
        <v>95.459199999999996</v>
      </c>
      <c r="H904" s="14">
        <f>CHOOSE(CONTROL!$C$42, 95.6708, 95.6708) * CHOOSE(CONTROL!$C$21, $C$9, 100%, $E$9)</f>
        <v>95.6708</v>
      </c>
      <c r="I904" s="14">
        <f>CHOOSE(CONTROL!$C$42, 95.7472, 95.7472)* CHOOSE(CONTROL!$C$21, $C$9, 100%, $E$9)</f>
        <v>95.747200000000007</v>
      </c>
      <c r="J904" s="14">
        <f>CHOOSE(CONTROL!$C$42, 95.4354, 95.4354)* CHOOSE(CONTROL!$C$21, $C$9, 100%, $E$9)</f>
        <v>95.435400000000001</v>
      </c>
      <c r="K904" s="52">
        <f>CHOOSE(CONTROL!$C$42, 95.7433, 95.7433) * CHOOSE(CONTROL!$C$21, $C$9, 100%, $E$9)</f>
        <v>95.743300000000005</v>
      </c>
      <c r="L904" s="14">
        <f>CHOOSE(CONTROL!$C$42, 96.2578, 96.2578) * CHOOSE(CONTROL!$C$21, $C$9, 100%, $E$9)</f>
        <v>96.257800000000003</v>
      </c>
      <c r="M904" s="14">
        <f>CHOOSE(CONTROL!$C$42, 93.4877, 93.4877) * CHOOSE(CONTROL!$C$21, $C$9, 100%, $E$9)</f>
        <v>93.487700000000004</v>
      </c>
      <c r="N904" s="14">
        <f>CHOOSE(CONTROL!$C$42, 93.5041, 93.5041) * CHOOSE(CONTROL!$C$21, $C$9, 100%, $E$9)</f>
        <v>93.504099999999994</v>
      </c>
      <c r="O904" s="14">
        <f>CHOOSE(CONTROL!$C$42, 93.7182, 93.7182) * CHOOSE(CONTROL!$C$21, $C$9, 100%, $E$9)</f>
        <v>93.718199999999996</v>
      </c>
      <c r="P904" s="14">
        <f>CHOOSE(CONTROL!$C$42, 93.7872, 93.7872) * CHOOSE(CONTROL!$C$21, $C$9, 100%, $E$9)</f>
        <v>93.787199999999999</v>
      </c>
      <c r="Q904" s="14">
        <f>CHOOSE(CONTROL!$C$42, 94.3129, 94.3129) * CHOOSE(CONTROL!$C$21, $C$9, 100%, $E$9)</f>
        <v>94.312899999999999</v>
      </c>
      <c r="R904" s="14">
        <f>CHOOSE(CONTROL!$C$42, 95.1357, 95.1357) * CHOOSE(CONTROL!$C$21, $C$9, 100%, $E$9)</f>
        <v>95.1357</v>
      </c>
      <c r="S904" s="14">
        <f>CHOOSE(CONTROL!$C$42, 91.6754, 91.6754) * CHOOSE(CONTROL!$C$21, $C$9, 100%, $E$9)</f>
        <v>91.675399999999996</v>
      </c>
      <c r="T90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56">
        <f>(1000*CHOOSE(CONTROL!$C$42, 695, 695)*CHOOSE(CONTROL!$C$42, 0.5599, 0.5599)*CHOOSE(CONTROL!$C$42, 30, 30))/1000000</f>
        <v>11.673914999999997</v>
      </c>
      <c r="V904" s="56">
        <f>(1000*CHOOSE(CONTROL!$C$42, 500, 500)*CHOOSE(CONTROL!$C$42, 0.275, 0.275)*CHOOSE(CONTROL!$C$42, 30, 30))/1000000</f>
        <v>4.125</v>
      </c>
      <c r="W904" s="56">
        <f>(1000*CHOOSE(CONTROL!$C$42, 0.1146, 0.1146)*CHOOSE(CONTROL!$C$42, 121.5, 121.5)*CHOOSE(CONTROL!$C$42, 30, 30))/1000000</f>
        <v>0.417717</v>
      </c>
      <c r="X904" s="56">
        <f>(30*0.1790888*245000/1000000)+(30*0.2374*100000/1000000)</f>
        <v>2.0285026799999999</v>
      </c>
      <c r="Y904" s="56"/>
      <c r="Z904" s="14"/>
      <c r="AA904" s="55"/>
      <c r="AB904" s="49">
        <f>(B904*141.293+C904*267.993+D904*115.016+E904*89.698+F904*40+G904*185+H904*0+I904*100+J904*300)/(141.293+267.993+115.016+89.698+0+40+185+100+300)</f>
        <v>95.496311213317185</v>
      </c>
      <c r="AC904" s="44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93.636208633093531</v>
      </c>
    </row>
    <row r="905" spans="1:29" ht="15.75" x14ac:dyDescent="0.25">
      <c r="A905" s="31">
        <v>68453</v>
      </c>
      <c r="B905" s="14">
        <f>CHOOSE(CONTROL!$C$42, 96.2589, 96.2589) * CHOOSE(CONTROL!$C$21, $C$9, 100%, $E$9)</f>
        <v>96.258899999999997</v>
      </c>
      <c r="C905" s="14">
        <f>CHOOSE(CONTROL!$C$42, 96.2669, 96.2669) * CHOOSE(CONTROL!$C$21, $C$9, 100%, $E$9)</f>
        <v>96.266900000000007</v>
      </c>
      <c r="D905" s="14">
        <f>CHOOSE(CONTROL!$C$42, 96.4927, 96.4927) * CHOOSE(CONTROL!$C$21, $C$9, 100%, $E$9)</f>
        <v>96.492699999999999</v>
      </c>
      <c r="E905" s="14">
        <f>CHOOSE(CONTROL!$C$42, 96.5242, 96.5242) * CHOOSE(CONTROL!$C$21, $C$9, 100%, $E$9)</f>
        <v>96.524199999999993</v>
      </c>
      <c r="F905" s="14">
        <f>CHOOSE(CONTROL!$C$42, 96.2846, 96.2846)*CHOOSE(CONTROL!$C$21, $C$9, 100%, $E$9)</f>
        <v>96.284599999999998</v>
      </c>
      <c r="G905" s="14">
        <f>CHOOSE(CONTROL!$C$42, 96.3015, 96.3015)*CHOOSE(CONTROL!$C$21, $C$9, 100%, $E$9)</f>
        <v>96.301500000000004</v>
      </c>
      <c r="H905" s="14">
        <f>CHOOSE(CONTROL!$C$42, 96.5128, 96.5128) * CHOOSE(CONTROL!$C$21, $C$9, 100%, $E$9)</f>
        <v>96.512799999999999</v>
      </c>
      <c r="I905" s="14">
        <f>CHOOSE(CONTROL!$C$42, 96.5919, 96.5919)* CHOOSE(CONTROL!$C$21, $C$9, 100%, $E$9)</f>
        <v>96.591899999999995</v>
      </c>
      <c r="J905" s="14">
        <f>CHOOSE(CONTROL!$C$42, 96.2776, 96.2776)* CHOOSE(CONTROL!$C$21, $C$9, 100%, $E$9)</f>
        <v>96.277600000000007</v>
      </c>
      <c r="K905" s="52">
        <f>CHOOSE(CONTROL!$C$42, 96.588, 96.588) * CHOOSE(CONTROL!$C$21, $C$9, 100%, $E$9)</f>
        <v>96.587999999999994</v>
      </c>
      <c r="L905" s="14">
        <f>CHOOSE(CONTROL!$C$42, 97.0998, 97.0998) * CHOOSE(CONTROL!$C$21, $C$9, 100%, $E$9)</f>
        <v>97.099800000000002</v>
      </c>
      <c r="M905" s="14">
        <f>CHOOSE(CONTROL!$C$42, 94.3126, 94.3126) * CHOOSE(CONTROL!$C$21, $C$9, 100%, $E$9)</f>
        <v>94.312600000000003</v>
      </c>
      <c r="N905" s="14">
        <f>CHOOSE(CONTROL!$C$42, 94.3292, 94.3292) * CHOOSE(CONTROL!$C$21, $C$9, 100%, $E$9)</f>
        <v>94.3292</v>
      </c>
      <c r="O905" s="14">
        <f>CHOOSE(CONTROL!$C$42, 94.543, 94.543) * CHOOSE(CONTROL!$C$21, $C$9, 100%, $E$9)</f>
        <v>94.543000000000006</v>
      </c>
      <c r="P905" s="14">
        <f>CHOOSE(CONTROL!$C$42, 94.6145, 94.6145) * CHOOSE(CONTROL!$C$21, $C$9, 100%, $E$9)</f>
        <v>94.614500000000007</v>
      </c>
      <c r="Q905" s="14">
        <f>CHOOSE(CONTROL!$C$42, 95.1377, 95.1377) * CHOOSE(CONTROL!$C$21, $C$9, 100%, $E$9)</f>
        <v>95.137699999999995</v>
      </c>
      <c r="R905" s="14">
        <f>CHOOSE(CONTROL!$C$42, 95.9626, 95.9626) * CHOOSE(CONTROL!$C$21, $C$9, 100%, $E$9)</f>
        <v>95.962599999999995</v>
      </c>
      <c r="S905" s="14">
        <f>CHOOSE(CONTROL!$C$42, 92.4845, 92.4845) * CHOOSE(CONTROL!$C$21, $C$9, 100%, $E$9)</f>
        <v>92.484499999999997</v>
      </c>
      <c r="T90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56">
        <f>(1000*CHOOSE(CONTROL!$C$42, 695, 695)*CHOOSE(CONTROL!$C$42, 0.5599, 0.5599)*CHOOSE(CONTROL!$C$42, 31, 31))/1000000</f>
        <v>12.063045499999998</v>
      </c>
      <c r="V905" s="56">
        <f>(1000*CHOOSE(CONTROL!$C$42, 500, 500)*CHOOSE(CONTROL!$C$42, 0.275, 0.275)*CHOOSE(CONTROL!$C$42, 31, 31))/1000000</f>
        <v>4.2625000000000002</v>
      </c>
      <c r="W905" s="56">
        <f>(1000*CHOOSE(CONTROL!$C$42, 0.1146, 0.1146)*CHOOSE(CONTROL!$C$42, 121.5, 121.5)*CHOOSE(CONTROL!$C$42, 31, 31))/1000000</f>
        <v>0.43164089999999994</v>
      </c>
      <c r="X905" s="56">
        <f>(31*0.1790888*245000/1000000)+(31*0.2374*100000/1000000)</f>
        <v>2.0961194359999999</v>
      </c>
      <c r="Y905" s="56"/>
      <c r="Z905" s="14"/>
      <c r="AA905" s="55"/>
      <c r="AB905" s="49">
        <f>(B905*194.205+C905*267.466+D905*133.845+E905*53.484+F905*40+G905*185+H905*0+I905*100+J905*300)/(194.205+267.466+133.845+53.484+0+40+185+100+300)</f>
        <v>96.33381443814757</v>
      </c>
      <c r="AC905" s="44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94.461420143884894</v>
      </c>
    </row>
    <row r="906" spans="1:29" ht="15.75" x14ac:dyDescent="0.25">
      <c r="A906" s="31">
        <v>68483</v>
      </c>
      <c r="B906" s="14">
        <f>CHOOSE(CONTROL!$C$42, 98.9891, 98.9891) * CHOOSE(CONTROL!$C$21, $C$9, 100%, $E$9)</f>
        <v>98.989099999999993</v>
      </c>
      <c r="C906" s="14">
        <f>CHOOSE(CONTROL!$C$42, 98.9971, 98.9971) * CHOOSE(CONTROL!$C$21, $C$9, 100%, $E$9)</f>
        <v>98.997100000000003</v>
      </c>
      <c r="D906" s="14">
        <f>CHOOSE(CONTROL!$C$42, 99.2229, 99.2229) * CHOOSE(CONTROL!$C$21, $C$9, 100%, $E$9)</f>
        <v>99.222899999999996</v>
      </c>
      <c r="E906" s="14">
        <f>CHOOSE(CONTROL!$C$42, 99.2544, 99.2544) * CHOOSE(CONTROL!$C$21, $C$9, 100%, $E$9)</f>
        <v>99.254400000000004</v>
      </c>
      <c r="F906" s="14">
        <f>CHOOSE(CONTROL!$C$42, 99.0152, 99.0152)*CHOOSE(CONTROL!$C$21, $C$9, 100%, $E$9)</f>
        <v>99.015199999999993</v>
      </c>
      <c r="G906" s="14">
        <f>CHOOSE(CONTROL!$C$42, 99.0323, 99.0323)*CHOOSE(CONTROL!$C$21, $C$9, 100%, $E$9)</f>
        <v>99.032300000000006</v>
      </c>
      <c r="H906" s="14">
        <f>CHOOSE(CONTROL!$C$42, 99.243, 99.243) * CHOOSE(CONTROL!$C$21, $C$9, 100%, $E$9)</f>
        <v>99.242999999999995</v>
      </c>
      <c r="I906" s="14">
        <f>CHOOSE(CONTROL!$C$42, 99.3306, 99.3306)* CHOOSE(CONTROL!$C$21, $C$9, 100%, $E$9)</f>
        <v>99.330600000000004</v>
      </c>
      <c r="J906" s="14">
        <f>CHOOSE(CONTROL!$C$42, 99.0082, 99.0082)* CHOOSE(CONTROL!$C$21, $C$9, 100%, $E$9)</f>
        <v>99.008200000000002</v>
      </c>
      <c r="K906" s="52">
        <f>CHOOSE(CONTROL!$C$42, 99.3268, 99.3268) * CHOOSE(CONTROL!$C$21, $C$9, 100%, $E$9)</f>
        <v>99.326800000000006</v>
      </c>
      <c r="L906" s="14">
        <f>CHOOSE(CONTROL!$C$42, 99.83, 99.83) * CHOOSE(CONTROL!$C$21, $C$9, 100%, $E$9)</f>
        <v>99.83</v>
      </c>
      <c r="M906" s="14">
        <f>CHOOSE(CONTROL!$C$42, 96.9873, 96.9873) * CHOOSE(CONTROL!$C$21, $C$9, 100%, $E$9)</f>
        <v>96.987300000000005</v>
      </c>
      <c r="N906" s="14">
        <f>CHOOSE(CONTROL!$C$42, 97.004, 97.004) * CHOOSE(CONTROL!$C$21, $C$9, 100%, $E$9)</f>
        <v>97.004000000000005</v>
      </c>
      <c r="O906" s="14">
        <f>CHOOSE(CONTROL!$C$42, 97.2173, 97.2173) * CHOOSE(CONTROL!$C$21, $C$9, 100%, $E$9)</f>
        <v>97.217299999999994</v>
      </c>
      <c r="P906" s="14">
        <f>CHOOSE(CONTROL!$C$42, 97.297, 97.297) * CHOOSE(CONTROL!$C$21, $C$9, 100%, $E$9)</f>
        <v>97.296999999999997</v>
      </c>
      <c r="Q906" s="14">
        <f>CHOOSE(CONTROL!$C$42, 97.812, 97.812) * CHOOSE(CONTROL!$C$21, $C$9, 100%, $E$9)</f>
        <v>97.811999999999998</v>
      </c>
      <c r="R906" s="14">
        <f>CHOOSE(CONTROL!$C$42, 98.6435, 98.6435) * CHOOSE(CONTROL!$C$21, $C$9, 100%, $E$9)</f>
        <v>98.643500000000003</v>
      </c>
      <c r="S906" s="14">
        <f>CHOOSE(CONTROL!$C$42, 95.108, 95.108) * CHOOSE(CONTROL!$C$21, $C$9, 100%, $E$9)</f>
        <v>95.108000000000004</v>
      </c>
      <c r="T90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56">
        <f>(1000*CHOOSE(CONTROL!$C$42, 695, 695)*CHOOSE(CONTROL!$C$42, 0.5599, 0.5599)*CHOOSE(CONTROL!$C$42, 30, 30))/1000000</f>
        <v>11.673914999999997</v>
      </c>
      <c r="V906" s="56">
        <f>(1000*CHOOSE(CONTROL!$C$42, 500, 500)*CHOOSE(CONTROL!$C$42, 0.275, 0.275)*CHOOSE(CONTROL!$C$42, 30, 30))/1000000</f>
        <v>4.125</v>
      </c>
      <c r="W906" s="56">
        <f>(1000*CHOOSE(CONTROL!$C$42, 0.1146, 0.1146)*CHOOSE(CONTROL!$C$42, 121.5, 121.5)*CHOOSE(CONTROL!$C$42, 30, 30))/1000000</f>
        <v>0.417717</v>
      </c>
      <c r="X906" s="56">
        <f>(30*0.1790888*245000/1000000)+(30*0.2374*100000/1000000)</f>
        <v>2.0285026799999999</v>
      </c>
      <c r="Y906" s="56"/>
      <c r="Z906" s="14"/>
      <c r="AA906" s="55"/>
      <c r="AB906" s="49">
        <f>(B906*194.205+C906*267.466+D906*133.845+E906*53.484+F906*40+G906*185+H906*0+I906*100+J906*300)/(194.205+267.466+133.845+53.484+0+40+185+100+300)</f>
        <v>99.064875505651486</v>
      </c>
      <c r="AC906" s="44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97.137066906474814</v>
      </c>
    </row>
    <row r="907" spans="1:29" ht="15.75" x14ac:dyDescent="0.25">
      <c r="A907" s="31">
        <v>68514</v>
      </c>
      <c r="B907" s="14">
        <f>CHOOSE(CONTROL!$C$42, 97.0902, 97.0902) * CHOOSE(CONTROL!$C$21, $C$9, 100%, $E$9)</f>
        <v>97.090199999999996</v>
      </c>
      <c r="C907" s="14">
        <f>CHOOSE(CONTROL!$C$42, 97.0983, 97.0983) * CHOOSE(CONTROL!$C$21, $C$9, 100%, $E$9)</f>
        <v>97.098299999999995</v>
      </c>
      <c r="D907" s="14">
        <f>CHOOSE(CONTROL!$C$42, 97.324, 97.324) * CHOOSE(CONTROL!$C$21, $C$9, 100%, $E$9)</f>
        <v>97.323999999999998</v>
      </c>
      <c r="E907" s="14">
        <f>CHOOSE(CONTROL!$C$42, 97.3555, 97.3555) * CHOOSE(CONTROL!$C$21, $C$9, 100%, $E$9)</f>
        <v>97.355500000000006</v>
      </c>
      <c r="F907" s="14">
        <f>CHOOSE(CONTROL!$C$42, 97.1168, 97.1168)*CHOOSE(CONTROL!$C$21, $C$9, 100%, $E$9)</f>
        <v>97.116799999999998</v>
      </c>
      <c r="G907" s="14">
        <f>CHOOSE(CONTROL!$C$42, 97.134, 97.134)*CHOOSE(CONTROL!$C$21, $C$9, 100%, $E$9)</f>
        <v>97.134</v>
      </c>
      <c r="H907" s="14">
        <f>CHOOSE(CONTROL!$C$42, 97.3441, 97.3441) * CHOOSE(CONTROL!$C$21, $C$9, 100%, $E$9)</f>
        <v>97.344099999999997</v>
      </c>
      <c r="I907" s="14">
        <f>CHOOSE(CONTROL!$C$42, 97.4258, 97.4258)* CHOOSE(CONTROL!$C$21, $C$9, 100%, $E$9)</f>
        <v>97.425799999999995</v>
      </c>
      <c r="J907" s="14">
        <f>CHOOSE(CONTROL!$C$42, 97.1098, 97.1098)* CHOOSE(CONTROL!$C$21, $C$9, 100%, $E$9)</f>
        <v>97.109800000000007</v>
      </c>
      <c r="K907" s="52">
        <f>CHOOSE(CONTROL!$C$42, 97.4219, 97.4219) * CHOOSE(CONTROL!$C$21, $C$9, 100%, $E$9)</f>
        <v>97.421899999999994</v>
      </c>
      <c r="L907" s="14">
        <f>CHOOSE(CONTROL!$C$42, 97.9311, 97.9311) * CHOOSE(CONTROL!$C$21, $C$9, 100%, $E$9)</f>
        <v>97.931100000000001</v>
      </c>
      <c r="M907" s="14">
        <f>CHOOSE(CONTROL!$C$42, 95.1278, 95.1278) * CHOOSE(CONTROL!$C$21, $C$9, 100%, $E$9)</f>
        <v>95.127799999999993</v>
      </c>
      <c r="N907" s="14">
        <f>CHOOSE(CONTROL!$C$42, 95.1446, 95.1446) * CHOOSE(CONTROL!$C$21, $C$9, 100%, $E$9)</f>
        <v>95.144599999999997</v>
      </c>
      <c r="O907" s="14">
        <f>CHOOSE(CONTROL!$C$42, 95.3573, 95.3573) * CHOOSE(CONTROL!$C$21, $C$9, 100%, $E$9)</f>
        <v>95.357299999999995</v>
      </c>
      <c r="P907" s="14">
        <f>CHOOSE(CONTROL!$C$42, 95.4313, 95.4313) * CHOOSE(CONTROL!$C$21, $C$9, 100%, $E$9)</f>
        <v>95.431299999999993</v>
      </c>
      <c r="Q907" s="14">
        <f>CHOOSE(CONTROL!$C$42, 95.952, 95.952) * CHOOSE(CONTROL!$C$21, $C$9, 100%, $E$9)</f>
        <v>95.951999999999998</v>
      </c>
      <c r="R907" s="14">
        <f>CHOOSE(CONTROL!$C$42, 96.7789, 96.7789) * CHOOSE(CONTROL!$C$21, $C$9, 100%, $E$9)</f>
        <v>96.778899999999993</v>
      </c>
      <c r="S907" s="14">
        <f>CHOOSE(CONTROL!$C$42, 93.2834, 93.2834) * CHOOSE(CONTROL!$C$21, $C$9, 100%, $E$9)</f>
        <v>93.2834</v>
      </c>
      <c r="T90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56">
        <f>(1000*CHOOSE(CONTROL!$C$42, 695, 695)*CHOOSE(CONTROL!$C$42, 0.5599, 0.5599)*CHOOSE(CONTROL!$C$42, 31, 31))/1000000</f>
        <v>12.063045499999998</v>
      </c>
      <c r="V907" s="56">
        <f>(1000*CHOOSE(CONTROL!$C$42, 500, 500)*CHOOSE(CONTROL!$C$42, 0.275, 0.275)*CHOOSE(CONTROL!$C$42, 31, 31))/1000000</f>
        <v>4.2625000000000002</v>
      </c>
      <c r="W907" s="56">
        <f>(1000*CHOOSE(CONTROL!$C$42, 0.1146, 0.1146)*CHOOSE(CONTROL!$C$42, 121.5, 121.5)*CHOOSE(CONTROL!$C$42, 31, 31))/1000000</f>
        <v>0.43164089999999994</v>
      </c>
      <c r="X907" s="56">
        <f>(31*0.1790888*245000/1000000)+(31*0.2374*100000/1000000)</f>
        <v>2.0961194359999999</v>
      </c>
      <c r="Y907" s="56"/>
      <c r="Z907" s="14"/>
      <c r="AA907" s="55"/>
      <c r="AB907" s="49">
        <f>(B907*194.205+C907*267.466+D907*133.845+E907*53.484+F907*40+G907*185+H907*0+I907*100+J907*300)/(194.205+267.466+133.845+53.484+0+40+185+100+300)</f>
        <v>97.165753956671907</v>
      </c>
      <c r="AC907" s="44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95.276453956834544</v>
      </c>
    </row>
    <row r="908" spans="1:29" ht="15.75" x14ac:dyDescent="0.25">
      <c r="A908" s="31">
        <v>68545</v>
      </c>
      <c r="B908" s="14">
        <f>CHOOSE(CONTROL!$C$42, 92.295, 92.295) * CHOOSE(CONTROL!$C$21, $C$9, 100%, $E$9)</f>
        <v>92.295000000000002</v>
      </c>
      <c r="C908" s="14">
        <f>CHOOSE(CONTROL!$C$42, 92.303, 92.303) * CHOOSE(CONTROL!$C$21, $C$9, 100%, $E$9)</f>
        <v>92.302999999999997</v>
      </c>
      <c r="D908" s="14">
        <f>CHOOSE(CONTROL!$C$42, 92.5288, 92.5288) * CHOOSE(CONTROL!$C$21, $C$9, 100%, $E$9)</f>
        <v>92.528800000000004</v>
      </c>
      <c r="E908" s="14">
        <f>CHOOSE(CONTROL!$C$42, 92.5603, 92.5603) * CHOOSE(CONTROL!$C$21, $C$9, 100%, $E$9)</f>
        <v>92.560299999999998</v>
      </c>
      <c r="F908" s="14">
        <f>CHOOSE(CONTROL!$C$42, 92.3218, 92.3218)*CHOOSE(CONTROL!$C$21, $C$9, 100%, $E$9)</f>
        <v>92.321799999999996</v>
      </c>
      <c r="G908" s="14">
        <f>CHOOSE(CONTROL!$C$42, 92.3391, 92.3391)*CHOOSE(CONTROL!$C$21, $C$9, 100%, $E$9)</f>
        <v>92.339100000000002</v>
      </c>
      <c r="H908" s="14">
        <f>CHOOSE(CONTROL!$C$42, 92.5489, 92.5489) * CHOOSE(CONTROL!$C$21, $C$9, 100%, $E$9)</f>
        <v>92.548900000000003</v>
      </c>
      <c r="I908" s="14">
        <f>CHOOSE(CONTROL!$C$42, 92.6156, 92.6156)* CHOOSE(CONTROL!$C$21, $C$9, 100%, $E$9)</f>
        <v>92.615600000000001</v>
      </c>
      <c r="J908" s="14">
        <f>CHOOSE(CONTROL!$C$42, 92.3148, 92.3148)* CHOOSE(CONTROL!$C$21, $C$9, 100%, $E$9)</f>
        <v>92.314800000000005</v>
      </c>
      <c r="K908" s="52">
        <f>CHOOSE(CONTROL!$C$42, 92.6117, 92.6117) * CHOOSE(CONTROL!$C$21, $C$9, 100%, $E$9)</f>
        <v>92.611699999999999</v>
      </c>
      <c r="L908" s="14">
        <f>CHOOSE(CONTROL!$C$42, 93.1359, 93.1359) * CHOOSE(CONTROL!$C$21, $C$9, 100%, $E$9)</f>
        <v>93.135900000000007</v>
      </c>
      <c r="M908" s="14">
        <f>CHOOSE(CONTROL!$C$42, 90.431, 90.431) * CHOOSE(CONTROL!$C$21, $C$9, 100%, $E$9)</f>
        <v>90.430999999999997</v>
      </c>
      <c r="N908" s="14">
        <f>CHOOSE(CONTROL!$C$42, 90.448, 90.448) * CHOOSE(CONTROL!$C$21, $C$9, 100%, $E$9)</f>
        <v>90.447999999999993</v>
      </c>
      <c r="O908" s="14">
        <f>CHOOSE(CONTROL!$C$42, 90.6603, 90.6603) * CHOOSE(CONTROL!$C$21, $C$9, 100%, $E$9)</f>
        <v>90.660300000000007</v>
      </c>
      <c r="P908" s="14">
        <f>CHOOSE(CONTROL!$C$42, 90.7199, 90.7199) * CHOOSE(CONTROL!$C$21, $C$9, 100%, $E$9)</f>
        <v>90.719899999999996</v>
      </c>
      <c r="Q908" s="14">
        <f>CHOOSE(CONTROL!$C$42, 91.255, 91.255) * CHOOSE(CONTROL!$C$21, $C$9, 100%, $E$9)</f>
        <v>91.254999999999995</v>
      </c>
      <c r="R908" s="14">
        <f>CHOOSE(CONTROL!$C$42, 92.0702, 92.0702) * CHOOSE(CONTROL!$C$21, $C$9, 100%, $E$9)</f>
        <v>92.0702</v>
      </c>
      <c r="S908" s="14">
        <f>CHOOSE(CONTROL!$C$42, 88.6756, 88.6756) * CHOOSE(CONTROL!$C$21, $C$9, 100%, $E$9)</f>
        <v>88.675600000000003</v>
      </c>
      <c r="T90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56">
        <f>(1000*CHOOSE(CONTROL!$C$42, 695, 695)*CHOOSE(CONTROL!$C$42, 0.5599, 0.5599)*CHOOSE(CONTROL!$C$42, 31, 31))/1000000</f>
        <v>12.063045499999998</v>
      </c>
      <c r="V908" s="56">
        <f>(1000*CHOOSE(CONTROL!$C$42, 500, 500)*CHOOSE(CONTROL!$C$42, 0.275, 0.275)*CHOOSE(CONTROL!$C$42, 31, 31))/1000000</f>
        <v>4.2625000000000002</v>
      </c>
      <c r="W908" s="56">
        <f>(1000*CHOOSE(CONTROL!$C$42, 0.1146, 0.1146)*CHOOSE(CONTROL!$C$42, 121.5, 121.5)*CHOOSE(CONTROL!$C$42, 31, 31))/1000000</f>
        <v>0.43164089999999994</v>
      </c>
      <c r="X908" s="56">
        <f>(31*0.1790888*245000/1000000)+(31*0.2374*100000/1000000)</f>
        <v>2.0961194359999999</v>
      </c>
      <c r="Y908" s="56"/>
      <c r="Z908" s="14"/>
      <c r="AA908" s="55"/>
      <c r="AB908" s="49">
        <f>(B908*194.205+C908*267.466+D908*133.845+E908*53.484+F908*40+G908*185+H908*0+I908*100+J908*300)/(194.205+267.466+133.845+53.484+0+40+185+100+300)</f>
        <v>92.369452507221354</v>
      </c>
      <c r="AC908" s="44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90.577474100719428</v>
      </c>
    </row>
    <row r="909" spans="1:29" ht="15.75" x14ac:dyDescent="0.25">
      <c r="A909" s="31">
        <v>68575</v>
      </c>
      <c r="B909" s="14">
        <f>CHOOSE(CONTROL!$C$42, 86.4359, 86.4359) * CHOOSE(CONTROL!$C$21, $C$9, 100%, $E$9)</f>
        <v>86.435900000000004</v>
      </c>
      <c r="C909" s="14">
        <f>CHOOSE(CONTROL!$C$42, 86.4439, 86.4439) * CHOOSE(CONTROL!$C$21, $C$9, 100%, $E$9)</f>
        <v>86.443899999999999</v>
      </c>
      <c r="D909" s="14">
        <f>CHOOSE(CONTROL!$C$42, 86.6697, 86.6697) * CHOOSE(CONTROL!$C$21, $C$9, 100%, $E$9)</f>
        <v>86.669700000000006</v>
      </c>
      <c r="E909" s="14">
        <f>CHOOSE(CONTROL!$C$42, 86.7012, 86.7012) * CHOOSE(CONTROL!$C$21, $C$9, 100%, $E$9)</f>
        <v>86.7012</v>
      </c>
      <c r="F909" s="14">
        <f>CHOOSE(CONTROL!$C$42, 86.4627, 86.4627)*CHOOSE(CONTROL!$C$21, $C$9, 100%, $E$9)</f>
        <v>86.462699999999998</v>
      </c>
      <c r="G909" s="14">
        <f>CHOOSE(CONTROL!$C$42, 86.48, 86.48)*CHOOSE(CONTROL!$C$21, $C$9, 100%, $E$9)</f>
        <v>86.48</v>
      </c>
      <c r="H909" s="14">
        <f>CHOOSE(CONTROL!$C$42, 86.6898, 86.6898) * CHOOSE(CONTROL!$C$21, $C$9, 100%, $E$9)</f>
        <v>86.689800000000005</v>
      </c>
      <c r="I909" s="14">
        <f>CHOOSE(CONTROL!$C$42, 86.7382, 86.7382)* CHOOSE(CONTROL!$C$21, $C$9, 100%, $E$9)</f>
        <v>86.738200000000006</v>
      </c>
      <c r="J909" s="14">
        <f>CHOOSE(CONTROL!$C$42, 86.4557, 86.4557)* CHOOSE(CONTROL!$C$21, $C$9, 100%, $E$9)</f>
        <v>86.455699999999993</v>
      </c>
      <c r="K909" s="52">
        <f>CHOOSE(CONTROL!$C$42, 86.7343, 86.7343) * CHOOSE(CONTROL!$C$21, $C$9, 100%, $E$9)</f>
        <v>86.734300000000005</v>
      </c>
      <c r="L909" s="14">
        <f>CHOOSE(CONTROL!$C$42, 87.2768, 87.2768) * CHOOSE(CONTROL!$C$21, $C$9, 100%, $E$9)</f>
        <v>87.276799999999994</v>
      </c>
      <c r="M909" s="14">
        <f>CHOOSE(CONTROL!$C$42, 84.692, 84.692) * CHOOSE(CONTROL!$C$21, $C$9, 100%, $E$9)</f>
        <v>84.691999999999993</v>
      </c>
      <c r="N909" s="14">
        <f>CHOOSE(CONTROL!$C$42, 84.7089, 84.7089) * CHOOSE(CONTROL!$C$21, $C$9, 100%, $E$9)</f>
        <v>84.7089</v>
      </c>
      <c r="O909" s="14">
        <f>CHOOSE(CONTROL!$C$42, 84.9213, 84.9213) * CHOOSE(CONTROL!$C$21, $C$9, 100%, $E$9)</f>
        <v>84.921300000000002</v>
      </c>
      <c r="P909" s="14">
        <f>CHOOSE(CONTROL!$C$42, 84.9633, 84.9633) * CHOOSE(CONTROL!$C$21, $C$9, 100%, $E$9)</f>
        <v>84.963300000000004</v>
      </c>
      <c r="Q909" s="14">
        <f>CHOOSE(CONTROL!$C$42, 85.516, 85.516) * CHOOSE(CONTROL!$C$21, $C$9, 100%, $E$9)</f>
        <v>85.516000000000005</v>
      </c>
      <c r="R909" s="14">
        <f>CHOOSE(CONTROL!$C$42, 86.3168, 86.3168) * CHOOSE(CONTROL!$C$21, $C$9, 100%, $E$9)</f>
        <v>86.316800000000001</v>
      </c>
      <c r="S909" s="14">
        <f>CHOOSE(CONTROL!$C$42, 83.0456, 83.0456) * CHOOSE(CONTROL!$C$21, $C$9, 100%, $E$9)</f>
        <v>83.045599999999993</v>
      </c>
      <c r="T90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56">
        <f>(1000*CHOOSE(CONTROL!$C$42, 695, 695)*CHOOSE(CONTROL!$C$42, 0.5599, 0.5599)*CHOOSE(CONTROL!$C$42, 30, 30))/1000000</f>
        <v>11.673914999999997</v>
      </c>
      <c r="V909" s="56">
        <f>(1000*CHOOSE(CONTROL!$C$42, 500, 500)*CHOOSE(CONTROL!$C$42, 0.275, 0.275)*CHOOSE(CONTROL!$C$42, 30, 30))/1000000</f>
        <v>4.125</v>
      </c>
      <c r="W909" s="56">
        <f>(1000*CHOOSE(CONTROL!$C$42, 0.1146, 0.1146)*CHOOSE(CONTROL!$C$42, 121.5, 121.5)*CHOOSE(CONTROL!$C$42, 30, 30))/1000000</f>
        <v>0.417717</v>
      </c>
      <c r="X909" s="56">
        <f>(30*0.1790888*245000/1000000)+(30*0.2374*100000/1000000)</f>
        <v>2.0285026799999999</v>
      </c>
      <c r="Y909" s="56"/>
      <c r="Z909" s="14"/>
      <c r="AA909" s="55"/>
      <c r="AB909" s="49">
        <f>(B909*194.205+C909*267.466+D909*133.845+E909*53.484+F909*40+G909*185+H909*0+I909*100+J909*300)/(194.205+267.466+133.845+53.484+0+40+185+100+300)</f>
        <v>86.508916086499198</v>
      </c>
      <c r="AC909" s="44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84.835935971223023</v>
      </c>
    </row>
    <row r="910" spans="1:29" ht="15.75" x14ac:dyDescent="0.25">
      <c r="A910" s="31">
        <v>68606</v>
      </c>
      <c r="B910" s="14">
        <f>CHOOSE(CONTROL!$C$42, 84.6794, 84.6794) * CHOOSE(CONTROL!$C$21, $C$9, 100%, $E$9)</f>
        <v>84.679400000000001</v>
      </c>
      <c r="C910" s="14">
        <f>CHOOSE(CONTROL!$C$42, 84.6847, 84.6847) * CHOOSE(CONTROL!$C$21, $C$9, 100%, $E$9)</f>
        <v>84.684700000000007</v>
      </c>
      <c r="D910" s="14">
        <f>CHOOSE(CONTROL!$C$42, 84.9155, 84.9155) * CHOOSE(CONTROL!$C$21, $C$9, 100%, $E$9)</f>
        <v>84.915499999999994</v>
      </c>
      <c r="E910" s="14">
        <f>CHOOSE(CONTROL!$C$42, 84.9446, 84.9446) * CHOOSE(CONTROL!$C$21, $C$9, 100%, $E$9)</f>
        <v>84.944599999999994</v>
      </c>
      <c r="F910" s="14">
        <f>CHOOSE(CONTROL!$C$42, 84.7083, 84.7083)*CHOOSE(CONTROL!$C$21, $C$9, 100%, $E$9)</f>
        <v>84.708299999999994</v>
      </c>
      <c r="G910" s="14">
        <f>CHOOSE(CONTROL!$C$42, 84.7254, 84.7254)*CHOOSE(CONTROL!$C$21, $C$9, 100%, $E$9)</f>
        <v>84.725399999999993</v>
      </c>
      <c r="H910" s="14">
        <f>CHOOSE(CONTROL!$C$42, 84.9351, 84.9351) * CHOOSE(CONTROL!$C$21, $C$9, 100%, $E$9)</f>
        <v>84.935100000000006</v>
      </c>
      <c r="I910" s="14">
        <f>CHOOSE(CONTROL!$C$42, 84.9779, 84.9779)* CHOOSE(CONTROL!$C$21, $C$9, 100%, $E$9)</f>
        <v>84.977900000000005</v>
      </c>
      <c r="J910" s="14">
        <f>CHOOSE(CONTROL!$C$42, 84.7013, 84.7013)* CHOOSE(CONTROL!$C$21, $C$9, 100%, $E$9)</f>
        <v>84.701300000000003</v>
      </c>
      <c r="K910" s="52">
        <f>CHOOSE(CONTROL!$C$42, 84.974, 84.974) * CHOOSE(CONTROL!$C$21, $C$9, 100%, $E$9)</f>
        <v>84.974000000000004</v>
      </c>
      <c r="L910" s="14">
        <f>CHOOSE(CONTROL!$C$42, 85.5221, 85.5221) * CHOOSE(CONTROL!$C$21, $C$9, 100%, $E$9)</f>
        <v>85.522099999999995</v>
      </c>
      <c r="M910" s="14">
        <f>CHOOSE(CONTROL!$C$42, 82.9735, 82.9735) * CHOOSE(CONTROL!$C$21, $C$9, 100%, $E$9)</f>
        <v>82.973500000000001</v>
      </c>
      <c r="N910" s="14">
        <f>CHOOSE(CONTROL!$C$42, 82.9903, 82.9903) * CHOOSE(CONTROL!$C$21, $C$9, 100%, $E$9)</f>
        <v>82.990300000000005</v>
      </c>
      <c r="O910" s="14">
        <f>CHOOSE(CONTROL!$C$42, 83.2025, 83.2025) * CHOOSE(CONTROL!$C$21, $C$9, 100%, $E$9)</f>
        <v>83.202500000000001</v>
      </c>
      <c r="P910" s="14">
        <f>CHOOSE(CONTROL!$C$42, 83.2392, 83.2392) * CHOOSE(CONTROL!$C$21, $C$9, 100%, $E$9)</f>
        <v>83.239199999999997</v>
      </c>
      <c r="Q910" s="14">
        <f>CHOOSE(CONTROL!$C$42, 83.7972, 83.7972) * CHOOSE(CONTROL!$C$21, $C$9, 100%, $E$9)</f>
        <v>83.797200000000004</v>
      </c>
      <c r="R910" s="14">
        <f>CHOOSE(CONTROL!$C$42, 84.5937, 84.5937) * CHOOSE(CONTROL!$C$21, $C$9, 100%, $E$9)</f>
        <v>84.593699999999998</v>
      </c>
      <c r="S910" s="14">
        <f>CHOOSE(CONTROL!$C$42, 81.3595, 81.3595) * CHOOSE(CONTROL!$C$21, $C$9, 100%, $E$9)</f>
        <v>81.359499999999997</v>
      </c>
      <c r="T91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56">
        <f>(1000*CHOOSE(CONTROL!$C$42, 695, 695)*CHOOSE(CONTROL!$C$42, 0.5599, 0.5599)*CHOOSE(CONTROL!$C$42, 31, 31))/1000000</f>
        <v>12.063045499999998</v>
      </c>
      <c r="V910" s="56">
        <f>(1000*CHOOSE(CONTROL!$C$42, 500, 500)*CHOOSE(CONTROL!$C$42, 0.275, 0.275)*CHOOSE(CONTROL!$C$42, 31, 31))/1000000</f>
        <v>4.2625000000000002</v>
      </c>
      <c r="W910" s="56">
        <f>(1000*CHOOSE(CONTROL!$C$42, 0.1146, 0.1146)*CHOOSE(CONTROL!$C$42, 121.5, 121.5)*CHOOSE(CONTROL!$C$42, 31, 31))/1000000</f>
        <v>0.43164089999999994</v>
      </c>
      <c r="X910" s="56">
        <f>(31*0.1790888*245000/1000000)+(31*0.2374*100000/1000000)</f>
        <v>2.0961194359999999</v>
      </c>
      <c r="Y910" s="56"/>
      <c r="Z910" s="14"/>
      <c r="AA910" s="55"/>
      <c r="AB910" s="49">
        <f>(B910*131.881+C910*277.167+D910*79.08+E910*125.872+F910*40+G910*185+H910*0+I910*100+J910*300)/(131.881+277.167+79.08+125.872+0+40+185+100+300)</f>
        <v>84.759793081113799</v>
      </c>
      <c r="AC910" s="44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83.116488489208635</v>
      </c>
    </row>
    <row r="911" spans="1:29" ht="15.75" x14ac:dyDescent="0.25">
      <c r="A911" s="31">
        <v>68636</v>
      </c>
      <c r="B911" s="14">
        <f>CHOOSE(CONTROL!$C$42, 86.9096, 86.9096) * CHOOSE(CONTROL!$C$21, $C$9, 100%, $E$9)</f>
        <v>86.909599999999998</v>
      </c>
      <c r="C911" s="14">
        <f>CHOOSE(CONTROL!$C$42, 86.9146, 86.9146) * CHOOSE(CONTROL!$C$21, $C$9, 100%, $E$9)</f>
        <v>86.914599999999993</v>
      </c>
      <c r="D911" s="14">
        <f>CHOOSE(CONTROL!$C$42, 86.9837, 86.9837) * CHOOSE(CONTROL!$C$21, $C$9, 100%, $E$9)</f>
        <v>86.983699999999999</v>
      </c>
      <c r="E911" s="14">
        <f>CHOOSE(CONTROL!$C$42, 87.0178, 87.0178) * CHOOSE(CONTROL!$C$21, $C$9, 100%, $E$9)</f>
        <v>87.017799999999994</v>
      </c>
      <c r="F911" s="14">
        <f>CHOOSE(CONTROL!$C$42, 86.9452, 86.9452)*CHOOSE(CONTROL!$C$21, $C$9, 100%, $E$9)</f>
        <v>86.9452</v>
      </c>
      <c r="G911" s="14">
        <f>CHOOSE(CONTROL!$C$42, 86.9626, 86.9626)*CHOOSE(CONTROL!$C$21, $C$9, 100%, $E$9)</f>
        <v>86.962599999999995</v>
      </c>
      <c r="H911" s="14">
        <f>CHOOSE(CONTROL!$C$42, 87.007, 87.007) * CHOOSE(CONTROL!$C$21, $C$9, 100%, $E$9)</f>
        <v>87.007000000000005</v>
      </c>
      <c r="I911" s="14">
        <f>CHOOSE(CONTROL!$C$42, 87.2181, 87.2181)* CHOOSE(CONTROL!$C$21, $C$9, 100%, $E$9)</f>
        <v>87.218100000000007</v>
      </c>
      <c r="J911" s="14">
        <f>CHOOSE(CONTROL!$C$42, 86.9382, 86.9382)* CHOOSE(CONTROL!$C$21, $C$9, 100%, $E$9)</f>
        <v>86.938199999999995</v>
      </c>
      <c r="K911" s="52">
        <f>CHOOSE(CONTROL!$C$42, 87.2142, 87.2142) * CHOOSE(CONTROL!$C$21, $C$9, 100%, $E$9)</f>
        <v>87.214200000000005</v>
      </c>
      <c r="L911" s="14">
        <f>CHOOSE(CONTROL!$C$42, 87.594, 87.594) * CHOOSE(CONTROL!$C$21, $C$9, 100%, $E$9)</f>
        <v>87.593999999999994</v>
      </c>
      <c r="M911" s="14">
        <f>CHOOSE(CONTROL!$C$42, 85.1646, 85.1646) * CHOOSE(CONTROL!$C$21, $C$9, 100%, $E$9)</f>
        <v>85.164599999999993</v>
      </c>
      <c r="N911" s="14">
        <f>CHOOSE(CONTROL!$C$42, 85.1816, 85.1816) * CHOOSE(CONTROL!$C$21, $C$9, 100%, $E$9)</f>
        <v>85.181600000000003</v>
      </c>
      <c r="O911" s="14">
        <f>CHOOSE(CONTROL!$C$42, 85.2319, 85.2319) * CHOOSE(CONTROL!$C$21, $C$9, 100%, $E$9)</f>
        <v>85.231899999999996</v>
      </c>
      <c r="P911" s="14">
        <f>CHOOSE(CONTROL!$C$42, 85.4334, 85.4334) * CHOOSE(CONTROL!$C$21, $C$9, 100%, $E$9)</f>
        <v>85.433400000000006</v>
      </c>
      <c r="Q911" s="14">
        <f>CHOOSE(CONTROL!$C$42, 85.8266, 85.8266) * CHOOSE(CONTROL!$C$21, $C$9, 100%, $E$9)</f>
        <v>85.826599999999999</v>
      </c>
      <c r="R911" s="14">
        <f>CHOOSE(CONTROL!$C$42, 86.6282, 86.6282) * CHOOSE(CONTROL!$C$21, $C$9, 100%, $E$9)</f>
        <v>86.628200000000007</v>
      </c>
      <c r="S911" s="14">
        <f>CHOOSE(CONTROL!$C$42, 83.5029, 83.5029) * CHOOSE(CONTROL!$C$21, $C$9, 100%, $E$9)</f>
        <v>83.502899999999997</v>
      </c>
      <c r="T91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56">
        <f>(1000*CHOOSE(CONTROL!$C$42, 695, 695)*CHOOSE(CONTROL!$C$42, 0.5599, 0.5599)*CHOOSE(CONTROL!$C$42, 30, 30))/1000000</f>
        <v>11.673914999999997</v>
      </c>
      <c r="V911" s="56">
        <f>(1000*CHOOSE(CONTROL!$C$42, 500, 500)*CHOOSE(CONTROL!$C$42, 0.275, 0.275)*CHOOSE(CONTROL!$C$42, 30, 30))/1000000</f>
        <v>4.125</v>
      </c>
      <c r="W911" s="56">
        <f>(1000*CHOOSE(CONTROL!$C$42, 0.1146, 0.1146)*CHOOSE(CONTROL!$C$42, 121.5, 121.5)*CHOOSE(CONTROL!$C$42, 30, 30))/1000000</f>
        <v>0.417717</v>
      </c>
      <c r="X911" s="56">
        <f>(30*0.1790888*100000/1000000)+(30*0.2374*100000/1000000)</f>
        <v>1.2494664</v>
      </c>
      <c r="Y911" s="56"/>
      <c r="Z911" s="14"/>
      <c r="AA911" s="55"/>
      <c r="AB911" s="49">
        <f>(B911*122.58+C911*297.941+D911*89.177+E911*40.302+F911*40+G911*160+H911*0+I911*100+J911*300)/(122.58+297.941+89.177+40.302+0+40+160+100+300)</f>
        <v>86.963332519217388</v>
      </c>
      <c r="AC911" s="44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85.234757553956825</v>
      </c>
    </row>
    <row r="912" spans="1:29" ht="15.75" x14ac:dyDescent="0.25">
      <c r="A912" s="31">
        <v>68667</v>
      </c>
      <c r="B912" s="14">
        <f>CHOOSE(CONTROL!$C$42, 92.8344, 92.8344) * CHOOSE(CONTROL!$C$21, $C$9, 100%, $E$9)</f>
        <v>92.834400000000002</v>
      </c>
      <c r="C912" s="14">
        <f>CHOOSE(CONTROL!$C$42, 92.8395, 92.8395) * CHOOSE(CONTROL!$C$21, $C$9, 100%, $E$9)</f>
        <v>92.839500000000001</v>
      </c>
      <c r="D912" s="14">
        <f>CHOOSE(CONTROL!$C$42, 92.9085, 92.9085) * CHOOSE(CONTROL!$C$21, $C$9, 100%, $E$9)</f>
        <v>92.908500000000004</v>
      </c>
      <c r="E912" s="14">
        <f>CHOOSE(CONTROL!$C$42, 92.9426, 92.9426) * CHOOSE(CONTROL!$C$21, $C$9, 100%, $E$9)</f>
        <v>92.942599999999999</v>
      </c>
      <c r="F912" s="14">
        <f>CHOOSE(CONTROL!$C$42, 92.8722, 92.8722)*CHOOSE(CONTROL!$C$21, $C$9, 100%, $E$9)</f>
        <v>92.872200000000007</v>
      </c>
      <c r="G912" s="14">
        <f>CHOOSE(CONTROL!$C$42, 92.8902, 92.8902)*CHOOSE(CONTROL!$C$21, $C$9, 100%, $E$9)</f>
        <v>92.890199999999993</v>
      </c>
      <c r="H912" s="14">
        <f>CHOOSE(CONTROL!$C$42, 92.9318, 92.9318) * CHOOSE(CONTROL!$C$21, $C$9, 100%, $E$9)</f>
        <v>92.931799999999996</v>
      </c>
      <c r="I912" s="14">
        <f>CHOOSE(CONTROL!$C$42, 93.1615, 93.1615)* CHOOSE(CONTROL!$C$21, $C$9, 100%, $E$9)</f>
        <v>93.161500000000004</v>
      </c>
      <c r="J912" s="14">
        <f>CHOOSE(CONTROL!$C$42, 92.8652, 92.8652)* CHOOSE(CONTROL!$C$21, $C$9, 100%, $E$9)</f>
        <v>92.865200000000002</v>
      </c>
      <c r="K912" s="52">
        <f>CHOOSE(CONTROL!$C$42, 93.1576, 93.1576) * CHOOSE(CONTROL!$C$21, $C$9, 100%, $E$9)</f>
        <v>93.157600000000002</v>
      </c>
      <c r="L912" s="14">
        <f>CHOOSE(CONTROL!$C$42, 93.5188, 93.5188) * CHOOSE(CONTROL!$C$21, $C$9, 100%, $E$9)</f>
        <v>93.518799999999999</v>
      </c>
      <c r="M912" s="14">
        <f>CHOOSE(CONTROL!$C$42, 90.9702, 90.9702) * CHOOSE(CONTROL!$C$21, $C$9, 100%, $E$9)</f>
        <v>90.970200000000006</v>
      </c>
      <c r="N912" s="14">
        <f>CHOOSE(CONTROL!$C$42, 90.9878, 90.9878) * CHOOSE(CONTROL!$C$21, $C$9, 100%, $E$9)</f>
        <v>90.987799999999993</v>
      </c>
      <c r="O912" s="14">
        <f>CHOOSE(CONTROL!$C$42, 91.0354, 91.0354) * CHOOSE(CONTROL!$C$21, $C$9, 100%, $E$9)</f>
        <v>91.035399999999996</v>
      </c>
      <c r="P912" s="14">
        <f>CHOOSE(CONTROL!$C$42, 91.2546, 91.2546) * CHOOSE(CONTROL!$C$21, $C$9, 100%, $E$9)</f>
        <v>91.254599999999996</v>
      </c>
      <c r="Q912" s="14">
        <f>CHOOSE(CONTROL!$C$42, 91.6301, 91.6301) * CHOOSE(CONTROL!$C$21, $C$9, 100%, $E$9)</f>
        <v>91.630099999999999</v>
      </c>
      <c r="R912" s="14">
        <f>CHOOSE(CONTROL!$C$42, 92.4461, 92.4461) * CHOOSE(CONTROL!$C$21, $C$9, 100%, $E$9)</f>
        <v>92.446100000000001</v>
      </c>
      <c r="S912" s="14">
        <f>CHOOSE(CONTROL!$C$42, 89.196, 89.196) * CHOOSE(CONTROL!$C$21, $C$9, 100%, $E$9)</f>
        <v>89.195999999999998</v>
      </c>
      <c r="T91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56">
        <f>(1000*CHOOSE(CONTROL!$C$42, 695, 695)*CHOOSE(CONTROL!$C$42, 0.5599, 0.5599)*CHOOSE(CONTROL!$C$42, 31, 31))/1000000</f>
        <v>12.063045499999998</v>
      </c>
      <c r="V912" s="56">
        <f>(1000*CHOOSE(CONTROL!$C$42, 500, 500)*CHOOSE(CONTROL!$C$42, 0.275, 0.275)*CHOOSE(CONTROL!$C$42, 31, 31))/1000000</f>
        <v>4.2625000000000002</v>
      </c>
      <c r="W912" s="56">
        <f>(1000*CHOOSE(CONTROL!$C$42, 0.1146, 0.1146)*CHOOSE(CONTROL!$C$42, 121.5, 121.5)*CHOOSE(CONTROL!$C$42, 31, 31))/1000000</f>
        <v>0.43164089999999994</v>
      </c>
      <c r="X912" s="56">
        <f>(31*0.1790888*100000/1000000)+(31*0.2374*100000/1000000)</f>
        <v>1.2911152800000001</v>
      </c>
      <c r="Y912" s="56"/>
      <c r="Z912" s="14"/>
      <c r="AA912" s="55"/>
      <c r="AB912" s="49">
        <f>(B912*122.58+C912*297.941+D912*89.177+E912*40.302+F912*40+G912*160+H912*0+I912*100+J912*300)/(122.58+297.941+89.177+40.302+0+40+160+100+300)</f>
        <v>92.89081581843476</v>
      </c>
      <c r="AC912" s="44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91.041684892086323</v>
      </c>
    </row>
    <row r="913" spans="1:29" ht="15.75" x14ac:dyDescent="0.25">
      <c r="A913" s="31">
        <v>68698</v>
      </c>
      <c r="B913" s="14">
        <f>CHOOSE(CONTROL!$C$42, 100.5296, 100.5296) * CHOOSE(CONTROL!$C$21, $C$9, 100%, $E$9)</f>
        <v>100.5296</v>
      </c>
      <c r="C913" s="14">
        <f>CHOOSE(CONTROL!$C$42, 100.5347, 100.5347) * CHOOSE(CONTROL!$C$21, $C$9, 100%, $E$9)</f>
        <v>100.5347</v>
      </c>
      <c r="D913" s="14">
        <f>CHOOSE(CONTROL!$C$42, 100.6141, 100.6141) * CHOOSE(CONTROL!$C$21, $C$9, 100%, $E$9)</f>
        <v>100.61409999999999</v>
      </c>
      <c r="E913" s="14">
        <f>CHOOSE(CONTROL!$C$42, 100.6482, 100.6482) * CHOOSE(CONTROL!$C$21, $C$9, 100%, $E$9)</f>
        <v>100.6482</v>
      </c>
      <c r="F913" s="14">
        <f>CHOOSE(CONTROL!$C$42, 100.5527, 100.5527)*CHOOSE(CONTROL!$C$21, $C$9, 100%, $E$9)</f>
        <v>100.5527</v>
      </c>
      <c r="G913" s="14">
        <f>CHOOSE(CONTROL!$C$42, 100.5702, 100.5702)*CHOOSE(CONTROL!$C$21, $C$9, 100%, $E$9)</f>
        <v>100.5702</v>
      </c>
      <c r="H913" s="14">
        <f>CHOOSE(CONTROL!$C$42, 100.6374, 100.6374) * CHOOSE(CONTROL!$C$21, $C$9, 100%, $E$9)</f>
        <v>100.6374</v>
      </c>
      <c r="I913" s="14">
        <f>CHOOSE(CONTROL!$C$42, 100.8798, 100.8798)* CHOOSE(CONTROL!$C$21, $C$9, 100%, $E$9)</f>
        <v>100.8798</v>
      </c>
      <c r="J913" s="14">
        <f>CHOOSE(CONTROL!$C$42, 100.5457, 100.5457)* CHOOSE(CONTROL!$C$21, $C$9, 100%, $E$9)</f>
        <v>100.5457</v>
      </c>
      <c r="K913" s="52">
        <f>CHOOSE(CONTROL!$C$42, 100.8759, 100.8759) * CHOOSE(CONTROL!$C$21, $C$9, 100%, $E$9)</f>
        <v>100.8759</v>
      </c>
      <c r="L913" s="14">
        <f>CHOOSE(CONTROL!$C$42, 101.2244, 101.2244) * CHOOSE(CONTROL!$C$21, $C$9, 100%, $E$9)</f>
        <v>101.2244</v>
      </c>
      <c r="M913" s="14">
        <f>CHOOSE(CONTROL!$C$42, 98.4932, 98.4932) * CHOOSE(CONTROL!$C$21, $C$9, 100%, $E$9)</f>
        <v>98.493200000000002</v>
      </c>
      <c r="N913" s="14">
        <f>CHOOSE(CONTROL!$C$42, 98.5104, 98.5104) * CHOOSE(CONTROL!$C$21, $C$9, 100%, $E$9)</f>
        <v>98.510400000000004</v>
      </c>
      <c r="O913" s="14">
        <f>CHOOSE(CONTROL!$C$42, 98.5831, 98.5831) * CHOOSE(CONTROL!$C$21, $C$9, 100%, $E$9)</f>
        <v>98.583100000000002</v>
      </c>
      <c r="P913" s="14">
        <f>CHOOSE(CONTROL!$C$42, 98.8142, 98.8142) * CHOOSE(CONTROL!$C$21, $C$9, 100%, $E$9)</f>
        <v>98.8142</v>
      </c>
      <c r="Q913" s="14">
        <f>CHOOSE(CONTROL!$C$42, 99.1778, 99.1778) * CHOOSE(CONTROL!$C$21, $C$9, 100%, $E$9)</f>
        <v>99.177800000000005</v>
      </c>
      <c r="R913" s="14">
        <f>CHOOSE(CONTROL!$C$42, 100.0128, 100.0128) * CHOOSE(CONTROL!$C$21, $C$9, 100%, $E$9)</f>
        <v>100.0128</v>
      </c>
      <c r="S913" s="14">
        <f>CHOOSE(CONTROL!$C$42, 96.5904, 96.5904) * CHOOSE(CONTROL!$C$21, $C$9, 100%, $E$9)</f>
        <v>96.590400000000002</v>
      </c>
      <c r="T91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56">
        <f>(1000*CHOOSE(CONTROL!$C$42, 695, 695)*CHOOSE(CONTROL!$C$42, 0.5599, 0.5599)*CHOOSE(CONTROL!$C$42, 31, 31))/1000000</f>
        <v>12.063045499999998</v>
      </c>
      <c r="V913" s="56">
        <f>(1000*CHOOSE(CONTROL!$C$42, 500, 500)*CHOOSE(CONTROL!$C$42, 0.275, 0.275)*CHOOSE(CONTROL!$C$42, 31, 31))/1000000</f>
        <v>4.2625000000000002</v>
      </c>
      <c r="W913" s="56">
        <f>(1000*CHOOSE(CONTROL!$C$42, 0.1146, 0.1146)*CHOOSE(CONTROL!$C$42, 121.5, 121.5)*CHOOSE(CONTROL!$C$42, 31, 31))/1000000</f>
        <v>0.43164089999999994</v>
      </c>
      <c r="X913" s="56">
        <f>(31*0.1790888*100000/1000000)+(31*0.2374*100000/1000000)</f>
        <v>1.2911152800000001</v>
      </c>
      <c r="Y913" s="56"/>
      <c r="Z913" s="14"/>
      <c r="AA913" s="55"/>
      <c r="AB913" s="49">
        <f>(B913*122.58+C913*297.941+D913*89.177+E913*40.302+F913*40+G913*160+H913*0+I913*100+J913*300)/(122.58+297.941+89.177+40.302+0+40+160+100+300)</f>
        <v>100.58273458504348</v>
      </c>
      <c r="AC913" s="44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98.581123021582727</v>
      </c>
    </row>
    <row r="914" spans="1:29" ht="15.75" x14ac:dyDescent="0.25">
      <c r="A914" s="31">
        <v>68727</v>
      </c>
      <c r="B914" s="14">
        <f>CHOOSE(CONTROL!$C$42, 102.319, 102.319) * CHOOSE(CONTROL!$C$21, $C$9, 100%, $E$9)</f>
        <v>102.319</v>
      </c>
      <c r="C914" s="14">
        <f>CHOOSE(CONTROL!$C$42, 102.3241, 102.3241) * CHOOSE(CONTROL!$C$21, $C$9, 100%, $E$9)</f>
        <v>102.3241</v>
      </c>
      <c r="D914" s="14">
        <f>CHOOSE(CONTROL!$C$42, 102.4035, 102.4035) * CHOOSE(CONTROL!$C$21, $C$9, 100%, $E$9)</f>
        <v>102.40349999999999</v>
      </c>
      <c r="E914" s="14">
        <f>CHOOSE(CONTROL!$C$42, 102.4376, 102.4376) * CHOOSE(CONTROL!$C$21, $C$9, 100%, $E$9)</f>
        <v>102.4376</v>
      </c>
      <c r="F914" s="14">
        <f>CHOOSE(CONTROL!$C$42, 102.3418, 102.3418)*CHOOSE(CONTROL!$C$21, $C$9, 100%, $E$9)</f>
        <v>102.34180000000001</v>
      </c>
      <c r="G914" s="14">
        <f>CHOOSE(CONTROL!$C$42, 102.3593, 102.3593)*CHOOSE(CONTROL!$C$21, $C$9, 100%, $E$9)</f>
        <v>102.3593</v>
      </c>
      <c r="H914" s="14">
        <f>CHOOSE(CONTROL!$C$42, 102.4268, 102.4268) * CHOOSE(CONTROL!$C$21, $C$9, 100%, $E$9)</f>
        <v>102.4268</v>
      </c>
      <c r="I914" s="14">
        <f>CHOOSE(CONTROL!$C$42, 102.6748, 102.6748)* CHOOSE(CONTROL!$C$21, $C$9, 100%, $E$9)</f>
        <v>102.6748</v>
      </c>
      <c r="J914" s="14">
        <f>CHOOSE(CONTROL!$C$42, 102.3348, 102.3348)* CHOOSE(CONTROL!$C$21, $C$9, 100%, $E$9)</f>
        <v>102.3348</v>
      </c>
      <c r="K914" s="52">
        <f>CHOOSE(CONTROL!$C$42, 102.6709, 102.6709) * CHOOSE(CONTROL!$C$21, $C$9, 100%, $E$9)</f>
        <v>102.6709</v>
      </c>
      <c r="L914" s="14">
        <f>CHOOSE(CONTROL!$C$42, 103.0138, 103.0138) * CHOOSE(CONTROL!$C$21, $C$9, 100%, $E$9)</f>
        <v>103.0138</v>
      </c>
      <c r="M914" s="14">
        <f>CHOOSE(CONTROL!$C$42, 100.2457, 100.2457) * CHOOSE(CONTROL!$C$21, $C$9, 100%, $E$9)</f>
        <v>100.2457</v>
      </c>
      <c r="N914" s="14">
        <f>CHOOSE(CONTROL!$C$42, 100.2628, 100.2628) * CHOOSE(CONTROL!$C$21, $C$9, 100%, $E$9)</f>
        <v>100.2628</v>
      </c>
      <c r="O914" s="14">
        <f>CHOOSE(CONTROL!$C$42, 100.3359, 100.3359) * CHOOSE(CONTROL!$C$21, $C$9, 100%, $E$9)</f>
        <v>100.3359</v>
      </c>
      <c r="P914" s="14">
        <f>CHOOSE(CONTROL!$C$42, 100.5724, 100.5724) * CHOOSE(CONTROL!$C$21, $C$9, 100%, $E$9)</f>
        <v>100.5724</v>
      </c>
      <c r="Q914" s="14">
        <f>CHOOSE(CONTROL!$C$42, 100.9306, 100.9306) * CHOOSE(CONTROL!$C$21, $C$9, 100%, $E$9)</f>
        <v>100.9306</v>
      </c>
      <c r="R914" s="14">
        <f>CHOOSE(CONTROL!$C$42, 101.7699, 101.7699) * CHOOSE(CONTROL!$C$21, $C$9, 100%, $E$9)</f>
        <v>101.76990000000001</v>
      </c>
      <c r="S914" s="14">
        <f>CHOOSE(CONTROL!$C$42, 98.3098, 98.3098) * CHOOSE(CONTROL!$C$21, $C$9, 100%, $E$9)</f>
        <v>98.309799999999996</v>
      </c>
      <c r="T914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14" s="56">
        <f>(1000*CHOOSE(CONTROL!$C$42, 695, 695)*CHOOSE(CONTROL!$C$42, 0.5599, 0.5599)*CHOOSE(CONTROL!$C$42, 29, 29))/1000000</f>
        <v>11.284784499999999</v>
      </c>
      <c r="V914" s="56">
        <f>(1000*CHOOSE(CONTROL!$C$42, 500, 500)*CHOOSE(CONTROL!$C$42, 0.275, 0.275)*CHOOSE(CONTROL!$C$42, 29, 29))/1000000</f>
        <v>3.9874999999999998</v>
      </c>
      <c r="W914" s="56">
        <f>(1000*CHOOSE(CONTROL!$C$42, 0.1146, 0.1146)*CHOOSE(CONTROL!$C$42, 121.5, 121.5)*CHOOSE(CONTROL!$C$42, 29, 29))/1000000</f>
        <v>0.40379309999999996</v>
      </c>
      <c r="X914" s="56">
        <f>(29*0.1790888*100000/1000000)+(29*0.2374*100000/1000000)</f>
        <v>1.2078175199999999</v>
      </c>
      <c r="Y914" s="56"/>
      <c r="Z914" s="14"/>
      <c r="AA914" s="55"/>
      <c r="AB914" s="49">
        <f>(B914*122.58+C914*297.941+D914*89.177+E914*40.302+F914*40+G914*160+H914*0+I914*100+J914*300)/(122.58+297.941+89.177+40.302+0+40+160+100+300)</f>
        <v>102.3724911067826</v>
      </c>
      <c r="AC914" s="44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100.33457338129496</v>
      </c>
    </row>
    <row r="915" spans="1:29" ht="15.75" x14ac:dyDescent="0.25">
      <c r="A915" s="31">
        <v>68758</v>
      </c>
      <c r="B915" s="14">
        <f>CHOOSE(CONTROL!$C$42, 99.4144, 99.4144) * CHOOSE(CONTROL!$C$21, $C$9, 100%, $E$9)</f>
        <v>99.414400000000001</v>
      </c>
      <c r="C915" s="14">
        <f>CHOOSE(CONTROL!$C$42, 99.4195, 99.4195) * CHOOSE(CONTROL!$C$21, $C$9, 100%, $E$9)</f>
        <v>99.419499999999999</v>
      </c>
      <c r="D915" s="14">
        <f>CHOOSE(CONTROL!$C$42, 99.4989, 99.4989) * CHOOSE(CONTROL!$C$21, $C$9, 100%, $E$9)</f>
        <v>99.498900000000006</v>
      </c>
      <c r="E915" s="14">
        <f>CHOOSE(CONTROL!$C$42, 99.533, 99.533) * CHOOSE(CONTROL!$C$21, $C$9, 100%, $E$9)</f>
        <v>99.533000000000001</v>
      </c>
      <c r="F915" s="14">
        <f>CHOOSE(CONTROL!$C$42, 99.4364, 99.4364)*CHOOSE(CONTROL!$C$21, $C$9, 100%, $E$9)</f>
        <v>99.436400000000006</v>
      </c>
      <c r="G915" s="14">
        <f>CHOOSE(CONTROL!$C$42, 99.4537, 99.4537)*CHOOSE(CONTROL!$C$21, $C$9, 100%, $E$9)</f>
        <v>99.453699999999998</v>
      </c>
      <c r="H915" s="14">
        <f>CHOOSE(CONTROL!$C$42, 99.5222, 99.5222) * CHOOSE(CONTROL!$C$21, $C$9, 100%, $E$9)</f>
        <v>99.522199999999998</v>
      </c>
      <c r="I915" s="14">
        <f>CHOOSE(CONTROL!$C$42, 99.761, 99.761)* CHOOSE(CONTROL!$C$21, $C$9, 100%, $E$9)</f>
        <v>99.760999999999996</v>
      </c>
      <c r="J915" s="14">
        <f>CHOOSE(CONTROL!$C$42, 99.4294, 99.4294)* CHOOSE(CONTROL!$C$21, $C$9, 100%, $E$9)</f>
        <v>99.429400000000001</v>
      </c>
      <c r="K915" s="52">
        <f>CHOOSE(CONTROL!$C$42, 99.7572, 99.7572) * CHOOSE(CONTROL!$C$21, $C$9, 100%, $E$9)</f>
        <v>99.757199999999997</v>
      </c>
      <c r="L915" s="14">
        <f>CHOOSE(CONTROL!$C$42, 100.1092, 100.1092) * CHOOSE(CONTROL!$C$21, $C$9, 100%, $E$9)</f>
        <v>100.1092</v>
      </c>
      <c r="M915" s="14">
        <f>CHOOSE(CONTROL!$C$42, 97.3999, 97.3999) * CHOOSE(CONTROL!$C$21, $C$9, 100%, $E$9)</f>
        <v>97.399900000000002</v>
      </c>
      <c r="N915" s="14">
        <f>CHOOSE(CONTROL!$C$42, 97.4168, 97.4168) * CHOOSE(CONTROL!$C$21, $C$9, 100%, $E$9)</f>
        <v>97.416799999999995</v>
      </c>
      <c r="O915" s="14">
        <f>CHOOSE(CONTROL!$C$42, 97.4907, 97.4907) * CHOOSE(CONTROL!$C$21, $C$9, 100%, $E$9)</f>
        <v>97.490700000000004</v>
      </c>
      <c r="P915" s="14">
        <f>CHOOSE(CONTROL!$C$42, 97.7185, 97.7185) * CHOOSE(CONTROL!$C$21, $C$9, 100%, $E$9)</f>
        <v>97.718500000000006</v>
      </c>
      <c r="Q915" s="14">
        <f>CHOOSE(CONTROL!$C$42, 98.0854, 98.0854) * CHOOSE(CONTROL!$C$21, $C$9, 100%, $E$9)</f>
        <v>98.085400000000007</v>
      </c>
      <c r="R915" s="14">
        <f>CHOOSE(CONTROL!$C$42, 98.9177, 98.9177) * CHOOSE(CONTROL!$C$21, $C$9, 100%, $E$9)</f>
        <v>98.917699999999996</v>
      </c>
      <c r="S915" s="14">
        <f>CHOOSE(CONTROL!$C$42, 95.5188, 95.5188) * CHOOSE(CONTROL!$C$21, $C$9, 100%, $E$9)</f>
        <v>95.518799999999999</v>
      </c>
      <c r="T91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56">
        <f>(1000*CHOOSE(CONTROL!$C$42, 695, 695)*CHOOSE(CONTROL!$C$42, 0.5599, 0.5599)*CHOOSE(CONTROL!$C$42, 31, 31))/1000000</f>
        <v>12.063045499999998</v>
      </c>
      <c r="V915" s="56">
        <f>(1000*CHOOSE(CONTROL!$C$42, 500, 500)*CHOOSE(CONTROL!$C$42, 0.275, 0.275)*CHOOSE(CONTROL!$C$42, 31, 31))/1000000</f>
        <v>4.2625000000000002</v>
      </c>
      <c r="W915" s="56">
        <f>(1000*CHOOSE(CONTROL!$C$42, 0.1146, 0.1146)*CHOOSE(CONTROL!$C$42, 121.5, 121.5)*CHOOSE(CONTROL!$C$42, 31, 31))/1000000</f>
        <v>0.43164089999999994</v>
      </c>
      <c r="X915" s="56">
        <f>(31*0.1790888*100000/1000000)+(31*0.2374*100000/1000000)</f>
        <v>1.2911152800000001</v>
      </c>
      <c r="Y915" s="56"/>
      <c r="Z915" s="14"/>
      <c r="AA915" s="55"/>
      <c r="AB915" s="49">
        <f>(B915*122.58+C915*297.941+D915*89.177+E915*40.302+F915*40+G915*160+H915*0+I915*100+J915*300)/(122.58+297.941+89.177+40.302+0+40+160+100+300)</f>
        <v>99.466715454608689</v>
      </c>
      <c r="AC915" s="44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97.487868345323747</v>
      </c>
    </row>
    <row r="916" spans="1:29" ht="15.75" x14ac:dyDescent="0.25">
      <c r="A916" s="31">
        <v>68788</v>
      </c>
      <c r="B916" s="14">
        <f>CHOOSE(CONTROL!$C$42, 99.1178, 99.1178) * CHOOSE(CONTROL!$C$21, $C$9, 100%, $E$9)</f>
        <v>99.117800000000003</v>
      </c>
      <c r="C916" s="14">
        <f>CHOOSE(CONTROL!$C$42, 99.1223, 99.1223) * CHOOSE(CONTROL!$C$21, $C$9, 100%, $E$9)</f>
        <v>99.122299999999996</v>
      </c>
      <c r="D916" s="14">
        <f>CHOOSE(CONTROL!$C$42, 99.3512, 99.3512) * CHOOSE(CONTROL!$C$21, $C$9, 100%, $E$9)</f>
        <v>99.351200000000006</v>
      </c>
      <c r="E916" s="14">
        <f>CHOOSE(CONTROL!$C$42, 99.3833, 99.3833) * CHOOSE(CONTROL!$C$21, $C$9, 100%, $E$9)</f>
        <v>99.383300000000006</v>
      </c>
      <c r="F916" s="14">
        <f>CHOOSE(CONTROL!$C$42, 99.1448, 99.1448)*CHOOSE(CONTROL!$C$21, $C$9, 100%, $E$9)</f>
        <v>99.144800000000004</v>
      </c>
      <c r="G916" s="14">
        <f>CHOOSE(CONTROL!$C$42, 99.1615, 99.1615)*CHOOSE(CONTROL!$C$21, $C$9, 100%, $E$9)</f>
        <v>99.161500000000004</v>
      </c>
      <c r="H916" s="14">
        <f>CHOOSE(CONTROL!$C$42, 99.3731, 99.3731) * CHOOSE(CONTROL!$C$21, $C$9, 100%, $E$9)</f>
        <v>99.373099999999994</v>
      </c>
      <c r="I916" s="14">
        <f>CHOOSE(CONTROL!$C$42, 99.4611, 99.4611)* CHOOSE(CONTROL!$C$21, $C$9, 100%, $E$9)</f>
        <v>99.461100000000002</v>
      </c>
      <c r="J916" s="14">
        <f>CHOOSE(CONTROL!$C$42, 99.1378, 99.1378)* CHOOSE(CONTROL!$C$21, $C$9, 100%, $E$9)</f>
        <v>99.137799999999999</v>
      </c>
      <c r="K916" s="52">
        <f>CHOOSE(CONTROL!$C$42, 99.4572, 99.4572) * CHOOSE(CONTROL!$C$21, $C$9, 100%, $E$9)</f>
        <v>99.4572</v>
      </c>
      <c r="L916" s="14">
        <f>CHOOSE(CONTROL!$C$42, 99.9601, 99.9601) * CHOOSE(CONTROL!$C$21, $C$9, 100%, $E$9)</f>
        <v>99.960099999999997</v>
      </c>
      <c r="M916" s="14">
        <f>CHOOSE(CONTROL!$C$42, 97.1142, 97.1142) * CHOOSE(CONTROL!$C$21, $C$9, 100%, $E$9)</f>
        <v>97.114199999999997</v>
      </c>
      <c r="N916" s="14">
        <f>CHOOSE(CONTROL!$C$42, 97.1306, 97.1306) * CHOOSE(CONTROL!$C$21, $C$9, 100%, $E$9)</f>
        <v>97.130600000000001</v>
      </c>
      <c r="O916" s="14">
        <f>CHOOSE(CONTROL!$C$42, 97.3447, 97.3447) * CHOOSE(CONTROL!$C$21, $C$9, 100%, $E$9)</f>
        <v>97.344700000000003</v>
      </c>
      <c r="P916" s="14">
        <f>CHOOSE(CONTROL!$C$42, 97.4248, 97.4248) * CHOOSE(CONTROL!$C$21, $C$9, 100%, $E$9)</f>
        <v>97.424800000000005</v>
      </c>
      <c r="Q916" s="14">
        <f>CHOOSE(CONTROL!$C$42, 97.9394, 97.9394) * CHOOSE(CONTROL!$C$21, $C$9, 100%, $E$9)</f>
        <v>97.939400000000006</v>
      </c>
      <c r="R916" s="14">
        <f>CHOOSE(CONTROL!$C$42, 98.7712, 98.7712) * CHOOSE(CONTROL!$C$21, $C$9, 100%, $E$9)</f>
        <v>98.771199999999993</v>
      </c>
      <c r="S916" s="14">
        <f>CHOOSE(CONTROL!$C$42, 95.233, 95.233) * CHOOSE(CONTROL!$C$21, $C$9, 100%, $E$9)</f>
        <v>95.233000000000004</v>
      </c>
      <c r="T91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56">
        <f>(1000*CHOOSE(CONTROL!$C$42, 695, 695)*CHOOSE(CONTROL!$C$42, 0.5599, 0.5599)*CHOOSE(CONTROL!$C$42, 30, 30))/1000000</f>
        <v>11.673914999999997</v>
      </c>
      <c r="V916" s="56">
        <f>(1000*CHOOSE(CONTROL!$C$42, 500, 500)*CHOOSE(CONTROL!$C$42, 0.275, 0.275)*CHOOSE(CONTROL!$C$42, 30, 30))/1000000</f>
        <v>4.125</v>
      </c>
      <c r="W916" s="56">
        <f>(1000*CHOOSE(CONTROL!$C$42, 0.1146, 0.1146)*CHOOSE(CONTROL!$C$42, 121.5, 121.5)*CHOOSE(CONTROL!$C$42, 30, 30))/1000000</f>
        <v>0.417717</v>
      </c>
      <c r="X916" s="56">
        <f>(30*0.1790888*245000/1000000)+(30*0.2374*100000/1000000)</f>
        <v>2.0285026799999999</v>
      </c>
      <c r="Y916" s="56"/>
      <c r="Z916" s="14"/>
      <c r="AA916" s="55"/>
      <c r="AB916" s="49">
        <f>(B916*141.293+C916*267.993+D916*115.016+E916*89.698+F916*40+G916*185+H916*0+I916*100+J916*300)/(141.293+267.993+115.016+89.698+0+40+185+100+300)</f>
        <v>99.19960792728007</v>
      </c>
      <c r="AC916" s="44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97.264305755395668</v>
      </c>
    </row>
    <row r="917" spans="1:29" ht="15.75" x14ac:dyDescent="0.25">
      <c r="A917" s="31">
        <v>68819</v>
      </c>
      <c r="B917" s="14">
        <f>CHOOSE(CONTROL!$C$42, 99.9939, 99.9939) * CHOOSE(CONTROL!$C$21, $C$9, 100%, $E$9)</f>
        <v>99.993899999999996</v>
      </c>
      <c r="C917" s="14">
        <f>CHOOSE(CONTROL!$C$42, 100.0019, 100.0019) * CHOOSE(CONTROL!$C$21, $C$9, 100%, $E$9)</f>
        <v>100.00190000000001</v>
      </c>
      <c r="D917" s="14">
        <f>CHOOSE(CONTROL!$C$42, 100.2277, 100.2277) * CHOOSE(CONTROL!$C$21, $C$9, 100%, $E$9)</f>
        <v>100.2277</v>
      </c>
      <c r="E917" s="14">
        <f>CHOOSE(CONTROL!$C$42, 100.2592, 100.2592) * CHOOSE(CONTROL!$C$21, $C$9, 100%, $E$9)</f>
        <v>100.25920000000001</v>
      </c>
      <c r="F917" s="14">
        <f>CHOOSE(CONTROL!$C$42, 100.0196, 100.0196)*CHOOSE(CONTROL!$C$21, $C$9, 100%, $E$9)</f>
        <v>100.0196</v>
      </c>
      <c r="G917" s="14">
        <f>CHOOSE(CONTROL!$C$42, 100.0365, 100.0365)*CHOOSE(CONTROL!$C$21, $C$9, 100%, $E$9)</f>
        <v>100.0365</v>
      </c>
      <c r="H917" s="14">
        <f>CHOOSE(CONTROL!$C$42, 100.2478, 100.2478) * CHOOSE(CONTROL!$C$21, $C$9, 100%, $E$9)</f>
        <v>100.2478</v>
      </c>
      <c r="I917" s="14">
        <f>CHOOSE(CONTROL!$C$42, 100.3386, 100.3386)* CHOOSE(CONTROL!$C$21, $C$9, 100%, $E$9)</f>
        <v>100.3386</v>
      </c>
      <c r="J917" s="14">
        <f>CHOOSE(CONTROL!$C$42, 100.0126, 100.0126)* CHOOSE(CONTROL!$C$21, $C$9, 100%, $E$9)</f>
        <v>100.01260000000001</v>
      </c>
      <c r="K917" s="52">
        <f>CHOOSE(CONTROL!$C$42, 100.3347, 100.3347) * CHOOSE(CONTROL!$C$21, $C$9, 100%, $E$9)</f>
        <v>100.3347</v>
      </c>
      <c r="L917" s="14">
        <f>CHOOSE(CONTROL!$C$42, 100.8348, 100.8348) * CHOOSE(CONTROL!$C$21, $C$9, 100%, $E$9)</f>
        <v>100.8348</v>
      </c>
      <c r="M917" s="14">
        <f>CHOOSE(CONTROL!$C$42, 97.9711, 97.9711) * CHOOSE(CONTROL!$C$21, $C$9, 100%, $E$9)</f>
        <v>97.971100000000007</v>
      </c>
      <c r="N917" s="14">
        <f>CHOOSE(CONTROL!$C$42, 97.9877, 97.9877) * CHOOSE(CONTROL!$C$21, $C$9, 100%, $E$9)</f>
        <v>97.987700000000004</v>
      </c>
      <c r="O917" s="14">
        <f>CHOOSE(CONTROL!$C$42, 98.2015, 98.2015) * CHOOSE(CONTROL!$C$21, $C$9, 100%, $E$9)</f>
        <v>98.201499999999996</v>
      </c>
      <c r="P917" s="14">
        <f>CHOOSE(CONTROL!$C$42, 98.2842, 98.2842) * CHOOSE(CONTROL!$C$21, $C$9, 100%, $E$9)</f>
        <v>98.284199999999998</v>
      </c>
      <c r="Q917" s="14">
        <f>CHOOSE(CONTROL!$C$42, 98.7962, 98.7962) * CHOOSE(CONTROL!$C$21, $C$9, 100%, $E$9)</f>
        <v>98.796199999999999</v>
      </c>
      <c r="R917" s="14">
        <f>CHOOSE(CONTROL!$C$42, 99.6302, 99.6302) * CHOOSE(CONTROL!$C$21, $C$9, 100%, $E$9)</f>
        <v>99.630200000000002</v>
      </c>
      <c r="S917" s="14">
        <f>CHOOSE(CONTROL!$C$42, 96.0735, 96.0735) * CHOOSE(CONTROL!$C$21, $C$9, 100%, $E$9)</f>
        <v>96.073499999999996</v>
      </c>
      <c r="T91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56">
        <f>(1000*CHOOSE(CONTROL!$C$42, 695, 695)*CHOOSE(CONTROL!$C$42, 0.5599, 0.5599)*CHOOSE(CONTROL!$C$42, 31, 31))/1000000</f>
        <v>12.063045499999998</v>
      </c>
      <c r="V917" s="56">
        <f>(1000*CHOOSE(CONTROL!$C$42, 500, 500)*CHOOSE(CONTROL!$C$42, 0.275, 0.275)*CHOOSE(CONTROL!$C$42, 31, 31))/1000000</f>
        <v>4.2625000000000002</v>
      </c>
      <c r="W917" s="56">
        <f>(1000*CHOOSE(CONTROL!$C$42, 0.1146, 0.1146)*CHOOSE(CONTROL!$C$42, 121.5, 121.5)*CHOOSE(CONTROL!$C$42, 31, 31))/1000000</f>
        <v>0.43164089999999994</v>
      </c>
      <c r="X917" s="56">
        <f>(31*0.1790888*245000/1000000)+(31*0.2374*100000/1000000)</f>
        <v>2.0961194359999999</v>
      </c>
      <c r="Y917" s="56"/>
      <c r="Z917" s="14"/>
      <c r="AA917" s="55"/>
      <c r="AB917" s="49">
        <f>(B917*194.205+C917*267.466+D917*133.845+E917*53.484+F917*40+G917*185+H917*0+I917*100+J917*300)/(194.205+267.466+133.845+53.484+0+40+185+100+300)</f>
        <v>100.06973280549451</v>
      </c>
      <c r="AC917" s="44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98.121531654676261</v>
      </c>
    </row>
    <row r="918" spans="1:29" ht="15.75" x14ac:dyDescent="0.25">
      <c r="A918" s="31">
        <v>68849</v>
      </c>
      <c r="B918" s="14">
        <f>CHOOSE(CONTROL!$C$42, 102.83, 102.83) * CHOOSE(CONTROL!$C$21, $C$9, 100%, $E$9)</f>
        <v>102.83</v>
      </c>
      <c r="C918" s="14">
        <f>CHOOSE(CONTROL!$C$42, 102.8381, 102.8381) * CHOOSE(CONTROL!$C$21, $C$9, 100%, $E$9)</f>
        <v>102.8381</v>
      </c>
      <c r="D918" s="14">
        <f>CHOOSE(CONTROL!$C$42, 103.0639, 103.0639) * CHOOSE(CONTROL!$C$21, $C$9, 100%, $E$9)</f>
        <v>103.0639</v>
      </c>
      <c r="E918" s="14">
        <f>CHOOSE(CONTROL!$C$42, 103.0953, 103.0953) * CHOOSE(CONTROL!$C$21, $C$9, 100%, $E$9)</f>
        <v>103.09529999999999</v>
      </c>
      <c r="F918" s="14">
        <f>CHOOSE(CONTROL!$C$42, 102.8561, 102.8561)*CHOOSE(CONTROL!$C$21, $C$9, 100%, $E$9)</f>
        <v>102.8561</v>
      </c>
      <c r="G918" s="14">
        <f>CHOOSE(CONTROL!$C$42, 102.8732, 102.8732)*CHOOSE(CONTROL!$C$21, $C$9, 100%, $E$9)</f>
        <v>102.8732</v>
      </c>
      <c r="H918" s="14">
        <f>CHOOSE(CONTROL!$C$42, 103.0839, 103.0839) * CHOOSE(CONTROL!$C$21, $C$9, 100%, $E$9)</f>
        <v>103.0839</v>
      </c>
      <c r="I918" s="14">
        <f>CHOOSE(CONTROL!$C$42, 103.1836, 103.1836)* CHOOSE(CONTROL!$C$21, $C$9, 100%, $E$9)</f>
        <v>103.1836</v>
      </c>
      <c r="J918" s="14">
        <f>CHOOSE(CONTROL!$C$42, 102.8491, 102.8491)* CHOOSE(CONTROL!$C$21, $C$9, 100%, $E$9)</f>
        <v>102.84910000000001</v>
      </c>
      <c r="K918" s="52">
        <f>CHOOSE(CONTROL!$C$42, 103.1797, 103.1797) * CHOOSE(CONTROL!$C$21, $C$9, 100%, $E$9)</f>
        <v>103.1797</v>
      </c>
      <c r="L918" s="14">
        <f>CHOOSE(CONTROL!$C$42, 103.6709, 103.6709) * CHOOSE(CONTROL!$C$21, $C$9, 100%, $E$9)</f>
        <v>103.6709</v>
      </c>
      <c r="M918" s="14">
        <f>CHOOSE(CONTROL!$C$42, 100.7495, 100.7495) * CHOOSE(CONTROL!$C$21, $C$9, 100%, $E$9)</f>
        <v>100.7495</v>
      </c>
      <c r="N918" s="14">
        <f>CHOOSE(CONTROL!$C$42, 100.7663, 100.7663) * CHOOSE(CONTROL!$C$21, $C$9, 100%, $E$9)</f>
        <v>100.7663</v>
      </c>
      <c r="O918" s="14">
        <f>CHOOSE(CONTROL!$C$42, 100.9795, 100.9795) * CHOOSE(CONTROL!$C$21, $C$9, 100%, $E$9)</f>
        <v>100.9795</v>
      </c>
      <c r="P918" s="14">
        <f>CHOOSE(CONTROL!$C$42, 101.0708, 101.0708) * CHOOSE(CONTROL!$C$21, $C$9, 100%, $E$9)</f>
        <v>101.07080000000001</v>
      </c>
      <c r="Q918" s="14">
        <f>CHOOSE(CONTROL!$C$42, 101.5742, 101.5742) * CHOOSE(CONTROL!$C$21, $C$9, 100%, $E$9)</f>
        <v>101.5742</v>
      </c>
      <c r="R918" s="14">
        <f>CHOOSE(CONTROL!$C$42, 102.4152, 102.4152) * CHOOSE(CONTROL!$C$21, $C$9, 100%, $E$9)</f>
        <v>102.4152</v>
      </c>
      <c r="S918" s="14">
        <f>CHOOSE(CONTROL!$C$42, 98.7988, 98.7988) * CHOOSE(CONTROL!$C$21, $C$9, 100%, $E$9)</f>
        <v>98.7988</v>
      </c>
      <c r="T91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56">
        <f>(1000*CHOOSE(CONTROL!$C$42, 695, 695)*CHOOSE(CONTROL!$C$42, 0.5599, 0.5599)*CHOOSE(CONTROL!$C$42, 30, 30))/1000000</f>
        <v>11.673914999999997</v>
      </c>
      <c r="V918" s="56">
        <f>(1000*CHOOSE(CONTROL!$C$42, 500, 500)*CHOOSE(CONTROL!$C$42, 0.275, 0.275)*CHOOSE(CONTROL!$C$42, 30, 30))/1000000</f>
        <v>4.125</v>
      </c>
      <c r="W918" s="56">
        <f>(1000*CHOOSE(CONTROL!$C$42, 0.1146, 0.1146)*CHOOSE(CONTROL!$C$42, 121.5, 121.5)*CHOOSE(CONTROL!$C$42, 30, 30))/1000000</f>
        <v>0.417717</v>
      </c>
      <c r="X918" s="56">
        <f>(30*0.1790888*245000/1000000)+(30*0.2374*100000/1000000)</f>
        <v>2.0285026799999999</v>
      </c>
      <c r="Y918" s="56"/>
      <c r="Z918" s="14"/>
      <c r="AA918" s="55"/>
      <c r="AB918" s="49">
        <f>(B918*194.205+C918*267.466+D918*133.845+E918*53.484+F918*40+G918*185+H918*0+I918*100+J918*300)/(194.205+267.466+133.845+53.484+0+40+185+100+300)</f>
        <v>102.90675677025118</v>
      </c>
      <c r="AC918" s="44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100.90094172661871</v>
      </c>
    </row>
    <row r="919" spans="1:29" ht="15.75" x14ac:dyDescent="0.25">
      <c r="A919" s="31">
        <v>68880</v>
      </c>
      <c r="B919" s="14">
        <f>CHOOSE(CONTROL!$C$42, 100.8575, 100.8575) * CHOOSE(CONTROL!$C$21, $C$9, 100%, $E$9)</f>
        <v>100.8575</v>
      </c>
      <c r="C919" s="14">
        <f>CHOOSE(CONTROL!$C$42, 100.8655, 100.8655) * CHOOSE(CONTROL!$C$21, $C$9, 100%, $E$9)</f>
        <v>100.8655</v>
      </c>
      <c r="D919" s="14">
        <f>CHOOSE(CONTROL!$C$42, 101.0913, 101.0913) * CHOOSE(CONTROL!$C$21, $C$9, 100%, $E$9)</f>
        <v>101.0913</v>
      </c>
      <c r="E919" s="14">
        <f>CHOOSE(CONTROL!$C$42, 101.1228, 101.1228) * CHOOSE(CONTROL!$C$21, $C$9, 100%, $E$9)</f>
        <v>101.1228</v>
      </c>
      <c r="F919" s="14">
        <f>CHOOSE(CONTROL!$C$42, 100.8841, 100.8841)*CHOOSE(CONTROL!$C$21, $C$9, 100%, $E$9)</f>
        <v>100.8841</v>
      </c>
      <c r="G919" s="14">
        <f>CHOOSE(CONTROL!$C$42, 100.9013, 100.9013)*CHOOSE(CONTROL!$C$21, $C$9, 100%, $E$9)</f>
        <v>100.90130000000001</v>
      </c>
      <c r="H919" s="14">
        <f>CHOOSE(CONTROL!$C$42, 101.1114, 101.1114) * CHOOSE(CONTROL!$C$21, $C$9, 100%, $E$9)</f>
        <v>101.1114</v>
      </c>
      <c r="I919" s="14">
        <f>CHOOSE(CONTROL!$C$42, 101.2049, 101.2049)* CHOOSE(CONTROL!$C$21, $C$9, 100%, $E$9)</f>
        <v>101.20489999999999</v>
      </c>
      <c r="J919" s="14">
        <f>CHOOSE(CONTROL!$C$42, 100.8771, 100.8771)* CHOOSE(CONTROL!$C$21, $C$9, 100%, $E$9)</f>
        <v>100.8771</v>
      </c>
      <c r="K919" s="52">
        <f>CHOOSE(CONTROL!$C$42, 101.201, 101.201) * CHOOSE(CONTROL!$C$21, $C$9, 100%, $E$9)</f>
        <v>101.20099999999999</v>
      </c>
      <c r="L919" s="14">
        <f>CHOOSE(CONTROL!$C$42, 101.6984, 101.6984) * CHOOSE(CONTROL!$C$21, $C$9, 100%, $E$9)</f>
        <v>101.69840000000001</v>
      </c>
      <c r="M919" s="14">
        <f>CHOOSE(CONTROL!$C$42, 98.8179, 98.8179) * CHOOSE(CONTROL!$C$21, $C$9, 100%, $E$9)</f>
        <v>98.817899999999995</v>
      </c>
      <c r="N919" s="14">
        <f>CHOOSE(CONTROL!$C$42, 98.8347, 98.8347) * CHOOSE(CONTROL!$C$21, $C$9, 100%, $E$9)</f>
        <v>98.834699999999998</v>
      </c>
      <c r="O919" s="14">
        <f>CHOOSE(CONTROL!$C$42, 99.0474, 99.0474) * CHOOSE(CONTROL!$C$21, $C$9, 100%, $E$9)</f>
        <v>99.047399999999996</v>
      </c>
      <c r="P919" s="14">
        <f>CHOOSE(CONTROL!$C$42, 99.1327, 99.1327) * CHOOSE(CONTROL!$C$21, $C$9, 100%, $E$9)</f>
        <v>99.1327</v>
      </c>
      <c r="Q919" s="14">
        <f>CHOOSE(CONTROL!$C$42, 99.6421, 99.6421) * CHOOSE(CONTROL!$C$21, $C$9, 100%, $E$9)</f>
        <v>99.642099999999999</v>
      </c>
      <c r="R919" s="14">
        <f>CHOOSE(CONTROL!$C$42, 100.4782, 100.4782) * CHOOSE(CONTROL!$C$21, $C$9, 100%, $E$9)</f>
        <v>100.4782</v>
      </c>
      <c r="S919" s="14">
        <f>CHOOSE(CONTROL!$C$42, 96.9033, 96.9033) * CHOOSE(CONTROL!$C$21, $C$9, 100%, $E$9)</f>
        <v>96.903300000000002</v>
      </c>
      <c r="T91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56">
        <f>(1000*CHOOSE(CONTROL!$C$42, 695, 695)*CHOOSE(CONTROL!$C$42, 0.5599, 0.5599)*CHOOSE(CONTROL!$C$42, 31, 31))/1000000</f>
        <v>12.063045499999998</v>
      </c>
      <c r="V919" s="56">
        <f>(1000*CHOOSE(CONTROL!$C$42, 500, 500)*CHOOSE(CONTROL!$C$42, 0.275, 0.275)*CHOOSE(CONTROL!$C$42, 31, 31))/1000000</f>
        <v>4.2625000000000002</v>
      </c>
      <c r="W919" s="56">
        <f>(1000*CHOOSE(CONTROL!$C$42, 0.1146, 0.1146)*CHOOSE(CONTROL!$C$42, 121.5, 121.5)*CHOOSE(CONTROL!$C$42, 31, 31))/1000000</f>
        <v>0.43164089999999994</v>
      </c>
      <c r="X919" s="56">
        <f>(31*0.1790888*245000/1000000)+(31*0.2374*100000/1000000)</f>
        <v>2.0961194359999999</v>
      </c>
      <c r="Y919" s="56"/>
      <c r="Z919" s="14"/>
      <c r="AA919" s="55"/>
      <c r="AB919" s="49">
        <f>(B919*194.205+C919*267.466+D919*133.845+E919*53.484+F919*40+G919*185+H919*0+I919*100+J919*300)/(194.205+267.466+133.845+53.484+0+40+185+100+300)</f>
        <v>100.93395917912088</v>
      </c>
      <c r="AC919" s="44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98.9681798561151</v>
      </c>
    </row>
    <row r="920" spans="1:29" ht="15.75" x14ac:dyDescent="0.25">
      <c r="A920" s="31">
        <v>68911</v>
      </c>
      <c r="B920" s="14">
        <f>CHOOSE(CONTROL!$C$42, 95.8762, 95.8762) * CHOOSE(CONTROL!$C$21, $C$9, 100%, $E$9)</f>
        <v>95.876199999999997</v>
      </c>
      <c r="C920" s="14">
        <f>CHOOSE(CONTROL!$C$42, 95.8842, 95.8842) * CHOOSE(CONTROL!$C$21, $C$9, 100%, $E$9)</f>
        <v>95.884200000000007</v>
      </c>
      <c r="D920" s="14">
        <f>CHOOSE(CONTROL!$C$42, 96.11, 96.11) * CHOOSE(CONTROL!$C$21, $C$9, 100%, $E$9)</f>
        <v>96.11</v>
      </c>
      <c r="E920" s="14">
        <f>CHOOSE(CONTROL!$C$42, 96.1415, 96.1415) * CHOOSE(CONTROL!$C$21, $C$9, 100%, $E$9)</f>
        <v>96.141499999999994</v>
      </c>
      <c r="F920" s="14">
        <f>CHOOSE(CONTROL!$C$42, 95.903, 95.903)*CHOOSE(CONTROL!$C$21, $C$9, 100%, $E$9)</f>
        <v>95.903000000000006</v>
      </c>
      <c r="G920" s="14">
        <f>CHOOSE(CONTROL!$C$42, 95.9203, 95.9203)*CHOOSE(CONTROL!$C$21, $C$9, 100%, $E$9)</f>
        <v>95.920299999999997</v>
      </c>
      <c r="H920" s="14">
        <f>CHOOSE(CONTROL!$C$42, 96.1301, 96.1301) * CHOOSE(CONTROL!$C$21, $C$9, 100%, $E$9)</f>
        <v>96.130099999999999</v>
      </c>
      <c r="I920" s="14">
        <f>CHOOSE(CONTROL!$C$42, 96.208, 96.208)* CHOOSE(CONTROL!$C$21, $C$9, 100%, $E$9)</f>
        <v>96.207999999999998</v>
      </c>
      <c r="J920" s="14">
        <f>CHOOSE(CONTROL!$C$42, 95.896, 95.896)* CHOOSE(CONTROL!$C$21, $C$9, 100%, $E$9)</f>
        <v>95.896000000000001</v>
      </c>
      <c r="K920" s="52">
        <f>CHOOSE(CONTROL!$C$42, 96.2041, 96.2041) * CHOOSE(CONTROL!$C$21, $C$9, 100%, $E$9)</f>
        <v>96.204099999999997</v>
      </c>
      <c r="L920" s="14">
        <f>CHOOSE(CONTROL!$C$42, 96.7171, 96.7171) * CHOOSE(CONTROL!$C$21, $C$9, 100%, $E$9)</f>
        <v>96.717100000000002</v>
      </c>
      <c r="M920" s="14">
        <f>CHOOSE(CONTROL!$C$42, 93.9389, 93.9389) * CHOOSE(CONTROL!$C$21, $C$9, 100%, $E$9)</f>
        <v>93.938900000000004</v>
      </c>
      <c r="N920" s="14">
        <f>CHOOSE(CONTROL!$C$42, 93.9558, 93.9558) * CHOOSE(CONTROL!$C$21, $C$9, 100%, $E$9)</f>
        <v>93.955799999999996</v>
      </c>
      <c r="O920" s="14">
        <f>CHOOSE(CONTROL!$C$42, 94.1682, 94.1682) * CHOOSE(CONTROL!$C$21, $C$9, 100%, $E$9)</f>
        <v>94.168199999999999</v>
      </c>
      <c r="P920" s="14">
        <f>CHOOSE(CONTROL!$C$42, 94.2385, 94.2385) * CHOOSE(CONTROL!$C$21, $C$9, 100%, $E$9)</f>
        <v>94.238500000000002</v>
      </c>
      <c r="Q920" s="14">
        <f>CHOOSE(CONTROL!$C$42, 94.7629, 94.7629) * CHOOSE(CONTROL!$C$21, $C$9, 100%, $E$9)</f>
        <v>94.762900000000002</v>
      </c>
      <c r="R920" s="14">
        <f>CHOOSE(CONTROL!$C$42, 95.5868, 95.5868) * CHOOSE(CONTROL!$C$21, $C$9, 100%, $E$9)</f>
        <v>95.586799999999997</v>
      </c>
      <c r="S920" s="14">
        <f>CHOOSE(CONTROL!$C$42, 92.1168, 92.1168) * CHOOSE(CONTROL!$C$21, $C$9, 100%, $E$9)</f>
        <v>92.116799999999998</v>
      </c>
      <c r="T92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56">
        <f>(1000*CHOOSE(CONTROL!$C$42, 695, 695)*CHOOSE(CONTROL!$C$42, 0.5599, 0.5599)*CHOOSE(CONTROL!$C$42, 31, 31))/1000000</f>
        <v>12.063045499999998</v>
      </c>
      <c r="V920" s="56">
        <f>(1000*CHOOSE(CONTROL!$C$42, 500, 500)*CHOOSE(CONTROL!$C$42, 0.275, 0.275)*CHOOSE(CONTROL!$C$42, 31, 31))/1000000</f>
        <v>4.2625000000000002</v>
      </c>
      <c r="W920" s="56">
        <f>(1000*CHOOSE(CONTROL!$C$42, 0.1146, 0.1146)*CHOOSE(CONTROL!$C$42, 121.5, 121.5)*CHOOSE(CONTROL!$C$42, 31, 31))/1000000</f>
        <v>0.43164089999999994</v>
      </c>
      <c r="X920" s="56">
        <f>(31*0.1790888*245000/1000000)+(31*0.2374*100000/1000000)</f>
        <v>2.0961194359999999</v>
      </c>
      <c r="Y920" s="56"/>
      <c r="Z920" s="14"/>
      <c r="AA920" s="55"/>
      <c r="AB920" s="49">
        <f>(B920*194.205+C920*267.466+D920*133.845+E920*53.484+F920*40+G920*185+H920*0+I920*100+J920*300)/(194.205+267.466+133.845+53.484+0+40+185+100+300)</f>
        <v>95.951531628100469</v>
      </c>
      <c r="AC920" s="44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94.086907913669066</v>
      </c>
    </row>
    <row r="921" spans="1:29" ht="15.75" x14ac:dyDescent="0.25">
      <c r="A921" s="31">
        <v>68941</v>
      </c>
      <c r="B921" s="14">
        <f>CHOOSE(CONTROL!$C$42, 89.7897, 89.7897) * CHOOSE(CONTROL!$C$21, $C$9, 100%, $E$9)</f>
        <v>89.789699999999996</v>
      </c>
      <c r="C921" s="14">
        <f>CHOOSE(CONTROL!$C$42, 89.7978, 89.7978) * CHOOSE(CONTROL!$C$21, $C$9, 100%, $E$9)</f>
        <v>89.797799999999995</v>
      </c>
      <c r="D921" s="14">
        <f>CHOOSE(CONTROL!$C$42, 90.0236, 90.0236) * CHOOSE(CONTROL!$C$21, $C$9, 100%, $E$9)</f>
        <v>90.023600000000002</v>
      </c>
      <c r="E921" s="14">
        <f>CHOOSE(CONTROL!$C$42, 90.055, 90.055) * CHOOSE(CONTROL!$C$21, $C$9, 100%, $E$9)</f>
        <v>90.055000000000007</v>
      </c>
      <c r="F921" s="14">
        <f>CHOOSE(CONTROL!$C$42, 89.8165, 89.8165)*CHOOSE(CONTROL!$C$21, $C$9, 100%, $E$9)</f>
        <v>89.816500000000005</v>
      </c>
      <c r="G921" s="14">
        <f>CHOOSE(CONTROL!$C$42, 89.8338, 89.8338)*CHOOSE(CONTROL!$C$21, $C$9, 100%, $E$9)</f>
        <v>89.833799999999997</v>
      </c>
      <c r="H921" s="14">
        <f>CHOOSE(CONTROL!$C$42, 90.0436, 90.0436) * CHOOSE(CONTROL!$C$21, $C$9, 100%, $E$9)</f>
        <v>90.043599999999998</v>
      </c>
      <c r="I921" s="14">
        <f>CHOOSE(CONTROL!$C$42, 90.1025, 90.1025)* CHOOSE(CONTROL!$C$21, $C$9, 100%, $E$9)</f>
        <v>90.102500000000006</v>
      </c>
      <c r="J921" s="14">
        <f>CHOOSE(CONTROL!$C$42, 89.8095, 89.8095)* CHOOSE(CONTROL!$C$21, $C$9, 100%, $E$9)</f>
        <v>89.8095</v>
      </c>
      <c r="K921" s="52">
        <f>CHOOSE(CONTROL!$C$42, 90.0986, 90.0986) * CHOOSE(CONTROL!$C$21, $C$9, 100%, $E$9)</f>
        <v>90.098600000000005</v>
      </c>
      <c r="L921" s="14">
        <f>CHOOSE(CONTROL!$C$42, 90.6306, 90.6306) * CHOOSE(CONTROL!$C$21, $C$9, 100%, $E$9)</f>
        <v>90.630600000000001</v>
      </c>
      <c r="M921" s="14">
        <f>CHOOSE(CONTROL!$C$42, 87.9771, 87.9771) * CHOOSE(CONTROL!$C$21, $C$9, 100%, $E$9)</f>
        <v>87.977099999999993</v>
      </c>
      <c r="N921" s="14">
        <f>CHOOSE(CONTROL!$C$42, 87.994, 87.994) * CHOOSE(CONTROL!$C$21, $C$9, 100%, $E$9)</f>
        <v>87.994</v>
      </c>
      <c r="O921" s="14">
        <f>CHOOSE(CONTROL!$C$42, 88.2064, 88.2064) * CHOOSE(CONTROL!$C$21, $C$9, 100%, $E$9)</f>
        <v>88.206400000000002</v>
      </c>
      <c r="P921" s="14">
        <f>CHOOSE(CONTROL!$C$42, 88.2585, 88.2585) * CHOOSE(CONTROL!$C$21, $C$9, 100%, $E$9)</f>
        <v>88.258499999999998</v>
      </c>
      <c r="Q921" s="14">
        <f>CHOOSE(CONTROL!$C$42, 88.8011, 88.8011) * CHOOSE(CONTROL!$C$21, $C$9, 100%, $E$9)</f>
        <v>88.801100000000005</v>
      </c>
      <c r="R921" s="14">
        <f>CHOOSE(CONTROL!$C$42, 89.6101, 89.6101) * CHOOSE(CONTROL!$C$21, $C$9, 100%, $E$9)</f>
        <v>89.610100000000003</v>
      </c>
      <c r="S921" s="14">
        <f>CHOOSE(CONTROL!$C$42, 86.2683, 86.2683) * CHOOSE(CONTROL!$C$21, $C$9, 100%, $E$9)</f>
        <v>86.268299999999996</v>
      </c>
      <c r="T92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56">
        <f>(1000*CHOOSE(CONTROL!$C$42, 695, 695)*CHOOSE(CONTROL!$C$42, 0.5599, 0.5599)*CHOOSE(CONTROL!$C$42, 30, 30))/1000000</f>
        <v>11.673914999999997</v>
      </c>
      <c r="V921" s="56">
        <f>(1000*CHOOSE(CONTROL!$C$42, 500, 500)*CHOOSE(CONTROL!$C$42, 0.275, 0.275)*CHOOSE(CONTROL!$C$42, 30, 30))/1000000</f>
        <v>4.125</v>
      </c>
      <c r="W921" s="56">
        <f>(1000*CHOOSE(CONTROL!$C$42, 0.1146, 0.1146)*CHOOSE(CONTROL!$C$42, 121.5, 121.5)*CHOOSE(CONTROL!$C$42, 30, 30))/1000000</f>
        <v>0.417717</v>
      </c>
      <c r="X921" s="56">
        <f>(30*0.1790888*245000/1000000)+(30*0.2374*100000/1000000)</f>
        <v>2.0285026799999999</v>
      </c>
      <c r="Y921" s="56"/>
      <c r="Z921" s="14"/>
      <c r="AA921" s="55"/>
      <c r="AB921" s="49">
        <f>(B921*194.205+C921*267.466+D921*133.845+E921*53.484+F921*40+G921*185+H921*0+I921*100+J921*300)/(194.205+267.466+133.845+53.484+0+40+185+100+300)</f>
        <v>89.863571762401889</v>
      </c>
      <c r="AC921" s="44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88.122489208633084</v>
      </c>
    </row>
    <row r="922" spans="1:29" ht="15.75" x14ac:dyDescent="0.25">
      <c r="A922" s="31">
        <v>68972</v>
      </c>
      <c r="B922" s="14">
        <f>CHOOSE(CONTROL!$C$42, 87.9651, 87.9651) * CHOOSE(CONTROL!$C$21, $C$9, 100%, $E$9)</f>
        <v>87.965100000000007</v>
      </c>
      <c r="C922" s="14">
        <f>CHOOSE(CONTROL!$C$42, 87.9704, 87.9704) * CHOOSE(CONTROL!$C$21, $C$9, 100%, $E$9)</f>
        <v>87.970399999999998</v>
      </c>
      <c r="D922" s="14">
        <f>CHOOSE(CONTROL!$C$42, 88.2012, 88.2012) * CHOOSE(CONTROL!$C$21, $C$9, 100%, $E$9)</f>
        <v>88.2012</v>
      </c>
      <c r="E922" s="14">
        <f>CHOOSE(CONTROL!$C$42, 88.2303, 88.2303) * CHOOSE(CONTROL!$C$21, $C$9, 100%, $E$9)</f>
        <v>88.2303</v>
      </c>
      <c r="F922" s="14">
        <f>CHOOSE(CONTROL!$C$42, 87.994, 87.994)*CHOOSE(CONTROL!$C$21, $C$9, 100%, $E$9)</f>
        <v>87.994</v>
      </c>
      <c r="G922" s="14">
        <f>CHOOSE(CONTROL!$C$42, 88.0111, 88.0111)*CHOOSE(CONTROL!$C$21, $C$9, 100%, $E$9)</f>
        <v>88.011099999999999</v>
      </c>
      <c r="H922" s="14">
        <f>CHOOSE(CONTROL!$C$42, 88.2208, 88.2208) * CHOOSE(CONTROL!$C$21, $C$9, 100%, $E$9)</f>
        <v>88.220799999999997</v>
      </c>
      <c r="I922" s="14">
        <f>CHOOSE(CONTROL!$C$42, 88.2739, 88.2739)* CHOOSE(CONTROL!$C$21, $C$9, 100%, $E$9)</f>
        <v>88.273899999999998</v>
      </c>
      <c r="J922" s="14">
        <f>CHOOSE(CONTROL!$C$42, 87.987, 87.987)* CHOOSE(CONTROL!$C$21, $C$9, 100%, $E$9)</f>
        <v>87.986999999999995</v>
      </c>
      <c r="K922" s="52">
        <f>CHOOSE(CONTROL!$C$42, 88.27, 88.27) * CHOOSE(CONTROL!$C$21, $C$9, 100%, $E$9)</f>
        <v>88.27</v>
      </c>
      <c r="L922" s="14">
        <f>CHOOSE(CONTROL!$C$42, 88.8078, 88.8078) * CHOOSE(CONTROL!$C$21, $C$9, 100%, $E$9)</f>
        <v>88.8078</v>
      </c>
      <c r="M922" s="14">
        <f>CHOOSE(CONTROL!$C$42, 86.1919, 86.1919) * CHOOSE(CONTROL!$C$21, $C$9, 100%, $E$9)</f>
        <v>86.191900000000004</v>
      </c>
      <c r="N922" s="14">
        <f>CHOOSE(CONTROL!$C$42, 86.2087, 86.2087) * CHOOSE(CONTROL!$C$21, $C$9, 100%, $E$9)</f>
        <v>86.208699999999993</v>
      </c>
      <c r="O922" s="14">
        <f>CHOOSE(CONTROL!$C$42, 86.4209, 86.4209) * CHOOSE(CONTROL!$C$21, $C$9, 100%, $E$9)</f>
        <v>86.420900000000003</v>
      </c>
      <c r="P922" s="14">
        <f>CHOOSE(CONTROL!$C$42, 86.4675, 86.4675) * CHOOSE(CONTROL!$C$21, $C$9, 100%, $E$9)</f>
        <v>86.467500000000001</v>
      </c>
      <c r="Q922" s="14">
        <f>CHOOSE(CONTROL!$C$42, 87.0156, 87.0156) * CHOOSE(CONTROL!$C$21, $C$9, 100%, $E$9)</f>
        <v>87.015600000000006</v>
      </c>
      <c r="R922" s="14">
        <f>CHOOSE(CONTROL!$C$42, 87.8201, 87.8201) * CHOOSE(CONTROL!$C$21, $C$9, 100%, $E$9)</f>
        <v>87.820099999999996</v>
      </c>
      <c r="S922" s="14">
        <f>CHOOSE(CONTROL!$C$42, 84.5167, 84.5167) * CHOOSE(CONTROL!$C$21, $C$9, 100%, $E$9)</f>
        <v>84.5167</v>
      </c>
      <c r="T92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56">
        <f>(1000*CHOOSE(CONTROL!$C$42, 695, 695)*CHOOSE(CONTROL!$C$42, 0.5599, 0.5599)*CHOOSE(CONTROL!$C$42, 31, 31))/1000000</f>
        <v>12.063045499999998</v>
      </c>
      <c r="V922" s="56">
        <f>(1000*CHOOSE(CONTROL!$C$42, 500, 500)*CHOOSE(CONTROL!$C$42, 0.275, 0.275)*CHOOSE(CONTROL!$C$42, 31, 31))/1000000</f>
        <v>4.2625000000000002</v>
      </c>
      <c r="W922" s="56">
        <f>(1000*CHOOSE(CONTROL!$C$42, 0.1146, 0.1146)*CHOOSE(CONTROL!$C$42, 121.5, 121.5)*CHOOSE(CONTROL!$C$42, 31, 31))/1000000</f>
        <v>0.43164089999999994</v>
      </c>
      <c r="X922" s="56">
        <f>(31*0.1790888*245000/1000000)+(31*0.2374*100000/1000000)</f>
        <v>2.0961194359999999</v>
      </c>
      <c r="Y922" s="56"/>
      <c r="Z922" s="14"/>
      <c r="AA922" s="55"/>
      <c r="AB922" s="49">
        <f>(B922*131.881+C922*277.167+D922*79.08+E922*125.872+F922*40+G922*185+H922*0+I922*100+J922*300)/(131.881+277.167+79.08+125.872+0+40+185+100+300)</f>
        <v>88.046324396690892</v>
      </c>
      <c r="AC922" s="44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86.336312949640288</v>
      </c>
    </row>
    <row r="923" spans="1:29" ht="15.75" x14ac:dyDescent="0.25">
      <c r="A923" s="31">
        <v>69002</v>
      </c>
      <c r="B923" s="14">
        <f>CHOOSE(CONTROL!$C$42, 90.2819, 90.2819) * CHOOSE(CONTROL!$C$21, $C$9, 100%, $E$9)</f>
        <v>90.281899999999993</v>
      </c>
      <c r="C923" s="14">
        <f>CHOOSE(CONTROL!$C$42, 90.2869, 90.2869) * CHOOSE(CONTROL!$C$21, $C$9, 100%, $E$9)</f>
        <v>90.286900000000003</v>
      </c>
      <c r="D923" s="14">
        <f>CHOOSE(CONTROL!$C$42, 90.3559, 90.3559) * CHOOSE(CONTROL!$C$21, $C$9, 100%, $E$9)</f>
        <v>90.355900000000005</v>
      </c>
      <c r="E923" s="14">
        <f>CHOOSE(CONTROL!$C$42, 90.3901, 90.3901) * CHOOSE(CONTROL!$C$21, $C$9, 100%, $E$9)</f>
        <v>90.390100000000004</v>
      </c>
      <c r="F923" s="14">
        <f>CHOOSE(CONTROL!$C$42, 90.3174, 90.3174)*CHOOSE(CONTROL!$C$21, $C$9, 100%, $E$9)</f>
        <v>90.317400000000006</v>
      </c>
      <c r="G923" s="14">
        <f>CHOOSE(CONTROL!$C$42, 90.3349, 90.3349)*CHOOSE(CONTROL!$C$21, $C$9, 100%, $E$9)</f>
        <v>90.334900000000005</v>
      </c>
      <c r="H923" s="14">
        <f>CHOOSE(CONTROL!$C$42, 90.3792, 90.3792) * CHOOSE(CONTROL!$C$21, $C$9, 100%, $E$9)</f>
        <v>90.379199999999997</v>
      </c>
      <c r="I923" s="14">
        <f>CHOOSE(CONTROL!$C$42, 90.6009, 90.6009)* CHOOSE(CONTROL!$C$21, $C$9, 100%, $E$9)</f>
        <v>90.600899999999996</v>
      </c>
      <c r="J923" s="14">
        <f>CHOOSE(CONTROL!$C$42, 90.3104, 90.3104)* CHOOSE(CONTROL!$C$21, $C$9, 100%, $E$9)</f>
        <v>90.310400000000001</v>
      </c>
      <c r="K923" s="52">
        <f>CHOOSE(CONTROL!$C$42, 90.5971, 90.5971) * CHOOSE(CONTROL!$C$21, $C$9, 100%, $E$9)</f>
        <v>90.597099999999998</v>
      </c>
      <c r="L923" s="14">
        <f>CHOOSE(CONTROL!$C$42, 90.9662, 90.9662) * CHOOSE(CONTROL!$C$21, $C$9, 100%, $E$9)</f>
        <v>90.966200000000001</v>
      </c>
      <c r="M923" s="14">
        <f>CHOOSE(CONTROL!$C$42, 88.4677, 88.4677) * CHOOSE(CONTROL!$C$21, $C$9, 100%, $E$9)</f>
        <v>88.467699999999994</v>
      </c>
      <c r="N923" s="14">
        <f>CHOOSE(CONTROL!$C$42, 88.4848, 88.4848) * CHOOSE(CONTROL!$C$21, $C$9, 100%, $E$9)</f>
        <v>88.484800000000007</v>
      </c>
      <c r="O923" s="14">
        <f>CHOOSE(CONTROL!$C$42, 88.5351, 88.5351) * CHOOSE(CONTROL!$C$21, $C$9, 100%, $E$9)</f>
        <v>88.5351</v>
      </c>
      <c r="P923" s="14">
        <f>CHOOSE(CONTROL!$C$42, 88.7467, 88.7467) * CHOOSE(CONTROL!$C$21, $C$9, 100%, $E$9)</f>
        <v>88.746700000000004</v>
      </c>
      <c r="Q923" s="14">
        <f>CHOOSE(CONTROL!$C$42, 89.1298, 89.1298) * CHOOSE(CONTROL!$C$21, $C$9, 100%, $E$9)</f>
        <v>89.129800000000003</v>
      </c>
      <c r="R923" s="14">
        <f>CHOOSE(CONTROL!$C$42, 89.9397, 89.9397) * CHOOSE(CONTROL!$C$21, $C$9, 100%, $E$9)</f>
        <v>89.939700000000002</v>
      </c>
      <c r="S923" s="14">
        <f>CHOOSE(CONTROL!$C$42, 86.7433, 86.7433) * CHOOSE(CONTROL!$C$21, $C$9, 100%, $E$9)</f>
        <v>86.743300000000005</v>
      </c>
      <c r="T92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56">
        <f>(1000*CHOOSE(CONTROL!$C$42, 695, 695)*CHOOSE(CONTROL!$C$42, 0.5599, 0.5599)*CHOOSE(CONTROL!$C$42, 30, 30))/1000000</f>
        <v>11.673914999999997</v>
      </c>
      <c r="V923" s="56">
        <f>(1000*CHOOSE(CONTROL!$C$42, 500, 500)*CHOOSE(CONTROL!$C$42, 0.275, 0.275)*CHOOSE(CONTROL!$C$42, 30, 30))/1000000</f>
        <v>4.125</v>
      </c>
      <c r="W923" s="56">
        <f>(1000*CHOOSE(CONTROL!$C$42, 0.1146, 0.1146)*CHOOSE(CONTROL!$C$42, 121.5, 121.5)*CHOOSE(CONTROL!$C$42, 30, 30))/1000000</f>
        <v>0.417717</v>
      </c>
      <c r="X923" s="56">
        <f>(30*0.1790888*100000/1000000)+(30*0.2374*100000/1000000)</f>
        <v>1.2494664</v>
      </c>
      <c r="Y923" s="56"/>
      <c r="Z923" s="14"/>
      <c r="AA923" s="55"/>
      <c r="AB923" s="49">
        <f>(B923*122.58+C923*297.941+D923*89.177+E923*40.302+F923*40+G923*160+H923*0+I923*100+J923*300)/(122.58+297.941+89.177+40.302+0+40+160+100+300)</f>
        <v>90.336508242956512</v>
      </c>
      <c r="AC923" s="44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88.539376258992803</v>
      </c>
    </row>
    <row r="924" spans="1:29" ht="15.75" x14ac:dyDescent="0.25">
      <c r="A924" s="31">
        <v>69033</v>
      </c>
      <c r="B924" s="14">
        <f>CHOOSE(CONTROL!$C$42, 96.4366, 96.4366) * CHOOSE(CONTROL!$C$21, $C$9, 100%, $E$9)</f>
        <v>96.436599999999999</v>
      </c>
      <c r="C924" s="14">
        <f>CHOOSE(CONTROL!$C$42, 96.4417, 96.4417) * CHOOSE(CONTROL!$C$21, $C$9, 100%, $E$9)</f>
        <v>96.441699999999997</v>
      </c>
      <c r="D924" s="14">
        <f>CHOOSE(CONTROL!$C$42, 96.5107, 96.5107) * CHOOSE(CONTROL!$C$21, $C$9, 100%, $E$9)</f>
        <v>96.5107</v>
      </c>
      <c r="E924" s="14">
        <f>CHOOSE(CONTROL!$C$42, 96.5448, 96.5448) * CHOOSE(CONTROL!$C$21, $C$9, 100%, $E$9)</f>
        <v>96.544799999999995</v>
      </c>
      <c r="F924" s="14">
        <f>CHOOSE(CONTROL!$C$42, 96.4744, 96.4744)*CHOOSE(CONTROL!$C$21, $C$9, 100%, $E$9)</f>
        <v>96.474400000000003</v>
      </c>
      <c r="G924" s="14">
        <f>CHOOSE(CONTROL!$C$42, 96.4924, 96.4924)*CHOOSE(CONTROL!$C$21, $C$9, 100%, $E$9)</f>
        <v>96.492400000000004</v>
      </c>
      <c r="H924" s="14">
        <f>CHOOSE(CONTROL!$C$42, 96.534, 96.534) * CHOOSE(CONTROL!$C$21, $C$9, 100%, $E$9)</f>
        <v>96.534000000000006</v>
      </c>
      <c r="I924" s="14">
        <f>CHOOSE(CONTROL!$C$42, 96.7749, 96.7749)* CHOOSE(CONTROL!$C$21, $C$9, 100%, $E$9)</f>
        <v>96.774900000000002</v>
      </c>
      <c r="J924" s="14">
        <f>CHOOSE(CONTROL!$C$42, 96.4674, 96.4674)* CHOOSE(CONTROL!$C$21, $C$9, 100%, $E$9)</f>
        <v>96.467399999999998</v>
      </c>
      <c r="K924" s="52">
        <f>CHOOSE(CONTROL!$C$42, 96.7711, 96.7711) * CHOOSE(CONTROL!$C$21, $C$9, 100%, $E$9)</f>
        <v>96.771100000000004</v>
      </c>
      <c r="L924" s="14">
        <f>CHOOSE(CONTROL!$C$42, 97.121, 97.121) * CHOOSE(CONTROL!$C$21, $C$9, 100%, $E$9)</f>
        <v>97.120999999999995</v>
      </c>
      <c r="M924" s="14">
        <f>CHOOSE(CONTROL!$C$42, 94.4986, 94.4986) * CHOOSE(CONTROL!$C$21, $C$9, 100%, $E$9)</f>
        <v>94.498599999999996</v>
      </c>
      <c r="N924" s="14">
        <f>CHOOSE(CONTROL!$C$42, 94.5162, 94.5162) * CHOOSE(CONTROL!$C$21, $C$9, 100%, $E$9)</f>
        <v>94.516199999999998</v>
      </c>
      <c r="O924" s="14">
        <f>CHOOSE(CONTROL!$C$42, 94.5638, 94.5638) * CHOOSE(CONTROL!$C$21, $C$9, 100%, $E$9)</f>
        <v>94.563800000000001</v>
      </c>
      <c r="P924" s="14">
        <f>CHOOSE(CONTROL!$C$42, 94.7938, 94.7938) * CHOOSE(CONTROL!$C$21, $C$9, 100%, $E$9)</f>
        <v>94.793800000000005</v>
      </c>
      <c r="Q924" s="14">
        <f>CHOOSE(CONTROL!$C$42, 95.1585, 95.1585) * CHOOSE(CONTROL!$C$21, $C$9, 100%, $E$9)</f>
        <v>95.158500000000004</v>
      </c>
      <c r="R924" s="14">
        <f>CHOOSE(CONTROL!$C$42, 95.9833, 95.9833) * CHOOSE(CONTROL!$C$21, $C$9, 100%, $E$9)</f>
        <v>95.9833</v>
      </c>
      <c r="S924" s="14">
        <f>CHOOSE(CONTROL!$C$42, 92.6574, 92.6574) * CHOOSE(CONTROL!$C$21, $C$9, 100%, $E$9)</f>
        <v>92.657399999999996</v>
      </c>
      <c r="T92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56">
        <f>(1000*CHOOSE(CONTROL!$C$42, 695, 695)*CHOOSE(CONTROL!$C$42, 0.5599, 0.5599)*CHOOSE(CONTROL!$C$42, 31, 31))/1000000</f>
        <v>12.063045499999998</v>
      </c>
      <c r="V924" s="56">
        <f>(1000*CHOOSE(CONTROL!$C$42, 500, 500)*CHOOSE(CONTROL!$C$42, 0.275, 0.275)*CHOOSE(CONTROL!$C$42, 31, 31))/1000000</f>
        <v>4.2625000000000002</v>
      </c>
      <c r="W924" s="56">
        <f>(1000*CHOOSE(CONTROL!$C$42, 0.1146, 0.1146)*CHOOSE(CONTROL!$C$42, 121.5, 121.5)*CHOOSE(CONTROL!$C$42, 31, 31))/1000000</f>
        <v>0.43164089999999994</v>
      </c>
      <c r="X924" s="56">
        <f>(31*0.1790888*100000/1000000)+(31*0.2374*100000/1000000)</f>
        <v>1.2911152800000001</v>
      </c>
      <c r="Y924" s="56"/>
      <c r="Z924" s="14"/>
      <c r="AA924" s="55"/>
      <c r="AB924" s="49">
        <f>(B924*122.58+C924*297.941+D924*89.177+E924*40.302+F924*40+G924*160+H924*0+I924*100+J924*300)/(122.58+297.941+89.177+40.302+0+40+160+100+300)</f>
        <v>96.493989731478266</v>
      </c>
      <c r="AC924" s="44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94.57163884892087</v>
      </c>
    </row>
    <row r="925" spans="1:29" ht="15.75" x14ac:dyDescent="0.25">
      <c r="A925" s="31">
        <v>69064</v>
      </c>
      <c r="B925" s="14">
        <f>CHOOSE(CONTROL!$C$42, 104.4305, 104.4305) * CHOOSE(CONTROL!$C$21, $C$9, 100%, $E$9)</f>
        <v>104.43049999999999</v>
      </c>
      <c r="C925" s="14">
        <f>CHOOSE(CONTROL!$C$42, 104.4355, 104.4355) * CHOOSE(CONTROL!$C$21, $C$9, 100%, $E$9)</f>
        <v>104.4355</v>
      </c>
      <c r="D925" s="14">
        <f>CHOOSE(CONTROL!$C$42, 104.515, 104.515) * CHOOSE(CONTROL!$C$21, $C$9, 100%, $E$9)</f>
        <v>104.515</v>
      </c>
      <c r="E925" s="14">
        <f>CHOOSE(CONTROL!$C$42, 104.5491, 104.5491) * CHOOSE(CONTROL!$C$21, $C$9, 100%, $E$9)</f>
        <v>104.5491</v>
      </c>
      <c r="F925" s="14">
        <f>CHOOSE(CONTROL!$C$42, 104.4535, 104.4535)*CHOOSE(CONTROL!$C$21, $C$9, 100%, $E$9)</f>
        <v>104.45350000000001</v>
      </c>
      <c r="G925" s="14">
        <f>CHOOSE(CONTROL!$C$42, 104.471, 104.471)*CHOOSE(CONTROL!$C$21, $C$9, 100%, $E$9)</f>
        <v>104.471</v>
      </c>
      <c r="H925" s="14">
        <f>CHOOSE(CONTROL!$C$42, 104.5383, 104.5383) * CHOOSE(CONTROL!$C$21, $C$9, 100%, $E$9)</f>
        <v>104.53830000000001</v>
      </c>
      <c r="I925" s="14">
        <f>CHOOSE(CONTROL!$C$42, 104.7928, 104.7928)* CHOOSE(CONTROL!$C$21, $C$9, 100%, $E$9)</f>
        <v>104.7928</v>
      </c>
      <c r="J925" s="14">
        <f>CHOOSE(CONTROL!$C$42, 104.4465, 104.4465)* CHOOSE(CONTROL!$C$21, $C$9, 100%, $E$9)</f>
        <v>104.4465</v>
      </c>
      <c r="K925" s="52">
        <f>CHOOSE(CONTROL!$C$42, 104.7889, 104.7889) * CHOOSE(CONTROL!$C$21, $C$9, 100%, $E$9)</f>
        <v>104.7889</v>
      </c>
      <c r="L925" s="14">
        <f>CHOOSE(CONTROL!$C$42, 105.1253, 105.1253) * CHOOSE(CONTROL!$C$21, $C$9, 100%, $E$9)</f>
        <v>105.1253</v>
      </c>
      <c r="M925" s="14">
        <f>CHOOSE(CONTROL!$C$42, 102.3141, 102.3141) * CHOOSE(CONTROL!$C$21, $C$9, 100%, $E$9)</f>
        <v>102.3141</v>
      </c>
      <c r="N925" s="14">
        <f>CHOOSE(CONTROL!$C$42, 102.3313, 102.3313) * CHOOSE(CONTROL!$C$21, $C$9, 100%, $E$9)</f>
        <v>102.3313</v>
      </c>
      <c r="O925" s="14">
        <f>CHOOSE(CONTROL!$C$42, 102.404, 102.404) * CHOOSE(CONTROL!$C$21, $C$9, 100%, $E$9)</f>
        <v>102.404</v>
      </c>
      <c r="P925" s="14">
        <f>CHOOSE(CONTROL!$C$42, 102.6469, 102.6469) * CHOOSE(CONTROL!$C$21, $C$9, 100%, $E$9)</f>
        <v>102.6469</v>
      </c>
      <c r="Q925" s="14">
        <f>CHOOSE(CONTROL!$C$42, 102.9987, 102.9987) * CHOOSE(CONTROL!$C$21, $C$9, 100%, $E$9)</f>
        <v>102.9987</v>
      </c>
      <c r="R925" s="14">
        <f>CHOOSE(CONTROL!$C$42, 103.8432, 103.8432) * CHOOSE(CONTROL!$C$21, $C$9, 100%, $E$9)</f>
        <v>103.8432</v>
      </c>
      <c r="S925" s="14">
        <f>CHOOSE(CONTROL!$C$42, 100.3387, 100.3387) * CHOOSE(CONTROL!$C$21, $C$9, 100%, $E$9)</f>
        <v>100.3387</v>
      </c>
      <c r="T92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56">
        <f>(1000*CHOOSE(CONTROL!$C$42, 695, 695)*CHOOSE(CONTROL!$C$42, 0.5599, 0.5599)*CHOOSE(CONTROL!$C$42, 31, 31))/1000000</f>
        <v>12.063045499999998</v>
      </c>
      <c r="V925" s="56">
        <f>(1000*CHOOSE(CONTROL!$C$42, 500, 500)*CHOOSE(CONTROL!$C$42, 0.275, 0.275)*CHOOSE(CONTROL!$C$42, 31, 31))/1000000</f>
        <v>4.2625000000000002</v>
      </c>
      <c r="W925" s="56">
        <f>(1000*CHOOSE(CONTROL!$C$42, 0.1146, 0.1146)*CHOOSE(CONTROL!$C$42, 121.5, 121.5)*CHOOSE(CONTROL!$C$42, 31, 31))/1000000</f>
        <v>0.43164089999999994</v>
      </c>
      <c r="X925" s="56">
        <f>(31*0.1790888*100000/1000000)+(31*0.2374*100000/1000000)</f>
        <v>1.2911152800000001</v>
      </c>
      <c r="Y925" s="56"/>
      <c r="Z925" s="14"/>
      <c r="AA925" s="55"/>
      <c r="AB925" s="49">
        <f>(B925*122.58+C925*297.941+D925*89.177+E925*40.302+F925*40+G925*160+H925*0+I925*100+J925*300)/(122.58+297.941+89.177+40.302+0+40+160+100+300)</f>
        <v>104.48461737278261</v>
      </c>
      <c r="AC925" s="44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102.40372086330935</v>
      </c>
    </row>
    <row r="926" spans="1:29" ht="15.75" x14ac:dyDescent="0.25">
      <c r="A926" s="31">
        <v>69092</v>
      </c>
      <c r="B926" s="14">
        <f>CHOOSE(CONTROL!$C$42, 106.2893, 106.2893) * CHOOSE(CONTROL!$C$21, $C$9, 100%, $E$9)</f>
        <v>106.2893</v>
      </c>
      <c r="C926" s="14">
        <f>CHOOSE(CONTROL!$C$42, 106.2944, 106.2944) * CHOOSE(CONTROL!$C$21, $C$9, 100%, $E$9)</f>
        <v>106.2944</v>
      </c>
      <c r="D926" s="14">
        <f>CHOOSE(CONTROL!$C$42, 106.3738, 106.3738) * CHOOSE(CONTROL!$C$21, $C$9, 100%, $E$9)</f>
        <v>106.3738</v>
      </c>
      <c r="E926" s="14">
        <f>CHOOSE(CONTROL!$C$42, 106.4079, 106.4079) * CHOOSE(CONTROL!$C$21, $C$9, 100%, $E$9)</f>
        <v>106.4079</v>
      </c>
      <c r="F926" s="14">
        <f>CHOOSE(CONTROL!$C$42, 106.3121, 106.3121)*CHOOSE(CONTROL!$C$21, $C$9, 100%, $E$9)</f>
        <v>106.3121</v>
      </c>
      <c r="G926" s="14">
        <f>CHOOSE(CONTROL!$C$42, 106.3296, 106.3296)*CHOOSE(CONTROL!$C$21, $C$9, 100%, $E$9)</f>
        <v>106.3296</v>
      </c>
      <c r="H926" s="14">
        <f>CHOOSE(CONTROL!$C$42, 106.3971, 106.3971) * CHOOSE(CONTROL!$C$21, $C$9, 100%, $E$9)</f>
        <v>106.39709999999999</v>
      </c>
      <c r="I926" s="14">
        <f>CHOOSE(CONTROL!$C$42, 106.6575, 106.6575)* CHOOSE(CONTROL!$C$21, $C$9, 100%, $E$9)</f>
        <v>106.6575</v>
      </c>
      <c r="J926" s="14">
        <f>CHOOSE(CONTROL!$C$42, 106.3051, 106.3051)* CHOOSE(CONTROL!$C$21, $C$9, 100%, $E$9)</f>
        <v>106.3051</v>
      </c>
      <c r="K926" s="52">
        <f>CHOOSE(CONTROL!$C$42, 106.6536, 106.6536) * CHOOSE(CONTROL!$C$21, $C$9, 100%, $E$9)</f>
        <v>106.6536</v>
      </c>
      <c r="L926" s="14">
        <f>CHOOSE(CONTROL!$C$42, 106.9841, 106.9841) * CHOOSE(CONTROL!$C$21, $C$9, 100%, $E$9)</f>
        <v>106.9841</v>
      </c>
      <c r="M926" s="14">
        <f>CHOOSE(CONTROL!$C$42, 104.1347, 104.1347) * CHOOSE(CONTROL!$C$21, $C$9, 100%, $E$9)</f>
        <v>104.1347</v>
      </c>
      <c r="N926" s="14">
        <f>CHOOSE(CONTROL!$C$42, 104.1518, 104.1518) * CHOOSE(CONTROL!$C$21, $C$9, 100%, $E$9)</f>
        <v>104.15179999999999</v>
      </c>
      <c r="O926" s="14">
        <f>CHOOSE(CONTROL!$C$42, 104.2248, 104.2248) * CHOOSE(CONTROL!$C$21, $C$9, 100%, $E$9)</f>
        <v>104.2248</v>
      </c>
      <c r="P926" s="14">
        <f>CHOOSE(CONTROL!$C$42, 104.4732, 104.4732) * CHOOSE(CONTROL!$C$21, $C$9, 100%, $E$9)</f>
        <v>104.47320000000001</v>
      </c>
      <c r="Q926" s="14">
        <f>CHOOSE(CONTROL!$C$42, 104.8195, 104.8195) * CHOOSE(CONTROL!$C$21, $C$9, 100%, $E$9)</f>
        <v>104.81950000000001</v>
      </c>
      <c r="R926" s="14">
        <f>CHOOSE(CONTROL!$C$42, 105.6685, 105.6685) * CHOOSE(CONTROL!$C$21, $C$9, 100%, $E$9)</f>
        <v>105.66849999999999</v>
      </c>
      <c r="S926" s="14">
        <f>CHOOSE(CONTROL!$C$42, 102.1249, 102.1249) * CHOOSE(CONTROL!$C$21, $C$9, 100%, $E$9)</f>
        <v>102.1249</v>
      </c>
      <c r="T92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56">
        <f>(1000*CHOOSE(CONTROL!$C$42, 695, 695)*CHOOSE(CONTROL!$C$42, 0.5599, 0.5599)*CHOOSE(CONTROL!$C$42, 28, 28))/1000000</f>
        <v>10.895653999999999</v>
      </c>
      <c r="V926" s="56">
        <f>(1000*CHOOSE(CONTROL!$C$42, 500, 500)*CHOOSE(CONTROL!$C$42, 0.275, 0.275)*CHOOSE(CONTROL!$C$42, 28, 28))/1000000</f>
        <v>3.85</v>
      </c>
      <c r="W926" s="56">
        <f>(1000*CHOOSE(CONTROL!$C$42, 0.1146, 0.1146)*CHOOSE(CONTROL!$C$42, 121.5, 121.5)*CHOOSE(CONTROL!$C$42, 28, 28))/1000000</f>
        <v>0.38986920000000003</v>
      </c>
      <c r="X926" s="56">
        <f>(28*0.1790888*100000/1000000)+(28*0.2374*100000/1000000)</f>
        <v>1.16616864</v>
      </c>
      <c r="Y926" s="56"/>
      <c r="Z926" s="14"/>
      <c r="AA926" s="55"/>
      <c r="AB926" s="49">
        <f>(B926*122.58+C926*297.941+D926*89.177+E926*40.302+F926*40+G926*160+H926*0+I926*100+J926*300)/(122.58+297.941+89.177+40.302+0+40+160+100+300)</f>
        <v>106.34386936765218</v>
      </c>
      <c r="AC926" s="44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104.22522589928059</v>
      </c>
    </row>
    <row r="927" spans="1:29" ht="15.75" x14ac:dyDescent="0.25">
      <c r="A927" s="31">
        <v>69123</v>
      </c>
      <c r="B927" s="14">
        <f>CHOOSE(CONTROL!$C$42, 103.272, 103.272) * CHOOSE(CONTROL!$C$21, $C$9, 100%, $E$9)</f>
        <v>103.27200000000001</v>
      </c>
      <c r="C927" s="14">
        <f>CHOOSE(CONTROL!$C$42, 103.277, 103.277) * CHOOSE(CONTROL!$C$21, $C$9, 100%, $E$9)</f>
        <v>103.277</v>
      </c>
      <c r="D927" s="14">
        <f>CHOOSE(CONTROL!$C$42, 103.3564, 103.3564) * CHOOSE(CONTROL!$C$21, $C$9, 100%, $E$9)</f>
        <v>103.35639999999999</v>
      </c>
      <c r="E927" s="14">
        <f>CHOOSE(CONTROL!$C$42, 103.3905, 103.3905) * CHOOSE(CONTROL!$C$21, $C$9, 100%, $E$9)</f>
        <v>103.3905</v>
      </c>
      <c r="F927" s="14">
        <f>CHOOSE(CONTROL!$C$42, 103.294, 103.294)*CHOOSE(CONTROL!$C$21, $C$9, 100%, $E$9)</f>
        <v>103.294</v>
      </c>
      <c r="G927" s="14">
        <f>CHOOSE(CONTROL!$C$42, 103.3113, 103.3113)*CHOOSE(CONTROL!$C$21, $C$9, 100%, $E$9)</f>
        <v>103.3113</v>
      </c>
      <c r="H927" s="14">
        <f>CHOOSE(CONTROL!$C$42, 103.3797, 103.3797) * CHOOSE(CONTROL!$C$21, $C$9, 100%, $E$9)</f>
        <v>103.3797</v>
      </c>
      <c r="I927" s="14">
        <f>CHOOSE(CONTROL!$C$42, 103.6307, 103.6307)* CHOOSE(CONTROL!$C$21, $C$9, 100%, $E$9)</f>
        <v>103.6307</v>
      </c>
      <c r="J927" s="14">
        <f>CHOOSE(CONTROL!$C$42, 103.287, 103.287)* CHOOSE(CONTROL!$C$21, $C$9, 100%, $E$9)</f>
        <v>103.28700000000001</v>
      </c>
      <c r="K927" s="52">
        <f>CHOOSE(CONTROL!$C$42, 103.6268, 103.6268) * CHOOSE(CONTROL!$C$21, $C$9, 100%, $E$9)</f>
        <v>103.6268</v>
      </c>
      <c r="L927" s="14">
        <f>CHOOSE(CONTROL!$C$42, 103.9667, 103.9667) * CHOOSE(CONTROL!$C$21, $C$9, 100%, $E$9)</f>
        <v>103.9667</v>
      </c>
      <c r="M927" s="14">
        <f>CHOOSE(CONTROL!$C$42, 101.1784, 101.1784) * CHOOSE(CONTROL!$C$21, $C$9, 100%, $E$9)</f>
        <v>101.1784</v>
      </c>
      <c r="N927" s="14">
        <f>CHOOSE(CONTROL!$C$42, 101.1953, 101.1953) * CHOOSE(CONTROL!$C$21, $C$9, 100%, $E$9)</f>
        <v>101.1953</v>
      </c>
      <c r="O927" s="14">
        <f>CHOOSE(CONTROL!$C$42, 101.2693, 101.2693) * CHOOSE(CONTROL!$C$21, $C$9, 100%, $E$9)</f>
        <v>101.2693</v>
      </c>
      <c r="P927" s="14">
        <f>CHOOSE(CONTROL!$C$42, 101.5086, 101.5086) * CHOOSE(CONTROL!$C$21, $C$9, 100%, $E$9)</f>
        <v>101.5086</v>
      </c>
      <c r="Q927" s="14">
        <f>CHOOSE(CONTROL!$C$42, 101.864, 101.864) * CHOOSE(CONTROL!$C$21, $C$9, 100%, $E$9)</f>
        <v>101.864</v>
      </c>
      <c r="R927" s="14">
        <f>CHOOSE(CONTROL!$C$42, 102.7056, 102.7056) * CHOOSE(CONTROL!$C$21, $C$9, 100%, $E$9)</f>
        <v>102.7056</v>
      </c>
      <c r="S927" s="14">
        <f>CHOOSE(CONTROL!$C$42, 99.2255, 99.2255) * CHOOSE(CONTROL!$C$21, $C$9, 100%, $E$9)</f>
        <v>99.225499999999997</v>
      </c>
      <c r="T92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56">
        <f>(1000*CHOOSE(CONTROL!$C$42, 695, 695)*CHOOSE(CONTROL!$C$42, 0.5599, 0.5599)*CHOOSE(CONTROL!$C$42, 31, 31))/1000000</f>
        <v>12.063045499999998</v>
      </c>
      <c r="V927" s="56">
        <f>(1000*CHOOSE(CONTROL!$C$42, 500, 500)*CHOOSE(CONTROL!$C$42, 0.275, 0.275)*CHOOSE(CONTROL!$C$42, 31, 31))/1000000</f>
        <v>4.2625000000000002</v>
      </c>
      <c r="W927" s="56">
        <f>(1000*CHOOSE(CONTROL!$C$42, 0.1146, 0.1146)*CHOOSE(CONTROL!$C$42, 121.5, 121.5)*CHOOSE(CONTROL!$C$42, 31, 31))/1000000</f>
        <v>0.43164089999999994</v>
      </c>
      <c r="X927" s="56">
        <f>(31*0.1790888*100000/1000000)+(31*0.2374*100000/1000000)</f>
        <v>1.2911152800000001</v>
      </c>
      <c r="Y927" s="56"/>
      <c r="Z927" s="14"/>
      <c r="AA927" s="55"/>
      <c r="AB927" s="49">
        <f>(B927*122.58+C927*297.941+D927*89.177+E927*40.302+F927*40+G927*160+H927*0+I927*100+J927*300)/(122.58+297.941+89.177+40.302+0+40+160+100+300)</f>
        <v>103.32533046156523</v>
      </c>
      <c r="AC927" s="44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101.26808273381296</v>
      </c>
    </row>
    <row r="928" spans="1:29" ht="15.75" x14ac:dyDescent="0.25">
      <c r="A928" s="31">
        <v>69153</v>
      </c>
      <c r="B928" s="14">
        <f>CHOOSE(CONTROL!$C$42, 102.9638, 102.9638) * CHOOSE(CONTROL!$C$21, $C$9, 100%, $E$9)</f>
        <v>102.96380000000001</v>
      </c>
      <c r="C928" s="14">
        <f>CHOOSE(CONTROL!$C$42, 102.9683, 102.9683) * CHOOSE(CONTROL!$C$21, $C$9, 100%, $E$9)</f>
        <v>102.9683</v>
      </c>
      <c r="D928" s="14">
        <f>CHOOSE(CONTROL!$C$42, 103.1972, 103.1972) * CHOOSE(CONTROL!$C$21, $C$9, 100%, $E$9)</f>
        <v>103.1972</v>
      </c>
      <c r="E928" s="14">
        <f>CHOOSE(CONTROL!$C$42, 103.2293, 103.2293) * CHOOSE(CONTROL!$C$21, $C$9, 100%, $E$9)</f>
        <v>103.22929999999999</v>
      </c>
      <c r="F928" s="14">
        <f>CHOOSE(CONTROL!$C$42, 102.9908, 102.9908)*CHOOSE(CONTROL!$C$21, $C$9, 100%, $E$9)</f>
        <v>102.99079999999999</v>
      </c>
      <c r="G928" s="14">
        <f>CHOOSE(CONTROL!$C$42, 103.0075, 103.0075)*CHOOSE(CONTROL!$C$21, $C$9, 100%, $E$9)</f>
        <v>103.00749999999999</v>
      </c>
      <c r="H928" s="14">
        <f>CHOOSE(CONTROL!$C$42, 103.2191, 103.2191) * CHOOSE(CONTROL!$C$21, $C$9, 100%, $E$9)</f>
        <v>103.2191</v>
      </c>
      <c r="I928" s="14">
        <f>CHOOSE(CONTROL!$C$42, 103.3192, 103.3192)* CHOOSE(CONTROL!$C$21, $C$9, 100%, $E$9)</f>
        <v>103.3192</v>
      </c>
      <c r="J928" s="14">
        <f>CHOOSE(CONTROL!$C$42, 102.9838, 102.9838)* CHOOSE(CONTROL!$C$21, $C$9, 100%, $E$9)</f>
        <v>102.9838</v>
      </c>
      <c r="K928" s="52">
        <f>CHOOSE(CONTROL!$C$42, 103.3153, 103.3153) * CHOOSE(CONTROL!$C$21, $C$9, 100%, $E$9)</f>
        <v>103.31529999999999</v>
      </c>
      <c r="L928" s="14">
        <f>CHOOSE(CONTROL!$C$42, 103.8061, 103.8061) * CHOOSE(CONTROL!$C$21, $C$9, 100%, $E$9)</f>
        <v>103.8061</v>
      </c>
      <c r="M928" s="14">
        <f>CHOOSE(CONTROL!$C$42, 100.8814, 100.8814) * CHOOSE(CONTROL!$C$21, $C$9, 100%, $E$9)</f>
        <v>100.8814</v>
      </c>
      <c r="N928" s="14">
        <f>CHOOSE(CONTROL!$C$42, 100.8978, 100.8978) * CHOOSE(CONTROL!$C$21, $C$9, 100%, $E$9)</f>
        <v>100.8978</v>
      </c>
      <c r="O928" s="14">
        <f>CHOOSE(CONTROL!$C$42, 101.1119, 101.1119) * CHOOSE(CONTROL!$C$21, $C$9, 100%, $E$9)</f>
        <v>101.11190000000001</v>
      </c>
      <c r="P928" s="14">
        <f>CHOOSE(CONTROL!$C$42, 101.2035, 101.2035) * CHOOSE(CONTROL!$C$21, $C$9, 100%, $E$9)</f>
        <v>101.20350000000001</v>
      </c>
      <c r="Q928" s="14">
        <f>CHOOSE(CONTROL!$C$42, 101.7066, 101.7066) * CHOOSE(CONTROL!$C$21, $C$9, 100%, $E$9)</f>
        <v>101.70659999999999</v>
      </c>
      <c r="R928" s="14">
        <f>CHOOSE(CONTROL!$C$42, 102.5479, 102.5479) * CHOOSE(CONTROL!$C$21, $C$9, 100%, $E$9)</f>
        <v>102.5479</v>
      </c>
      <c r="S928" s="14">
        <f>CHOOSE(CONTROL!$C$42, 98.9286, 98.9286) * CHOOSE(CONTROL!$C$21, $C$9, 100%, $E$9)</f>
        <v>98.928600000000003</v>
      </c>
      <c r="T92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56">
        <f>(1000*CHOOSE(CONTROL!$C$42, 695, 695)*CHOOSE(CONTROL!$C$42, 0.5599, 0.5599)*CHOOSE(CONTROL!$C$42, 30, 30))/1000000</f>
        <v>11.673914999999997</v>
      </c>
      <c r="V928" s="56">
        <f>(1000*CHOOSE(CONTROL!$C$42, 500, 500)*CHOOSE(CONTROL!$C$42, 0.275, 0.275)*CHOOSE(CONTROL!$C$42, 30, 30))/1000000</f>
        <v>4.125</v>
      </c>
      <c r="W928" s="56">
        <f>(1000*CHOOSE(CONTROL!$C$42, 0.1146, 0.1146)*CHOOSE(CONTROL!$C$42, 121.5, 121.5)*CHOOSE(CONTROL!$C$42, 30, 30))/1000000</f>
        <v>0.417717</v>
      </c>
      <c r="X928" s="56">
        <f>(30*0.1790888*245000/1000000)+(30*0.2374*100000/1000000)</f>
        <v>2.0285026799999999</v>
      </c>
      <c r="Y928" s="56"/>
      <c r="Z928" s="14"/>
      <c r="AA928" s="55"/>
      <c r="AB928" s="49">
        <f>(B928*141.293+C928*267.993+D928*115.016+E928*89.698+F928*40+G928*185+H928*0+I928*100+J928*300)/(141.293+267.993+115.016+89.698+0+40+185+100+300)</f>
        <v>103.04658452130751</v>
      </c>
      <c r="AC928" s="44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101.03316043165469</v>
      </c>
    </row>
    <row r="929" spans="1:29" ht="15.75" x14ac:dyDescent="0.25">
      <c r="A929" s="31">
        <v>69184</v>
      </c>
      <c r="B929" s="14">
        <f>CHOOSE(CONTROL!$C$42, 103.8739, 103.8739) * CHOOSE(CONTROL!$C$21, $C$9, 100%, $E$9)</f>
        <v>103.87390000000001</v>
      </c>
      <c r="C929" s="14">
        <f>CHOOSE(CONTROL!$C$42, 103.8819, 103.8819) * CHOOSE(CONTROL!$C$21, $C$9, 100%, $E$9)</f>
        <v>103.8819</v>
      </c>
      <c r="D929" s="14">
        <f>CHOOSE(CONTROL!$C$42, 104.1077, 104.1077) * CHOOSE(CONTROL!$C$21, $C$9, 100%, $E$9)</f>
        <v>104.10769999999999</v>
      </c>
      <c r="E929" s="14">
        <f>CHOOSE(CONTROL!$C$42, 104.1391, 104.1391) * CHOOSE(CONTROL!$C$21, $C$9, 100%, $E$9)</f>
        <v>104.1391</v>
      </c>
      <c r="F929" s="14">
        <f>CHOOSE(CONTROL!$C$42, 103.8995, 103.8995)*CHOOSE(CONTROL!$C$21, $C$9, 100%, $E$9)</f>
        <v>103.8995</v>
      </c>
      <c r="G929" s="14">
        <f>CHOOSE(CONTROL!$C$42, 103.9165, 103.9165)*CHOOSE(CONTROL!$C$21, $C$9, 100%, $E$9)</f>
        <v>103.9165</v>
      </c>
      <c r="H929" s="14">
        <f>CHOOSE(CONTROL!$C$42, 104.1278, 104.1278) * CHOOSE(CONTROL!$C$21, $C$9, 100%, $E$9)</f>
        <v>104.12779999999999</v>
      </c>
      <c r="I929" s="14">
        <f>CHOOSE(CONTROL!$C$42, 104.2307, 104.2307)* CHOOSE(CONTROL!$C$21, $C$9, 100%, $E$9)</f>
        <v>104.2307</v>
      </c>
      <c r="J929" s="14">
        <f>CHOOSE(CONTROL!$C$42, 103.8925, 103.8925)* CHOOSE(CONTROL!$C$21, $C$9, 100%, $E$9)</f>
        <v>103.8925</v>
      </c>
      <c r="K929" s="52">
        <f>CHOOSE(CONTROL!$C$42, 104.2268, 104.2268) * CHOOSE(CONTROL!$C$21, $C$9, 100%, $E$9)</f>
        <v>104.2268</v>
      </c>
      <c r="L929" s="14">
        <f>CHOOSE(CONTROL!$C$42, 104.7148, 104.7148) * CHOOSE(CONTROL!$C$21, $C$9, 100%, $E$9)</f>
        <v>104.7148</v>
      </c>
      <c r="M929" s="14">
        <f>CHOOSE(CONTROL!$C$42, 101.7715, 101.7715) * CHOOSE(CONTROL!$C$21, $C$9, 100%, $E$9)</f>
        <v>101.7715</v>
      </c>
      <c r="N929" s="14">
        <f>CHOOSE(CONTROL!$C$42, 101.7881, 101.7881) * CHOOSE(CONTROL!$C$21, $C$9, 100%, $E$9)</f>
        <v>101.7881</v>
      </c>
      <c r="O929" s="14">
        <f>CHOOSE(CONTROL!$C$42, 102.0019, 102.0019) * CHOOSE(CONTROL!$C$21, $C$9, 100%, $E$9)</f>
        <v>102.00190000000001</v>
      </c>
      <c r="P929" s="14">
        <f>CHOOSE(CONTROL!$C$42, 102.0963, 102.0963) * CHOOSE(CONTROL!$C$21, $C$9, 100%, $E$9)</f>
        <v>102.0963</v>
      </c>
      <c r="Q929" s="14">
        <f>CHOOSE(CONTROL!$C$42, 102.5966, 102.5966) * CHOOSE(CONTROL!$C$21, $C$9, 100%, $E$9)</f>
        <v>102.5966</v>
      </c>
      <c r="R929" s="14">
        <f>CHOOSE(CONTROL!$C$42, 103.4401, 103.4401) * CHOOSE(CONTROL!$C$21, $C$9, 100%, $E$9)</f>
        <v>103.4401</v>
      </c>
      <c r="S929" s="14">
        <f>CHOOSE(CONTROL!$C$42, 99.8018, 99.8018) * CHOOSE(CONTROL!$C$21, $C$9, 100%, $E$9)</f>
        <v>99.8018</v>
      </c>
      <c r="T92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56">
        <f>(1000*CHOOSE(CONTROL!$C$42, 695, 695)*CHOOSE(CONTROL!$C$42, 0.5599, 0.5599)*CHOOSE(CONTROL!$C$42, 31, 31))/1000000</f>
        <v>12.063045499999998</v>
      </c>
      <c r="V929" s="56">
        <f>(1000*CHOOSE(CONTROL!$C$42, 500, 500)*CHOOSE(CONTROL!$C$42, 0.275, 0.275)*CHOOSE(CONTROL!$C$42, 31, 31))/1000000</f>
        <v>4.2625000000000002</v>
      </c>
      <c r="W929" s="56">
        <f>(1000*CHOOSE(CONTROL!$C$42, 0.1146, 0.1146)*CHOOSE(CONTROL!$C$42, 121.5, 121.5)*CHOOSE(CONTROL!$C$42, 31, 31))/1000000</f>
        <v>0.43164089999999994</v>
      </c>
      <c r="X929" s="56">
        <f>(31*0.1790888*245000/1000000)+(31*0.2374*100000/1000000)</f>
        <v>2.0961194359999999</v>
      </c>
      <c r="Y929" s="56"/>
      <c r="Z929" s="14"/>
      <c r="AA929" s="55"/>
      <c r="AB929" s="49">
        <f>(B929*194.205+C929*267.466+D929*133.845+E929*53.484+F929*40+G929*185+H929*0+I929*100+J929*300)/(194.205+267.466+133.845+53.484+0+40+185+100+300)</f>
        <v>103.95065168430142</v>
      </c>
      <c r="AC929" s="44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101.92361510791368</v>
      </c>
    </row>
    <row r="930" spans="1:29" ht="15.75" x14ac:dyDescent="0.25">
      <c r="A930" s="31">
        <v>69214</v>
      </c>
      <c r="B930" s="14">
        <f>CHOOSE(CONTROL!$C$42, 106.82, 106.82) * CHOOSE(CONTROL!$C$21, $C$9, 100%, $E$9)</f>
        <v>106.82</v>
      </c>
      <c r="C930" s="14">
        <f>CHOOSE(CONTROL!$C$42, 106.8281, 106.8281) * CHOOSE(CONTROL!$C$21, $C$9, 100%, $E$9)</f>
        <v>106.82810000000001</v>
      </c>
      <c r="D930" s="14">
        <f>CHOOSE(CONTROL!$C$42, 107.0539, 107.0539) * CHOOSE(CONTROL!$C$21, $C$9, 100%, $E$9)</f>
        <v>107.0539</v>
      </c>
      <c r="E930" s="14">
        <f>CHOOSE(CONTROL!$C$42, 107.0853, 107.0853) * CHOOSE(CONTROL!$C$21, $C$9, 100%, $E$9)</f>
        <v>107.0853</v>
      </c>
      <c r="F930" s="14">
        <f>CHOOSE(CONTROL!$C$42, 106.8461, 106.8461)*CHOOSE(CONTROL!$C$21, $C$9, 100%, $E$9)</f>
        <v>106.84610000000001</v>
      </c>
      <c r="G930" s="14">
        <f>CHOOSE(CONTROL!$C$42, 106.8632, 106.8632)*CHOOSE(CONTROL!$C$21, $C$9, 100%, $E$9)</f>
        <v>106.86320000000001</v>
      </c>
      <c r="H930" s="14">
        <f>CHOOSE(CONTROL!$C$42, 107.074, 107.074) * CHOOSE(CONTROL!$C$21, $C$9, 100%, $E$9)</f>
        <v>107.074</v>
      </c>
      <c r="I930" s="14">
        <f>CHOOSE(CONTROL!$C$42, 107.1861, 107.1861)* CHOOSE(CONTROL!$C$21, $C$9, 100%, $E$9)</f>
        <v>107.1861</v>
      </c>
      <c r="J930" s="14">
        <f>CHOOSE(CONTROL!$C$42, 106.8391, 106.8391)* CHOOSE(CONTROL!$C$21, $C$9, 100%, $E$9)</f>
        <v>106.8391</v>
      </c>
      <c r="K930" s="52">
        <f>CHOOSE(CONTROL!$C$42, 107.1822, 107.1822) * CHOOSE(CONTROL!$C$21, $C$9, 100%, $E$9)</f>
        <v>107.18219999999999</v>
      </c>
      <c r="L930" s="14">
        <f>CHOOSE(CONTROL!$C$42, 107.661, 107.661) * CHOOSE(CONTROL!$C$21, $C$9, 100%, $E$9)</f>
        <v>107.661</v>
      </c>
      <c r="M930" s="14">
        <f>CHOOSE(CONTROL!$C$42, 104.6578, 104.6578) * CHOOSE(CONTROL!$C$21, $C$9, 100%, $E$9)</f>
        <v>104.65779999999999</v>
      </c>
      <c r="N930" s="14">
        <f>CHOOSE(CONTROL!$C$42, 104.6745, 104.6745) * CHOOSE(CONTROL!$C$21, $C$9, 100%, $E$9)</f>
        <v>104.67449999999999</v>
      </c>
      <c r="O930" s="14">
        <f>CHOOSE(CONTROL!$C$42, 104.8878, 104.8878) * CHOOSE(CONTROL!$C$21, $C$9, 100%, $E$9)</f>
        <v>104.8878</v>
      </c>
      <c r="P930" s="14">
        <f>CHOOSE(CONTROL!$C$42, 104.991, 104.991) * CHOOSE(CONTROL!$C$21, $C$9, 100%, $E$9)</f>
        <v>104.991</v>
      </c>
      <c r="Q930" s="14">
        <f>CHOOSE(CONTROL!$C$42, 105.4825, 105.4825) * CHOOSE(CONTROL!$C$21, $C$9, 100%, $E$9)</f>
        <v>105.4825</v>
      </c>
      <c r="R930" s="14">
        <f>CHOOSE(CONTROL!$C$42, 106.3332, 106.3332) * CHOOSE(CONTROL!$C$21, $C$9, 100%, $E$9)</f>
        <v>106.33320000000001</v>
      </c>
      <c r="S930" s="14">
        <f>CHOOSE(CONTROL!$C$42, 102.6327, 102.6327) * CHOOSE(CONTROL!$C$21, $C$9, 100%, $E$9)</f>
        <v>102.6327</v>
      </c>
      <c r="T93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56">
        <f>(1000*CHOOSE(CONTROL!$C$42, 695, 695)*CHOOSE(CONTROL!$C$42, 0.5599, 0.5599)*CHOOSE(CONTROL!$C$42, 30, 30))/1000000</f>
        <v>11.673914999999997</v>
      </c>
      <c r="V930" s="56">
        <f>(1000*CHOOSE(CONTROL!$C$42, 500, 500)*CHOOSE(CONTROL!$C$42, 0.275, 0.275)*CHOOSE(CONTROL!$C$42, 30, 30))/1000000</f>
        <v>4.125</v>
      </c>
      <c r="W930" s="56">
        <f>(1000*CHOOSE(CONTROL!$C$42, 0.1146, 0.1146)*CHOOSE(CONTROL!$C$42, 121.5, 121.5)*CHOOSE(CONTROL!$C$42, 30, 30))/1000000</f>
        <v>0.417717</v>
      </c>
      <c r="X930" s="56">
        <f>(30*0.1790888*245000/1000000)+(30*0.2374*100000/1000000)</f>
        <v>2.0285026799999999</v>
      </c>
      <c r="Y930" s="56"/>
      <c r="Z930" s="14"/>
      <c r="AA930" s="55"/>
      <c r="AB930" s="49">
        <f>(B930*194.205+C930*267.466+D930*133.845+E930*53.484+F930*40+G930*185+H930*0+I930*100+J930*300)/(194.205+267.466+133.845+53.484+0+40+185+100+300)</f>
        <v>106.89773793194661</v>
      </c>
      <c r="AC930" s="44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104.81094820143885</v>
      </c>
    </row>
    <row r="931" spans="1:29" ht="15.75" x14ac:dyDescent="0.25">
      <c r="A931" s="31">
        <v>69245</v>
      </c>
      <c r="B931" s="14">
        <f>CHOOSE(CONTROL!$C$42, 104.771, 104.771) * CHOOSE(CONTROL!$C$21, $C$9, 100%, $E$9)</f>
        <v>104.771</v>
      </c>
      <c r="C931" s="14">
        <f>CHOOSE(CONTROL!$C$42, 104.779, 104.779) * CHOOSE(CONTROL!$C$21, $C$9, 100%, $E$9)</f>
        <v>104.779</v>
      </c>
      <c r="D931" s="14">
        <f>CHOOSE(CONTROL!$C$42, 105.0048, 105.0048) * CHOOSE(CONTROL!$C$21, $C$9, 100%, $E$9)</f>
        <v>105.0048</v>
      </c>
      <c r="E931" s="14">
        <f>CHOOSE(CONTROL!$C$42, 105.0362, 105.0362) * CHOOSE(CONTROL!$C$21, $C$9, 100%, $E$9)</f>
        <v>105.03619999999999</v>
      </c>
      <c r="F931" s="14">
        <f>CHOOSE(CONTROL!$C$42, 104.7975, 104.7975)*CHOOSE(CONTROL!$C$21, $C$9, 100%, $E$9)</f>
        <v>104.7975</v>
      </c>
      <c r="G931" s="14">
        <f>CHOOSE(CONTROL!$C$42, 104.8147, 104.8147)*CHOOSE(CONTROL!$C$21, $C$9, 100%, $E$9)</f>
        <v>104.8147</v>
      </c>
      <c r="H931" s="14">
        <f>CHOOSE(CONTROL!$C$42, 105.0249, 105.0249) * CHOOSE(CONTROL!$C$21, $C$9, 100%, $E$9)</f>
        <v>105.0249</v>
      </c>
      <c r="I931" s="14">
        <f>CHOOSE(CONTROL!$C$42, 105.1306, 105.1306)* CHOOSE(CONTROL!$C$21, $C$9, 100%, $E$9)</f>
        <v>105.1306</v>
      </c>
      <c r="J931" s="14">
        <f>CHOOSE(CONTROL!$C$42, 104.7905, 104.7905)* CHOOSE(CONTROL!$C$21, $C$9, 100%, $E$9)</f>
        <v>104.79049999999999</v>
      </c>
      <c r="K931" s="52">
        <f>CHOOSE(CONTROL!$C$42, 105.1267, 105.1267) * CHOOSE(CONTROL!$C$21, $C$9, 100%, $E$9)</f>
        <v>105.1267</v>
      </c>
      <c r="L931" s="14">
        <f>CHOOSE(CONTROL!$C$42, 105.6119, 105.6119) * CHOOSE(CONTROL!$C$21, $C$9, 100%, $E$9)</f>
        <v>105.61190000000001</v>
      </c>
      <c r="M931" s="14">
        <f>CHOOSE(CONTROL!$C$42, 102.6511, 102.6511) * CHOOSE(CONTROL!$C$21, $C$9, 100%, $E$9)</f>
        <v>102.6511</v>
      </c>
      <c r="N931" s="14">
        <f>CHOOSE(CONTROL!$C$42, 102.668, 102.668) * CHOOSE(CONTROL!$C$21, $C$9, 100%, $E$9)</f>
        <v>102.66800000000001</v>
      </c>
      <c r="O931" s="14">
        <f>CHOOSE(CONTROL!$C$42, 102.8807, 102.8807) * CHOOSE(CONTROL!$C$21, $C$9, 100%, $E$9)</f>
        <v>102.8807</v>
      </c>
      <c r="P931" s="14">
        <f>CHOOSE(CONTROL!$C$42, 102.9777, 102.9777) * CHOOSE(CONTROL!$C$21, $C$9, 100%, $E$9)</f>
        <v>102.9777</v>
      </c>
      <c r="Q931" s="14">
        <f>CHOOSE(CONTROL!$C$42, 103.4754, 103.4754) * CHOOSE(CONTROL!$C$21, $C$9, 100%, $E$9)</f>
        <v>103.47539999999999</v>
      </c>
      <c r="R931" s="14">
        <f>CHOOSE(CONTROL!$C$42, 104.3211, 104.3211) * CHOOSE(CONTROL!$C$21, $C$9, 100%, $E$9)</f>
        <v>104.3211</v>
      </c>
      <c r="S931" s="14">
        <f>CHOOSE(CONTROL!$C$42, 100.6638, 100.6638) * CHOOSE(CONTROL!$C$21, $C$9, 100%, $E$9)</f>
        <v>100.66379999999999</v>
      </c>
      <c r="T93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56">
        <f>(1000*CHOOSE(CONTROL!$C$42, 695, 695)*CHOOSE(CONTROL!$C$42, 0.5599, 0.5599)*CHOOSE(CONTROL!$C$42, 31, 31))/1000000</f>
        <v>12.063045499999998</v>
      </c>
      <c r="V931" s="56">
        <f>(1000*CHOOSE(CONTROL!$C$42, 500, 500)*CHOOSE(CONTROL!$C$42, 0.275, 0.275)*CHOOSE(CONTROL!$C$42, 31, 31))/1000000</f>
        <v>4.2625000000000002</v>
      </c>
      <c r="W931" s="56">
        <f>(1000*CHOOSE(CONTROL!$C$42, 0.1146, 0.1146)*CHOOSE(CONTROL!$C$42, 121.5, 121.5)*CHOOSE(CONTROL!$C$42, 31, 31))/1000000</f>
        <v>0.43164089999999994</v>
      </c>
      <c r="X931" s="56">
        <f>(31*0.1790888*245000/1000000)+(31*0.2374*100000/1000000)</f>
        <v>2.0961194359999999</v>
      </c>
      <c r="Y931" s="56"/>
      <c r="Z931" s="14"/>
      <c r="AA931" s="55"/>
      <c r="AB931" s="49">
        <f>(B931*194.205+C931*267.466+D931*133.845+E931*53.484+F931*40+G931*185+H931*0+I931*100+J931*300)/(194.205+267.466+133.845+53.484+0+40+185+100+300)</f>
        <v>104.84837138602825</v>
      </c>
      <c r="AC931" s="44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102.80312877697843</v>
      </c>
    </row>
    <row r="932" spans="1:29" ht="15.75" x14ac:dyDescent="0.25">
      <c r="A932" s="31">
        <v>69276</v>
      </c>
      <c r="B932" s="14">
        <f>CHOOSE(CONTROL!$C$42, 99.5963, 99.5963) * CHOOSE(CONTROL!$C$21, $C$9, 100%, $E$9)</f>
        <v>99.596299999999999</v>
      </c>
      <c r="C932" s="14">
        <f>CHOOSE(CONTROL!$C$42, 99.6044, 99.6044) * CHOOSE(CONTROL!$C$21, $C$9, 100%, $E$9)</f>
        <v>99.604399999999998</v>
      </c>
      <c r="D932" s="14">
        <f>CHOOSE(CONTROL!$C$42, 99.8302, 99.8302) * CHOOSE(CONTROL!$C$21, $C$9, 100%, $E$9)</f>
        <v>99.830200000000005</v>
      </c>
      <c r="E932" s="14">
        <f>CHOOSE(CONTROL!$C$42, 99.8616, 99.8616) * CHOOSE(CONTROL!$C$21, $C$9, 100%, $E$9)</f>
        <v>99.861599999999996</v>
      </c>
      <c r="F932" s="14">
        <f>CHOOSE(CONTROL!$C$42, 99.6232, 99.6232)*CHOOSE(CONTROL!$C$21, $C$9, 100%, $E$9)</f>
        <v>99.623199999999997</v>
      </c>
      <c r="G932" s="14">
        <f>CHOOSE(CONTROL!$C$42, 99.6404, 99.6404)*CHOOSE(CONTROL!$C$21, $C$9, 100%, $E$9)</f>
        <v>99.6404</v>
      </c>
      <c r="H932" s="14">
        <f>CHOOSE(CONTROL!$C$42, 99.8503, 99.8503) * CHOOSE(CONTROL!$C$21, $C$9, 100%, $E$9)</f>
        <v>99.850300000000004</v>
      </c>
      <c r="I932" s="14">
        <f>CHOOSE(CONTROL!$C$42, 99.9398, 99.9398)* CHOOSE(CONTROL!$C$21, $C$9, 100%, $E$9)</f>
        <v>99.939800000000005</v>
      </c>
      <c r="J932" s="14">
        <f>CHOOSE(CONTROL!$C$42, 99.6162, 99.6162)* CHOOSE(CONTROL!$C$21, $C$9, 100%, $E$9)</f>
        <v>99.616200000000006</v>
      </c>
      <c r="K932" s="52">
        <f>CHOOSE(CONTROL!$C$42, 99.9359, 99.9359) * CHOOSE(CONTROL!$C$21, $C$9, 100%, $E$9)</f>
        <v>99.935900000000004</v>
      </c>
      <c r="L932" s="14">
        <f>CHOOSE(CONTROL!$C$42, 100.4373, 100.4373) * CHOOSE(CONTROL!$C$21, $C$9, 100%, $E$9)</f>
        <v>100.43729999999999</v>
      </c>
      <c r="M932" s="14">
        <f>CHOOSE(CONTROL!$C$42, 97.5828, 97.5828) * CHOOSE(CONTROL!$C$21, $C$9, 100%, $E$9)</f>
        <v>97.582800000000006</v>
      </c>
      <c r="N932" s="14">
        <f>CHOOSE(CONTROL!$C$42, 97.5997, 97.5997) * CHOOSE(CONTROL!$C$21, $C$9, 100%, $E$9)</f>
        <v>97.599699999999999</v>
      </c>
      <c r="O932" s="14">
        <f>CHOOSE(CONTROL!$C$42, 97.8121, 97.8121) * CHOOSE(CONTROL!$C$21, $C$9, 100%, $E$9)</f>
        <v>97.812100000000001</v>
      </c>
      <c r="P932" s="14">
        <f>CHOOSE(CONTROL!$C$42, 97.8936, 97.8936) * CHOOSE(CONTROL!$C$21, $C$9, 100%, $E$9)</f>
        <v>97.893600000000006</v>
      </c>
      <c r="Q932" s="14">
        <f>CHOOSE(CONTROL!$C$42, 98.4068, 98.4068) * CHOOSE(CONTROL!$C$21, $C$9, 100%, $E$9)</f>
        <v>98.406800000000004</v>
      </c>
      <c r="R932" s="14">
        <f>CHOOSE(CONTROL!$C$42, 99.2398, 99.2398) * CHOOSE(CONTROL!$C$21, $C$9, 100%, $E$9)</f>
        <v>99.239800000000002</v>
      </c>
      <c r="S932" s="14">
        <f>CHOOSE(CONTROL!$C$42, 95.6915, 95.6915) * CHOOSE(CONTROL!$C$21, $C$9, 100%, $E$9)</f>
        <v>95.691500000000005</v>
      </c>
      <c r="T93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56">
        <f>(1000*CHOOSE(CONTROL!$C$42, 695, 695)*CHOOSE(CONTROL!$C$42, 0.5599, 0.5599)*CHOOSE(CONTROL!$C$42, 31, 31))/1000000</f>
        <v>12.063045499999998</v>
      </c>
      <c r="V932" s="56">
        <f>(1000*CHOOSE(CONTROL!$C$42, 500, 500)*CHOOSE(CONTROL!$C$42, 0.275, 0.275)*CHOOSE(CONTROL!$C$42, 31, 31))/1000000</f>
        <v>4.2625000000000002</v>
      </c>
      <c r="W932" s="56">
        <f>(1000*CHOOSE(CONTROL!$C$42, 0.1146, 0.1146)*CHOOSE(CONTROL!$C$42, 121.5, 121.5)*CHOOSE(CONTROL!$C$42, 31, 31))/1000000</f>
        <v>0.43164089999999994</v>
      </c>
      <c r="X932" s="56">
        <f>(31*0.1790888*245000/1000000)+(31*0.2374*100000/1000000)</f>
        <v>2.0961194359999999</v>
      </c>
      <c r="Y932" s="56"/>
      <c r="Z932" s="14"/>
      <c r="AA932" s="55"/>
      <c r="AB932" s="49">
        <f>(B932*194.205+C932*267.466+D932*133.845+E932*53.484+F932*40+G932*185+H932*0+I932*100+J932*300)/(194.205+267.466+133.845+53.484+0+40+185+100+300)</f>
        <v>99.672608183124026</v>
      </c>
      <c r="AC932" s="44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97.732419424460446</v>
      </c>
    </row>
    <row r="933" spans="1:29" ht="15.75" x14ac:dyDescent="0.25">
      <c r="A933" s="31">
        <v>69306</v>
      </c>
      <c r="B933" s="14">
        <f>CHOOSE(CONTROL!$C$42, 93.2737, 93.2737) * CHOOSE(CONTROL!$C$21, $C$9, 100%, $E$9)</f>
        <v>93.273700000000005</v>
      </c>
      <c r="C933" s="14">
        <f>CHOOSE(CONTROL!$C$42, 93.2817, 93.2817) * CHOOSE(CONTROL!$C$21, $C$9, 100%, $E$9)</f>
        <v>93.281700000000001</v>
      </c>
      <c r="D933" s="14">
        <f>CHOOSE(CONTROL!$C$42, 93.5075, 93.5075) * CHOOSE(CONTROL!$C$21, $C$9, 100%, $E$9)</f>
        <v>93.507499999999993</v>
      </c>
      <c r="E933" s="14">
        <f>CHOOSE(CONTROL!$C$42, 93.539, 93.539) * CHOOSE(CONTROL!$C$21, $C$9, 100%, $E$9)</f>
        <v>93.539000000000001</v>
      </c>
      <c r="F933" s="14">
        <f>CHOOSE(CONTROL!$C$42, 93.3005, 93.3005)*CHOOSE(CONTROL!$C$21, $C$9, 100%, $E$9)</f>
        <v>93.3005</v>
      </c>
      <c r="G933" s="14">
        <f>CHOOSE(CONTROL!$C$42, 93.3178, 93.3178)*CHOOSE(CONTROL!$C$21, $C$9, 100%, $E$9)</f>
        <v>93.317800000000005</v>
      </c>
      <c r="H933" s="14">
        <f>CHOOSE(CONTROL!$C$42, 93.5276, 93.5276) * CHOOSE(CONTROL!$C$21, $C$9, 100%, $E$9)</f>
        <v>93.527600000000007</v>
      </c>
      <c r="I933" s="14">
        <f>CHOOSE(CONTROL!$C$42, 93.5974, 93.5974)* CHOOSE(CONTROL!$C$21, $C$9, 100%, $E$9)</f>
        <v>93.597399999999993</v>
      </c>
      <c r="J933" s="14">
        <f>CHOOSE(CONTROL!$C$42, 93.2935, 93.2935)* CHOOSE(CONTROL!$C$21, $C$9, 100%, $E$9)</f>
        <v>93.293499999999995</v>
      </c>
      <c r="K933" s="52">
        <f>CHOOSE(CONTROL!$C$42, 93.5935, 93.5935) * CHOOSE(CONTROL!$C$21, $C$9, 100%, $E$9)</f>
        <v>93.593500000000006</v>
      </c>
      <c r="L933" s="14">
        <f>CHOOSE(CONTROL!$C$42, 94.1146, 94.1146) * CHOOSE(CONTROL!$C$21, $C$9, 100%, $E$9)</f>
        <v>94.114599999999996</v>
      </c>
      <c r="M933" s="14">
        <f>CHOOSE(CONTROL!$C$42, 91.3897, 91.3897) * CHOOSE(CONTROL!$C$21, $C$9, 100%, $E$9)</f>
        <v>91.389700000000005</v>
      </c>
      <c r="N933" s="14">
        <f>CHOOSE(CONTROL!$C$42, 91.4066, 91.4066) * CHOOSE(CONTROL!$C$21, $C$9, 100%, $E$9)</f>
        <v>91.406599999999997</v>
      </c>
      <c r="O933" s="14">
        <f>CHOOSE(CONTROL!$C$42, 91.619, 91.619) * CHOOSE(CONTROL!$C$21, $C$9, 100%, $E$9)</f>
        <v>91.619</v>
      </c>
      <c r="P933" s="14">
        <f>CHOOSE(CONTROL!$C$42, 91.6815, 91.6815) * CHOOSE(CONTROL!$C$21, $C$9, 100%, $E$9)</f>
        <v>91.6815</v>
      </c>
      <c r="Q933" s="14">
        <f>CHOOSE(CONTROL!$C$42, 92.2137, 92.2137) * CHOOSE(CONTROL!$C$21, $C$9, 100%, $E$9)</f>
        <v>92.213700000000003</v>
      </c>
      <c r="R933" s="14">
        <f>CHOOSE(CONTROL!$C$42, 93.0312, 93.0312) * CHOOSE(CONTROL!$C$21, $C$9, 100%, $E$9)</f>
        <v>93.031199999999998</v>
      </c>
      <c r="S933" s="14">
        <f>CHOOSE(CONTROL!$C$42, 89.6161, 89.6161) * CHOOSE(CONTROL!$C$21, $C$9, 100%, $E$9)</f>
        <v>89.616100000000003</v>
      </c>
      <c r="T93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56">
        <f>(1000*CHOOSE(CONTROL!$C$42, 695, 695)*CHOOSE(CONTROL!$C$42, 0.5599, 0.5599)*CHOOSE(CONTROL!$C$42, 30, 30))/1000000</f>
        <v>11.673914999999997</v>
      </c>
      <c r="V933" s="56">
        <f>(1000*CHOOSE(CONTROL!$C$42, 500, 500)*CHOOSE(CONTROL!$C$42, 0.275, 0.275)*CHOOSE(CONTROL!$C$42, 30, 30))/1000000</f>
        <v>4.125</v>
      </c>
      <c r="W933" s="56">
        <f>(1000*CHOOSE(CONTROL!$C$42, 0.1146, 0.1146)*CHOOSE(CONTROL!$C$42, 121.5, 121.5)*CHOOSE(CONTROL!$C$42, 30, 30))/1000000</f>
        <v>0.417717</v>
      </c>
      <c r="X933" s="56">
        <f>(30*0.1790888*245000/1000000)+(30*0.2374*100000/1000000)</f>
        <v>2.0285026799999999</v>
      </c>
      <c r="Y933" s="56"/>
      <c r="Z933" s="14"/>
      <c r="AA933" s="55"/>
      <c r="AB933" s="49">
        <f>(B933*194.205+C933*267.466+D933*133.845+E933*53.484+F933*40+G933*185+H933*0+I933*100+J933*300)/(194.205+267.466+133.845+53.484+0+40+185+100+300)</f>
        <v>93.348395835321838</v>
      </c>
      <c r="AC933" s="44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91.536585611510802</v>
      </c>
    </row>
    <row r="934" spans="1:29" ht="15.75" x14ac:dyDescent="0.25">
      <c r="A934" s="31">
        <v>69337</v>
      </c>
      <c r="B934" s="14">
        <f>CHOOSE(CONTROL!$C$42, 91.3784, 91.3784) * CHOOSE(CONTROL!$C$21, $C$9, 100%, $E$9)</f>
        <v>91.378399999999999</v>
      </c>
      <c r="C934" s="14">
        <f>CHOOSE(CONTROL!$C$42, 91.3837, 91.3837) * CHOOSE(CONTROL!$C$21, $C$9, 100%, $E$9)</f>
        <v>91.383700000000005</v>
      </c>
      <c r="D934" s="14">
        <f>CHOOSE(CONTROL!$C$42, 91.6144, 91.6144) * CHOOSE(CONTROL!$C$21, $C$9, 100%, $E$9)</f>
        <v>91.614400000000003</v>
      </c>
      <c r="E934" s="14">
        <f>CHOOSE(CONTROL!$C$42, 91.6436, 91.6436) * CHOOSE(CONTROL!$C$21, $C$9, 100%, $E$9)</f>
        <v>91.643600000000006</v>
      </c>
      <c r="F934" s="14">
        <f>CHOOSE(CONTROL!$C$42, 91.4072, 91.4072)*CHOOSE(CONTROL!$C$21, $C$9, 100%, $E$9)</f>
        <v>91.407200000000003</v>
      </c>
      <c r="G934" s="14">
        <f>CHOOSE(CONTROL!$C$42, 91.4243, 91.4243)*CHOOSE(CONTROL!$C$21, $C$9, 100%, $E$9)</f>
        <v>91.424300000000002</v>
      </c>
      <c r="H934" s="14">
        <f>CHOOSE(CONTROL!$C$42, 91.634, 91.634) * CHOOSE(CONTROL!$C$21, $C$9, 100%, $E$9)</f>
        <v>91.634</v>
      </c>
      <c r="I934" s="14">
        <f>CHOOSE(CONTROL!$C$42, 91.6978, 91.6978)* CHOOSE(CONTROL!$C$21, $C$9, 100%, $E$9)</f>
        <v>91.697800000000001</v>
      </c>
      <c r="J934" s="14">
        <f>CHOOSE(CONTROL!$C$42, 91.4002, 91.4002)* CHOOSE(CONTROL!$C$21, $C$9, 100%, $E$9)</f>
        <v>91.400199999999998</v>
      </c>
      <c r="K934" s="52">
        <f>CHOOSE(CONTROL!$C$42, 91.6939, 91.6939) * CHOOSE(CONTROL!$C$21, $C$9, 100%, $E$9)</f>
        <v>91.693899999999999</v>
      </c>
      <c r="L934" s="14">
        <f>CHOOSE(CONTROL!$C$42, 92.221, 92.221) * CHOOSE(CONTROL!$C$21, $C$9, 100%, $E$9)</f>
        <v>92.221000000000004</v>
      </c>
      <c r="M934" s="14">
        <f>CHOOSE(CONTROL!$C$42, 89.5352, 89.5352) * CHOOSE(CONTROL!$C$21, $C$9, 100%, $E$9)</f>
        <v>89.535200000000003</v>
      </c>
      <c r="N934" s="14">
        <f>CHOOSE(CONTROL!$C$42, 89.5519, 89.5519) * CHOOSE(CONTROL!$C$21, $C$9, 100%, $E$9)</f>
        <v>89.551900000000003</v>
      </c>
      <c r="O934" s="14">
        <f>CHOOSE(CONTROL!$C$42, 89.7642, 89.7642) * CHOOSE(CONTROL!$C$21, $C$9, 100%, $E$9)</f>
        <v>89.764200000000002</v>
      </c>
      <c r="P934" s="14">
        <f>CHOOSE(CONTROL!$C$42, 89.821, 89.821) * CHOOSE(CONTROL!$C$21, $C$9, 100%, $E$9)</f>
        <v>89.820999999999998</v>
      </c>
      <c r="Q934" s="14">
        <f>CHOOSE(CONTROL!$C$42, 90.3589, 90.3589) * CHOOSE(CONTROL!$C$21, $C$9, 100%, $E$9)</f>
        <v>90.358900000000006</v>
      </c>
      <c r="R934" s="14">
        <f>CHOOSE(CONTROL!$C$42, 91.1718, 91.1718) * CHOOSE(CONTROL!$C$21, $C$9, 100%, $E$9)</f>
        <v>91.171800000000005</v>
      </c>
      <c r="S934" s="14">
        <f>CHOOSE(CONTROL!$C$42, 87.7965, 87.7965) * CHOOSE(CONTROL!$C$21, $C$9, 100%, $E$9)</f>
        <v>87.796499999999995</v>
      </c>
      <c r="T93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56">
        <f>(1000*CHOOSE(CONTROL!$C$42, 695, 695)*CHOOSE(CONTROL!$C$42, 0.5599, 0.5599)*CHOOSE(CONTROL!$C$42, 31, 31))/1000000</f>
        <v>12.063045499999998</v>
      </c>
      <c r="V934" s="56">
        <f>(1000*CHOOSE(CONTROL!$C$42, 500, 500)*CHOOSE(CONTROL!$C$42, 0.275, 0.275)*CHOOSE(CONTROL!$C$42, 31, 31))/1000000</f>
        <v>4.2625000000000002</v>
      </c>
      <c r="W934" s="56">
        <f>(1000*CHOOSE(CONTROL!$C$42, 0.1146, 0.1146)*CHOOSE(CONTROL!$C$42, 121.5, 121.5)*CHOOSE(CONTROL!$C$42, 31, 31))/1000000</f>
        <v>0.43164089999999994</v>
      </c>
      <c r="X934" s="56">
        <f>(31*0.1790888*245000/1000000)+(31*0.2374*100000/1000000)</f>
        <v>2.0961194359999999</v>
      </c>
      <c r="Y934" s="56"/>
      <c r="Z934" s="14"/>
      <c r="AA934" s="55"/>
      <c r="AB934" s="49">
        <f>(B934*131.881+C934*277.167+D934*79.08+E934*125.872+F934*40+G934*185+H934*0+I934*100+J934*300)/(131.881+277.167+79.08+125.872+0+40+185+100+300)</f>
        <v>91.460431169895074</v>
      </c>
      <c r="AC934" s="44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89.681074820143891</v>
      </c>
    </row>
    <row r="935" spans="1:29" ht="15.75" x14ac:dyDescent="0.25">
      <c r="A935" s="31">
        <v>69367</v>
      </c>
      <c r="B935" s="14">
        <f>CHOOSE(CONTROL!$C$42, 93.785, 93.785) * CHOOSE(CONTROL!$C$21, $C$9, 100%, $E$9)</f>
        <v>93.784999999999997</v>
      </c>
      <c r="C935" s="14">
        <f>CHOOSE(CONTROL!$C$42, 93.7901, 93.7901) * CHOOSE(CONTROL!$C$21, $C$9, 100%, $E$9)</f>
        <v>93.790099999999995</v>
      </c>
      <c r="D935" s="14">
        <f>CHOOSE(CONTROL!$C$42, 93.8591, 93.8591) * CHOOSE(CONTROL!$C$21, $C$9, 100%, $E$9)</f>
        <v>93.859099999999998</v>
      </c>
      <c r="E935" s="14">
        <f>CHOOSE(CONTROL!$C$42, 93.8932, 93.8932) * CHOOSE(CONTROL!$C$21, $C$9, 100%, $E$9)</f>
        <v>93.893199999999993</v>
      </c>
      <c r="F935" s="14">
        <f>CHOOSE(CONTROL!$C$42, 93.8206, 93.8206)*CHOOSE(CONTROL!$C$21, $C$9, 100%, $E$9)</f>
        <v>93.820599999999999</v>
      </c>
      <c r="G935" s="14">
        <f>CHOOSE(CONTROL!$C$42, 93.838, 93.838)*CHOOSE(CONTROL!$C$21, $C$9, 100%, $E$9)</f>
        <v>93.837999999999994</v>
      </c>
      <c r="H935" s="14">
        <f>CHOOSE(CONTROL!$C$42, 93.8824, 93.8824) * CHOOSE(CONTROL!$C$21, $C$9, 100%, $E$9)</f>
        <v>93.882400000000004</v>
      </c>
      <c r="I935" s="14">
        <f>CHOOSE(CONTROL!$C$42, 94.1151, 94.1151)* CHOOSE(CONTROL!$C$21, $C$9, 100%, $E$9)</f>
        <v>94.115099999999998</v>
      </c>
      <c r="J935" s="14">
        <f>CHOOSE(CONTROL!$C$42, 93.8136, 93.8136)* CHOOSE(CONTROL!$C$21, $C$9, 100%, $E$9)</f>
        <v>93.813599999999994</v>
      </c>
      <c r="K935" s="52">
        <f>CHOOSE(CONTROL!$C$42, 94.1112, 94.1112) * CHOOSE(CONTROL!$C$21, $C$9, 100%, $E$9)</f>
        <v>94.111199999999997</v>
      </c>
      <c r="L935" s="14">
        <f>CHOOSE(CONTROL!$C$42, 94.4694, 94.4694) * CHOOSE(CONTROL!$C$21, $C$9, 100%, $E$9)</f>
        <v>94.469399999999993</v>
      </c>
      <c r="M935" s="14">
        <f>CHOOSE(CONTROL!$C$42, 91.8991, 91.8991) * CHOOSE(CONTROL!$C$21, $C$9, 100%, $E$9)</f>
        <v>91.899100000000004</v>
      </c>
      <c r="N935" s="14">
        <f>CHOOSE(CONTROL!$C$42, 91.9162, 91.9162) * CHOOSE(CONTROL!$C$21, $C$9, 100%, $E$9)</f>
        <v>91.916200000000003</v>
      </c>
      <c r="O935" s="14">
        <f>CHOOSE(CONTROL!$C$42, 91.9665, 91.9665) * CHOOSE(CONTROL!$C$21, $C$9, 100%, $E$9)</f>
        <v>91.966499999999996</v>
      </c>
      <c r="P935" s="14">
        <f>CHOOSE(CONTROL!$C$42, 92.1886, 92.1886) * CHOOSE(CONTROL!$C$21, $C$9, 100%, $E$9)</f>
        <v>92.188599999999994</v>
      </c>
      <c r="Q935" s="14">
        <f>CHOOSE(CONTROL!$C$42, 92.5612, 92.5612) * CHOOSE(CONTROL!$C$21, $C$9, 100%, $E$9)</f>
        <v>92.561199999999999</v>
      </c>
      <c r="R935" s="14">
        <f>CHOOSE(CONTROL!$C$42, 93.3796, 93.3796) * CHOOSE(CONTROL!$C$21, $C$9, 100%, $E$9)</f>
        <v>93.379599999999996</v>
      </c>
      <c r="S935" s="14">
        <f>CHOOSE(CONTROL!$C$42, 90.1095, 90.1095) * CHOOSE(CONTROL!$C$21, $C$9, 100%, $E$9)</f>
        <v>90.109499999999997</v>
      </c>
      <c r="T93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56">
        <f>(1000*CHOOSE(CONTROL!$C$42, 695, 695)*CHOOSE(CONTROL!$C$42, 0.5599, 0.5599)*CHOOSE(CONTROL!$C$42, 30, 30))/1000000</f>
        <v>11.673914999999997</v>
      </c>
      <c r="V935" s="56">
        <f>(1000*CHOOSE(CONTROL!$C$42, 500, 500)*CHOOSE(CONTROL!$C$42, 0.275, 0.275)*CHOOSE(CONTROL!$C$42, 30, 30))/1000000</f>
        <v>4.125</v>
      </c>
      <c r="W935" s="56">
        <f>(1000*CHOOSE(CONTROL!$C$42, 0.1146, 0.1146)*CHOOSE(CONTROL!$C$42, 121.5, 121.5)*CHOOSE(CONTROL!$C$42, 30, 30))/1000000</f>
        <v>0.417717</v>
      </c>
      <c r="X935" s="56">
        <f>(30*0.1790888*100000/1000000)+(30*0.2374*100000/1000000)</f>
        <v>1.2494664</v>
      </c>
      <c r="Y935" s="56"/>
      <c r="Z935" s="14"/>
      <c r="AA935" s="55"/>
      <c r="AB935" s="49">
        <f>(B935*122.58+C935*297.941+D935*89.177+E935*40.302+F935*40+G935*160+H935*0+I935*100+J935*300)/(122.58+297.941+89.177+40.302+0+40+160+100+300)</f>
        <v>93.840636687999989</v>
      </c>
      <c r="AC935" s="44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91.972287050359711</v>
      </c>
    </row>
    <row r="936" spans="1:29" ht="15.75" x14ac:dyDescent="0.25">
      <c r="A936" s="31">
        <v>69398</v>
      </c>
      <c r="B936" s="14">
        <f>CHOOSE(CONTROL!$C$42, 100.1786, 100.1786) * CHOOSE(CONTROL!$C$21, $C$9, 100%, $E$9)</f>
        <v>100.1786</v>
      </c>
      <c r="C936" s="14">
        <f>CHOOSE(CONTROL!$C$42, 100.1836, 100.1836) * CHOOSE(CONTROL!$C$21, $C$9, 100%, $E$9)</f>
        <v>100.1836</v>
      </c>
      <c r="D936" s="14">
        <f>CHOOSE(CONTROL!$C$42, 100.2527, 100.2527) * CHOOSE(CONTROL!$C$21, $C$9, 100%, $E$9)</f>
        <v>100.2527</v>
      </c>
      <c r="E936" s="14">
        <f>CHOOSE(CONTROL!$C$42, 100.2868, 100.2868) * CHOOSE(CONTROL!$C$21, $C$9, 100%, $E$9)</f>
        <v>100.2868</v>
      </c>
      <c r="F936" s="14">
        <f>CHOOSE(CONTROL!$C$42, 100.2164, 100.2164)*CHOOSE(CONTROL!$C$21, $C$9, 100%, $E$9)</f>
        <v>100.21639999999999</v>
      </c>
      <c r="G936" s="14">
        <f>CHOOSE(CONTROL!$C$42, 100.2344, 100.2344)*CHOOSE(CONTROL!$C$21, $C$9, 100%, $E$9)</f>
        <v>100.23439999999999</v>
      </c>
      <c r="H936" s="14">
        <f>CHOOSE(CONTROL!$C$42, 100.276, 100.276) * CHOOSE(CONTROL!$C$21, $C$9, 100%, $E$9)</f>
        <v>100.276</v>
      </c>
      <c r="I936" s="14">
        <f>CHOOSE(CONTROL!$C$42, 100.5287, 100.5287)* CHOOSE(CONTROL!$C$21, $C$9, 100%, $E$9)</f>
        <v>100.5287</v>
      </c>
      <c r="J936" s="14">
        <f>CHOOSE(CONTROL!$C$42, 100.2094, 100.2094)* CHOOSE(CONTROL!$C$21, $C$9, 100%, $E$9)</f>
        <v>100.2094</v>
      </c>
      <c r="K936" s="52">
        <f>CHOOSE(CONTROL!$C$42, 100.5248, 100.5248) * CHOOSE(CONTROL!$C$21, $C$9, 100%, $E$9)</f>
        <v>100.5248</v>
      </c>
      <c r="L936" s="14">
        <f>CHOOSE(CONTROL!$C$42, 100.863, 100.863) * CHOOSE(CONTROL!$C$21, $C$9, 100%, $E$9)</f>
        <v>100.863</v>
      </c>
      <c r="M936" s="14">
        <f>CHOOSE(CONTROL!$C$42, 98.1639, 98.1639) * CHOOSE(CONTROL!$C$21, $C$9, 100%, $E$9)</f>
        <v>98.163899999999998</v>
      </c>
      <c r="N936" s="14">
        <f>CHOOSE(CONTROL!$C$42, 98.1815, 98.1815) * CHOOSE(CONTROL!$C$21, $C$9, 100%, $E$9)</f>
        <v>98.1815</v>
      </c>
      <c r="O936" s="14">
        <f>CHOOSE(CONTROL!$C$42, 98.2291, 98.2291) * CHOOSE(CONTROL!$C$21, $C$9, 100%, $E$9)</f>
        <v>98.229100000000003</v>
      </c>
      <c r="P936" s="14">
        <f>CHOOSE(CONTROL!$C$42, 98.4704, 98.4704) * CHOOSE(CONTROL!$C$21, $C$9, 100%, $E$9)</f>
        <v>98.470399999999998</v>
      </c>
      <c r="Q936" s="14">
        <f>CHOOSE(CONTROL!$C$42, 98.8238, 98.8238) * CHOOSE(CONTROL!$C$21, $C$9, 100%, $E$9)</f>
        <v>98.823800000000006</v>
      </c>
      <c r="R936" s="14">
        <f>CHOOSE(CONTROL!$C$42, 99.6578, 99.6578) * CHOOSE(CONTROL!$C$21, $C$9, 100%, $E$9)</f>
        <v>99.657799999999995</v>
      </c>
      <c r="S936" s="14">
        <f>CHOOSE(CONTROL!$C$42, 96.2531, 96.2531) * CHOOSE(CONTROL!$C$21, $C$9, 100%, $E$9)</f>
        <v>96.253100000000003</v>
      </c>
      <c r="T93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56">
        <f>(1000*CHOOSE(CONTROL!$C$42, 695, 695)*CHOOSE(CONTROL!$C$42, 0.5599, 0.5599)*CHOOSE(CONTROL!$C$42, 31, 31))/1000000</f>
        <v>12.063045499999998</v>
      </c>
      <c r="V936" s="56">
        <f>(1000*CHOOSE(CONTROL!$C$42, 500, 500)*CHOOSE(CONTROL!$C$42, 0.275, 0.275)*CHOOSE(CONTROL!$C$42, 31, 31))/1000000</f>
        <v>4.2625000000000002</v>
      </c>
      <c r="W936" s="56">
        <f>(1000*CHOOSE(CONTROL!$C$42, 0.1146, 0.1146)*CHOOSE(CONTROL!$C$42, 121.5, 121.5)*CHOOSE(CONTROL!$C$42, 31, 31))/1000000</f>
        <v>0.43164089999999994</v>
      </c>
      <c r="X936" s="56">
        <f>(31*0.1790888*100000/1000000)+(31*0.2374*100000/1000000)</f>
        <v>1.2911152800000001</v>
      </c>
      <c r="Y936" s="56"/>
      <c r="Z936" s="14"/>
      <c r="AA936" s="55"/>
      <c r="AB936" s="49">
        <f>(B936*122.58+C936*297.941+D936*89.177+E936*40.302+F936*40+G936*160+H936*0+I936*100+J936*300)/(122.58+297.941+89.177+40.302+0+40+160+100+300)</f>
        <v>100.23698991052174</v>
      </c>
      <c r="AC936" s="44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98.238564748201426</v>
      </c>
    </row>
    <row r="937" spans="1:29" ht="15.75" x14ac:dyDescent="0.25">
      <c r="A937" s="31">
        <v>69429</v>
      </c>
      <c r="B937" s="14">
        <f>CHOOSE(CONTROL!$C$42, 108.4827, 108.4827) * CHOOSE(CONTROL!$C$21, $C$9, 100%, $E$9)</f>
        <v>108.48269999999999</v>
      </c>
      <c r="C937" s="14">
        <f>CHOOSE(CONTROL!$C$42, 108.4877, 108.4877) * CHOOSE(CONTROL!$C$21, $C$9, 100%, $E$9)</f>
        <v>108.4877</v>
      </c>
      <c r="D937" s="14">
        <f>CHOOSE(CONTROL!$C$42, 108.5672, 108.5672) * CHOOSE(CONTROL!$C$21, $C$9, 100%, $E$9)</f>
        <v>108.5672</v>
      </c>
      <c r="E937" s="14">
        <f>CHOOSE(CONTROL!$C$42, 108.6013, 108.6013) * CHOOSE(CONTROL!$C$21, $C$9, 100%, $E$9)</f>
        <v>108.60129999999999</v>
      </c>
      <c r="F937" s="14">
        <f>CHOOSE(CONTROL!$C$42, 108.5057, 108.5057)*CHOOSE(CONTROL!$C$21, $C$9, 100%, $E$9)</f>
        <v>108.5057</v>
      </c>
      <c r="G937" s="14">
        <f>CHOOSE(CONTROL!$C$42, 108.5232, 108.5232)*CHOOSE(CONTROL!$C$21, $C$9, 100%, $E$9)</f>
        <v>108.5232</v>
      </c>
      <c r="H937" s="14">
        <f>CHOOSE(CONTROL!$C$42, 108.5905, 108.5905) * CHOOSE(CONTROL!$C$21, $C$9, 100%, $E$9)</f>
        <v>108.59050000000001</v>
      </c>
      <c r="I937" s="14">
        <f>CHOOSE(CONTROL!$C$42, 108.8577, 108.8577)* CHOOSE(CONTROL!$C$21, $C$9, 100%, $E$9)</f>
        <v>108.85769999999999</v>
      </c>
      <c r="J937" s="14">
        <f>CHOOSE(CONTROL!$C$42, 108.4987, 108.4987)* CHOOSE(CONTROL!$C$21, $C$9, 100%, $E$9)</f>
        <v>108.4987</v>
      </c>
      <c r="K937" s="52">
        <f>CHOOSE(CONTROL!$C$42, 108.8538, 108.8538) * CHOOSE(CONTROL!$C$21, $C$9, 100%, $E$9)</f>
        <v>108.85380000000001</v>
      </c>
      <c r="L937" s="14">
        <f>CHOOSE(CONTROL!$C$42, 109.1775, 109.1775) * CHOOSE(CONTROL!$C$21, $C$9, 100%, $E$9)</f>
        <v>109.17749999999999</v>
      </c>
      <c r="M937" s="14">
        <f>CHOOSE(CONTROL!$C$42, 106.2833, 106.2833) * CHOOSE(CONTROL!$C$21, $C$9, 100%, $E$9)</f>
        <v>106.2833</v>
      </c>
      <c r="N937" s="14">
        <f>CHOOSE(CONTROL!$C$42, 106.3005, 106.3005) * CHOOSE(CONTROL!$C$21, $C$9, 100%, $E$9)</f>
        <v>106.3005</v>
      </c>
      <c r="O937" s="14">
        <f>CHOOSE(CONTROL!$C$42, 106.3732, 106.3732) * CHOOSE(CONTROL!$C$21, $C$9, 100%, $E$9)</f>
        <v>106.3732</v>
      </c>
      <c r="P937" s="14">
        <f>CHOOSE(CONTROL!$C$42, 106.6282, 106.6282) * CHOOSE(CONTROL!$C$21, $C$9, 100%, $E$9)</f>
        <v>106.62820000000001</v>
      </c>
      <c r="Q937" s="14">
        <f>CHOOSE(CONTROL!$C$42, 106.9679, 106.9679) * CHOOSE(CONTROL!$C$21, $C$9, 100%, $E$9)</f>
        <v>106.9679</v>
      </c>
      <c r="R937" s="14">
        <f>CHOOSE(CONTROL!$C$42, 107.8223, 107.8223) * CHOOSE(CONTROL!$C$21, $C$9, 100%, $E$9)</f>
        <v>107.8223</v>
      </c>
      <c r="S937" s="14">
        <f>CHOOSE(CONTROL!$C$42, 104.2325, 104.2325) * CHOOSE(CONTROL!$C$21, $C$9, 100%, $E$9)</f>
        <v>104.2325</v>
      </c>
      <c r="T93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56">
        <f>(1000*CHOOSE(CONTROL!$C$42, 695, 695)*CHOOSE(CONTROL!$C$42, 0.5599, 0.5599)*CHOOSE(CONTROL!$C$42, 31, 31))/1000000</f>
        <v>12.063045499999998</v>
      </c>
      <c r="V937" s="56">
        <f>(1000*CHOOSE(CONTROL!$C$42, 500, 500)*CHOOSE(CONTROL!$C$42, 0.275, 0.275)*CHOOSE(CONTROL!$C$42, 31, 31))/1000000</f>
        <v>4.2625000000000002</v>
      </c>
      <c r="W937" s="56">
        <f>(1000*CHOOSE(CONTROL!$C$42, 0.1146, 0.1146)*CHOOSE(CONTROL!$C$42, 121.5, 121.5)*CHOOSE(CONTROL!$C$42, 31, 31))/1000000</f>
        <v>0.43164089999999994</v>
      </c>
      <c r="X937" s="56">
        <f>(31*0.1790888*100000/1000000)+(31*0.2374*100000/1000000)</f>
        <v>1.2911152800000001</v>
      </c>
      <c r="Y937" s="56"/>
      <c r="Z937" s="14"/>
      <c r="AA937" s="55"/>
      <c r="AB937" s="49">
        <f>(B937*122.58+C937*297.941+D937*89.177+E937*40.302+F937*40+G937*160+H937*0+I937*100+J937*300)/(122.58+297.941+89.177+40.302+0+40+160+100+300)</f>
        <v>108.53792172060871</v>
      </c>
      <c r="AC937" s="44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106.3746618705036</v>
      </c>
    </row>
    <row r="938" spans="1:29" ht="15.75" x14ac:dyDescent="0.25">
      <c r="A938" s="31">
        <v>69457</v>
      </c>
      <c r="B938" s="14">
        <f>CHOOSE(CONTROL!$C$42, 110.4137, 110.4137) * CHOOSE(CONTROL!$C$21, $C$9, 100%, $E$9)</f>
        <v>110.41370000000001</v>
      </c>
      <c r="C938" s="14">
        <f>CHOOSE(CONTROL!$C$42, 110.4187, 110.4187) * CHOOSE(CONTROL!$C$21, $C$9, 100%, $E$9)</f>
        <v>110.4187</v>
      </c>
      <c r="D938" s="14">
        <f>CHOOSE(CONTROL!$C$42, 110.4981, 110.4981) * CHOOSE(CONTROL!$C$21, $C$9, 100%, $E$9)</f>
        <v>110.49809999999999</v>
      </c>
      <c r="E938" s="14">
        <f>CHOOSE(CONTROL!$C$42, 110.5322, 110.5322) * CHOOSE(CONTROL!$C$21, $C$9, 100%, $E$9)</f>
        <v>110.5322</v>
      </c>
      <c r="F938" s="14">
        <f>CHOOSE(CONTROL!$C$42, 110.4364, 110.4364)*CHOOSE(CONTROL!$C$21, $C$9, 100%, $E$9)</f>
        <v>110.43640000000001</v>
      </c>
      <c r="G938" s="14">
        <f>CHOOSE(CONTROL!$C$42, 110.4539, 110.4539)*CHOOSE(CONTROL!$C$21, $C$9, 100%, $E$9)</f>
        <v>110.4539</v>
      </c>
      <c r="H938" s="14">
        <f>CHOOSE(CONTROL!$C$42, 110.5214, 110.5214) * CHOOSE(CONTROL!$C$21, $C$9, 100%, $E$9)</f>
        <v>110.5214</v>
      </c>
      <c r="I938" s="14">
        <f>CHOOSE(CONTROL!$C$42, 110.7947, 110.7947)* CHOOSE(CONTROL!$C$21, $C$9, 100%, $E$9)</f>
        <v>110.79470000000001</v>
      </c>
      <c r="J938" s="14">
        <f>CHOOSE(CONTROL!$C$42, 110.4294, 110.4294)* CHOOSE(CONTROL!$C$21, $C$9, 100%, $E$9)</f>
        <v>110.4294</v>
      </c>
      <c r="K938" s="52">
        <f>CHOOSE(CONTROL!$C$42, 110.7909, 110.7909) * CHOOSE(CONTROL!$C$21, $C$9, 100%, $E$9)</f>
        <v>110.79089999999999</v>
      </c>
      <c r="L938" s="14">
        <f>CHOOSE(CONTROL!$C$42, 111.1084, 111.1084) * CHOOSE(CONTROL!$C$21, $C$9, 100%, $E$9)</f>
        <v>111.1084</v>
      </c>
      <c r="M938" s="14">
        <f>CHOOSE(CONTROL!$C$42, 108.1745, 108.1745) * CHOOSE(CONTROL!$C$21, $C$9, 100%, $E$9)</f>
        <v>108.17449999999999</v>
      </c>
      <c r="N938" s="14">
        <f>CHOOSE(CONTROL!$C$42, 108.1916, 108.1916) * CHOOSE(CONTROL!$C$21, $C$9, 100%, $E$9)</f>
        <v>108.19159999999999</v>
      </c>
      <c r="O938" s="14">
        <f>CHOOSE(CONTROL!$C$42, 108.2646, 108.2646) * CHOOSE(CONTROL!$C$21, $C$9, 100%, $E$9)</f>
        <v>108.2646</v>
      </c>
      <c r="P938" s="14">
        <f>CHOOSE(CONTROL!$C$42, 108.5254, 108.5254) * CHOOSE(CONTROL!$C$21, $C$9, 100%, $E$9)</f>
        <v>108.5254</v>
      </c>
      <c r="Q938" s="14">
        <f>CHOOSE(CONTROL!$C$42, 108.8593, 108.8593) * CHOOSE(CONTROL!$C$21, $C$9, 100%, $E$9)</f>
        <v>108.8593</v>
      </c>
      <c r="R938" s="14">
        <f>CHOOSE(CONTROL!$C$42, 109.7185, 109.7185) * CHOOSE(CONTROL!$C$21, $C$9, 100%, $E$9)</f>
        <v>109.71850000000001</v>
      </c>
      <c r="S938" s="14">
        <f>CHOOSE(CONTROL!$C$42, 106.0879, 106.0879) * CHOOSE(CONTROL!$C$21, $C$9, 100%, $E$9)</f>
        <v>106.0879</v>
      </c>
      <c r="T93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56">
        <f>(1000*CHOOSE(CONTROL!$C$42, 695, 695)*CHOOSE(CONTROL!$C$42, 0.5599, 0.5599)*CHOOSE(CONTROL!$C$42, 28, 28))/1000000</f>
        <v>10.895653999999999</v>
      </c>
      <c r="V938" s="56">
        <f>(1000*CHOOSE(CONTROL!$C$42, 500, 500)*CHOOSE(CONTROL!$C$42, 0.275, 0.275)*CHOOSE(CONTROL!$C$42, 28, 28))/1000000</f>
        <v>3.85</v>
      </c>
      <c r="W938" s="56">
        <f>(1000*CHOOSE(CONTROL!$C$42, 0.1146, 0.1146)*CHOOSE(CONTROL!$C$42, 121.5, 121.5)*CHOOSE(CONTROL!$C$42, 28, 28))/1000000</f>
        <v>0.38986920000000003</v>
      </c>
      <c r="X938" s="56">
        <f>(28*0.1790888*100000/1000000)+(28*0.2374*100000/1000000)</f>
        <v>1.16616864</v>
      </c>
      <c r="Y938" s="56"/>
      <c r="Z938" s="14"/>
      <c r="AA938" s="55"/>
      <c r="AB938" s="49">
        <f>(B938*122.58+C938*297.941+D938*89.177+E938*40.302+F938*40+G938*160+H938*0+I938*100+J938*300)/(122.58+297.941+89.177+40.302+0+40+160+100+300)</f>
        <v>110.46930176591303</v>
      </c>
      <c r="AC938" s="44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108.26681007194243</v>
      </c>
    </row>
    <row r="939" spans="1:29" ht="15.75" x14ac:dyDescent="0.25">
      <c r="A939" s="31">
        <v>69488</v>
      </c>
      <c r="B939" s="14">
        <f>CHOOSE(CONTROL!$C$42, 107.2792, 107.2792) * CHOOSE(CONTROL!$C$21, $C$9, 100%, $E$9)</f>
        <v>107.2792</v>
      </c>
      <c r="C939" s="14">
        <f>CHOOSE(CONTROL!$C$42, 107.2843, 107.2843) * CHOOSE(CONTROL!$C$21, $C$9, 100%, $E$9)</f>
        <v>107.2843</v>
      </c>
      <c r="D939" s="14">
        <f>CHOOSE(CONTROL!$C$42, 107.3637, 107.3637) * CHOOSE(CONTROL!$C$21, $C$9, 100%, $E$9)</f>
        <v>107.36369999999999</v>
      </c>
      <c r="E939" s="14">
        <f>CHOOSE(CONTROL!$C$42, 107.3978, 107.3978) * CHOOSE(CONTROL!$C$21, $C$9, 100%, $E$9)</f>
        <v>107.3978</v>
      </c>
      <c r="F939" s="14">
        <f>CHOOSE(CONTROL!$C$42, 107.3013, 107.3013)*CHOOSE(CONTROL!$C$21, $C$9, 100%, $E$9)</f>
        <v>107.3013</v>
      </c>
      <c r="G939" s="14">
        <f>CHOOSE(CONTROL!$C$42, 107.3185, 107.3185)*CHOOSE(CONTROL!$C$21, $C$9, 100%, $E$9)</f>
        <v>107.3185</v>
      </c>
      <c r="H939" s="14">
        <f>CHOOSE(CONTROL!$C$42, 107.387, 107.387) * CHOOSE(CONTROL!$C$21, $C$9, 100%, $E$9)</f>
        <v>107.387</v>
      </c>
      <c r="I939" s="14">
        <f>CHOOSE(CONTROL!$C$42, 107.6505, 107.6505)* CHOOSE(CONTROL!$C$21, $C$9, 100%, $E$9)</f>
        <v>107.65049999999999</v>
      </c>
      <c r="J939" s="14">
        <f>CHOOSE(CONTROL!$C$42, 107.2943, 107.2943)* CHOOSE(CONTROL!$C$21, $C$9, 100%, $E$9)</f>
        <v>107.29430000000001</v>
      </c>
      <c r="K939" s="52">
        <f>CHOOSE(CONTROL!$C$42, 107.6466, 107.6466) * CHOOSE(CONTROL!$C$21, $C$9, 100%, $E$9)</f>
        <v>107.64660000000001</v>
      </c>
      <c r="L939" s="14">
        <f>CHOOSE(CONTROL!$C$42, 107.974, 107.974) * CHOOSE(CONTROL!$C$21, $C$9, 100%, $E$9)</f>
        <v>107.974</v>
      </c>
      <c r="M939" s="14">
        <f>CHOOSE(CONTROL!$C$42, 105.1036, 105.1036) * CHOOSE(CONTROL!$C$21, $C$9, 100%, $E$9)</f>
        <v>105.1036</v>
      </c>
      <c r="N939" s="14">
        <f>CHOOSE(CONTROL!$C$42, 105.1205, 105.1205) * CHOOSE(CONTROL!$C$21, $C$9, 100%, $E$9)</f>
        <v>105.12050000000001</v>
      </c>
      <c r="O939" s="14">
        <f>CHOOSE(CONTROL!$C$42, 105.1944, 105.1944) * CHOOSE(CONTROL!$C$21, $C$9, 100%, $E$9)</f>
        <v>105.1944</v>
      </c>
      <c r="P939" s="14">
        <f>CHOOSE(CONTROL!$C$42, 105.4458, 105.4458) * CHOOSE(CONTROL!$C$21, $C$9, 100%, $E$9)</f>
        <v>105.44580000000001</v>
      </c>
      <c r="Q939" s="14">
        <f>CHOOSE(CONTROL!$C$42, 105.7891, 105.7891) * CHOOSE(CONTROL!$C$21, $C$9, 100%, $E$9)</f>
        <v>105.7891</v>
      </c>
      <c r="R939" s="14">
        <f>CHOOSE(CONTROL!$C$42, 106.6406, 106.6406) * CHOOSE(CONTROL!$C$21, $C$9, 100%, $E$9)</f>
        <v>106.64060000000001</v>
      </c>
      <c r="S939" s="14">
        <f>CHOOSE(CONTROL!$C$42, 103.076, 103.076) * CHOOSE(CONTROL!$C$21, $C$9, 100%, $E$9)</f>
        <v>103.07599999999999</v>
      </c>
      <c r="T93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56">
        <f>(1000*CHOOSE(CONTROL!$C$42, 695, 695)*CHOOSE(CONTROL!$C$42, 0.5599, 0.5599)*CHOOSE(CONTROL!$C$42, 31, 31))/1000000</f>
        <v>12.063045499999998</v>
      </c>
      <c r="V939" s="56">
        <f>(1000*CHOOSE(CONTROL!$C$42, 500, 500)*CHOOSE(CONTROL!$C$42, 0.275, 0.275)*CHOOSE(CONTROL!$C$42, 31, 31))/1000000</f>
        <v>4.2625000000000002</v>
      </c>
      <c r="W939" s="56">
        <f>(1000*CHOOSE(CONTROL!$C$42, 0.1146, 0.1146)*CHOOSE(CONTROL!$C$42, 121.5, 121.5)*CHOOSE(CONTROL!$C$42, 31, 31))/1000000</f>
        <v>0.43164089999999994</v>
      </c>
      <c r="X939" s="56">
        <f>(31*0.1790888*100000/1000000)+(31*0.2374*100000/1000000)</f>
        <v>1.2911152800000001</v>
      </c>
      <c r="Y939" s="56"/>
      <c r="Z939" s="14"/>
      <c r="AA939" s="55"/>
      <c r="AB939" s="49">
        <f>(B939*122.58+C939*297.941+D939*89.177+E939*40.302+F939*40+G939*160+H939*0+I939*100+J939*300)/(122.58+297.941+89.177+40.302+0+40+160+100+300)</f>
        <v>107.33369284591303</v>
      </c>
      <c r="AC939" s="44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105.19496402877698</v>
      </c>
    </row>
    <row r="940" spans="1:29" ht="15.75" x14ac:dyDescent="0.25">
      <c r="A940" s="31">
        <v>69518</v>
      </c>
      <c r="B940" s="14">
        <f>CHOOSE(CONTROL!$C$42, 106.959, 106.959) * CHOOSE(CONTROL!$C$21, $C$9, 100%, $E$9)</f>
        <v>106.959</v>
      </c>
      <c r="C940" s="14">
        <f>CHOOSE(CONTROL!$C$42, 106.9635, 106.9635) * CHOOSE(CONTROL!$C$21, $C$9, 100%, $E$9)</f>
        <v>106.9635</v>
      </c>
      <c r="D940" s="14">
        <f>CHOOSE(CONTROL!$C$42, 107.1924, 107.1924) * CHOOSE(CONTROL!$C$21, $C$9, 100%, $E$9)</f>
        <v>107.19240000000001</v>
      </c>
      <c r="E940" s="14">
        <f>CHOOSE(CONTROL!$C$42, 107.2245, 107.2245) * CHOOSE(CONTROL!$C$21, $C$9, 100%, $E$9)</f>
        <v>107.22450000000001</v>
      </c>
      <c r="F940" s="14">
        <f>CHOOSE(CONTROL!$C$42, 106.986, 106.986)*CHOOSE(CONTROL!$C$21, $C$9, 100%, $E$9)</f>
        <v>106.986</v>
      </c>
      <c r="G940" s="14">
        <f>CHOOSE(CONTROL!$C$42, 107.0027, 107.0027)*CHOOSE(CONTROL!$C$21, $C$9, 100%, $E$9)</f>
        <v>107.0027</v>
      </c>
      <c r="H940" s="14">
        <f>CHOOSE(CONTROL!$C$42, 107.2143, 107.2143) * CHOOSE(CONTROL!$C$21, $C$9, 100%, $E$9)</f>
        <v>107.21429999999999</v>
      </c>
      <c r="I940" s="14">
        <f>CHOOSE(CONTROL!$C$42, 107.3269, 107.3269)* CHOOSE(CONTROL!$C$21, $C$9, 100%, $E$9)</f>
        <v>107.32689999999999</v>
      </c>
      <c r="J940" s="14">
        <f>CHOOSE(CONTROL!$C$42, 106.979, 106.979)* CHOOSE(CONTROL!$C$21, $C$9, 100%, $E$9)</f>
        <v>106.979</v>
      </c>
      <c r="K940" s="52">
        <f>CHOOSE(CONTROL!$C$42, 107.3231, 107.3231) * CHOOSE(CONTROL!$C$21, $C$9, 100%, $E$9)</f>
        <v>107.3231</v>
      </c>
      <c r="L940" s="14">
        <f>CHOOSE(CONTROL!$C$42, 107.8013, 107.8013) * CHOOSE(CONTROL!$C$21, $C$9, 100%, $E$9)</f>
        <v>107.8013</v>
      </c>
      <c r="M940" s="14">
        <f>CHOOSE(CONTROL!$C$42, 104.7948, 104.7948) * CHOOSE(CONTROL!$C$21, $C$9, 100%, $E$9)</f>
        <v>104.7948</v>
      </c>
      <c r="N940" s="14">
        <f>CHOOSE(CONTROL!$C$42, 104.8112, 104.8112) * CHOOSE(CONTROL!$C$21, $C$9, 100%, $E$9)</f>
        <v>104.8112</v>
      </c>
      <c r="O940" s="14">
        <f>CHOOSE(CONTROL!$C$42, 105.0253, 105.0253) * CHOOSE(CONTROL!$C$21, $C$9, 100%, $E$9)</f>
        <v>105.0253</v>
      </c>
      <c r="P940" s="14">
        <f>CHOOSE(CONTROL!$C$42, 105.1289, 105.1289) * CHOOSE(CONTROL!$C$21, $C$9, 100%, $E$9)</f>
        <v>105.1289</v>
      </c>
      <c r="Q940" s="14">
        <f>CHOOSE(CONTROL!$C$42, 105.62, 105.62) * CHOOSE(CONTROL!$C$21, $C$9, 100%, $E$9)</f>
        <v>105.62</v>
      </c>
      <c r="R940" s="14">
        <f>CHOOSE(CONTROL!$C$42, 106.471, 106.471) * CHOOSE(CONTROL!$C$21, $C$9, 100%, $E$9)</f>
        <v>106.471</v>
      </c>
      <c r="S940" s="14">
        <f>CHOOSE(CONTROL!$C$42, 102.7676, 102.7676) * CHOOSE(CONTROL!$C$21, $C$9, 100%, $E$9)</f>
        <v>102.7676</v>
      </c>
      <c r="T94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56">
        <f>(1000*CHOOSE(CONTROL!$C$42, 695, 695)*CHOOSE(CONTROL!$C$42, 0.5599, 0.5599)*CHOOSE(CONTROL!$C$42, 30, 30))/1000000</f>
        <v>11.673914999999997</v>
      </c>
      <c r="V940" s="56">
        <f>(1000*CHOOSE(CONTROL!$C$42, 500, 500)*CHOOSE(CONTROL!$C$42, 0.275, 0.275)*CHOOSE(CONTROL!$C$42, 30, 30))/1000000</f>
        <v>4.125</v>
      </c>
      <c r="W940" s="56">
        <f>(1000*CHOOSE(CONTROL!$C$42, 0.1146, 0.1146)*CHOOSE(CONTROL!$C$42, 121.5, 121.5)*CHOOSE(CONTROL!$C$42, 30, 30))/1000000</f>
        <v>0.417717</v>
      </c>
      <c r="X940" s="56">
        <f>(30*0.1790888*245000/1000000)+(30*0.2374*100000/1000000)</f>
        <v>2.0285026799999999</v>
      </c>
      <c r="Y940" s="56"/>
      <c r="Z940" s="14"/>
      <c r="AA940" s="55"/>
      <c r="AB940" s="49">
        <f>(B940*141.293+C940*267.993+D940*115.016+E940*89.698+F940*40+G940*185+H940*0+I940*100+J940*300)/(141.293+267.993+115.016+89.698+0+40+185+100+300)</f>
        <v>107.04279339943506</v>
      </c>
      <c r="AC940" s="44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104.94828705035971</v>
      </c>
    </row>
    <row r="941" spans="1:29" ht="15.75" x14ac:dyDescent="0.25">
      <c r="A941" s="31">
        <v>69549</v>
      </c>
      <c r="B941" s="14">
        <f>CHOOSE(CONTROL!$C$42, 107.9044, 107.9044) * CHOOSE(CONTROL!$C$21, $C$9, 100%, $E$9)</f>
        <v>107.9044</v>
      </c>
      <c r="C941" s="14">
        <f>CHOOSE(CONTROL!$C$42, 107.9124, 107.9124) * CHOOSE(CONTROL!$C$21, $C$9, 100%, $E$9)</f>
        <v>107.91240000000001</v>
      </c>
      <c r="D941" s="14">
        <f>CHOOSE(CONTROL!$C$42, 108.1382, 108.1382) * CHOOSE(CONTROL!$C$21, $C$9, 100%, $E$9)</f>
        <v>108.1382</v>
      </c>
      <c r="E941" s="14">
        <f>CHOOSE(CONTROL!$C$42, 108.1696, 108.1696) * CHOOSE(CONTROL!$C$21, $C$9, 100%, $E$9)</f>
        <v>108.1696</v>
      </c>
      <c r="F941" s="14">
        <f>CHOOSE(CONTROL!$C$42, 107.93, 107.93)*CHOOSE(CONTROL!$C$21, $C$9, 100%, $E$9)</f>
        <v>107.93</v>
      </c>
      <c r="G941" s="14">
        <f>CHOOSE(CONTROL!$C$42, 107.947, 107.947)*CHOOSE(CONTROL!$C$21, $C$9, 100%, $E$9)</f>
        <v>107.947</v>
      </c>
      <c r="H941" s="14">
        <f>CHOOSE(CONTROL!$C$42, 108.1583, 108.1583) * CHOOSE(CONTROL!$C$21, $C$9, 100%, $E$9)</f>
        <v>108.1583</v>
      </c>
      <c r="I941" s="14">
        <f>CHOOSE(CONTROL!$C$42, 108.2738, 108.2738)* CHOOSE(CONTROL!$C$21, $C$9, 100%, $E$9)</f>
        <v>108.27379999999999</v>
      </c>
      <c r="J941" s="14">
        <f>CHOOSE(CONTROL!$C$42, 107.923, 107.923)* CHOOSE(CONTROL!$C$21, $C$9, 100%, $E$9)</f>
        <v>107.923</v>
      </c>
      <c r="K941" s="52">
        <f>CHOOSE(CONTROL!$C$42, 108.27, 108.27) * CHOOSE(CONTROL!$C$21, $C$9, 100%, $E$9)</f>
        <v>108.27</v>
      </c>
      <c r="L941" s="14">
        <f>CHOOSE(CONTROL!$C$42, 108.7453, 108.7453) * CHOOSE(CONTROL!$C$21, $C$9, 100%, $E$9)</f>
        <v>108.7453</v>
      </c>
      <c r="M941" s="14">
        <f>CHOOSE(CONTROL!$C$42, 105.7195, 105.7195) * CHOOSE(CONTROL!$C$21, $C$9, 100%, $E$9)</f>
        <v>105.7195</v>
      </c>
      <c r="N941" s="14">
        <f>CHOOSE(CONTROL!$C$42, 105.7361, 105.7361) * CHOOSE(CONTROL!$C$21, $C$9, 100%, $E$9)</f>
        <v>105.73609999999999</v>
      </c>
      <c r="O941" s="14">
        <f>CHOOSE(CONTROL!$C$42, 105.9499, 105.9499) * CHOOSE(CONTROL!$C$21, $C$9, 100%, $E$9)</f>
        <v>105.9499</v>
      </c>
      <c r="P941" s="14">
        <f>CHOOSE(CONTROL!$C$42, 106.0564, 106.0564) * CHOOSE(CONTROL!$C$21, $C$9, 100%, $E$9)</f>
        <v>106.0564</v>
      </c>
      <c r="Q941" s="14">
        <f>CHOOSE(CONTROL!$C$42, 106.5446, 106.5446) * CHOOSE(CONTROL!$C$21, $C$9, 100%, $E$9)</f>
        <v>106.5446</v>
      </c>
      <c r="R941" s="14">
        <f>CHOOSE(CONTROL!$C$42, 107.3979, 107.3979) * CHOOSE(CONTROL!$C$21, $C$9, 100%, $E$9)</f>
        <v>107.39790000000001</v>
      </c>
      <c r="S941" s="14">
        <f>CHOOSE(CONTROL!$C$42, 103.6747, 103.6747) * CHOOSE(CONTROL!$C$21, $C$9, 100%, $E$9)</f>
        <v>103.6747</v>
      </c>
      <c r="T94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56">
        <f>(1000*CHOOSE(CONTROL!$C$42, 695, 695)*CHOOSE(CONTROL!$C$42, 0.5599, 0.5599)*CHOOSE(CONTROL!$C$42, 31, 31))/1000000</f>
        <v>12.063045499999998</v>
      </c>
      <c r="V941" s="56">
        <f>(1000*CHOOSE(CONTROL!$C$42, 500, 500)*CHOOSE(CONTROL!$C$42, 0.275, 0.275)*CHOOSE(CONTROL!$C$42, 31, 31))/1000000</f>
        <v>4.2625000000000002</v>
      </c>
      <c r="W941" s="56">
        <f>(1000*CHOOSE(CONTROL!$C$42, 0.1146, 0.1146)*CHOOSE(CONTROL!$C$42, 121.5, 121.5)*CHOOSE(CONTROL!$C$42, 31, 31))/1000000</f>
        <v>0.43164089999999994</v>
      </c>
      <c r="X941" s="56">
        <f>(31*0.1790888*245000/1000000)+(31*0.2374*100000/1000000)</f>
        <v>2.0961194359999999</v>
      </c>
      <c r="Y941" s="56"/>
      <c r="Z941" s="14"/>
      <c r="AA941" s="55"/>
      <c r="AB941" s="49">
        <f>(B941*194.205+C941*267.466+D941*133.845+E941*53.484+F941*40+G941*185+H941*0+I941*100+J941*300)/(194.205+267.466+133.845+53.484+0+40+185+100+300)</f>
        <v>107.98214069529044</v>
      </c>
      <c r="AC941" s="44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105.87335611510791</v>
      </c>
    </row>
    <row r="942" spans="1:29" ht="15.75" x14ac:dyDescent="0.25">
      <c r="A942" s="31">
        <v>69579</v>
      </c>
      <c r="B942" s="14">
        <f>CHOOSE(CONTROL!$C$42, 110.9649, 110.9649) * CHOOSE(CONTROL!$C$21, $C$9, 100%, $E$9)</f>
        <v>110.9649</v>
      </c>
      <c r="C942" s="14">
        <f>CHOOSE(CONTROL!$C$42, 110.9729, 110.9729) * CHOOSE(CONTROL!$C$21, $C$9, 100%, $E$9)</f>
        <v>110.9729</v>
      </c>
      <c r="D942" s="14">
        <f>CHOOSE(CONTROL!$C$42, 111.1987, 111.1987) * CHOOSE(CONTROL!$C$21, $C$9, 100%, $E$9)</f>
        <v>111.1987</v>
      </c>
      <c r="E942" s="14">
        <f>CHOOSE(CONTROL!$C$42, 111.2302, 111.2302) * CHOOSE(CONTROL!$C$21, $C$9, 100%, $E$9)</f>
        <v>111.2302</v>
      </c>
      <c r="F942" s="14">
        <f>CHOOSE(CONTROL!$C$42, 110.991, 110.991)*CHOOSE(CONTROL!$C$21, $C$9, 100%, $E$9)</f>
        <v>110.991</v>
      </c>
      <c r="G942" s="14">
        <f>CHOOSE(CONTROL!$C$42, 111.0081, 111.0081)*CHOOSE(CONTROL!$C$21, $C$9, 100%, $E$9)</f>
        <v>111.0081</v>
      </c>
      <c r="H942" s="14">
        <f>CHOOSE(CONTROL!$C$42, 111.2188, 111.2188) * CHOOSE(CONTROL!$C$21, $C$9, 100%, $E$9)</f>
        <v>111.2188</v>
      </c>
      <c r="I942" s="14">
        <f>CHOOSE(CONTROL!$C$42, 111.344, 111.344)* CHOOSE(CONTROL!$C$21, $C$9, 100%, $E$9)</f>
        <v>111.34399999999999</v>
      </c>
      <c r="J942" s="14">
        <f>CHOOSE(CONTROL!$C$42, 110.984, 110.984)* CHOOSE(CONTROL!$C$21, $C$9, 100%, $E$9)</f>
        <v>110.98399999999999</v>
      </c>
      <c r="K942" s="52">
        <f>CHOOSE(CONTROL!$C$42, 111.3401, 111.3401) * CHOOSE(CONTROL!$C$21, $C$9, 100%, $E$9)</f>
        <v>111.34010000000001</v>
      </c>
      <c r="L942" s="14">
        <f>CHOOSE(CONTROL!$C$42, 111.8058, 111.8058) * CHOOSE(CONTROL!$C$21, $C$9, 100%, $E$9)</f>
        <v>111.8058</v>
      </c>
      <c r="M942" s="14">
        <f>CHOOSE(CONTROL!$C$42, 108.7177, 108.7177) * CHOOSE(CONTROL!$C$21, $C$9, 100%, $E$9)</f>
        <v>108.71769999999999</v>
      </c>
      <c r="N942" s="14">
        <f>CHOOSE(CONTROL!$C$42, 108.7344, 108.7344) * CHOOSE(CONTROL!$C$21, $C$9, 100%, $E$9)</f>
        <v>108.73439999999999</v>
      </c>
      <c r="O942" s="14">
        <f>CHOOSE(CONTROL!$C$42, 108.9477, 108.9477) * CHOOSE(CONTROL!$C$21, $C$9, 100%, $E$9)</f>
        <v>108.9477</v>
      </c>
      <c r="P942" s="14">
        <f>CHOOSE(CONTROL!$C$42, 109.0634, 109.0634) * CHOOSE(CONTROL!$C$21, $C$9, 100%, $E$9)</f>
        <v>109.0634</v>
      </c>
      <c r="Q942" s="14">
        <f>CHOOSE(CONTROL!$C$42, 109.5424, 109.5424) * CHOOSE(CONTROL!$C$21, $C$9, 100%, $E$9)</f>
        <v>109.5424</v>
      </c>
      <c r="R942" s="14">
        <f>CHOOSE(CONTROL!$C$42, 110.4033, 110.4033) * CHOOSE(CONTROL!$C$21, $C$9, 100%, $E$9)</f>
        <v>110.4033</v>
      </c>
      <c r="S942" s="14">
        <f>CHOOSE(CONTROL!$C$42, 106.6155, 106.6155) * CHOOSE(CONTROL!$C$21, $C$9, 100%, $E$9)</f>
        <v>106.6155</v>
      </c>
      <c r="T94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56">
        <f>(1000*CHOOSE(CONTROL!$C$42, 695, 695)*CHOOSE(CONTROL!$C$42, 0.5599, 0.5599)*CHOOSE(CONTROL!$C$42, 30, 30))/1000000</f>
        <v>11.673914999999997</v>
      </c>
      <c r="V942" s="56">
        <f>(1000*CHOOSE(CONTROL!$C$42, 500, 500)*CHOOSE(CONTROL!$C$42, 0.275, 0.275)*CHOOSE(CONTROL!$C$42, 30, 30))/1000000</f>
        <v>4.125</v>
      </c>
      <c r="W942" s="56">
        <f>(1000*CHOOSE(CONTROL!$C$42, 0.1146, 0.1146)*CHOOSE(CONTROL!$C$42, 121.5, 121.5)*CHOOSE(CONTROL!$C$42, 30, 30))/1000000</f>
        <v>0.417717</v>
      </c>
      <c r="X942" s="56">
        <f>(30*0.1790888*245000/1000000)+(30*0.2374*100000/1000000)</f>
        <v>2.0285026799999999</v>
      </c>
      <c r="Y942" s="56"/>
      <c r="Z942" s="14"/>
      <c r="AA942" s="55"/>
      <c r="AB942" s="49">
        <f>(B942*194.205+C942*267.466+D942*133.845+E942*53.484+F942*40+G942*185+H942*0+I942*100+J942*300)/(194.205+267.466+133.845+53.484+0+40+185+100+300)</f>
        <v>111.04362684003139</v>
      </c>
      <c r="AC942" s="44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108.87264676258992</v>
      </c>
    </row>
    <row r="943" spans="1:29" ht="15.75" x14ac:dyDescent="0.25">
      <c r="A943" s="31">
        <v>69610</v>
      </c>
      <c r="B943" s="14">
        <f>CHOOSE(CONTROL!$C$42, 108.8363, 108.8363) * CHOOSE(CONTROL!$C$21, $C$9, 100%, $E$9)</f>
        <v>108.83629999999999</v>
      </c>
      <c r="C943" s="14">
        <f>CHOOSE(CONTROL!$C$42, 108.8443, 108.8443) * CHOOSE(CONTROL!$C$21, $C$9, 100%, $E$9)</f>
        <v>108.8443</v>
      </c>
      <c r="D943" s="14">
        <f>CHOOSE(CONTROL!$C$42, 109.0701, 109.0701) * CHOOSE(CONTROL!$C$21, $C$9, 100%, $E$9)</f>
        <v>109.0701</v>
      </c>
      <c r="E943" s="14">
        <f>CHOOSE(CONTROL!$C$42, 109.1016, 109.1016) * CHOOSE(CONTROL!$C$21, $C$9, 100%, $E$9)</f>
        <v>109.1016</v>
      </c>
      <c r="F943" s="14">
        <f>CHOOSE(CONTROL!$C$42, 108.8628, 108.8628)*CHOOSE(CONTROL!$C$21, $C$9, 100%, $E$9)</f>
        <v>108.86279999999999</v>
      </c>
      <c r="G943" s="14">
        <f>CHOOSE(CONTROL!$C$42, 108.8801, 108.8801)*CHOOSE(CONTROL!$C$21, $C$9, 100%, $E$9)</f>
        <v>108.8801</v>
      </c>
      <c r="H943" s="14">
        <f>CHOOSE(CONTROL!$C$42, 109.0902, 109.0902) * CHOOSE(CONTROL!$C$21, $C$9, 100%, $E$9)</f>
        <v>109.0902</v>
      </c>
      <c r="I943" s="14">
        <f>CHOOSE(CONTROL!$C$42, 109.2087, 109.2087)* CHOOSE(CONTROL!$C$21, $C$9, 100%, $E$9)</f>
        <v>109.20869999999999</v>
      </c>
      <c r="J943" s="14">
        <f>CHOOSE(CONTROL!$C$42, 108.8558, 108.8558)* CHOOSE(CONTROL!$C$21, $C$9, 100%, $E$9)</f>
        <v>108.8558</v>
      </c>
      <c r="K943" s="52">
        <f>CHOOSE(CONTROL!$C$42, 109.2048, 109.2048) * CHOOSE(CONTROL!$C$21, $C$9, 100%, $E$9)</f>
        <v>109.20480000000001</v>
      </c>
      <c r="L943" s="14">
        <f>CHOOSE(CONTROL!$C$42, 109.6772, 109.6772) * CHOOSE(CONTROL!$C$21, $C$9, 100%, $E$9)</f>
        <v>109.6772</v>
      </c>
      <c r="M943" s="14">
        <f>CHOOSE(CONTROL!$C$42, 106.6332, 106.6332) * CHOOSE(CONTROL!$C$21, $C$9, 100%, $E$9)</f>
        <v>106.6332</v>
      </c>
      <c r="N943" s="14">
        <f>CHOOSE(CONTROL!$C$42, 106.65, 106.65) * CHOOSE(CONTROL!$C$21, $C$9, 100%, $E$9)</f>
        <v>106.65</v>
      </c>
      <c r="O943" s="14">
        <f>CHOOSE(CONTROL!$C$42, 106.8627, 106.8627) * CHOOSE(CONTROL!$C$21, $C$9, 100%, $E$9)</f>
        <v>106.8627</v>
      </c>
      <c r="P943" s="14">
        <f>CHOOSE(CONTROL!$C$42, 106.972, 106.972) * CHOOSE(CONTROL!$C$21, $C$9, 100%, $E$9)</f>
        <v>106.97199999999999</v>
      </c>
      <c r="Q943" s="14">
        <f>CHOOSE(CONTROL!$C$42, 107.4574, 107.4574) * CHOOSE(CONTROL!$C$21, $C$9, 100%, $E$9)</f>
        <v>107.45740000000001</v>
      </c>
      <c r="R943" s="14">
        <f>CHOOSE(CONTROL!$C$42, 108.313, 108.313) * CHOOSE(CONTROL!$C$21, $C$9, 100%, $E$9)</f>
        <v>108.313</v>
      </c>
      <c r="S943" s="14">
        <f>CHOOSE(CONTROL!$C$42, 104.5701, 104.5701) * CHOOSE(CONTROL!$C$21, $C$9, 100%, $E$9)</f>
        <v>104.5701</v>
      </c>
      <c r="T94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56">
        <f>(1000*CHOOSE(CONTROL!$C$42, 695, 695)*CHOOSE(CONTROL!$C$42, 0.5599, 0.5599)*CHOOSE(CONTROL!$C$42, 31, 31))/1000000</f>
        <v>12.063045499999998</v>
      </c>
      <c r="V943" s="56">
        <f>(1000*CHOOSE(CONTROL!$C$42, 500, 500)*CHOOSE(CONTROL!$C$42, 0.275, 0.275)*CHOOSE(CONTROL!$C$42, 31, 31))/1000000</f>
        <v>4.2625000000000002</v>
      </c>
      <c r="W943" s="56">
        <f>(1000*CHOOSE(CONTROL!$C$42, 0.1146, 0.1146)*CHOOSE(CONTROL!$C$42, 121.5, 121.5)*CHOOSE(CONTROL!$C$42, 31, 31))/1000000</f>
        <v>0.43164089999999994</v>
      </c>
      <c r="X943" s="56">
        <f>(31*0.1790888*245000/1000000)+(31*0.2374*100000/1000000)</f>
        <v>2.0961194359999999</v>
      </c>
      <c r="Y943" s="56"/>
      <c r="Z943" s="14"/>
      <c r="AA943" s="55"/>
      <c r="AB943" s="49">
        <f>(B943*194.205+C943*267.466+D943*133.845+E943*53.484+F943*40+G943*185+H943*0+I943*100+J943*300)/(194.205+267.466+133.845+53.484+0+40+185+100+300)</f>
        <v>108.91469481491364</v>
      </c>
      <c r="AC943" s="44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106.78693309352518</v>
      </c>
    </row>
    <row r="944" spans="1:29" ht="15.75" x14ac:dyDescent="0.25">
      <c r="A944" s="31">
        <v>69641</v>
      </c>
      <c r="B944" s="14">
        <f>CHOOSE(CONTROL!$C$42, 103.4609, 103.4609) * CHOOSE(CONTROL!$C$21, $C$9, 100%, $E$9)</f>
        <v>103.4609</v>
      </c>
      <c r="C944" s="14">
        <f>CHOOSE(CONTROL!$C$42, 103.4689, 103.4689) * CHOOSE(CONTROL!$C$21, $C$9, 100%, $E$9)</f>
        <v>103.4689</v>
      </c>
      <c r="D944" s="14">
        <f>CHOOSE(CONTROL!$C$42, 103.6947, 103.6947) * CHOOSE(CONTROL!$C$21, $C$9, 100%, $E$9)</f>
        <v>103.6947</v>
      </c>
      <c r="E944" s="14">
        <f>CHOOSE(CONTROL!$C$42, 103.7261, 103.7261) * CHOOSE(CONTROL!$C$21, $C$9, 100%, $E$9)</f>
        <v>103.7261</v>
      </c>
      <c r="F944" s="14">
        <f>CHOOSE(CONTROL!$C$42, 103.4877, 103.4877)*CHOOSE(CONTROL!$C$21, $C$9, 100%, $E$9)</f>
        <v>103.4877</v>
      </c>
      <c r="G944" s="14">
        <f>CHOOSE(CONTROL!$C$42, 103.5049, 103.5049)*CHOOSE(CONTROL!$C$21, $C$9, 100%, $E$9)</f>
        <v>103.50490000000001</v>
      </c>
      <c r="H944" s="14">
        <f>CHOOSE(CONTROL!$C$42, 103.7148, 103.7148) * CHOOSE(CONTROL!$C$21, $C$9, 100%, $E$9)</f>
        <v>103.7148</v>
      </c>
      <c r="I944" s="14">
        <f>CHOOSE(CONTROL!$C$42, 103.8164, 103.8164)* CHOOSE(CONTROL!$C$21, $C$9, 100%, $E$9)</f>
        <v>103.8164</v>
      </c>
      <c r="J944" s="14">
        <f>CHOOSE(CONTROL!$C$42, 103.4807, 103.4807)* CHOOSE(CONTROL!$C$21, $C$9, 100%, $E$9)</f>
        <v>103.4807</v>
      </c>
      <c r="K944" s="52">
        <f>CHOOSE(CONTROL!$C$42, 103.8125, 103.8125) * CHOOSE(CONTROL!$C$21, $C$9, 100%, $E$9)</f>
        <v>103.8125</v>
      </c>
      <c r="L944" s="14">
        <f>CHOOSE(CONTROL!$C$42, 104.3018, 104.3018) * CHOOSE(CONTROL!$C$21, $C$9, 100%, $E$9)</f>
        <v>104.3018</v>
      </c>
      <c r="M944" s="14">
        <f>CHOOSE(CONTROL!$C$42, 101.3681, 101.3681) * CHOOSE(CONTROL!$C$21, $C$9, 100%, $E$9)</f>
        <v>101.3681</v>
      </c>
      <c r="N944" s="14">
        <f>CHOOSE(CONTROL!$C$42, 101.385, 101.385) * CHOOSE(CONTROL!$C$21, $C$9, 100%, $E$9)</f>
        <v>101.38500000000001</v>
      </c>
      <c r="O944" s="14">
        <f>CHOOSE(CONTROL!$C$42, 101.5974, 101.5974) * CHOOSE(CONTROL!$C$21, $C$9, 100%, $E$9)</f>
        <v>101.59739999999999</v>
      </c>
      <c r="P944" s="14">
        <f>CHOOSE(CONTROL!$C$42, 101.6905, 101.6905) * CHOOSE(CONTROL!$C$21, $C$9, 100%, $E$9)</f>
        <v>101.6905</v>
      </c>
      <c r="Q944" s="14">
        <f>CHOOSE(CONTROL!$C$42, 102.1921, 102.1921) * CHOOSE(CONTROL!$C$21, $C$9, 100%, $E$9)</f>
        <v>102.1921</v>
      </c>
      <c r="R944" s="14">
        <f>CHOOSE(CONTROL!$C$42, 103.0346, 103.0346) * CHOOSE(CONTROL!$C$21, $C$9, 100%, $E$9)</f>
        <v>103.0346</v>
      </c>
      <c r="S944" s="14">
        <f>CHOOSE(CONTROL!$C$42, 99.4049, 99.4049) * CHOOSE(CONTROL!$C$21, $C$9, 100%, $E$9)</f>
        <v>99.404899999999998</v>
      </c>
      <c r="T94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56">
        <f>(1000*CHOOSE(CONTROL!$C$42, 695, 695)*CHOOSE(CONTROL!$C$42, 0.5599, 0.5599)*CHOOSE(CONTROL!$C$42, 31, 31))/1000000</f>
        <v>12.063045499999998</v>
      </c>
      <c r="V944" s="56">
        <f>(1000*CHOOSE(CONTROL!$C$42, 500, 500)*CHOOSE(CONTROL!$C$42, 0.275, 0.275)*CHOOSE(CONTROL!$C$42, 31, 31))/1000000</f>
        <v>4.2625000000000002</v>
      </c>
      <c r="W944" s="56">
        <f>(1000*CHOOSE(CONTROL!$C$42, 0.1146, 0.1146)*CHOOSE(CONTROL!$C$42, 121.5, 121.5)*CHOOSE(CONTROL!$C$42, 31, 31))/1000000</f>
        <v>0.43164089999999994</v>
      </c>
      <c r="X944" s="56">
        <f>(31*0.1790888*245000/1000000)+(31*0.2374*100000/1000000)</f>
        <v>2.0961194359999999</v>
      </c>
      <c r="Y944" s="56"/>
      <c r="Z944" s="14"/>
      <c r="AA944" s="55"/>
      <c r="AB944" s="49">
        <f>(B944*194.205+C944*267.466+D944*133.845+E944*53.484+F944*40+G944*185+H944*0+I944*100+J944*300)/(194.205+267.466+133.845+53.484+0+40+185+100+300)</f>
        <v>103.53807319136578</v>
      </c>
      <c r="AC944" s="44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101.51938848920864</v>
      </c>
    </row>
    <row r="945" spans="1:29" ht="15.75" x14ac:dyDescent="0.25">
      <c r="A945" s="31">
        <v>69671</v>
      </c>
      <c r="B945" s="14">
        <f>CHOOSE(CONTROL!$C$42, 96.8929, 96.8929) * CHOOSE(CONTROL!$C$21, $C$9, 100%, $E$9)</f>
        <v>96.892899999999997</v>
      </c>
      <c r="C945" s="14">
        <f>CHOOSE(CONTROL!$C$42, 96.9009, 96.9009) * CHOOSE(CONTROL!$C$21, $C$9, 100%, $E$9)</f>
        <v>96.900899999999993</v>
      </c>
      <c r="D945" s="14">
        <f>CHOOSE(CONTROL!$C$42, 97.1267, 97.1267) * CHOOSE(CONTROL!$C$21, $C$9, 100%, $E$9)</f>
        <v>97.1267</v>
      </c>
      <c r="E945" s="14">
        <f>CHOOSE(CONTROL!$C$42, 97.1582, 97.1582) * CHOOSE(CONTROL!$C$21, $C$9, 100%, $E$9)</f>
        <v>97.158199999999994</v>
      </c>
      <c r="F945" s="14">
        <f>CHOOSE(CONTROL!$C$42, 96.9197, 96.9197)*CHOOSE(CONTROL!$C$21, $C$9, 100%, $E$9)</f>
        <v>96.919700000000006</v>
      </c>
      <c r="G945" s="14">
        <f>CHOOSE(CONTROL!$C$42, 96.937, 96.937)*CHOOSE(CONTROL!$C$21, $C$9, 100%, $E$9)</f>
        <v>96.936999999999998</v>
      </c>
      <c r="H945" s="14">
        <f>CHOOSE(CONTROL!$C$42, 97.1468, 97.1468) * CHOOSE(CONTROL!$C$21, $C$9, 100%, $E$9)</f>
        <v>97.146799999999999</v>
      </c>
      <c r="I945" s="14">
        <f>CHOOSE(CONTROL!$C$42, 97.2279, 97.2279)* CHOOSE(CONTROL!$C$21, $C$9, 100%, $E$9)</f>
        <v>97.227900000000005</v>
      </c>
      <c r="J945" s="14">
        <f>CHOOSE(CONTROL!$C$42, 96.9127, 96.9127)* CHOOSE(CONTROL!$C$21, $C$9, 100%, $E$9)</f>
        <v>96.912700000000001</v>
      </c>
      <c r="K945" s="52">
        <f>CHOOSE(CONTROL!$C$42, 97.224, 97.224) * CHOOSE(CONTROL!$C$21, $C$9, 100%, $E$9)</f>
        <v>97.224000000000004</v>
      </c>
      <c r="L945" s="14">
        <f>CHOOSE(CONTROL!$C$42, 97.7338, 97.7338) * CHOOSE(CONTROL!$C$21, $C$9, 100%, $E$9)</f>
        <v>97.733800000000002</v>
      </c>
      <c r="M945" s="14">
        <f>CHOOSE(CONTROL!$C$42, 94.9347, 94.9347) * CHOOSE(CONTROL!$C$21, $C$9, 100%, $E$9)</f>
        <v>94.934700000000007</v>
      </c>
      <c r="N945" s="14">
        <f>CHOOSE(CONTROL!$C$42, 94.9516, 94.9516) * CHOOSE(CONTROL!$C$21, $C$9, 100%, $E$9)</f>
        <v>94.951599999999999</v>
      </c>
      <c r="O945" s="14">
        <f>CHOOSE(CONTROL!$C$42, 95.164, 95.164) * CHOOSE(CONTROL!$C$21, $C$9, 100%, $E$9)</f>
        <v>95.164000000000001</v>
      </c>
      <c r="P945" s="14">
        <f>CHOOSE(CONTROL!$C$42, 95.2374, 95.2374) * CHOOSE(CONTROL!$C$21, $C$9, 100%, $E$9)</f>
        <v>95.237399999999994</v>
      </c>
      <c r="Q945" s="14">
        <f>CHOOSE(CONTROL!$C$42, 95.7587, 95.7587) * CHOOSE(CONTROL!$C$21, $C$9, 100%, $E$9)</f>
        <v>95.758700000000005</v>
      </c>
      <c r="R945" s="14">
        <f>CHOOSE(CONTROL!$C$42, 96.5851, 96.5851) * CHOOSE(CONTROL!$C$21, $C$9, 100%, $E$9)</f>
        <v>96.585099999999997</v>
      </c>
      <c r="S945" s="14">
        <f>CHOOSE(CONTROL!$C$42, 93.0937, 93.0937) * CHOOSE(CONTROL!$C$21, $C$9, 100%, $E$9)</f>
        <v>93.093699999999998</v>
      </c>
      <c r="T94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56">
        <f>(1000*CHOOSE(CONTROL!$C$42, 695, 695)*CHOOSE(CONTROL!$C$42, 0.5599, 0.5599)*CHOOSE(CONTROL!$C$42, 30, 30))/1000000</f>
        <v>11.673914999999997</v>
      </c>
      <c r="V945" s="56">
        <f>(1000*CHOOSE(CONTROL!$C$42, 500, 500)*CHOOSE(CONTROL!$C$42, 0.275, 0.275)*CHOOSE(CONTROL!$C$42, 30, 30))/1000000</f>
        <v>4.125</v>
      </c>
      <c r="W945" s="56">
        <f>(1000*CHOOSE(CONTROL!$C$42, 0.1146, 0.1146)*CHOOSE(CONTROL!$C$42, 121.5, 121.5)*CHOOSE(CONTROL!$C$42, 30, 30))/1000000</f>
        <v>0.417717</v>
      </c>
      <c r="X945" s="56">
        <f>(30*0.1790888*245000/1000000)+(30*0.2374*100000/1000000)</f>
        <v>2.0285026799999999</v>
      </c>
      <c r="Y945" s="56"/>
      <c r="Z945" s="14"/>
      <c r="AA945" s="55"/>
      <c r="AB945" s="49">
        <f>(B945*194.205+C945*267.466+D945*133.845+E945*53.484+F945*40+G945*185+H945*0+I945*100+J945*300)/(194.205+267.466+133.845+53.484+0+40+185+100+300)</f>
        <v>96.968482805494503</v>
      </c>
      <c r="AC945" s="44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95.083153956834536</v>
      </c>
    </row>
    <row r="946" spans="1:29" ht="15.75" x14ac:dyDescent="0.25">
      <c r="A946" s="31">
        <v>69702</v>
      </c>
      <c r="B946" s="14">
        <f>CHOOSE(CONTROL!$C$42, 94.924, 94.924) * CHOOSE(CONTROL!$C$21, $C$9, 100%, $E$9)</f>
        <v>94.924000000000007</v>
      </c>
      <c r="C946" s="14">
        <f>CHOOSE(CONTROL!$C$42, 94.9294, 94.9294) * CHOOSE(CONTROL!$C$21, $C$9, 100%, $E$9)</f>
        <v>94.929400000000001</v>
      </c>
      <c r="D946" s="14">
        <f>CHOOSE(CONTROL!$C$42, 95.1601, 95.1601) * CHOOSE(CONTROL!$C$21, $C$9, 100%, $E$9)</f>
        <v>95.1601</v>
      </c>
      <c r="E946" s="14">
        <f>CHOOSE(CONTROL!$C$42, 95.1892, 95.1892) * CHOOSE(CONTROL!$C$21, $C$9, 100%, $E$9)</f>
        <v>95.1892</v>
      </c>
      <c r="F946" s="14">
        <f>CHOOSE(CONTROL!$C$42, 94.9529, 94.9529)*CHOOSE(CONTROL!$C$21, $C$9, 100%, $E$9)</f>
        <v>94.9529</v>
      </c>
      <c r="G946" s="14">
        <f>CHOOSE(CONTROL!$C$42, 94.97, 94.97)*CHOOSE(CONTROL!$C$21, $C$9, 100%, $E$9)</f>
        <v>94.97</v>
      </c>
      <c r="H946" s="14">
        <f>CHOOSE(CONTROL!$C$42, 95.1797, 95.1797) * CHOOSE(CONTROL!$C$21, $C$9, 100%, $E$9)</f>
        <v>95.179699999999997</v>
      </c>
      <c r="I946" s="14">
        <f>CHOOSE(CONTROL!$C$42, 95.2546, 95.2546)* CHOOSE(CONTROL!$C$21, $C$9, 100%, $E$9)</f>
        <v>95.254599999999996</v>
      </c>
      <c r="J946" s="14">
        <f>CHOOSE(CONTROL!$C$42, 94.9459, 94.9459)* CHOOSE(CONTROL!$C$21, $C$9, 100%, $E$9)</f>
        <v>94.945899999999995</v>
      </c>
      <c r="K946" s="52">
        <f>CHOOSE(CONTROL!$C$42, 95.2507, 95.2507) * CHOOSE(CONTROL!$C$21, $C$9, 100%, $E$9)</f>
        <v>95.250699999999995</v>
      </c>
      <c r="L946" s="14">
        <f>CHOOSE(CONTROL!$C$42, 95.7667, 95.7667) * CHOOSE(CONTROL!$C$21, $C$9, 100%, $E$9)</f>
        <v>95.7667</v>
      </c>
      <c r="M946" s="14">
        <f>CHOOSE(CONTROL!$C$42, 93.0082, 93.0082) * CHOOSE(CONTROL!$C$21, $C$9, 100%, $E$9)</f>
        <v>93.008200000000002</v>
      </c>
      <c r="N946" s="14">
        <f>CHOOSE(CONTROL!$C$42, 93.025, 93.025) * CHOOSE(CONTROL!$C$21, $C$9, 100%, $E$9)</f>
        <v>93.025000000000006</v>
      </c>
      <c r="O946" s="14">
        <f>CHOOSE(CONTROL!$C$42, 93.2372, 93.2372) * CHOOSE(CONTROL!$C$21, $C$9, 100%, $E$9)</f>
        <v>93.237200000000001</v>
      </c>
      <c r="P946" s="14">
        <f>CHOOSE(CONTROL!$C$42, 93.3047, 93.3047) * CHOOSE(CONTROL!$C$21, $C$9, 100%, $E$9)</f>
        <v>93.304699999999997</v>
      </c>
      <c r="Q946" s="14">
        <f>CHOOSE(CONTROL!$C$42, 93.8319, 93.8319) * CHOOSE(CONTROL!$C$21, $C$9, 100%, $E$9)</f>
        <v>93.831900000000005</v>
      </c>
      <c r="R946" s="14">
        <f>CHOOSE(CONTROL!$C$42, 94.6535, 94.6535) * CHOOSE(CONTROL!$C$21, $C$9, 100%, $E$9)</f>
        <v>94.653499999999994</v>
      </c>
      <c r="S946" s="14">
        <f>CHOOSE(CONTROL!$C$42, 91.2036, 91.2036) * CHOOSE(CONTROL!$C$21, $C$9, 100%, $E$9)</f>
        <v>91.203599999999994</v>
      </c>
      <c r="T94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56">
        <f>(1000*CHOOSE(CONTROL!$C$42, 695, 695)*CHOOSE(CONTROL!$C$42, 0.5599, 0.5599)*CHOOSE(CONTROL!$C$42, 31, 31))/1000000</f>
        <v>12.063045499999998</v>
      </c>
      <c r="V946" s="56">
        <f>(1000*CHOOSE(CONTROL!$C$42, 500, 500)*CHOOSE(CONTROL!$C$42, 0.275, 0.275)*CHOOSE(CONTROL!$C$42, 31, 31))/1000000</f>
        <v>4.2625000000000002</v>
      </c>
      <c r="W946" s="56">
        <f>(1000*CHOOSE(CONTROL!$C$42, 0.1146, 0.1146)*CHOOSE(CONTROL!$C$42, 121.5, 121.5)*CHOOSE(CONTROL!$C$42, 31, 31))/1000000</f>
        <v>0.43164089999999994</v>
      </c>
      <c r="X946" s="56">
        <f>(31*0.1790888*245000/1000000)+(31*0.2374*100000/1000000)</f>
        <v>2.0961194359999999</v>
      </c>
      <c r="Y946" s="56"/>
      <c r="Z946" s="14"/>
      <c r="AA946" s="55"/>
      <c r="AB946" s="49">
        <f>(B946*131.881+C946*277.167+D946*79.08+E946*125.872+F946*40+G946*185+H946*0+I946*100+J946*300)/(131.881+277.167+79.08+125.872+0+40+185+100+300)</f>
        <v>95.00700625036319</v>
      </c>
      <c r="AC946" s="44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93.155620143884903</v>
      </c>
    </row>
    <row r="947" spans="1:29" ht="15.75" x14ac:dyDescent="0.25">
      <c r="A947" s="31">
        <v>69732</v>
      </c>
      <c r="B947" s="14">
        <f>CHOOSE(CONTROL!$C$42, 97.4241, 97.4241) * CHOOSE(CONTROL!$C$21, $C$9, 100%, $E$9)</f>
        <v>97.424099999999996</v>
      </c>
      <c r="C947" s="14">
        <f>CHOOSE(CONTROL!$C$42, 97.4292, 97.4292) * CHOOSE(CONTROL!$C$21, $C$9, 100%, $E$9)</f>
        <v>97.429199999999994</v>
      </c>
      <c r="D947" s="14">
        <f>CHOOSE(CONTROL!$C$42, 97.4982, 97.4982) * CHOOSE(CONTROL!$C$21, $C$9, 100%, $E$9)</f>
        <v>97.498199999999997</v>
      </c>
      <c r="E947" s="14">
        <f>CHOOSE(CONTROL!$C$42, 97.5323, 97.5323) * CHOOSE(CONTROL!$C$21, $C$9, 100%, $E$9)</f>
        <v>97.532300000000006</v>
      </c>
      <c r="F947" s="14">
        <f>CHOOSE(CONTROL!$C$42, 97.4597, 97.4597)*CHOOSE(CONTROL!$C$21, $C$9, 100%, $E$9)</f>
        <v>97.459699999999998</v>
      </c>
      <c r="G947" s="14">
        <f>CHOOSE(CONTROL!$C$42, 97.4771, 97.4771)*CHOOSE(CONTROL!$C$21, $C$9, 100%, $E$9)</f>
        <v>97.477099999999993</v>
      </c>
      <c r="H947" s="14">
        <f>CHOOSE(CONTROL!$C$42, 97.5215, 97.5215) * CHOOSE(CONTROL!$C$21, $C$9, 100%, $E$9)</f>
        <v>97.521500000000003</v>
      </c>
      <c r="I947" s="14">
        <f>CHOOSE(CONTROL!$C$42, 97.7656, 97.7656)* CHOOSE(CONTROL!$C$21, $C$9, 100%, $E$9)</f>
        <v>97.765600000000006</v>
      </c>
      <c r="J947" s="14">
        <f>CHOOSE(CONTROL!$C$42, 97.4527, 97.4527)* CHOOSE(CONTROL!$C$21, $C$9, 100%, $E$9)</f>
        <v>97.452699999999993</v>
      </c>
      <c r="K947" s="52">
        <f>CHOOSE(CONTROL!$C$42, 97.7617, 97.7617) * CHOOSE(CONTROL!$C$21, $C$9, 100%, $E$9)</f>
        <v>97.761700000000005</v>
      </c>
      <c r="L947" s="14">
        <f>CHOOSE(CONTROL!$C$42, 98.1085, 98.1085) * CHOOSE(CONTROL!$C$21, $C$9, 100%, $E$9)</f>
        <v>98.108500000000006</v>
      </c>
      <c r="M947" s="14">
        <f>CHOOSE(CONTROL!$C$42, 95.4636, 95.4636) * CHOOSE(CONTROL!$C$21, $C$9, 100%, $E$9)</f>
        <v>95.4636</v>
      </c>
      <c r="N947" s="14">
        <f>CHOOSE(CONTROL!$C$42, 95.4807, 95.4807) * CHOOSE(CONTROL!$C$21, $C$9, 100%, $E$9)</f>
        <v>95.480699999999999</v>
      </c>
      <c r="O947" s="14">
        <f>CHOOSE(CONTROL!$C$42, 95.531, 95.531) * CHOOSE(CONTROL!$C$21, $C$9, 100%, $E$9)</f>
        <v>95.531000000000006</v>
      </c>
      <c r="P947" s="14">
        <f>CHOOSE(CONTROL!$C$42, 95.764, 95.764) * CHOOSE(CONTROL!$C$21, $C$9, 100%, $E$9)</f>
        <v>95.763999999999996</v>
      </c>
      <c r="Q947" s="14">
        <f>CHOOSE(CONTROL!$C$42, 96.1257, 96.1257) * CHOOSE(CONTROL!$C$21, $C$9, 100%, $E$9)</f>
        <v>96.125699999999995</v>
      </c>
      <c r="R947" s="14">
        <f>CHOOSE(CONTROL!$C$42, 96.9531, 96.9531) * CHOOSE(CONTROL!$C$21, $C$9, 100%, $E$9)</f>
        <v>96.953100000000006</v>
      </c>
      <c r="S947" s="14">
        <f>CHOOSE(CONTROL!$C$42, 93.6063, 93.6063) * CHOOSE(CONTROL!$C$21, $C$9, 100%, $E$9)</f>
        <v>93.606300000000005</v>
      </c>
      <c r="T94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56">
        <f>(1000*CHOOSE(CONTROL!$C$42, 695, 695)*CHOOSE(CONTROL!$C$42, 0.5599, 0.5599)*CHOOSE(CONTROL!$C$42, 30, 30))/1000000</f>
        <v>11.673914999999997</v>
      </c>
      <c r="V947" s="56">
        <f>(1000*CHOOSE(CONTROL!$C$42, 500, 500)*CHOOSE(CONTROL!$C$42, 0.275, 0.275)*CHOOSE(CONTROL!$C$42, 30, 30))/1000000</f>
        <v>4.125</v>
      </c>
      <c r="W947" s="56">
        <f>(1000*CHOOSE(CONTROL!$C$42, 0.1146, 0.1146)*CHOOSE(CONTROL!$C$42, 121.5, 121.5)*CHOOSE(CONTROL!$C$42, 30, 30))/1000000</f>
        <v>0.417717</v>
      </c>
      <c r="X947" s="56">
        <f>(30*0.1790888*100000/1000000)+(30*0.2374*100000/1000000)</f>
        <v>1.2494664</v>
      </c>
      <c r="Y947" s="56"/>
      <c r="Z947" s="14"/>
      <c r="AA947" s="55"/>
      <c r="AB947" s="49">
        <f>(B947*122.58+C947*297.941+D947*89.177+E947*40.302+F947*40+G947*160+H947*0+I947*100+J947*300)/(122.58+297.941+89.177+40.302+0+40+160+100+300)</f>
        <v>97.480727992347809</v>
      </c>
      <c r="AC947" s="44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95.538355395683439</v>
      </c>
    </row>
    <row r="948" spans="1:29" ht="15.75" x14ac:dyDescent="0.25">
      <c r="A948" s="31">
        <v>69763</v>
      </c>
      <c r="B948" s="14">
        <f>CHOOSE(CONTROL!$C$42, 104.0658, 104.0658) * CHOOSE(CONTROL!$C$21, $C$9, 100%, $E$9)</f>
        <v>104.0658</v>
      </c>
      <c r="C948" s="14">
        <f>CHOOSE(CONTROL!$C$42, 104.0709, 104.0709) * CHOOSE(CONTROL!$C$21, $C$9, 100%, $E$9)</f>
        <v>104.07089999999999</v>
      </c>
      <c r="D948" s="14">
        <f>CHOOSE(CONTROL!$C$42, 104.1399, 104.1399) * CHOOSE(CONTROL!$C$21, $C$9, 100%, $E$9)</f>
        <v>104.1399</v>
      </c>
      <c r="E948" s="14">
        <f>CHOOSE(CONTROL!$C$42, 104.174, 104.174) * CHOOSE(CONTROL!$C$21, $C$9, 100%, $E$9)</f>
        <v>104.17400000000001</v>
      </c>
      <c r="F948" s="14">
        <f>CHOOSE(CONTROL!$C$42, 104.1036, 104.1036)*CHOOSE(CONTROL!$C$21, $C$9, 100%, $E$9)</f>
        <v>104.1036</v>
      </c>
      <c r="G948" s="14">
        <f>CHOOSE(CONTROL!$C$42, 104.1216, 104.1216)*CHOOSE(CONTROL!$C$21, $C$9, 100%, $E$9)</f>
        <v>104.1216</v>
      </c>
      <c r="H948" s="14">
        <f>CHOOSE(CONTROL!$C$42, 104.1632, 104.1632) * CHOOSE(CONTROL!$C$21, $C$9, 100%, $E$9)</f>
        <v>104.1632</v>
      </c>
      <c r="I948" s="14">
        <f>CHOOSE(CONTROL!$C$42, 104.428, 104.428)* CHOOSE(CONTROL!$C$21, $C$9, 100%, $E$9)</f>
        <v>104.428</v>
      </c>
      <c r="J948" s="14">
        <f>CHOOSE(CONTROL!$C$42, 104.0966, 104.0966)* CHOOSE(CONTROL!$C$21, $C$9, 100%, $E$9)</f>
        <v>104.0966</v>
      </c>
      <c r="K948" s="52">
        <f>CHOOSE(CONTROL!$C$42, 104.4242, 104.4242) * CHOOSE(CONTROL!$C$21, $C$9, 100%, $E$9)</f>
        <v>104.4242</v>
      </c>
      <c r="L948" s="14">
        <f>CHOOSE(CONTROL!$C$42, 104.7502, 104.7502) * CHOOSE(CONTROL!$C$21, $C$9, 100%, $E$9)</f>
        <v>104.75020000000001</v>
      </c>
      <c r="M948" s="14">
        <f>CHOOSE(CONTROL!$C$42, 101.9714, 101.9714) * CHOOSE(CONTROL!$C$21, $C$9, 100%, $E$9)</f>
        <v>101.9714</v>
      </c>
      <c r="N948" s="14">
        <f>CHOOSE(CONTROL!$C$42, 101.9891, 101.9891) * CHOOSE(CONTROL!$C$21, $C$9, 100%, $E$9)</f>
        <v>101.98909999999999</v>
      </c>
      <c r="O948" s="14">
        <f>CHOOSE(CONTROL!$C$42, 102.0366, 102.0366) * CHOOSE(CONTROL!$C$21, $C$9, 100%, $E$9)</f>
        <v>102.03660000000001</v>
      </c>
      <c r="P948" s="14">
        <f>CHOOSE(CONTROL!$C$42, 102.2896, 102.2896) * CHOOSE(CONTROL!$C$21, $C$9, 100%, $E$9)</f>
        <v>102.28959999999999</v>
      </c>
      <c r="Q948" s="14">
        <f>CHOOSE(CONTROL!$C$42, 102.6313, 102.6313) * CHOOSE(CONTROL!$C$21, $C$9, 100%, $E$9)</f>
        <v>102.6313</v>
      </c>
      <c r="R948" s="14">
        <f>CHOOSE(CONTROL!$C$42, 103.4749, 103.4749) * CHOOSE(CONTROL!$C$21, $C$9, 100%, $E$9)</f>
        <v>103.47490000000001</v>
      </c>
      <c r="S948" s="14">
        <f>CHOOSE(CONTROL!$C$42, 99.9883, 99.9883) * CHOOSE(CONTROL!$C$21, $C$9, 100%, $E$9)</f>
        <v>99.988299999999995</v>
      </c>
      <c r="T94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56">
        <f>(1000*CHOOSE(CONTROL!$C$42, 695, 695)*CHOOSE(CONTROL!$C$42, 0.5599, 0.5599)*CHOOSE(CONTROL!$C$42, 31, 31))/1000000</f>
        <v>12.063045499999998</v>
      </c>
      <c r="V948" s="56">
        <f>(1000*CHOOSE(CONTROL!$C$42, 500, 500)*CHOOSE(CONTROL!$C$42, 0.275, 0.275)*CHOOSE(CONTROL!$C$42, 31, 31))/1000000</f>
        <v>4.2625000000000002</v>
      </c>
      <c r="W948" s="56">
        <f>(1000*CHOOSE(CONTROL!$C$42, 0.1146, 0.1146)*CHOOSE(CONTROL!$C$42, 121.5, 121.5)*CHOOSE(CONTROL!$C$42, 31, 31))/1000000</f>
        <v>0.43164089999999994</v>
      </c>
      <c r="X948" s="56">
        <f>(31*0.1790888*100000/1000000)+(31*0.2374*100000/1000000)</f>
        <v>1.2911152800000001</v>
      </c>
      <c r="Y948" s="56"/>
      <c r="Z948" s="14"/>
      <c r="AA948" s="55"/>
      <c r="AB948" s="49">
        <f>(B948*122.58+C948*297.941+D948*89.177+E948*40.302+F948*40+G948*160+H948*0+I948*100+J948*300)/(122.58+297.941+89.177+40.302+0+40+160+100+300)</f>
        <v>104.12526799234782</v>
      </c>
      <c r="AC948" s="44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102.04775395683455</v>
      </c>
    </row>
    <row r="949" spans="1:29" ht="15.75" x14ac:dyDescent="0.25">
      <c r="A949" s="31">
        <v>69794</v>
      </c>
      <c r="B949" s="14">
        <f>CHOOSE(CONTROL!$C$42, 112.6921, 112.6921) * CHOOSE(CONTROL!$C$21, $C$9, 100%, $E$9)</f>
        <v>112.6921</v>
      </c>
      <c r="C949" s="14">
        <f>CHOOSE(CONTROL!$C$42, 112.6972, 112.6972) * CHOOSE(CONTROL!$C$21, $C$9, 100%, $E$9)</f>
        <v>112.6972</v>
      </c>
      <c r="D949" s="14">
        <f>CHOOSE(CONTROL!$C$42, 112.7766, 112.7766) * CHOOSE(CONTROL!$C$21, $C$9, 100%, $E$9)</f>
        <v>112.7766</v>
      </c>
      <c r="E949" s="14">
        <f>CHOOSE(CONTROL!$C$42, 112.8107, 112.8107) * CHOOSE(CONTROL!$C$21, $C$9, 100%, $E$9)</f>
        <v>112.8107</v>
      </c>
      <c r="F949" s="14">
        <f>CHOOSE(CONTROL!$C$42, 112.7152, 112.7152)*CHOOSE(CONTROL!$C$21, $C$9, 100%, $E$9)</f>
        <v>112.7152</v>
      </c>
      <c r="G949" s="14">
        <f>CHOOSE(CONTROL!$C$42, 112.7327, 112.7327)*CHOOSE(CONTROL!$C$21, $C$9, 100%, $E$9)</f>
        <v>112.73269999999999</v>
      </c>
      <c r="H949" s="14">
        <f>CHOOSE(CONTROL!$C$42, 112.7999, 112.7999) * CHOOSE(CONTROL!$C$21, $C$9, 100%, $E$9)</f>
        <v>112.79989999999999</v>
      </c>
      <c r="I949" s="14">
        <f>CHOOSE(CONTROL!$C$42, 113.0804, 113.0804)* CHOOSE(CONTROL!$C$21, $C$9, 100%, $E$9)</f>
        <v>113.0804</v>
      </c>
      <c r="J949" s="14">
        <f>CHOOSE(CONTROL!$C$42, 112.7082, 112.7082)* CHOOSE(CONTROL!$C$21, $C$9, 100%, $E$9)</f>
        <v>112.70820000000001</v>
      </c>
      <c r="K949" s="52">
        <f>CHOOSE(CONTROL!$C$42, 113.0765, 113.0765) * CHOOSE(CONTROL!$C$21, $C$9, 100%, $E$9)</f>
        <v>113.0765</v>
      </c>
      <c r="L949" s="14">
        <f>CHOOSE(CONTROL!$C$42, 113.3869, 113.3869) * CHOOSE(CONTROL!$C$21, $C$9, 100%, $E$9)</f>
        <v>113.3869</v>
      </c>
      <c r="M949" s="14">
        <f>CHOOSE(CONTROL!$C$42, 110.4065, 110.4065) * CHOOSE(CONTROL!$C$21, $C$9, 100%, $E$9)</f>
        <v>110.40649999999999</v>
      </c>
      <c r="N949" s="14">
        <f>CHOOSE(CONTROL!$C$42, 110.4237, 110.4237) * CHOOSE(CONTROL!$C$21, $C$9, 100%, $E$9)</f>
        <v>110.4237</v>
      </c>
      <c r="O949" s="14">
        <f>CHOOSE(CONTROL!$C$42, 110.4964, 110.4964) * CHOOSE(CONTROL!$C$21, $C$9, 100%, $E$9)</f>
        <v>110.49639999999999</v>
      </c>
      <c r="P949" s="14">
        <f>CHOOSE(CONTROL!$C$42, 110.7641, 110.7641) * CHOOSE(CONTROL!$C$21, $C$9, 100%, $E$9)</f>
        <v>110.7641</v>
      </c>
      <c r="Q949" s="14">
        <f>CHOOSE(CONTROL!$C$42, 111.0911, 111.0911) * CHOOSE(CONTROL!$C$21, $C$9, 100%, $E$9)</f>
        <v>111.0911</v>
      </c>
      <c r="R949" s="14">
        <f>CHOOSE(CONTROL!$C$42, 111.9559, 111.9559) * CHOOSE(CONTROL!$C$21, $C$9, 100%, $E$9)</f>
        <v>111.9559</v>
      </c>
      <c r="S949" s="14">
        <f>CHOOSE(CONTROL!$C$42, 108.2773, 108.2773) * CHOOSE(CONTROL!$C$21, $C$9, 100%, $E$9)</f>
        <v>108.2773</v>
      </c>
      <c r="T94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56">
        <f>(1000*CHOOSE(CONTROL!$C$42, 695, 695)*CHOOSE(CONTROL!$C$42, 0.5599, 0.5599)*CHOOSE(CONTROL!$C$42, 31, 31))/1000000</f>
        <v>12.063045499999998</v>
      </c>
      <c r="V949" s="56">
        <f>(1000*CHOOSE(CONTROL!$C$42, 500, 500)*CHOOSE(CONTROL!$C$42, 0.275, 0.275)*CHOOSE(CONTROL!$C$42, 31, 31))/1000000</f>
        <v>4.2625000000000002</v>
      </c>
      <c r="W949" s="56">
        <f>(1000*CHOOSE(CONTROL!$C$42, 0.1146, 0.1146)*CHOOSE(CONTROL!$C$42, 121.5, 121.5)*CHOOSE(CONTROL!$C$42, 31, 31))/1000000</f>
        <v>0.43164089999999994</v>
      </c>
      <c r="X949" s="56">
        <f>(31*0.1790888*100000/1000000)+(31*0.2374*100000/1000000)</f>
        <v>1.2911152800000001</v>
      </c>
      <c r="Y949" s="56"/>
      <c r="Z949" s="14"/>
      <c r="AA949" s="55"/>
      <c r="AB949" s="49">
        <f>(B949*122.58+C949*297.941+D949*89.177+E949*40.302+F949*40+G949*160+H949*0+I949*100+J949*300)/(122.58+297.941+89.177+40.302+0+40+160+100+300)</f>
        <v>112.74854762852172</v>
      </c>
      <c r="AC949" s="44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110.49968920863309</v>
      </c>
    </row>
    <row r="950" spans="1:29" ht="15.75" x14ac:dyDescent="0.25">
      <c r="A950" s="31">
        <v>69822</v>
      </c>
      <c r="B950" s="14">
        <f>CHOOSE(CONTROL!$C$42, 114.698, 114.698) * CHOOSE(CONTROL!$C$21, $C$9, 100%, $E$9)</f>
        <v>114.69799999999999</v>
      </c>
      <c r="C950" s="14">
        <f>CHOOSE(CONTROL!$C$42, 114.7031, 114.7031) * CHOOSE(CONTROL!$C$21, $C$9, 100%, $E$9)</f>
        <v>114.70310000000001</v>
      </c>
      <c r="D950" s="14">
        <f>CHOOSE(CONTROL!$C$42, 114.7825, 114.7825) * CHOOSE(CONTROL!$C$21, $C$9, 100%, $E$9)</f>
        <v>114.7825</v>
      </c>
      <c r="E950" s="14">
        <f>CHOOSE(CONTROL!$C$42, 114.8166, 114.8166) * CHOOSE(CONTROL!$C$21, $C$9, 100%, $E$9)</f>
        <v>114.81659999999999</v>
      </c>
      <c r="F950" s="14">
        <f>CHOOSE(CONTROL!$C$42, 114.7208, 114.7208)*CHOOSE(CONTROL!$C$21, $C$9, 100%, $E$9)</f>
        <v>114.7208</v>
      </c>
      <c r="G950" s="14">
        <f>CHOOSE(CONTROL!$C$42, 114.7383, 114.7383)*CHOOSE(CONTROL!$C$21, $C$9, 100%, $E$9)</f>
        <v>114.7383</v>
      </c>
      <c r="H950" s="14">
        <f>CHOOSE(CONTROL!$C$42, 114.8058, 114.8058) * CHOOSE(CONTROL!$C$21, $C$9, 100%, $E$9)</f>
        <v>114.8058</v>
      </c>
      <c r="I950" s="14">
        <f>CHOOSE(CONTROL!$C$42, 115.0926, 115.0926)* CHOOSE(CONTROL!$C$21, $C$9, 100%, $E$9)</f>
        <v>115.0926</v>
      </c>
      <c r="J950" s="14">
        <f>CHOOSE(CONTROL!$C$42, 114.7138, 114.7138)* CHOOSE(CONTROL!$C$21, $C$9, 100%, $E$9)</f>
        <v>114.71380000000001</v>
      </c>
      <c r="K950" s="52">
        <f>CHOOSE(CONTROL!$C$42, 115.0887, 115.0887) * CHOOSE(CONTROL!$C$21, $C$9, 100%, $E$9)</f>
        <v>115.0887</v>
      </c>
      <c r="L950" s="14">
        <f>CHOOSE(CONTROL!$C$42, 115.3928, 115.3928) * CHOOSE(CONTROL!$C$21, $C$9, 100%, $E$9)</f>
        <v>115.39279999999999</v>
      </c>
      <c r="M950" s="14">
        <f>CHOOSE(CONTROL!$C$42, 112.3711, 112.3711) * CHOOSE(CONTROL!$C$21, $C$9, 100%, $E$9)</f>
        <v>112.3711</v>
      </c>
      <c r="N950" s="14">
        <f>CHOOSE(CONTROL!$C$42, 112.3882, 112.3882) * CHOOSE(CONTROL!$C$21, $C$9, 100%, $E$9)</f>
        <v>112.3882</v>
      </c>
      <c r="O950" s="14">
        <f>CHOOSE(CONTROL!$C$42, 112.4612, 112.4612) * CHOOSE(CONTROL!$C$21, $C$9, 100%, $E$9)</f>
        <v>112.46120000000001</v>
      </c>
      <c r="P950" s="14">
        <f>CHOOSE(CONTROL!$C$42, 112.7349, 112.7349) * CHOOSE(CONTROL!$C$21, $C$9, 100%, $E$9)</f>
        <v>112.7349</v>
      </c>
      <c r="Q950" s="14">
        <f>CHOOSE(CONTROL!$C$42, 113.0559, 113.0559) * CHOOSE(CONTROL!$C$21, $C$9, 100%, $E$9)</f>
        <v>113.05589999999999</v>
      </c>
      <c r="R950" s="14">
        <f>CHOOSE(CONTROL!$C$42, 113.9256, 113.9256) * CHOOSE(CONTROL!$C$21, $C$9, 100%, $E$9)</f>
        <v>113.9256</v>
      </c>
      <c r="S950" s="14">
        <f>CHOOSE(CONTROL!$C$42, 110.2048, 110.2048) * CHOOSE(CONTROL!$C$21, $C$9, 100%, $E$9)</f>
        <v>110.20480000000001</v>
      </c>
      <c r="T950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50" s="56">
        <f>(1000*CHOOSE(CONTROL!$C$42, 695, 695)*CHOOSE(CONTROL!$C$42, 0.5599, 0.5599)*CHOOSE(CONTROL!$C$42, 28, 28))/1000000</f>
        <v>10.895653999999999</v>
      </c>
      <c r="V950" s="56">
        <f>(1000*CHOOSE(CONTROL!$C$42, 500, 500)*CHOOSE(CONTROL!$C$42, 0.275, 0.275)*CHOOSE(CONTROL!$C$42, 28, 28))/1000000</f>
        <v>3.85</v>
      </c>
      <c r="W950" s="56">
        <f>(1000*CHOOSE(CONTROL!$C$42, 0.1146, 0.1146)*CHOOSE(CONTROL!$C$42, 121.5, 121.5)*CHOOSE(CONTROL!$C$42, 28, 28))/1000000</f>
        <v>0.38986920000000003</v>
      </c>
      <c r="X950" s="56">
        <f>(28*0.1790888*100000/1000000)+(28*0.2374*100000/1000000)</f>
        <v>1.16616864</v>
      </c>
      <c r="Y950" s="56"/>
      <c r="Z950" s="14"/>
      <c r="AA950" s="55"/>
      <c r="AB950" s="49">
        <f>(B950*122.58+C950*297.941+D950*89.177+E950*40.302+F950*40+G950*160+H950*0+I950*100+J950*300)/(122.58+297.941+89.177+40.302+0+40+160+100+300)</f>
        <v>114.75486501982607</v>
      </c>
      <c r="AC950" s="44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112.46526618705036</v>
      </c>
    </row>
    <row r="951" spans="1:29" ht="15.75" x14ac:dyDescent="0.25">
      <c r="A951" s="31">
        <v>69853</v>
      </c>
      <c r="B951" s="14">
        <f>CHOOSE(CONTROL!$C$42, 111.442, 111.442) * CHOOSE(CONTROL!$C$21, $C$9, 100%, $E$9)</f>
        <v>111.44199999999999</v>
      </c>
      <c r="C951" s="14">
        <f>CHOOSE(CONTROL!$C$42, 111.447, 111.447) * CHOOSE(CONTROL!$C$21, $C$9, 100%, $E$9)</f>
        <v>111.447</v>
      </c>
      <c r="D951" s="14">
        <f>CHOOSE(CONTROL!$C$42, 111.5264, 111.5264) * CHOOSE(CONTROL!$C$21, $C$9, 100%, $E$9)</f>
        <v>111.5264</v>
      </c>
      <c r="E951" s="14">
        <f>CHOOSE(CONTROL!$C$42, 111.5606, 111.5606) * CHOOSE(CONTROL!$C$21, $C$9, 100%, $E$9)</f>
        <v>111.56059999999999</v>
      </c>
      <c r="F951" s="14">
        <f>CHOOSE(CONTROL!$C$42, 111.464, 111.464)*CHOOSE(CONTROL!$C$21, $C$9, 100%, $E$9)</f>
        <v>111.464</v>
      </c>
      <c r="G951" s="14">
        <f>CHOOSE(CONTROL!$C$42, 111.4813, 111.4813)*CHOOSE(CONTROL!$C$21, $C$9, 100%, $E$9)</f>
        <v>111.4813</v>
      </c>
      <c r="H951" s="14">
        <f>CHOOSE(CONTROL!$C$42, 111.5498, 111.5498) * CHOOSE(CONTROL!$C$21, $C$9, 100%, $E$9)</f>
        <v>111.5498</v>
      </c>
      <c r="I951" s="14">
        <f>CHOOSE(CONTROL!$C$42, 111.8263, 111.8263)* CHOOSE(CONTROL!$C$21, $C$9, 100%, $E$9)</f>
        <v>111.8263</v>
      </c>
      <c r="J951" s="14">
        <f>CHOOSE(CONTROL!$C$42, 111.457, 111.457)* CHOOSE(CONTROL!$C$21, $C$9, 100%, $E$9)</f>
        <v>111.45699999999999</v>
      </c>
      <c r="K951" s="52">
        <f>CHOOSE(CONTROL!$C$42, 111.8224, 111.8224) * CHOOSE(CONTROL!$C$21, $C$9, 100%, $E$9)</f>
        <v>111.8224</v>
      </c>
      <c r="L951" s="14">
        <f>CHOOSE(CONTROL!$C$42, 112.1368, 112.1368) * CHOOSE(CONTROL!$C$21, $C$9, 100%, $E$9)</f>
        <v>112.13679999999999</v>
      </c>
      <c r="M951" s="14">
        <f>CHOOSE(CONTROL!$C$42, 109.181, 109.181) * CHOOSE(CONTROL!$C$21, $C$9, 100%, $E$9)</f>
        <v>109.181</v>
      </c>
      <c r="N951" s="14">
        <f>CHOOSE(CONTROL!$C$42, 109.1979, 109.1979) * CHOOSE(CONTROL!$C$21, $C$9, 100%, $E$9)</f>
        <v>109.1979</v>
      </c>
      <c r="O951" s="14">
        <f>CHOOSE(CONTROL!$C$42, 109.2719, 109.2719) * CHOOSE(CONTROL!$C$21, $C$9, 100%, $E$9)</f>
        <v>109.2719</v>
      </c>
      <c r="P951" s="14">
        <f>CHOOSE(CONTROL!$C$42, 109.5358, 109.5358) * CHOOSE(CONTROL!$C$21, $C$9, 100%, $E$9)</f>
        <v>109.53579999999999</v>
      </c>
      <c r="Q951" s="14">
        <f>CHOOSE(CONTROL!$C$42, 109.8666, 109.8666) * CHOOSE(CONTROL!$C$21, $C$9, 100%, $E$9)</f>
        <v>109.86660000000001</v>
      </c>
      <c r="R951" s="14">
        <f>CHOOSE(CONTROL!$C$42, 110.7282, 110.7282) * CHOOSE(CONTROL!$C$21, $C$9, 100%, $E$9)</f>
        <v>110.7282</v>
      </c>
      <c r="S951" s="14">
        <f>CHOOSE(CONTROL!$C$42, 107.076, 107.076) * CHOOSE(CONTROL!$C$21, $C$9, 100%, $E$9)</f>
        <v>107.07599999999999</v>
      </c>
      <c r="T95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56">
        <f>(1000*CHOOSE(CONTROL!$C$42, 695, 695)*CHOOSE(CONTROL!$C$42, 0.5599, 0.5599)*CHOOSE(CONTROL!$C$42, 31, 31))/1000000</f>
        <v>12.063045499999998</v>
      </c>
      <c r="V951" s="56">
        <f>(1000*CHOOSE(CONTROL!$C$42, 500, 500)*CHOOSE(CONTROL!$C$42, 0.275, 0.275)*CHOOSE(CONTROL!$C$42, 31, 31))/1000000</f>
        <v>4.2625000000000002</v>
      </c>
      <c r="W951" s="56">
        <f>(1000*CHOOSE(CONTROL!$C$42, 0.1146, 0.1146)*CHOOSE(CONTROL!$C$42, 121.5, 121.5)*CHOOSE(CONTROL!$C$42, 31, 31))/1000000</f>
        <v>0.43164089999999994</v>
      </c>
      <c r="X951" s="56">
        <f>(31*0.1790888*100000/1000000)+(31*0.2374*100000/1000000)</f>
        <v>1.2911152800000001</v>
      </c>
      <c r="Y951" s="56"/>
      <c r="Z951" s="14"/>
      <c r="AA951" s="55"/>
      <c r="AB951" s="49">
        <f>(B951*122.58+C951*297.941+D951*89.177+E951*40.302+F951*40+G951*160+H951*0+I951*100+J951*300)/(122.58+297.941+89.177+40.302+0+40+160+100+300)</f>
        <v>111.49756005304347</v>
      </c>
      <c r="AC951" s="44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109.27422230215826</v>
      </c>
    </row>
    <row r="952" spans="1:29" ht="15.75" x14ac:dyDescent="0.25">
      <c r="A952" s="31">
        <v>69883</v>
      </c>
      <c r="B952" s="14">
        <f>CHOOSE(CONTROL!$C$42, 111.1093, 111.1093) * CHOOSE(CONTROL!$C$21, $C$9, 100%, $E$9)</f>
        <v>111.1093</v>
      </c>
      <c r="C952" s="14">
        <f>CHOOSE(CONTROL!$C$42, 111.1138, 111.1138) * CHOOSE(CONTROL!$C$21, $C$9, 100%, $E$9)</f>
        <v>111.1138</v>
      </c>
      <c r="D952" s="14">
        <f>CHOOSE(CONTROL!$C$42, 111.3427, 111.3427) * CHOOSE(CONTROL!$C$21, $C$9, 100%, $E$9)</f>
        <v>111.34269999999999</v>
      </c>
      <c r="E952" s="14">
        <f>CHOOSE(CONTROL!$C$42, 111.3748, 111.3748) * CHOOSE(CONTROL!$C$21, $C$9, 100%, $E$9)</f>
        <v>111.37479999999999</v>
      </c>
      <c r="F952" s="14">
        <f>CHOOSE(CONTROL!$C$42, 111.1363, 111.1363)*CHOOSE(CONTROL!$C$21, $C$9, 100%, $E$9)</f>
        <v>111.13630000000001</v>
      </c>
      <c r="G952" s="14">
        <f>CHOOSE(CONTROL!$C$42, 111.153, 111.153)*CHOOSE(CONTROL!$C$21, $C$9, 100%, $E$9)</f>
        <v>111.15300000000001</v>
      </c>
      <c r="H952" s="14">
        <f>CHOOSE(CONTROL!$C$42, 111.3646, 111.3646) * CHOOSE(CONTROL!$C$21, $C$9, 100%, $E$9)</f>
        <v>111.3646</v>
      </c>
      <c r="I952" s="14">
        <f>CHOOSE(CONTROL!$C$42, 111.4902, 111.4902)* CHOOSE(CONTROL!$C$21, $C$9, 100%, $E$9)</f>
        <v>111.4902</v>
      </c>
      <c r="J952" s="14">
        <f>CHOOSE(CONTROL!$C$42, 111.1293, 111.1293)* CHOOSE(CONTROL!$C$21, $C$9, 100%, $E$9)</f>
        <v>111.1293</v>
      </c>
      <c r="K952" s="52">
        <f>CHOOSE(CONTROL!$C$42, 111.4863, 111.4863) * CHOOSE(CONTROL!$C$21, $C$9, 100%, $E$9)</f>
        <v>111.4863</v>
      </c>
      <c r="L952" s="14">
        <f>CHOOSE(CONTROL!$C$42, 111.9516, 111.9516) * CHOOSE(CONTROL!$C$21, $C$9, 100%, $E$9)</f>
        <v>111.9516</v>
      </c>
      <c r="M952" s="14">
        <f>CHOOSE(CONTROL!$C$42, 108.86, 108.86) * CHOOSE(CONTROL!$C$21, $C$9, 100%, $E$9)</f>
        <v>108.86</v>
      </c>
      <c r="N952" s="14">
        <f>CHOOSE(CONTROL!$C$42, 108.8764, 108.8764) * CHOOSE(CONTROL!$C$21, $C$9, 100%, $E$9)</f>
        <v>108.8764</v>
      </c>
      <c r="O952" s="14">
        <f>CHOOSE(CONTROL!$C$42, 109.0905, 109.0905) * CHOOSE(CONTROL!$C$21, $C$9, 100%, $E$9)</f>
        <v>109.09050000000001</v>
      </c>
      <c r="P952" s="14">
        <f>CHOOSE(CONTROL!$C$42, 109.2066, 109.2066) * CHOOSE(CONTROL!$C$21, $C$9, 100%, $E$9)</f>
        <v>109.20659999999999</v>
      </c>
      <c r="Q952" s="14">
        <f>CHOOSE(CONTROL!$C$42, 109.6852, 109.6852) * CHOOSE(CONTROL!$C$21, $C$9, 100%, $E$9)</f>
        <v>109.68519999999999</v>
      </c>
      <c r="R952" s="14">
        <f>CHOOSE(CONTROL!$C$42, 110.5464, 110.5464) * CHOOSE(CONTROL!$C$21, $C$9, 100%, $E$9)</f>
        <v>110.54640000000001</v>
      </c>
      <c r="S952" s="14">
        <f>CHOOSE(CONTROL!$C$42, 106.7557, 106.7557) * CHOOSE(CONTROL!$C$21, $C$9, 100%, $E$9)</f>
        <v>106.7557</v>
      </c>
      <c r="T95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56">
        <f>(1000*CHOOSE(CONTROL!$C$42, 695, 695)*CHOOSE(CONTROL!$C$42, 0.5599, 0.5599)*CHOOSE(CONTROL!$C$42, 30, 30))/1000000</f>
        <v>11.673914999999997</v>
      </c>
      <c r="V952" s="56">
        <f>(1000*CHOOSE(CONTROL!$C$42, 500, 500)*CHOOSE(CONTROL!$C$42, 0.275, 0.275)*CHOOSE(CONTROL!$C$42, 30, 30))/1000000</f>
        <v>4.125</v>
      </c>
      <c r="W952" s="56">
        <f>(1000*CHOOSE(CONTROL!$C$42, 0.1146, 0.1146)*CHOOSE(CONTROL!$C$42, 121.5, 121.5)*CHOOSE(CONTROL!$C$42, 30, 30))/1000000</f>
        <v>0.417717</v>
      </c>
      <c r="X952" s="56">
        <f>(30*0.1790888*245000/1000000)+(30*0.2374*100000/1000000)</f>
        <v>2.0285026799999999</v>
      </c>
      <c r="Y952" s="56"/>
      <c r="Z952" s="14"/>
      <c r="AA952" s="55"/>
      <c r="AB952" s="49">
        <f>(B952*141.293+C952*267.993+D952*115.016+E952*89.698+F952*40+G952*185+H952*0+I952*100+J952*300)/(141.293+267.993+115.016+89.698+0+40+185+100+300)</f>
        <v>111.19414263268766</v>
      </c>
      <c r="AC952" s="44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109.01528561151079</v>
      </c>
    </row>
    <row r="953" spans="1:29" ht="15.75" x14ac:dyDescent="0.25">
      <c r="A953" s="31">
        <v>69914</v>
      </c>
      <c r="B953" s="14">
        <f>CHOOSE(CONTROL!$C$42, 112.0913, 112.0913) * CHOOSE(CONTROL!$C$21, $C$9, 100%, $E$9)</f>
        <v>112.0913</v>
      </c>
      <c r="C953" s="14">
        <f>CHOOSE(CONTROL!$C$42, 112.0993, 112.0993) * CHOOSE(CONTROL!$C$21, $C$9, 100%, $E$9)</f>
        <v>112.0993</v>
      </c>
      <c r="D953" s="14">
        <f>CHOOSE(CONTROL!$C$42, 112.3251, 112.3251) * CHOOSE(CONTROL!$C$21, $C$9, 100%, $E$9)</f>
        <v>112.32510000000001</v>
      </c>
      <c r="E953" s="14">
        <f>CHOOSE(CONTROL!$C$42, 112.3566, 112.3566) * CHOOSE(CONTROL!$C$21, $C$9, 100%, $E$9)</f>
        <v>112.3566</v>
      </c>
      <c r="F953" s="14">
        <f>CHOOSE(CONTROL!$C$42, 112.1169, 112.1169)*CHOOSE(CONTROL!$C$21, $C$9, 100%, $E$9)</f>
        <v>112.1169</v>
      </c>
      <c r="G953" s="14">
        <f>CHOOSE(CONTROL!$C$42, 112.1339, 112.1339)*CHOOSE(CONTROL!$C$21, $C$9, 100%, $E$9)</f>
        <v>112.1339</v>
      </c>
      <c r="H953" s="14">
        <f>CHOOSE(CONTROL!$C$42, 112.3452, 112.3452) * CHOOSE(CONTROL!$C$21, $C$9, 100%, $E$9)</f>
        <v>112.34520000000001</v>
      </c>
      <c r="I953" s="14">
        <f>CHOOSE(CONTROL!$C$42, 112.4739, 112.4739)* CHOOSE(CONTROL!$C$21, $C$9, 100%, $E$9)</f>
        <v>112.4739</v>
      </c>
      <c r="J953" s="14">
        <f>CHOOSE(CONTROL!$C$42, 112.1099, 112.1099)* CHOOSE(CONTROL!$C$21, $C$9, 100%, $E$9)</f>
        <v>112.1099</v>
      </c>
      <c r="K953" s="52">
        <f>CHOOSE(CONTROL!$C$42, 112.47, 112.47) * CHOOSE(CONTROL!$C$21, $C$9, 100%, $E$9)</f>
        <v>112.47</v>
      </c>
      <c r="L953" s="14">
        <f>CHOOSE(CONTROL!$C$42, 112.9322, 112.9322) * CHOOSE(CONTROL!$C$21, $C$9, 100%, $E$9)</f>
        <v>112.93219999999999</v>
      </c>
      <c r="M953" s="14">
        <f>CHOOSE(CONTROL!$C$42, 109.8206, 109.8206) * CHOOSE(CONTROL!$C$21, $C$9, 100%, $E$9)</f>
        <v>109.8206</v>
      </c>
      <c r="N953" s="14">
        <f>CHOOSE(CONTROL!$C$42, 109.8372, 109.8372) * CHOOSE(CONTROL!$C$21, $C$9, 100%, $E$9)</f>
        <v>109.8372</v>
      </c>
      <c r="O953" s="14">
        <f>CHOOSE(CONTROL!$C$42, 110.051, 110.051) * CHOOSE(CONTROL!$C$21, $C$9, 100%, $E$9)</f>
        <v>110.051</v>
      </c>
      <c r="P953" s="14">
        <f>CHOOSE(CONTROL!$C$42, 110.1701, 110.1701) * CHOOSE(CONTROL!$C$21, $C$9, 100%, $E$9)</f>
        <v>110.17010000000001</v>
      </c>
      <c r="Q953" s="14">
        <f>CHOOSE(CONTROL!$C$42, 110.6457, 110.6457) * CHOOSE(CONTROL!$C$21, $C$9, 100%, $E$9)</f>
        <v>110.64570000000001</v>
      </c>
      <c r="R953" s="14">
        <f>CHOOSE(CONTROL!$C$42, 111.5093, 111.5093) * CHOOSE(CONTROL!$C$21, $C$9, 100%, $E$9)</f>
        <v>111.5093</v>
      </c>
      <c r="S953" s="14">
        <f>CHOOSE(CONTROL!$C$42, 107.6979, 107.6979) * CHOOSE(CONTROL!$C$21, $C$9, 100%, $E$9)</f>
        <v>107.6979</v>
      </c>
      <c r="T95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56">
        <f>(1000*CHOOSE(CONTROL!$C$42, 695, 695)*CHOOSE(CONTROL!$C$42, 0.5599, 0.5599)*CHOOSE(CONTROL!$C$42, 31, 31))/1000000</f>
        <v>12.063045499999998</v>
      </c>
      <c r="V953" s="56">
        <f>(1000*CHOOSE(CONTROL!$C$42, 500, 500)*CHOOSE(CONTROL!$C$42, 0.275, 0.275)*CHOOSE(CONTROL!$C$42, 31, 31))/1000000</f>
        <v>4.2625000000000002</v>
      </c>
      <c r="W953" s="56">
        <f>(1000*CHOOSE(CONTROL!$C$42, 0.1146, 0.1146)*CHOOSE(CONTROL!$C$42, 121.5, 121.5)*CHOOSE(CONTROL!$C$42, 31, 31))/1000000</f>
        <v>0.43164089999999994</v>
      </c>
      <c r="X953" s="56">
        <f>(31*0.1790888*245000/1000000)+(31*0.2374*100000/1000000)</f>
        <v>2.0961194359999999</v>
      </c>
      <c r="Y953" s="56"/>
      <c r="Z953" s="14"/>
      <c r="AA953" s="55"/>
      <c r="AB953" s="49">
        <f>(B953*194.205+C953*267.466+D953*133.845+E953*53.484+F953*40+G953*185+H953*0+I953*100+J953*300)/(194.205+267.466+133.845+53.484+0+40+185+100+300)</f>
        <v>112.17008100015703</v>
      </c>
      <c r="AC953" s="44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109.97626906474819</v>
      </c>
    </row>
    <row r="954" spans="1:29" ht="15.75" x14ac:dyDescent="0.25">
      <c r="A954" s="31">
        <v>69944</v>
      </c>
      <c r="B954" s="14">
        <f>CHOOSE(CONTROL!$C$42, 115.2706, 115.2706) * CHOOSE(CONTROL!$C$21, $C$9, 100%, $E$9)</f>
        <v>115.2706</v>
      </c>
      <c r="C954" s="14">
        <f>CHOOSE(CONTROL!$C$42, 115.2786, 115.2786) * CHOOSE(CONTROL!$C$21, $C$9, 100%, $E$9)</f>
        <v>115.2786</v>
      </c>
      <c r="D954" s="14">
        <f>CHOOSE(CONTROL!$C$42, 115.5044, 115.5044) * CHOOSE(CONTROL!$C$21, $C$9, 100%, $E$9)</f>
        <v>115.5044</v>
      </c>
      <c r="E954" s="14">
        <f>CHOOSE(CONTROL!$C$42, 115.5359, 115.5359) * CHOOSE(CONTROL!$C$21, $C$9, 100%, $E$9)</f>
        <v>115.5359</v>
      </c>
      <c r="F954" s="14">
        <f>CHOOSE(CONTROL!$C$42, 115.2967, 115.2967)*CHOOSE(CONTROL!$C$21, $C$9, 100%, $E$9)</f>
        <v>115.2967</v>
      </c>
      <c r="G954" s="14">
        <f>CHOOSE(CONTROL!$C$42, 115.3138, 115.3138)*CHOOSE(CONTROL!$C$21, $C$9, 100%, $E$9)</f>
        <v>115.3138</v>
      </c>
      <c r="H954" s="14">
        <f>CHOOSE(CONTROL!$C$42, 115.5245, 115.5245) * CHOOSE(CONTROL!$C$21, $C$9, 100%, $E$9)</f>
        <v>115.5245</v>
      </c>
      <c r="I954" s="14">
        <f>CHOOSE(CONTROL!$C$42, 115.6631, 115.6631)* CHOOSE(CONTROL!$C$21, $C$9, 100%, $E$9)</f>
        <v>115.6631</v>
      </c>
      <c r="J954" s="14">
        <f>CHOOSE(CONTROL!$C$42, 115.2897, 115.2897)* CHOOSE(CONTROL!$C$21, $C$9, 100%, $E$9)</f>
        <v>115.2897</v>
      </c>
      <c r="K954" s="52">
        <f>CHOOSE(CONTROL!$C$42, 115.6592, 115.6592) * CHOOSE(CONTROL!$C$21, $C$9, 100%, $E$9)</f>
        <v>115.6592</v>
      </c>
      <c r="L954" s="14">
        <f>CHOOSE(CONTROL!$C$42, 116.1115, 116.1115) * CHOOSE(CONTROL!$C$21, $C$9, 100%, $E$9)</f>
        <v>116.11150000000001</v>
      </c>
      <c r="M954" s="14">
        <f>CHOOSE(CONTROL!$C$42, 112.9352, 112.9352) * CHOOSE(CONTROL!$C$21, $C$9, 100%, $E$9)</f>
        <v>112.93519999999999</v>
      </c>
      <c r="N954" s="14">
        <f>CHOOSE(CONTROL!$C$42, 112.9519, 112.9519) * CHOOSE(CONTROL!$C$21, $C$9, 100%, $E$9)</f>
        <v>112.95189999999999</v>
      </c>
      <c r="O954" s="14">
        <f>CHOOSE(CONTROL!$C$42, 113.1652, 113.1652) * CHOOSE(CONTROL!$C$21, $C$9, 100%, $E$9)</f>
        <v>113.1652</v>
      </c>
      <c r="P954" s="14">
        <f>CHOOSE(CONTROL!$C$42, 113.2938, 113.2938) * CHOOSE(CONTROL!$C$21, $C$9, 100%, $E$9)</f>
        <v>113.2938</v>
      </c>
      <c r="Q954" s="14">
        <f>CHOOSE(CONTROL!$C$42, 113.7599, 113.7599) * CHOOSE(CONTROL!$C$21, $C$9, 100%, $E$9)</f>
        <v>113.7599</v>
      </c>
      <c r="R954" s="14">
        <f>CHOOSE(CONTROL!$C$42, 114.6313, 114.6313) * CHOOSE(CONTROL!$C$21, $C$9, 100%, $E$9)</f>
        <v>114.6313</v>
      </c>
      <c r="S954" s="14">
        <f>CHOOSE(CONTROL!$C$42, 110.7529, 110.7529) * CHOOSE(CONTROL!$C$21, $C$9, 100%, $E$9)</f>
        <v>110.7529</v>
      </c>
      <c r="T95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56">
        <f>(1000*CHOOSE(CONTROL!$C$42, 695, 695)*CHOOSE(CONTROL!$C$42, 0.5599, 0.5599)*CHOOSE(CONTROL!$C$42, 30, 30))/1000000</f>
        <v>11.673914999999997</v>
      </c>
      <c r="V954" s="56">
        <f>(1000*CHOOSE(CONTROL!$C$42, 500, 500)*CHOOSE(CONTROL!$C$42, 0.275, 0.275)*CHOOSE(CONTROL!$C$42, 30, 30))/1000000</f>
        <v>4.125</v>
      </c>
      <c r="W954" s="56">
        <f>(1000*CHOOSE(CONTROL!$C$42, 0.1146, 0.1146)*CHOOSE(CONTROL!$C$42, 121.5, 121.5)*CHOOSE(CONTROL!$C$42, 30, 30))/1000000</f>
        <v>0.417717</v>
      </c>
      <c r="X954" s="56">
        <f>(30*0.1790888*245000/1000000)+(30*0.2374*100000/1000000)</f>
        <v>2.0285026799999999</v>
      </c>
      <c r="Y954" s="56"/>
      <c r="Z954" s="14"/>
      <c r="AA954" s="55"/>
      <c r="AB954" s="49">
        <f>(B954*194.205+C954*267.466+D954*133.845+E954*53.484+F954*40+G954*185+H954*0+I954*100+J954*300)/(194.205+267.466+133.845+53.484+0+40+185+100+300)</f>
        <v>115.35037864536891</v>
      </c>
      <c r="AC954" s="44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113.09200287769785</v>
      </c>
    </row>
    <row r="955" spans="1:29" ht="15.75" x14ac:dyDescent="0.25">
      <c r="A955" s="31">
        <v>69975</v>
      </c>
      <c r="B955" s="14">
        <f>CHOOSE(CONTROL!$C$42, 113.0594, 113.0594) * CHOOSE(CONTROL!$C$21, $C$9, 100%, $E$9)</f>
        <v>113.0594</v>
      </c>
      <c r="C955" s="14">
        <f>CHOOSE(CONTROL!$C$42, 113.0674, 113.0674) * CHOOSE(CONTROL!$C$21, $C$9, 100%, $E$9)</f>
        <v>113.06740000000001</v>
      </c>
      <c r="D955" s="14">
        <f>CHOOSE(CONTROL!$C$42, 113.2932, 113.2932) * CHOOSE(CONTROL!$C$21, $C$9, 100%, $E$9)</f>
        <v>113.2932</v>
      </c>
      <c r="E955" s="14">
        <f>CHOOSE(CONTROL!$C$42, 113.3246, 113.3246) * CHOOSE(CONTROL!$C$21, $C$9, 100%, $E$9)</f>
        <v>113.3246</v>
      </c>
      <c r="F955" s="14">
        <f>CHOOSE(CONTROL!$C$42, 113.0859, 113.0859)*CHOOSE(CONTROL!$C$21, $C$9, 100%, $E$9)</f>
        <v>113.0859</v>
      </c>
      <c r="G955" s="14">
        <f>CHOOSE(CONTROL!$C$42, 113.1031, 113.1031)*CHOOSE(CONTROL!$C$21, $C$9, 100%, $E$9)</f>
        <v>113.1031</v>
      </c>
      <c r="H955" s="14">
        <f>CHOOSE(CONTROL!$C$42, 113.3133, 113.3133) * CHOOSE(CONTROL!$C$21, $C$9, 100%, $E$9)</f>
        <v>113.3133</v>
      </c>
      <c r="I955" s="14">
        <f>CHOOSE(CONTROL!$C$42, 113.445, 113.445)* CHOOSE(CONTROL!$C$21, $C$9, 100%, $E$9)</f>
        <v>113.44499999999999</v>
      </c>
      <c r="J955" s="14">
        <f>CHOOSE(CONTROL!$C$42, 113.0789, 113.0789)* CHOOSE(CONTROL!$C$21, $C$9, 100%, $E$9)</f>
        <v>113.0789</v>
      </c>
      <c r="K955" s="52">
        <f>CHOOSE(CONTROL!$C$42, 113.4411, 113.4411) * CHOOSE(CONTROL!$C$21, $C$9, 100%, $E$9)</f>
        <v>113.44110000000001</v>
      </c>
      <c r="L955" s="14">
        <f>CHOOSE(CONTROL!$C$42, 113.9003, 113.9003) * CHOOSE(CONTROL!$C$21, $C$9, 100%, $E$9)</f>
        <v>113.9003</v>
      </c>
      <c r="M955" s="14">
        <f>CHOOSE(CONTROL!$C$42, 110.7697, 110.7697) * CHOOSE(CONTROL!$C$21, $C$9, 100%, $E$9)</f>
        <v>110.7697</v>
      </c>
      <c r="N955" s="14">
        <f>CHOOSE(CONTROL!$C$42, 110.7866, 110.7866) * CHOOSE(CONTROL!$C$21, $C$9, 100%, $E$9)</f>
        <v>110.78660000000001</v>
      </c>
      <c r="O955" s="14">
        <f>CHOOSE(CONTROL!$C$42, 110.9993, 110.9993) * CHOOSE(CONTROL!$C$21, $C$9, 100%, $E$9)</f>
        <v>110.99930000000001</v>
      </c>
      <c r="P955" s="14">
        <f>CHOOSE(CONTROL!$C$42, 111.1212, 111.1212) * CHOOSE(CONTROL!$C$21, $C$9, 100%, $E$9)</f>
        <v>111.1212</v>
      </c>
      <c r="Q955" s="14">
        <f>CHOOSE(CONTROL!$C$42, 111.594, 111.594) * CHOOSE(CONTROL!$C$21, $C$9, 100%, $E$9)</f>
        <v>111.59399999999999</v>
      </c>
      <c r="R955" s="14">
        <f>CHOOSE(CONTROL!$C$42, 112.4599, 112.4599) * CHOOSE(CONTROL!$C$21, $C$9, 100%, $E$9)</f>
        <v>112.4599</v>
      </c>
      <c r="S955" s="14">
        <f>CHOOSE(CONTROL!$C$42, 108.6281, 108.6281) * CHOOSE(CONTROL!$C$21, $C$9, 100%, $E$9)</f>
        <v>108.6281</v>
      </c>
      <c r="T95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56">
        <f>(1000*CHOOSE(CONTROL!$C$42, 695, 695)*CHOOSE(CONTROL!$C$42, 0.5599, 0.5599)*CHOOSE(CONTROL!$C$42, 31, 31))/1000000</f>
        <v>12.063045499999998</v>
      </c>
      <c r="V955" s="56">
        <f>(1000*CHOOSE(CONTROL!$C$42, 500, 500)*CHOOSE(CONTROL!$C$42, 0.275, 0.275)*CHOOSE(CONTROL!$C$42, 31, 31))/1000000</f>
        <v>4.2625000000000002</v>
      </c>
      <c r="W955" s="56">
        <f>(1000*CHOOSE(CONTROL!$C$42, 0.1146, 0.1146)*CHOOSE(CONTROL!$C$42, 121.5, 121.5)*CHOOSE(CONTROL!$C$42, 31, 31))/1000000</f>
        <v>0.43164089999999994</v>
      </c>
      <c r="X955" s="56">
        <f>(31*0.1790888*245000/1000000)+(31*0.2374*100000/1000000)</f>
        <v>2.0961194359999999</v>
      </c>
      <c r="Y955" s="56"/>
      <c r="Z955" s="14"/>
      <c r="AA955" s="55"/>
      <c r="AB955" s="49">
        <f>(B955*194.205+C955*267.466+D955*133.845+E955*53.484+F955*40+G955*185+H955*0+I955*100+J955*300)/(194.205+267.466+133.845+53.484+0+40+185+100+300)</f>
        <v>113.13881220235479</v>
      </c>
      <c r="AC955" s="44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110.92531151079136</v>
      </c>
    </row>
    <row r="956" spans="1:29" ht="15.75" x14ac:dyDescent="0.25">
      <c r="A956" s="31">
        <v>70006</v>
      </c>
      <c r="B956" s="14">
        <f>CHOOSE(CONTROL!$C$42, 107.4753, 107.4753) * CHOOSE(CONTROL!$C$21, $C$9, 100%, $E$9)</f>
        <v>107.4753</v>
      </c>
      <c r="C956" s="14">
        <f>CHOOSE(CONTROL!$C$42, 107.4834, 107.4834) * CHOOSE(CONTROL!$C$21, $C$9, 100%, $E$9)</f>
        <v>107.4834</v>
      </c>
      <c r="D956" s="14">
        <f>CHOOSE(CONTROL!$C$42, 107.7092, 107.7092) * CHOOSE(CONTROL!$C$21, $C$9, 100%, $E$9)</f>
        <v>107.7092</v>
      </c>
      <c r="E956" s="14">
        <f>CHOOSE(CONTROL!$C$42, 107.7406, 107.7406) * CHOOSE(CONTROL!$C$21, $C$9, 100%, $E$9)</f>
        <v>107.7406</v>
      </c>
      <c r="F956" s="14">
        <f>CHOOSE(CONTROL!$C$42, 107.5022, 107.5022)*CHOOSE(CONTROL!$C$21, $C$9, 100%, $E$9)</f>
        <v>107.5022</v>
      </c>
      <c r="G956" s="14">
        <f>CHOOSE(CONTROL!$C$42, 107.5194, 107.5194)*CHOOSE(CONTROL!$C$21, $C$9, 100%, $E$9)</f>
        <v>107.5194</v>
      </c>
      <c r="H956" s="14">
        <f>CHOOSE(CONTROL!$C$42, 107.7293, 107.7293) * CHOOSE(CONTROL!$C$21, $C$9, 100%, $E$9)</f>
        <v>107.72929999999999</v>
      </c>
      <c r="I956" s="14">
        <f>CHOOSE(CONTROL!$C$42, 107.8435, 107.8435)* CHOOSE(CONTROL!$C$21, $C$9, 100%, $E$9)</f>
        <v>107.84350000000001</v>
      </c>
      <c r="J956" s="14">
        <f>CHOOSE(CONTROL!$C$42, 107.4952, 107.4952)* CHOOSE(CONTROL!$C$21, $C$9, 100%, $E$9)</f>
        <v>107.4952</v>
      </c>
      <c r="K956" s="52">
        <f>CHOOSE(CONTROL!$C$42, 107.8396, 107.8396) * CHOOSE(CONTROL!$C$21, $C$9, 100%, $E$9)</f>
        <v>107.8396</v>
      </c>
      <c r="L956" s="14">
        <f>CHOOSE(CONTROL!$C$42, 108.3163, 108.3163) * CHOOSE(CONTROL!$C$21, $C$9, 100%, $E$9)</f>
        <v>108.3163</v>
      </c>
      <c r="M956" s="14">
        <f>CHOOSE(CONTROL!$C$42, 105.3004, 105.3004) * CHOOSE(CONTROL!$C$21, $C$9, 100%, $E$9)</f>
        <v>105.3004</v>
      </c>
      <c r="N956" s="14">
        <f>CHOOSE(CONTROL!$C$42, 105.3173, 105.3173) * CHOOSE(CONTROL!$C$21, $C$9, 100%, $E$9)</f>
        <v>105.3173</v>
      </c>
      <c r="O956" s="14">
        <f>CHOOSE(CONTROL!$C$42, 105.5297, 105.5297) * CHOOSE(CONTROL!$C$21, $C$9, 100%, $E$9)</f>
        <v>105.52970000000001</v>
      </c>
      <c r="P956" s="14">
        <f>CHOOSE(CONTROL!$C$42, 105.6348, 105.6348) * CHOOSE(CONTROL!$C$21, $C$9, 100%, $E$9)</f>
        <v>105.6348</v>
      </c>
      <c r="Q956" s="14">
        <f>CHOOSE(CONTROL!$C$42, 106.1244, 106.1244) * CHOOSE(CONTROL!$C$21, $C$9, 100%, $E$9)</f>
        <v>106.12439999999999</v>
      </c>
      <c r="R956" s="14">
        <f>CHOOSE(CONTROL!$C$42, 106.9767, 106.9767) * CHOOSE(CONTROL!$C$21, $C$9, 100%, $E$9)</f>
        <v>106.97669999999999</v>
      </c>
      <c r="S956" s="14">
        <f>CHOOSE(CONTROL!$C$42, 103.2624, 103.2624) * CHOOSE(CONTROL!$C$21, $C$9, 100%, $E$9)</f>
        <v>103.2624</v>
      </c>
      <c r="T95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56">
        <f>(1000*CHOOSE(CONTROL!$C$42, 695, 695)*CHOOSE(CONTROL!$C$42, 0.5599, 0.5599)*CHOOSE(CONTROL!$C$42, 31, 31))/1000000</f>
        <v>12.063045499999998</v>
      </c>
      <c r="V956" s="56">
        <f>(1000*CHOOSE(CONTROL!$C$42, 500, 500)*CHOOSE(CONTROL!$C$42, 0.275, 0.275)*CHOOSE(CONTROL!$C$42, 31, 31))/1000000</f>
        <v>4.2625000000000002</v>
      </c>
      <c r="W956" s="56">
        <f>(1000*CHOOSE(CONTROL!$C$42, 0.1146, 0.1146)*CHOOSE(CONTROL!$C$42, 121.5, 121.5)*CHOOSE(CONTROL!$C$42, 31, 31))/1000000</f>
        <v>0.43164089999999994</v>
      </c>
      <c r="X956" s="56">
        <f>(31*0.1790888*245000/1000000)+(31*0.2374*100000/1000000)</f>
        <v>2.0961194359999999</v>
      </c>
      <c r="Y956" s="56"/>
      <c r="Z956" s="14"/>
      <c r="AA956" s="55"/>
      <c r="AB956" s="49">
        <f>(B956*194.205+C956*267.466+D956*133.845+E956*53.484+F956*40+G956*185+H956*0+I956*100+J956*300)/(194.205+267.466+133.845+53.484+0+40+185+100+300)</f>
        <v>107.55354695863421</v>
      </c>
      <c r="AC956" s="44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105.45341510791367</v>
      </c>
    </row>
    <row r="957" spans="1:29" ht="15.75" x14ac:dyDescent="0.25">
      <c r="A957" s="31">
        <v>70036</v>
      </c>
      <c r="B957" s="14">
        <f>CHOOSE(CONTROL!$C$42, 100.6525, 100.6525) * CHOOSE(CONTROL!$C$21, $C$9, 100%, $E$9)</f>
        <v>100.6525</v>
      </c>
      <c r="C957" s="14">
        <f>CHOOSE(CONTROL!$C$42, 100.6605, 100.6605) * CHOOSE(CONTROL!$C$21, $C$9, 100%, $E$9)</f>
        <v>100.6605</v>
      </c>
      <c r="D957" s="14">
        <f>CHOOSE(CONTROL!$C$42, 100.8863, 100.8863) * CHOOSE(CONTROL!$C$21, $C$9, 100%, $E$9)</f>
        <v>100.88630000000001</v>
      </c>
      <c r="E957" s="14">
        <f>CHOOSE(CONTROL!$C$42, 100.9178, 100.9178) * CHOOSE(CONTROL!$C$21, $C$9, 100%, $E$9)</f>
        <v>100.9178</v>
      </c>
      <c r="F957" s="14">
        <f>CHOOSE(CONTROL!$C$42, 100.6793, 100.6793)*CHOOSE(CONTROL!$C$21, $C$9, 100%, $E$9)</f>
        <v>100.6793</v>
      </c>
      <c r="G957" s="14">
        <f>CHOOSE(CONTROL!$C$42, 100.6966, 100.6966)*CHOOSE(CONTROL!$C$21, $C$9, 100%, $E$9)</f>
        <v>100.6966</v>
      </c>
      <c r="H957" s="14">
        <f>CHOOSE(CONTROL!$C$42, 100.9064, 100.9064) * CHOOSE(CONTROL!$C$21, $C$9, 100%, $E$9)</f>
        <v>100.9064</v>
      </c>
      <c r="I957" s="14">
        <f>CHOOSE(CONTROL!$C$42, 100.9993, 100.9993)* CHOOSE(CONTROL!$C$21, $C$9, 100%, $E$9)</f>
        <v>100.99930000000001</v>
      </c>
      <c r="J957" s="14">
        <f>CHOOSE(CONTROL!$C$42, 100.6723, 100.6723)* CHOOSE(CONTROL!$C$21, $C$9, 100%, $E$9)</f>
        <v>100.67230000000001</v>
      </c>
      <c r="K957" s="52">
        <f>CHOOSE(CONTROL!$C$42, 100.9954, 100.9954) * CHOOSE(CONTROL!$C$21, $C$9, 100%, $E$9)</f>
        <v>100.9954</v>
      </c>
      <c r="L957" s="14">
        <f>CHOOSE(CONTROL!$C$42, 101.4934, 101.4934) * CHOOSE(CONTROL!$C$21, $C$9, 100%, $E$9)</f>
        <v>101.49339999999999</v>
      </c>
      <c r="M957" s="14">
        <f>CHOOSE(CONTROL!$C$42, 98.6173, 98.6173) * CHOOSE(CONTROL!$C$21, $C$9, 100%, $E$9)</f>
        <v>98.6173</v>
      </c>
      <c r="N957" s="14">
        <f>CHOOSE(CONTROL!$C$42, 98.6342, 98.6342) * CHOOSE(CONTROL!$C$21, $C$9, 100%, $E$9)</f>
        <v>98.634200000000007</v>
      </c>
      <c r="O957" s="14">
        <f>CHOOSE(CONTROL!$C$42, 98.8466, 98.8466) * CHOOSE(CONTROL!$C$21, $C$9, 100%, $E$9)</f>
        <v>98.846599999999995</v>
      </c>
      <c r="P957" s="14">
        <f>CHOOSE(CONTROL!$C$42, 98.9313, 98.9313) * CHOOSE(CONTROL!$C$21, $C$9, 100%, $E$9)</f>
        <v>98.931299999999993</v>
      </c>
      <c r="Q957" s="14">
        <f>CHOOSE(CONTROL!$C$42, 99.4413, 99.4413) * CHOOSE(CONTROL!$C$21, $C$9, 100%, $E$9)</f>
        <v>99.441299999999998</v>
      </c>
      <c r="R957" s="14">
        <f>CHOOSE(CONTROL!$C$42, 100.2769, 100.2769) * CHOOSE(CONTROL!$C$21, $C$9, 100%, $E$9)</f>
        <v>100.2769</v>
      </c>
      <c r="S957" s="14">
        <f>CHOOSE(CONTROL!$C$42, 96.7063, 96.7063) * CHOOSE(CONTROL!$C$21, $C$9, 100%, $E$9)</f>
        <v>96.706299999999999</v>
      </c>
      <c r="T95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56">
        <f>(1000*CHOOSE(CONTROL!$C$42, 695, 695)*CHOOSE(CONTROL!$C$42, 0.5599, 0.5599)*CHOOSE(CONTROL!$C$42, 30, 30))/1000000</f>
        <v>11.673914999999997</v>
      </c>
      <c r="V957" s="56">
        <f>(1000*CHOOSE(CONTROL!$C$42, 500, 500)*CHOOSE(CONTROL!$C$42, 0.275, 0.275)*CHOOSE(CONTROL!$C$42, 30, 30))/1000000</f>
        <v>4.125</v>
      </c>
      <c r="W957" s="56">
        <f>(1000*CHOOSE(CONTROL!$C$42, 0.1146, 0.1146)*CHOOSE(CONTROL!$C$42, 121.5, 121.5)*CHOOSE(CONTROL!$C$42, 30, 30))/1000000</f>
        <v>0.417717</v>
      </c>
      <c r="X957" s="56">
        <f>(30*0.1790888*245000/1000000)+(30*0.2374*100000/1000000)</f>
        <v>2.0285026799999999</v>
      </c>
      <c r="Y957" s="56"/>
      <c r="Z957" s="14"/>
      <c r="AA957" s="55"/>
      <c r="AB957" s="49">
        <f>(B957*194.205+C957*267.466+D957*133.845+E957*53.484+F957*40+G957*185+H957*0+I957*100+J957*300)/(194.205+267.466+133.845+53.484+0+40+185+100+300)</f>
        <v>100.729009022135</v>
      </c>
      <c r="AC957" s="44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98.767379856115127</v>
      </c>
    </row>
    <row r="958" spans="1:29" ht="15.75" x14ac:dyDescent="0.25">
      <c r="A958" s="31">
        <v>70067</v>
      </c>
      <c r="B958" s="14">
        <f>CHOOSE(CONTROL!$C$42, 98.6073, 98.6073) * CHOOSE(CONTROL!$C$21, $C$9, 100%, $E$9)</f>
        <v>98.607299999999995</v>
      </c>
      <c r="C958" s="14">
        <f>CHOOSE(CONTROL!$C$42, 98.6126, 98.6126) * CHOOSE(CONTROL!$C$21, $C$9, 100%, $E$9)</f>
        <v>98.6126</v>
      </c>
      <c r="D958" s="14">
        <f>CHOOSE(CONTROL!$C$42, 98.8434, 98.8434) * CHOOSE(CONTROL!$C$21, $C$9, 100%, $E$9)</f>
        <v>98.843400000000003</v>
      </c>
      <c r="E958" s="14">
        <f>CHOOSE(CONTROL!$C$42, 98.8725, 98.8725) * CHOOSE(CONTROL!$C$21, $C$9, 100%, $E$9)</f>
        <v>98.872500000000002</v>
      </c>
      <c r="F958" s="14">
        <f>CHOOSE(CONTROL!$C$42, 98.6362, 98.6362)*CHOOSE(CONTROL!$C$21, $C$9, 100%, $E$9)</f>
        <v>98.636200000000002</v>
      </c>
      <c r="G958" s="14">
        <f>CHOOSE(CONTROL!$C$42, 98.6533, 98.6533)*CHOOSE(CONTROL!$C$21, $C$9, 100%, $E$9)</f>
        <v>98.653300000000002</v>
      </c>
      <c r="H958" s="14">
        <f>CHOOSE(CONTROL!$C$42, 98.863, 98.863) * CHOOSE(CONTROL!$C$21, $C$9, 100%, $E$9)</f>
        <v>98.863</v>
      </c>
      <c r="I958" s="14">
        <f>CHOOSE(CONTROL!$C$42, 98.9494, 98.9494)* CHOOSE(CONTROL!$C$21, $C$9, 100%, $E$9)</f>
        <v>98.949399999999997</v>
      </c>
      <c r="J958" s="14">
        <f>CHOOSE(CONTROL!$C$42, 98.6292, 98.6292)* CHOOSE(CONTROL!$C$21, $C$9, 100%, $E$9)</f>
        <v>98.629199999999997</v>
      </c>
      <c r="K958" s="52">
        <f>CHOOSE(CONTROL!$C$42, 98.9456, 98.9456) * CHOOSE(CONTROL!$C$21, $C$9, 100%, $E$9)</f>
        <v>98.945599999999999</v>
      </c>
      <c r="L958" s="14">
        <f>CHOOSE(CONTROL!$C$42, 99.45, 99.45) * CHOOSE(CONTROL!$C$21, $C$9, 100%, $E$9)</f>
        <v>99.45</v>
      </c>
      <c r="M958" s="14">
        <f>CHOOSE(CONTROL!$C$42, 96.616, 96.616) * CHOOSE(CONTROL!$C$21, $C$9, 100%, $E$9)</f>
        <v>96.616</v>
      </c>
      <c r="N958" s="14">
        <f>CHOOSE(CONTROL!$C$42, 96.6328, 96.6328) * CHOOSE(CONTROL!$C$21, $C$9, 100%, $E$9)</f>
        <v>96.632800000000003</v>
      </c>
      <c r="O958" s="14">
        <f>CHOOSE(CONTROL!$C$42, 96.845, 96.845) * CHOOSE(CONTROL!$C$21, $C$9, 100%, $E$9)</f>
        <v>96.844999999999999</v>
      </c>
      <c r="P958" s="14">
        <f>CHOOSE(CONTROL!$C$42, 96.9236, 96.9236) * CHOOSE(CONTROL!$C$21, $C$9, 100%, $E$9)</f>
        <v>96.923599999999993</v>
      </c>
      <c r="Q958" s="14">
        <f>CHOOSE(CONTROL!$C$42, 97.4397, 97.4397) * CHOOSE(CONTROL!$C$21, $C$9, 100%, $E$9)</f>
        <v>97.439700000000002</v>
      </c>
      <c r="R958" s="14">
        <f>CHOOSE(CONTROL!$C$42, 98.2703, 98.2703) * CHOOSE(CONTROL!$C$21, $C$9, 100%, $E$9)</f>
        <v>98.270300000000006</v>
      </c>
      <c r="S958" s="14">
        <f>CHOOSE(CONTROL!$C$42, 94.7428, 94.7428) * CHOOSE(CONTROL!$C$21, $C$9, 100%, $E$9)</f>
        <v>94.742800000000003</v>
      </c>
      <c r="T95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56">
        <f>(1000*CHOOSE(CONTROL!$C$42, 695, 695)*CHOOSE(CONTROL!$C$42, 0.5599, 0.5599)*CHOOSE(CONTROL!$C$42, 31, 31))/1000000</f>
        <v>12.063045499999998</v>
      </c>
      <c r="V958" s="56">
        <f>(1000*CHOOSE(CONTROL!$C$42, 500, 500)*CHOOSE(CONTROL!$C$42, 0.275, 0.275)*CHOOSE(CONTROL!$C$42, 31, 31))/1000000</f>
        <v>4.2625000000000002</v>
      </c>
      <c r="W958" s="56">
        <f>(1000*CHOOSE(CONTROL!$C$42, 0.1146, 0.1146)*CHOOSE(CONTROL!$C$42, 121.5, 121.5)*CHOOSE(CONTROL!$C$42, 31, 31))/1000000</f>
        <v>0.43164089999999994</v>
      </c>
      <c r="X958" s="56">
        <f>(31*0.1790888*245000/1000000)+(31*0.2374*100000/1000000)</f>
        <v>2.0961194359999999</v>
      </c>
      <c r="Y958" s="56"/>
      <c r="Z958" s="14"/>
      <c r="AA958" s="55"/>
      <c r="AB958" s="49">
        <f>(B958*131.881+C958*277.167+D958*79.08+E958*125.872+F958*40+G958*185+H958*0+I958*100+J958*300)/(131.881+277.167+79.08+125.872+0+40+185+100+300)</f>
        <v>98.691212048022592</v>
      </c>
      <c r="AC958" s="44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96.765017266187058</v>
      </c>
    </row>
    <row r="959" spans="1:29" ht="15.75" x14ac:dyDescent="0.25">
      <c r="A959" s="31">
        <v>70097</v>
      </c>
      <c r="B959" s="14">
        <f>CHOOSE(CONTROL!$C$42, 101.2044, 101.2044) * CHOOSE(CONTROL!$C$21, $C$9, 100%, $E$9)</f>
        <v>101.20440000000001</v>
      </c>
      <c r="C959" s="14">
        <f>CHOOSE(CONTROL!$C$42, 101.2095, 101.2095) * CHOOSE(CONTROL!$C$21, $C$9, 100%, $E$9)</f>
        <v>101.20950000000001</v>
      </c>
      <c r="D959" s="14">
        <f>CHOOSE(CONTROL!$C$42, 101.2785, 101.2785) * CHOOSE(CONTROL!$C$21, $C$9, 100%, $E$9)</f>
        <v>101.27849999999999</v>
      </c>
      <c r="E959" s="14">
        <f>CHOOSE(CONTROL!$C$42, 101.3126, 101.3126) * CHOOSE(CONTROL!$C$21, $C$9, 100%, $E$9)</f>
        <v>101.3126</v>
      </c>
      <c r="F959" s="14">
        <f>CHOOSE(CONTROL!$C$42, 101.24, 101.24)*CHOOSE(CONTROL!$C$21, $C$9, 100%, $E$9)</f>
        <v>101.24</v>
      </c>
      <c r="G959" s="14">
        <f>CHOOSE(CONTROL!$C$42, 101.2574, 101.2574)*CHOOSE(CONTROL!$C$21, $C$9, 100%, $E$9)</f>
        <v>101.2574</v>
      </c>
      <c r="H959" s="14">
        <f>CHOOSE(CONTROL!$C$42, 101.3018, 101.3018) * CHOOSE(CONTROL!$C$21, $C$9, 100%, $E$9)</f>
        <v>101.3018</v>
      </c>
      <c r="I959" s="14">
        <f>CHOOSE(CONTROL!$C$42, 101.5577, 101.5577)* CHOOSE(CONTROL!$C$21, $C$9, 100%, $E$9)</f>
        <v>101.5577</v>
      </c>
      <c r="J959" s="14">
        <f>CHOOSE(CONTROL!$C$42, 101.233, 101.233)* CHOOSE(CONTROL!$C$21, $C$9, 100%, $E$9)</f>
        <v>101.233</v>
      </c>
      <c r="K959" s="52">
        <f>CHOOSE(CONTROL!$C$42, 101.5538, 101.5538) * CHOOSE(CONTROL!$C$21, $C$9, 100%, $E$9)</f>
        <v>101.5538</v>
      </c>
      <c r="L959" s="14">
        <f>CHOOSE(CONTROL!$C$42, 101.8888, 101.8888) * CHOOSE(CONTROL!$C$21, $C$9, 100%, $E$9)</f>
        <v>101.8888</v>
      </c>
      <c r="M959" s="14">
        <f>CHOOSE(CONTROL!$C$42, 99.1665, 99.1665) * CHOOSE(CONTROL!$C$21, $C$9, 100%, $E$9)</f>
        <v>99.166499999999999</v>
      </c>
      <c r="N959" s="14">
        <f>CHOOSE(CONTROL!$C$42, 99.1836, 99.1836) * CHOOSE(CONTROL!$C$21, $C$9, 100%, $E$9)</f>
        <v>99.183599999999998</v>
      </c>
      <c r="O959" s="14">
        <f>CHOOSE(CONTROL!$C$42, 99.2339, 99.2339) * CHOOSE(CONTROL!$C$21, $C$9, 100%, $E$9)</f>
        <v>99.233900000000006</v>
      </c>
      <c r="P959" s="14">
        <f>CHOOSE(CONTROL!$C$42, 99.4783, 99.4783) * CHOOSE(CONTROL!$C$21, $C$9, 100%, $E$9)</f>
        <v>99.478300000000004</v>
      </c>
      <c r="Q959" s="14">
        <f>CHOOSE(CONTROL!$C$42, 99.8286, 99.8286) * CHOOSE(CONTROL!$C$21, $C$9, 100%, $E$9)</f>
        <v>99.828599999999994</v>
      </c>
      <c r="R959" s="14">
        <f>CHOOSE(CONTROL!$C$42, 100.6652, 100.6652) * CHOOSE(CONTROL!$C$21, $C$9, 100%, $E$9)</f>
        <v>100.6652</v>
      </c>
      <c r="S959" s="14">
        <f>CHOOSE(CONTROL!$C$42, 97.2388, 97.2388) * CHOOSE(CONTROL!$C$21, $C$9, 100%, $E$9)</f>
        <v>97.238799999999998</v>
      </c>
      <c r="T95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56">
        <f>(1000*CHOOSE(CONTROL!$C$42, 695, 695)*CHOOSE(CONTROL!$C$42, 0.5599, 0.5599)*CHOOSE(CONTROL!$C$42, 30, 30))/1000000</f>
        <v>11.673914999999997</v>
      </c>
      <c r="V959" s="56">
        <f>(1000*CHOOSE(CONTROL!$C$42, 500, 500)*CHOOSE(CONTROL!$C$42, 0.275, 0.275)*CHOOSE(CONTROL!$C$42, 30, 30))/1000000</f>
        <v>4.125</v>
      </c>
      <c r="W959" s="56">
        <f>(1000*CHOOSE(CONTROL!$C$42, 0.1146, 0.1146)*CHOOSE(CONTROL!$C$42, 121.5, 121.5)*CHOOSE(CONTROL!$C$42, 30, 30))/1000000</f>
        <v>0.417717</v>
      </c>
      <c r="X959" s="56">
        <f>(30*0.1790888*100000/1000000)+(30*0.2374*100000/1000000)</f>
        <v>1.2494664</v>
      </c>
      <c r="Y959" s="56"/>
      <c r="Z959" s="14"/>
      <c r="AA959" s="55"/>
      <c r="AB959" s="49">
        <f>(B959*122.58+C959*297.941+D959*89.177+E959*40.302+F959*40+G959*160+H959*0+I959*100+J959*300)/(122.58+297.941+89.177+40.302+0+40+160+100+300)</f>
        <v>101.26205407930436</v>
      </c>
      <c r="AC959" s="44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99.242895683453241</v>
      </c>
    </row>
    <row r="960" spans="1:29" ht="15.75" x14ac:dyDescent="0.25">
      <c r="A960" s="31">
        <v>70128</v>
      </c>
      <c r="B960" s="14">
        <f>CHOOSE(CONTROL!$C$42, 108.1038, 108.1038) * CHOOSE(CONTROL!$C$21, $C$9, 100%, $E$9)</f>
        <v>108.10380000000001</v>
      </c>
      <c r="C960" s="14">
        <f>CHOOSE(CONTROL!$C$42, 108.1089, 108.1089) * CHOOSE(CONTROL!$C$21, $C$9, 100%, $E$9)</f>
        <v>108.10890000000001</v>
      </c>
      <c r="D960" s="14">
        <f>CHOOSE(CONTROL!$C$42, 108.1779, 108.1779) * CHOOSE(CONTROL!$C$21, $C$9, 100%, $E$9)</f>
        <v>108.17789999999999</v>
      </c>
      <c r="E960" s="14">
        <f>CHOOSE(CONTROL!$C$42, 108.212, 108.212) * CHOOSE(CONTROL!$C$21, $C$9, 100%, $E$9)</f>
        <v>108.212</v>
      </c>
      <c r="F960" s="14">
        <f>CHOOSE(CONTROL!$C$42, 108.1417, 108.1417)*CHOOSE(CONTROL!$C$21, $C$9, 100%, $E$9)</f>
        <v>108.1417</v>
      </c>
      <c r="G960" s="14">
        <f>CHOOSE(CONTROL!$C$42, 108.1597, 108.1597)*CHOOSE(CONTROL!$C$21, $C$9, 100%, $E$9)</f>
        <v>108.1597</v>
      </c>
      <c r="H960" s="14">
        <f>CHOOSE(CONTROL!$C$42, 108.2012, 108.2012) * CHOOSE(CONTROL!$C$21, $C$9, 100%, $E$9)</f>
        <v>108.2012</v>
      </c>
      <c r="I960" s="14">
        <f>CHOOSE(CONTROL!$C$42, 108.4787, 108.4787)* CHOOSE(CONTROL!$C$21, $C$9, 100%, $E$9)</f>
        <v>108.4787</v>
      </c>
      <c r="J960" s="14">
        <f>CHOOSE(CONTROL!$C$42, 108.1347, 108.1347)* CHOOSE(CONTROL!$C$21, $C$9, 100%, $E$9)</f>
        <v>108.1347</v>
      </c>
      <c r="K960" s="52">
        <f>CHOOSE(CONTROL!$C$42, 108.4749, 108.4749) * CHOOSE(CONTROL!$C$21, $C$9, 100%, $E$9)</f>
        <v>108.47490000000001</v>
      </c>
      <c r="L960" s="14">
        <f>CHOOSE(CONTROL!$C$42, 108.7882, 108.7882) * CHOOSE(CONTROL!$C$21, $C$9, 100%, $E$9)</f>
        <v>108.7882</v>
      </c>
      <c r="M960" s="14">
        <f>CHOOSE(CONTROL!$C$42, 105.9268, 105.9268) * CHOOSE(CONTROL!$C$21, $C$9, 100%, $E$9)</f>
        <v>105.9268</v>
      </c>
      <c r="N960" s="14">
        <f>CHOOSE(CONTROL!$C$42, 105.9444, 105.9444) * CHOOSE(CONTROL!$C$21, $C$9, 100%, $E$9)</f>
        <v>105.9444</v>
      </c>
      <c r="O960" s="14">
        <f>CHOOSE(CONTROL!$C$42, 105.992, 105.992) * CHOOSE(CONTROL!$C$21, $C$9, 100%, $E$9)</f>
        <v>105.992</v>
      </c>
      <c r="P960" s="14">
        <f>CHOOSE(CONTROL!$C$42, 106.257, 106.257) * CHOOSE(CONTROL!$C$21, $C$9, 100%, $E$9)</f>
        <v>106.25700000000001</v>
      </c>
      <c r="Q960" s="14">
        <f>CHOOSE(CONTROL!$C$42, 106.5867, 106.5867) * CHOOSE(CONTROL!$C$21, $C$9, 100%, $E$9)</f>
        <v>106.58669999999999</v>
      </c>
      <c r="R960" s="14">
        <f>CHOOSE(CONTROL!$C$42, 107.4401, 107.4401) * CHOOSE(CONTROL!$C$21, $C$9, 100%, $E$9)</f>
        <v>107.4401</v>
      </c>
      <c r="S960" s="14">
        <f>CHOOSE(CONTROL!$C$42, 103.8684, 103.8684) * CHOOSE(CONTROL!$C$21, $C$9, 100%, $E$9)</f>
        <v>103.86839999999999</v>
      </c>
      <c r="T96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56">
        <f>(1000*CHOOSE(CONTROL!$C$42, 695, 695)*CHOOSE(CONTROL!$C$42, 0.5599, 0.5599)*CHOOSE(CONTROL!$C$42, 31, 31))/1000000</f>
        <v>12.063045499999998</v>
      </c>
      <c r="V960" s="56">
        <f>(1000*CHOOSE(CONTROL!$C$42, 500, 500)*CHOOSE(CONTROL!$C$42, 0.275, 0.275)*CHOOSE(CONTROL!$C$42, 31, 31))/1000000</f>
        <v>4.2625000000000002</v>
      </c>
      <c r="W960" s="56">
        <f>(1000*CHOOSE(CONTROL!$C$42, 0.1146, 0.1146)*CHOOSE(CONTROL!$C$42, 121.5, 121.5)*CHOOSE(CONTROL!$C$42, 31, 31))/1000000</f>
        <v>0.43164089999999994</v>
      </c>
      <c r="X960" s="56">
        <f>(31*0.1790888*100000/1000000)+(31*0.2374*100000/1000000)</f>
        <v>1.2911152800000001</v>
      </c>
      <c r="Y960" s="56"/>
      <c r="Z960" s="14"/>
      <c r="AA960" s="55"/>
      <c r="AB960" s="49">
        <f>(B960*122.58+C960*297.941+D960*89.177+E960*40.302+F960*40+G960*160+H960*0+I960*100+J960*300)/(122.58+297.941+89.177+40.302+0+40+160+100+300)</f>
        <v>108.16441581843478</v>
      </c>
      <c r="AC960" s="44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106.0048748201439</v>
      </c>
    </row>
    <row r="961" spans="1:29" ht="15.75" x14ac:dyDescent="0.25">
      <c r="A961" s="31">
        <v>70159</v>
      </c>
      <c r="B961" s="14">
        <f>CHOOSE(CONTROL!$C$42, 117.0649, 117.0649) * CHOOSE(CONTROL!$C$21, $C$9, 100%, $E$9)</f>
        <v>117.06489999999999</v>
      </c>
      <c r="C961" s="14">
        <f>CHOOSE(CONTROL!$C$42, 117.07, 117.07) * CHOOSE(CONTROL!$C$21, $C$9, 100%, $E$9)</f>
        <v>117.07</v>
      </c>
      <c r="D961" s="14">
        <f>CHOOSE(CONTROL!$C$42, 117.1494, 117.1494) * CHOOSE(CONTROL!$C$21, $C$9, 100%, $E$9)</f>
        <v>117.1494</v>
      </c>
      <c r="E961" s="14">
        <f>CHOOSE(CONTROL!$C$42, 117.1835, 117.1835) * CHOOSE(CONTROL!$C$21, $C$9, 100%, $E$9)</f>
        <v>117.1835</v>
      </c>
      <c r="F961" s="14">
        <f>CHOOSE(CONTROL!$C$42, 117.088, 117.088)*CHOOSE(CONTROL!$C$21, $C$9, 100%, $E$9)</f>
        <v>117.08799999999999</v>
      </c>
      <c r="G961" s="14">
        <f>CHOOSE(CONTROL!$C$42, 117.1055, 117.1055)*CHOOSE(CONTROL!$C$21, $C$9, 100%, $E$9)</f>
        <v>117.10550000000001</v>
      </c>
      <c r="H961" s="14">
        <f>CHOOSE(CONTROL!$C$42, 117.1727, 117.1727) * CHOOSE(CONTROL!$C$21, $C$9, 100%, $E$9)</f>
        <v>117.17270000000001</v>
      </c>
      <c r="I961" s="14">
        <f>CHOOSE(CONTROL!$C$42, 117.4669, 117.4669)* CHOOSE(CONTROL!$C$21, $C$9, 100%, $E$9)</f>
        <v>117.4669</v>
      </c>
      <c r="J961" s="14">
        <f>CHOOSE(CONTROL!$C$42, 117.081, 117.081)* CHOOSE(CONTROL!$C$21, $C$9, 100%, $E$9)</f>
        <v>117.081</v>
      </c>
      <c r="K961" s="52">
        <f>CHOOSE(CONTROL!$C$42, 117.463, 117.463) * CHOOSE(CONTROL!$C$21, $C$9, 100%, $E$9)</f>
        <v>117.46299999999999</v>
      </c>
      <c r="L961" s="14">
        <f>CHOOSE(CONTROL!$C$42, 117.7597, 117.7597) * CHOOSE(CONTROL!$C$21, $C$9, 100%, $E$9)</f>
        <v>117.7597</v>
      </c>
      <c r="M961" s="14">
        <f>CHOOSE(CONTROL!$C$42, 114.6898, 114.6898) * CHOOSE(CONTROL!$C$21, $C$9, 100%, $E$9)</f>
        <v>114.68980000000001</v>
      </c>
      <c r="N961" s="14">
        <f>CHOOSE(CONTROL!$C$42, 114.7069, 114.7069) * CHOOSE(CONTROL!$C$21, $C$9, 100%, $E$9)</f>
        <v>114.7069</v>
      </c>
      <c r="O961" s="14">
        <f>CHOOSE(CONTROL!$C$42, 114.7796, 114.7796) * CHOOSE(CONTROL!$C$21, $C$9, 100%, $E$9)</f>
        <v>114.7796</v>
      </c>
      <c r="P961" s="14">
        <f>CHOOSE(CONTROL!$C$42, 115.0604, 115.0604) * CHOOSE(CONTROL!$C$21, $C$9, 100%, $E$9)</f>
        <v>115.0604</v>
      </c>
      <c r="Q961" s="14">
        <f>CHOOSE(CONTROL!$C$42, 115.3743, 115.3743) * CHOOSE(CONTROL!$C$21, $C$9, 100%, $E$9)</f>
        <v>115.37430000000001</v>
      </c>
      <c r="R961" s="14">
        <f>CHOOSE(CONTROL!$C$42, 116.2498, 116.2498) * CHOOSE(CONTROL!$C$21, $C$9, 100%, $E$9)</f>
        <v>116.24979999999999</v>
      </c>
      <c r="S961" s="14">
        <f>CHOOSE(CONTROL!$C$42, 112.4792, 112.4792) * CHOOSE(CONTROL!$C$21, $C$9, 100%, $E$9)</f>
        <v>112.47920000000001</v>
      </c>
      <c r="T96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56">
        <f>(1000*CHOOSE(CONTROL!$C$42, 695, 695)*CHOOSE(CONTROL!$C$42, 0.5599, 0.5599)*CHOOSE(CONTROL!$C$42, 31, 31))/1000000</f>
        <v>12.063045499999998</v>
      </c>
      <c r="V961" s="56">
        <f>(1000*CHOOSE(CONTROL!$C$42, 500, 500)*CHOOSE(CONTROL!$C$42, 0.275, 0.275)*CHOOSE(CONTROL!$C$42, 31, 31))/1000000</f>
        <v>4.2625000000000002</v>
      </c>
      <c r="W961" s="56">
        <f>(1000*CHOOSE(CONTROL!$C$42, 0.1146, 0.1146)*CHOOSE(CONTROL!$C$42, 121.5, 121.5)*CHOOSE(CONTROL!$C$42, 31, 31))/1000000</f>
        <v>0.43164089999999994</v>
      </c>
      <c r="X961" s="56">
        <f>(31*0.1790888*100000/1000000)+(31*0.2374*100000/1000000)</f>
        <v>1.2911152800000001</v>
      </c>
      <c r="Y961" s="56"/>
      <c r="Z961" s="14"/>
      <c r="AA961" s="55"/>
      <c r="AB961" s="49">
        <f>(B961*122.58+C961*297.941+D961*89.177+E961*40.302+F961*40+G961*160+H961*0+I961*100+J961*300)/(122.58+297.941+89.177+40.302+0+40+160+100+300)</f>
        <v>117.12253893286956</v>
      </c>
      <c r="AC961" s="44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114.78480863309353</v>
      </c>
    </row>
    <row r="962" spans="1:29" ht="15.75" x14ac:dyDescent="0.25">
      <c r="A962" s="31">
        <v>70188</v>
      </c>
      <c r="B962" s="14">
        <f>CHOOSE(CONTROL!$C$42, 119.1487, 119.1487) * CHOOSE(CONTROL!$C$21, $C$9, 100%, $E$9)</f>
        <v>119.14870000000001</v>
      </c>
      <c r="C962" s="14">
        <f>CHOOSE(CONTROL!$C$42, 119.1538, 119.1538) * CHOOSE(CONTROL!$C$21, $C$9, 100%, $E$9)</f>
        <v>119.1538</v>
      </c>
      <c r="D962" s="14">
        <f>CHOOSE(CONTROL!$C$42, 119.2332, 119.2332) * CHOOSE(CONTROL!$C$21, $C$9, 100%, $E$9)</f>
        <v>119.2332</v>
      </c>
      <c r="E962" s="14">
        <f>CHOOSE(CONTROL!$C$42, 119.2673, 119.2673) * CHOOSE(CONTROL!$C$21, $C$9, 100%, $E$9)</f>
        <v>119.26730000000001</v>
      </c>
      <c r="F962" s="14">
        <f>CHOOSE(CONTROL!$C$42, 119.1715, 119.1715)*CHOOSE(CONTROL!$C$21, $C$9, 100%, $E$9)</f>
        <v>119.17149999999999</v>
      </c>
      <c r="G962" s="14">
        <f>CHOOSE(CONTROL!$C$42, 119.1889, 119.1889)*CHOOSE(CONTROL!$C$21, $C$9, 100%, $E$9)</f>
        <v>119.1889</v>
      </c>
      <c r="H962" s="14">
        <f>CHOOSE(CONTROL!$C$42, 119.2565, 119.2565) * CHOOSE(CONTROL!$C$21, $C$9, 100%, $E$9)</f>
        <v>119.2565</v>
      </c>
      <c r="I962" s="14">
        <f>CHOOSE(CONTROL!$C$42, 119.5571, 119.5571)* CHOOSE(CONTROL!$C$21, $C$9, 100%, $E$9)</f>
        <v>119.55710000000001</v>
      </c>
      <c r="J962" s="14">
        <f>CHOOSE(CONTROL!$C$42, 119.1645, 119.1645)* CHOOSE(CONTROL!$C$21, $C$9, 100%, $E$9)</f>
        <v>119.1645</v>
      </c>
      <c r="K962" s="52">
        <f>CHOOSE(CONTROL!$C$42, 119.5533, 119.5533) * CHOOSE(CONTROL!$C$21, $C$9, 100%, $E$9)</f>
        <v>119.55329999999999</v>
      </c>
      <c r="L962" s="14">
        <f>CHOOSE(CONTROL!$C$42, 119.8435, 119.8435) * CHOOSE(CONTROL!$C$21, $C$9, 100%, $E$9)</f>
        <v>119.84350000000001</v>
      </c>
      <c r="M962" s="14">
        <f>CHOOSE(CONTROL!$C$42, 116.7306, 116.7306) * CHOOSE(CONTROL!$C$21, $C$9, 100%, $E$9)</f>
        <v>116.7306</v>
      </c>
      <c r="N962" s="14">
        <f>CHOOSE(CONTROL!$C$42, 116.7477, 116.7477) * CHOOSE(CONTROL!$C$21, $C$9, 100%, $E$9)</f>
        <v>116.74769999999999</v>
      </c>
      <c r="O962" s="14">
        <f>CHOOSE(CONTROL!$C$42, 116.8207, 116.8207) * CHOOSE(CONTROL!$C$21, $C$9, 100%, $E$9)</f>
        <v>116.8207</v>
      </c>
      <c r="P962" s="14">
        <f>CHOOSE(CONTROL!$C$42, 117.1078, 117.1078) * CHOOSE(CONTROL!$C$21, $C$9, 100%, $E$9)</f>
        <v>117.1078</v>
      </c>
      <c r="Q962" s="14">
        <f>CHOOSE(CONTROL!$C$42, 117.4154, 117.4154) * CHOOSE(CONTROL!$C$21, $C$9, 100%, $E$9)</f>
        <v>117.41540000000001</v>
      </c>
      <c r="R962" s="14">
        <f>CHOOSE(CONTROL!$C$42, 118.2959, 118.2959) * CHOOSE(CONTROL!$C$21, $C$9, 100%, $E$9)</f>
        <v>118.2959</v>
      </c>
      <c r="S962" s="14">
        <f>CHOOSE(CONTROL!$C$42, 114.4814, 114.4814) * CHOOSE(CONTROL!$C$21, $C$9, 100%, $E$9)</f>
        <v>114.48139999999999</v>
      </c>
      <c r="T962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62" s="56">
        <f>(1000*CHOOSE(CONTROL!$C$42, 695, 695)*CHOOSE(CONTROL!$C$42, 0.5599, 0.5599)*CHOOSE(CONTROL!$C$42, 29, 29))/1000000</f>
        <v>11.284784499999999</v>
      </c>
      <c r="V962" s="56">
        <f>(1000*CHOOSE(CONTROL!$C$42, 500, 500)*CHOOSE(CONTROL!$C$42, 0.275, 0.275)*CHOOSE(CONTROL!$C$42, 29, 29))/1000000</f>
        <v>3.9874999999999998</v>
      </c>
      <c r="W962" s="56">
        <f>(1000*CHOOSE(CONTROL!$C$42, 0.1146, 0.1146)*CHOOSE(CONTROL!$C$42, 121.5, 121.5)*CHOOSE(CONTROL!$C$42, 29, 29))/1000000</f>
        <v>0.40379309999999996</v>
      </c>
      <c r="X962" s="56">
        <f>(29*0.1790888*100000/1000000)+(29*0.2374*100000/1000000)</f>
        <v>1.2078175199999999</v>
      </c>
      <c r="Y962" s="56"/>
      <c r="Z962" s="14"/>
      <c r="AA962" s="55"/>
      <c r="AB962" s="49">
        <f>(B962*122.58+C962*297.941+D962*89.177+E962*40.302+F962*40+G962*160+H962*0+I962*100+J962*300)/(122.58+297.941+89.177+40.302+0+40+160+100+300)</f>
        <v>119.20675110678259</v>
      </c>
      <c r="AC962" s="44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116.8266942446043</v>
      </c>
    </row>
    <row r="963" spans="1:29" ht="15.75" x14ac:dyDescent="0.25">
      <c r="A963" s="31">
        <v>70219</v>
      </c>
      <c r="B963" s="14">
        <f>CHOOSE(CONTROL!$C$42, 115.7663, 115.7663) * CHOOSE(CONTROL!$C$21, $C$9, 100%, $E$9)</f>
        <v>115.7663</v>
      </c>
      <c r="C963" s="14">
        <f>CHOOSE(CONTROL!$C$42, 115.7713, 115.7713) * CHOOSE(CONTROL!$C$21, $C$9, 100%, $E$9)</f>
        <v>115.7713</v>
      </c>
      <c r="D963" s="14">
        <f>CHOOSE(CONTROL!$C$42, 115.8507, 115.8507) * CHOOSE(CONTROL!$C$21, $C$9, 100%, $E$9)</f>
        <v>115.8507</v>
      </c>
      <c r="E963" s="14">
        <f>CHOOSE(CONTROL!$C$42, 115.8849, 115.8849) * CHOOSE(CONTROL!$C$21, $C$9, 100%, $E$9)</f>
        <v>115.8849</v>
      </c>
      <c r="F963" s="14">
        <f>CHOOSE(CONTROL!$C$42, 115.7883, 115.7883)*CHOOSE(CONTROL!$C$21, $C$9, 100%, $E$9)</f>
        <v>115.78830000000001</v>
      </c>
      <c r="G963" s="14">
        <f>CHOOSE(CONTROL!$C$42, 115.8056, 115.8056)*CHOOSE(CONTROL!$C$21, $C$9, 100%, $E$9)</f>
        <v>115.8056</v>
      </c>
      <c r="H963" s="14">
        <f>CHOOSE(CONTROL!$C$42, 115.874, 115.874) * CHOOSE(CONTROL!$C$21, $C$9, 100%, $E$9)</f>
        <v>115.874</v>
      </c>
      <c r="I963" s="14">
        <f>CHOOSE(CONTROL!$C$42, 116.1641, 116.1641)* CHOOSE(CONTROL!$C$21, $C$9, 100%, $E$9)</f>
        <v>116.1641</v>
      </c>
      <c r="J963" s="14">
        <f>CHOOSE(CONTROL!$C$42, 115.7813, 115.7813)* CHOOSE(CONTROL!$C$21, $C$9, 100%, $E$9)</f>
        <v>115.7813</v>
      </c>
      <c r="K963" s="52">
        <f>CHOOSE(CONTROL!$C$42, 116.1602, 116.1602) * CHOOSE(CONTROL!$C$21, $C$9, 100%, $E$9)</f>
        <v>116.1602</v>
      </c>
      <c r="L963" s="14">
        <f>CHOOSE(CONTROL!$C$42, 116.461, 116.461) * CHOOSE(CONTROL!$C$21, $C$9, 100%, $E$9)</f>
        <v>116.461</v>
      </c>
      <c r="M963" s="14">
        <f>CHOOSE(CONTROL!$C$42, 113.4167, 113.4167) * CHOOSE(CONTROL!$C$21, $C$9, 100%, $E$9)</f>
        <v>113.41670000000001</v>
      </c>
      <c r="N963" s="14">
        <f>CHOOSE(CONTROL!$C$42, 113.4336, 113.4336) * CHOOSE(CONTROL!$C$21, $C$9, 100%, $E$9)</f>
        <v>113.4336</v>
      </c>
      <c r="O963" s="14">
        <f>CHOOSE(CONTROL!$C$42, 113.5076, 113.5076) * CHOOSE(CONTROL!$C$21, $C$9, 100%, $E$9)</f>
        <v>113.5076</v>
      </c>
      <c r="P963" s="14">
        <f>CHOOSE(CONTROL!$C$42, 113.7845, 113.7845) * CHOOSE(CONTROL!$C$21, $C$9, 100%, $E$9)</f>
        <v>113.78449999999999</v>
      </c>
      <c r="Q963" s="14">
        <f>CHOOSE(CONTROL!$C$42, 114.1023, 114.1023) * CHOOSE(CONTROL!$C$21, $C$9, 100%, $E$9)</f>
        <v>114.1023</v>
      </c>
      <c r="R963" s="14">
        <f>CHOOSE(CONTROL!$C$42, 114.9745, 114.9745) * CHOOSE(CONTROL!$C$21, $C$9, 100%, $E$9)</f>
        <v>114.97450000000001</v>
      </c>
      <c r="S963" s="14">
        <f>CHOOSE(CONTROL!$C$42, 111.2313, 111.2313) * CHOOSE(CONTROL!$C$21, $C$9, 100%, $E$9)</f>
        <v>111.2313</v>
      </c>
      <c r="T96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56">
        <f>(1000*CHOOSE(CONTROL!$C$42, 695, 695)*CHOOSE(CONTROL!$C$42, 0.5599, 0.5599)*CHOOSE(CONTROL!$C$42, 31, 31))/1000000</f>
        <v>12.063045499999998</v>
      </c>
      <c r="V963" s="56">
        <f>(1000*CHOOSE(CONTROL!$C$42, 500, 500)*CHOOSE(CONTROL!$C$42, 0.275, 0.275)*CHOOSE(CONTROL!$C$42, 31, 31))/1000000</f>
        <v>4.2625000000000002</v>
      </c>
      <c r="W963" s="56">
        <f>(1000*CHOOSE(CONTROL!$C$42, 0.1146, 0.1146)*CHOOSE(CONTROL!$C$42, 121.5, 121.5)*CHOOSE(CONTROL!$C$42, 31, 31))/1000000</f>
        <v>0.43164089999999994</v>
      </c>
      <c r="X963" s="56">
        <f>(31*0.1790888*100000/1000000)+(31*0.2374*100000/1000000)</f>
        <v>1.2911152800000001</v>
      </c>
      <c r="Y963" s="56"/>
      <c r="Z963" s="14"/>
      <c r="AA963" s="55"/>
      <c r="AB963" s="49">
        <f>(B963*122.58+C963*297.941+D963*89.177+E963*40.302+F963*40+G963*160+H963*0+I963*100+J963*300)/(122.58+297.941+89.177+40.302+0+40+160+100+300)</f>
        <v>115.82303396608695</v>
      </c>
      <c r="AC963" s="44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113.51179280575539</v>
      </c>
    </row>
    <row r="964" spans="1:29" ht="15.75" x14ac:dyDescent="0.25">
      <c r="A964" s="31">
        <v>70249</v>
      </c>
      <c r="B964" s="14">
        <f>CHOOSE(CONTROL!$C$42, 115.4207, 115.4207) * CHOOSE(CONTROL!$C$21, $C$9, 100%, $E$9)</f>
        <v>115.4207</v>
      </c>
      <c r="C964" s="14">
        <f>CHOOSE(CONTROL!$C$42, 115.4252, 115.4252) * CHOOSE(CONTROL!$C$21, $C$9, 100%, $E$9)</f>
        <v>115.4252</v>
      </c>
      <c r="D964" s="14">
        <f>CHOOSE(CONTROL!$C$42, 115.6541, 115.6541) * CHOOSE(CONTROL!$C$21, $C$9, 100%, $E$9)</f>
        <v>115.6541</v>
      </c>
      <c r="E964" s="14">
        <f>CHOOSE(CONTROL!$C$42, 115.6862, 115.6862) * CHOOSE(CONTROL!$C$21, $C$9, 100%, $E$9)</f>
        <v>115.6862</v>
      </c>
      <c r="F964" s="14">
        <f>CHOOSE(CONTROL!$C$42, 115.4477, 115.4477)*CHOOSE(CONTROL!$C$21, $C$9, 100%, $E$9)</f>
        <v>115.4477</v>
      </c>
      <c r="G964" s="14">
        <f>CHOOSE(CONTROL!$C$42, 115.4644, 115.4644)*CHOOSE(CONTROL!$C$21, $C$9, 100%, $E$9)</f>
        <v>115.4644</v>
      </c>
      <c r="H964" s="14">
        <f>CHOOSE(CONTROL!$C$42, 115.676, 115.676) * CHOOSE(CONTROL!$C$21, $C$9, 100%, $E$9)</f>
        <v>115.676</v>
      </c>
      <c r="I964" s="14">
        <f>CHOOSE(CONTROL!$C$42, 115.8151, 115.8151)* CHOOSE(CONTROL!$C$21, $C$9, 100%, $E$9)</f>
        <v>115.8151</v>
      </c>
      <c r="J964" s="14">
        <f>CHOOSE(CONTROL!$C$42, 115.4407, 115.4407)* CHOOSE(CONTROL!$C$21, $C$9, 100%, $E$9)</f>
        <v>115.44070000000001</v>
      </c>
      <c r="K964" s="52">
        <f>CHOOSE(CONTROL!$C$42, 115.8112, 115.8112) * CHOOSE(CONTROL!$C$21, $C$9, 100%, $E$9)</f>
        <v>115.8112</v>
      </c>
      <c r="L964" s="14">
        <f>CHOOSE(CONTROL!$C$42, 116.263, 116.263) * CHOOSE(CONTROL!$C$21, $C$9, 100%, $E$9)</f>
        <v>116.26300000000001</v>
      </c>
      <c r="M964" s="14">
        <f>CHOOSE(CONTROL!$C$42, 113.0831, 113.0831) * CHOOSE(CONTROL!$C$21, $C$9, 100%, $E$9)</f>
        <v>113.0831</v>
      </c>
      <c r="N964" s="14">
        <f>CHOOSE(CONTROL!$C$42, 113.0994, 113.0994) * CHOOSE(CONTROL!$C$21, $C$9, 100%, $E$9)</f>
        <v>113.0994</v>
      </c>
      <c r="O964" s="14">
        <f>CHOOSE(CONTROL!$C$42, 113.3135, 113.3135) * CHOOSE(CONTROL!$C$21, $C$9, 100%, $E$9)</f>
        <v>113.3135</v>
      </c>
      <c r="P964" s="14">
        <f>CHOOSE(CONTROL!$C$42, 113.4426, 113.4426) * CHOOSE(CONTROL!$C$21, $C$9, 100%, $E$9)</f>
        <v>113.4426</v>
      </c>
      <c r="Q964" s="14">
        <f>CHOOSE(CONTROL!$C$42, 113.9082, 113.9082) * CHOOSE(CONTROL!$C$21, $C$9, 100%, $E$9)</f>
        <v>113.90819999999999</v>
      </c>
      <c r="R964" s="14">
        <f>CHOOSE(CONTROL!$C$42, 114.78, 114.78) * CHOOSE(CONTROL!$C$21, $C$9, 100%, $E$9)</f>
        <v>114.78</v>
      </c>
      <c r="S964" s="14">
        <f>CHOOSE(CONTROL!$C$42, 110.8984, 110.8984) * CHOOSE(CONTROL!$C$21, $C$9, 100%, $E$9)</f>
        <v>110.8984</v>
      </c>
      <c r="T96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56">
        <f>(1000*CHOOSE(CONTROL!$C$42, 695, 695)*CHOOSE(CONTROL!$C$42, 0.5599, 0.5599)*CHOOSE(CONTROL!$C$42, 30, 30))/1000000</f>
        <v>11.673914999999997</v>
      </c>
      <c r="V964" s="56">
        <f>(1000*CHOOSE(CONTROL!$C$42, 500, 500)*CHOOSE(CONTROL!$C$42, 0.275, 0.275)*CHOOSE(CONTROL!$C$42, 30, 30))/1000000</f>
        <v>4.125</v>
      </c>
      <c r="W964" s="56">
        <f>(1000*CHOOSE(CONTROL!$C$42, 0.1146, 0.1146)*CHOOSE(CONTROL!$C$42, 121.5, 121.5)*CHOOSE(CONTROL!$C$42, 30, 30))/1000000</f>
        <v>0.417717</v>
      </c>
      <c r="X964" s="56">
        <f>(30*0.1790888*245000/1000000)+(30*0.2374*100000/1000000)</f>
        <v>2.0285026799999999</v>
      </c>
      <c r="Y964" s="56"/>
      <c r="Z964" s="14"/>
      <c r="AA964" s="55"/>
      <c r="AB964" s="49">
        <f>(B964*141.293+C964*267.993+D964*115.016+E964*89.698+F964*40+G964*185+H964*0+I964*100+J964*300)/(141.293+267.993+115.016+89.698+0+40+185+100+300)</f>
        <v>115.50663222106536</v>
      </c>
      <c r="AC964" s="44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113.24019064748201</v>
      </c>
    </row>
    <row r="965" spans="1:29" ht="15.75" x14ac:dyDescent="0.25">
      <c r="A965" s="31">
        <v>70280</v>
      </c>
      <c r="B965" s="14">
        <f>CHOOSE(CONTROL!$C$42, 116.4407, 116.4407) * CHOOSE(CONTROL!$C$21, $C$9, 100%, $E$9)</f>
        <v>116.44070000000001</v>
      </c>
      <c r="C965" s="14">
        <f>CHOOSE(CONTROL!$C$42, 116.4487, 116.4487) * CHOOSE(CONTROL!$C$21, $C$9, 100%, $E$9)</f>
        <v>116.4487</v>
      </c>
      <c r="D965" s="14">
        <f>CHOOSE(CONTROL!$C$42, 116.6745, 116.6745) * CHOOSE(CONTROL!$C$21, $C$9, 100%, $E$9)</f>
        <v>116.67449999999999</v>
      </c>
      <c r="E965" s="14">
        <f>CHOOSE(CONTROL!$C$42, 116.706, 116.706) * CHOOSE(CONTROL!$C$21, $C$9, 100%, $E$9)</f>
        <v>116.706</v>
      </c>
      <c r="F965" s="14">
        <f>CHOOSE(CONTROL!$C$42, 116.4664, 116.4664)*CHOOSE(CONTROL!$C$21, $C$9, 100%, $E$9)</f>
        <v>116.46639999999999</v>
      </c>
      <c r="G965" s="14">
        <f>CHOOSE(CONTROL!$C$42, 116.4833, 116.4833)*CHOOSE(CONTROL!$C$21, $C$9, 100%, $E$9)</f>
        <v>116.4833</v>
      </c>
      <c r="H965" s="14">
        <f>CHOOSE(CONTROL!$C$42, 116.6946, 116.6946) * CHOOSE(CONTROL!$C$21, $C$9, 100%, $E$9)</f>
        <v>116.69459999999999</v>
      </c>
      <c r="I965" s="14">
        <f>CHOOSE(CONTROL!$C$42, 116.8369, 116.8369)* CHOOSE(CONTROL!$C$21, $C$9, 100%, $E$9)</f>
        <v>116.8369</v>
      </c>
      <c r="J965" s="14">
        <f>CHOOSE(CONTROL!$C$42, 116.4594, 116.4594)* CHOOSE(CONTROL!$C$21, $C$9, 100%, $E$9)</f>
        <v>116.4594</v>
      </c>
      <c r="K965" s="52">
        <f>CHOOSE(CONTROL!$C$42, 116.833, 116.833) * CHOOSE(CONTROL!$C$21, $C$9, 100%, $E$9)</f>
        <v>116.833</v>
      </c>
      <c r="L965" s="14">
        <f>CHOOSE(CONTROL!$C$42, 117.2816, 117.2816) * CHOOSE(CONTROL!$C$21, $C$9, 100%, $E$9)</f>
        <v>117.2816</v>
      </c>
      <c r="M965" s="14">
        <f>CHOOSE(CONTROL!$C$42, 114.0809, 114.0809) * CHOOSE(CONTROL!$C$21, $C$9, 100%, $E$9)</f>
        <v>114.0809</v>
      </c>
      <c r="N965" s="14">
        <f>CHOOSE(CONTROL!$C$42, 114.0975, 114.0975) * CHOOSE(CONTROL!$C$21, $C$9, 100%, $E$9)</f>
        <v>114.0975</v>
      </c>
      <c r="O965" s="14">
        <f>CHOOSE(CONTROL!$C$42, 114.3113, 114.3113) * CHOOSE(CONTROL!$C$21, $C$9, 100%, $E$9)</f>
        <v>114.3113</v>
      </c>
      <c r="P965" s="14">
        <f>CHOOSE(CONTROL!$C$42, 114.4434, 114.4434) * CHOOSE(CONTROL!$C$21, $C$9, 100%, $E$9)</f>
        <v>114.4434</v>
      </c>
      <c r="Q965" s="14">
        <f>CHOOSE(CONTROL!$C$42, 114.906, 114.906) * CHOOSE(CONTROL!$C$21, $C$9, 100%, $E$9)</f>
        <v>114.90600000000001</v>
      </c>
      <c r="R965" s="14">
        <f>CHOOSE(CONTROL!$C$42, 115.7803, 115.7803) * CHOOSE(CONTROL!$C$21, $C$9, 100%, $E$9)</f>
        <v>115.7803</v>
      </c>
      <c r="S965" s="14">
        <f>CHOOSE(CONTROL!$C$42, 111.8772, 111.8772) * CHOOSE(CONTROL!$C$21, $C$9, 100%, $E$9)</f>
        <v>111.8772</v>
      </c>
      <c r="T96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56">
        <f>(1000*CHOOSE(CONTROL!$C$42, 695, 695)*CHOOSE(CONTROL!$C$42, 0.5599, 0.5599)*CHOOSE(CONTROL!$C$42, 31, 31))/1000000</f>
        <v>12.063045499999998</v>
      </c>
      <c r="V965" s="56">
        <f>(1000*CHOOSE(CONTROL!$C$42, 500, 500)*CHOOSE(CONTROL!$C$42, 0.275, 0.275)*CHOOSE(CONTROL!$C$42, 31, 31))/1000000</f>
        <v>4.2625000000000002</v>
      </c>
      <c r="W965" s="56">
        <f>(1000*CHOOSE(CONTROL!$C$42, 0.1146, 0.1146)*CHOOSE(CONTROL!$C$42, 121.5, 121.5)*CHOOSE(CONTROL!$C$42, 31, 31))/1000000</f>
        <v>0.43164089999999994</v>
      </c>
      <c r="X965" s="56">
        <f>(31*0.1790888*245000/1000000)+(31*0.2374*100000/1000000)</f>
        <v>2.0961194359999999</v>
      </c>
      <c r="Y965" s="56"/>
      <c r="Z965" s="14"/>
      <c r="AA965" s="55"/>
      <c r="AB965" s="49">
        <f>(B965*194.205+C965*267.466+D965*133.845+E965*53.484+F965*40+G965*185+H965*0+I965*100+J965*300)/(194.205+267.466+133.845+53.484+0+40+185+100+300)</f>
        <v>116.52057519167974</v>
      </c>
      <c r="AC965" s="44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114.23843956834531</v>
      </c>
    </row>
    <row r="966" spans="1:29" ht="15.75" x14ac:dyDescent="0.25">
      <c r="A966" s="31">
        <v>70310</v>
      </c>
      <c r="B966" s="14">
        <f>CHOOSE(CONTROL!$C$42, 119.7434, 119.7434) * CHOOSE(CONTROL!$C$21, $C$9, 100%, $E$9)</f>
        <v>119.74339999999999</v>
      </c>
      <c r="C966" s="14">
        <f>CHOOSE(CONTROL!$C$42, 119.7514, 119.7514) * CHOOSE(CONTROL!$C$21, $C$9, 100%, $E$9)</f>
        <v>119.7514</v>
      </c>
      <c r="D966" s="14">
        <f>CHOOSE(CONTROL!$C$42, 119.9772, 119.9772) * CHOOSE(CONTROL!$C$21, $C$9, 100%, $E$9)</f>
        <v>119.9772</v>
      </c>
      <c r="E966" s="14">
        <f>CHOOSE(CONTROL!$C$42, 120.0086, 120.0086) * CHOOSE(CONTROL!$C$21, $C$9, 100%, $E$9)</f>
        <v>120.0086</v>
      </c>
      <c r="F966" s="14">
        <f>CHOOSE(CONTROL!$C$42, 119.7695, 119.7695)*CHOOSE(CONTROL!$C$21, $C$9, 100%, $E$9)</f>
        <v>119.76949999999999</v>
      </c>
      <c r="G966" s="14">
        <f>CHOOSE(CONTROL!$C$42, 119.7865, 119.7865)*CHOOSE(CONTROL!$C$21, $C$9, 100%, $E$9)</f>
        <v>119.7865</v>
      </c>
      <c r="H966" s="14">
        <f>CHOOSE(CONTROL!$C$42, 119.9973, 119.9973) * CHOOSE(CONTROL!$C$21, $C$9, 100%, $E$9)</f>
        <v>119.9973</v>
      </c>
      <c r="I966" s="14">
        <f>CHOOSE(CONTROL!$C$42, 120.1499, 120.1499)* CHOOSE(CONTROL!$C$21, $C$9, 100%, $E$9)</f>
        <v>120.1499</v>
      </c>
      <c r="J966" s="14">
        <f>CHOOSE(CONTROL!$C$42, 119.7625, 119.7625)* CHOOSE(CONTROL!$C$21, $C$9, 100%, $E$9)</f>
        <v>119.7625</v>
      </c>
      <c r="K966" s="52">
        <f>CHOOSE(CONTROL!$C$42, 120.146, 120.146) * CHOOSE(CONTROL!$C$21, $C$9, 100%, $E$9)</f>
        <v>120.146</v>
      </c>
      <c r="L966" s="14">
        <f>CHOOSE(CONTROL!$C$42, 120.5843, 120.5843) * CHOOSE(CONTROL!$C$21, $C$9, 100%, $E$9)</f>
        <v>120.5843</v>
      </c>
      <c r="M966" s="14">
        <f>CHOOSE(CONTROL!$C$42, 117.3163, 117.3163) * CHOOSE(CONTROL!$C$21, $C$9, 100%, $E$9)</f>
        <v>117.3163</v>
      </c>
      <c r="N966" s="14">
        <f>CHOOSE(CONTROL!$C$42, 117.333, 117.333) * CHOOSE(CONTROL!$C$21, $C$9, 100%, $E$9)</f>
        <v>117.333</v>
      </c>
      <c r="O966" s="14">
        <f>CHOOSE(CONTROL!$C$42, 117.5463, 117.5463) * CHOOSE(CONTROL!$C$21, $C$9, 100%, $E$9)</f>
        <v>117.5463</v>
      </c>
      <c r="P966" s="14">
        <f>CHOOSE(CONTROL!$C$42, 117.6884, 117.6884) * CHOOSE(CONTROL!$C$21, $C$9, 100%, $E$9)</f>
        <v>117.6884</v>
      </c>
      <c r="Q966" s="14">
        <f>CHOOSE(CONTROL!$C$42, 118.141, 118.141) * CHOOSE(CONTROL!$C$21, $C$9, 100%, $E$9)</f>
        <v>118.14100000000001</v>
      </c>
      <c r="R966" s="14">
        <f>CHOOSE(CONTROL!$C$42, 119.0234, 119.0234) * CHOOSE(CONTROL!$C$21, $C$9, 100%, $E$9)</f>
        <v>119.0234</v>
      </c>
      <c r="S966" s="14">
        <f>CHOOSE(CONTROL!$C$42, 115.0508, 115.0508) * CHOOSE(CONTROL!$C$21, $C$9, 100%, $E$9)</f>
        <v>115.0508</v>
      </c>
      <c r="T96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56">
        <f>(1000*CHOOSE(CONTROL!$C$42, 695, 695)*CHOOSE(CONTROL!$C$42, 0.5599, 0.5599)*CHOOSE(CONTROL!$C$42, 30, 30))/1000000</f>
        <v>11.673914999999997</v>
      </c>
      <c r="V966" s="56">
        <f>(1000*CHOOSE(CONTROL!$C$42, 500, 500)*CHOOSE(CONTROL!$C$42, 0.275, 0.275)*CHOOSE(CONTROL!$C$42, 30, 30))/1000000</f>
        <v>4.125</v>
      </c>
      <c r="W966" s="56">
        <f>(1000*CHOOSE(CONTROL!$C$42, 0.1146, 0.1146)*CHOOSE(CONTROL!$C$42, 121.5, 121.5)*CHOOSE(CONTROL!$C$42, 30, 30))/1000000</f>
        <v>0.417717</v>
      </c>
      <c r="X966" s="56">
        <f>(30*0.1790888*245000/1000000)+(30*0.2374*100000/1000000)</f>
        <v>2.0285026799999999</v>
      </c>
      <c r="Y966" s="56"/>
      <c r="Z966" s="14"/>
      <c r="AA966" s="55"/>
      <c r="AB966" s="49">
        <f>(B966*194.205+C966*267.466+D966*133.845+E966*53.484+F966*40+G966*185+H966*0+I966*100+J966*300)/(194.205+267.466+133.845+53.484+0+40+185+100+300)</f>
        <v>119.82425882715857</v>
      </c>
      <c r="AC966" s="44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117.475045323741</v>
      </c>
    </row>
    <row r="967" spans="1:29" ht="15.75" x14ac:dyDescent="0.25">
      <c r="A967" s="31">
        <v>70341</v>
      </c>
      <c r="B967" s="14">
        <f>CHOOSE(CONTROL!$C$42, 117.4463, 117.4463) * CHOOSE(CONTROL!$C$21, $C$9, 100%, $E$9)</f>
        <v>117.44629999999999</v>
      </c>
      <c r="C967" s="14">
        <f>CHOOSE(CONTROL!$C$42, 117.4544, 117.4544) * CHOOSE(CONTROL!$C$21, $C$9, 100%, $E$9)</f>
        <v>117.45440000000001</v>
      </c>
      <c r="D967" s="14">
        <f>CHOOSE(CONTROL!$C$42, 117.6802, 117.6802) * CHOOSE(CONTROL!$C$21, $C$9, 100%, $E$9)</f>
        <v>117.6802</v>
      </c>
      <c r="E967" s="14">
        <f>CHOOSE(CONTROL!$C$42, 117.7116, 117.7116) * CHOOSE(CONTROL!$C$21, $C$9, 100%, $E$9)</f>
        <v>117.7116</v>
      </c>
      <c r="F967" s="14">
        <f>CHOOSE(CONTROL!$C$42, 117.4729, 117.4729)*CHOOSE(CONTROL!$C$21, $C$9, 100%, $E$9)</f>
        <v>117.4729</v>
      </c>
      <c r="G967" s="14">
        <f>CHOOSE(CONTROL!$C$42, 117.4901, 117.4901)*CHOOSE(CONTROL!$C$21, $C$9, 100%, $E$9)</f>
        <v>117.4901</v>
      </c>
      <c r="H967" s="14">
        <f>CHOOSE(CONTROL!$C$42, 117.7002, 117.7002) * CHOOSE(CONTROL!$C$21, $C$9, 100%, $E$9)</f>
        <v>117.7002</v>
      </c>
      <c r="I967" s="14">
        <f>CHOOSE(CONTROL!$C$42, 117.8457, 117.8457)* CHOOSE(CONTROL!$C$21, $C$9, 100%, $E$9)</f>
        <v>117.84569999999999</v>
      </c>
      <c r="J967" s="14">
        <f>CHOOSE(CONTROL!$C$42, 117.4659, 117.4659)* CHOOSE(CONTROL!$C$21, $C$9, 100%, $E$9)</f>
        <v>117.4659</v>
      </c>
      <c r="K967" s="52">
        <f>CHOOSE(CONTROL!$C$42, 117.8418, 117.8418) * CHOOSE(CONTROL!$C$21, $C$9, 100%, $E$9)</f>
        <v>117.84180000000001</v>
      </c>
      <c r="L967" s="14">
        <f>CHOOSE(CONTROL!$C$42, 118.2872, 118.2872) * CHOOSE(CONTROL!$C$21, $C$9, 100%, $E$9)</f>
        <v>118.2872</v>
      </c>
      <c r="M967" s="14">
        <f>CHOOSE(CONTROL!$C$42, 115.0668, 115.0668) * CHOOSE(CONTROL!$C$21, $C$9, 100%, $E$9)</f>
        <v>115.0668</v>
      </c>
      <c r="N967" s="14">
        <f>CHOOSE(CONTROL!$C$42, 115.0837, 115.0837) * CHOOSE(CONTROL!$C$21, $C$9, 100%, $E$9)</f>
        <v>115.08369999999999</v>
      </c>
      <c r="O967" s="14">
        <f>CHOOSE(CONTROL!$C$42, 115.2963, 115.2963) * CHOOSE(CONTROL!$C$21, $C$9, 100%, $E$9)</f>
        <v>115.2963</v>
      </c>
      <c r="P967" s="14">
        <f>CHOOSE(CONTROL!$C$42, 115.4315, 115.4315) * CHOOSE(CONTROL!$C$21, $C$9, 100%, $E$9)</f>
        <v>115.4315</v>
      </c>
      <c r="Q967" s="14">
        <f>CHOOSE(CONTROL!$C$42, 115.891, 115.891) * CHOOSE(CONTROL!$C$21, $C$9, 100%, $E$9)</f>
        <v>115.89100000000001</v>
      </c>
      <c r="R967" s="14">
        <f>CHOOSE(CONTROL!$C$42, 116.7678, 116.7678) * CHOOSE(CONTROL!$C$21, $C$9, 100%, $E$9)</f>
        <v>116.76779999999999</v>
      </c>
      <c r="S967" s="14">
        <f>CHOOSE(CONTROL!$C$42, 112.8436, 112.8436) * CHOOSE(CONTROL!$C$21, $C$9, 100%, $E$9)</f>
        <v>112.8436</v>
      </c>
      <c r="T96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56">
        <f>(1000*CHOOSE(CONTROL!$C$42, 695, 695)*CHOOSE(CONTROL!$C$42, 0.5599, 0.5599)*CHOOSE(CONTROL!$C$42, 31, 31))/1000000</f>
        <v>12.063045499999998</v>
      </c>
      <c r="V967" s="56">
        <f>(1000*CHOOSE(CONTROL!$C$42, 500, 500)*CHOOSE(CONTROL!$C$42, 0.275, 0.275)*CHOOSE(CONTROL!$C$42, 31, 31))/1000000</f>
        <v>4.2625000000000002</v>
      </c>
      <c r="W967" s="56">
        <f>(1000*CHOOSE(CONTROL!$C$42, 0.1146, 0.1146)*CHOOSE(CONTROL!$C$42, 121.5, 121.5)*CHOOSE(CONTROL!$C$42, 31, 31))/1000000</f>
        <v>0.43164089999999994</v>
      </c>
      <c r="X967" s="56">
        <f>(31*0.1790888*245000/1000000)+(31*0.2374*100000/1000000)</f>
        <v>2.0961194359999999</v>
      </c>
      <c r="Y967" s="56"/>
      <c r="Z967" s="14"/>
      <c r="AA967" s="55"/>
      <c r="AB967" s="49">
        <f>(B967*194.205+C967*267.466+D967*133.845+E967*53.484+F967*40+G967*185+H967*0+I967*100+J967*300)/(194.205+267.466+133.845+53.484+0+40+185+100+300)</f>
        <v>117.52687231185244</v>
      </c>
      <c r="AC967" s="44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115.2242654676259</v>
      </c>
    </row>
    <row r="968" spans="1:29" ht="15.75" x14ac:dyDescent="0.25">
      <c r="A968" s="31">
        <v>70372</v>
      </c>
      <c r="B968" s="14">
        <f>CHOOSE(CONTROL!$C$42, 111.6456, 111.6456) * CHOOSE(CONTROL!$C$21, $C$9, 100%, $E$9)</f>
        <v>111.6456</v>
      </c>
      <c r="C968" s="14">
        <f>CHOOSE(CONTROL!$C$42, 111.6536, 111.6536) * CHOOSE(CONTROL!$C$21, $C$9, 100%, $E$9)</f>
        <v>111.6536</v>
      </c>
      <c r="D968" s="14">
        <f>CHOOSE(CONTROL!$C$42, 111.8794, 111.8794) * CHOOSE(CONTROL!$C$21, $C$9, 100%, $E$9)</f>
        <v>111.8794</v>
      </c>
      <c r="E968" s="14">
        <f>CHOOSE(CONTROL!$C$42, 111.9109, 111.9109) * CHOOSE(CONTROL!$C$21, $C$9, 100%, $E$9)</f>
        <v>111.9109</v>
      </c>
      <c r="F968" s="14">
        <f>CHOOSE(CONTROL!$C$42, 111.6724, 111.6724)*CHOOSE(CONTROL!$C$21, $C$9, 100%, $E$9)</f>
        <v>111.6724</v>
      </c>
      <c r="G968" s="14">
        <f>CHOOSE(CONTROL!$C$42, 111.6897, 111.6897)*CHOOSE(CONTROL!$C$21, $C$9, 100%, $E$9)</f>
        <v>111.6897</v>
      </c>
      <c r="H968" s="14">
        <f>CHOOSE(CONTROL!$C$42, 111.8995, 111.8995) * CHOOSE(CONTROL!$C$21, $C$9, 100%, $E$9)</f>
        <v>111.8995</v>
      </c>
      <c r="I968" s="14">
        <f>CHOOSE(CONTROL!$C$42, 112.0268, 112.0268)* CHOOSE(CONTROL!$C$21, $C$9, 100%, $E$9)</f>
        <v>112.02679999999999</v>
      </c>
      <c r="J968" s="14">
        <f>CHOOSE(CONTROL!$C$42, 111.6654, 111.6654)* CHOOSE(CONTROL!$C$21, $C$9, 100%, $E$9)</f>
        <v>111.66540000000001</v>
      </c>
      <c r="K968" s="52">
        <f>CHOOSE(CONTROL!$C$42, 112.0229, 112.0229) * CHOOSE(CONTROL!$C$21, $C$9, 100%, $E$9)</f>
        <v>112.02290000000001</v>
      </c>
      <c r="L968" s="14">
        <f>CHOOSE(CONTROL!$C$42, 112.4865, 112.4865) * CHOOSE(CONTROL!$C$21, $C$9, 100%, $E$9)</f>
        <v>112.48650000000001</v>
      </c>
      <c r="M968" s="14">
        <f>CHOOSE(CONTROL!$C$42, 109.3852, 109.3852) * CHOOSE(CONTROL!$C$21, $C$9, 100%, $E$9)</f>
        <v>109.3852</v>
      </c>
      <c r="N968" s="14">
        <f>CHOOSE(CONTROL!$C$42, 109.4021, 109.4021) * CHOOSE(CONTROL!$C$21, $C$9, 100%, $E$9)</f>
        <v>109.4021</v>
      </c>
      <c r="O968" s="14">
        <f>CHOOSE(CONTROL!$C$42, 109.6145, 109.6145) * CHOOSE(CONTROL!$C$21, $C$9, 100%, $E$9)</f>
        <v>109.61450000000001</v>
      </c>
      <c r="P968" s="14">
        <f>CHOOSE(CONTROL!$C$42, 109.7322, 109.7322) * CHOOSE(CONTROL!$C$21, $C$9, 100%, $E$9)</f>
        <v>109.73220000000001</v>
      </c>
      <c r="Q968" s="14">
        <f>CHOOSE(CONTROL!$C$42, 110.2092, 110.2092) * CHOOSE(CONTROL!$C$21, $C$9, 100%, $E$9)</f>
        <v>110.2092</v>
      </c>
      <c r="R968" s="14">
        <f>CHOOSE(CONTROL!$C$42, 111.0717, 111.0717) * CHOOSE(CONTROL!$C$21, $C$9, 100%, $E$9)</f>
        <v>111.07170000000001</v>
      </c>
      <c r="S968" s="14">
        <f>CHOOSE(CONTROL!$C$42, 107.2696, 107.2696) * CHOOSE(CONTROL!$C$21, $C$9, 100%, $E$9)</f>
        <v>107.2696</v>
      </c>
      <c r="T96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56">
        <f>(1000*CHOOSE(CONTROL!$C$42, 695, 695)*CHOOSE(CONTROL!$C$42, 0.5599, 0.5599)*CHOOSE(CONTROL!$C$42, 31, 31))/1000000</f>
        <v>12.063045499999998</v>
      </c>
      <c r="V968" s="56">
        <f>(1000*CHOOSE(CONTROL!$C$42, 500, 500)*CHOOSE(CONTROL!$C$42, 0.275, 0.275)*CHOOSE(CONTROL!$C$42, 31, 31))/1000000</f>
        <v>4.2625000000000002</v>
      </c>
      <c r="W968" s="56">
        <f>(1000*CHOOSE(CONTROL!$C$42, 0.1146, 0.1146)*CHOOSE(CONTROL!$C$42, 121.5, 121.5)*CHOOSE(CONTROL!$C$42, 31, 31))/1000000</f>
        <v>0.43164089999999994</v>
      </c>
      <c r="X968" s="56">
        <f>(31*0.1790888*245000/1000000)+(31*0.2374*100000/1000000)</f>
        <v>2.0961194359999999</v>
      </c>
      <c r="Y968" s="56"/>
      <c r="Z968" s="14"/>
      <c r="AA968" s="55"/>
      <c r="AB968" s="49">
        <f>(B968*194.205+C968*267.466+D968*133.845+E968*53.484+F968*40+G968*185+H968*0+I968*100+J968*300)/(194.205+267.466+133.845+53.484+0+40+185+100+300)</f>
        <v>111.72480917912087</v>
      </c>
      <c r="AC968" s="44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109.54002805755397</v>
      </c>
    </row>
    <row r="969" spans="1:29" ht="15.75" x14ac:dyDescent="0.25">
      <c r="A969" s="31">
        <v>70402</v>
      </c>
      <c r="B969" s="14">
        <f>CHOOSE(CONTROL!$C$42, 104.558, 104.558) * CHOOSE(CONTROL!$C$21, $C$9, 100%, $E$9)</f>
        <v>104.55800000000001</v>
      </c>
      <c r="C969" s="14">
        <f>CHOOSE(CONTROL!$C$42, 104.566, 104.566) * CHOOSE(CONTROL!$C$21, $C$9, 100%, $E$9)</f>
        <v>104.566</v>
      </c>
      <c r="D969" s="14">
        <f>CHOOSE(CONTROL!$C$42, 104.7918, 104.7918) * CHOOSE(CONTROL!$C$21, $C$9, 100%, $E$9)</f>
        <v>104.79179999999999</v>
      </c>
      <c r="E969" s="14">
        <f>CHOOSE(CONTROL!$C$42, 104.8233, 104.8233) * CHOOSE(CONTROL!$C$21, $C$9, 100%, $E$9)</f>
        <v>104.8233</v>
      </c>
      <c r="F969" s="14">
        <f>CHOOSE(CONTROL!$C$42, 104.5848, 104.5848)*CHOOSE(CONTROL!$C$21, $C$9, 100%, $E$9)</f>
        <v>104.5848</v>
      </c>
      <c r="G969" s="14">
        <f>CHOOSE(CONTROL!$C$42, 104.6021, 104.6021)*CHOOSE(CONTROL!$C$21, $C$9, 100%, $E$9)</f>
        <v>104.60209999999999</v>
      </c>
      <c r="H969" s="14">
        <f>CHOOSE(CONTROL!$C$42, 104.8119, 104.8119) * CHOOSE(CONTROL!$C$21, $C$9, 100%, $E$9)</f>
        <v>104.81189999999999</v>
      </c>
      <c r="I969" s="14">
        <f>CHOOSE(CONTROL!$C$42, 104.917, 104.917)* CHOOSE(CONTROL!$C$21, $C$9, 100%, $E$9)</f>
        <v>104.917</v>
      </c>
      <c r="J969" s="14">
        <f>CHOOSE(CONTROL!$C$42, 104.5778, 104.5778)* CHOOSE(CONTROL!$C$21, $C$9, 100%, $E$9)</f>
        <v>104.5778</v>
      </c>
      <c r="K969" s="52">
        <f>CHOOSE(CONTROL!$C$42, 104.9131, 104.9131) * CHOOSE(CONTROL!$C$21, $C$9, 100%, $E$9)</f>
        <v>104.9131</v>
      </c>
      <c r="L969" s="14">
        <f>CHOOSE(CONTROL!$C$42, 105.3989, 105.3989) * CHOOSE(CONTROL!$C$21, $C$9, 100%, $E$9)</f>
        <v>105.3989</v>
      </c>
      <c r="M969" s="14">
        <f>CHOOSE(CONTROL!$C$42, 102.4428, 102.4428) * CHOOSE(CONTROL!$C$21, $C$9, 100%, $E$9)</f>
        <v>102.44280000000001</v>
      </c>
      <c r="N969" s="14">
        <f>CHOOSE(CONTROL!$C$42, 102.4597, 102.4597) * CHOOSE(CONTROL!$C$21, $C$9, 100%, $E$9)</f>
        <v>102.4597</v>
      </c>
      <c r="O969" s="14">
        <f>CHOOSE(CONTROL!$C$42, 102.6721, 102.6721) * CHOOSE(CONTROL!$C$21, $C$9, 100%, $E$9)</f>
        <v>102.6721</v>
      </c>
      <c r="P969" s="14">
        <f>CHOOSE(CONTROL!$C$42, 102.7685, 102.7685) * CHOOSE(CONTROL!$C$21, $C$9, 100%, $E$9)</f>
        <v>102.7685</v>
      </c>
      <c r="Q969" s="14">
        <f>CHOOSE(CONTROL!$C$42, 103.2668, 103.2668) * CHOOSE(CONTROL!$C$21, $C$9, 100%, $E$9)</f>
        <v>103.2668</v>
      </c>
      <c r="R969" s="14">
        <f>CHOOSE(CONTROL!$C$42, 104.1119, 104.1119) * CHOOSE(CONTROL!$C$21, $C$9, 100%, $E$9)</f>
        <v>104.11190000000001</v>
      </c>
      <c r="S969" s="14">
        <f>CHOOSE(CONTROL!$C$42, 100.4592, 100.4592) * CHOOSE(CONTROL!$C$21, $C$9, 100%, $E$9)</f>
        <v>100.4592</v>
      </c>
      <c r="T96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56">
        <f>(1000*CHOOSE(CONTROL!$C$42, 695, 695)*CHOOSE(CONTROL!$C$42, 0.5599, 0.5599)*CHOOSE(CONTROL!$C$42, 30, 30))/1000000</f>
        <v>11.673914999999997</v>
      </c>
      <c r="V969" s="56">
        <f>(1000*CHOOSE(CONTROL!$C$42, 500, 500)*CHOOSE(CONTROL!$C$42, 0.275, 0.275)*CHOOSE(CONTROL!$C$42, 30, 30))/1000000</f>
        <v>4.125</v>
      </c>
      <c r="W969" s="56">
        <f>(1000*CHOOSE(CONTROL!$C$42, 0.1146, 0.1146)*CHOOSE(CONTROL!$C$42, 121.5, 121.5)*CHOOSE(CONTROL!$C$42, 30, 30))/1000000</f>
        <v>0.417717</v>
      </c>
      <c r="X969" s="56">
        <f>(30*0.1790888*245000/1000000)+(30*0.2374*100000/1000000)</f>
        <v>2.0285026799999999</v>
      </c>
      <c r="Y969" s="56"/>
      <c r="Z969" s="14"/>
      <c r="AA969" s="55"/>
      <c r="AB969" s="49">
        <f>(B969*194.205+C969*267.466+D969*133.845+E969*53.484+F969*40+G969*185+H969*0+I969*100+J969*300)/(194.205+267.466+133.845+53.484+0+40+185+100+300)</f>
        <v>104.63546663594977</v>
      </c>
      <c r="AC969" s="44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102.59456330935252</v>
      </c>
    </row>
    <row r="970" spans="1:29" ht="15.75" x14ac:dyDescent="0.25">
      <c r="A970" s="31">
        <v>70433</v>
      </c>
      <c r="B970" s="14">
        <f>CHOOSE(CONTROL!$C$42, 102.4335, 102.4335) * CHOOSE(CONTROL!$C$21, $C$9, 100%, $E$9)</f>
        <v>102.4335</v>
      </c>
      <c r="C970" s="14">
        <f>CHOOSE(CONTROL!$C$42, 102.4389, 102.4389) * CHOOSE(CONTROL!$C$21, $C$9, 100%, $E$9)</f>
        <v>102.4389</v>
      </c>
      <c r="D970" s="14">
        <f>CHOOSE(CONTROL!$C$42, 102.6696, 102.6696) * CHOOSE(CONTROL!$C$21, $C$9, 100%, $E$9)</f>
        <v>102.6696</v>
      </c>
      <c r="E970" s="14">
        <f>CHOOSE(CONTROL!$C$42, 102.6987, 102.6987) * CHOOSE(CONTROL!$C$21, $C$9, 100%, $E$9)</f>
        <v>102.6987</v>
      </c>
      <c r="F970" s="14">
        <f>CHOOSE(CONTROL!$C$42, 102.4624, 102.4624)*CHOOSE(CONTROL!$C$21, $C$9, 100%, $E$9)</f>
        <v>102.4624</v>
      </c>
      <c r="G970" s="14">
        <f>CHOOSE(CONTROL!$C$42, 102.4795, 102.4795)*CHOOSE(CONTROL!$C$21, $C$9, 100%, $E$9)</f>
        <v>102.4795</v>
      </c>
      <c r="H970" s="14">
        <f>CHOOSE(CONTROL!$C$42, 102.6892, 102.6892) * CHOOSE(CONTROL!$C$21, $C$9, 100%, $E$9)</f>
        <v>102.6892</v>
      </c>
      <c r="I970" s="14">
        <f>CHOOSE(CONTROL!$C$42, 102.7876, 102.7876)* CHOOSE(CONTROL!$C$21, $C$9, 100%, $E$9)</f>
        <v>102.7876</v>
      </c>
      <c r="J970" s="14">
        <f>CHOOSE(CONTROL!$C$42, 102.4554, 102.4554)* CHOOSE(CONTROL!$C$21, $C$9, 100%, $E$9)</f>
        <v>102.4554</v>
      </c>
      <c r="K970" s="52">
        <f>CHOOSE(CONTROL!$C$42, 102.7837, 102.7837) * CHOOSE(CONTROL!$C$21, $C$9, 100%, $E$9)</f>
        <v>102.7837</v>
      </c>
      <c r="L970" s="14">
        <f>CHOOSE(CONTROL!$C$42, 103.2762, 103.2762) * CHOOSE(CONTROL!$C$21, $C$9, 100%, $E$9)</f>
        <v>103.2762</v>
      </c>
      <c r="M970" s="14">
        <f>CHOOSE(CONTROL!$C$42, 100.3638, 100.3638) * CHOOSE(CONTROL!$C$21, $C$9, 100%, $E$9)</f>
        <v>100.3638</v>
      </c>
      <c r="N970" s="14">
        <f>CHOOSE(CONTROL!$C$42, 100.3806, 100.3806) * CHOOSE(CONTROL!$C$21, $C$9, 100%, $E$9)</f>
        <v>100.3806</v>
      </c>
      <c r="O970" s="14">
        <f>CHOOSE(CONTROL!$C$42, 100.5929, 100.5929) * CHOOSE(CONTROL!$C$21, $C$9, 100%, $E$9)</f>
        <v>100.5929</v>
      </c>
      <c r="P970" s="14">
        <f>CHOOSE(CONTROL!$C$42, 100.6829, 100.6829) * CHOOSE(CONTROL!$C$21, $C$9, 100%, $E$9)</f>
        <v>100.6829</v>
      </c>
      <c r="Q970" s="14">
        <f>CHOOSE(CONTROL!$C$42, 101.1876, 101.1876) * CHOOSE(CONTROL!$C$21, $C$9, 100%, $E$9)</f>
        <v>101.1876</v>
      </c>
      <c r="R970" s="14">
        <f>CHOOSE(CONTROL!$C$42, 102.0275, 102.0275) * CHOOSE(CONTROL!$C$21, $C$9, 100%, $E$9)</f>
        <v>102.0275</v>
      </c>
      <c r="S970" s="14">
        <f>CHOOSE(CONTROL!$C$42, 98.4194, 98.4194) * CHOOSE(CONTROL!$C$21, $C$9, 100%, $E$9)</f>
        <v>98.419399999999996</v>
      </c>
      <c r="T97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56">
        <f>(1000*CHOOSE(CONTROL!$C$42, 695, 695)*CHOOSE(CONTROL!$C$42, 0.5599, 0.5599)*CHOOSE(CONTROL!$C$42, 31, 31))/1000000</f>
        <v>12.063045499999998</v>
      </c>
      <c r="V970" s="56">
        <f>(1000*CHOOSE(CONTROL!$C$42, 500, 500)*CHOOSE(CONTROL!$C$42, 0.275, 0.275)*CHOOSE(CONTROL!$C$42, 31, 31))/1000000</f>
        <v>4.2625000000000002</v>
      </c>
      <c r="W970" s="56">
        <f>(1000*CHOOSE(CONTROL!$C$42, 0.1146, 0.1146)*CHOOSE(CONTROL!$C$42, 121.5, 121.5)*CHOOSE(CONTROL!$C$42, 31, 31))/1000000</f>
        <v>0.43164089999999994</v>
      </c>
      <c r="X970" s="56">
        <f>(31*0.1790888*245000/1000000)+(31*0.2374*100000/1000000)</f>
        <v>2.0961194359999999</v>
      </c>
      <c r="Y970" s="56"/>
      <c r="Z970" s="14"/>
      <c r="AA970" s="55"/>
      <c r="AB970" s="49">
        <f>(B970*131.881+C970*277.167+D970*79.08+E970*125.872+F970*40+G970*185+H970*0+I970*100+J970*300)/(131.881+277.167+79.08+125.872+0+40+185+100+300)</f>
        <v>102.51840294124293</v>
      </c>
      <c r="AC970" s="44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100.51451726618706</v>
      </c>
    </row>
    <row r="971" spans="1:29" ht="15.75" x14ac:dyDescent="0.25">
      <c r="A971" s="31">
        <v>70463</v>
      </c>
      <c r="B971" s="14">
        <f>CHOOSE(CONTROL!$C$42, 105.1314, 105.1314) * CHOOSE(CONTROL!$C$21, $C$9, 100%, $E$9)</f>
        <v>105.1314</v>
      </c>
      <c r="C971" s="14">
        <f>CHOOSE(CONTROL!$C$42, 105.1365, 105.1365) * CHOOSE(CONTROL!$C$21, $C$9, 100%, $E$9)</f>
        <v>105.1365</v>
      </c>
      <c r="D971" s="14">
        <f>CHOOSE(CONTROL!$C$42, 105.2055, 105.2055) * CHOOSE(CONTROL!$C$21, $C$9, 100%, $E$9)</f>
        <v>105.2055</v>
      </c>
      <c r="E971" s="14">
        <f>CHOOSE(CONTROL!$C$42, 105.2396, 105.2396) * CHOOSE(CONTROL!$C$21, $C$9, 100%, $E$9)</f>
        <v>105.2396</v>
      </c>
      <c r="F971" s="14">
        <f>CHOOSE(CONTROL!$C$42, 105.167, 105.167)*CHOOSE(CONTROL!$C$21, $C$9, 100%, $E$9)</f>
        <v>105.167</v>
      </c>
      <c r="G971" s="14">
        <f>CHOOSE(CONTROL!$C$42, 105.1844, 105.1844)*CHOOSE(CONTROL!$C$21, $C$9, 100%, $E$9)</f>
        <v>105.1844</v>
      </c>
      <c r="H971" s="14">
        <f>CHOOSE(CONTROL!$C$42, 105.2288, 105.2288) * CHOOSE(CONTROL!$C$21, $C$9, 100%, $E$9)</f>
        <v>105.22880000000001</v>
      </c>
      <c r="I971" s="14">
        <f>CHOOSE(CONTROL!$C$42, 105.497, 105.497)* CHOOSE(CONTROL!$C$21, $C$9, 100%, $E$9)</f>
        <v>105.497</v>
      </c>
      <c r="J971" s="14">
        <f>CHOOSE(CONTROL!$C$42, 105.16, 105.16)* CHOOSE(CONTROL!$C$21, $C$9, 100%, $E$9)</f>
        <v>105.16</v>
      </c>
      <c r="K971" s="52">
        <f>CHOOSE(CONTROL!$C$42, 105.4931, 105.4931) * CHOOSE(CONTROL!$C$21, $C$9, 100%, $E$9)</f>
        <v>105.4931</v>
      </c>
      <c r="L971" s="14">
        <f>CHOOSE(CONTROL!$C$42, 105.8158, 105.8158) * CHOOSE(CONTROL!$C$21, $C$9, 100%, $E$9)</f>
        <v>105.8158</v>
      </c>
      <c r="M971" s="14">
        <f>CHOOSE(CONTROL!$C$42, 103.0131, 103.0131) * CHOOSE(CONTROL!$C$21, $C$9, 100%, $E$9)</f>
        <v>103.01309999999999</v>
      </c>
      <c r="N971" s="14">
        <f>CHOOSE(CONTROL!$C$42, 103.0301, 103.0301) * CHOOSE(CONTROL!$C$21, $C$9, 100%, $E$9)</f>
        <v>103.0301</v>
      </c>
      <c r="O971" s="14">
        <f>CHOOSE(CONTROL!$C$42, 103.0804, 103.0804) * CHOOSE(CONTROL!$C$21, $C$9, 100%, $E$9)</f>
        <v>103.0804</v>
      </c>
      <c r="P971" s="14">
        <f>CHOOSE(CONTROL!$C$42, 103.3366, 103.3366) * CHOOSE(CONTROL!$C$21, $C$9, 100%, $E$9)</f>
        <v>103.3366</v>
      </c>
      <c r="Q971" s="14">
        <f>CHOOSE(CONTROL!$C$42, 103.6751, 103.6751) * CHOOSE(CONTROL!$C$21, $C$9, 100%, $E$9)</f>
        <v>103.6751</v>
      </c>
      <c r="R971" s="14">
        <f>CHOOSE(CONTROL!$C$42, 104.5213, 104.5213) * CHOOSE(CONTROL!$C$21, $C$9, 100%, $E$9)</f>
        <v>104.5213</v>
      </c>
      <c r="S971" s="14">
        <f>CHOOSE(CONTROL!$C$42, 101.0123, 101.0123) * CHOOSE(CONTROL!$C$21, $C$9, 100%, $E$9)</f>
        <v>101.0123</v>
      </c>
      <c r="T97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56">
        <f>(1000*CHOOSE(CONTROL!$C$42, 695, 695)*CHOOSE(CONTROL!$C$42, 0.5599, 0.5599)*CHOOSE(CONTROL!$C$42, 30, 30))/1000000</f>
        <v>11.673914999999997</v>
      </c>
      <c r="V971" s="56">
        <f>(1000*CHOOSE(CONTROL!$C$42, 500, 500)*CHOOSE(CONTROL!$C$42, 0.275, 0.275)*CHOOSE(CONTROL!$C$42, 30, 30))/1000000</f>
        <v>4.125</v>
      </c>
      <c r="W971" s="56">
        <f>(1000*CHOOSE(CONTROL!$C$42, 0.1146, 0.1146)*CHOOSE(CONTROL!$C$42, 121.5, 121.5)*CHOOSE(CONTROL!$C$42, 30, 30))/1000000</f>
        <v>0.417717</v>
      </c>
      <c r="X971" s="56">
        <f>(30*0.1790888*100000/1000000)+(30*0.2374*100000/1000000)</f>
        <v>1.2494664</v>
      </c>
      <c r="Y971" s="56"/>
      <c r="Z971" s="14"/>
      <c r="AA971" s="55"/>
      <c r="AB971" s="49">
        <f>(B971*122.58+C971*297.941+D971*89.177+E971*40.302+F971*40+G971*160+H971*0+I971*100+J971*300)/(122.58+297.941+89.177+40.302+0+40+160+100+300)</f>
        <v>105.19012364452173</v>
      </c>
      <c r="AC971" s="44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103.09112805755396</v>
      </c>
    </row>
    <row r="972" spans="1:29" ht="15.75" x14ac:dyDescent="0.25">
      <c r="A972" s="31">
        <v>70494</v>
      </c>
      <c r="B972" s="14">
        <f>CHOOSE(CONTROL!$C$42, 112.2986, 112.2986) * CHOOSE(CONTROL!$C$21, $C$9, 100%, $E$9)</f>
        <v>112.29859999999999</v>
      </c>
      <c r="C972" s="14">
        <f>CHOOSE(CONTROL!$C$42, 112.3037, 112.3037) * CHOOSE(CONTROL!$C$21, $C$9, 100%, $E$9)</f>
        <v>112.30370000000001</v>
      </c>
      <c r="D972" s="14">
        <f>CHOOSE(CONTROL!$C$42, 112.3727, 112.3727) * CHOOSE(CONTROL!$C$21, $C$9, 100%, $E$9)</f>
        <v>112.37269999999999</v>
      </c>
      <c r="E972" s="14">
        <f>CHOOSE(CONTROL!$C$42, 112.4068, 112.4068) * CHOOSE(CONTROL!$C$21, $C$9, 100%, $E$9)</f>
        <v>112.4068</v>
      </c>
      <c r="F972" s="14">
        <f>CHOOSE(CONTROL!$C$42, 112.3364, 112.3364)*CHOOSE(CONTROL!$C$21, $C$9, 100%, $E$9)</f>
        <v>112.3364</v>
      </c>
      <c r="G972" s="14">
        <f>CHOOSE(CONTROL!$C$42, 112.3544, 112.3544)*CHOOSE(CONTROL!$C$21, $C$9, 100%, $E$9)</f>
        <v>112.3544</v>
      </c>
      <c r="H972" s="14">
        <f>CHOOSE(CONTROL!$C$42, 112.396, 112.396) * CHOOSE(CONTROL!$C$21, $C$9, 100%, $E$9)</f>
        <v>112.396</v>
      </c>
      <c r="I972" s="14">
        <f>CHOOSE(CONTROL!$C$42, 112.6866, 112.6866)* CHOOSE(CONTROL!$C$21, $C$9, 100%, $E$9)</f>
        <v>112.6866</v>
      </c>
      <c r="J972" s="14">
        <f>CHOOSE(CONTROL!$C$42, 112.3294, 112.3294)* CHOOSE(CONTROL!$C$21, $C$9, 100%, $E$9)</f>
        <v>112.32940000000001</v>
      </c>
      <c r="K972" s="52">
        <f>CHOOSE(CONTROL!$C$42, 112.6827, 112.6827) * CHOOSE(CONTROL!$C$21, $C$9, 100%, $E$9)</f>
        <v>112.6827</v>
      </c>
      <c r="L972" s="14">
        <f>CHOOSE(CONTROL!$C$42, 112.983, 112.983) * CHOOSE(CONTROL!$C$21, $C$9, 100%, $E$9)</f>
        <v>112.983</v>
      </c>
      <c r="M972" s="14">
        <f>CHOOSE(CONTROL!$C$42, 110.0356, 110.0356) * CHOOSE(CONTROL!$C$21, $C$9, 100%, $E$9)</f>
        <v>110.0356</v>
      </c>
      <c r="N972" s="14">
        <f>CHOOSE(CONTROL!$C$42, 110.0532, 110.0532) * CHOOSE(CONTROL!$C$21, $C$9, 100%, $E$9)</f>
        <v>110.0532</v>
      </c>
      <c r="O972" s="14">
        <f>CHOOSE(CONTROL!$C$42, 110.1008, 110.1008) * CHOOSE(CONTROL!$C$21, $C$9, 100%, $E$9)</f>
        <v>110.10080000000001</v>
      </c>
      <c r="P972" s="14">
        <f>CHOOSE(CONTROL!$C$42, 110.3785, 110.3785) * CHOOSE(CONTROL!$C$21, $C$9, 100%, $E$9)</f>
        <v>110.3785</v>
      </c>
      <c r="Q972" s="14">
        <f>CHOOSE(CONTROL!$C$42, 110.6955, 110.6955) * CHOOSE(CONTROL!$C$21, $C$9, 100%, $E$9)</f>
        <v>110.6955</v>
      </c>
      <c r="R972" s="14">
        <f>CHOOSE(CONTROL!$C$42, 111.5592, 111.5592) * CHOOSE(CONTROL!$C$21, $C$9, 100%, $E$9)</f>
        <v>111.5592</v>
      </c>
      <c r="S972" s="14">
        <f>CHOOSE(CONTROL!$C$42, 107.8992, 107.8992) * CHOOSE(CONTROL!$C$21, $C$9, 100%, $E$9)</f>
        <v>107.89919999999999</v>
      </c>
      <c r="T97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56">
        <f>(1000*CHOOSE(CONTROL!$C$42, 695, 695)*CHOOSE(CONTROL!$C$42, 0.5599, 0.5599)*CHOOSE(CONTROL!$C$42, 31, 31))/1000000</f>
        <v>12.063045499999998</v>
      </c>
      <c r="V972" s="56">
        <f>(1000*CHOOSE(CONTROL!$C$42, 500, 500)*CHOOSE(CONTROL!$C$42, 0.275, 0.275)*CHOOSE(CONTROL!$C$42, 31, 31))/1000000</f>
        <v>4.2625000000000002</v>
      </c>
      <c r="W972" s="56">
        <f>(1000*CHOOSE(CONTROL!$C$42, 0.1146, 0.1146)*CHOOSE(CONTROL!$C$42, 121.5, 121.5)*CHOOSE(CONTROL!$C$42, 31, 31))/1000000</f>
        <v>0.43164089999999994</v>
      </c>
      <c r="X972" s="56">
        <f>(31*0.1790888*100000/1000000)+(31*0.2374*100000/1000000)</f>
        <v>1.2911152800000001</v>
      </c>
      <c r="Y972" s="56"/>
      <c r="Z972" s="14"/>
      <c r="AA972" s="55"/>
      <c r="AB972" s="49">
        <f>(B972*122.58+C972*297.941+D972*89.177+E972*40.302+F972*40+G972*160+H972*0+I972*100+J972*300)/(122.58+297.941+89.177+40.302+0+40+160+100+300)</f>
        <v>112.36031147060871</v>
      </c>
      <c r="AC972" s="44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110.11550215827339</v>
      </c>
    </row>
    <row r="973" spans="1:29" ht="15.75" x14ac:dyDescent="0.25">
      <c r="A973" s="31">
        <v>70525</v>
      </c>
      <c r="B973" s="14">
        <f>CHOOSE(CONTROL!$C$42, 121.6075, 121.6075) * CHOOSE(CONTROL!$C$21, $C$9, 100%, $E$9)</f>
        <v>121.6075</v>
      </c>
      <c r="C973" s="14">
        <f>CHOOSE(CONTROL!$C$42, 121.6125, 121.6125) * CHOOSE(CONTROL!$C$21, $C$9, 100%, $E$9)</f>
        <v>121.6125</v>
      </c>
      <c r="D973" s="14">
        <f>CHOOSE(CONTROL!$C$42, 121.6919, 121.6919) * CHOOSE(CONTROL!$C$21, $C$9, 100%, $E$9)</f>
        <v>121.6919</v>
      </c>
      <c r="E973" s="14">
        <f>CHOOSE(CONTROL!$C$42, 121.726, 121.726) * CHOOSE(CONTROL!$C$21, $C$9, 100%, $E$9)</f>
        <v>121.726</v>
      </c>
      <c r="F973" s="14">
        <f>CHOOSE(CONTROL!$C$42, 121.6305, 121.6305)*CHOOSE(CONTROL!$C$21, $C$9, 100%, $E$9)</f>
        <v>121.6305</v>
      </c>
      <c r="G973" s="14">
        <f>CHOOSE(CONTROL!$C$42, 121.648, 121.648)*CHOOSE(CONTROL!$C$21, $C$9, 100%, $E$9)</f>
        <v>121.648</v>
      </c>
      <c r="H973" s="14">
        <f>CHOOSE(CONTROL!$C$42, 121.7152, 121.7152) * CHOOSE(CONTROL!$C$21, $C$9, 100%, $E$9)</f>
        <v>121.7152</v>
      </c>
      <c r="I973" s="14">
        <f>CHOOSE(CONTROL!$C$42, 122.0236, 122.0236)* CHOOSE(CONTROL!$C$21, $C$9, 100%, $E$9)</f>
        <v>122.0236</v>
      </c>
      <c r="J973" s="14">
        <f>CHOOSE(CONTROL!$C$42, 121.6235, 121.6235)* CHOOSE(CONTROL!$C$21, $C$9, 100%, $E$9)</f>
        <v>121.62350000000001</v>
      </c>
      <c r="K973" s="52">
        <f>CHOOSE(CONTROL!$C$42, 122.0197, 122.0197) * CHOOSE(CONTROL!$C$21, $C$9, 100%, $E$9)</f>
        <v>122.0197</v>
      </c>
      <c r="L973" s="14">
        <f>CHOOSE(CONTROL!$C$42, 122.3022, 122.3022) * CHOOSE(CONTROL!$C$21, $C$9, 100%, $E$9)</f>
        <v>122.3022</v>
      </c>
      <c r="M973" s="14">
        <f>CHOOSE(CONTROL!$C$42, 119.1392, 119.1392) * CHOOSE(CONTROL!$C$21, $C$9, 100%, $E$9)</f>
        <v>119.1392</v>
      </c>
      <c r="N973" s="14">
        <f>CHOOSE(CONTROL!$C$42, 119.1564, 119.1564) * CHOOSE(CONTROL!$C$21, $C$9, 100%, $E$9)</f>
        <v>119.1564</v>
      </c>
      <c r="O973" s="14">
        <f>CHOOSE(CONTROL!$C$42, 119.2291, 119.2291) * CHOOSE(CONTROL!$C$21, $C$9, 100%, $E$9)</f>
        <v>119.2291</v>
      </c>
      <c r="P973" s="14">
        <f>CHOOSE(CONTROL!$C$42, 119.5235, 119.5235) * CHOOSE(CONTROL!$C$21, $C$9, 100%, $E$9)</f>
        <v>119.5235</v>
      </c>
      <c r="Q973" s="14">
        <f>CHOOSE(CONTROL!$C$42, 119.8238, 119.8238) * CHOOSE(CONTROL!$C$21, $C$9, 100%, $E$9)</f>
        <v>119.82380000000001</v>
      </c>
      <c r="R973" s="14">
        <f>CHOOSE(CONTROL!$C$42, 120.7103, 120.7103) * CHOOSE(CONTROL!$C$21, $C$9, 100%, $E$9)</f>
        <v>120.7103</v>
      </c>
      <c r="S973" s="14">
        <f>CHOOSE(CONTROL!$C$42, 116.8441, 116.8441) * CHOOSE(CONTROL!$C$21, $C$9, 100%, $E$9)</f>
        <v>116.8441</v>
      </c>
      <c r="T97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56">
        <f>(1000*CHOOSE(CONTROL!$C$42, 695, 695)*CHOOSE(CONTROL!$C$42, 0.5599, 0.5599)*CHOOSE(CONTROL!$C$42, 31, 31))/1000000</f>
        <v>12.063045499999998</v>
      </c>
      <c r="V973" s="56">
        <f>(1000*CHOOSE(CONTROL!$C$42, 500, 500)*CHOOSE(CONTROL!$C$42, 0.275, 0.275)*CHOOSE(CONTROL!$C$42, 31, 31))/1000000</f>
        <v>4.2625000000000002</v>
      </c>
      <c r="W973" s="56">
        <f>(1000*CHOOSE(CONTROL!$C$42, 0.1146, 0.1146)*CHOOSE(CONTROL!$C$42, 121.5, 121.5)*CHOOSE(CONTROL!$C$42, 31, 31))/1000000</f>
        <v>0.43164089999999994</v>
      </c>
      <c r="X973" s="56">
        <f>(31*0.1790888*100000/1000000)+(31*0.2374*100000/1000000)</f>
        <v>1.2911152800000001</v>
      </c>
      <c r="Y973" s="56"/>
      <c r="Z973" s="14"/>
      <c r="AA973" s="55"/>
      <c r="AB973" s="49">
        <f>(B973*122.58+C973*297.941+D973*89.177+E973*40.302+F973*40+G973*160+H973*0+I973*100+J973*300)/(122.58+297.941+89.177+40.302+0+40+160+100+300)</f>
        <v>121.66628437460871</v>
      </c>
      <c r="AC973" s="44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119.2362309352518</v>
      </c>
    </row>
    <row r="974" spans="1:29" ht="15.75" x14ac:dyDescent="0.25">
      <c r="A974" s="31">
        <v>70553</v>
      </c>
      <c r="B974" s="14">
        <f>CHOOSE(CONTROL!$C$42, 123.7721, 123.7721) * CHOOSE(CONTROL!$C$21, $C$9, 100%, $E$9)</f>
        <v>123.77209999999999</v>
      </c>
      <c r="C974" s="14">
        <f>CHOOSE(CONTROL!$C$42, 123.7771, 123.7771) * CHOOSE(CONTROL!$C$21, $C$9, 100%, $E$9)</f>
        <v>123.7771</v>
      </c>
      <c r="D974" s="14">
        <f>CHOOSE(CONTROL!$C$42, 123.8566, 123.8566) * CHOOSE(CONTROL!$C$21, $C$9, 100%, $E$9)</f>
        <v>123.8566</v>
      </c>
      <c r="E974" s="14">
        <f>CHOOSE(CONTROL!$C$42, 123.8907, 123.8907) * CHOOSE(CONTROL!$C$21, $C$9, 100%, $E$9)</f>
        <v>123.8907</v>
      </c>
      <c r="F974" s="14">
        <f>CHOOSE(CONTROL!$C$42, 123.7949, 123.7949)*CHOOSE(CONTROL!$C$21, $C$9, 100%, $E$9)</f>
        <v>123.7949</v>
      </c>
      <c r="G974" s="14">
        <f>CHOOSE(CONTROL!$C$42, 123.8123, 123.8123)*CHOOSE(CONTROL!$C$21, $C$9, 100%, $E$9)</f>
        <v>123.81229999999999</v>
      </c>
      <c r="H974" s="14">
        <f>CHOOSE(CONTROL!$C$42, 123.8799, 123.8799) * CHOOSE(CONTROL!$C$21, $C$9, 100%, $E$9)</f>
        <v>123.87990000000001</v>
      </c>
      <c r="I974" s="14">
        <f>CHOOSE(CONTROL!$C$42, 124.195, 124.195)* CHOOSE(CONTROL!$C$21, $C$9, 100%, $E$9)</f>
        <v>124.19499999999999</v>
      </c>
      <c r="J974" s="14">
        <f>CHOOSE(CONTROL!$C$42, 123.7879, 123.7879)* CHOOSE(CONTROL!$C$21, $C$9, 100%, $E$9)</f>
        <v>123.78789999999999</v>
      </c>
      <c r="K974" s="52">
        <f>CHOOSE(CONTROL!$C$42, 124.1911, 124.1911) * CHOOSE(CONTROL!$C$21, $C$9, 100%, $E$9)</f>
        <v>124.19110000000001</v>
      </c>
      <c r="L974" s="14">
        <f>CHOOSE(CONTROL!$C$42, 124.4669, 124.4669) * CHOOSE(CONTROL!$C$21, $C$9, 100%, $E$9)</f>
        <v>124.4669</v>
      </c>
      <c r="M974" s="14">
        <f>CHOOSE(CONTROL!$C$42, 121.2592, 121.2592) * CHOOSE(CONTROL!$C$21, $C$9, 100%, $E$9)</f>
        <v>121.25920000000001</v>
      </c>
      <c r="N974" s="14">
        <f>CHOOSE(CONTROL!$C$42, 121.2763, 121.2763) * CHOOSE(CONTROL!$C$21, $C$9, 100%, $E$9)</f>
        <v>121.27630000000001</v>
      </c>
      <c r="O974" s="14">
        <f>CHOOSE(CONTROL!$C$42, 121.3493, 121.3493) * CHOOSE(CONTROL!$C$21, $C$9, 100%, $E$9)</f>
        <v>121.3493</v>
      </c>
      <c r="P974" s="14">
        <f>CHOOSE(CONTROL!$C$42, 121.6503, 121.6503) * CHOOSE(CONTROL!$C$21, $C$9, 100%, $E$9)</f>
        <v>121.6503</v>
      </c>
      <c r="Q974" s="14">
        <f>CHOOSE(CONTROL!$C$42, 121.944, 121.944) * CHOOSE(CONTROL!$C$21, $C$9, 100%, $E$9)</f>
        <v>121.944</v>
      </c>
      <c r="R974" s="14">
        <f>CHOOSE(CONTROL!$C$42, 122.8359, 122.8359) * CHOOSE(CONTROL!$C$21, $C$9, 100%, $E$9)</f>
        <v>122.8359</v>
      </c>
      <c r="S974" s="14">
        <f>CHOOSE(CONTROL!$C$42, 118.924, 118.924) * CHOOSE(CONTROL!$C$21, $C$9, 100%, $E$9)</f>
        <v>118.92400000000001</v>
      </c>
      <c r="T97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56">
        <f>(1000*CHOOSE(CONTROL!$C$42, 695, 695)*CHOOSE(CONTROL!$C$42, 0.5599, 0.5599)*CHOOSE(CONTROL!$C$42, 28, 28))/1000000</f>
        <v>10.895653999999999</v>
      </c>
      <c r="V974" s="56">
        <f>(1000*CHOOSE(CONTROL!$C$42, 500, 500)*CHOOSE(CONTROL!$C$42, 0.275, 0.275)*CHOOSE(CONTROL!$C$42, 28, 28))/1000000</f>
        <v>3.85</v>
      </c>
      <c r="W974" s="56">
        <f>(1000*CHOOSE(CONTROL!$C$42, 0.1146, 0.1146)*CHOOSE(CONTROL!$C$42, 121.5, 121.5)*CHOOSE(CONTROL!$C$42, 28, 28))/1000000</f>
        <v>0.38986920000000003</v>
      </c>
      <c r="X974" s="56">
        <f>(28*0.1790888*100000/1000000)+(28*0.2374*100000/1000000)</f>
        <v>1.16616864</v>
      </c>
      <c r="Y974" s="56"/>
      <c r="Z974" s="14"/>
      <c r="AA974" s="55"/>
      <c r="AB974" s="49">
        <f>(B974*122.58+C974*297.941+D974*89.177+E974*40.302+F974*40+G974*160+H974*0+I974*100+J974*300)/(122.58+297.941+89.177+40.302+0+40+160+100+300)</f>
        <v>123.83138606843478</v>
      </c>
      <c r="AC974" s="44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121.35729424460432</v>
      </c>
    </row>
    <row r="975" spans="1:29" ht="15.75" x14ac:dyDescent="0.25">
      <c r="A975" s="31">
        <v>70584</v>
      </c>
      <c r="B975" s="14">
        <f>CHOOSE(CONTROL!$C$42, 120.2584, 120.2584) * CHOOSE(CONTROL!$C$21, $C$9, 100%, $E$9)</f>
        <v>120.25839999999999</v>
      </c>
      <c r="C975" s="14">
        <f>CHOOSE(CONTROL!$C$42, 120.2634, 120.2634) * CHOOSE(CONTROL!$C$21, $C$9, 100%, $E$9)</f>
        <v>120.2634</v>
      </c>
      <c r="D975" s="14">
        <f>CHOOSE(CONTROL!$C$42, 120.3429, 120.3429) * CHOOSE(CONTROL!$C$21, $C$9, 100%, $E$9)</f>
        <v>120.3429</v>
      </c>
      <c r="E975" s="14">
        <f>CHOOSE(CONTROL!$C$42, 120.377, 120.377) * CHOOSE(CONTROL!$C$21, $C$9, 100%, $E$9)</f>
        <v>120.377</v>
      </c>
      <c r="F975" s="14">
        <f>CHOOSE(CONTROL!$C$42, 120.2804, 120.2804)*CHOOSE(CONTROL!$C$21, $C$9, 100%, $E$9)</f>
        <v>120.2804</v>
      </c>
      <c r="G975" s="14">
        <f>CHOOSE(CONTROL!$C$42, 120.2977, 120.2977)*CHOOSE(CONTROL!$C$21, $C$9, 100%, $E$9)</f>
        <v>120.29770000000001</v>
      </c>
      <c r="H975" s="14">
        <f>CHOOSE(CONTROL!$C$42, 120.3662, 120.3662) * CHOOSE(CONTROL!$C$21, $C$9, 100%, $E$9)</f>
        <v>120.36620000000001</v>
      </c>
      <c r="I975" s="14">
        <f>CHOOSE(CONTROL!$C$42, 120.6703, 120.6703)* CHOOSE(CONTROL!$C$21, $C$9, 100%, $E$9)</f>
        <v>120.6703</v>
      </c>
      <c r="J975" s="14">
        <f>CHOOSE(CONTROL!$C$42, 120.2734, 120.2734)* CHOOSE(CONTROL!$C$21, $C$9, 100%, $E$9)</f>
        <v>120.2734</v>
      </c>
      <c r="K975" s="52">
        <f>CHOOSE(CONTROL!$C$42, 120.6664, 120.6664) * CHOOSE(CONTROL!$C$21, $C$9, 100%, $E$9)</f>
        <v>120.6664</v>
      </c>
      <c r="L975" s="14">
        <f>CHOOSE(CONTROL!$C$42, 120.9532, 120.9532) * CHOOSE(CONTROL!$C$21, $C$9, 100%, $E$9)</f>
        <v>120.9532</v>
      </c>
      <c r="M975" s="14">
        <f>CHOOSE(CONTROL!$C$42, 117.8168, 117.8168) * CHOOSE(CONTROL!$C$21, $C$9, 100%, $E$9)</f>
        <v>117.8168</v>
      </c>
      <c r="N975" s="14">
        <f>CHOOSE(CONTROL!$C$42, 117.8337, 117.8337) * CHOOSE(CONTROL!$C$21, $C$9, 100%, $E$9)</f>
        <v>117.83369999999999</v>
      </c>
      <c r="O975" s="14">
        <f>CHOOSE(CONTROL!$C$42, 117.9076, 117.9076) * CHOOSE(CONTROL!$C$21, $C$9, 100%, $E$9)</f>
        <v>117.9076</v>
      </c>
      <c r="P975" s="14">
        <f>CHOOSE(CONTROL!$C$42, 118.198, 118.198) * CHOOSE(CONTROL!$C$21, $C$9, 100%, $E$9)</f>
        <v>118.19799999999999</v>
      </c>
      <c r="Q975" s="14">
        <f>CHOOSE(CONTROL!$C$42, 118.5023, 118.5023) * CHOOSE(CONTROL!$C$21, $C$9, 100%, $E$9)</f>
        <v>118.50230000000001</v>
      </c>
      <c r="R975" s="14">
        <f>CHOOSE(CONTROL!$C$42, 119.3856, 119.3856) * CHOOSE(CONTROL!$C$21, $C$9, 100%, $E$9)</f>
        <v>119.3856</v>
      </c>
      <c r="S975" s="14">
        <f>CHOOSE(CONTROL!$C$42, 115.5477, 115.5477) * CHOOSE(CONTROL!$C$21, $C$9, 100%, $E$9)</f>
        <v>115.54770000000001</v>
      </c>
      <c r="T97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56">
        <f>(1000*CHOOSE(CONTROL!$C$42, 695, 695)*CHOOSE(CONTROL!$C$42, 0.5599, 0.5599)*CHOOSE(CONTROL!$C$42, 31, 31))/1000000</f>
        <v>12.063045499999998</v>
      </c>
      <c r="V975" s="56">
        <f>(1000*CHOOSE(CONTROL!$C$42, 500, 500)*CHOOSE(CONTROL!$C$42, 0.275, 0.275)*CHOOSE(CONTROL!$C$42, 31, 31))/1000000</f>
        <v>4.2625000000000002</v>
      </c>
      <c r="W975" s="56">
        <f>(1000*CHOOSE(CONTROL!$C$42, 0.1146, 0.1146)*CHOOSE(CONTROL!$C$42, 121.5, 121.5)*CHOOSE(CONTROL!$C$42, 31, 31))/1000000</f>
        <v>0.43164089999999994</v>
      </c>
      <c r="X975" s="56">
        <f>(31*0.1790888*100000/1000000)+(31*0.2374*100000/1000000)</f>
        <v>1.2911152800000001</v>
      </c>
      <c r="Y975" s="56"/>
      <c r="Z975" s="14"/>
      <c r="AA975" s="55"/>
      <c r="AB975" s="49">
        <f>(B975*122.58+C975*297.941+D975*89.177+E975*40.302+F975*40+G975*160+H975*0+I975*100+J975*300)/(122.58+297.941+89.177+40.302+0+40+160+100+300)</f>
        <v>120.3163678075652</v>
      </c>
      <c r="AC975" s="44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117.91377553956836</v>
      </c>
    </row>
    <row r="976" spans="1:29" ht="15.75" x14ac:dyDescent="0.25">
      <c r="A976" s="31">
        <v>70614</v>
      </c>
      <c r="B976" s="14">
        <f>CHOOSE(CONTROL!$C$42, 119.8993, 119.8993) * CHOOSE(CONTROL!$C$21, $C$9, 100%, $E$9)</f>
        <v>119.8993</v>
      </c>
      <c r="C976" s="14">
        <f>CHOOSE(CONTROL!$C$42, 119.9038, 119.9038) * CHOOSE(CONTROL!$C$21, $C$9, 100%, $E$9)</f>
        <v>119.9038</v>
      </c>
      <c r="D976" s="14">
        <f>CHOOSE(CONTROL!$C$42, 120.1327, 120.1327) * CHOOSE(CONTROL!$C$21, $C$9, 100%, $E$9)</f>
        <v>120.1327</v>
      </c>
      <c r="E976" s="14">
        <f>CHOOSE(CONTROL!$C$42, 120.1648, 120.1648) * CHOOSE(CONTROL!$C$21, $C$9, 100%, $E$9)</f>
        <v>120.1648</v>
      </c>
      <c r="F976" s="14">
        <f>CHOOSE(CONTROL!$C$42, 119.9263, 119.9263)*CHOOSE(CONTROL!$C$21, $C$9, 100%, $E$9)</f>
        <v>119.9263</v>
      </c>
      <c r="G976" s="14">
        <f>CHOOSE(CONTROL!$C$42, 119.943, 119.943)*CHOOSE(CONTROL!$C$21, $C$9, 100%, $E$9)</f>
        <v>119.943</v>
      </c>
      <c r="H976" s="14">
        <f>CHOOSE(CONTROL!$C$42, 120.1546, 120.1546) * CHOOSE(CONTROL!$C$21, $C$9, 100%, $E$9)</f>
        <v>120.1546</v>
      </c>
      <c r="I976" s="14">
        <f>CHOOSE(CONTROL!$C$42, 120.3078, 120.3078)* CHOOSE(CONTROL!$C$21, $C$9, 100%, $E$9)</f>
        <v>120.3078</v>
      </c>
      <c r="J976" s="14">
        <f>CHOOSE(CONTROL!$C$42, 119.9193, 119.9193)* CHOOSE(CONTROL!$C$21, $C$9, 100%, $E$9)</f>
        <v>119.91930000000001</v>
      </c>
      <c r="K976" s="52">
        <f>CHOOSE(CONTROL!$C$42, 120.3039, 120.3039) * CHOOSE(CONTROL!$C$21, $C$9, 100%, $E$9)</f>
        <v>120.3039</v>
      </c>
      <c r="L976" s="14">
        <f>CHOOSE(CONTROL!$C$42, 120.7416, 120.7416) * CHOOSE(CONTROL!$C$21, $C$9, 100%, $E$9)</f>
        <v>120.74160000000001</v>
      </c>
      <c r="M976" s="14">
        <f>CHOOSE(CONTROL!$C$42, 117.47, 117.47) * CHOOSE(CONTROL!$C$21, $C$9, 100%, $E$9)</f>
        <v>117.47</v>
      </c>
      <c r="N976" s="14">
        <f>CHOOSE(CONTROL!$C$42, 117.4863, 117.4863) * CHOOSE(CONTROL!$C$21, $C$9, 100%, $E$9)</f>
        <v>117.4863</v>
      </c>
      <c r="O976" s="14">
        <f>CHOOSE(CONTROL!$C$42, 117.7004, 117.7004) * CHOOSE(CONTROL!$C$21, $C$9, 100%, $E$9)</f>
        <v>117.7004</v>
      </c>
      <c r="P976" s="14">
        <f>CHOOSE(CONTROL!$C$42, 117.843, 117.843) * CHOOSE(CONTROL!$C$21, $C$9, 100%, $E$9)</f>
        <v>117.843</v>
      </c>
      <c r="Q976" s="14">
        <f>CHOOSE(CONTROL!$C$42, 118.2951, 118.2951) * CHOOSE(CONTROL!$C$21, $C$9, 100%, $E$9)</f>
        <v>118.29510000000001</v>
      </c>
      <c r="R976" s="14">
        <f>CHOOSE(CONTROL!$C$42, 119.1779, 119.1779) * CHOOSE(CONTROL!$C$21, $C$9, 100%, $E$9)</f>
        <v>119.17789999999999</v>
      </c>
      <c r="S976" s="14">
        <f>CHOOSE(CONTROL!$C$42, 115.202, 115.202) * CHOOSE(CONTROL!$C$21, $C$9, 100%, $E$9)</f>
        <v>115.202</v>
      </c>
      <c r="T97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56">
        <f>(1000*CHOOSE(CONTROL!$C$42, 695, 695)*CHOOSE(CONTROL!$C$42, 0.5599, 0.5599)*CHOOSE(CONTROL!$C$42, 30, 30))/1000000</f>
        <v>11.673914999999997</v>
      </c>
      <c r="V976" s="56">
        <f>(1000*CHOOSE(CONTROL!$C$42, 500, 500)*CHOOSE(CONTROL!$C$42, 0.275, 0.275)*CHOOSE(CONTROL!$C$42, 30, 30))/1000000</f>
        <v>4.125</v>
      </c>
      <c r="W976" s="56">
        <f>(1000*CHOOSE(CONTROL!$C$42, 0.1146, 0.1146)*CHOOSE(CONTROL!$C$42, 121.5, 121.5)*CHOOSE(CONTROL!$C$42, 30, 30))/1000000</f>
        <v>0.417717</v>
      </c>
      <c r="X976" s="56">
        <f>(30*0.1790888*245000/1000000)+(30*0.2374*100000/1000000)</f>
        <v>2.0285026799999999</v>
      </c>
      <c r="Y976" s="56"/>
      <c r="Z976" s="14"/>
      <c r="AA976" s="55"/>
      <c r="AB976" s="49">
        <f>(B976*141.293+C976*267.993+D976*115.016+E976*89.698+F976*40+G976*185+H976*0+I976*100+J976*300)/(141.293+267.993+115.016+89.698+0+40+185+100+300)</f>
        <v>119.98637023559321</v>
      </c>
      <c r="AC976" s="44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117.62903309352518</v>
      </c>
    </row>
    <row r="977" spans="1:29" ht="15.75" x14ac:dyDescent="0.25">
      <c r="A977" s="31">
        <v>70645</v>
      </c>
      <c r="B977" s="14">
        <f>CHOOSE(CONTROL!$C$42, 120.9589, 120.9589) * CHOOSE(CONTROL!$C$21, $C$9, 100%, $E$9)</f>
        <v>120.9589</v>
      </c>
      <c r="C977" s="14">
        <f>CHOOSE(CONTROL!$C$42, 120.9669, 120.9669) * CHOOSE(CONTROL!$C$21, $C$9, 100%, $E$9)</f>
        <v>120.9669</v>
      </c>
      <c r="D977" s="14">
        <f>CHOOSE(CONTROL!$C$42, 121.1927, 121.1927) * CHOOSE(CONTROL!$C$21, $C$9, 100%, $E$9)</f>
        <v>121.1927</v>
      </c>
      <c r="E977" s="14">
        <f>CHOOSE(CONTROL!$C$42, 121.2242, 121.2242) * CHOOSE(CONTROL!$C$21, $C$9, 100%, $E$9)</f>
        <v>121.2242</v>
      </c>
      <c r="F977" s="14">
        <f>CHOOSE(CONTROL!$C$42, 120.9845, 120.9845)*CHOOSE(CONTROL!$C$21, $C$9, 100%, $E$9)</f>
        <v>120.9845</v>
      </c>
      <c r="G977" s="14">
        <f>CHOOSE(CONTROL!$C$42, 121.0015, 121.0015)*CHOOSE(CONTROL!$C$21, $C$9, 100%, $E$9)</f>
        <v>121.00149999999999</v>
      </c>
      <c r="H977" s="14">
        <f>CHOOSE(CONTROL!$C$42, 121.2128, 121.2128) * CHOOSE(CONTROL!$C$21, $C$9, 100%, $E$9)</f>
        <v>121.2128</v>
      </c>
      <c r="I977" s="14">
        <f>CHOOSE(CONTROL!$C$42, 121.3692, 121.3692)* CHOOSE(CONTROL!$C$21, $C$9, 100%, $E$9)</f>
        <v>121.36920000000001</v>
      </c>
      <c r="J977" s="14">
        <f>CHOOSE(CONTROL!$C$42, 120.9775, 120.9775)* CHOOSE(CONTROL!$C$21, $C$9, 100%, $E$9)</f>
        <v>120.97750000000001</v>
      </c>
      <c r="K977" s="52">
        <f>CHOOSE(CONTROL!$C$42, 121.3654, 121.3654) * CHOOSE(CONTROL!$C$21, $C$9, 100%, $E$9)</f>
        <v>121.36539999999999</v>
      </c>
      <c r="L977" s="14">
        <f>CHOOSE(CONTROL!$C$42, 121.7998, 121.7998) * CHOOSE(CONTROL!$C$21, $C$9, 100%, $E$9)</f>
        <v>121.7998</v>
      </c>
      <c r="M977" s="14">
        <f>CHOOSE(CONTROL!$C$42, 118.5065, 118.5065) * CHOOSE(CONTROL!$C$21, $C$9, 100%, $E$9)</f>
        <v>118.5065</v>
      </c>
      <c r="N977" s="14">
        <f>CHOOSE(CONTROL!$C$42, 118.5231, 118.5231) * CHOOSE(CONTROL!$C$21, $C$9, 100%, $E$9)</f>
        <v>118.5231</v>
      </c>
      <c r="O977" s="14">
        <f>CHOOSE(CONTROL!$C$42, 118.7369, 118.7369) * CHOOSE(CONTROL!$C$21, $C$9, 100%, $E$9)</f>
        <v>118.73690000000001</v>
      </c>
      <c r="P977" s="14">
        <f>CHOOSE(CONTROL!$C$42, 118.8826, 118.8826) * CHOOSE(CONTROL!$C$21, $C$9, 100%, $E$9)</f>
        <v>118.8826</v>
      </c>
      <c r="Q977" s="14">
        <f>CHOOSE(CONTROL!$C$42, 119.3316, 119.3316) * CHOOSE(CONTROL!$C$21, $C$9, 100%, $E$9)</f>
        <v>119.33159999999999</v>
      </c>
      <c r="R977" s="14">
        <f>CHOOSE(CONTROL!$C$42, 120.2169, 120.2169) * CHOOSE(CONTROL!$C$21, $C$9, 100%, $E$9)</f>
        <v>120.2169</v>
      </c>
      <c r="S977" s="14">
        <f>CHOOSE(CONTROL!$C$42, 116.2188, 116.2188) * CHOOSE(CONTROL!$C$21, $C$9, 100%, $E$9)</f>
        <v>116.2188</v>
      </c>
      <c r="T97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56">
        <f>(1000*CHOOSE(CONTROL!$C$42, 695, 695)*CHOOSE(CONTROL!$C$42, 0.5599, 0.5599)*CHOOSE(CONTROL!$C$42, 31, 31))/1000000</f>
        <v>12.063045499999998</v>
      </c>
      <c r="V977" s="56">
        <f>(1000*CHOOSE(CONTROL!$C$42, 500, 500)*CHOOSE(CONTROL!$C$42, 0.275, 0.275)*CHOOSE(CONTROL!$C$42, 31, 31))/1000000</f>
        <v>4.2625000000000002</v>
      </c>
      <c r="W977" s="56">
        <f>(1000*CHOOSE(CONTROL!$C$42, 0.1146, 0.1146)*CHOOSE(CONTROL!$C$42, 121.5, 121.5)*CHOOSE(CONTROL!$C$42, 31, 31))/1000000</f>
        <v>0.43164089999999994</v>
      </c>
      <c r="X977" s="56">
        <f>(31*0.1790888*245000/1000000)+(31*0.2374*100000/1000000)</f>
        <v>2.0961194359999999</v>
      </c>
      <c r="Y977" s="56"/>
      <c r="Z977" s="14"/>
      <c r="AA977" s="55"/>
      <c r="AB977" s="49">
        <f>(B977*194.205+C977*267.466+D977*133.845+E977*53.484+F977*40+G977*185+H977*0+I977*100+J977*300)/(194.205+267.466+133.845+53.484+0+40+185+100+300)</f>
        <v>121.03985525447411</v>
      </c>
      <c r="AC977" s="44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118.66599640287771</v>
      </c>
    </row>
    <row r="978" spans="1:29" ht="15.75" x14ac:dyDescent="0.25">
      <c r="A978" s="31">
        <v>70675</v>
      </c>
      <c r="B978" s="14">
        <f>CHOOSE(CONTROL!$C$42, 124.3897, 124.3897) * CHOOSE(CONTROL!$C$21, $C$9, 100%, $E$9)</f>
        <v>124.3897</v>
      </c>
      <c r="C978" s="14">
        <f>CHOOSE(CONTROL!$C$42, 124.3977, 124.3977) * CHOOSE(CONTROL!$C$21, $C$9, 100%, $E$9)</f>
        <v>124.3977</v>
      </c>
      <c r="D978" s="14">
        <f>CHOOSE(CONTROL!$C$42, 124.6235, 124.6235) * CHOOSE(CONTROL!$C$21, $C$9, 100%, $E$9)</f>
        <v>124.62350000000001</v>
      </c>
      <c r="E978" s="14">
        <f>CHOOSE(CONTROL!$C$42, 124.655, 124.655) * CHOOSE(CONTROL!$C$21, $C$9, 100%, $E$9)</f>
        <v>124.655</v>
      </c>
      <c r="F978" s="14">
        <f>CHOOSE(CONTROL!$C$42, 124.4158, 124.4158)*CHOOSE(CONTROL!$C$21, $C$9, 100%, $E$9)</f>
        <v>124.4158</v>
      </c>
      <c r="G978" s="14">
        <f>CHOOSE(CONTROL!$C$42, 124.4329, 124.4329)*CHOOSE(CONTROL!$C$21, $C$9, 100%, $E$9)</f>
        <v>124.4329</v>
      </c>
      <c r="H978" s="14">
        <f>CHOOSE(CONTROL!$C$42, 124.6436, 124.6436) * CHOOSE(CONTROL!$C$21, $C$9, 100%, $E$9)</f>
        <v>124.64360000000001</v>
      </c>
      <c r="I978" s="14">
        <f>CHOOSE(CONTROL!$C$42, 124.8108, 124.8108)* CHOOSE(CONTROL!$C$21, $C$9, 100%, $E$9)</f>
        <v>124.8108</v>
      </c>
      <c r="J978" s="14">
        <f>CHOOSE(CONTROL!$C$42, 124.4088, 124.4088)* CHOOSE(CONTROL!$C$21, $C$9, 100%, $E$9)</f>
        <v>124.4088</v>
      </c>
      <c r="K978" s="52">
        <f>CHOOSE(CONTROL!$C$42, 124.8069, 124.8069) * CHOOSE(CONTROL!$C$21, $C$9, 100%, $E$9)</f>
        <v>124.8069</v>
      </c>
      <c r="L978" s="14">
        <f>CHOOSE(CONTROL!$C$42, 125.2306, 125.2306) * CHOOSE(CONTROL!$C$21, $C$9, 100%, $E$9)</f>
        <v>125.2306</v>
      </c>
      <c r="M978" s="14">
        <f>CHOOSE(CONTROL!$C$42, 121.8675, 121.8675) * CHOOSE(CONTROL!$C$21, $C$9, 100%, $E$9)</f>
        <v>121.86750000000001</v>
      </c>
      <c r="N978" s="14">
        <f>CHOOSE(CONTROL!$C$42, 121.8842, 121.8842) * CHOOSE(CONTROL!$C$21, $C$9, 100%, $E$9)</f>
        <v>121.88420000000001</v>
      </c>
      <c r="O978" s="14">
        <f>CHOOSE(CONTROL!$C$42, 122.0975, 122.0975) * CHOOSE(CONTROL!$C$21, $C$9, 100%, $E$9)</f>
        <v>122.0975</v>
      </c>
      <c r="P978" s="14">
        <f>CHOOSE(CONTROL!$C$42, 122.2535, 122.2535) * CHOOSE(CONTROL!$C$21, $C$9, 100%, $E$9)</f>
        <v>122.2535</v>
      </c>
      <c r="Q978" s="14">
        <f>CHOOSE(CONTROL!$C$42, 122.6922, 122.6922) * CHOOSE(CONTROL!$C$21, $C$9, 100%, $E$9)</f>
        <v>122.6922</v>
      </c>
      <c r="R978" s="14">
        <f>CHOOSE(CONTROL!$C$42, 123.5859, 123.5859) * CHOOSE(CONTROL!$C$21, $C$9, 100%, $E$9)</f>
        <v>123.5859</v>
      </c>
      <c r="S978" s="14">
        <f>CHOOSE(CONTROL!$C$42, 119.5154, 119.5154) * CHOOSE(CONTROL!$C$21, $C$9, 100%, $E$9)</f>
        <v>119.5154</v>
      </c>
      <c r="T97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56">
        <f>(1000*CHOOSE(CONTROL!$C$42, 695, 695)*CHOOSE(CONTROL!$C$42, 0.5599, 0.5599)*CHOOSE(CONTROL!$C$42, 30, 30))/1000000</f>
        <v>11.673914999999997</v>
      </c>
      <c r="V978" s="56">
        <f>(1000*CHOOSE(CONTROL!$C$42, 500, 500)*CHOOSE(CONTROL!$C$42, 0.275, 0.275)*CHOOSE(CONTROL!$C$42, 30, 30))/1000000</f>
        <v>4.125</v>
      </c>
      <c r="W978" s="56">
        <f>(1000*CHOOSE(CONTROL!$C$42, 0.1146, 0.1146)*CHOOSE(CONTROL!$C$42, 121.5, 121.5)*CHOOSE(CONTROL!$C$42, 30, 30))/1000000</f>
        <v>0.417717</v>
      </c>
      <c r="X978" s="56">
        <f>(30*0.1790888*245000/1000000)+(30*0.2374*100000/1000000)</f>
        <v>2.0285026799999999</v>
      </c>
      <c r="Y978" s="56"/>
      <c r="Z978" s="14"/>
      <c r="AA978" s="55"/>
      <c r="AB978" s="49">
        <f>(B978*194.205+C978*267.466+D978*133.845+E978*53.484+F978*40+G978*185+H978*0+I978*100+J978*300)/(194.205+267.466+133.845+53.484+0+40+185+100+300)</f>
        <v>124.47172354332812</v>
      </c>
      <c r="AC978" s="44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122.028245323741</v>
      </c>
    </row>
    <row r="979" spans="1:29" ht="15.75" x14ac:dyDescent="0.25">
      <c r="A979" s="31">
        <v>70706</v>
      </c>
      <c r="B979" s="14">
        <f>CHOOSE(CONTROL!$C$42, 122.0036, 122.0036) * CHOOSE(CONTROL!$C$21, $C$9, 100%, $E$9)</f>
        <v>122.00360000000001</v>
      </c>
      <c r="C979" s="14">
        <f>CHOOSE(CONTROL!$C$42, 122.0116, 122.0116) * CHOOSE(CONTROL!$C$21, $C$9, 100%, $E$9)</f>
        <v>122.0116</v>
      </c>
      <c r="D979" s="14">
        <f>CHOOSE(CONTROL!$C$42, 122.2374, 122.2374) * CHOOSE(CONTROL!$C$21, $C$9, 100%, $E$9)</f>
        <v>122.23739999999999</v>
      </c>
      <c r="E979" s="14">
        <f>CHOOSE(CONTROL!$C$42, 122.2688, 122.2688) * CHOOSE(CONTROL!$C$21, $C$9, 100%, $E$9)</f>
        <v>122.2688</v>
      </c>
      <c r="F979" s="14">
        <f>CHOOSE(CONTROL!$C$42, 122.0301, 122.0301)*CHOOSE(CONTROL!$C$21, $C$9, 100%, $E$9)</f>
        <v>122.0301</v>
      </c>
      <c r="G979" s="14">
        <f>CHOOSE(CONTROL!$C$42, 122.0473, 122.0473)*CHOOSE(CONTROL!$C$21, $C$9, 100%, $E$9)</f>
        <v>122.04730000000001</v>
      </c>
      <c r="H979" s="14">
        <f>CHOOSE(CONTROL!$C$42, 122.2575, 122.2575) * CHOOSE(CONTROL!$C$21, $C$9, 100%, $E$9)</f>
        <v>122.25749999999999</v>
      </c>
      <c r="I979" s="14">
        <f>CHOOSE(CONTROL!$C$42, 122.4172, 122.4172)* CHOOSE(CONTROL!$C$21, $C$9, 100%, $E$9)</f>
        <v>122.41719999999999</v>
      </c>
      <c r="J979" s="14">
        <f>CHOOSE(CONTROL!$C$42, 122.0231, 122.0231)* CHOOSE(CONTROL!$C$21, $C$9, 100%, $E$9)</f>
        <v>122.0231</v>
      </c>
      <c r="K979" s="52">
        <f>CHOOSE(CONTROL!$C$42, 122.4133, 122.4133) * CHOOSE(CONTROL!$C$21, $C$9, 100%, $E$9)</f>
        <v>122.41330000000001</v>
      </c>
      <c r="L979" s="14">
        <f>CHOOSE(CONTROL!$C$42, 122.8445, 122.8445) * CHOOSE(CONTROL!$C$21, $C$9, 100%, $E$9)</f>
        <v>122.8445</v>
      </c>
      <c r="M979" s="14">
        <f>CHOOSE(CONTROL!$C$42, 119.5306, 119.5306) * CHOOSE(CONTROL!$C$21, $C$9, 100%, $E$9)</f>
        <v>119.53060000000001</v>
      </c>
      <c r="N979" s="14">
        <f>CHOOSE(CONTROL!$C$42, 119.5475, 119.5475) * CHOOSE(CONTROL!$C$21, $C$9, 100%, $E$9)</f>
        <v>119.5475</v>
      </c>
      <c r="O979" s="14">
        <f>CHOOSE(CONTROL!$C$42, 119.7602, 119.7602) * CHOOSE(CONTROL!$C$21, $C$9, 100%, $E$9)</f>
        <v>119.7602</v>
      </c>
      <c r="P979" s="14">
        <f>CHOOSE(CONTROL!$C$42, 119.909, 119.909) * CHOOSE(CONTROL!$C$21, $C$9, 100%, $E$9)</f>
        <v>119.90900000000001</v>
      </c>
      <c r="Q979" s="14">
        <f>CHOOSE(CONTROL!$C$42, 120.3549, 120.3549) * CHOOSE(CONTROL!$C$21, $C$9, 100%, $E$9)</f>
        <v>120.3549</v>
      </c>
      <c r="R979" s="14">
        <f>CHOOSE(CONTROL!$C$42, 121.2428, 121.2428) * CHOOSE(CONTROL!$C$21, $C$9, 100%, $E$9)</f>
        <v>121.2428</v>
      </c>
      <c r="S979" s="14">
        <f>CHOOSE(CONTROL!$C$42, 117.2226, 117.2226) * CHOOSE(CONTROL!$C$21, $C$9, 100%, $E$9)</f>
        <v>117.2226</v>
      </c>
      <c r="T97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56">
        <f>(1000*CHOOSE(CONTROL!$C$42, 695, 695)*CHOOSE(CONTROL!$C$42, 0.5599, 0.5599)*CHOOSE(CONTROL!$C$42, 31, 31))/1000000</f>
        <v>12.063045499999998</v>
      </c>
      <c r="V979" s="56">
        <f>(1000*CHOOSE(CONTROL!$C$42, 500, 500)*CHOOSE(CONTROL!$C$42, 0.275, 0.275)*CHOOSE(CONTROL!$C$42, 31, 31))/1000000</f>
        <v>4.2625000000000002</v>
      </c>
      <c r="W979" s="56">
        <f>(1000*CHOOSE(CONTROL!$C$42, 0.1146, 0.1146)*CHOOSE(CONTROL!$C$42, 121.5, 121.5)*CHOOSE(CONTROL!$C$42, 31, 31))/1000000</f>
        <v>0.43164089999999994</v>
      </c>
      <c r="X979" s="56">
        <f>(31*0.1790888*245000/1000000)+(31*0.2374*100000/1000000)</f>
        <v>2.0961194359999999</v>
      </c>
      <c r="Y979" s="56"/>
      <c r="Z979" s="14"/>
      <c r="AA979" s="55"/>
      <c r="AB979" s="49">
        <f>(B979*194.205+C979*267.466+D979*133.845+E979*53.484+F979*40+G979*185+H979*0+I979*100+J979*300)/(194.205+267.466+133.845+53.484+0+40+185+100+300)</f>
        <v>122.08521000455259</v>
      </c>
      <c r="AC979" s="44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119.69008201438848</v>
      </c>
    </row>
    <row r="980" spans="1:29" ht="15.75" x14ac:dyDescent="0.25">
      <c r="A980" s="31">
        <v>70737</v>
      </c>
      <c r="B980" s="14">
        <f>CHOOSE(CONTROL!$C$42, 115.9777, 115.9777) * CHOOSE(CONTROL!$C$21, $C$9, 100%, $E$9)</f>
        <v>115.9777</v>
      </c>
      <c r="C980" s="14">
        <f>CHOOSE(CONTROL!$C$42, 115.9858, 115.9858) * CHOOSE(CONTROL!$C$21, $C$9, 100%, $E$9)</f>
        <v>115.9858</v>
      </c>
      <c r="D980" s="14">
        <f>CHOOSE(CONTROL!$C$42, 116.2115, 116.2115) * CHOOSE(CONTROL!$C$21, $C$9, 100%, $E$9)</f>
        <v>116.2115</v>
      </c>
      <c r="E980" s="14">
        <f>CHOOSE(CONTROL!$C$42, 116.243, 116.243) * CHOOSE(CONTROL!$C$21, $C$9, 100%, $E$9)</f>
        <v>116.24299999999999</v>
      </c>
      <c r="F980" s="14">
        <f>CHOOSE(CONTROL!$C$42, 116.0045, 116.0045)*CHOOSE(CONTROL!$C$21, $C$9, 100%, $E$9)</f>
        <v>116.00449999999999</v>
      </c>
      <c r="G980" s="14">
        <f>CHOOSE(CONTROL!$C$42, 116.0218, 116.0218)*CHOOSE(CONTROL!$C$21, $C$9, 100%, $E$9)</f>
        <v>116.0218</v>
      </c>
      <c r="H980" s="14">
        <f>CHOOSE(CONTROL!$C$42, 116.2316, 116.2316) * CHOOSE(CONTROL!$C$21, $C$9, 100%, $E$9)</f>
        <v>116.2316</v>
      </c>
      <c r="I980" s="14">
        <f>CHOOSE(CONTROL!$C$42, 116.3725, 116.3725)* CHOOSE(CONTROL!$C$21, $C$9, 100%, $E$9)</f>
        <v>116.3725</v>
      </c>
      <c r="J980" s="14">
        <f>CHOOSE(CONTROL!$C$42, 115.9975, 115.9975)* CHOOSE(CONTROL!$C$21, $C$9, 100%, $E$9)</f>
        <v>115.9975</v>
      </c>
      <c r="K980" s="52">
        <f>CHOOSE(CONTROL!$C$42, 116.3686, 116.3686) * CHOOSE(CONTROL!$C$21, $C$9, 100%, $E$9)</f>
        <v>116.3686</v>
      </c>
      <c r="L980" s="14">
        <f>CHOOSE(CONTROL!$C$42, 116.8186, 116.8186) * CHOOSE(CONTROL!$C$21, $C$9, 100%, $E$9)</f>
        <v>116.8186</v>
      </c>
      <c r="M980" s="14">
        <f>CHOOSE(CONTROL!$C$42, 113.6285, 113.6285) * CHOOSE(CONTROL!$C$21, $C$9, 100%, $E$9)</f>
        <v>113.6285</v>
      </c>
      <c r="N980" s="14">
        <f>CHOOSE(CONTROL!$C$42, 113.6454, 113.6454) * CHOOSE(CONTROL!$C$21, $C$9, 100%, $E$9)</f>
        <v>113.6454</v>
      </c>
      <c r="O980" s="14">
        <f>CHOOSE(CONTROL!$C$42, 113.8578, 113.8578) * CHOOSE(CONTROL!$C$21, $C$9, 100%, $E$9)</f>
        <v>113.8578</v>
      </c>
      <c r="P980" s="14">
        <f>CHOOSE(CONTROL!$C$42, 113.9886, 113.9886) * CHOOSE(CONTROL!$C$21, $C$9, 100%, $E$9)</f>
        <v>113.98860000000001</v>
      </c>
      <c r="Q980" s="14">
        <f>CHOOSE(CONTROL!$C$42, 114.4525, 114.4525) * CHOOSE(CONTROL!$C$21, $C$9, 100%, $E$9)</f>
        <v>114.4525</v>
      </c>
      <c r="R980" s="14">
        <f>CHOOSE(CONTROL!$C$42, 115.3257, 115.3257) * CHOOSE(CONTROL!$C$21, $C$9, 100%, $E$9)</f>
        <v>115.3257</v>
      </c>
      <c r="S980" s="14">
        <f>CHOOSE(CONTROL!$C$42, 111.4324, 111.4324) * CHOOSE(CONTROL!$C$21, $C$9, 100%, $E$9)</f>
        <v>111.4324</v>
      </c>
      <c r="T98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56">
        <f>(1000*CHOOSE(CONTROL!$C$42, 695, 695)*CHOOSE(CONTROL!$C$42, 0.5599, 0.5599)*CHOOSE(CONTROL!$C$42, 31, 31))/1000000</f>
        <v>12.063045499999998</v>
      </c>
      <c r="V980" s="56">
        <f>(1000*CHOOSE(CONTROL!$C$42, 500, 500)*CHOOSE(CONTROL!$C$42, 0.275, 0.275)*CHOOSE(CONTROL!$C$42, 31, 31))/1000000</f>
        <v>4.2625000000000002</v>
      </c>
      <c r="W980" s="56">
        <f>(1000*CHOOSE(CONTROL!$C$42, 0.1146, 0.1146)*CHOOSE(CONTROL!$C$42, 121.5, 121.5)*CHOOSE(CONTROL!$C$42, 31, 31))/1000000</f>
        <v>0.43164089999999994</v>
      </c>
      <c r="X980" s="56">
        <f>(31*0.1790888*245000/1000000)+(31*0.2374*100000/1000000)</f>
        <v>2.0961194359999999</v>
      </c>
      <c r="Y980" s="56"/>
      <c r="Z980" s="14"/>
      <c r="AA980" s="55"/>
      <c r="AB980" s="49">
        <f>(B980*194.205+C980*267.466+D980*133.845+E980*53.484+F980*40+G980*185+H980*0+I980*100+J980*300)/(194.205+267.466+133.845+53.484+0+40+185+100+300)</f>
        <v>116.05799767723704</v>
      </c>
      <c r="AC980" s="44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113.78521294964028</v>
      </c>
    </row>
    <row r="981" spans="1:29" ht="15.75" x14ac:dyDescent="0.25">
      <c r="A981" s="31">
        <v>70767</v>
      </c>
      <c r="B981" s="14">
        <f>CHOOSE(CONTROL!$C$42, 108.6151, 108.6151) * CHOOSE(CONTROL!$C$21, $C$9, 100%, $E$9)</f>
        <v>108.6151</v>
      </c>
      <c r="C981" s="14">
        <f>CHOOSE(CONTROL!$C$42, 108.6231, 108.6231) * CHOOSE(CONTROL!$C$21, $C$9, 100%, $E$9)</f>
        <v>108.62309999999999</v>
      </c>
      <c r="D981" s="14">
        <f>CHOOSE(CONTROL!$C$42, 108.8489, 108.8489) * CHOOSE(CONTROL!$C$21, $C$9, 100%, $E$9)</f>
        <v>108.8489</v>
      </c>
      <c r="E981" s="14">
        <f>CHOOSE(CONTROL!$C$42, 108.8804, 108.8804) * CHOOSE(CONTROL!$C$21, $C$9, 100%, $E$9)</f>
        <v>108.88039999999999</v>
      </c>
      <c r="F981" s="14">
        <f>CHOOSE(CONTROL!$C$42, 108.6419, 108.6419)*CHOOSE(CONTROL!$C$21, $C$9, 100%, $E$9)</f>
        <v>108.64190000000001</v>
      </c>
      <c r="G981" s="14">
        <f>CHOOSE(CONTROL!$C$42, 108.6592, 108.6592)*CHOOSE(CONTROL!$C$21, $C$9, 100%, $E$9)</f>
        <v>108.6592</v>
      </c>
      <c r="H981" s="14">
        <f>CHOOSE(CONTROL!$C$42, 108.869, 108.869) * CHOOSE(CONTROL!$C$21, $C$9, 100%, $E$9)</f>
        <v>108.869</v>
      </c>
      <c r="I981" s="14">
        <f>CHOOSE(CONTROL!$C$42, 108.9868, 108.9868)* CHOOSE(CONTROL!$C$21, $C$9, 100%, $E$9)</f>
        <v>108.9868</v>
      </c>
      <c r="J981" s="14">
        <f>CHOOSE(CONTROL!$C$42, 108.6349, 108.6349)* CHOOSE(CONTROL!$C$21, $C$9, 100%, $E$9)</f>
        <v>108.6349</v>
      </c>
      <c r="K981" s="52">
        <f>CHOOSE(CONTROL!$C$42, 108.9829, 108.9829) * CHOOSE(CONTROL!$C$21, $C$9, 100%, $E$9)</f>
        <v>108.9829</v>
      </c>
      <c r="L981" s="14">
        <f>CHOOSE(CONTROL!$C$42, 109.456, 109.456) * CHOOSE(CONTROL!$C$21, $C$9, 100%, $E$9)</f>
        <v>109.456</v>
      </c>
      <c r="M981" s="14">
        <f>CHOOSE(CONTROL!$C$42, 106.4167, 106.4167) * CHOOSE(CONTROL!$C$21, $C$9, 100%, $E$9)</f>
        <v>106.41670000000001</v>
      </c>
      <c r="N981" s="14">
        <f>CHOOSE(CONTROL!$C$42, 106.4336, 106.4336) * CHOOSE(CONTROL!$C$21, $C$9, 100%, $E$9)</f>
        <v>106.4336</v>
      </c>
      <c r="O981" s="14">
        <f>CHOOSE(CONTROL!$C$42, 106.646, 106.646) * CHOOSE(CONTROL!$C$21, $C$9, 100%, $E$9)</f>
        <v>106.646</v>
      </c>
      <c r="P981" s="14">
        <f>CHOOSE(CONTROL!$C$42, 106.7546, 106.7546) * CHOOSE(CONTROL!$C$21, $C$9, 100%, $E$9)</f>
        <v>106.7546</v>
      </c>
      <c r="Q981" s="14">
        <f>CHOOSE(CONTROL!$C$42, 107.2407, 107.2407) * CHOOSE(CONTROL!$C$21, $C$9, 100%, $E$9)</f>
        <v>107.2407</v>
      </c>
      <c r="R981" s="14">
        <f>CHOOSE(CONTROL!$C$42, 108.0958, 108.0958) * CHOOSE(CONTROL!$C$21, $C$9, 100%, $E$9)</f>
        <v>108.0958</v>
      </c>
      <c r="S981" s="14">
        <f>CHOOSE(CONTROL!$C$42, 104.3576, 104.3576) * CHOOSE(CONTROL!$C$21, $C$9, 100%, $E$9)</f>
        <v>104.35760000000001</v>
      </c>
      <c r="T98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56">
        <f>(1000*CHOOSE(CONTROL!$C$42, 695, 695)*CHOOSE(CONTROL!$C$42, 0.5599, 0.5599)*CHOOSE(CONTROL!$C$42, 30, 30))/1000000</f>
        <v>11.673914999999997</v>
      </c>
      <c r="V981" s="56">
        <f>(1000*CHOOSE(CONTROL!$C$42, 500, 500)*CHOOSE(CONTROL!$C$42, 0.275, 0.275)*CHOOSE(CONTROL!$C$42, 30, 30))/1000000</f>
        <v>4.125</v>
      </c>
      <c r="W981" s="56">
        <f>(1000*CHOOSE(CONTROL!$C$42, 0.1146, 0.1146)*CHOOSE(CONTROL!$C$42, 121.5, 121.5)*CHOOSE(CONTROL!$C$42, 30, 30))/1000000</f>
        <v>0.417717</v>
      </c>
      <c r="X981" s="56">
        <f>(30*0.1790888*245000/1000000)+(30*0.2374*100000/1000000)</f>
        <v>2.0285026799999999</v>
      </c>
      <c r="Y981" s="56"/>
      <c r="Z981" s="14"/>
      <c r="AA981" s="55"/>
      <c r="AB981" s="49">
        <f>(B981*194.205+C981*267.466+D981*133.845+E981*53.484+F981*40+G981*185+H981*0+I981*100+J981*300)/(194.205+267.466+133.845+53.484+0+40+185+100+300)</f>
        <v>108.69356349623236</v>
      </c>
      <c r="AC981" s="44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106.57021870503597</v>
      </c>
    </row>
    <row r="982" spans="1:29" ht="15.75" x14ac:dyDescent="0.25">
      <c r="A982" s="31">
        <v>70798</v>
      </c>
      <c r="B982" s="14">
        <f>CHOOSE(CONTROL!$C$42, 106.4082, 106.4082) * CHOOSE(CONTROL!$C$21, $C$9, 100%, $E$9)</f>
        <v>106.40819999999999</v>
      </c>
      <c r="C982" s="14">
        <f>CHOOSE(CONTROL!$C$42, 106.4135, 106.4135) * CHOOSE(CONTROL!$C$21, $C$9, 100%, $E$9)</f>
        <v>106.4135</v>
      </c>
      <c r="D982" s="14">
        <f>CHOOSE(CONTROL!$C$42, 106.6443, 106.6443) * CHOOSE(CONTROL!$C$21, $C$9, 100%, $E$9)</f>
        <v>106.6443</v>
      </c>
      <c r="E982" s="14">
        <f>CHOOSE(CONTROL!$C$42, 106.6734, 106.6734) * CHOOSE(CONTROL!$C$21, $C$9, 100%, $E$9)</f>
        <v>106.6734</v>
      </c>
      <c r="F982" s="14">
        <f>CHOOSE(CONTROL!$C$42, 106.4371, 106.4371)*CHOOSE(CONTROL!$C$21, $C$9, 100%, $E$9)</f>
        <v>106.4371</v>
      </c>
      <c r="G982" s="14">
        <f>CHOOSE(CONTROL!$C$42, 106.4542, 106.4542)*CHOOSE(CONTROL!$C$21, $C$9, 100%, $E$9)</f>
        <v>106.4542</v>
      </c>
      <c r="H982" s="14">
        <f>CHOOSE(CONTROL!$C$42, 106.6639, 106.6639) * CHOOSE(CONTROL!$C$21, $C$9, 100%, $E$9)</f>
        <v>106.6639</v>
      </c>
      <c r="I982" s="14">
        <f>CHOOSE(CONTROL!$C$42, 106.7748, 106.7748)* CHOOSE(CONTROL!$C$21, $C$9, 100%, $E$9)</f>
        <v>106.7748</v>
      </c>
      <c r="J982" s="14">
        <f>CHOOSE(CONTROL!$C$42, 106.4301, 106.4301)* CHOOSE(CONTROL!$C$21, $C$9, 100%, $E$9)</f>
        <v>106.4301</v>
      </c>
      <c r="K982" s="52">
        <f>CHOOSE(CONTROL!$C$42, 106.7709, 106.7709) * CHOOSE(CONTROL!$C$21, $C$9, 100%, $E$9)</f>
        <v>106.7709</v>
      </c>
      <c r="L982" s="14">
        <f>CHOOSE(CONTROL!$C$42, 107.2509, 107.2509) * CHOOSE(CONTROL!$C$21, $C$9, 100%, $E$9)</f>
        <v>107.2509</v>
      </c>
      <c r="M982" s="14">
        <f>CHOOSE(CONTROL!$C$42, 104.2571, 104.2571) * CHOOSE(CONTROL!$C$21, $C$9, 100%, $E$9)</f>
        <v>104.25709999999999</v>
      </c>
      <c r="N982" s="14">
        <f>CHOOSE(CONTROL!$C$42, 104.2739, 104.2739) * CHOOSE(CONTROL!$C$21, $C$9, 100%, $E$9)</f>
        <v>104.2739</v>
      </c>
      <c r="O982" s="14">
        <f>CHOOSE(CONTROL!$C$42, 104.4861, 104.4861) * CHOOSE(CONTROL!$C$21, $C$9, 100%, $E$9)</f>
        <v>104.48609999999999</v>
      </c>
      <c r="P982" s="14">
        <f>CHOOSE(CONTROL!$C$42, 104.5881, 104.5881) * CHOOSE(CONTROL!$C$21, $C$9, 100%, $E$9)</f>
        <v>104.5881</v>
      </c>
      <c r="Q982" s="14">
        <f>CHOOSE(CONTROL!$C$42, 105.0808, 105.0808) * CHOOSE(CONTROL!$C$21, $C$9, 100%, $E$9)</f>
        <v>105.0808</v>
      </c>
      <c r="R982" s="14">
        <f>CHOOSE(CONTROL!$C$42, 105.9305, 105.9305) * CHOOSE(CONTROL!$C$21, $C$9, 100%, $E$9)</f>
        <v>105.93049999999999</v>
      </c>
      <c r="S982" s="14">
        <f>CHOOSE(CONTROL!$C$42, 102.2387, 102.2387) * CHOOSE(CONTROL!$C$21, $C$9, 100%, $E$9)</f>
        <v>102.23869999999999</v>
      </c>
      <c r="T98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56">
        <f>(1000*CHOOSE(CONTROL!$C$42, 695, 695)*CHOOSE(CONTROL!$C$42, 0.5599, 0.5599)*CHOOSE(CONTROL!$C$42, 31, 31))/1000000</f>
        <v>12.063045499999998</v>
      </c>
      <c r="V982" s="56">
        <f>(1000*CHOOSE(CONTROL!$C$42, 500, 500)*CHOOSE(CONTROL!$C$42, 0.275, 0.275)*CHOOSE(CONTROL!$C$42, 31, 31))/1000000</f>
        <v>4.2625000000000002</v>
      </c>
      <c r="W982" s="56">
        <f>(1000*CHOOSE(CONTROL!$C$42, 0.1146, 0.1146)*CHOOSE(CONTROL!$C$42, 121.5, 121.5)*CHOOSE(CONTROL!$C$42, 31, 31))/1000000</f>
        <v>0.43164089999999994</v>
      </c>
      <c r="X982" s="56">
        <f>(31*0.1790888*245000/1000000)+(31*0.2374*100000/1000000)</f>
        <v>2.0961194359999999</v>
      </c>
      <c r="Y982" s="56"/>
      <c r="Z982" s="14"/>
      <c r="AA982" s="55"/>
      <c r="AB982" s="49">
        <f>(B982*131.881+C982*277.167+D982*79.08+E982*125.872+F982*40+G982*185+H982*0+I982*100+J982*300)/(131.881+277.167+79.08+125.872+0+40+185+100+300)</f>
        <v>106.49408944915254</v>
      </c>
      <c r="AC982" s="44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104.40948417266186</v>
      </c>
    </row>
    <row r="983" spans="1:29" ht="15.75" x14ac:dyDescent="0.25">
      <c r="A983" s="31">
        <v>70828</v>
      </c>
      <c r="B983" s="14">
        <f>CHOOSE(CONTROL!$C$42, 109.2109, 109.2109) * CHOOSE(CONTROL!$C$21, $C$9, 100%, $E$9)</f>
        <v>109.2109</v>
      </c>
      <c r="C983" s="14">
        <f>CHOOSE(CONTROL!$C$42, 109.2159, 109.2159) * CHOOSE(CONTROL!$C$21, $C$9, 100%, $E$9)</f>
        <v>109.2159</v>
      </c>
      <c r="D983" s="14">
        <f>CHOOSE(CONTROL!$C$42, 109.2849, 109.2849) * CHOOSE(CONTROL!$C$21, $C$9, 100%, $E$9)</f>
        <v>109.28489999999999</v>
      </c>
      <c r="E983" s="14">
        <f>CHOOSE(CONTROL!$C$42, 109.319, 109.319) * CHOOSE(CONTROL!$C$21, $C$9, 100%, $E$9)</f>
        <v>109.319</v>
      </c>
      <c r="F983" s="14">
        <f>CHOOSE(CONTROL!$C$42, 109.2464, 109.2464)*CHOOSE(CONTROL!$C$21, $C$9, 100%, $E$9)</f>
        <v>109.24639999999999</v>
      </c>
      <c r="G983" s="14">
        <f>CHOOSE(CONTROL!$C$42, 109.2638, 109.2638)*CHOOSE(CONTROL!$C$21, $C$9, 100%, $E$9)</f>
        <v>109.2638</v>
      </c>
      <c r="H983" s="14">
        <f>CHOOSE(CONTROL!$C$42, 109.3082, 109.3082) * CHOOSE(CONTROL!$C$21, $C$9, 100%, $E$9)</f>
        <v>109.3082</v>
      </c>
      <c r="I983" s="14">
        <f>CHOOSE(CONTROL!$C$42, 109.5892, 109.5892)* CHOOSE(CONTROL!$C$21, $C$9, 100%, $E$9)</f>
        <v>109.58920000000001</v>
      </c>
      <c r="J983" s="14">
        <f>CHOOSE(CONTROL!$C$42, 109.2394, 109.2394)* CHOOSE(CONTROL!$C$21, $C$9, 100%, $E$9)</f>
        <v>109.2394</v>
      </c>
      <c r="K983" s="52">
        <f>CHOOSE(CONTROL!$C$42, 109.5853, 109.5853) * CHOOSE(CONTROL!$C$21, $C$9, 100%, $E$9)</f>
        <v>109.5853</v>
      </c>
      <c r="L983" s="14">
        <f>CHOOSE(CONTROL!$C$42, 109.8952, 109.8952) * CHOOSE(CONTROL!$C$21, $C$9, 100%, $E$9)</f>
        <v>109.8952</v>
      </c>
      <c r="M983" s="14">
        <f>CHOOSE(CONTROL!$C$42, 107.0089, 107.0089) * CHOOSE(CONTROL!$C$21, $C$9, 100%, $E$9)</f>
        <v>107.0089</v>
      </c>
      <c r="N983" s="14">
        <f>CHOOSE(CONTROL!$C$42, 107.0259, 107.0259) * CHOOSE(CONTROL!$C$21, $C$9, 100%, $E$9)</f>
        <v>107.02589999999999</v>
      </c>
      <c r="O983" s="14">
        <f>CHOOSE(CONTROL!$C$42, 107.0763, 107.0763) * CHOOSE(CONTROL!$C$21, $C$9, 100%, $E$9)</f>
        <v>107.0763</v>
      </c>
      <c r="P983" s="14">
        <f>CHOOSE(CONTROL!$C$42, 107.3447, 107.3447) * CHOOSE(CONTROL!$C$21, $C$9, 100%, $E$9)</f>
        <v>107.3447</v>
      </c>
      <c r="Q983" s="14">
        <f>CHOOSE(CONTROL!$C$42, 107.671, 107.671) * CHOOSE(CONTROL!$C$21, $C$9, 100%, $E$9)</f>
        <v>107.67100000000001</v>
      </c>
      <c r="R983" s="14">
        <f>CHOOSE(CONTROL!$C$42, 108.5272, 108.5272) * CHOOSE(CONTROL!$C$21, $C$9, 100%, $E$9)</f>
        <v>108.52719999999999</v>
      </c>
      <c r="S983" s="14">
        <f>CHOOSE(CONTROL!$C$42, 104.9322, 104.9322) * CHOOSE(CONTROL!$C$21, $C$9, 100%, $E$9)</f>
        <v>104.93219999999999</v>
      </c>
      <c r="T98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56">
        <f>(1000*CHOOSE(CONTROL!$C$42, 695, 695)*CHOOSE(CONTROL!$C$42, 0.5599, 0.5599)*CHOOSE(CONTROL!$C$42, 30, 30))/1000000</f>
        <v>11.673914999999997</v>
      </c>
      <c r="V983" s="56">
        <f>(1000*CHOOSE(CONTROL!$C$42, 500, 500)*CHOOSE(CONTROL!$C$42, 0.275, 0.275)*CHOOSE(CONTROL!$C$42, 30, 30))/1000000</f>
        <v>4.125</v>
      </c>
      <c r="W983" s="56">
        <f>(1000*CHOOSE(CONTROL!$C$42, 0.1146, 0.1146)*CHOOSE(CONTROL!$C$42, 121.5, 121.5)*CHOOSE(CONTROL!$C$42, 30, 30))/1000000</f>
        <v>0.417717</v>
      </c>
      <c r="X983" s="56">
        <f>(30*0.1790888*100000/1000000)+(30*0.2374*100000/1000000)</f>
        <v>1.2494664</v>
      </c>
      <c r="Y983" s="56"/>
      <c r="Z983" s="14"/>
      <c r="AA983" s="55"/>
      <c r="AB983" s="49">
        <f>(B983*122.58+C983*297.941+D983*89.177+E983*40.302+F983*40+G983*160+H983*0+I983*100+J983*300)/(122.58+297.941+89.177+40.302+0+40+160+100+300)</f>
        <v>109.27064734713043</v>
      </c>
      <c r="AC983" s="44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107.08874316546763</v>
      </c>
    </row>
    <row r="984" spans="1:29" ht="15.75" x14ac:dyDescent="0.25">
      <c r="A984" s="31">
        <v>70859</v>
      </c>
      <c r="B984" s="14">
        <f>CHOOSE(CONTROL!$C$42, 116.6561, 116.6561) * CHOOSE(CONTROL!$C$21, $C$9, 100%, $E$9)</f>
        <v>116.6561</v>
      </c>
      <c r="C984" s="14">
        <f>CHOOSE(CONTROL!$C$42, 116.6612, 116.6612) * CHOOSE(CONTROL!$C$21, $C$9, 100%, $E$9)</f>
        <v>116.66119999999999</v>
      </c>
      <c r="D984" s="14">
        <f>CHOOSE(CONTROL!$C$42, 116.7302, 116.7302) * CHOOSE(CONTROL!$C$21, $C$9, 100%, $E$9)</f>
        <v>116.7302</v>
      </c>
      <c r="E984" s="14">
        <f>CHOOSE(CONTROL!$C$42, 116.7643, 116.7643) * CHOOSE(CONTROL!$C$21, $C$9, 100%, $E$9)</f>
        <v>116.76430000000001</v>
      </c>
      <c r="F984" s="14">
        <f>CHOOSE(CONTROL!$C$42, 116.694, 116.694)*CHOOSE(CONTROL!$C$21, $C$9, 100%, $E$9)</f>
        <v>116.694</v>
      </c>
      <c r="G984" s="14">
        <f>CHOOSE(CONTROL!$C$42, 116.712, 116.712)*CHOOSE(CONTROL!$C$21, $C$9, 100%, $E$9)</f>
        <v>116.712</v>
      </c>
      <c r="H984" s="14">
        <f>CHOOSE(CONTROL!$C$42, 116.7535, 116.7535) * CHOOSE(CONTROL!$C$21, $C$9, 100%, $E$9)</f>
        <v>116.7535</v>
      </c>
      <c r="I984" s="14">
        <f>CHOOSE(CONTROL!$C$42, 117.0578, 117.0578)* CHOOSE(CONTROL!$C$21, $C$9, 100%, $E$9)</f>
        <v>117.0578</v>
      </c>
      <c r="J984" s="14">
        <f>CHOOSE(CONTROL!$C$42, 116.687, 116.687)* CHOOSE(CONTROL!$C$21, $C$9, 100%, $E$9)</f>
        <v>116.687</v>
      </c>
      <c r="K984" s="52">
        <f>CHOOSE(CONTROL!$C$42, 117.0539, 117.0539) * CHOOSE(CONTROL!$C$21, $C$9, 100%, $E$9)</f>
        <v>117.0539</v>
      </c>
      <c r="L984" s="14">
        <f>CHOOSE(CONTROL!$C$42, 117.3405, 117.3405) * CHOOSE(CONTROL!$C$21, $C$9, 100%, $E$9)</f>
        <v>117.34050000000001</v>
      </c>
      <c r="M984" s="14">
        <f>CHOOSE(CONTROL!$C$42, 114.3038, 114.3038) * CHOOSE(CONTROL!$C$21, $C$9, 100%, $E$9)</f>
        <v>114.3038</v>
      </c>
      <c r="N984" s="14">
        <f>CHOOSE(CONTROL!$C$42, 114.3215, 114.3215) * CHOOSE(CONTROL!$C$21, $C$9, 100%, $E$9)</f>
        <v>114.3215</v>
      </c>
      <c r="O984" s="14">
        <f>CHOOSE(CONTROL!$C$42, 114.369, 114.369) * CHOOSE(CONTROL!$C$21, $C$9, 100%, $E$9)</f>
        <v>114.369</v>
      </c>
      <c r="P984" s="14">
        <f>CHOOSE(CONTROL!$C$42, 114.6598, 114.6598) * CHOOSE(CONTROL!$C$21, $C$9, 100%, $E$9)</f>
        <v>114.6598</v>
      </c>
      <c r="Q984" s="14">
        <f>CHOOSE(CONTROL!$C$42, 114.9637, 114.9637) * CHOOSE(CONTROL!$C$21, $C$9, 100%, $E$9)</f>
        <v>114.9637</v>
      </c>
      <c r="R984" s="14">
        <f>CHOOSE(CONTROL!$C$42, 115.8381, 115.8381) * CHOOSE(CONTROL!$C$21, $C$9, 100%, $E$9)</f>
        <v>115.8381</v>
      </c>
      <c r="S984" s="14">
        <f>CHOOSE(CONTROL!$C$42, 112.0864, 112.0864) * CHOOSE(CONTROL!$C$21, $C$9, 100%, $E$9)</f>
        <v>112.0864</v>
      </c>
      <c r="T98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56">
        <f>(1000*CHOOSE(CONTROL!$C$42, 695, 695)*CHOOSE(CONTROL!$C$42, 0.5599, 0.5599)*CHOOSE(CONTROL!$C$42, 31, 31))/1000000</f>
        <v>12.063045499999998</v>
      </c>
      <c r="V984" s="56">
        <f>(1000*CHOOSE(CONTROL!$C$42, 500, 500)*CHOOSE(CONTROL!$C$42, 0.275, 0.275)*CHOOSE(CONTROL!$C$42, 31, 31))/1000000</f>
        <v>4.2625000000000002</v>
      </c>
      <c r="W984" s="56">
        <f>(1000*CHOOSE(CONTROL!$C$42, 0.1146, 0.1146)*CHOOSE(CONTROL!$C$42, 121.5, 121.5)*CHOOSE(CONTROL!$C$42, 31, 31))/1000000</f>
        <v>0.43164089999999994</v>
      </c>
      <c r="X984" s="56">
        <f>(31*0.1790888*100000/1000000)+(31*0.2374*100000/1000000)</f>
        <v>1.2911152800000001</v>
      </c>
      <c r="Y984" s="56"/>
      <c r="Z984" s="14"/>
      <c r="AA984" s="55"/>
      <c r="AB984" s="49">
        <f>(B984*122.58+C984*297.941+D984*89.177+E984*40.302+F984*40+G984*160+H984*0+I984*100+J984*300)/(122.58+297.941+89.177+40.302+0+40+160+100+300)</f>
        <v>116.71904625321739</v>
      </c>
      <c r="AC984" s="44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114.38559280575538</v>
      </c>
    </row>
    <row r="985" spans="1:29" ht="15.75" x14ac:dyDescent="0.25">
      <c r="A985" s="31">
        <v>70890</v>
      </c>
      <c r="B985" s="14">
        <f>CHOOSE(CONTROL!$C$42, 126.3262, 126.3262) * CHOOSE(CONTROL!$C$21, $C$9, 100%, $E$9)</f>
        <v>126.3262</v>
      </c>
      <c r="C985" s="14">
        <f>CHOOSE(CONTROL!$C$42, 126.3313, 126.3313) * CHOOSE(CONTROL!$C$21, $C$9, 100%, $E$9)</f>
        <v>126.3313</v>
      </c>
      <c r="D985" s="14">
        <f>CHOOSE(CONTROL!$C$42, 126.4107, 126.4107) * CHOOSE(CONTROL!$C$21, $C$9, 100%, $E$9)</f>
        <v>126.41070000000001</v>
      </c>
      <c r="E985" s="14">
        <f>CHOOSE(CONTROL!$C$42, 126.4448, 126.4448) * CHOOSE(CONTROL!$C$21, $C$9, 100%, $E$9)</f>
        <v>126.4448</v>
      </c>
      <c r="F985" s="14">
        <f>CHOOSE(CONTROL!$C$42, 126.3493, 126.3493)*CHOOSE(CONTROL!$C$21, $C$9, 100%, $E$9)</f>
        <v>126.3493</v>
      </c>
      <c r="G985" s="14">
        <f>CHOOSE(CONTROL!$C$42, 126.3668, 126.3668)*CHOOSE(CONTROL!$C$21, $C$9, 100%, $E$9)</f>
        <v>126.3668</v>
      </c>
      <c r="H985" s="14">
        <f>CHOOSE(CONTROL!$C$42, 126.434, 126.434) * CHOOSE(CONTROL!$C$21, $C$9, 100%, $E$9)</f>
        <v>126.434</v>
      </c>
      <c r="I985" s="14">
        <f>CHOOSE(CONTROL!$C$42, 126.7572, 126.7572)* CHOOSE(CONTROL!$C$21, $C$9, 100%, $E$9)</f>
        <v>126.7572</v>
      </c>
      <c r="J985" s="14">
        <f>CHOOSE(CONTROL!$C$42, 126.3423, 126.3423)* CHOOSE(CONTROL!$C$21, $C$9, 100%, $E$9)</f>
        <v>126.34229999999999</v>
      </c>
      <c r="K985" s="52">
        <f>CHOOSE(CONTROL!$C$42, 126.7533, 126.7533) * CHOOSE(CONTROL!$C$21, $C$9, 100%, $E$9)</f>
        <v>126.7533</v>
      </c>
      <c r="L985" s="14">
        <f>CHOOSE(CONTROL!$C$42, 127.021, 127.021) * CHOOSE(CONTROL!$C$21, $C$9, 100%, $E$9)</f>
        <v>127.021</v>
      </c>
      <c r="M985" s="14">
        <f>CHOOSE(CONTROL!$C$42, 123.7613, 123.7613) * CHOOSE(CONTROL!$C$21, $C$9, 100%, $E$9)</f>
        <v>123.76130000000001</v>
      </c>
      <c r="N985" s="14">
        <f>CHOOSE(CONTROL!$C$42, 123.7785, 123.7785) * CHOOSE(CONTROL!$C$21, $C$9, 100%, $E$9)</f>
        <v>123.77849999999999</v>
      </c>
      <c r="O985" s="14">
        <f>CHOOSE(CONTROL!$C$42, 123.8512, 123.8512) * CHOOSE(CONTROL!$C$21, $C$9, 100%, $E$9)</f>
        <v>123.85120000000001</v>
      </c>
      <c r="P985" s="14">
        <f>CHOOSE(CONTROL!$C$42, 124.1598, 124.1598) * CHOOSE(CONTROL!$C$21, $C$9, 100%, $E$9)</f>
        <v>124.1598</v>
      </c>
      <c r="Q985" s="14">
        <f>CHOOSE(CONTROL!$C$42, 124.4459, 124.4459) * CHOOSE(CONTROL!$C$21, $C$9, 100%, $E$9)</f>
        <v>124.44589999999999</v>
      </c>
      <c r="R985" s="14">
        <f>CHOOSE(CONTROL!$C$42, 125.344, 125.344) * CHOOSE(CONTROL!$C$21, $C$9, 100%, $E$9)</f>
        <v>125.34399999999999</v>
      </c>
      <c r="S985" s="14">
        <f>CHOOSE(CONTROL!$C$42, 121.3783, 121.3783) * CHOOSE(CONTROL!$C$21, $C$9, 100%, $E$9)</f>
        <v>121.3783</v>
      </c>
      <c r="T98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56">
        <f>(1000*CHOOSE(CONTROL!$C$42, 695, 695)*CHOOSE(CONTROL!$C$42, 0.5599, 0.5599)*CHOOSE(CONTROL!$C$42, 31, 31))/1000000</f>
        <v>12.063045499999998</v>
      </c>
      <c r="V985" s="56">
        <f>(1000*CHOOSE(CONTROL!$C$42, 500, 500)*CHOOSE(CONTROL!$C$42, 0.275, 0.275)*CHOOSE(CONTROL!$C$42, 31, 31))/1000000</f>
        <v>4.2625000000000002</v>
      </c>
      <c r="W985" s="56">
        <f>(1000*CHOOSE(CONTROL!$C$42, 0.1146, 0.1146)*CHOOSE(CONTROL!$C$42, 121.5, 121.5)*CHOOSE(CONTROL!$C$42, 31, 31))/1000000</f>
        <v>0.43164089999999994</v>
      </c>
      <c r="X985" s="56">
        <f>(31*0.1790888*100000/1000000)+(31*0.2374*100000/1000000)</f>
        <v>1.2911152800000001</v>
      </c>
      <c r="Y985" s="56"/>
      <c r="Z985" s="14"/>
      <c r="AA985" s="55"/>
      <c r="AB985" s="49">
        <f>(B985*122.58+C985*297.941+D985*89.177+E985*40.302+F985*40+G985*160+H985*0+I985*100+J985*300)/(122.58+297.941+89.177+40.302+0+40+160+100+300)</f>
        <v>126.386360672</v>
      </c>
      <c r="AC985" s="44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123.86037410071944</v>
      </c>
    </row>
    <row r="986" spans="1:29" ht="15.75" x14ac:dyDescent="0.25">
      <c r="A986" s="31">
        <v>70918</v>
      </c>
      <c r="B986" s="14">
        <f>CHOOSE(CONTROL!$C$42, 128.5749, 128.5749) * CHOOSE(CONTROL!$C$21, $C$9, 100%, $E$9)</f>
        <v>128.57490000000001</v>
      </c>
      <c r="C986" s="14">
        <f>CHOOSE(CONTROL!$C$42, 128.5799, 128.5799) * CHOOSE(CONTROL!$C$21, $C$9, 100%, $E$9)</f>
        <v>128.57990000000001</v>
      </c>
      <c r="D986" s="14">
        <f>CHOOSE(CONTROL!$C$42, 128.6594, 128.6594) * CHOOSE(CONTROL!$C$21, $C$9, 100%, $E$9)</f>
        <v>128.65940000000001</v>
      </c>
      <c r="E986" s="14">
        <f>CHOOSE(CONTROL!$C$42, 128.6935, 128.6935) * CHOOSE(CONTROL!$C$21, $C$9, 100%, $E$9)</f>
        <v>128.6935</v>
      </c>
      <c r="F986" s="14">
        <f>CHOOSE(CONTROL!$C$42, 128.5976, 128.5976)*CHOOSE(CONTROL!$C$21, $C$9, 100%, $E$9)</f>
        <v>128.5976</v>
      </c>
      <c r="G986" s="14">
        <f>CHOOSE(CONTROL!$C$42, 128.6151, 128.6151)*CHOOSE(CONTROL!$C$21, $C$9, 100%, $E$9)</f>
        <v>128.61510000000001</v>
      </c>
      <c r="H986" s="14">
        <f>CHOOSE(CONTROL!$C$42, 128.6827, 128.6827) * CHOOSE(CONTROL!$C$21, $C$9, 100%, $E$9)</f>
        <v>128.68270000000001</v>
      </c>
      <c r="I986" s="14">
        <f>CHOOSE(CONTROL!$C$42, 129.0128, 129.0128)* CHOOSE(CONTROL!$C$21, $C$9, 100%, $E$9)</f>
        <v>129.0128</v>
      </c>
      <c r="J986" s="14">
        <f>CHOOSE(CONTROL!$C$42, 128.5906, 128.5906)* CHOOSE(CONTROL!$C$21, $C$9, 100%, $E$9)</f>
        <v>128.59059999999999</v>
      </c>
      <c r="K986" s="52">
        <f>CHOOSE(CONTROL!$C$42, 129.0089, 129.0089) * CHOOSE(CONTROL!$C$21, $C$9, 100%, $E$9)</f>
        <v>129.00890000000001</v>
      </c>
      <c r="L986" s="14">
        <f>CHOOSE(CONTROL!$C$42, 129.2697, 129.2697) * CHOOSE(CONTROL!$C$21, $C$9, 100%, $E$9)</f>
        <v>129.2697</v>
      </c>
      <c r="M986" s="14">
        <f>CHOOSE(CONTROL!$C$42, 125.9636, 125.9636) * CHOOSE(CONTROL!$C$21, $C$9, 100%, $E$9)</f>
        <v>125.9636</v>
      </c>
      <c r="N986" s="14">
        <f>CHOOSE(CONTROL!$C$42, 125.9807, 125.9807) * CHOOSE(CONTROL!$C$21, $C$9, 100%, $E$9)</f>
        <v>125.9807</v>
      </c>
      <c r="O986" s="14">
        <f>CHOOSE(CONTROL!$C$42, 126.0537, 126.0537) * CHOOSE(CONTROL!$C$21, $C$9, 100%, $E$9)</f>
        <v>126.05370000000001</v>
      </c>
      <c r="P986" s="14">
        <f>CHOOSE(CONTROL!$C$42, 126.3691, 126.3691) * CHOOSE(CONTROL!$C$21, $C$9, 100%, $E$9)</f>
        <v>126.3691</v>
      </c>
      <c r="Q986" s="14">
        <f>CHOOSE(CONTROL!$C$42, 126.6484, 126.6484) * CHOOSE(CONTROL!$C$21, $C$9, 100%, $E$9)</f>
        <v>126.6484</v>
      </c>
      <c r="R986" s="14">
        <f>CHOOSE(CONTROL!$C$42, 127.552, 127.552) * CHOOSE(CONTROL!$C$21, $C$9, 100%, $E$9)</f>
        <v>127.55200000000001</v>
      </c>
      <c r="S986" s="14">
        <f>CHOOSE(CONTROL!$C$42, 123.539, 123.539) * CHOOSE(CONTROL!$C$21, $C$9, 100%, $E$9)</f>
        <v>123.539</v>
      </c>
      <c r="T98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56">
        <f>(1000*CHOOSE(CONTROL!$C$42, 695, 695)*CHOOSE(CONTROL!$C$42, 0.5599, 0.5599)*CHOOSE(CONTROL!$C$42, 28, 28))/1000000</f>
        <v>10.895653999999999</v>
      </c>
      <c r="V986" s="56">
        <f>(1000*CHOOSE(CONTROL!$C$42, 500, 500)*CHOOSE(CONTROL!$C$42, 0.275, 0.275)*CHOOSE(CONTROL!$C$42, 28, 28))/1000000</f>
        <v>3.85</v>
      </c>
      <c r="W986" s="56">
        <f>(1000*CHOOSE(CONTROL!$C$42, 0.1146, 0.1146)*CHOOSE(CONTROL!$C$42, 121.5, 121.5)*CHOOSE(CONTROL!$C$42, 28, 28))/1000000</f>
        <v>0.38986920000000003</v>
      </c>
      <c r="X986" s="56">
        <f>(28*0.1790888*100000/1000000)+(28*0.2374*100000/1000000)</f>
        <v>1.16616864</v>
      </c>
      <c r="Y986" s="56"/>
      <c r="Z986" s="14"/>
      <c r="AA986" s="55"/>
      <c r="AB986" s="49">
        <f>(B986*122.58+C986*297.941+D986*89.177+E986*40.302+F986*40+G986*160+H986*0+I986*100+J986*300)/(122.58+297.941+89.177+40.302+0+40+160+100+300)</f>
        <v>128.63546085104349</v>
      </c>
      <c r="AC986" s="44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126.06376618705036</v>
      </c>
    </row>
    <row r="987" spans="1:29" ht="15.75" x14ac:dyDescent="0.25">
      <c r="A987" s="31">
        <v>70949</v>
      </c>
      <c r="B987" s="14">
        <f>CHOOSE(CONTROL!$C$42, 124.9248, 124.9248) * CHOOSE(CONTROL!$C$21, $C$9, 100%, $E$9)</f>
        <v>124.9248</v>
      </c>
      <c r="C987" s="14">
        <f>CHOOSE(CONTROL!$C$42, 124.9299, 124.9299) * CHOOSE(CONTROL!$C$21, $C$9, 100%, $E$9)</f>
        <v>124.9299</v>
      </c>
      <c r="D987" s="14">
        <f>CHOOSE(CONTROL!$C$42, 125.0093, 125.0093) * CHOOSE(CONTROL!$C$21, $C$9, 100%, $E$9)</f>
        <v>125.0093</v>
      </c>
      <c r="E987" s="14">
        <f>CHOOSE(CONTROL!$C$42, 125.0434, 125.0434) * CHOOSE(CONTROL!$C$21, $C$9, 100%, $E$9)</f>
        <v>125.04340000000001</v>
      </c>
      <c r="F987" s="14">
        <f>CHOOSE(CONTROL!$C$42, 124.9468, 124.9468)*CHOOSE(CONTROL!$C$21, $C$9, 100%, $E$9)</f>
        <v>124.9468</v>
      </c>
      <c r="G987" s="14">
        <f>CHOOSE(CONTROL!$C$42, 124.9641, 124.9641)*CHOOSE(CONTROL!$C$21, $C$9, 100%, $E$9)</f>
        <v>124.9641</v>
      </c>
      <c r="H987" s="14">
        <f>CHOOSE(CONTROL!$C$42, 125.0326, 125.0326) * CHOOSE(CONTROL!$C$21, $C$9, 100%, $E$9)</f>
        <v>125.0326</v>
      </c>
      <c r="I987" s="14">
        <f>CHOOSE(CONTROL!$C$42, 125.3513, 125.3513)* CHOOSE(CONTROL!$C$21, $C$9, 100%, $E$9)</f>
        <v>125.35129999999999</v>
      </c>
      <c r="J987" s="14">
        <f>CHOOSE(CONTROL!$C$42, 124.9398, 124.9398)* CHOOSE(CONTROL!$C$21, $C$9, 100%, $E$9)</f>
        <v>124.93980000000001</v>
      </c>
      <c r="K987" s="52">
        <f>CHOOSE(CONTROL!$C$42, 125.3474, 125.3474) * CHOOSE(CONTROL!$C$21, $C$9, 100%, $E$9)</f>
        <v>125.34739999999999</v>
      </c>
      <c r="L987" s="14">
        <f>CHOOSE(CONTROL!$C$42, 125.6196, 125.6196) * CHOOSE(CONTROL!$C$21, $C$9, 100%, $E$9)</f>
        <v>125.61960000000001</v>
      </c>
      <c r="M987" s="14">
        <f>CHOOSE(CONTROL!$C$42, 122.3876, 122.3876) * CHOOSE(CONTROL!$C$21, $C$9, 100%, $E$9)</f>
        <v>122.38760000000001</v>
      </c>
      <c r="N987" s="14">
        <f>CHOOSE(CONTROL!$C$42, 122.4045, 122.4045) * CHOOSE(CONTROL!$C$21, $C$9, 100%, $E$9)</f>
        <v>122.4045</v>
      </c>
      <c r="O987" s="14">
        <f>CHOOSE(CONTROL!$C$42, 122.4785, 122.4785) * CHOOSE(CONTROL!$C$21, $C$9, 100%, $E$9)</f>
        <v>122.4785</v>
      </c>
      <c r="P987" s="14">
        <f>CHOOSE(CONTROL!$C$42, 122.7829, 122.7829) * CHOOSE(CONTROL!$C$21, $C$9, 100%, $E$9)</f>
        <v>122.7829</v>
      </c>
      <c r="Q987" s="14">
        <f>CHOOSE(CONTROL!$C$42, 123.0732, 123.0732) * CHOOSE(CONTROL!$C$21, $C$9, 100%, $E$9)</f>
        <v>123.0732</v>
      </c>
      <c r="R987" s="14">
        <f>CHOOSE(CONTROL!$C$42, 123.9678, 123.9678) * CHOOSE(CONTROL!$C$21, $C$9, 100%, $E$9)</f>
        <v>123.9678</v>
      </c>
      <c r="S987" s="14">
        <f>CHOOSE(CONTROL!$C$42, 120.0317, 120.0317) * CHOOSE(CONTROL!$C$21, $C$9, 100%, $E$9)</f>
        <v>120.0317</v>
      </c>
      <c r="T98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56">
        <f>(1000*CHOOSE(CONTROL!$C$42, 695, 695)*CHOOSE(CONTROL!$C$42, 0.5599, 0.5599)*CHOOSE(CONTROL!$C$42, 31, 31))/1000000</f>
        <v>12.063045499999998</v>
      </c>
      <c r="V987" s="56">
        <f>(1000*CHOOSE(CONTROL!$C$42, 500, 500)*CHOOSE(CONTROL!$C$42, 0.275, 0.275)*CHOOSE(CONTROL!$C$42, 31, 31))/1000000</f>
        <v>4.2625000000000002</v>
      </c>
      <c r="W987" s="56">
        <f>(1000*CHOOSE(CONTROL!$C$42, 0.1146, 0.1146)*CHOOSE(CONTROL!$C$42, 121.5, 121.5)*CHOOSE(CONTROL!$C$42, 31, 31))/1000000</f>
        <v>0.43164089999999994</v>
      </c>
      <c r="X987" s="56">
        <f>(31*0.1790888*100000/1000000)+(31*0.2374*100000/1000000)</f>
        <v>1.2911152800000001</v>
      </c>
      <c r="Y987" s="56"/>
      <c r="Z987" s="14"/>
      <c r="AA987" s="55"/>
      <c r="AB987" s="49">
        <f>(B987*122.58+C987*297.941+D987*89.177+E987*40.302+F987*40+G987*160+H987*0+I987*100+J987*300)/(122.58+297.941+89.177+40.302+0+40+160+100+300)</f>
        <v>124.98406328069565</v>
      </c>
      <c r="AC987" s="44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122.48664964028777</v>
      </c>
    </row>
    <row r="988" spans="1:29" ht="15.75" x14ac:dyDescent="0.25">
      <c r="A988" s="31">
        <v>70979</v>
      </c>
      <c r="B988" s="14">
        <f>CHOOSE(CONTROL!$C$42, 124.5518, 124.5518) * CHOOSE(CONTROL!$C$21, $C$9, 100%, $E$9)</f>
        <v>124.5518</v>
      </c>
      <c r="C988" s="14">
        <f>CHOOSE(CONTROL!$C$42, 124.5563, 124.5563) * CHOOSE(CONTROL!$C$21, $C$9, 100%, $E$9)</f>
        <v>124.55629999999999</v>
      </c>
      <c r="D988" s="14">
        <f>CHOOSE(CONTROL!$C$42, 124.7852, 124.7852) * CHOOSE(CONTROL!$C$21, $C$9, 100%, $E$9)</f>
        <v>124.7852</v>
      </c>
      <c r="E988" s="14">
        <f>CHOOSE(CONTROL!$C$42, 124.8173, 124.8173) * CHOOSE(CONTROL!$C$21, $C$9, 100%, $E$9)</f>
        <v>124.8173</v>
      </c>
      <c r="F988" s="14">
        <f>CHOOSE(CONTROL!$C$42, 124.5788, 124.5788)*CHOOSE(CONTROL!$C$21, $C$9, 100%, $E$9)</f>
        <v>124.5788</v>
      </c>
      <c r="G988" s="14">
        <f>CHOOSE(CONTROL!$C$42, 124.5955, 124.5955)*CHOOSE(CONTROL!$C$21, $C$9, 100%, $E$9)</f>
        <v>124.5955</v>
      </c>
      <c r="H988" s="14">
        <f>CHOOSE(CONTROL!$C$42, 124.8071, 124.8071) * CHOOSE(CONTROL!$C$21, $C$9, 100%, $E$9)</f>
        <v>124.80710000000001</v>
      </c>
      <c r="I988" s="14">
        <f>CHOOSE(CONTROL!$C$42, 124.9748, 124.9748)* CHOOSE(CONTROL!$C$21, $C$9, 100%, $E$9)</f>
        <v>124.9748</v>
      </c>
      <c r="J988" s="14">
        <f>CHOOSE(CONTROL!$C$42, 124.5718, 124.5718)* CHOOSE(CONTROL!$C$21, $C$9, 100%, $E$9)</f>
        <v>124.5718</v>
      </c>
      <c r="K988" s="52">
        <f>CHOOSE(CONTROL!$C$42, 124.9709, 124.9709) * CHOOSE(CONTROL!$C$21, $C$9, 100%, $E$9)</f>
        <v>124.9709</v>
      </c>
      <c r="L988" s="14">
        <f>CHOOSE(CONTROL!$C$42, 125.3941, 125.3941) * CHOOSE(CONTROL!$C$21, $C$9, 100%, $E$9)</f>
        <v>125.39409999999999</v>
      </c>
      <c r="M988" s="14">
        <f>CHOOSE(CONTROL!$C$42, 122.0271, 122.0271) * CHOOSE(CONTROL!$C$21, $C$9, 100%, $E$9)</f>
        <v>122.0271</v>
      </c>
      <c r="N988" s="14">
        <f>CHOOSE(CONTROL!$C$42, 122.0435, 122.0435) * CHOOSE(CONTROL!$C$21, $C$9, 100%, $E$9)</f>
        <v>122.04349999999999</v>
      </c>
      <c r="O988" s="14">
        <f>CHOOSE(CONTROL!$C$42, 122.2576, 122.2576) * CHOOSE(CONTROL!$C$21, $C$9, 100%, $E$9)</f>
        <v>122.2576</v>
      </c>
      <c r="P988" s="14">
        <f>CHOOSE(CONTROL!$C$42, 122.4141, 122.4141) * CHOOSE(CONTROL!$C$21, $C$9, 100%, $E$9)</f>
        <v>122.4141</v>
      </c>
      <c r="Q988" s="14">
        <f>CHOOSE(CONTROL!$C$42, 122.8523, 122.8523) * CHOOSE(CONTROL!$C$21, $C$9, 100%, $E$9)</f>
        <v>122.8523</v>
      </c>
      <c r="R988" s="14">
        <f>CHOOSE(CONTROL!$C$42, 123.7464, 123.7464) * CHOOSE(CONTROL!$C$21, $C$9, 100%, $E$9)</f>
        <v>123.74639999999999</v>
      </c>
      <c r="S988" s="14">
        <f>CHOOSE(CONTROL!$C$42, 119.6725, 119.6725) * CHOOSE(CONTROL!$C$21, $C$9, 100%, $E$9)</f>
        <v>119.6725</v>
      </c>
      <c r="T98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56">
        <f>(1000*CHOOSE(CONTROL!$C$42, 695, 695)*CHOOSE(CONTROL!$C$42, 0.5599, 0.5599)*CHOOSE(CONTROL!$C$42, 30, 30))/1000000</f>
        <v>11.673914999999997</v>
      </c>
      <c r="V988" s="56">
        <f>(1000*CHOOSE(CONTROL!$C$42, 500, 500)*CHOOSE(CONTROL!$C$42, 0.275, 0.275)*CHOOSE(CONTROL!$C$42, 30, 30))/1000000</f>
        <v>4.125</v>
      </c>
      <c r="W988" s="56">
        <f>(1000*CHOOSE(CONTROL!$C$42, 0.1146, 0.1146)*CHOOSE(CONTROL!$C$42, 121.5, 121.5)*CHOOSE(CONTROL!$C$42, 30, 30))/1000000</f>
        <v>0.417717</v>
      </c>
      <c r="X988" s="56">
        <f>(30*0.1790888*245000/1000000)+(30*0.2374*100000/1000000)</f>
        <v>2.0285026799999999</v>
      </c>
      <c r="Y988" s="56"/>
      <c r="Z988" s="14"/>
      <c r="AA988" s="55"/>
      <c r="AB988" s="49">
        <f>(B988*141.293+C988*267.993+D988*115.016+E988*89.698+F988*40+G988*185+H988*0+I988*100+J988*300)/(141.293+267.993+115.016+89.698+0+40+185+100+300)</f>
        <v>124.64004053422116</v>
      </c>
      <c r="AC988" s="44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122.1881985611511</v>
      </c>
    </row>
    <row r="989" spans="1:29" ht="15.75" x14ac:dyDescent="0.25">
      <c r="A989" s="31">
        <v>71010</v>
      </c>
      <c r="B989" s="14">
        <f>CHOOSE(CONTROL!$C$42, 125.6524, 125.6524) * CHOOSE(CONTROL!$C$21, $C$9, 100%, $E$9)</f>
        <v>125.6524</v>
      </c>
      <c r="C989" s="14">
        <f>CHOOSE(CONTROL!$C$42, 125.6604, 125.6604) * CHOOSE(CONTROL!$C$21, $C$9, 100%, $E$9)</f>
        <v>125.6604</v>
      </c>
      <c r="D989" s="14">
        <f>CHOOSE(CONTROL!$C$42, 125.8862, 125.8862) * CHOOSE(CONTROL!$C$21, $C$9, 100%, $E$9)</f>
        <v>125.8862</v>
      </c>
      <c r="E989" s="14">
        <f>CHOOSE(CONTROL!$C$42, 125.9177, 125.9177) * CHOOSE(CONTROL!$C$21, $C$9, 100%, $E$9)</f>
        <v>125.9177</v>
      </c>
      <c r="F989" s="14">
        <f>CHOOSE(CONTROL!$C$42, 125.6781, 125.6781)*CHOOSE(CONTROL!$C$21, $C$9, 100%, $E$9)</f>
        <v>125.6781</v>
      </c>
      <c r="G989" s="14">
        <f>CHOOSE(CONTROL!$C$42, 125.695, 125.695)*CHOOSE(CONTROL!$C$21, $C$9, 100%, $E$9)</f>
        <v>125.69499999999999</v>
      </c>
      <c r="H989" s="14">
        <f>CHOOSE(CONTROL!$C$42, 125.9063, 125.9063) * CHOOSE(CONTROL!$C$21, $C$9, 100%, $E$9)</f>
        <v>125.9063</v>
      </c>
      <c r="I989" s="14">
        <f>CHOOSE(CONTROL!$C$42, 126.0775, 126.0775)* CHOOSE(CONTROL!$C$21, $C$9, 100%, $E$9)</f>
        <v>126.0775</v>
      </c>
      <c r="J989" s="14">
        <f>CHOOSE(CONTROL!$C$42, 125.6711, 125.6711)* CHOOSE(CONTROL!$C$21, $C$9, 100%, $E$9)</f>
        <v>125.6711</v>
      </c>
      <c r="K989" s="52">
        <f>CHOOSE(CONTROL!$C$42, 126.0736, 126.0736) * CHOOSE(CONTROL!$C$21, $C$9, 100%, $E$9)</f>
        <v>126.0736</v>
      </c>
      <c r="L989" s="14">
        <f>CHOOSE(CONTROL!$C$42, 126.4933, 126.4933) * CHOOSE(CONTROL!$C$21, $C$9, 100%, $E$9)</f>
        <v>126.4933</v>
      </c>
      <c r="M989" s="14">
        <f>CHOOSE(CONTROL!$C$42, 123.1038, 123.1038) * CHOOSE(CONTROL!$C$21, $C$9, 100%, $E$9)</f>
        <v>123.10380000000001</v>
      </c>
      <c r="N989" s="14">
        <f>CHOOSE(CONTROL!$C$42, 123.1205, 123.1205) * CHOOSE(CONTROL!$C$21, $C$9, 100%, $E$9)</f>
        <v>123.12050000000001</v>
      </c>
      <c r="O989" s="14">
        <f>CHOOSE(CONTROL!$C$42, 123.3343, 123.3343) * CHOOSE(CONTROL!$C$21, $C$9, 100%, $E$9)</f>
        <v>123.3343</v>
      </c>
      <c r="P989" s="14">
        <f>CHOOSE(CONTROL!$C$42, 123.4941, 123.4941) * CHOOSE(CONTROL!$C$21, $C$9, 100%, $E$9)</f>
        <v>123.4941</v>
      </c>
      <c r="Q989" s="14">
        <f>CHOOSE(CONTROL!$C$42, 123.929, 123.929) * CHOOSE(CONTROL!$C$21, $C$9, 100%, $E$9)</f>
        <v>123.929</v>
      </c>
      <c r="R989" s="14">
        <f>CHOOSE(CONTROL!$C$42, 124.8258, 124.8258) * CHOOSE(CONTROL!$C$21, $C$9, 100%, $E$9)</f>
        <v>124.8258</v>
      </c>
      <c r="S989" s="14">
        <f>CHOOSE(CONTROL!$C$42, 120.7288, 120.7288) * CHOOSE(CONTROL!$C$21, $C$9, 100%, $E$9)</f>
        <v>120.72880000000001</v>
      </c>
      <c r="T98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56">
        <f>(1000*CHOOSE(CONTROL!$C$42, 695, 695)*CHOOSE(CONTROL!$C$42, 0.5599, 0.5599)*CHOOSE(CONTROL!$C$42, 31, 31))/1000000</f>
        <v>12.063045499999998</v>
      </c>
      <c r="V989" s="56">
        <f>(1000*CHOOSE(CONTROL!$C$42, 500, 500)*CHOOSE(CONTROL!$C$42, 0.275, 0.275)*CHOOSE(CONTROL!$C$42, 31, 31))/1000000</f>
        <v>4.2625000000000002</v>
      </c>
      <c r="W989" s="56">
        <f>(1000*CHOOSE(CONTROL!$C$42, 0.1146, 0.1146)*CHOOSE(CONTROL!$C$42, 121.5, 121.5)*CHOOSE(CONTROL!$C$42, 31, 31))/1000000</f>
        <v>0.43164089999999994</v>
      </c>
      <c r="X989" s="56">
        <f>(31*0.1790888*245000/1000000)+(31*0.2374*100000/1000000)</f>
        <v>2.0961194359999999</v>
      </c>
      <c r="Y989" s="56"/>
      <c r="Z989" s="14"/>
      <c r="AA989" s="55"/>
      <c r="AB989" s="49">
        <f>(B989*194.205+C989*267.466+D989*133.845+E989*53.484+F989*40+G989*185+H989*0+I989*100+J989*300)/(194.205+267.466+133.845+53.484+0+40+185+100+300)</f>
        <v>125.73454363751962</v>
      </c>
      <c r="AC989" s="44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123.26539064748202</v>
      </c>
    </row>
    <row r="990" spans="1:29" ht="15.75" x14ac:dyDescent="0.25">
      <c r="A990" s="31">
        <v>71040</v>
      </c>
      <c r="B990" s="14">
        <f>CHOOSE(CONTROL!$C$42, 129.2164, 129.2164) * CHOOSE(CONTROL!$C$21, $C$9, 100%, $E$9)</f>
        <v>129.21639999999999</v>
      </c>
      <c r="C990" s="14">
        <f>CHOOSE(CONTROL!$C$42, 129.2244, 129.2244) * CHOOSE(CONTROL!$C$21, $C$9, 100%, $E$9)</f>
        <v>129.2244</v>
      </c>
      <c r="D990" s="14">
        <f>CHOOSE(CONTROL!$C$42, 129.4502, 129.4502) * CHOOSE(CONTROL!$C$21, $C$9, 100%, $E$9)</f>
        <v>129.4502</v>
      </c>
      <c r="E990" s="14">
        <f>CHOOSE(CONTROL!$C$42, 129.4817, 129.4817) * CHOOSE(CONTROL!$C$21, $C$9, 100%, $E$9)</f>
        <v>129.48169999999999</v>
      </c>
      <c r="F990" s="14">
        <f>CHOOSE(CONTROL!$C$42, 129.2425, 129.2425)*CHOOSE(CONTROL!$C$21, $C$9, 100%, $E$9)</f>
        <v>129.24250000000001</v>
      </c>
      <c r="G990" s="14">
        <f>CHOOSE(CONTROL!$C$42, 129.2596, 129.2596)*CHOOSE(CONTROL!$C$21, $C$9, 100%, $E$9)</f>
        <v>129.25960000000001</v>
      </c>
      <c r="H990" s="14">
        <f>CHOOSE(CONTROL!$C$42, 129.4703, 129.4703) * CHOOSE(CONTROL!$C$21, $C$9, 100%, $E$9)</f>
        <v>129.47030000000001</v>
      </c>
      <c r="I990" s="14">
        <f>CHOOSE(CONTROL!$C$42, 129.6526, 129.6526)* CHOOSE(CONTROL!$C$21, $C$9, 100%, $E$9)</f>
        <v>129.65260000000001</v>
      </c>
      <c r="J990" s="14">
        <f>CHOOSE(CONTROL!$C$42, 129.2355, 129.2355)* CHOOSE(CONTROL!$C$21, $C$9, 100%, $E$9)</f>
        <v>129.2355</v>
      </c>
      <c r="K990" s="52">
        <f>CHOOSE(CONTROL!$C$42, 129.6487, 129.6487) * CHOOSE(CONTROL!$C$21, $C$9, 100%, $E$9)</f>
        <v>129.64869999999999</v>
      </c>
      <c r="L990" s="14">
        <f>CHOOSE(CONTROL!$C$42, 130.0573, 130.0573) * CHOOSE(CONTROL!$C$21, $C$9, 100%, $E$9)</f>
        <v>130.0573</v>
      </c>
      <c r="M990" s="14">
        <f>CHOOSE(CONTROL!$C$42, 126.5952, 126.5952) * CHOOSE(CONTROL!$C$21, $C$9, 100%, $E$9)</f>
        <v>126.59520000000001</v>
      </c>
      <c r="N990" s="14">
        <f>CHOOSE(CONTROL!$C$42, 126.612, 126.612) * CHOOSE(CONTROL!$C$21, $C$9, 100%, $E$9)</f>
        <v>126.61199999999999</v>
      </c>
      <c r="O990" s="14">
        <f>CHOOSE(CONTROL!$C$42, 126.8252, 126.8252) * CHOOSE(CONTROL!$C$21, $C$9, 100%, $E$9)</f>
        <v>126.8252</v>
      </c>
      <c r="P990" s="14">
        <f>CHOOSE(CONTROL!$C$42, 126.9957, 126.9957) * CHOOSE(CONTROL!$C$21, $C$9, 100%, $E$9)</f>
        <v>126.9957</v>
      </c>
      <c r="Q990" s="14">
        <f>CHOOSE(CONTROL!$C$42, 127.4199, 127.4199) * CHOOSE(CONTROL!$C$21, $C$9, 100%, $E$9)</f>
        <v>127.4199</v>
      </c>
      <c r="R990" s="14">
        <f>CHOOSE(CONTROL!$C$42, 128.3255, 128.3255) * CHOOSE(CONTROL!$C$21, $C$9, 100%, $E$9)</f>
        <v>128.32550000000001</v>
      </c>
      <c r="S990" s="14">
        <f>CHOOSE(CONTROL!$C$42, 124.1534, 124.1534) * CHOOSE(CONTROL!$C$21, $C$9, 100%, $E$9)</f>
        <v>124.1534</v>
      </c>
      <c r="T99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56">
        <f>(1000*CHOOSE(CONTROL!$C$42, 695, 695)*CHOOSE(CONTROL!$C$42, 0.5599, 0.5599)*CHOOSE(CONTROL!$C$42, 30, 30))/1000000</f>
        <v>11.673914999999997</v>
      </c>
      <c r="V990" s="56">
        <f>(1000*CHOOSE(CONTROL!$C$42, 500, 500)*CHOOSE(CONTROL!$C$42, 0.275, 0.275)*CHOOSE(CONTROL!$C$42, 30, 30))/1000000</f>
        <v>4.125</v>
      </c>
      <c r="W990" s="56">
        <f>(1000*CHOOSE(CONTROL!$C$42, 0.1146, 0.1146)*CHOOSE(CONTROL!$C$42, 121.5, 121.5)*CHOOSE(CONTROL!$C$42, 30, 30))/1000000</f>
        <v>0.417717</v>
      </c>
      <c r="X990" s="56">
        <f>(30*0.1790888*245000/1000000)+(30*0.2374*100000/1000000)</f>
        <v>2.0285026799999999</v>
      </c>
      <c r="Y990" s="56"/>
      <c r="Z990" s="14"/>
      <c r="AA990" s="55"/>
      <c r="AB990" s="49">
        <f>(B990*194.205+C990*267.466+D990*133.845+E990*53.484+F990*40+G990*185+H990*0+I990*100+J990*300)/(194.205+267.466+133.845+53.484+0+40+185+100+300)</f>
        <v>129.29960878665619</v>
      </c>
      <c r="AC990" s="44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126.75803741007196</v>
      </c>
    </row>
    <row r="991" spans="1:29" ht="15.75" x14ac:dyDescent="0.25">
      <c r="A991" s="31">
        <v>71071</v>
      </c>
      <c r="B991" s="14">
        <f>CHOOSE(CONTROL!$C$42, 126.7376, 126.7376) * CHOOSE(CONTROL!$C$21, $C$9, 100%, $E$9)</f>
        <v>126.7376</v>
      </c>
      <c r="C991" s="14">
        <f>CHOOSE(CONTROL!$C$42, 126.7456, 126.7456) * CHOOSE(CONTROL!$C$21, $C$9, 100%, $E$9)</f>
        <v>126.7456</v>
      </c>
      <c r="D991" s="14">
        <f>CHOOSE(CONTROL!$C$42, 126.9714, 126.9714) * CHOOSE(CONTROL!$C$21, $C$9, 100%, $E$9)</f>
        <v>126.9714</v>
      </c>
      <c r="E991" s="14">
        <f>CHOOSE(CONTROL!$C$42, 127.0029, 127.0029) * CHOOSE(CONTROL!$C$21, $C$9, 100%, $E$9)</f>
        <v>127.0029</v>
      </c>
      <c r="F991" s="14">
        <f>CHOOSE(CONTROL!$C$42, 126.7642, 126.7642)*CHOOSE(CONTROL!$C$21, $C$9, 100%, $E$9)</f>
        <v>126.7642</v>
      </c>
      <c r="G991" s="14">
        <f>CHOOSE(CONTROL!$C$42, 126.7814, 126.7814)*CHOOSE(CONTROL!$C$21, $C$9, 100%, $E$9)</f>
        <v>126.7814</v>
      </c>
      <c r="H991" s="14">
        <f>CHOOSE(CONTROL!$C$42, 126.9915, 126.9915) * CHOOSE(CONTROL!$C$21, $C$9, 100%, $E$9)</f>
        <v>126.9915</v>
      </c>
      <c r="I991" s="14">
        <f>CHOOSE(CONTROL!$C$42, 127.1661, 127.1661)* CHOOSE(CONTROL!$C$21, $C$9, 100%, $E$9)</f>
        <v>127.1661</v>
      </c>
      <c r="J991" s="14">
        <f>CHOOSE(CONTROL!$C$42, 126.7572, 126.7572)* CHOOSE(CONTROL!$C$21, $C$9, 100%, $E$9)</f>
        <v>126.7572</v>
      </c>
      <c r="K991" s="52">
        <f>CHOOSE(CONTROL!$C$42, 127.1622, 127.1622) * CHOOSE(CONTROL!$C$21, $C$9, 100%, $E$9)</f>
        <v>127.1622</v>
      </c>
      <c r="L991" s="14">
        <f>CHOOSE(CONTROL!$C$42, 127.5785, 127.5785) * CHOOSE(CONTROL!$C$21, $C$9, 100%, $E$9)</f>
        <v>127.57850000000001</v>
      </c>
      <c r="M991" s="14">
        <f>CHOOSE(CONTROL!$C$42, 124.1677, 124.1677) * CHOOSE(CONTROL!$C$21, $C$9, 100%, $E$9)</f>
        <v>124.1677</v>
      </c>
      <c r="N991" s="14">
        <f>CHOOSE(CONTROL!$C$42, 124.1846, 124.1846) * CHOOSE(CONTROL!$C$21, $C$9, 100%, $E$9)</f>
        <v>124.1846</v>
      </c>
      <c r="O991" s="14">
        <f>CHOOSE(CONTROL!$C$42, 124.3973, 124.3973) * CHOOSE(CONTROL!$C$21, $C$9, 100%, $E$9)</f>
        <v>124.3973</v>
      </c>
      <c r="P991" s="14">
        <f>CHOOSE(CONTROL!$C$42, 124.5603, 124.5603) * CHOOSE(CONTROL!$C$21, $C$9, 100%, $E$9)</f>
        <v>124.5603</v>
      </c>
      <c r="Q991" s="14">
        <f>CHOOSE(CONTROL!$C$42, 124.992, 124.992) * CHOOSE(CONTROL!$C$21, $C$9, 100%, $E$9)</f>
        <v>124.992</v>
      </c>
      <c r="R991" s="14">
        <f>CHOOSE(CONTROL!$C$42, 125.8914, 125.8914) * CHOOSE(CONTROL!$C$21, $C$9, 100%, $E$9)</f>
        <v>125.8914</v>
      </c>
      <c r="S991" s="14">
        <f>CHOOSE(CONTROL!$C$42, 121.7715, 121.7715) * CHOOSE(CONTROL!$C$21, $C$9, 100%, $E$9)</f>
        <v>121.7715</v>
      </c>
      <c r="T99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56">
        <f>(1000*CHOOSE(CONTROL!$C$42, 695, 695)*CHOOSE(CONTROL!$C$42, 0.5599, 0.5599)*CHOOSE(CONTROL!$C$42, 31, 31))/1000000</f>
        <v>12.063045499999998</v>
      </c>
      <c r="V991" s="56">
        <f>(1000*CHOOSE(CONTROL!$C$42, 500, 500)*CHOOSE(CONTROL!$C$42, 0.275, 0.275)*CHOOSE(CONTROL!$C$42, 31, 31))/1000000</f>
        <v>4.2625000000000002</v>
      </c>
      <c r="W991" s="56">
        <f>(1000*CHOOSE(CONTROL!$C$42, 0.1146, 0.1146)*CHOOSE(CONTROL!$C$42, 121.5, 121.5)*CHOOSE(CONTROL!$C$42, 31, 31))/1000000</f>
        <v>0.43164089999999994</v>
      </c>
      <c r="X991" s="56">
        <f>(31*0.1790888*245000/1000000)+(31*0.2374*100000/1000000)</f>
        <v>2.0961194359999999</v>
      </c>
      <c r="Y991" s="56"/>
      <c r="Z991" s="14"/>
      <c r="AA991" s="55"/>
      <c r="AB991" s="49">
        <f>(B991*194.205+C991*267.466+D991*133.845+E991*53.484+F991*40+G991*185+H991*0+I991*100+J991*300)/(194.205+267.466+133.845+53.484+0+40+185+100+300)</f>
        <v>126.82042495620094</v>
      </c>
      <c r="AC991" s="44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124.32922517985611</v>
      </c>
    </row>
    <row r="992" spans="1:29" ht="15.75" x14ac:dyDescent="0.25">
      <c r="A992" s="31">
        <v>71102</v>
      </c>
      <c r="B992" s="14">
        <f>CHOOSE(CONTROL!$C$42, 120.478, 120.478) * CHOOSE(CONTROL!$C$21, $C$9, 100%, $E$9)</f>
        <v>120.47799999999999</v>
      </c>
      <c r="C992" s="14">
        <f>CHOOSE(CONTROL!$C$42, 120.486, 120.486) * CHOOSE(CONTROL!$C$21, $C$9, 100%, $E$9)</f>
        <v>120.486</v>
      </c>
      <c r="D992" s="14">
        <f>CHOOSE(CONTROL!$C$42, 120.7118, 120.7118) * CHOOSE(CONTROL!$C$21, $C$9, 100%, $E$9)</f>
        <v>120.7118</v>
      </c>
      <c r="E992" s="14">
        <f>CHOOSE(CONTROL!$C$42, 120.7432, 120.7432) * CHOOSE(CONTROL!$C$21, $C$9, 100%, $E$9)</f>
        <v>120.7432</v>
      </c>
      <c r="F992" s="14">
        <f>CHOOSE(CONTROL!$C$42, 120.5048, 120.5048)*CHOOSE(CONTROL!$C$21, $C$9, 100%, $E$9)</f>
        <v>120.5048</v>
      </c>
      <c r="G992" s="14">
        <f>CHOOSE(CONTROL!$C$42, 120.522, 120.522)*CHOOSE(CONTROL!$C$21, $C$9, 100%, $E$9)</f>
        <v>120.52200000000001</v>
      </c>
      <c r="H992" s="14">
        <f>CHOOSE(CONTROL!$C$42, 120.7319, 120.7319) * CHOOSE(CONTROL!$C$21, $C$9, 100%, $E$9)</f>
        <v>120.7319</v>
      </c>
      <c r="I992" s="14">
        <f>CHOOSE(CONTROL!$C$42, 120.8868, 120.8868)* CHOOSE(CONTROL!$C$21, $C$9, 100%, $E$9)</f>
        <v>120.88679999999999</v>
      </c>
      <c r="J992" s="14">
        <f>CHOOSE(CONTROL!$C$42, 120.4978, 120.4978)* CHOOSE(CONTROL!$C$21, $C$9, 100%, $E$9)</f>
        <v>120.4978</v>
      </c>
      <c r="K992" s="52">
        <f>CHOOSE(CONTROL!$C$42, 120.8829, 120.8829) * CHOOSE(CONTROL!$C$21, $C$9, 100%, $E$9)</f>
        <v>120.88290000000001</v>
      </c>
      <c r="L992" s="14">
        <f>CHOOSE(CONTROL!$C$42, 121.3189, 121.3189) * CHOOSE(CONTROL!$C$21, $C$9, 100%, $E$9)</f>
        <v>121.3189</v>
      </c>
      <c r="M992" s="14">
        <f>CHOOSE(CONTROL!$C$42, 118.0365, 118.0365) * CHOOSE(CONTROL!$C$21, $C$9, 100%, $E$9)</f>
        <v>118.0365</v>
      </c>
      <c r="N992" s="14">
        <f>CHOOSE(CONTROL!$C$42, 118.0535, 118.0535) * CHOOSE(CONTROL!$C$21, $C$9, 100%, $E$9)</f>
        <v>118.0535</v>
      </c>
      <c r="O992" s="14">
        <f>CHOOSE(CONTROL!$C$42, 118.2658, 118.2658) * CHOOSE(CONTROL!$C$21, $C$9, 100%, $E$9)</f>
        <v>118.2658</v>
      </c>
      <c r="P992" s="14">
        <f>CHOOSE(CONTROL!$C$42, 118.4101, 118.4101) * CHOOSE(CONTROL!$C$21, $C$9, 100%, $E$9)</f>
        <v>118.4101</v>
      </c>
      <c r="Q992" s="14">
        <f>CHOOSE(CONTROL!$C$42, 118.8605, 118.8605) * CHOOSE(CONTROL!$C$21, $C$9, 100%, $E$9)</f>
        <v>118.8605</v>
      </c>
      <c r="R992" s="14">
        <f>CHOOSE(CONTROL!$C$42, 119.7447, 119.7447) * CHOOSE(CONTROL!$C$21, $C$9, 100%, $E$9)</f>
        <v>119.74469999999999</v>
      </c>
      <c r="S992" s="14">
        <f>CHOOSE(CONTROL!$C$42, 115.7566, 115.7566) * CHOOSE(CONTROL!$C$21, $C$9, 100%, $E$9)</f>
        <v>115.75660000000001</v>
      </c>
      <c r="T99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56">
        <f>(1000*CHOOSE(CONTROL!$C$42, 695, 695)*CHOOSE(CONTROL!$C$42, 0.5599, 0.5599)*CHOOSE(CONTROL!$C$42, 31, 31))/1000000</f>
        <v>12.063045499999998</v>
      </c>
      <c r="V992" s="56">
        <f>(1000*CHOOSE(CONTROL!$C$42, 500, 500)*CHOOSE(CONTROL!$C$42, 0.275, 0.275)*CHOOSE(CONTROL!$C$42, 31, 31))/1000000</f>
        <v>4.2625000000000002</v>
      </c>
      <c r="W992" s="56">
        <f>(1000*CHOOSE(CONTROL!$C$42, 0.1146, 0.1146)*CHOOSE(CONTROL!$C$42, 121.5, 121.5)*CHOOSE(CONTROL!$C$42, 31, 31))/1000000</f>
        <v>0.43164089999999994</v>
      </c>
      <c r="X992" s="56">
        <f>(31*0.1790888*245000/1000000)+(31*0.2374*100000/1000000)</f>
        <v>2.0961194359999999</v>
      </c>
      <c r="Y992" s="56"/>
      <c r="Z992" s="14"/>
      <c r="AA992" s="55"/>
      <c r="AB992" s="49">
        <f>(B992*194.205+C992*267.466+D992*133.845+E992*53.484+F992*40+G992*185+H992*0+I992*100+J992*300)/(194.205+267.466+133.845+53.484+0+40+185+100+300)</f>
        <v>120.55935686483517</v>
      </c>
      <c r="AC992" s="44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118.19516115107913</v>
      </c>
    </row>
    <row r="993" spans="1:29" ht="15.75" x14ac:dyDescent="0.25">
      <c r="A993" s="31">
        <v>71132</v>
      </c>
      <c r="B993" s="14">
        <f>CHOOSE(CONTROL!$C$42, 112.8296, 112.8296) * CHOOSE(CONTROL!$C$21, $C$9, 100%, $E$9)</f>
        <v>112.8296</v>
      </c>
      <c r="C993" s="14">
        <f>CHOOSE(CONTROL!$C$42, 112.8376, 112.8376) * CHOOSE(CONTROL!$C$21, $C$9, 100%, $E$9)</f>
        <v>112.83759999999999</v>
      </c>
      <c r="D993" s="14">
        <f>CHOOSE(CONTROL!$C$42, 113.0634, 113.0634) * CHOOSE(CONTROL!$C$21, $C$9, 100%, $E$9)</f>
        <v>113.0634</v>
      </c>
      <c r="E993" s="14">
        <f>CHOOSE(CONTROL!$C$42, 113.0949, 113.0949) * CHOOSE(CONTROL!$C$21, $C$9, 100%, $E$9)</f>
        <v>113.0949</v>
      </c>
      <c r="F993" s="14">
        <f>CHOOSE(CONTROL!$C$42, 112.8564, 112.8564)*CHOOSE(CONTROL!$C$21, $C$9, 100%, $E$9)</f>
        <v>112.85639999999999</v>
      </c>
      <c r="G993" s="14">
        <f>CHOOSE(CONTROL!$C$42, 112.8737, 112.8737)*CHOOSE(CONTROL!$C$21, $C$9, 100%, $E$9)</f>
        <v>112.8737</v>
      </c>
      <c r="H993" s="14">
        <f>CHOOSE(CONTROL!$C$42, 113.0835, 113.0835) * CHOOSE(CONTROL!$C$21, $C$9, 100%, $E$9)</f>
        <v>113.0835</v>
      </c>
      <c r="I993" s="14">
        <f>CHOOSE(CONTROL!$C$42, 113.2145, 113.2145)* CHOOSE(CONTROL!$C$21, $C$9, 100%, $E$9)</f>
        <v>113.2145</v>
      </c>
      <c r="J993" s="14">
        <f>CHOOSE(CONTROL!$C$42, 112.8494, 112.8494)* CHOOSE(CONTROL!$C$21, $C$9, 100%, $E$9)</f>
        <v>112.8494</v>
      </c>
      <c r="K993" s="52">
        <f>CHOOSE(CONTROL!$C$42, 113.2106, 113.2106) * CHOOSE(CONTROL!$C$21, $C$9, 100%, $E$9)</f>
        <v>113.2106</v>
      </c>
      <c r="L993" s="14">
        <f>CHOOSE(CONTROL!$C$42, 113.6705, 113.6705) * CHOOSE(CONTROL!$C$21, $C$9, 100%, $E$9)</f>
        <v>113.6705</v>
      </c>
      <c r="M993" s="14">
        <f>CHOOSE(CONTROL!$C$42, 110.5449, 110.5449) * CHOOSE(CONTROL!$C$21, $C$9, 100%, $E$9)</f>
        <v>110.5449</v>
      </c>
      <c r="N993" s="14">
        <f>CHOOSE(CONTROL!$C$42, 110.5618, 110.5618) * CHOOSE(CONTROL!$C$21, $C$9, 100%, $E$9)</f>
        <v>110.56180000000001</v>
      </c>
      <c r="O993" s="14">
        <f>CHOOSE(CONTROL!$C$42, 110.7742, 110.7742) * CHOOSE(CONTROL!$C$21, $C$9, 100%, $E$9)</f>
        <v>110.77419999999999</v>
      </c>
      <c r="P993" s="14">
        <f>CHOOSE(CONTROL!$C$42, 110.8955, 110.8955) * CHOOSE(CONTROL!$C$21, $C$9, 100%, $E$9)</f>
        <v>110.8955</v>
      </c>
      <c r="Q993" s="14">
        <f>CHOOSE(CONTROL!$C$42, 111.3689, 111.3689) * CHOOSE(CONTROL!$C$21, $C$9, 100%, $E$9)</f>
        <v>111.3689</v>
      </c>
      <c r="R993" s="14">
        <f>CHOOSE(CONTROL!$C$42, 112.2343, 112.2343) * CHOOSE(CONTROL!$C$21, $C$9, 100%, $E$9)</f>
        <v>112.2343</v>
      </c>
      <c r="S993" s="14">
        <f>CHOOSE(CONTROL!$C$42, 108.4073, 108.4073) * CHOOSE(CONTROL!$C$21, $C$9, 100%, $E$9)</f>
        <v>108.40730000000001</v>
      </c>
      <c r="T99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56">
        <f>(1000*CHOOSE(CONTROL!$C$42, 695, 695)*CHOOSE(CONTROL!$C$42, 0.5599, 0.5599)*CHOOSE(CONTROL!$C$42, 30, 30))/1000000</f>
        <v>11.673914999999997</v>
      </c>
      <c r="V993" s="56">
        <f>(1000*CHOOSE(CONTROL!$C$42, 500, 500)*CHOOSE(CONTROL!$C$42, 0.275, 0.275)*CHOOSE(CONTROL!$C$42, 30, 30))/1000000</f>
        <v>4.125</v>
      </c>
      <c r="W993" s="56">
        <f>(1000*CHOOSE(CONTROL!$C$42, 0.1146, 0.1146)*CHOOSE(CONTROL!$C$42, 121.5, 121.5)*CHOOSE(CONTROL!$C$42, 30, 30))/1000000</f>
        <v>0.417717</v>
      </c>
      <c r="X993" s="56">
        <f>(30*0.1790888*245000/1000000)+(30*0.2374*100000/1000000)</f>
        <v>2.0285026799999999</v>
      </c>
      <c r="Y993" s="56"/>
      <c r="Z993" s="14"/>
      <c r="AA993" s="55"/>
      <c r="AB993" s="49">
        <f>(B993*194.205+C993*267.466+D993*133.845+E993*53.484+F993*40+G993*185+H993*0+I993*100+J993*300)/(194.205+267.466+133.845+53.484+0+40+185+100+300)</f>
        <v>112.90909960298274</v>
      </c>
      <c r="AC993" s="44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110.70024604316546</v>
      </c>
    </row>
    <row r="994" spans="1:29" ht="15.75" x14ac:dyDescent="0.25">
      <c r="A994" s="31">
        <v>71163</v>
      </c>
      <c r="B994" s="14">
        <f>CHOOSE(CONTROL!$C$42, 110.5372, 110.5372) * CHOOSE(CONTROL!$C$21, $C$9, 100%, $E$9)</f>
        <v>110.5372</v>
      </c>
      <c r="C994" s="14">
        <f>CHOOSE(CONTROL!$C$42, 110.5425, 110.5425) * CHOOSE(CONTROL!$C$21, $C$9, 100%, $E$9)</f>
        <v>110.5425</v>
      </c>
      <c r="D994" s="14">
        <f>CHOOSE(CONTROL!$C$42, 110.7732, 110.7732) * CHOOSE(CONTROL!$C$21, $C$9, 100%, $E$9)</f>
        <v>110.7732</v>
      </c>
      <c r="E994" s="14">
        <f>CHOOSE(CONTROL!$C$42, 110.8024, 110.8024) * CHOOSE(CONTROL!$C$21, $C$9, 100%, $E$9)</f>
        <v>110.80240000000001</v>
      </c>
      <c r="F994" s="14">
        <f>CHOOSE(CONTROL!$C$42, 110.566, 110.566)*CHOOSE(CONTROL!$C$21, $C$9, 100%, $E$9)</f>
        <v>110.566</v>
      </c>
      <c r="G994" s="14">
        <f>CHOOSE(CONTROL!$C$42, 110.5831, 110.5831)*CHOOSE(CONTROL!$C$21, $C$9, 100%, $E$9)</f>
        <v>110.5831</v>
      </c>
      <c r="H994" s="14">
        <f>CHOOSE(CONTROL!$C$42, 110.7928, 110.7928) * CHOOSE(CONTROL!$C$21, $C$9, 100%, $E$9)</f>
        <v>110.7928</v>
      </c>
      <c r="I994" s="14">
        <f>CHOOSE(CONTROL!$C$42, 110.9167, 110.9167)* CHOOSE(CONTROL!$C$21, $C$9, 100%, $E$9)</f>
        <v>110.91670000000001</v>
      </c>
      <c r="J994" s="14">
        <f>CHOOSE(CONTROL!$C$42, 110.559, 110.559)* CHOOSE(CONTROL!$C$21, $C$9, 100%, $E$9)</f>
        <v>110.559</v>
      </c>
      <c r="K994" s="52">
        <f>CHOOSE(CONTROL!$C$42, 110.9128, 110.9128) * CHOOSE(CONTROL!$C$21, $C$9, 100%, $E$9)</f>
        <v>110.9128</v>
      </c>
      <c r="L994" s="14">
        <f>CHOOSE(CONTROL!$C$42, 111.3798, 111.3798) * CHOOSE(CONTROL!$C$21, $C$9, 100%, $E$9)</f>
        <v>111.3798</v>
      </c>
      <c r="M994" s="14">
        <f>CHOOSE(CONTROL!$C$42, 108.3014, 108.3014) * CHOOSE(CONTROL!$C$21, $C$9, 100%, $E$9)</f>
        <v>108.3014</v>
      </c>
      <c r="N994" s="14">
        <f>CHOOSE(CONTROL!$C$42, 108.3182, 108.3182) * CHOOSE(CONTROL!$C$21, $C$9, 100%, $E$9)</f>
        <v>108.3182</v>
      </c>
      <c r="O994" s="14">
        <f>CHOOSE(CONTROL!$C$42, 108.5305, 108.5305) * CHOOSE(CONTROL!$C$21, $C$9, 100%, $E$9)</f>
        <v>108.5305</v>
      </c>
      <c r="P994" s="14">
        <f>CHOOSE(CONTROL!$C$42, 108.6449, 108.6449) * CHOOSE(CONTROL!$C$21, $C$9, 100%, $E$9)</f>
        <v>108.64490000000001</v>
      </c>
      <c r="Q994" s="14">
        <f>CHOOSE(CONTROL!$C$42, 109.1252, 109.1252) * CHOOSE(CONTROL!$C$21, $C$9, 100%, $E$9)</f>
        <v>109.12520000000001</v>
      </c>
      <c r="R994" s="14">
        <f>CHOOSE(CONTROL!$C$42, 109.985, 109.985) * CHOOSE(CONTROL!$C$21, $C$9, 100%, $E$9)</f>
        <v>109.985</v>
      </c>
      <c r="S994" s="14">
        <f>CHOOSE(CONTROL!$C$42, 106.2062, 106.2062) * CHOOSE(CONTROL!$C$21, $C$9, 100%, $E$9)</f>
        <v>106.2062</v>
      </c>
      <c r="T99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56">
        <f>(1000*CHOOSE(CONTROL!$C$42, 695, 695)*CHOOSE(CONTROL!$C$42, 0.5599, 0.5599)*CHOOSE(CONTROL!$C$42, 31, 31))/1000000</f>
        <v>12.063045499999998</v>
      </c>
      <c r="V994" s="56">
        <f>(1000*CHOOSE(CONTROL!$C$42, 500, 500)*CHOOSE(CONTROL!$C$42, 0.275, 0.275)*CHOOSE(CONTROL!$C$42, 31, 31))/1000000</f>
        <v>4.2625000000000002</v>
      </c>
      <c r="W994" s="56">
        <f>(1000*CHOOSE(CONTROL!$C$42, 0.1146, 0.1146)*CHOOSE(CONTROL!$C$42, 121.5, 121.5)*CHOOSE(CONTROL!$C$42, 31, 31))/1000000</f>
        <v>0.43164089999999994</v>
      </c>
      <c r="X994" s="56">
        <f>(31*0.1790888*245000/1000000)+(31*0.2374*100000/1000000)</f>
        <v>2.0961194359999999</v>
      </c>
      <c r="Y994" s="56"/>
      <c r="Z994" s="14"/>
      <c r="AA994" s="55"/>
      <c r="AB994" s="49">
        <f>(B994*131.881+C994*277.167+D994*79.08+E994*125.872+F994*40+G994*185+H994*0+I994*100+J994*300)/(131.881+277.167+79.08+125.872+0+40+185+100+300)</f>
        <v>110.62408185593219</v>
      </c>
      <c r="AC994" s="44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108.45562805755397</v>
      </c>
    </row>
    <row r="995" spans="1:29" ht="15.75" x14ac:dyDescent="0.25">
      <c r="A995" s="31">
        <v>71193</v>
      </c>
      <c r="B995" s="14">
        <f>CHOOSE(CONTROL!$C$42, 113.4486, 113.4486) * CHOOSE(CONTROL!$C$21, $C$9, 100%, $E$9)</f>
        <v>113.4486</v>
      </c>
      <c r="C995" s="14">
        <f>CHOOSE(CONTROL!$C$42, 113.4536, 113.4536) * CHOOSE(CONTROL!$C$21, $C$9, 100%, $E$9)</f>
        <v>113.45359999999999</v>
      </c>
      <c r="D995" s="14">
        <f>CHOOSE(CONTROL!$C$42, 113.5226, 113.5226) * CHOOSE(CONTROL!$C$21, $C$9, 100%, $E$9)</f>
        <v>113.5226</v>
      </c>
      <c r="E995" s="14">
        <f>CHOOSE(CONTROL!$C$42, 113.5568, 113.5568) * CHOOSE(CONTROL!$C$21, $C$9, 100%, $E$9)</f>
        <v>113.5568</v>
      </c>
      <c r="F995" s="14">
        <f>CHOOSE(CONTROL!$C$42, 113.4842, 113.4842)*CHOOSE(CONTROL!$C$21, $C$9, 100%, $E$9)</f>
        <v>113.4842</v>
      </c>
      <c r="G995" s="14">
        <f>CHOOSE(CONTROL!$C$42, 113.5016, 113.5016)*CHOOSE(CONTROL!$C$21, $C$9, 100%, $E$9)</f>
        <v>113.5016</v>
      </c>
      <c r="H995" s="14">
        <f>CHOOSE(CONTROL!$C$42, 113.5459, 113.5459) * CHOOSE(CONTROL!$C$21, $C$9, 100%, $E$9)</f>
        <v>113.5459</v>
      </c>
      <c r="I995" s="14">
        <f>CHOOSE(CONTROL!$C$42, 113.8402, 113.8402)* CHOOSE(CONTROL!$C$21, $C$9, 100%, $E$9)</f>
        <v>113.8402</v>
      </c>
      <c r="J995" s="14">
        <f>CHOOSE(CONTROL!$C$42, 113.4772, 113.4772)* CHOOSE(CONTROL!$C$21, $C$9, 100%, $E$9)</f>
        <v>113.4772</v>
      </c>
      <c r="K995" s="52">
        <f>CHOOSE(CONTROL!$C$42, 113.8363, 113.8363) * CHOOSE(CONTROL!$C$21, $C$9, 100%, $E$9)</f>
        <v>113.83629999999999</v>
      </c>
      <c r="L995" s="14">
        <f>CHOOSE(CONTROL!$C$42, 114.1329, 114.1329) * CHOOSE(CONTROL!$C$21, $C$9, 100%, $E$9)</f>
        <v>114.13290000000001</v>
      </c>
      <c r="M995" s="14">
        <f>CHOOSE(CONTROL!$C$42, 111.1598, 111.1598) * CHOOSE(CONTROL!$C$21, $C$9, 100%, $E$9)</f>
        <v>111.1598</v>
      </c>
      <c r="N995" s="14">
        <f>CHOOSE(CONTROL!$C$42, 111.1768, 111.1768) * CHOOSE(CONTROL!$C$21, $C$9, 100%, $E$9)</f>
        <v>111.1768</v>
      </c>
      <c r="O995" s="14">
        <f>CHOOSE(CONTROL!$C$42, 111.2272, 111.2272) * CHOOSE(CONTROL!$C$21, $C$9, 100%, $E$9)</f>
        <v>111.2272</v>
      </c>
      <c r="P995" s="14">
        <f>CHOOSE(CONTROL!$C$42, 111.5083, 111.5083) * CHOOSE(CONTROL!$C$21, $C$9, 100%, $E$9)</f>
        <v>111.50830000000001</v>
      </c>
      <c r="Q995" s="14">
        <f>CHOOSE(CONTROL!$C$42, 111.8219, 111.8219) * CHOOSE(CONTROL!$C$21, $C$9, 100%, $E$9)</f>
        <v>111.8219</v>
      </c>
      <c r="R995" s="14">
        <f>CHOOSE(CONTROL!$C$42, 112.6884, 112.6884) * CHOOSE(CONTROL!$C$21, $C$9, 100%, $E$9)</f>
        <v>112.6884</v>
      </c>
      <c r="S995" s="14">
        <f>CHOOSE(CONTROL!$C$42, 109.0042, 109.0042) * CHOOSE(CONTROL!$C$21, $C$9, 100%, $E$9)</f>
        <v>109.0042</v>
      </c>
      <c r="T99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56">
        <f>(1000*CHOOSE(CONTROL!$C$42, 695, 695)*CHOOSE(CONTROL!$C$42, 0.5599, 0.5599)*CHOOSE(CONTROL!$C$42, 30, 30))/1000000</f>
        <v>11.673914999999997</v>
      </c>
      <c r="V995" s="56">
        <f>(1000*CHOOSE(CONTROL!$C$42, 500, 500)*CHOOSE(CONTROL!$C$42, 0.275, 0.275)*CHOOSE(CONTROL!$C$42, 30, 30))/1000000</f>
        <v>4.125</v>
      </c>
      <c r="W995" s="56">
        <f>(1000*CHOOSE(CONTROL!$C$42, 0.1146, 0.1146)*CHOOSE(CONTROL!$C$42, 121.5, 121.5)*CHOOSE(CONTROL!$C$42, 30, 30))/1000000</f>
        <v>0.417717</v>
      </c>
      <c r="X995" s="56">
        <f>(30*0.1790888*100000/1000000)+(30*0.2374*100000/1000000)</f>
        <v>1.2494664</v>
      </c>
      <c r="Y995" s="56"/>
      <c r="Z995" s="14"/>
      <c r="AA995" s="55"/>
      <c r="AB995" s="49">
        <f>(B995*122.58+C995*297.941+D995*89.177+E995*40.302+F995*40+G995*160+H995*0+I995*100+J995*300)/(122.58+297.941+89.177+40.302+0+40+160+100+300)</f>
        <v>113.50955085165216</v>
      </c>
      <c r="AC995" s="44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111.24147050359713</v>
      </c>
    </row>
    <row r="996" spans="1:29" ht="15.75" x14ac:dyDescent="0.25">
      <c r="A996" s="31">
        <v>71224</v>
      </c>
      <c r="B996" s="14">
        <f>CHOOSE(CONTROL!$C$42, 121.1828, 121.1828) * CHOOSE(CONTROL!$C$21, $C$9, 100%, $E$9)</f>
        <v>121.1828</v>
      </c>
      <c r="C996" s="14">
        <f>CHOOSE(CONTROL!$C$42, 121.1879, 121.1879) * CHOOSE(CONTROL!$C$21, $C$9, 100%, $E$9)</f>
        <v>121.1879</v>
      </c>
      <c r="D996" s="14">
        <f>CHOOSE(CONTROL!$C$42, 121.2569, 121.2569) * CHOOSE(CONTROL!$C$21, $C$9, 100%, $E$9)</f>
        <v>121.2569</v>
      </c>
      <c r="E996" s="14">
        <f>CHOOSE(CONTROL!$C$42, 121.291, 121.291) * CHOOSE(CONTROL!$C$21, $C$9, 100%, $E$9)</f>
        <v>121.291</v>
      </c>
      <c r="F996" s="14">
        <f>CHOOSE(CONTROL!$C$42, 121.2206, 121.2206)*CHOOSE(CONTROL!$C$21, $C$9, 100%, $E$9)</f>
        <v>121.2206</v>
      </c>
      <c r="G996" s="14">
        <f>CHOOSE(CONTROL!$C$42, 121.2386, 121.2386)*CHOOSE(CONTROL!$C$21, $C$9, 100%, $E$9)</f>
        <v>121.23860000000001</v>
      </c>
      <c r="H996" s="14">
        <f>CHOOSE(CONTROL!$C$42, 121.2802, 121.2802) * CHOOSE(CONTROL!$C$21, $C$9, 100%, $E$9)</f>
        <v>121.28019999999999</v>
      </c>
      <c r="I996" s="14">
        <f>CHOOSE(CONTROL!$C$42, 121.5986, 121.5986)* CHOOSE(CONTROL!$C$21, $C$9, 100%, $E$9)</f>
        <v>121.5986</v>
      </c>
      <c r="J996" s="14">
        <f>CHOOSE(CONTROL!$C$42, 121.2136, 121.2136)* CHOOSE(CONTROL!$C$21, $C$9, 100%, $E$9)</f>
        <v>121.2136</v>
      </c>
      <c r="K996" s="52">
        <f>CHOOSE(CONTROL!$C$42, 121.5948, 121.5948) * CHOOSE(CONTROL!$C$21, $C$9, 100%, $E$9)</f>
        <v>121.59480000000001</v>
      </c>
      <c r="L996" s="14">
        <f>CHOOSE(CONTROL!$C$42, 121.8672, 121.8672) * CHOOSE(CONTROL!$C$21, $C$9, 100%, $E$9)</f>
        <v>121.8672</v>
      </c>
      <c r="M996" s="14">
        <f>CHOOSE(CONTROL!$C$42, 118.7377, 118.7377) * CHOOSE(CONTROL!$C$21, $C$9, 100%, $E$9)</f>
        <v>118.7377</v>
      </c>
      <c r="N996" s="14">
        <f>CHOOSE(CONTROL!$C$42, 118.7554, 118.7554) * CHOOSE(CONTROL!$C$21, $C$9, 100%, $E$9)</f>
        <v>118.75539999999999</v>
      </c>
      <c r="O996" s="14">
        <f>CHOOSE(CONTROL!$C$42, 118.8029, 118.8029) * CHOOSE(CONTROL!$C$21, $C$9, 100%, $E$9)</f>
        <v>118.80289999999999</v>
      </c>
      <c r="P996" s="14">
        <f>CHOOSE(CONTROL!$C$42, 119.1073, 119.1073) * CHOOSE(CONTROL!$C$21, $C$9, 100%, $E$9)</f>
        <v>119.1073</v>
      </c>
      <c r="Q996" s="14">
        <f>CHOOSE(CONTROL!$C$42, 119.3976, 119.3976) * CHOOSE(CONTROL!$C$21, $C$9, 100%, $E$9)</f>
        <v>119.3976</v>
      </c>
      <c r="R996" s="14">
        <f>CHOOSE(CONTROL!$C$42, 120.2831, 120.2831) * CHOOSE(CONTROL!$C$21, $C$9, 100%, $E$9)</f>
        <v>120.2831</v>
      </c>
      <c r="S996" s="14">
        <f>CHOOSE(CONTROL!$C$42, 116.436, 116.436) * CHOOSE(CONTROL!$C$21, $C$9, 100%, $E$9)</f>
        <v>116.43600000000001</v>
      </c>
      <c r="T99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56">
        <f>(1000*CHOOSE(CONTROL!$C$42, 695, 695)*CHOOSE(CONTROL!$C$42, 0.5599, 0.5599)*CHOOSE(CONTROL!$C$42, 31, 31))/1000000</f>
        <v>12.063045499999998</v>
      </c>
      <c r="V996" s="56">
        <f>(1000*CHOOSE(CONTROL!$C$42, 500, 500)*CHOOSE(CONTROL!$C$42, 0.275, 0.275)*CHOOSE(CONTROL!$C$42, 31, 31))/1000000</f>
        <v>4.2625000000000002</v>
      </c>
      <c r="W996" s="56">
        <f>(1000*CHOOSE(CONTROL!$C$42, 0.1146, 0.1146)*CHOOSE(CONTROL!$C$42, 121.5, 121.5)*CHOOSE(CONTROL!$C$42, 31, 31))/1000000</f>
        <v>0.43164089999999994</v>
      </c>
      <c r="X996" s="56">
        <f>(31*0.1790888*100000/1000000)+(31*0.2374*100000/1000000)</f>
        <v>1.2911152800000001</v>
      </c>
      <c r="Y996" s="56"/>
      <c r="Z996" s="14"/>
      <c r="AA996" s="55"/>
      <c r="AB996" s="49">
        <f>(B996*122.58+C996*297.941+D996*89.177+E996*40.302+F996*40+G996*160+H996*0+I996*100+J996*300)/(122.58+297.941+89.177+40.302+0+40+160+100+300)</f>
        <v>121.24692886191303</v>
      </c>
      <c r="AC996" s="44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118.82144964028775</v>
      </c>
    </row>
    <row r="997" spans="1:29" ht="15.75" x14ac:dyDescent="0.25">
      <c r="A997" s="31">
        <v>71255</v>
      </c>
      <c r="B997" s="14">
        <f>CHOOSE(CONTROL!$C$42, 131.2281, 131.2281) * CHOOSE(CONTROL!$C$21, $C$9, 100%, $E$9)</f>
        <v>131.22810000000001</v>
      </c>
      <c r="C997" s="14">
        <f>CHOOSE(CONTROL!$C$42, 131.2332, 131.2332) * CHOOSE(CONTROL!$C$21, $C$9, 100%, $E$9)</f>
        <v>131.23320000000001</v>
      </c>
      <c r="D997" s="14">
        <f>CHOOSE(CONTROL!$C$42, 131.3126, 131.3126) * CHOOSE(CONTROL!$C$21, $C$9, 100%, $E$9)</f>
        <v>131.3126</v>
      </c>
      <c r="E997" s="14">
        <f>CHOOSE(CONTROL!$C$42, 131.3467, 131.3467) * CHOOSE(CONTROL!$C$21, $C$9, 100%, $E$9)</f>
        <v>131.3467</v>
      </c>
      <c r="F997" s="14">
        <f>CHOOSE(CONTROL!$C$42, 131.2512, 131.2512)*CHOOSE(CONTROL!$C$21, $C$9, 100%, $E$9)</f>
        <v>131.25120000000001</v>
      </c>
      <c r="G997" s="14">
        <f>CHOOSE(CONTROL!$C$42, 131.2687, 131.2687)*CHOOSE(CONTROL!$C$21, $C$9, 100%, $E$9)</f>
        <v>131.2687</v>
      </c>
      <c r="H997" s="14">
        <f>CHOOSE(CONTROL!$C$42, 131.3359, 131.3359) * CHOOSE(CONTROL!$C$21, $C$9, 100%, $E$9)</f>
        <v>131.33590000000001</v>
      </c>
      <c r="I997" s="14">
        <f>CHOOSE(CONTROL!$C$42, 131.6744, 131.6744)* CHOOSE(CONTROL!$C$21, $C$9, 100%, $E$9)</f>
        <v>131.67439999999999</v>
      </c>
      <c r="J997" s="14">
        <f>CHOOSE(CONTROL!$C$42, 131.2442, 131.2442)* CHOOSE(CONTROL!$C$21, $C$9, 100%, $E$9)</f>
        <v>131.24420000000001</v>
      </c>
      <c r="K997" s="52">
        <f>CHOOSE(CONTROL!$C$42, 131.6705, 131.6705) * CHOOSE(CONTROL!$C$21, $C$9, 100%, $E$9)</f>
        <v>131.6705</v>
      </c>
      <c r="L997" s="14">
        <f>CHOOSE(CONTROL!$C$42, 131.9229, 131.9229) * CHOOSE(CONTROL!$C$21, $C$9, 100%, $E$9)</f>
        <v>131.9229</v>
      </c>
      <c r="M997" s="14">
        <f>CHOOSE(CONTROL!$C$42, 128.5628, 128.5628) * CHOOSE(CONTROL!$C$21, $C$9, 100%, $E$9)</f>
        <v>128.56280000000001</v>
      </c>
      <c r="N997" s="14">
        <f>CHOOSE(CONTROL!$C$42, 128.5799, 128.5799) * CHOOSE(CONTROL!$C$21, $C$9, 100%, $E$9)</f>
        <v>128.57990000000001</v>
      </c>
      <c r="O997" s="14">
        <f>CHOOSE(CONTROL!$C$42, 128.6526, 128.6526) * CHOOSE(CONTROL!$C$21, $C$9, 100%, $E$9)</f>
        <v>128.65260000000001</v>
      </c>
      <c r="P997" s="14">
        <f>CHOOSE(CONTROL!$C$42, 128.976, 128.976) * CHOOSE(CONTROL!$C$21, $C$9, 100%, $E$9)</f>
        <v>128.976</v>
      </c>
      <c r="Q997" s="14">
        <f>CHOOSE(CONTROL!$C$42, 129.2473, 129.2473) * CHOOSE(CONTROL!$C$21, $C$9, 100%, $E$9)</f>
        <v>129.2473</v>
      </c>
      <c r="R997" s="14">
        <f>CHOOSE(CONTROL!$C$42, 130.1575, 130.1575) * CHOOSE(CONTROL!$C$21, $C$9, 100%, $E$9)</f>
        <v>130.1575</v>
      </c>
      <c r="S997" s="14">
        <f>CHOOSE(CONTROL!$C$42, 126.0886, 126.0886) * CHOOSE(CONTROL!$C$21, $C$9, 100%, $E$9)</f>
        <v>126.0886</v>
      </c>
      <c r="T99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56">
        <f>(1000*CHOOSE(CONTROL!$C$42, 695, 695)*CHOOSE(CONTROL!$C$42, 0.5599, 0.5599)*CHOOSE(CONTROL!$C$42, 31, 31))/1000000</f>
        <v>12.063045499999998</v>
      </c>
      <c r="V997" s="56">
        <f>(1000*CHOOSE(CONTROL!$C$42, 500, 500)*CHOOSE(CONTROL!$C$42, 0.275, 0.275)*CHOOSE(CONTROL!$C$42, 31, 31))/1000000</f>
        <v>4.2625000000000002</v>
      </c>
      <c r="W997" s="56">
        <f>(1000*CHOOSE(CONTROL!$C$42, 0.1146, 0.1146)*CHOOSE(CONTROL!$C$42, 121.5, 121.5)*CHOOSE(CONTROL!$C$42, 31, 31))/1000000</f>
        <v>0.43164089999999994</v>
      </c>
      <c r="X997" s="56">
        <f>(31*0.1790888*100000/1000000)+(31*0.2374*100000/1000000)</f>
        <v>1.2911152800000001</v>
      </c>
      <c r="Y997" s="56"/>
      <c r="Z997" s="14"/>
      <c r="AA997" s="55"/>
      <c r="AB997" s="49">
        <f>(B997*122.58+C997*297.941+D997*89.177+E997*40.302+F997*40+G997*160+H997*0+I997*100+J997*300)/(122.58+297.941+89.177+40.302+0+40+160+100+300)</f>
        <v>131.28959110678261</v>
      </c>
      <c r="AC997" s="44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128.66393812949642</v>
      </c>
    </row>
    <row r="998" spans="1:29" ht="15.75" x14ac:dyDescent="0.25">
      <c r="A998" s="31">
        <v>71283</v>
      </c>
      <c r="B998" s="14">
        <f>CHOOSE(CONTROL!$C$42, 133.564, 133.564) * CHOOSE(CONTROL!$C$21, $C$9, 100%, $E$9)</f>
        <v>133.56399999999999</v>
      </c>
      <c r="C998" s="14">
        <f>CHOOSE(CONTROL!$C$42, 133.5691, 133.5691) * CHOOSE(CONTROL!$C$21, $C$9, 100%, $E$9)</f>
        <v>133.56909999999999</v>
      </c>
      <c r="D998" s="14">
        <f>CHOOSE(CONTROL!$C$42, 133.6485, 133.6485) * CHOOSE(CONTROL!$C$21, $C$9, 100%, $E$9)</f>
        <v>133.64850000000001</v>
      </c>
      <c r="E998" s="14">
        <f>CHOOSE(CONTROL!$C$42, 133.6826, 133.6826) * CHOOSE(CONTROL!$C$21, $C$9, 100%, $E$9)</f>
        <v>133.68260000000001</v>
      </c>
      <c r="F998" s="14">
        <f>CHOOSE(CONTROL!$C$42, 133.5868, 133.5868)*CHOOSE(CONTROL!$C$21, $C$9, 100%, $E$9)</f>
        <v>133.58680000000001</v>
      </c>
      <c r="G998" s="14">
        <f>CHOOSE(CONTROL!$C$42, 133.6043, 133.6043)*CHOOSE(CONTROL!$C$21, $C$9, 100%, $E$9)</f>
        <v>133.60429999999999</v>
      </c>
      <c r="H998" s="14">
        <f>CHOOSE(CONTROL!$C$42, 133.6718, 133.6718) * CHOOSE(CONTROL!$C$21, $C$9, 100%, $E$9)</f>
        <v>133.67179999999999</v>
      </c>
      <c r="I998" s="14">
        <f>CHOOSE(CONTROL!$C$42, 134.0176, 134.0176)* CHOOSE(CONTROL!$C$21, $C$9, 100%, $E$9)</f>
        <v>134.01759999999999</v>
      </c>
      <c r="J998" s="14">
        <f>CHOOSE(CONTROL!$C$42, 133.5798, 133.5798)* CHOOSE(CONTROL!$C$21, $C$9, 100%, $E$9)</f>
        <v>133.57980000000001</v>
      </c>
      <c r="K998" s="52">
        <f>CHOOSE(CONTROL!$C$42, 134.0137, 134.0137) * CHOOSE(CONTROL!$C$21, $C$9, 100%, $E$9)</f>
        <v>134.0137</v>
      </c>
      <c r="L998" s="14">
        <f>CHOOSE(CONTROL!$C$42, 134.2588, 134.2588) * CHOOSE(CONTROL!$C$21, $C$9, 100%, $E$9)</f>
        <v>134.25880000000001</v>
      </c>
      <c r="M998" s="14">
        <f>CHOOSE(CONTROL!$C$42, 130.8505, 130.8505) * CHOOSE(CONTROL!$C$21, $C$9, 100%, $E$9)</f>
        <v>130.85050000000001</v>
      </c>
      <c r="N998" s="14">
        <f>CHOOSE(CONTROL!$C$42, 130.8676, 130.8676) * CHOOSE(CONTROL!$C$21, $C$9, 100%, $E$9)</f>
        <v>130.86760000000001</v>
      </c>
      <c r="O998" s="14">
        <f>CHOOSE(CONTROL!$C$42, 130.9407, 130.9407) * CHOOSE(CONTROL!$C$21, $C$9, 100%, $E$9)</f>
        <v>130.94069999999999</v>
      </c>
      <c r="P998" s="14">
        <f>CHOOSE(CONTROL!$C$42, 131.271, 131.271) * CHOOSE(CONTROL!$C$21, $C$9, 100%, $E$9)</f>
        <v>131.27099999999999</v>
      </c>
      <c r="Q998" s="14">
        <f>CHOOSE(CONTROL!$C$42, 131.5354, 131.5354) * CHOOSE(CONTROL!$C$21, $C$9, 100%, $E$9)</f>
        <v>131.53540000000001</v>
      </c>
      <c r="R998" s="14">
        <f>CHOOSE(CONTROL!$C$42, 132.4512, 132.4512) * CHOOSE(CONTROL!$C$21, $C$9, 100%, $E$9)</f>
        <v>132.4512</v>
      </c>
      <c r="S998" s="14">
        <f>CHOOSE(CONTROL!$C$42, 128.3331, 128.3331) * CHOOSE(CONTROL!$C$21, $C$9, 100%, $E$9)</f>
        <v>128.3331</v>
      </c>
      <c r="T998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98" s="56">
        <f>(1000*CHOOSE(CONTROL!$C$42, 695, 695)*CHOOSE(CONTROL!$C$42, 0.5599, 0.5599)*CHOOSE(CONTROL!$C$42, 28, 28))/1000000</f>
        <v>10.895653999999999</v>
      </c>
      <c r="V998" s="56">
        <f>(1000*CHOOSE(CONTROL!$C$42, 500, 500)*CHOOSE(CONTROL!$C$42, 0.275, 0.275)*CHOOSE(CONTROL!$C$42, 28, 28))/1000000</f>
        <v>3.85</v>
      </c>
      <c r="W998" s="56">
        <f>(1000*CHOOSE(CONTROL!$C$42, 0.1146, 0.1146)*CHOOSE(CONTROL!$C$42, 121.5, 121.5)*CHOOSE(CONTROL!$C$42, 28, 28))/1000000</f>
        <v>0.38986920000000003</v>
      </c>
      <c r="X998" s="56">
        <f>(28*0.1790888*100000/1000000)+(28*0.2374*100000/1000000)</f>
        <v>1.16616864</v>
      </c>
      <c r="Y998" s="56"/>
      <c r="Z998" s="14"/>
      <c r="AA998" s="55"/>
      <c r="AB998" s="49">
        <f>(B998*122.58+C998*297.941+D998*89.177+E998*40.302+F998*40+G998*160+H998*0+I998*100+J998*300)/(122.58+297.941+89.177+40.302+0+40+160+100+300)</f>
        <v>133.62599545460867</v>
      </c>
      <c r="AC998" s="44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130.95286978417266</v>
      </c>
    </row>
    <row r="999" spans="1:29" ht="15.75" x14ac:dyDescent="0.25">
      <c r="A999" s="31">
        <v>71314</v>
      </c>
      <c r="B999" s="14">
        <f>CHOOSE(CONTROL!$C$42, 129.7723, 129.7723) * CHOOSE(CONTROL!$C$21, $C$9, 100%, $E$9)</f>
        <v>129.7723</v>
      </c>
      <c r="C999" s="14">
        <f>CHOOSE(CONTROL!$C$42, 129.7774, 129.7774) * CHOOSE(CONTROL!$C$21, $C$9, 100%, $E$9)</f>
        <v>129.7774</v>
      </c>
      <c r="D999" s="14">
        <f>CHOOSE(CONTROL!$C$42, 129.8568, 129.8568) * CHOOSE(CONTROL!$C$21, $C$9, 100%, $E$9)</f>
        <v>129.85679999999999</v>
      </c>
      <c r="E999" s="14">
        <f>CHOOSE(CONTROL!$C$42, 129.8909, 129.8909) * CHOOSE(CONTROL!$C$21, $C$9, 100%, $E$9)</f>
        <v>129.89089999999999</v>
      </c>
      <c r="F999" s="14">
        <f>CHOOSE(CONTROL!$C$42, 129.7944, 129.7944)*CHOOSE(CONTROL!$C$21, $C$9, 100%, $E$9)</f>
        <v>129.7944</v>
      </c>
      <c r="G999" s="14">
        <f>CHOOSE(CONTROL!$C$42, 129.8116, 129.8116)*CHOOSE(CONTROL!$C$21, $C$9, 100%, $E$9)</f>
        <v>129.8116</v>
      </c>
      <c r="H999" s="14">
        <f>CHOOSE(CONTROL!$C$42, 129.8801, 129.8801) * CHOOSE(CONTROL!$C$21, $C$9, 100%, $E$9)</f>
        <v>129.8801</v>
      </c>
      <c r="I999" s="14">
        <f>CHOOSE(CONTROL!$C$42, 130.214, 130.214)* CHOOSE(CONTROL!$C$21, $C$9, 100%, $E$9)</f>
        <v>130.214</v>
      </c>
      <c r="J999" s="14">
        <f>CHOOSE(CONTROL!$C$42, 129.7874, 129.7874)* CHOOSE(CONTROL!$C$21, $C$9, 100%, $E$9)</f>
        <v>129.78739999999999</v>
      </c>
      <c r="K999" s="52">
        <f>CHOOSE(CONTROL!$C$42, 130.2101, 130.2101) * CHOOSE(CONTROL!$C$21, $C$9, 100%, $E$9)</f>
        <v>130.21010000000001</v>
      </c>
      <c r="L999" s="14">
        <f>CHOOSE(CONTROL!$C$42, 130.4671, 130.4671) * CHOOSE(CONTROL!$C$21, $C$9, 100%, $E$9)</f>
        <v>130.46709999999999</v>
      </c>
      <c r="M999" s="14">
        <f>CHOOSE(CONTROL!$C$42, 127.1358, 127.1358) * CHOOSE(CONTROL!$C$21, $C$9, 100%, $E$9)</f>
        <v>127.1358</v>
      </c>
      <c r="N999" s="14">
        <f>CHOOSE(CONTROL!$C$42, 127.1527, 127.1527) * CHOOSE(CONTROL!$C$21, $C$9, 100%, $E$9)</f>
        <v>127.1527</v>
      </c>
      <c r="O999" s="14">
        <f>CHOOSE(CONTROL!$C$42, 127.2267, 127.2267) * CHOOSE(CONTROL!$C$21, $C$9, 100%, $E$9)</f>
        <v>127.22669999999999</v>
      </c>
      <c r="P999" s="14">
        <f>CHOOSE(CONTROL!$C$42, 127.5456, 127.5456) * CHOOSE(CONTROL!$C$21, $C$9, 100%, $E$9)</f>
        <v>127.54559999999999</v>
      </c>
      <c r="Q999" s="14">
        <f>CHOOSE(CONTROL!$C$42, 127.8214, 127.8214) * CHOOSE(CONTROL!$C$21, $C$9, 100%, $E$9)</f>
        <v>127.8214</v>
      </c>
      <c r="R999" s="14">
        <f>CHOOSE(CONTROL!$C$42, 128.7279, 128.7279) * CHOOSE(CONTROL!$C$21, $C$9, 100%, $E$9)</f>
        <v>128.72790000000001</v>
      </c>
      <c r="S999" s="14">
        <f>CHOOSE(CONTROL!$C$42, 124.6897, 124.6897) * CHOOSE(CONTROL!$C$21, $C$9, 100%, $E$9)</f>
        <v>124.6897</v>
      </c>
      <c r="T99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56">
        <f>(1000*CHOOSE(CONTROL!$C$42, 695, 695)*CHOOSE(CONTROL!$C$42, 0.5599, 0.5599)*CHOOSE(CONTROL!$C$42, 31, 31))/1000000</f>
        <v>12.063045499999998</v>
      </c>
      <c r="V999" s="56">
        <f>(1000*CHOOSE(CONTROL!$C$42, 500, 500)*CHOOSE(CONTROL!$C$42, 0.275, 0.275)*CHOOSE(CONTROL!$C$42, 31, 31))/1000000</f>
        <v>4.2625000000000002</v>
      </c>
      <c r="W999" s="56">
        <f>(1000*CHOOSE(CONTROL!$C$42, 0.1146, 0.1146)*CHOOSE(CONTROL!$C$42, 121.5, 121.5)*CHOOSE(CONTROL!$C$42, 31, 31))/1000000</f>
        <v>0.43164089999999994</v>
      </c>
      <c r="X999" s="56">
        <f>(31*0.1790888*100000/1000000)+(31*0.2374*100000/1000000)</f>
        <v>1.2911152800000001</v>
      </c>
      <c r="Y999" s="56"/>
      <c r="Z999" s="14"/>
      <c r="AA999" s="55"/>
      <c r="AB999" s="49">
        <f>(B999*122.58+C999*297.941+D999*89.177+E999*40.302+F999*40+G999*160+H999*0+I999*100+J999*300)/(122.58+297.941+89.177+40.302+0+40+160+100+300)</f>
        <v>129.83291458504345</v>
      </c>
      <c r="AC999" s="44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127.23693597122301</v>
      </c>
    </row>
    <row r="1000" spans="1:29" ht="15.75" x14ac:dyDescent="0.25">
      <c r="A1000" s="31">
        <v>71344</v>
      </c>
      <c r="B1000" s="14">
        <f>CHOOSE(CONTROL!$C$42, 129.3848, 129.3848) * CHOOSE(CONTROL!$C$21, $C$9, 100%, $E$9)</f>
        <v>129.38480000000001</v>
      </c>
      <c r="C1000" s="14">
        <f>CHOOSE(CONTROL!$C$42, 129.3893, 129.3893) * CHOOSE(CONTROL!$C$21, $C$9, 100%, $E$9)</f>
        <v>129.38929999999999</v>
      </c>
      <c r="D1000" s="14">
        <f>CHOOSE(CONTROL!$C$42, 129.6182, 129.6182) * CHOOSE(CONTROL!$C$21, $C$9, 100%, $E$9)</f>
        <v>129.6182</v>
      </c>
      <c r="E1000" s="14">
        <f>CHOOSE(CONTROL!$C$42, 129.6503, 129.6503) * CHOOSE(CONTROL!$C$21, $C$9, 100%, $E$9)</f>
        <v>129.65029999999999</v>
      </c>
      <c r="F1000" s="14">
        <f>CHOOSE(CONTROL!$C$42, 129.4118, 129.4118)*CHOOSE(CONTROL!$C$21, $C$9, 100%, $E$9)</f>
        <v>129.4118</v>
      </c>
      <c r="G1000" s="14">
        <f>CHOOSE(CONTROL!$C$42, 129.4285, 129.4285)*CHOOSE(CONTROL!$C$21, $C$9, 100%, $E$9)</f>
        <v>129.42850000000001</v>
      </c>
      <c r="H1000" s="14">
        <f>CHOOSE(CONTROL!$C$42, 129.6401, 129.6401) * CHOOSE(CONTROL!$C$21, $C$9, 100%, $E$9)</f>
        <v>129.64009999999999</v>
      </c>
      <c r="I1000" s="14">
        <f>CHOOSE(CONTROL!$C$42, 129.8229, 129.8229)* CHOOSE(CONTROL!$C$21, $C$9, 100%, $E$9)</f>
        <v>129.8229</v>
      </c>
      <c r="J1000" s="14">
        <f>CHOOSE(CONTROL!$C$42, 129.4048, 129.4048)* CHOOSE(CONTROL!$C$21, $C$9, 100%, $E$9)</f>
        <v>129.40479999999999</v>
      </c>
      <c r="K1000" s="52">
        <f>CHOOSE(CONTROL!$C$42, 129.8191, 129.8191) * CHOOSE(CONTROL!$C$21, $C$9, 100%, $E$9)</f>
        <v>129.81909999999999</v>
      </c>
      <c r="L1000" s="14">
        <f>CHOOSE(CONTROL!$C$42, 130.2271, 130.2271) * CHOOSE(CONTROL!$C$21, $C$9, 100%, $E$9)</f>
        <v>130.22710000000001</v>
      </c>
      <c r="M1000" s="14">
        <f>CHOOSE(CONTROL!$C$42, 126.7611, 126.7611) * CHOOSE(CONTROL!$C$21, $C$9, 100%, $E$9)</f>
        <v>126.7611</v>
      </c>
      <c r="N1000" s="14">
        <f>CHOOSE(CONTROL!$C$42, 126.7775, 126.7775) * CHOOSE(CONTROL!$C$21, $C$9, 100%, $E$9)</f>
        <v>126.7775</v>
      </c>
      <c r="O1000" s="14">
        <f>CHOOSE(CONTROL!$C$42, 126.9916, 126.9916) * CHOOSE(CONTROL!$C$21, $C$9, 100%, $E$9)</f>
        <v>126.99160000000001</v>
      </c>
      <c r="P1000" s="14">
        <f>CHOOSE(CONTROL!$C$42, 127.1626, 127.1626) * CHOOSE(CONTROL!$C$21, $C$9, 100%, $E$9)</f>
        <v>127.1626</v>
      </c>
      <c r="Q1000" s="14">
        <f>CHOOSE(CONTROL!$C$42, 127.5863, 127.5863) * CHOOSE(CONTROL!$C$21, $C$9, 100%, $E$9)</f>
        <v>127.58629999999999</v>
      </c>
      <c r="R1000" s="14">
        <f>CHOOSE(CONTROL!$C$42, 128.4922, 128.4922) * CHOOSE(CONTROL!$C$21, $C$9, 100%, $E$9)</f>
        <v>128.4922</v>
      </c>
      <c r="S1000" s="14">
        <f>CHOOSE(CONTROL!$C$42, 124.3166, 124.3166) * CHOOSE(CONTROL!$C$21, $C$9, 100%, $E$9)</f>
        <v>124.31659999999999</v>
      </c>
      <c r="T100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56">
        <f>(1000*CHOOSE(CONTROL!$C$42, 695, 695)*CHOOSE(CONTROL!$C$42, 0.5599, 0.5599)*CHOOSE(CONTROL!$C$42, 30, 30))/1000000</f>
        <v>11.673914999999997</v>
      </c>
      <c r="V1000" s="56">
        <f>(1000*CHOOSE(CONTROL!$C$42, 500, 500)*CHOOSE(CONTROL!$C$42, 0.275, 0.275)*CHOOSE(CONTROL!$C$42, 30, 30))/1000000</f>
        <v>4.125</v>
      </c>
      <c r="W1000" s="56">
        <f>(1000*CHOOSE(CONTROL!$C$42, 0.1146, 0.1146)*CHOOSE(CONTROL!$C$42, 121.5, 121.5)*CHOOSE(CONTROL!$C$42, 30, 30))/1000000</f>
        <v>0.417717</v>
      </c>
      <c r="X1000" s="56">
        <f>(30*0.1790888*245000/1000000)+(30*0.2374*100000/1000000)</f>
        <v>2.0285026799999999</v>
      </c>
      <c r="Y1000" s="56"/>
      <c r="Z1000" s="14"/>
      <c r="AA1000" s="55"/>
      <c r="AB1000" s="49">
        <f>(B1000*141.293+C1000*267.993+D1000*115.016+E1000*89.698+F1000*40+G1000*185+H1000*0+I1000*100+J1000*300)/(141.293+267.993+115.016+89.698+0+40+185+100+300)</f>
        <v>129.47425925899918</v>
      </c>
      <c r="AC1000" s="44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126.92428489208632</v>
      </c>
    </row>
    <row r="1001" spans="1:29" ht="15.75" x14ac:dyDescent="0.25">
      <c r="A1001" s="31">
        <v>71375</v>
      </c>
      <c r="B1001" s="14">
        <f>CHOOSE(CONTROL!$C$42, 130.5281, 130.5281) * CHOOSE(CONTROL!$C$21, $C$9, 100%, $E$9)</f>
        <v>130.52809999999999</v>
      </c>
      <c r="C1001" s="14">
        <f>CHOOSE(CONTROL!$C$42, 130.5361, 130.5361) * CHOOSE(CONTROL!$C$21, $C$9, 100%, $E$9)</f>
        <v>130.5361</v>
      </c>
      <c r="D1001" s="14">
        <f>CHOOSE(CONTROL!$C$42, 130.7619, 130.7619) * CHOOSE(CONTROL!$C$21, $C$9, 100%, $E$9)</f>
        <v>130.7619</v>
      </c>
      <c r="E1001" s="14">
        <f>CHOOSE(CONTROL!$C$42, 130.7933, 130.7933) * CHOOSE(CONTROL!$C$21, $C$9, 100%, $E$9)</f>
        <v>130.79329999999999</v>
      </c>
      <c r="F1001" s="14">
        <f>CHOOSE(CONTROL!$C$42, 130.5537, 130.5537)*CHOOSE(CONTROL!$C$21, $C$9, 100%, $E$9)</f>
        <v>130.55369999999999</v>
      </c>
      <c r="G1001" s="14">
        <f>CHOOSE(CONTROL!$C$42, 130.5707, 130.5707)*CHOOSE(CONTROL!$C$21, $C$9, 100%, $E$9)</f>
        <v>130.57069999999999</v>
      </c>
      <c r="H1001" s="14">
        <f>CHOOSE(CONTROL!$C$42, 130.782, 130.782) * CHOOSE(CONTROL!$C$21, $C$9, 100%, $E$9)</f>
        <v>130.78200000000001</v>
      </c>
      <c r="I1001" s="14">
        <f>CHOOSE(CONTROL!$C$42, 130.9684, 130.9684)* CHOOSE(CONTROL!$C$21, $C$9, 100%, $E$9)</f>
        <v>130.9684</v>
      </c>
      <c r="J1001" s="14">
        <f>CHOOSE(CONTROL!$C$42, 130.5467, 130.5467)* CHOOSE(CONTROL!$C$21, $C$9, 100%, $E$9)</f>
        <v>130.54669999999999</v>
      </c>
      <c r="K1001" s="52">
        <f>CHOOSE(CONTROL!$C$42, 130.9645, 130.9645) * CHOOSE(CONTROL!$C$21, $C$9, 100%, $E$9)</f>
        <v>130.96449999999999</v>
      </c>
      <c r="L1001" s="14">
        <f>CHOOSE(CONTROL!$C$42, 131.369, 131.369) * CHOOSE(CONTROL!$C$21, $C$9, 100%, $E$9)</f>
        <v>131.369</v>
      </c>
      <c r="M1001" s="14">
        <f>CHOOSE(CONTROL!$C$42, 127.8796, 127.8796) * CHOOSE(CONTROL!$C$21, $C$9, 100%, $E$9)</f>
        <v>127.8796</v>
      </c>
      <c r="N1001" s="14">
        <f>CHOOSE(CONTROL!$C$42, 127.8962, 127.8962) * CHOOSE(CONTROL!$C$21, $C$9, 100%, $E$9)</f>
        <v>127.89619999999999</v>
      </c>
      <c r="O1001" s="14">
        <f>CHOOSE(CONTROL!$C$42, 128.11, 128.11) * CHOOSE(CONTROL!$C$21, $C$9, 100%, $E$9)</f>
        <v>128.11000000000001</v>
      </c>
      <c r="P1001" s="14">
        <f>CHOOSE(CONTROL!$C$42, 128.2845, 128.2845) * CHOOSE(CONTROL!$C$21, $C$9, 100%, $E$9)</f>
        <v>128.28450000000001</v>
      </c>
      <c r="Q1001" s="14">
        <f>CHOOSE(CONTROL!$C$42, 128.7047, 128.7047) * CHOOSE(CONTROL!$C$21, $C$9, 100%, $E$9)</f>
        <v>128.7047</v>
      </c>
      <c r="R1001" s="14">
        <f>CHOOSE(CONTROL!$C$42, 129.6135, 129.6135) * CHOOSE(CONTROL!$C$21, $C$9, 100%, $E$9)</f>
        <v>129.61349999999999</v>
      </c>
      <c r="S1001" s="14">
        <f>CHOOSE(CONTROL!$C$42, 125.4138, 125.4138) * CHOOSE(CONTROL!$C$21, $C$9, 100%, $E$9)</f>
        <v>125.41379999999999</v>
      </c>
      <c r="T100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56">
        <f>(1000*CHOOSE(CONTROL!$C$42, 695, 695)*CHOOSE(CONTROL!$C$42, 0.5599, 0.5599)*CHOOSE(CONTROL!$C$42, 31, 31))/1000000</f>
        <v>12.063045499999998</v>
      </c>
      <c r="V1001" s="56">
        <f>(1000*CHOOSE(CONTROL!$C$42, 500, 500)*CHOOSE(CONTROL!$C$42, 0.275, 0.275)*CHOOSE(CONTROL!$C$42, 31, 31))/1000000</f>
        <v>4.2625000000000002</v>
      </c>
      <c r="W1001" s="56">
        <f>(1000*CHOOSE(CONTROL!$C$42, 0.1146, 0.1146)*CHOOSE(CONTROL!$C$42, 121.5, 121.5)*CHOOSE(CONTROL!$C$42, 31, 31))/1000000</f>
        <v>0.43164089999999994</v>
      </c>
      <c r="X1001" s="56">
        <f>(31*0.1790888*245000/1000000)+(31*0.2374*100000/1000000)</f>
        <v>2.0961194359999999</v>
      </c>
      <c r="Y1001" s="56"/>
      <c r="Z1001" s="14"/>
      <c r="AA1001" s="55"/>
      <c r="AB1001" s="49">
        <f>(B1001*194.205+C1001*267.466+D1001*133.845+E1001*53.484+F1001*40+G1001*185+H1001*0+I1001*100+J1001*300)/(194.205+267.466+133.845+53.484+0+40+185+100+300)</f>
        <v>130.611405844427</v>
      </c>
      <c r="AC1001" s="44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128.04324028776978</v>
      </c>
    </row>
    <row r="1002" spans="1:29" ht="15.75" x14ac:dyDescent="0.25">
      <c r="A1002" s="31">
        <v>71405</v>
      </c>
      <c r="B1002" s="14">
        <f>CHOOSE(CONTROL!$C$42, 134.2304, 134.2304) * CHOOSE(CONTROL!$C$21, $C$9, 100%, $E$9)</f>
        <v>134.2304</v>
      </c>
      <c r="C1002" s="14">
        <f>CHOOSE(CONTROL!$C$42, 134.2384, 134.2384) * CHOOSE(CONTROL!$C$21, $C$9, 100%, $E$9)</f>
        <v>134.23840000000001</v>
      </c>
      <c r="D1002" s="14">
        <f>CHOOSE(CONTROL!$C$42, 134.4642, 134.4642) * CHOOSE(CONTROL!$C$21, $C$9, 100%, $E$9)</f>
        <v>134.46420000000001</v>
      </c>
      <c r="E1002" s="14">
        <f>CHOOSE(CONTROL!$C$42, 134.4956, 134.4956) * CHOOSE(CONTROL!$C$21, $C$9, 100%, $E$9)</f>
        <v>134.4956</v>
      </c>
      <c r="F1002" s="14">
        <f>CHOOSE(CONTROL!$C$42, 134.2565, 134.2565)*CHOOSE(CONTROL!$C$21, $C$9, 100%, $E$9)</f>
        <v>134.25649999999999</v>
      </c>
      <c r="G1002" s="14">
        <f>CHOOSE(CONTROL!$C$42, 134.2735, 134.2735)*CHOOSE(CONTROL!$C$21, $C$9, 100%, $E$9)</f>
        <v>134.27350000000001</v>
      </c>
      <c r="H1002" s="14">
        <f>CHOOSE(CONTROL!$C$42, 134.4843, 134.4843) * CHOOSE(CONTROL!$C$21, $C$9, 100%, $E$9)</f>
        <v>134.48429999999999</v>
      </c>
      <c r="I1002" s="14">
        <f>CHOOSE(CONTROL!$C$42, 134.6823, 134.6823)* CHOOSE(CONTROL!$C$21, $C$9, 100%, $E$9)</f>
        <v>134.6823</v>
      </c>
      <c r="J1002" s="14">
        <f>CHOOSE(CONTROL!$C$42, 134.2495, 134.2495)* CHOOSE(CONTROL!$C$21, $C$9, 100%, $E$9)</f>
        <v>134.24950000000001</v>
      </c>
      <c r="K1002" s="52">
        <f>CHOOSE(CONTROL!$C$42, 134.6784, 134.6784) * CHOOSE(CONTROL!$C$21, $C$9, 100%, $E$9)</f>
        <v>134.67840000000001</v>
      </c>
      <c r="L1002" s="14">
        <f>CHOOSE(CONTROL!$C$42, 135.0713, 135.0713) * CHOOSE(CONTROL!$C$21, $C$9, 100%, $E$9)</f>
        <v>135.07130000000001</v>
      </c>
      <c r="M1002" s="14">
        <f>CHOOSE(CONTROL!$C$42, 131.5065, 131.5065) * CHOOSE(CONTROL!$C$21, $C$9, 100%, $E$9)</f>
        <v>131.50649999999999</v>
      </c>
      <c r="N1002" s="14">
        <f>CHOOSE(CONTROL!$C$42, 131.5232, 131.5232) * CHOOSE(CONTROL!$C$21, $C$9, 100%, $E$9)</f>
        <v>131.5232</v>
      </c>
      <c r="O1002" s="14">
        <f>CHOOSE(CONTROL!$C$42, 131.7365, 131.7365) * CHOOSE(CONTROL!$C$21, $C$9, 100%, $E$9)</f>
        <v>131.73650000000001</v>
      </c>
      <c r="P1002" s="14">
        <f>CHOOSE(CONTROL!$C$42, 131.922, 131.922) * CHOOSE(CONTROL!$C$21, $C$9, 100%, $E$9)</f>
        <v>131.922</v>
      </c>
      <c r="Q1002" s="14">
        <f>CHOOSE(CONTROL!$C$42, 132.3312, 132.3312) * CHOOSE(CONTROL!$C$21, $C$9, 100%, $E$9)</f>
        <v>132.3312</v>
      </c>
      <c r="R1002" s="14">
        <f>CHOOSE(CONTROL!$C$42, 133.249, 133.249) * CHOOSE(CONTROL!$C$21, $C$9, 100%, $E$9)</f>
        <v>133.249</v>
      </c>
      <c r="S1002" s="14">
        <f>CHOOSE(CONTROL!$C$42, 128.9713, 128.9713) * CHOOSE(CONTROL!$C$21, $C$9, 100%, $E$9)</f>
        <v>128.97130000000001</v>
      </c>
      <c r="T100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56">
        <f>(1000*CHOOSE(CONTROL!$C$42, 695, 695)*CHOOSE(CONTROL!$C$42, 0.5599, 0.5599)*CHOOSE(CONTROL!$C$42, 30, 30))/1000000</f>
        <v>11.673914999999997</v>
      </c>
      <c r="V1002" s="56">
        <f>(1000*CHOOSE(CONTROL!$C$42, 500, 500)*CHOOSE(CONTROL!$C$42, 0.275, 0.275)*CHOOSE(CONTROL!$C$42, 30, 30))/1000000</f>
        <v>4.125</v>
      </c>
      <c r="W1002" s="56">
        <f>(1000*CHOOSE(CONTROL!$C$42, 0.1146, 0.1146)*CHOOSE(CONTROL!$C$42, 121.5, 121.5)*CHOOSE(CONTROL!$C$42, 30, 30))/1000000</f>
        <v>0.417717</v>
      </c>
      <c r="X1002" s="56">
        <f>(30*0.1790888*245000/1000000)+(30*0.2374*100000/1000000)</f>
        <v>2.0285026799999999</v>
      </c>
      <c r="Y1002" s="56"/>
      <c r="Z1002" s="14"/>
      <c r="AA1002" s="55"/>
      <c r="AB1002" s="49">
        <f>(B1002*194.205+C1002*267.466+D1002*133.845+E1002*53.484+F1002*40+G1002*185+H1002*0+I1002*100+J1002*300)/(194.205+267.466+133.845+53.484+0+40+185+100+300)</f>
        <v>134.31482240643643</v>
      </c>
      <c r="AC1002" s="44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131.67148992805755</v>
      </c>
    </row>
    <row r="1003" spans="1:29" ht="15.75" x14ac:dyDescent="0.25">
      <c r="A1003" s="31">
        <v>71436</v>
      </c>
      <c r="B1003" s="14">
        <f>CHOOSE(CONTROL!$C$42, 131.6554, 131.6554) * CHOOSE(CONTROL!$C$21, $C$9, 100%, $E$9)</f>
        <v>131.65539999999999</v>
      </c>
      <c r="C1003" s="14">
        <f>CHOOSE(CONTROL!$C$42, 131.6634, 131.6634) * CHOOSE(CONTROL!$C$21, $C$9, 100%, $E$9)</f>
        <v>131.6634</v>
      </c>
      <c r="D1003" s="14">
        <f>CHOOSE(CONTROL!$C$42, 131.8892, 131.8892) * CHOOSE(CONTROL!$C$21, $C$9, 100%, $E$9)</f>
        <v>131.88919999999999</v>
      </c>
      <c r="E1003" s="14">
        <f>CHOOSE(CONTROL!$C$42, 131.9207, 131.9207) * CHOOSE(CONTROL!$C$21, $C$9, 100%, $E$9)</f>
        <v>131.92070000000001</v>
      </c>
      <c r="F1003" s="14">
        <f>CHOOSE(CONTROL!$C$42, 131.682, 131.682)*CHOOSE(CONTROL!$C$21, $C$9, 100%, $E$9)</f>
        <v>131.68199999999999</v>
      </c>
      <c r="G1003" s="14">
        <f>CHOOSE(CONTROL!$C$42, 131.6992, 131.6992)*CHOOSE(CONTROL!$C$21, $C$9, 100%, $E$9)</f>
        <v>131.69919999999999</v>
      </c>
      <c r="H1003" s="14">
        <f>CHOOSE(CONTROL!$C$42, 131.9093, 131.9093) * CHOOSE(CONTROL!$C$21, $C$9, 100%, $E$9)</f>
        <v>131.9093</v>
      </c>
      <c r="I1003" s="14">
        <f>CHOOSE(CONTROL!$C$42, 132.0993, 132.0993)* CHOOSE(CONTROL!$C$21, $C$9, 100%, $E$9)</f>
        <v>132.0993</v>
      </c>
      <c r="J1003" s="14">
        <f>CHOOSE(CONTROL!$C$42, 131.675, 131.675)* CHOOSE(CONTROL!$C$21, $C$9, 100%, $E$9)</f>
        <v>131.67500000000001</v>
      </c>
      <c r="K1003" s="52">
        <f>CHOOSE(CONTROL!$C$42, 132.0954, 132.0954) * CHOOSE(CONTROL!$C$21, $C$9, 100%, $E$9)</f>
        <v>132.09540000000001</v>
      </c>
      <c r="L1003" s="14">
        <f>CHOOSE(CONTROL!$C$42, 132.4963, 132.4963) * CHOOSE(CONTROL!$C$21, $C$9, 100%, $E$9)</f>
        <v>132.49629999999999</v>
      </c>
      <c r="M1003" s="14">
        <f>CHOOSE(CONTROL!$C$42, 128.9847, 128.9847) * CHOOSE(CONTROL!$C$21, $C$9, 100%, $E$9)</f>
        <v>128.9847</v>
      </c>
      <c r="N1003" s="14">
        <f>CHOOSE(CONTROL!$C$42, 129.0016, 129.0016) * CHOOSE(CONTROL!$C$21, $C$9, 100%, $E$9)</f>
        <v>129.0016</v>
      </c>
      <c r="O1003" s="14">
        <f>CHOOSE(CONTROL!$C$42, 129.2143, 129.2143) * CHOOSE(CONTROL!$C$21, $C$9, 100%, $E$9)</f>
        <v>129.21430000000001</v>
      </c>
      <c r="P1003" s="14">
        <f>CHOOSE(CONTROL!$C$42, 129.3921, 129.3921) * CHOOSE(CONTROL!$C$21, $C$9, 100%, $E$9)</f>
        <v>129.3921</v>
      </c>
      <c r="Q1003" s="14">
        <f>CHOOSE(CONTROL!$C$42, 129.809, 129.809) * CHOOSE(CONTROL!$C$21, $C$9, 100%, $E$9)</f>
        <v>129.809</v>
      </c>
      <c r="R1003" s="14">
        <f>CHOOSE(CONTROL!$C$42, 130.7205, 130.7205) * CHOOSE(CONTROL!$C$21, $C$9, 100%, $E$9)</f>
        <v>130.72049999999999</v>
      </c>
      <c r="S1003" s="14">
        <f>CHOOSE(CONTROL!$C$42, 126.497, 126.497) * CHOOSE(CONTROL!$C$21, $C$9, 100%, $E$9)</f>
        <v>126.497</v>
      </c>
      <c r="T100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56">
        <f>(1000*CHOOSE(CONTROL!$C$42, 695, 695)*CHOOSE(CONTROL!$C$42, 0.5599, 0.5599)*CHOOSE(CONTROL!$C$42, 31, 31))/1000000</f>
        <v>12.063045499999998</v>
      </c>
      <c r="V1003" s="56">
        <f>(1000*CHOOSE(CONTROL!$C$42, 500, 500)*CHOOSE(CONTROL!$C$42, 0.275, 0.275)*CHOOSE(CONTROL!$C$42, 31, 31))/1000000</f>
        <v>4.2625000000000002</v>
      </c>
      <c r="W1003" s="56">
        <f>(1000*CHOOSE(CONTROL!$C$42, 0.1146, 0.1146)*CHOOSE(CONTROL!$C$42, 121.5, 121.5)*CHOOSE(CONTROL!$C$42, 31, 31))/1000000</f>
        <v>0.43164089999999994</v>
      </c>
      <c r="X1003" s="56">
        <f>(31*0.1790888*245000/1000000)+(31*0.2374*100000/1000000)</f>
        <v>2.0961194359999999</v>
      </c>
      <c r="Y1003" s="56"/>
      <c r="Z1003" s="14"/>
      <c r="AA1003" s="55"/>
      <c r="AB1003" s="49">
        <f>(B1003*194.205+C1003*267.466+D1003*133.845+E1003*53.484+F1003*40+G1003*185+H1003*0+I1003*100+J1003*300)/(194.205+267.466+133.845+53.484+0+40+185+100+300)</f>
        <v>131.73943374740972</v>
      </c>
      <c r="AC1003" s="44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129.14835467625898</v>
      </c>
    </row>
    <row r="1004" spans="1:29" ht="15.75" x14ac:dyDescent="0.25">
      <c r="A1004" s="31">
        <v>71467</v>
      </c>
      <c r="B1004" s="14">
        <f>CHOOSE(CONTROL!$C$42, 125.1528, 125.1528) * CHOOSE(CONTROL!$C$21, $C$9, 100%, $E$9)</f>
        <v>125.1528</v>
      </c>
      <c r="C1004" s="14">
        <f>CHOOSE(CONTROL!$C$42, 125.1608, 125.1608) * CHOOSE(CONTROL!$C$21, $C$9, 100%, $E$9)</f>
        <v>125.16079999999999</v>
      </c>
      <c r="D1004" s="14">
        <f>CHOOSE(CONTROL!$C$42, 125.3866, 125.3866) * CHOOSE(CONTROL!$C$21, $C$9, 100%, $E$9)</f>
        <v>125.3866</v>
      </c>
      <c r="E1004" s="14">
        <f>CHOOSE(CONTROL!$C$42, 125.4181, 125.4181) * CHOOSE(CONTROL!$C$21, $C$9, 100%, $E$9)</f>
        <v>125.4181</v>
      </c>
      <c r="F1004" s="14">
        <f>CHOOSE(CONTROL!$C$42, 125.1796, 125.1796)*CHOOSE(CONTROL!$C$21, $C$9, 100%, $E$9)</f>
        <v>125.17959999999999</v>
      </c>
      <c r="G1004" s="14">
        <f>CHOOSE(CONTROL!$C$42, 125.1969, 125.1969)*CHOOSE(CONTROL!$C$21, $C$9, 100%, $E$9)</f>
        <v>125.1969</v>
      </c>
      <c r="H1004" s="14">
        <f>CHOOSE(CONTROL!$C$42, 125.4067, 125.4067) * CHOOSE(CONTROL!$C$21, $C$9, 100%, $E$9)</f>
        <v>125.4067</v>
      </c>
      <c r="I1004" s="14">
        <f>CHOOSE(CONTROL!$C$42, 125.5763, 125.5763)* CHOOSE(CONTROL!$C$21, $C$9, 100%, $E$9)</f>
        <v>125.5763</v>
      </c>
      <c r="J1004" s="14">
        <f>CHOOSE(CONTROL!$C$42, 125.1726, 125.1726)* CHOOSE(CONTROL!$C$21, $C$9, 100%, $E$9)</f>
        <v>125.1726</v>
      </c>
      <c r="K1004" s="52">
        <f>CHOOSE(CONTROL!$C$42, 125.5724, 125.5724) * CHOOSE(CONTROL!$C$21, $C$9, 100%, $E$9)</f>
        <v>125.5724</v>
      </c>
      <c r="L1004" s="14">
        <f>CHOOSE(CONTROL!$C$42, 125.9937, 125.9937) * CHOOSE(CONTROL!$C$21, $C$9, 100%, $E$9)</f>
        <v>125.9937</v>
      </c>
      <c r="M1004" s="14">
        <f>CHOOSE(CONTROL!$C$42, 122.6156, 122.6156) * CHOOSE(CONTROL!$C$21, $C$9, 100%, $E$9)</f>
        <v>122.6156</v>
      </c>
      <c r="N1004" s="14">
        <f>CHOOSE(CONTROL!$C$42, 122.6325, 122.6325) * CHOOSE(CONTROL!$C$21, $C$9, 100%, $E$9)</f>
        <v>122.63249999999999</v>
      </c>
      <c r="O1004" s="14">
        <f>CHOOSE(CONTROL!$C$42, 122.8449, 122.8449) * CHOOSE(CONTROL!$C$21, $C$9, 100%, $E$9)</f>
        <v>122.8449</v>
      </c>
      <c r="P1004" s="14">
        <f>CHOOSE(CONTROL!$C$42, 123.0032, 123.0032) * CHOOSE(CONTROL!$C$21, $C$9, 100%, $E$9)</f>
        <v>123.00320000000001</v>
      </c>
      <c r="Q1004" s="14">
        <f>CHOOSE(CONTROL!$C$42, 123.4396, 123.4396) * CHOOSE(CONTROL!$C$21, $C$9, 100%, $E$9)</f>
        <v>123.4396</v>
      </c>
      <c r="R1004" s="14">
        <f>CHOOSE(CONTROL!$C$42, 124.3352, 124.3352) * CHOOSE(CONTROL!$C$21, $C$9, 100%, $E$9)</f>
        <v>124.3352</v>
      </c>
      <c r="S1004" s="14">
        <f>CHOOSE(CONTROL!$C$42, 120.2487, 120.2487) * CHOOSE(CONTROL!$C$21, $C$9, 100%, $E$9)</f>
        <v>120.2487</v>
      </c>
      <c r="T100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56">
        <f>(1000*CHOOSE(CONTROL!$C$42, 695, 695)*CHOOSE(CONTROL!$C$42, 0.5599, 0.5599)*CHOOSE(CONTROL!$C$42, 31, 31))/1000000</f>
        <v>12.063045499999998</v>
      </c>
      <c r="V1004" s="56">
        <f>(1000*CHOOSE(CONTROL!$C$42, 500, 500)*CHOOSE(CONTROL!$C$42, 0.275, 0.275)*CHOOSE(CONTROL!$C$42, 31, 31))/1000000</f>
        <v>4.2625000000000002</v>
      </c>
      <c r="W1004" s="56">
        <f>(1000*CHOOSE(CONTROL!$C$42, 0.1146, 0.1146)*CHOOSE(CONTROL!$C$42, 121.5, 121.5)*CHOOSE(CONTROL!$C$42, 31, 31))/1000000</f>
        <v>0.43164089999999994</v>
      </c>
      <c r="X1004" s="56">
        <f>(31*0.1790888*245000/1000000)+(31*0.2374*100000/1000000)</f>
        <v>2.0961194359999999</v>
      </c>
      <c r="Y1004" s="56"/>
      <c r="Z1004" s="14"/>
      <c r="AA1004" s="55"/>
      <c r="AB1004" s="49">
        <f>(B1004*194.205+C1004*267.466+D1004*133.845+E1004*53.484+F1004*40+G1004*185+H1004*0+I1004*100+J1004*300)/(194.205+267.466+133.845+53.484+0+40+185+100+300)</f>
        <v>125.23532943029826</v>
      </c>
      <c r="AC1004" s="44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122.77626978417267</v>
      </c>
    </row>
    <row r="1005" spans="1:29" ht="15.75" x14ac:dyDescent="0.25">
      <c r="A1005" s="31">
        <v>71497</v>
      </c>
      <c r="B1005" s="14">
        <f>CHOOSE(CONTROL!$C$42, 117.2077, 117.2077) * CHOOSE(CONTROL!$C$21, $C$9, 100%, $E$9)</f>
        <v>117.2077</v>
      </c>
      <c r="C1005" s="14">
        <f>CHOOSE(CONTROL!$C$42, 117.2157, 117.2157) * CHOOSE(CONTROL!$C$21, $C$9, 100%, $E$9)</f>
        <v>117.2157</v>
      </c>
      <c r="D1005" s="14">
        <f>CHOOSE(CONTROL!$C$42, 117.4415, 117.4415) * CHOOSE(CONTROL!$C$21, $C$9, 100%, $E$9)</f>
        <v>117.4415</v>
      </c>
      <c r="E1005" s="14">
        <f>CHOOSE(CONTROL!$C$42, 117.4729, 117.4729) * CHOOSE(CONTROL!$C$21, $C$9, 100%, $E$9)</f>
        <v>117.4729</v>
      </c>
      <c r="F1005" s="14">
        <f>CHOOSE(CONTROL!$C$42, 117.2345, 117.2345)*CHOOSE(CONTROL!$C$21, $C$9, 100%, $E$9)</f>
        <v>117.2345</v>
      </c>
      <c r="G1005" s="14">
        <f>CHOOSE(CONTROL!$C$42, 117.2517, 117.2517)*CHOOSE(CONTROL!$C$21, $C$9, 100%, $E$9)</f>
        <v>117.2517</v>
      </c>
      <c r="H1005" s="14">
        <f>CHOOSE(CONTROL!$C$42, 117.4616, 117.4616) * CHOOSE(CONTROL!$C$21, $C$9, 100%, $E$9)</f>
        <v>117.4616</v>
      </c>
      <c r="I1005" s="14">
        <f>CHOOSE(CONTROL!$C$42, 117.6063, 117.6063)* CHOOSE(CONTROL!$C$21, $C$9, 100%, $E$9)</f>
        <v>117.6063</v>
      </c>
      <c r="J1005" s="14">
        <f>CHOOSE(CONTROL!$C$42, 117.2275, 117.2275)* CHOOSE(CONTROL!$C$21, $C$9, 100%, $E$9)</f>
        <v>117.22750000000001</v>
      </c>
      <c r="K1005" s="52">
        <f>CHOOSE(CONTROL!$C$42, 117.6024, 117.6024) * CHOOSE(CONTROL!$C$21, $C$9, 100%, $E$9)</f>
        <v>117.6024</v>
      </c>
      <c r="L1005" s="14">
        <f>CHOOSE(CONTROL!$C$42, 118.0486, 118.0486) * CHOOSE(CONTROL!$C$21, $C$9, 100%, $E$9)</f>
        <v>118.04859999999999</v>
      </c>
      <c r="M1005" s="14">
        <f>CHOOSE(CONTROL!$C$42, 114.8332, 114.8332) * CHOOSE(CONTROL!$C$21, $C$9, 100%, $E$9)</f>
        <v>114.83320000000001</v>
      </c>
      <c r="N1005" s="14">
        <f>CHOOSE(CONTROL!$C$42, 114.8502, 114.8502) * CHOOSE(CONTROL!$C$21, $C$9, 100%, $E$9)</f>
        <v>114.8502</v>
      </c>
      <c r="O1005" s="14">
        <f>CHOOSE(CONTROL!$C$42, 115.0625, 115.0625) * CHOOSE(CONTROL!$C$21, $C$9, 100%, $E$9)</f>
        <v>115.0625</v>
      </c>
      <c r="P1005" s="14">
        <f>CHOOSE(CONTROL!$C$42, 115.197, 115.197) * CHOOSE(CONTROL!$C$21, $C$9, 100%, $E$9)</f>
        <v>115.197</v>
      </c>
      <c r="Q1005" s="14">
        <f>CHOOSE(CONTROL!$C$42, 115.6572, 115.6572) * CHOOSE(CONTROL!$C$21, $C$9, 100%, $E$9)</f>
        <v>115.6572</v>
      </c>
      <c r="R1005" s="14">
        <f>CHOOSE(CONTROL!$C$42, 116.5334, 116.5334) * CHOOSE(CONTROL!$C$21, $C$9, 100%, $E$9)</f>
        <v>116.5334</v>
      </c>
      <c r="S1005" s="14">
        <f>CHOOSE(CONTROL!$C$42, 112.6142, 112.6142) * CHOOSE(CONTROL!$C$21, $C$9, 100%, $E$9)</f>
        <v>112.6142</v>
      </c>
      <c r="T100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56">
        <f>(1000*CHOOSE(CONTROL!$C$42, 695, 695)*CHOOSE(CONTROL!$C$42, 0.5599, 0.5599)*CHOOSE(CONTROL!$C$42, 30, 30))/1000000</f>
        <v>11.673914999999997</v>
      </c>
      <c r="V1005" s="56">
        <f>(1000*CHOOSE(CONTROL!$C$42, 500, 500)*CHOOSE(CONTROL!$C$42, 0.275, 0.275)*CHOOSE(CONTROL!$C$42, 30, 30))/1000000</f>
        <v>4.125</v>
      </c>
      <c r="W1005" s="56">
        <f>(1000*CHOOSE(CONTROL!$C$42, 0.1146, 0.1146)*CHOOSE(CONTROL!$C$42, 121.5, 121.5)*CHOOSE(CONTROL!$C$42, 30, 30))/1000000</f>
        <v>0.417717</v>
      </c>
      <c r="X1005" s="56">
        <f>(30*0.1790888*245000/1000000)+(30*0.2374*100000/1000000)</f>
        <v>2.0285026799999999</v>
      </c>
      <c r="Y1005" s="56"/>
      <c r="Z1005" s="14"/>
      <c r="AA1005" s="55"/>
      <c r="AB1005" s="49">
        <f>(B1005*194.205+C1005*267.466+D1005*133.845+E1005*53.484+F1005*40+G1005*185+H1005*0+I1005*100+J1005*300)/(194.205+267.466+133.845+53.484+0+40+185+100+300)</f>
        <v>117.28825623689168</v>
      </c>
      <c r="AC1005" s="44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114.99045107913668</v>
      </c>
    </row>
    <row r="1006" spans="1:29" ht="15.75" x14ac:dyDescent="0.25">
      <c r="A1006" s="31">
        <v>71528</v>
      </c>
      <c r="B1006" s="14">
        <f>CHOOSE(CONTROL!$C$42, 114.8263, 114.8263) * CHOOSE(CONTROL!$C$21, $C$9, 100%, $E$9)</f>
        <v>114.8263</v>
      </c>
      <c r="C1006" s="14">
        <f>CHOOSE(CONTROL!$C$42, 114.8317, 114.8317) * CHOOSE(CONTROL!$C$21, $C$9, 100%, $E$9)</f>
        <v>114.8317</v>
      </c>
      <c r="D1006" s="14">
        <f>CHOOSE(CONTROL!$C$42, 115.0624, 115.0624) * CHOOSE(CONTROL!$C$21, $C$9, 100%, $E$9)</f>
        <v>115.0624</v>
      </c>
      <c r="E1006" s="14">
        <f>CHOOSE(CONTROL!$C$42, 115.0915, 115.0915) * CHOOSE(CONTROL!$C$21, $C$9, 100%, $E$9)</f>
        <v>115.0915</v>
      </c>
      <c r="F1006" s="14">
        <f>CHOOSE(CONTROL!$C$42, 114.8552, 114.8552)*CHOOSE(CONTROL!$C$21, $C$9, 100%, $E$9)</f>
        <v>114.8552</v>
      </c>
      <c r="G1006" s="14">
        <f>CHOOSE(CONTROL!$C$42, 114.8723, 114.8723)*CHOOSE(CONTROL!$C$21, $C$9, 100%, $E$9)</f>
        <v>114.8723</v>
      </c>
      <c r="H1006" s="14">
        <f>CHOOSE(CONTROL!$C$42, 115.082, 115.082) * CHOOSE(CONTROL!$C$21, $C$9, 100%, $E$9)</f>
        <v>115.08199999999999</v>
      </c>
      <c r="I1006" s="14">
        <f>CHOOSE(CONTROL!$C$42, 115.2193, 115.2193)* CHOOSE(CONTROL!$C$21, $C$9, 100%, $E$9)</f>
        <v>115.2193</v>
      </c>
      <c r="J1006" s="14">
        <f>CHOOSE(CONTROL!$C$42, 114.8482, 114.8482)* CHOOSE(CONTROL!$C$21, $C$9, 100%, $E$9)</f>
        <v>114.84820000000001</v>
      </c>
      <c r="K1006" s="52">
        <f>CHOOSE(CONTROL!$C$42, 115.2154, 115.2154) * CHOOSE(CONTROL!$C$21, $C$9, 100%, $E$9)</f>
        <v>115.2154</v>
      </c>
      <c r="L1006" s="14">
        <f>CHOOSE(CONTROL!$C$42, 115.669, 115.669) * CHOOSE(CONTROL!$C$21, $C$9, 100%, $E$9)</f>
        <v>115.669</v>
      </c>
      <c r="M1006" s="14">
        <f>CHOOSE(CONTROL!$C$42, 112.5027, 112.5027) * CHOOSE(CONTROL!$C$21, $C$9, 100%, $E$9)</f>
        <v>112.5027</v>
      </c>
      <c r="N1006" s="14">
        <f>CHOOSE(CONTROL!$C$42, 112.5195, 112.5195) * CHOOSE(CONTROL!$C$21, $C$9, 100%, $E$9)</f>
        <v>112.51949999999999</v>
      </c>
      <c r="O1006" s="14">
        <f>CHOOSE(CONTROL!$C$42, 112.7318, 112.7318) * CHOOSE(CONTROL!$C$21, $C$9, 100%, $E$9)</f>
        <v>112.73180000000001</v>
      </c>
      <c r="P1006" s="14">
        <f>CHOOSE(CONTROL!$C$42, 112.859, 112.859) * CHOOSE(CONTROL!$C$21, $C$9, 100%, $E$9)</f>
        <v>112.85899999999999</v>
      </c>
      <c r="Q1006" s="14">
        <f>CHOOSE(CONTROL!$C$42, 113.3265, 113.3265) * CHOOSE(CONTROL!$C$21, $C$9, 100%, $E$9)</f>
        <v>113.3265</v>
      </c>
      <c r="R1006" s="14">
        <f>CHOOSE(CONTROL!$C$42, 114.1968, 114.1968) * CHOOSE(CONTROL!$C$21, $C$9, 100%, $E$9)</f>
        <v>114.1968</v>
      </c>
      <c r="S1006" s="14">
        <f>CHOOSE(CONTROL!$C$42, 110.3277, 110.3277) * CHOOSE(CONTROL!$C$21, $C$9, 100%, $E$9)</f>
        <v>110.32769999999999</v>
      </c>
      <c r="T100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56">
        <f>(1000*CHOOSE(CONTROL!$C$42, 695, 695)*CHOOSE(CONTROL!$C$42, 0.5599, 0.5599)*CHOOSE(CONTROL!$C$42, 31, 31))/1000000</f>
        <v>12.063045499999998</v>
      </c>
      <c r="V1006" s="56">
        <f>(1000*CHOOSE(CONTROL!$C$42, 500, 500)*CHOOSE(CONTROL!$C$42, 0.275, 0.275)*CHOOSE(CONTROL!$C$42, 31, 31))/1000000</f>
        <v>4.2625000000000002</v>
      </c>
      <c r="W1006" s="56">
        <f>(1000*CHOOSE(CONTROL!$C$42, 0.1146, 0.1146)*CHOOSE(CONTROL!$C$42, 121.5, 121.5)*CHOOSE(CONTROL!$C$42, 31, 31))/1000000</f>
        <v>0.43164089999999994</v>
      </c>
      <c r="X1006" s="56">
        <f>(31*0.1790888*245000/1000000)+(31*0.2374*100000/1000000)</f>
        <v>2.0961194359999999</v>
      </c>
      <c r="Y1006" s="56"/>
      <c r="Z1006" s="14"/>
      <c r="AA1006" s="55"/>
      <c r="AB1006" s="49">
        <f>(B1006*131.881+C1006*277.167+D1006*79.08+E1006*125.872+F1006*40+G1006*185+H1006*0+I1006*100+J1006*300)/(131.881+277.167+79.08+125.872+0+40+185+100+300)</f>
        <v>114.91434256997576</v>
      </c>
      <c r="AC1006" s="44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112.65876978417266</v>
      </c>
    </row>
    <row r="1007" spans="1:29" ht="15.75" x14ac:dyDescent="0.25">
      <c r="A1007" s="31">
        <v>71558</v>
      </c>
      <c r="B1007" s="14">
        <f>CHOOSE(CONTROL!$C$42, 117.8507, 117.8507) * CHOOSE(CONTROL!$C$21, $C$9, 100%, $E$9)</f>
        <v>117.8507</v>
      </c>
      <c r="C1007" s="14">
        <f>CHOOSE(CONTROL!$C$42, 117.8558, 117.8558) * CHOOSE(CONTROL!$C$21, $C$9, 100%, $E$9)</f>
        <v>117.8558</v>
      </c>
      <c r="D1007" s="14">
        <f>CHOOSE(CONTROL!$C$42, 117.9248, 117.9248) * CHOOSE(CONTROL!$C$21, $C$9, 100%, $E$9)</f>
        <v>117.9248</v>
      </c>
      <c r="E1007" s="14">
        <f>CHOOSE(CONTROL!$C$42, 117.9589, 117.9589) * CHOOSE(CONTROL!$C$21, $C$9, 100%, $E$9)</f>
        <v>117.9589</v>
      </c>
      <c r="F1007" s="14">
        <f>CHOOSE(CONTROL!$C$42, 117.8863, 117.8863)*CHOOSE(CONTROL!$C$21, $C$9, 100%, $E$9)</f>
        <v>117.88630000000001</v>
      </c>
      <c r="G1007" s="14">
        <f>CHOOSE(CONTROL!$C$42, 117.9037, 117.9037)*CHOOSE(CONTROL!$C$21, $C$9, 100%, $E$9)</f>
        <v>117.9037</v>
      </c>
      <c r="H1007" s="14">
        <f>CHOOSE(CONTROL!$C$42, 117.9481, 117.9481) * CHOOSE(CONTROL!$C$21, $C$9, 100%, $E$9)</f>
        <v>117.9481</v>
      </c>
      <c r="I1007" s="14">
        <f>CHOOSE(CONTROL!$C$42, 118.2562, 118.2562)* CHOOSE(CONTROL!$C$21, $C$9, 100%, $E$9)</f>
        <v>118.25620000000001</v>
      </c>
      <c r="J1007" s="14">
        <f>CHOOSE(CONTROL!$C$42, 117.8793, 117.8793)* CHOOSE(CONTROL!$C$21, $C$9, 100%, $E$9)</f>
        <v>117.8793</v>
      </c>
      <c r="K1007" s="52">
        <f>CHOOSE(CONTROL!$C$42, 118.2523, 118.2523) * CHOOSE(CONTROL!$C$21, $C$9, 100%, $E$9)</f>
        <v>118.25230000000001</v>
      </c>
      <c r="L1007" s="14">
        <f>CHOOSE(CONTROL!$C$42, 118.5351, 118.5351) * CHOOSE(CONTROL!$C$21, $C$9, 100%, $E$9)</f>
        <v>118.5351</v>
      </c>
      <c r="M1007" s="14">
        <f>CHOOSE(CONTROL!$C$42, 115.4717, 115.4717) * CHOOSE(CONTROL!$C$21, $C$9, 100%, $E$9)</f>
        <v>115.4717</v>
      </c>
      <c r="N1007" s="14">
        <f>CHOOSE(CONTROL!$C$42, 115.4888, 115.4888) * CHOOSE(CONTROL!$C$21, $C$9, 100%, $E$9)</f>
        <v>115.4888</v>
      </c>
      <c r="O1007" s="14">
        <f>CHOOSE(CONTROL!$C$42, 115.5391, 115.5391) * CHOOSE(CONTROL!$C$21, $C$9, 100%, $E$9)</f>
        <v>115.5391</v>
      </c>
      <c r="P1007" s="14">
        <f>CHOOSE(CONTROL!$C$42, 115.8335, 115.8335) * CHOOSE(CONTROL!$C$21, $C$9, 100%, $E$9)</f>
        <v>115.8335</v>
      </c>
      <c r="Q1007" s="14">
        <f>CHOOSE(CONTROL!$C$42, 116.1338, 116.1338) * CHOOSE(CONTROL!$C$21, $C$9, 100%, $E$9)</f>
        <v>116.13379999999999</v>
      </c>
      <c r="R1007" s="14">
        <f>CHOOSE(CONTROL!$C$42, 117.0112, 117.0112) * CHOOSE(CONTROL!$C$21, $C$9, 100%, $E$9)</f>
        <v>117.0112</v>
      </c>
      <c r="S1007" s="14">
        <f>CHOOSE(CONTROL!$C$42, 113.2342, 113.2342) * CHOOSE(CONTROL!$C$21, $C$9, 100%, $E$9)</f>
        <v>113.2342</v>
      </c>
      <c r="T100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56">
        <f>(1000*CHOOSE(CONTROL!$C$42, 695, 695)*CHOOSE(CONTROL!$C$42, 0.5599, 0.5599)*CHOOSE(CONTROL!$C$42, 30, 30))/1000000</f>
        <v>11.673914999999997</v>
      </c>
      <c r="V1007" s="56">
        <f>(1000*CHOOSE(CONTROL!$C$42, 500, 500)*CHOOSE(CONTROL!$C$42, 0.275, 0.275)*CHOOSE(CONTROL!$C$42, 30, 30))/1000000</f>
        <v>4.125</v>
      </c>
      <c r="W1007" s="56">
        <f>(1000*CHOOSE(CONTROL!$C$42, 0.1146, 0.1146)*CHOOSE(CONTROL!$C$42, 121.5, 121.5)*CHOOSE(CONTROL!$C$42, 30, 30))/1000000</f>
        <v>0.417717</v>
      </c>
      <c r="X1007" s="56">
        <f>(30*0.1790888*100000/1000000)+(30*0.2374*100000/1000000)</f>
        <v>1.2494664</v>
      </c>
      <c r="Y1007" s="56"/>
      <c r="Z1007" s="14"/>
      <c r="AA1007" s="55"/>
      <c r="AB1007" s="49">
        <f>(B1007*122.58+C1007*297.941+D1007*89.177+E1007*40.302+F1007*40+G1007*160+H1007*0+I1007*100+J1007*300)/(122.58+297.941+89.177+40.302+0+40+160+100+300)</f>
        <v>117.91289320973915</v>
      </c>
      <c r="AC1007" s="44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115.55528992805756</v>
      </c>
    </row>
    <row r="1008" spans="1:29" ht="15.75" x14ac:dyDescent="0.25">
      <c r="A1008" s="31">
        <v>71589</v>
      </c>
      <c r="B1008" s="14">
        <f>CHOOSE(CONTROL!$C$42, 125.8851, 125.8851) * CHOOSE(CONTROL!$C$21, $C$9, 100%, $E$9)</f>
        <v>125.88509999999999</v>
      </c>
      <c r="C1008" s="14">
        <f>CHOOSE(CONTROL!$C$42, 125.8902, 125.8902) * CHOOSE(CONTROL!$C$21, $C$9, 100%, $E$9)</f>
        <v>125.89019999999999</v>
      </c>
      <c r="D1008" s="14">
        <f>CHOOSE(CONTROL!$C$42, 125.9592, 125.9592) * CHOOSE(CONTROL!$C$21, $C$9, 100%, $E$9)</f>
        <v>125.9592</v>
      </c>
      <c r="E1008" s="14">
        <f>CHOOSE(CONTROL!$C$42, 125.9933, 125.9933) * CHOOSE(CONTROL!$C$21, $C$9, 100%, $E$9)</f>
        <v>125.9933</v>
      </c>
      <c r="F1008" s="14">
        <f>CHOOSE(CONTROL!$C$42, 125.9229, 125.9229)*CHOOSE(CONTROL!$C$21, $C$9, 100%, $E$9)</f>
        <v>125.9229</v>
      </c>
      <c r="G1008" s="14">
        <f>CHOOSE(CONTROL!$C$42, 125.9409, 125.9409)*CHOOSE(CONTROL!$C$21, $C$9, 100%, $E$9)</f>
        <v>125.9409</v>
      </c>
      <c r="H1008" s="14">
        <f>CHOOSE(CONTROL!$C$42, 125.9825, 125.9825) * CHOOSE(CONTROL!$C$21, $C$9, 100%, $E$9)</f>
        <v>125.9825</v>
      </c>
      <c r="I1008" s="14">
        <f>CHOOSE(CONTROL!$C$42, 126.3157, 126.3157)* CHOOSE(CONTROL!$C$21, $C$9, 100%, $E$9)</f>
        <v>126.31570000000001</v>
      </c>
      <c r="J1008" s="14">
        <f>CHOOSE(CONTROL!$C$42, 125.9159, 125.9159)* CHOOSE(CONTROL!$C$21, $C$9, 100%, $E$9)</f>
        <v>125.91589999999999</v>
      </c>
      <c r="K1008" s="52">
        <f>CHOOSE(CONTROL!$C$42, 126.3118, 126.3118) * CHOOSE(CONTROL!$C$21, $C$9, 100%, $E$9)</f>
        <v>126.31180000000001</v>
      </c>
      <c r="L1008" s="14">
        <f>CHOOSE(CONTROL!$C$42, 126.5695, 126.5695) * CHOOSE(CONTROL!$C$21, $C$9, 100%, $E$9)</f>
        <v>126.56950000000001</v>
      </c>
      <c r="M1008" s="14">
        <f>CHOOSE(CONTROL!$C$42, 123.3437, 123.3437) * CHOOSE(CONTROL!$C$21, $C$9, 100%, $E$9)</f>
        <v>123.3437</v>
      </c>
      <c r="N1008" s="14">
        <f>CHOOSE(CONTROL!$C$42, 123.3613, 123.3613) * CHOOSE(CONTROL!$C$21, $C$9, 100%, $E$9)</f>
        <v>123.3613</v>
      </c>
      <c r="O1008" s="14">
        <f>CHOOSE(CONTROL!$C$42, 123.4089, 123.4089) * CHOOSE(CONTROL!$C$21, $C$9, 100%, $E$9)</f>
        <v>123.4089</v>
      </c>
      <c r="P1008" s="14">
        <f>CHOOSE(CONTROL!$C$42, 123.7274, 123.7274) * CHOOSE(CONTROL!$C$21, $C$9, 100%, $E$9)</f>
        <v>123.7274</v>
      </c>
      <c r="Q1008" s="14">
        <f>CHOOSE(CONTROL!$C$42, 124.0036, 124.0036) * CHOOSE(CONTROL!$C$21, $C$9, 100%, $E$9)</f>
        <v>124.00360000000001</v>
      </c>
      <c r="R1008" s="14">
        <f>CHOOSE(CONTROL!$C$42, 124.9006, 124.9006) * CHOOSE(CONTROL!$C$21, $C$9, 100%, $E$9)</f>
        <v>124.9006</v>
      </c>
      <c r="S1008" s="14">
        <f>CHOOSE(CONTROL!$C$42, 120.9544, 120.9544) * CHOOSE(CONTROL!$C$21, $C$9, 100%, $E$9)</f>
        <v>120.95440000000001</v>
      </c>
      <c r="T100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56">
        <f>(1000*CHOOSE(CONTROL!$C$42, 695, 695)*CHOOSE(CONTROL!$C$42, 0.5599, 0.5599)*CHOOSE(CONTROL!$C$42, 31, 31))/1000000</f>
        <v>12.063045499999998</v>
      </c>
      <c r="V1008" s="56">
        <f>(1000*CHOOSE(CONTROL!$C$42, 500, 500)*CHOOSE(CONTROL!$C$42, 0.275, 0.275)*CHOOSE(CONTROL!$C$42, 31, 31))/1000000</f>
        <v>4.2625000000000002</v>
      </c>
      <c r="W1008" s="56">
        <f>(1000*CHOOSE(CONTROL!$C$42, 0.1146, 0.1146)*CHOOSE(CONTROL!$C$42, 121.5, 121.5)*CHOOSE(CONTROL!$C$42, 31, 31))/1000000</f>
        <v>0.43164089999999994</v>
      </c>
      <c r="X1008" s="56">
        <f>(31*0.1790888*100000/1000000)+(31*0.2374*100000/1000000)</f>
        <v>1.2911152800000001</v>
      </c>
      <c r="Y1008" s="56"/>
      <c r="Z1008" s="14"/>
      <c r="AA1008" s="55"/>
      <c r="AB1008" s="49">
        <f>(B1008*122.58+C1008*297.941+D1008*89.177+E1008*40.302+F1008*40+G1008*160+H1008*0+I1008*100+J1008*300)/(122.58+297.941+89.177+40.302+0+40+160+100+300)</f>
        <v>125.95051581843478</v>
      </c>
      <c r="AC1008" s="44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123.42947266187053</v>
      </c>
    </row>
    <row r="1009" spans="1:29" ht="15.75" x14ac:dyDescent="0.25">
      <c r="A1009" s="31">
        <v>71620</v>
      </c>
      <c r="B1009" s="14">
        <f>CHOOSE(CONTROL!$C$42, 136.3203, 136.3203) * CHOOSE(CONTROL!$C$21, $C$9, 100%, $E$9)</f>
        <v>136.3203</v>
      </c>
      <c r="C1009" s="14">
        <f>CHOOSE(CONTROL!$C$42, 136.3253, 136.3253) * CHOOSE(CONTROL!$C$21, $C$9, 100%, $E$9)</f>
        <v>136.3253</v>
      </c>
      <c r="D1009" s="14">
        <f>CHOOSE(CONTROL!$C$42, 136.4048, 136.4048) * CHOOSE(CONTROL!$C$21, $C$9, 100%, $E$9)</f>
        <v>136.40479999999999</v>
      </c>
      <c r="E1009" s="14">
        <f>CHOOSE(CONTROL!$C$42, 136.4389, 136.4389) * CHOOSE(CONTROL!$C$21, $C$9, 100%, $E$9)</f>
        <v>136.43889999999999</v>
      </c>
      <c r="F1009" s="14">
        <f>CHOOSE(CONTROL!$C$42, 136.3433, 136.3433)*CHOOSE(CONTROL!$C$21, $C$9, 100%, $E$9)</f>
        <v>136.3433</v>
      </c>
      <c r="G1009" s="14">
        <f>CHOOSE(CONTROL!$C$42, 136.3608, 136.3608)*CHOOSE(CONTROL!$C$21, $C$9, 100%, $E$9)</f>
        <v>136.36080000000001</v>
      </c>
      <c r="H1009" s="14">
        <f>CHOOSE(CONTROL!$C$42, 136.4281, 136.4281) * CHOOSE(CONTROL!$C$21, $C$9, 100%, $E$9)</f>
        <v>136.4281</v>
      </c>
      <c r="I1009" s="14">
        <f>CHOOSE(CONTROL!$C$42, 136.7825, 136.7825)* CHOOSE(CONTROL!$C$21, $C$9, 100%, $E$9)</f>
        <v>136.7825</v>
      </c>
      <c r="J1009" s="14">
        <f>CHOOSE(CONTROL!$C$42, 136.3363, 136.3363)* CHOOSE(CONTROL!$C$21, $C$9, 100%, $E$9)</f>
        <v>136.33629999999999</v>
      </c>
      <c r="K1009" s="52">
        <f>CHOOSE(CONTROL!$C$42, 136.7786, 136.7786) * CHOOSE(CONTROL!$C$21, $C$9, 100%, $E$9)</f>
        <v>136.77860000000001</v>
      </c>
      <c r="L1009" s="14">
        <f>CHOOSE(CONTROL!$C$42, 137.0151, 137.0151) * CHOOSE(CONTROL!$C$21, $C$9, 100%, $E$9)</f>
        <v>137.01509999999999</v>
      </c>
      <c r="M1009" s="14">
        <f>CHOOSE(CONTROL!$C$42, 133.5506, 133.5506) * CHOOSE(CONTROL!$C$21, $C$9, 100%, $E$9)</f>
        <v>133.5506</v>
      </c>
      <c r="N1009" s="14">
        <f>CHOOSE(CONTROL!$C$42, 133.5677, 133.5677) * CHOOSE(CONTROL!$C$21, $C$9, 100%, $E$9)</f>
        <v>133.5677</v>
      </c>
      <c r="O1009" s="14">
        <f>CHOOSE(CONTROL!$C$42, 133.6404, 133.6404) * CHOOSE(CONTROL!$C$21, $C$9, 100%, $E$9)</f>
        <v>133.6404</v>
      </c>
      <c r="P1009" s="14">
        <f>CHOOSE(CONTROL!$C$42, 133.9791, 133.9791) * CHOOSE(CONTROL!$C$21, $C$9, 100%, $E$9)</f>
        <v>133.97909999999999</v>
      </c>
      <c r="Q1009" s="14">
        <f>CHOOSE(CONTROL!$C$42, 134.2351, 134.2351) * CHOOSE(CONTROL!$C$21, $C$9, 100%, $E$9)</f>
        <v>134.23509999999999</v>
      </c>
      <c r="R1009" s="14">
        <f>CHOOSE(CONTROL!$C$42, 135.1577, 135.1577) * CHOOSE(CONTROL!$C$21, $C$9, 100%, $E$9)</f>
        <v>135.15770000000001</v>
      </c>
      <c r="S1009" s="14">
        <f>CHOOSE(CONTROL!$C$42, 130.9816, 130.9816) * CHOOSE(CONTROL!$C$21, $C$9, 100%, $E$9)</f>
        <v>130.98159999999999</v>
      </c>
      <c r="T1009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56">
        <f>(1000*CHOOSE(CONTROL!$C$42, 695, 695)*CHOOSE(CONTROL!$C$42, 0.5599, 0.5599)*CHOOSE(CONTROL!$C$42, 31, 31))/1000000</f>
        <v>12.063045499999998</v>
      </c>
      <c r="V1009" s="56">
        <f>(1000*CHOOSE(CONTROL!$C$42, 500, 500)*CHOOSE(CONTROL!$C$42, 0.275, 0.275)*CHOOSE(CONTROL!$C$42, 31, 31))/1000000</f>
        <v>4.2625000000000002</v>
      </c>
      <c r="W1009" s="56">
        <f>(1000*CHOOSE(CONTROL!$C$42, 0.1146, 0.1146)*CHOOSE(CONTROL!$C$42, 121.5, 121.5)*CHOOSE(CONTROL!$C$42, 31, 31))/1000000</f>
        <v>0.43164089999999994</v>
      </c>
      <c r="X1009" s="56">
        <f>(31*0.1790888*100000/1000000)+(31*0.2374*100000/1000000)</f>
        <v>1.2911152800000001</v>
      </c>
      <c r="Y1009" s="56"/>
      <c r="Z1009" s="14"/>
      <c r="AA1009" s="55"/>
      <c r="AB1009" s="49">
        <f>(B1009*122.58+C1009*297.941+D1009*89.177+E1009*40.302+F1009*40+G1009*160+H1009*0+I1009*100+J1009*300)/(122.58+297.941+89.177+40.302+0+40+160+100+300)</f>
        <v>136.38310432930436</v>
      </c>
      <c r="AC1009" s="44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133.65393956834535</v>
      </c>
    </row>
    <row r="1010" spans="1:29" ht="15.75" x14ac:dyDescent="0.25">
      <c r="A1010" s="31">
        <v>71649</v>
      </c>
      <c r="B1010" s="14">
        <f>CHOOSE(CONTROL!$C$42, 138.7468, 138.7468) * CHOOSE(CONTROL!$C$21, $C$9, 100%, $E$9)</f>
        <v>138.74680000000001</v>
      </c>
      <c r="C1010" s="14">
        <f>CHOOSE(CONTROL!$C$42, 138.7519, 138.7519) * CHOOSE(CONTROL!$C$21, $C$9, 100%, $E$9)</f>
        <v>138.75190000000001</v>
      </c>
      <c r="D1010" s="14">
        <f>CHOOSE(CONTROL!$C$42, 138.8313, 138.8313) * CHOOSE(CONTROL!$C$21, $C$9, 100%, $E$9)</f>
        <v>138.8313</v>
      </c>
      <c r="E1010" s="14">
        <f>CHOOSE(CONTROL!$C$42, 138.8654, 138.8654) * CHOOSE(CONTROL!$C$21, $C$9, 100%, $E$9)</f>
        <v>138.86539999999999</v>
      </c>
      <c r="F1010" s="14">
        <f>CHOOSE(CONTROL!$C$42, 138.7696, 138.7696)*CHOOSE(CONTROL!$C$21, $C$9, 100%, $E$9)</f>
        <v>138.7696</v>
      </c>
      <c r="G1010" s="14">
        <f>CHOOSE(CONTROL!$C$42, 138.7871, 138.7871)*CHOOSE(CONTROL!$C$21, $C$9, 100%, $E$9)</f>
        <v>138.78710000000001</v>
      </c>
      <c r="H1010" s="14">
        <f>CHOOSE(CONTROL!$C$42, 138.8546, 138.8546) * CHOOSE(CONTROL!$C$21, $C$9, 100%, $E$9)</f>
        <v>138.8546</v>
      </c>
      <c r="I1010" s="14">
        <f>CHOOSE(CONTROL!$C$42, 139.2166, 139.2166)* CHOOSE(CONTROL!$C$21, $C$9, 100%, $E$9)</f>
        <v>139.2166</v>
      </c>
      <c r="J1010" s="14">
        <f>CHOOSE(CONTROL!$C$42, 138.7626, 138.7626)* CHOOSE(CONTROL!$C$21, $C$9, 100%, $E$9)</f>
        <v>138.76259999999999</v>
      </c>
      <c r="K1010" s="52">
        <f>CHOOSE(CONTROL!$C$42, 139.2127, 139.2127) * CHOOSE(CONTROL!$C$21, $C$9, 100%, $E$9)</f>
        <v>139.21270000000001</v>
      </c>
      <c r="L1010" s="14">
        <f>CHOOSE(CONTROL!$C$42, 139.4416, 139.4416) * CHOOSE(CONTROL!$C$21, $C$9, 100%, $E$9)</f>
        <v>139.44159999999999</v>
      </c>
      <c r="M1010" s="14">
        <f>CHOOSE(CONTROL!$C$42, 135.9271, 135.9271) * CHOOSE(CONTROL!$C$21, $C$9, 100%, $E$9)</f>
        <v>135.9271</v>
      </c>
      <c r="N1010" s="14">
        <f>CHOOSE(CONTROL!$C$42, 135.9442, 135.9442) * CHOOSE(CONTROL!$C$21, $C$9, 100%, $E$9)</f>
        <v>135.9442</v>
      </c>
      <c r="O1010" s="14">
        <f>CHOOSE(CONTROL!$C$42, 136.0173, 136.0173) * CHOOSE(CONTROL!$C$21, $C$9, 100%, $E$9)</f>
        <v>136.01730000000001</v>
      </c>
      <c r="P1010" s="14">
        <f>CHOOSE(CONTROL!$C$42, 136.3632, 136.3632) * CHOOSE(CONTROL!$C$21, $C$9, 100%, $E$9)</f>
        <v>136.36320000000001</v>
      </c>
      <c r="Q1010" s="14">
        <f>CHOOSE(CONTROL!$C$42, 136.612, 136.612) * CHOOSE(CONTROL!$C$21, $C$9, 100%, $E$9)</f>
        <v>136.61199999999999</v>
      </c>
      <c r="R1010" s="14">
        <f>CHOOSE(CONTROL!$C$42, 137.5405, 137.5405) * CHOOSE(CONTROL!$C$21, $C$9, 100%, $E$9)</f>
        <v>137.54050000000001</v>
      </c>
      <c r="S1010" s="14">
        <f>CHOOSE(CONTROL!$C$42, 133.3133, 133.3133) * CHOOSE(CONTROL!$C$21, $C$9, 100%, $E$9)</f>
        <v>133.3133</v>
      </c>
      <c r="T1010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10" s="56">
        <f>(1000*CHOOSE(CONTROL!$C$42, 695, 695)*CHOOSE(CONTROL!$C$42, 0.5599, 0.5599)*CHOOSE(CONTROL!$C$42, 29, 29))/1000000</f>
        <v>11.284784499999999</v>
      </c>
      <c r="V1010" s="56">
        <f>(1000*CHOOSE(CONTROL!$C$42, 500, 500)*CHOOSE(CONTROL!$C$42, 0.275, 0.275)*CHOOSE(CONTROL!$C$42, 29, 29))/1000000</f>
        <v>3.9874999999999998</v>
      </c>
      <c r="W1010" s="56">
        <f>(1000*CHOOSE(CONTROL!$C$42, 0.1146, 0.1146)*CHOOSE(CONTROL!$C$42, 121.5, 121.5)*CHOOSE(CONTROL!$C$42, 29, 29))/1000000</f>
        <v>0.40379309999999996</v>
      </c>
      <c r="X1010" s="56">
        <f>(29*0.1790888*100000/1000000)+(29*0.2374*100000/1000000)</f>
        <v>1.2078175199999999</v>
      </c>
      <c r="Y1010" s="56"/>
      <c r="Z1010" s="14"/>
      <c r="AA1010" s="55"/>
      <c r="AB1010" s="49">
        <f>(B1010*122.58+C1010*297.941+D1010*89.177+E1010*40.302+F1010*40+G1010*160+H1010*0+I1010*100+J1010*300)/(122.58+297.941+89.177+40.302+0+40+160+100+300)</f>
        <v>138.81020415026086</v>
      </c>
      <c r="AC1010" s="44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136.03171438848921</v>
      </c>
    </row>
    <row r="1011" spans="1:29" ht="15.75" x14ac:dyDescent="0.25">
      <c r="A1011" s="31">
        <v>71680</v>
      </c>
      <c r="B1011" s="14">
        <f>CHOOSE(CONTROL!$C$42, 134.808, 134.808) * CHOOSE(CONTROL!$C$21, $C$9, 100%, $E$9)</f>
        <v>134.80799999999999</v>
      </c>
      <c r="C1011" s="14">
        <f>CHOOSE(CONTROL!$C$42, 134.813, 134.813) * CHOOSE(CONTROL!$C$21, $C$9, 100%, $E$9)</f>
        <v>134.81299999999999</v>
      </c>
      <c r="D1011" s="14">
        <f>CHOOSE(CONTROL!$C$42, 134.8924, 134.8924) * CHOOSE(CONTROL!$C$21, $C$9, 100%, $E$9)</f>
        <v>134.89240000000001</v>
      </c>
      <c r="E1011" s="14">
        <f>CHOOSE(CONTROL!$C$42, 134.9266, 134.9266) * CHOOSE(CONTROL!$C$21, $C$9, 100%, $E$9)</f>
        <v>134.92660000000001</v>
      </c>
      <c r="F1011" s="14">
        <f>CHOOSE(CONTROL!$C$42, 134.83, 134.83)*CHOOSE(CONTROL!$C$21, $C$9, 100%, $E$9)</f>
        <v>134.83000000000001</v>
      </c>
      <c r="G1011" s="14">
        <f>CHOOSE(CONTROL!$C$42, 134.8473, 134.8473)*CHOOSE(CONTROL!$C$21, $C$9, 100%, $E$9)</f>
        <v>134.84729999999999</v>
      </c>
      <c r="H1011" s="14">
        <f>CHOOSE(CONTROL!$C$42, 134.9157, 134.9157) * CHOOSE(CONTROL!$C$21, $C$9, 100%, $E$9)</f>
        <v>134.91569999999999</v>
      </c>
      <c r="I1011" s="14">
        <f>CHOOSE(CONTROL!$C$42, 135.2654, 135.2654)* CHOOSE(CONTROL!$C$21, $C$9, 100%, $E$9)</f>
        <v>135.2654</v>
      </c>
      <c r="J1011" s="14">
        <f>CHOOSE(CONTROL!$C$42, 134.823, 134.823)* CHOOSE(CONTROL!$C$21, $C$9, 100%, $E$9)</f>
        <v>134.82300000000001</v>
      </c>
      <c r="K1011" s="52">
        <f>CHOOSE(CONTROL!$C$42, 135.2616, 135.2616) * CHOOSE(CONTROL!$C$21, $C$9, 100%, $E$9)</f>
        <v>135.26159999999999</v>
      </c>
      <c r="L1011" s="14">
        <f>CHOOSE(CONTROL!$C$42, 135.5027, 135.5027) * CHOOSE(CONTROL!$C$21, $C$9, 100%, $E$9)</f>
        <v>135.5027</v>
      </c>
      <c r="M1011" s="14">
        <f>CHOOSE(CONTROL!$C$42, 132.0683, 132.0683) * CHOOSE(CONTROL!$C$21, $C$9, 100%, $E$9)</f>
        <v>132.06829999999999</v>
      </c>
      <c r="N1011" s="14">
        <f>CHOOSE(CONTROL!$C$42, 132.0852, 132.0852) * CHOOSE(CONTROL!$C$21, $C$9, 100%, $E$9)</f>
        <v>132.08519999999999</v>
      </c>
      <c r="O1011" s="14">
        <f>CHOOSE(CONTROL!$C$42, 132.1591, 132.1591) * CHOOSE(CONTROL!$C$21, $C$9, 100%, $E$9)</f>
        <v>132.1591</v>
      </c>
      <c r="P1011" s="14">
        <f>CHOOSE(CONTROL!$C$42, 132.4932, 132.4932) * CHOOSE(CONTROL!$C$21, $C$9, 100%, $E$9)</f>
        <v>132.4932</v>
      </c>
      <c r="Q1011" s="14">
        <f>CHOOSE(CONTROL!$C$42, 132.7538, 132.7538) * CHOOSE(CONTROL!$C$21, $C$9, 100%, $E$9)</f>
        <v>132.75380000000001</v>
      </c>
      <c r="R1011" s="14">
        <f>CHOOSE(CONTROL!$C$42, 133.6727, 133.6727) * CHOOSE(CONTROL!$C$21, $C$9, 100%, $E$9)</f>
        <v>133.67269999999999</v>
      </c>
      <c r="S1011" s="14">
        <f>CHOOSE(CONTROL!$C$42, 129.5284, 129.5284) * CHOOSE(CONTROL!$C$21, $C$9, 100%, $E$9)</f>
        <v>129.5284</v>
      </c>
      <c r="T1011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56">
        <f>(1000*CHOOSE(CONTROL!$C$42, 695, 695)*CHOOSE(CONTROL!$C$42, 0.5599, 0.5599)*CHOOSE(CONTROL!$C$42, 31, 31))/1000000</f>
        <v>12.063045499999998</v>
      </c>
      <c r="V1011" s="56">
        <f>(1000*CHOOSE(CONTROL!$C$42, 500, 500)*CHOOSE(CONTROL!$C$42, 0.275, 0.275)*CHOOSE(CONTROL!$C$42, 31, 31))/1000000</f>
        <v>4.2625000000000002</v>
      </c>
      <c r="W1011" s="56">
        <f>(1000*CHOOSE(CONTROL!$C$42, 0.1146, 0.1146)*CHOOSE(CONTROL!$C$42, 121.5, 121.5)*CHOOSE(CONTROL!$C$42, 31, 31))/1000000</f>
        <v>0.43164089999999994</v>
      </c>
      <c r="X1011" s="56">
        <f>(31*0.1790888*100000/1000000)+(31*0.2374*100000/1000000)</f>
        <v>1.2911152800000001</v>
      </c>
      <c r="Y1011" s="56"/>
      <c r="Z1011" s="14"/>
      <c r="AA1011" s="55"/>
      <c r="AB1011" s="49">
        <f>(B1011*122.58+C1011*297.941+D1011*89.177+E1011*40.302+F1011*40+G1011*160+H1011*0+I1011*100+J1011*300)/(122.58+297.941+89.177+40.302+0+40+160+100+300)</f>
        <v>134.86991657478259</v>
      </c>
      <c r="AC1011" s="44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132.17156330935251</v>
      </c>
    </row>
    <row r="1012" spans="1:29" ht="15.75" x14ac:dyDescent="0.25">
      <c r="A1012" s="31">
        <v>71710</v>
      </c>
      <c r="B1012" s="14">
        <f>CHOOSE(CONTROL!$C$42, 134.4054, 134.4054) * CHOOSE(CONTROL!$C$21, $C$9, 100%, $E$9)</f>
        <v>134.40539999999999</v>
      </c>
      <c r="C1012" s="14">
        <f>CHOOSE(CONTROL!$C$42, 134.4098, 134.4098) * CHOOSE(CONTROL!$C$21, $C$9, 100%, $E$9)</f>
        <v>134.40979999999999</v>
      </c>
      <c r="D1012" s="14">
        <f>CHOOSE(CONTROL!$C$42, 134.6388, 134.6388) * CHOOSE(CONTROL!$C$21, $C$9, 100%, $E$9)</f>
        <v>134.6388</v>
      </c>
      <c r="E1012" s="14">
        <f>CHOOSE(CONTROL!$C$42, 134.6709, 134.6709) * CHOOSE(CONTROL!$C$21, $C$9, 100%, $E$9)</f>
        <v>134.67089999999999</v>
      </c>
      <c r="F1012" s="14">
        <f>CHOOSE(CONTROL!$C$42, 134.4324, 134.4324)*CHOOSE(CONTROL!$C$21, $C$9, 100%, $E$9)</f>
        <v>134.4324</v>
      </c>
      <c r="G1012" s="14">
        <f>CHOOSE(CONTROL!$C$42, 134.4491, 134.4491)*CHOOSE(CONTROL!$C$21, $C$9, 100%, $E$9)</f>
        <v>134.44909999999999</v>
      </c>
      <c r="H1012" s="14">
        <f>CHOOSE(CONTROL!$C$42, 134.6607, 134.6607) * CHOOSE(CONTROL!$C$21, $C$9, 100%, $E$9)</f>
        <v>134.66069999999999</v>
      </c>
      <c r="I1012" s="14">
        <f>CHOOSE(CONTROL!$C$42, 134.8592, 134.8592)* CHOOSE(CONTROL!$C$21, $C$9, 100%, $E$9)</f>
        <v>134.85919999999999</v>
      </c>
      <c r="J1012" s="14">
        <f>CHOOSE(CONTROL!$C$42, 134.4254, 134.4254)* CHOOSE(CONTROL!$C$21, $C$9, 100%, $E$9)</f>
        <v>134.4254</v>
      </c>
      <c r="K1012" s="52">
        <f>CHOOSE(CONTROL!$C$42, 134.8553, 134.8553) * CHOOSE(CONTROL!$C$21, $C$9, 100%, $E$9)</f>
        <v>134.8553</v>
      </c>
      <c r="L1012" s="14">
        <f>CHOOSE(CONTROL!$C$42, 135.2477, 135.2477) * CHOOSE(CONTROL!$C$21, $C$9, 100%, $E$9)</f>
        <v>135.24770000000001</v>
      </c>
      <c r="M1012" s="14">
        <f>CHOOSE(CONTROL!$C$42, 131.6788, 131.6788) * CHOOSE(CONTROL!$C$21, $C$9, 100%, $E$9)</f>
        <v>131.6788</v>
      </c>
      <c r="N1012" s="14">
        <f>CHOOSE(CONTROL!$C$42, 131.6951, 131.6951) * CHOOSE(CONTROL!$C$21, $C$9, 100%, $E$9)</f>
        <v>131.6951</v>
      </c>
      <c r="O1012" s="14">
        <f>CHOOSE(CONTROL!$C$42, 131.9092, 131.9092) * CHOOSE(CONTROL!$C$21, $C$9, 100%, $E$9)</f>
        <v>131.9092</v>
      </c>
      <c r="P1012" s="14">
        <f>CHOOSE(CONTROL!$C$42, 132.0954, 132.0954) * CHOOSE(CONTROL!$C$21, $C$9, 100%, $E$9)</f>
        <v>132.09540000000001</v>
      </c>
      <c r="Q1012" s="14">
        <f>CHOOSE(CONTROL!$C$42, 132.5039, 132.5039) * CHOOSE(CONTROL!$C$21, $C$9, 100%, $E$9)</f>
        <v>132.50389999999999</v>
      </c>
      <c r="R1012" s="14">
        <f>CHOOSE(CONTROL!$C$42, 133.4222, 133.4222) * CHOOSE(CONTROL!$C$21, $C$9, 100%, $E$9)</f>
        <v>133.4222</v>
      </c>
      <c r="S1012" s="14">
        <f>CHOOSE(CONTROL!$C$42, 129.1408, 129.1408) * CHOOSE(CONTROL!$C$21, $C$9, 100%, $E$9)</f>
        <v>129.14080000000001</v>
      </c>
      <c r="T1012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56">
        <f>(1000*CHOOSE(CONTROL!$C$42, 695, 695)*CHOOSE(CONTROL!$C$42, 0.5599, 0.5599)*CHOOSE(CONTROL!$C$42, 30, 30))/1000000</f>
        <v>11.673914999999997</v>
      </c>
      <c r="V1012" s="56">
        <f>(1000*CHOOSE(CONTROL!$C$42, 500, 500)*CHOOSE(CONTROL!$C$42, 0.275, 0.275)*CHOOSE(CONTROL!$C$42, 30, 30))/1000000</f>
        <v>4.125</v>
      </c>
      <c r="W1012" s="56">
        <f>(1000*CHOOSE(CONTROL!$C$42, 0.1146, 0.1146)*CHOOSE(CONTROL!$C$42, 121.5, 121.5)*CHOOSE(CONTROL!$C$42, 30, 30))/1000000</f>
        <v>0.417717</v>
      </c>
      <c r="X1012" s="56">
        <f>(30*0.1790888*245000/1000000)+(30*0.2374*100000/1000000)</f>
        <v>2.0285026799999999</v>
      </c>
      <c r="Y1012" s="56"/>
      <c r="Z1012" s="14"/>
      <c r="AA1012" s="55"/>
      <c r="AB1012" s="49">
        <f>(B1012*141.293+C1012*267.993+D1012*115.016+E1012*89.698+F1012*40+G1012*185+H1012*0+I1012*100+J1012*300)/(141.293+267.993+115.016+89.698+0+40+185+100+300)</f>
        <v>134.49610478014526</v>
      </c>
      <c r="AC1012" s="44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131.84410647482017</v>
      </c>
    </row>
    <row r="1013" spans="1:29" ht="15.75" x14ac:dyDescent="0.25">
      <c r="A1013" s="31">
        <v>71741</v>
      </c>
      <c r="B1013" s="14">
        <f>CHOOSE(CONTROL!$C$42, 135.5929, 135.5929) * CHOOSE(CONTROL!$C$21, $C$9, 100%, $E$9)</f>
        <v>135.59289999999999</v>
      </c>
      <c r="C1013" s="14">
        <f>CHOOSE(CONTROL!$C$42, 135.601, 135.601) * CHOOSE(CONTROL!$C$21, $C$9, 100%, $E$9)</f>
        <v>135.601</v>
      </c>
      <c r="D1013" s="14">
        <f>CHOOSE(CONTROL!$C$42, 135.8268, 135.8268) * CHOOSE(CONTROL!$C$21, $C$9, 100%, $E$9)</f>
        <v>135.82679999999999</v>
      </c>
      <c r="E1013" s="14">
        <f>CHOOSE(CONTROL!$C$42, 135.8582, 135.8582) * CHOOSE(CONTROL!$C$21, $C$9, 100%, $E$9)</f>
        <v>135.85820000000001</v>
      </c>
      <c r="F1013" s="14">
        <f>CHOOSE(CONTROL!$C$42, 135.6186, 135.6186)*CHOOSE(CONTROL!$C$21, $C$9, 100%, $E$9)</f>
        <v>135.61859999999999</v>
      </c>
      <c r="G1013" s="14">
        <f>CHOOSE(CONTROL!$C$42, 135.6356, 135.6356)*CHOOSE(CONTROL!$C$21, $C$9, 100%, $E$9)</f>
        <v>135.63560000000001</v>
      </c>
      <c r="H1013" s="14">
        <f>CHOOSE(CONTROL!$C$42, 135.8468, 135.8468) * CHOOSE(CONTROL!$C$21, $C$9, 100%, $E$9)</f>
        <v>135.8468</v>
      </c>
      <c r="I1013" s="14">
        <f>CHOOSE(CONTROL!$C$42, 136.0491, 136.0491)* CHOOSE(CONTROL!$C$21, $C$9, 100%, $E$9)</f>
        <v>136.04910000000001</v>
      </c>
      <c r="J1013" s="14">
        <f>CHOOSE(CONTROL!$C$42, 135.6116, 135.6116)* CHOOSE(CONTROL!$C$21, $C$9, 100%, $E$9)</f>
        <v>135.61160000000001</v>
      </c>
      <c r="K1013" s="52">
        <f>CHOOSE(CONTROL!$C$42, 136.0452, 136.0452) * CHOOSE(CONTROL!$C$21, $C$9, 100%, $E$9)</f>
        <v>136.04519999999999</v>
      </c>
      <c r="L1013" s="14">
        <f>CHOOSE(CONTROL!$C$42, 136.4338, 136.4338) * CHOOSE(CONTROL!$C$21, $C$9, 100%, $E$9)</f>
        <v>136.43379999999999</v>
      </c>
      <c r="M1013" s="14">
        <f>CHOOSE(CONTROL!$C$42, 132.8407, 132.8407) * CHOOSE(CONTROL!$C$21, $C$9, 100%, $E$9)</f>
        <v>132.8407</v>
      </c>
      <c r="N1013" s="14">
        <f>CHOOSE(CONTROL!$C$42, 132.8573, 132.8573) * CHOOSE(CONTROL!$C$21, $C$9, 100%, $E$9)</f>
        <v>132.85730000000001</v>
      </c>
      <c r="O1013" s="14">
        <f>CHOOSE(CONTROL!$C$42, 133.0711, 133.0711) * CHOOSE(CONTROL!$C$21, $C$9, 100%, $E$9)</f>
        <v>133.0711</v>
      </c>
      <c r="P1013" s="14">
        <f>CHOOSE(CONTROL!$C$42, 133.2608, 133.2608) * CHOOSE(CONTROL!$C$21, $C$9, 100%, $E$9)</f>
        <v>133.26079999999999</v>
      </c>
      <c r="Q1013" s="14">
        <f>CHOOSE(CONTROL!$C$42, 133.6658, 133.6658) * CHOOSE(CONTROL!$C$21, $C$9, 100%, $E$9)</f>
        <v>133.66579999999999</v>
      </c>
      <c r="R1013" s="14">
        <f>CHOOSE(CONTROL!$C$42, 134.587, 134.587) * CHOOSE(CONTROL!$C$21, $C$9, 100%, $E$9)</f>
        <v>134.58699999999999</v>
      </c>
      <c r="S1013" s="14">
        <f>CHOOSE(CONTROL!$C$42, 130.2806, 130.2806) * CHOOSE(CONTROL!$C$21, $C$9, 100%, $E$9)</f>
        <v>130.28059999999999</v>
      </c>
      <c r="T1013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56">
        <f>(1000*CHOOSE(CONTROL!$C$42, 695, 695)*CHOOSE(CONTROL!$C$42, 0.5599, 0.5599)*CHOOSE(CONTROL!$C$42, 31, 31))/1000000</f>
        <v>12.063045499999998</v>
      </c>
      <c r="V1013" s="56">
        <f>(1000*CHOOSE(CONTROL!$C$42, 500, 500)*CHOOSE(CONTROL!$C$42, 0.275, 0.275)*CHOOSE(CONTROL!$C$42, 31, 31))/1000000</f>
        <v>4.2625000000000002</v>
      </c>
      <c r="W1013" s="56">
        <f>(1000*CHOOSE(CONTROL!$C$42, 0.1146, 0.1146)*CHOOSE(CONTROL!$C$42, 121.5, 121.5)*CHOOSE(CONTROL!$C$42, 31, 31))/1000000</f>
        <v>0.43164089999999994</v>
      </c>
      <c r="X1013" s="56">
        <f>(31*0.1790888*245000/1000000)+(31*0.2374*100000/1000000)</f>
        <v>2.0961194359999999</v>
      </c>
      <c r="Y1013" s="56"/>
      <c r="Z1013" s="14"/>
      <c r="AA1013" s="55"/>
      <c r="AB1013" s="49">
        <f>(B1013*194.205+C1013*267.466+D1013*133.845+E1013*53.484+F1013*40+G1013*185+H1013*0+I1013*100+J1013*300)/(194.205+267.466+133.845+53.484+0+40+185+100+300)</f>
        <v>135.6775307890895</v>
      </c>
      <c r="AC1013" s="44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133.0065273381295</v>
      </c>
    </row>
    <row r="1014" spans="1:29" ht="15.75" x14ac:dyDescent="0.25">
      <c r="A1014" s="31">
        <v>71771</v>
      </c>
      <c r="B1014" s="14">
        <f>CHOOSE(CONTROL!$C$42, 139.4389, 139.4389) * CHOOSE(CONTROL!$C$21, $C$9, 100%, $E$9)</f>
        <v>139.43889999999999</v>
      </c>
      <c r="C1014" s="14">
        <f>CHOOSE(CONTROL!$C$42, 139.4469, 139.4469) * CHOOSE(CONTROL!$C$21, $C$9, 100%, $E$9)</f>
        <v>139.4469</v>
      </c>
      <c r="D1014" s="14">
        <f>CHOOSE(CONTROL!$C$42, 139.6727, 139.6727) * CHOOSE(CONTROL!$C$21, $C$9, 100%, $E$9)</f>
        <v>139.67269999999999</v>
      </c>
      <c r="E1014" s="14">
        <f>CHOOSE(CONTROL!$C$42, 139.7042, 139.7042) * CHOOSE(CONTROL!$C$21, $C$9, 100%, $E$9)</f>
        <v>139.70419999999999</v>
      </c>
      <c r="F1014" s="14">
        <f>CHOOSE(CONTROL!$C$42, 139.465, 139.465)*CHOOSE(CONTROL!$C$21, $C$9, 100%, $E$9)</f>
        <v>139.465</v>
      </c>
      <c r="G1014" s="14">
        <f>CHOOSE(CONTROL!$C$42, 139.4821, 139.4821)*CHOOSE(CONTROL!$C$21, $C$9, 100%, $E$9)</f>
        <v>139.4821</v>
      </c>
      <c r="H1014" s="14">
        <f>CHOOSE(CONTROL!$C$42, 139.6928, 139.6928) * CHOOSE(CONTROL!$C$21, $C$9, 100%, $E$9)</f>
        <v>139.69280000000001</v>
      </c>
      <c r="I1014" s="14">
        <f>CHOOSE(CONTROL!$C$42, 139.9071, 139.9071)* CHOOSE(CONTROL!$C$21, $C$9, 100%, $E$9)</f>
        <v>139.90710000000001</v>
      </c>
      <c r="J1014" s="14">
        <f>CHOOSE(CONTROL!$C$42, 139.458, 139.458)* CHOOSE(CONTROL!$C$21, $C$9, 100%, $E$9)</f>
        <v>139.458</v>
      </c>
      <c r="K1014" s="52">
        <f>CHOOSE(CONTROL!$C$42, 139.9032, 139.9032) * CHOOSE(CONTROL!$C$21, $C$9, 100%, $E$9)</f>
        <v>139.9032</v>
      </c>
      <c r="L1014" s="14">
        <f>CHOOSE(CONTROL!$C$42, 140.2798, 140.2798) * CHOOSE(CONTROL!$C$21, $C$9, 100%, $E$9)</f>
        <v>140.27979999999999</v>
      </c>
      <c r="M1014" s="14">
        <f>CHOOSE(CONTROL!$C$42, 136.6083, 136.6083) * CHOOSE(CONTROL!$C$21, $C$9, 100%, $E$9)</f>
        <v>136.60830000000001</v>
      </c>
      <c r="N1014" s="14">
        <f>CHOOSE(CONTROL!$C$42, 136.625, 136.625) * CHOOSE(CONTROL!$C$21, $C$9, 100%, $E$9)</f>
        <v>136.625</v>
      </c>
      <c r="O1014" s="14">
        <f>CHOOSE(CONTROL!$C$42, 136.8383, 136.8383) * CHOOSE(CONTROL!$C$21, $C$9, 100%, $E$9)</f>
        <v>136.8383</v>
      </c>
      <c r="P1014" s="14">
        <f>CHOOSE(CONTROL!$C$42, 137.0395, 137.0395) * CHOOSE(CONTROL!$C$21, $C$9, 100%, $E$9)</f>
        <v>137.0395</v>
      </c>
      <c r="Q1014" s="14">
        <f>CHOOSE(CONTROL!$C$42, 137.433, 137.433) * CHOOSE(CONTROL!$C$21, $C$9, 100%, $E$9)</f>
        <v>137.43299999999999</v>
      </c>
      <c r="R1014" s="14">
        <f>CHOOSE(CONTROL!$C$42, 138.3636, 138.3636) * CHOOSE(CONTROL!$C$21, $C$9, 100%, $E$9)</f>
        <v>138.36359999999999</v>
      </c>
      <c r="S1014" s="14">
        <f>CHOOSE(CONTROL!$C$42, 133.9762, 133.9762) * CHOOSE(CONTROL!$C$21, $C$9, 100%, $E$9)</f>
        <v>133.97620000000001</v>
      </c>
      <c r="T1014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56">
        <f>(1000*CHOOSE(CONTROL!$C$42, 695, 695)*CHOOSE(CONTROL!$C$42, 0.5599, 0.5599)*CHOOSE(CONTROL!$C$42, 30, 30))/1000000</f>
        <v>11.673914999999997</v>
      </c>
      <c r="V1014" s="56">
        <f>(1000*CHOOSE(CONTROL!$C$42, 500, 500)*CHOOSE(CONTROL!$C$42, 0.275, 0.275)*CHOOSE(CONTROL!$C$42, 30, 30))/1000000</f>
        <v>4.125</v>
      </c>
      <c r="W1014" s="56">
        <f>(1000*CHOOSE(CONTROL!$C$42, 0.1146, 0.1146)*CHOOSE(CONTROL!$C$42, 121.5, 121.5)*CHOOSE(CONTROL!$C$42, 30, 30))/1000000</f>
        <v>0.417717</v>
      </c>
      <c r="X1014" s="56">
        <f>(30*0.1790888*245000/1000000)+(30*0.2374*100000/1000000)</f>
        <v>2.0285026799999999</v>
      </c>
      <c r="Y1014" s="56"/>
      <c r="Z1014" s="14"/>
      <c r="AA1014" s="55"/>
      <c r="AB1014" s="49">
        <f>(B1014*194.205+C1014*267.466+D1014*133.845+E1014*53.484+F1014*40+G1014*185+H1014*0+I1014*100+J1014*300)/(194.205+267.466+133.845+53.484+0+40+185+100+300)</f>
        <v>139.52462056059653</v>
      </c>
      <c r="AC1014" s="44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136.77554892086332</v>
      </c>
    </row>
    <row r="1015" spans="1:29" ht="15.75" x14ac:dyDescent="0.25">
      <c r="A1015" s="31">
        <v>71802</v>
      </c>
      <c r="B1015" s="14">
        <f>CHOOSE(CONTROL!$C$42, 136.764, 136.764) * CHOOSE(CONTROL!$C$21, $C$9, 100%, $E$9)</f>
        <v>136.76400000000001</v>
      </c>
      <c r="C1015" s="14">
        <f>CHOOSE(CONTROL!$C$42, 136.772, 136.772) * CHOOSE(CONTROL!$C$21, $C$9, 100%, $E$9)</f>
        <v>136.77199999999999</v>
      </c>
      <c r="D1015" s="14">
        <f>CHOOSE(CONTROL!$C$42, 136.9978, 136.9978) * CHOOSE(CONTROL!$C$21, $C$9, 100%, $E$9)</f>
        <v>136.99780000000001</v>
      </c>
      <c r="E1015" s="14">
        <f>CHOOSE(CONTROL!$C$42, 137.0293, 137.0293) * CHOOSE(CONTROL!$C$21, $C$9, 100%, $E$9)</f>
        <v>137.02930000000001</v>
      </c>
      <c r="F1015" s="14">
        <f>CHOOSE(CONTROL!$C$42, 136.7906, 136.7906)*CHOOSE(CONTROL!$C$21, $C$9, 100%, $E$9)</f>
        <v>136.79060000000001</v>
      </c>
      <c r="G1015" s="14">
        <f>CHOOSE(CONTROL!$C$42, 136.8078, 136.8078)*CHOOSE(CONTROL!$C$21, $C$9, 100%, $E$9)</f>
        <v>136.80779999999999</v>
      </c>
      <c r="H1015" s="14">
        <f>CHOOSE(CONTROL!$C$42, 137.0179, 137.0179) * CHOOSE(CONTROL!$C$21, $C$9, 100%, $E$9)</f>
        <v>137.0179</v>
      </c>
      <c r="I1015" s="14">
        <f>CHOOSE(CONTROL!$C$42, 137.2239, 137.2239)* CHOOSE(CONTROL!$C$21, $C$9, 100%, $E$9)</f>
        <v>137.22389999999999</v>
      </c>
      <c r="J1015" s="14">
        <f>CHOOSE(CONTROL!$C$42, 136.7836, 136.7836)* CHOOSE(CONTROL!$C$21, $C$9, 100%, $E$9)</f>
        <v>136.78360000000001</v>
      </c>
      <c r="K1015" s="52">
        <f>CHOOSE(CONTROL!$C$42, 137.22, 137.22) * CHOOSE(CONTROL!$C$21, $C$9, 100%, $E$9)</f>
        <v>137.22</v>
      </c>
      <c r="L1015" s="14">
        <f>CHOOSE(CONTROL!$C$42, 137.6049, 137.6049) * CHOOSE(CONTROL!$C$21, $C$9, 100%, $E$9)</f>
        <v>137.60489999999999</v>
      </c>
      <c r="M1015" s="14">
        <f>CHOOSE(CONTROL!$C$42, 133.9887, 133.9887) * CHOOSE(CONTROL!$C$21, $C$9, 100%, $E$9)</f>
        <v>133.98869999999999</v>
      </c>
      <c r="N1015" s="14">
        <f>CHOOSE(CONTROL!$C$42, 134.0055, 134.0055) * CHOOSE(CONTROL!$C$21, $C$9, 100%, $E$9)</f>
        <v>134.00550000000001</v>
      </c>
      <c r="O1015" s="14">
        <f>CHOOSE(CONTROL!$C$42, 134.2182, 134.2182) * CHOOSE(CONTROL!$C$21, $C$9, 100%, $E$9)</f>
        <v>134.2182</v>
      </c>
      <c r="P1015" s="14">
        <f>CHOOSE(CONTROL!$C$42, 134.4114, 134.4114) * CHOOSE(CONTROL!$C$21, $C$9, 100%, $E$9)</f>
        <v>134.41139999999999</v>
      </c>
      <c r="Q1015" s="14">
        <f>CHOOSE(CONTROL!$C$42, 134.8129, 134.8129) * CHOOSE(CONTROL!$C$21, $C$9, 100%, $E$9)</f>
        <v>134.81290000000001</v>
      </c>
      <c r="R1015" s="14">
        <f>CHOOSE(CONTROL!$C$42, 135.7369, 135.7369) * CHOOSE(CONTROL!$C$21, $C$9, 100%, $E$9)</f>
        <v>135.73689999999999</v>
      </c>
      <c r="S1015" s="14">
        <f>CHOOSE(CONTROL!$C$42, 131.4059, 131.4059) * CHOOSE(CONTROL!$C$21, $C$9, 100%, $E$9)</f>
        <v>131.4059</v>
      </c>
      <c r="T1015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56">
        <f>(1000*CHOOSE(CONTROL!$C$42, 695, 695)*CHOOSE(CONTROL!$C$42, 0.5599, 0.5599)*CHOOSE(CONTROL!$C$42, 31, 31))/1000000</f>
        <v>12.063045499999998</v>
      </c>
      <c r="V1015" s="56">
        <f>(1000*CHOOSE(CONTROL!$C$42, 500, 500)*CHOOSE(CONTROL!$C$42, 0.275, 0.275)*CHOOSE(CONTROL!$C$42, 31, 31))/1000000</f>
        <v>4.2625000000000002</v>
      </c>
      <c r="W1015" s="56">
        <f>(1000*CHOOSE(CONTROL!$C$42, 0.1146, 0.1146)*CHOOSE(CONTROL!$C$42, 121.5, 121.5)*CHOOSE(CONTROL!$C$42, 31, 31))/1000000</f>
        <v>0.43164089999999994</v>
      </c>
      <c r="X1015" s="56">
        <f>(31*0.1790888*245000/1000000)+(31*0.2374*100000/1000000)</f>
        <v>2.0961194359999999</v>
      </c>
      <c r="Y1015" s="56"/>
      <c r="Z1015" s="14"/>
      <c r="AA1015" s="55"/>
      <c r="AB1015" s="49">
        <f>(B1015*194.205+C1015*267.466+D1015*133.845+E1015*53.484+F1015*40+G1015*185+H1015*0+I1015*100+J1015*300)/(194.205+267.466+133.845+53.484+0+40+185+100+300)</f>
        <v>136.84928963437991</v>
      </c>
      <c r="AC1015" s="44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134.15450503597123</v>
      </c>
    </row>
    <row r="1016" spans="1:29" ht="15.75" x14ac:dyDescent="0.25">
      <c r="A1016" s="31">
        <v>71833</v>
      </c>
      <c r="B1016" s="14">
        <f>CHOOSE(CONTROL!$C$42, 130.0091, 130.0091) * CHOOSE(CONTROL!$C$21, $C$9, 100%, $E$9)</f>
        <v>130.00909999999999</v>
      </c>
      <c r="C1016" s="14">
        <f>CHOOSE(CONTROL!$C$42, 130.0171, 130.0171) * CHOOSE(CONTROL!$C$21, $C$9, 100%, $E$9)</f>
        <v>130.0171</v>
      </c>
      <c r="D1016" s="14">
        <f>CHOOSE(CONTROL!$C$42, 130.2429, 130.2429) * CHOOSE(CONTROL!$C$21, $C$9, 100%, $E$9)</f>
        <v>130.24289999999999</v>
      </c>
      <c r="E1016" s="14">
        <f>CHOOSE(CONTROL!$C$42, 130.2744, 130.2744) * CHOOSE(CONTROL!$C$21, $C$9, 100%, $E$9)</f>
        <v>130.27440000000001</v>
      </c>
      <c r="F1016" s="14">
        <f>CHOOSE(CONTROL!$C$42, 130.0359, 130.0359)*CHOOSE(CONTROL!$C$21, $C$9, 100%, $E$9)</f>
        <v>130.0359</v>
      </c>
      <c r="G1016" s="14">
        <f>CHOOSE(CONTROL!$C$42, 130.0532, 130.0532)*CHOOSE(CONTROL!$C$21, $C$9, 100%, $E$9)</f>
        <v>130.0532</v>
      </c>
      <c r="H1016" s="14">
        <f>CHOOSE(CONTROL!$C$42, 130.263, 130.263) * CHOOSE(CONTROL!$C$21, $C$9, 100%, $E$9)</f>
        <v>130.26300000000001</v>
      </c>
      <c r="I1016" s="14">
        <f>CHOOSE(CONTROL!$C$42, 130.4478, 130.4478)* CHOOSE(CONTROL!$C$21, $C$9, 100%, $E$9)</f>
        <v>130.4478</v>
      </c>
      <c r="J1016" s="14">
        <f>CHOOSE(CONTROL!$C$42, 130.0289, 130.0289)* CHOOSE(CONTROL!$C$21, $C$9, 100%, $E$9)</f>
        <v>130.02889999999999</v>
      </c>
      <c r="K1016" s="52">
        <f>CHOOSE(CONTROL!$C$42, 130.4439, 130.4439) * CHOOSE(CONTROL!$C$21, $C$9, 100%, $E$9)</f>
        <v>130.44390000000001</v>
      </c>
      <c r="L1016" s="14">
        <f>CHOOSE(CONTROL!$C$42, 130.85, 130.85) * CHOOSE(CONTROL!$C$21, $C$9, 100%, $E$9)</f>
        <v>130.85</v>
      </c>
      <c r="M1016" s="14">
        <f>CHOOSE(CONTROL!$C$42, 127.3724, 127.3724) * CHOOSE(CONTROL!$C$21, $C$9, 100%, $E$9)</f>
        <v>127.3724</v>
      </c>
      <c r="N1016" s="14">
        <f>CHOOSE(CONTROL!$C$42, 127.3893, 127.3893) * CHOOSE(CONTROL!$C$21, $C$9, 100%, $E$9)</f>
        <v>127.38930000000001</v>
      </c>
      <c r="O1016" s="14">
        <f>CHOOSE(CONTROL!$C$42, 127.6017, 127.6017) * CHOOSE(CONTROL!$C$21, $C$9, 100%, $E$9)</f>
        <v>127.60169999999999</v>
      </c>
      <c r="P1016" s="14">
        <f>CHOOSE(CONTROL!$C$42, 127.7746, 127.7746) * CHOOSE(CONTROL!$C$21, $C$9, 100%, $E$9)</f>
        <v>127.77460000000001</v>
      </c>
      <c r="Q1016" s="14">
        <f>CHOOSE(CONTROL!$C$42, 128.1964, 128.1964) * CHOOSE(CONTROL!$C$21, $C$9, 100%, $E$9)</f>
        <v>128.19640000000001</v>
      </c>
      <c r="R1016" s="14">
        <f>CHOOSE(CONTROL!$C$42, 129.1039, 129.1039) * CHOOSE(CONTROL!$C$21, $C$9, 100%, $E$9)</f>
        <v>129.10390000000001</v>
      </c>
      <c r="S1016" s="14">
        <f>CHOOSE(CONTROL!$C$42, 124.9151, 124.9151) * CHOOSE(CONTROL!$C$21, $C$9, 100%, $E$9)</f>
        <v>124.9151</v>
      </c>
      <c r="T1016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56">
        <f>(1000*CHOOSE(CONTROL!$C$42, 695, 695)*CHOOSE(CONTROL!$C$42, 0.5599, 0.5599)*CHOOSE(CONTROL!$C$42, 31, 31))/1000000</f>
        <v>12.063045499999998</v>
      </c>
      <c r="V1016" s="56">
        <f>(1000*CHOOSE(CONTROL!$C$42, 500, 500)*CHOOSE(CONTROL!$C$42, 0.275, 0.275)*CHOOSE(CONTROL!$C$42, 31, 31))/1000000</f>
        <v>4.2625000000000002</v>
      </c>
      <c r="W1016" s="56">
        <f>(1000*CHOOSE(CONTROL!$C$42, 0.1146, 0.1146)*CHOOSE(CONTROL!$C$42, 121.5, 121.5)*CHOOSE(CONTROL!$C$42, 31, 31))/1000000</f>
        <v>0.43164089999999994</v>
      </c>
      <c r="X1016" s="56">
        <f>(31*0.1790888*245000/1000000)+(31*0.2374*100000/1000000)</f>
        <v>2.0961194359999999</v>
      </c>
      <c r="Y1016" s="56"/>
      <c r="Z1016" s="14"/>
      <c r="AA1016" s="55"/>
      <c r="AB1016" s="49">
        <f>(B1016*194.205+C1016*267.466+D1016*133.845+E1016*53.484+F1016*40+G1016*185+H1016*0+I1016*100+J1016*300)/(194.205+267.466+133.845+53.484+0+40+185+100+300)</f>
        <v>130.09282252291993</v>
      </c>
      <c r="AC1016" s="44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127.53517050359713</v>
      </c>
    </row>
    <row r="1017" spans="1:29" ht="15.75" x14ac:dyDescent="0.25">
      <c r="A1017" s="31">
        <v>71863</v>
      </c>
      <c r="B1017" s="14">
        <f>CHOOSE(CONTROL!$C$42, 121.7556, 121.7556) * CHOOSE(CONTROL!$C$21, $C$9, 100%, $E$9)</f>
        <v>121.7556</v>
      </c>
      <c r="C1017" s="14">
        <f>CHOOSE(CONTROL!$C$42, 121.7636, 121.7636) * CHOOSE(CONTROL!$C$21, $C$9, 100%, $E$9)</f>
        <v>121.7636</v>
      </c>
      <c r="D1017" s="14">
        <f>CHOOSE(CONTROL!$C$42, 121.9894, 121.9894) * CHOOSE(CONTROL!$C$21, $C$9, 100%, $E$9)</f>
        <v>121.9894</v>
      </c>
      <c r="E1017" s="14">
        <f>CHOOSE(CONTROL!$C$42, 122.0209, 122.0209) * CHOOSE(CONTROL!$C$21, $C$9, 100%, $E$9)</f>
        <v>122.0209</v>
      </c>
      <c r="F1017" s="14">
        <f>CHOOSE(CONTROL!$C$42, 121.7824, 121.7824)*CHOOSE(CONTROL!$C$21, $C$9, 100%, $E$9)</f>
        <v>121.7824</v>
      </c>
      <c r="G1017" s="14">
        <f>CHOOSE(CONTROL!$C$42, 121.7997, 121.7997)*CHOOSE(CONTROL!$C$21, $C$9, 100%, $E$9)</f>
        <v>121.7997</v>
      </c>
      <c r="H1017" s="14">
        <f>CHOOSE(CONTROL!$C$42, 122.0095, 122.0095) * CHOOSE(CONTROL!$C$21, $C$9, 100%, $E$9)</f>
        <v>122.0095</v>
      </c>
      <c r="I1017" s="14">
        <f>CHOOSE(CONTROL!$C$42, 122.1685, 122.1685)* CHOOSE(CONTROL!$C$21, $C$9, 100%, $E$9)</f>
        <v>122.16849999999999</v>
      </c>
      <c r="J1017" s="14">
        <f>CHOOSE(CONTROL!$C$42, 121.7754, 121.7754)* CHOOSE(CONTROL!$C$21, $C$9, 100%, $E$9)</f>
        <v>121.7754</v>
      </c>
      <c r="K1017" s="52">
        <f>CHOOSE(CONTROL!$C$42, 122.1646, 122.1646) * CHOOSE(CONTROL!$C$21, $C$9, 100%, $E$9)</f>
        <v>122.16459999999999</v>
      </c>
      <c r="L1017" s="14">
        <f>CHOOSE(CONTROL!$C$42, 122.5965, 122.5965) * CHOOSE(CONTROL!$C$21, $C$9, 100%, $E$9)</f>
        <v>122.59650000000001</v>
      </c>
      <c r="M1017" s="14">
        <f>CHOOSE(CONTROL!$C$42, 119.288, 119.288) * CHOOSE(CONTROL!$C$21, $C$9, 100%, $E$9)</f>
        <v>119.288</v>
      </c>
      <c r="N1017" s="14">
        <f>CHOOSE(CONTROL!$C$42, 119.3049, 119.3049) * CHOOSE(CONTROL!$C$21, $C$9, 100%, $E$9)</f>
        <v>119.3049</v>
      </c>
      <c r="O1017" s="14">
        <f>CHOOSE(CONTROL!$C$42, 119.5173, 119.5173) * CHOOSE(CONTROL!$C$21, $C$9, 100%, $E$9)</f>
        <v>119.51730000000001</v>
      </c>
      <c r="P1017" s="14">
        <f>CHOOSE(CONTROL!$C$42, 119.6654, 119.6654) * CHOOSE(CONTROL!$C$21, $C$9, 100%, $E$9)</f>
        <v>119.66540000000001</v>
      </c>
      <c r="Q1017" s="14">
        <f>CHOOSE(CONTROL!$C$42, 120.112, 120.112) * CHOOSE(CONTROL!$C$21, $C$9, 100%, $E$9)</f>
        <v>120.11199999999999</v>
      </c>
      <c r="R1017" s="14">
        <f>CHOOSE(CONTROL!$C$42, 120.9993, 120.9993) * CHOOSE(CONTROL!$C$21, $C$9, 100%, $E$9)</f>
        <v>120.99930000000001</v>
      </c>
      <c r="S1017" s="14">
        <f>CHOOSE(CONTROL!$C$42, 116.9843, 116.9843) * CHOOSE(CONTROL!$C$21, $C$9, 100%, $E$9)</f>
        <v>116.9843</v>
      </c>
      <c r="T1017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56">
        <f>(1000*CHOOSE(CONTROL!$C$42, 695, 695)*CHOOSE(CONTROL!$C$42, 0.5599, 0.5599)*CHOOSE(CONTROL!$C$42, 30, 30))/1000000</f>
        <v>11.673914999999997</v>
      </c>
      <c r="V1017" s="56">
        <f>(1000*CHOOSE(CONTROL!$C$42, 500, 500)*CHOOSE(CONTROL!$C$42, 0.275, 0.275)*CHOOSE(CONTROL!$C$42, 30, 30))/1000000</f>
        <v>4.125</v>
      </c>
      <c r="W1017" s="56">
        <f>(1000*CHOOSE(CONTROL!$C$42, 0.1146, 0.1146)*CHOOSE(CONTROL!$C$42, 121.5, 121.5)*CHOOSE(CONTROL!$C$42, 30, 30))/1000000</f>
        <v>0.417717</v>
      </c>
      <c r="X1017" s="56">
        <f>(30*0.1790888*245000/1000000)+(30*0.2374*100000/1000000)</f>
        <v>2.0285026799999999</v>
      </c>
      <c r="Y1017" s="56"/>
      <c r="Z1017" s="14"/>
      <c r="AA1017" s="55"/>
      <c r="AB1017" s="49">
        <f>(B1017*194.205+C1017*267.466+D1017*133.845+E1017*53.484+F1017*40+G1017*185+H1017*0+I1017*100+J1017*300)/(194.205+267.466+133.845+53.484+0+40+185+100+300)</f>
        <v>121.83729740518055</v>
      </c>
      <c r="AC1017" s="44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119.4472021582734</v>
      </c>
    </row>
    <row r="1018" spans="1:29" ht="15.75" x14ac:dyDescent="0.25">
      <c r="A1018" s="31">
        <v>71894</v>
      </c>
      <c r="B1018" s="14">
        <f>CHOOSE(CONTROL!$C$42, 119.282, 119.282) * CHOOSE(CONTROL!$C$21, $C$9, 100%, $E$9)</f>
        <v>119.282</v>
      </c>
      <c r="C1018" s="14">
        <f>CHOOSE(CONTROL!$C$42, 119.2873, 119.2873) * CHOOSE(CONTROL!$C$21, $C$9, 100%, $E$9)</f>
        <v>119.2873</v>
      </c>
      <c r="D1018" s="14">
        <f>CHOOSE(CONTROL!$C$42, 119.518, 119.518) * CHOOSE(CONTROL!$C$21, $C$9, 100%, $E$9)</f>
        <v>119.518</v>
      </c>
      <c r="E1018" s="14">
        <f>CHOOSE(CONTROL!$C$42, 119.5472, 119.5472) * CHOOSE(CONTROL!$C$21, $C$9, 100%, $E$9)</f>
        <v>119.5472</v>
      </c>
      <c r="F1018" s="14">
        <f>CHOOSE(CONTROL!$C$42, 119.3108, 119.3108)*CHOOSE(CONTROL!$C$21, $C$9, 100%, $E$9)</f>
        <v>119.3108</v>
      </c>
      <c r="G1018" s="14">
        <f>CHOOSE(CONTROL!$C$42, 119.3279, 119.3279)*CHOOSE(CONTROL!$C$21, $C$9, 100%, $E$9)</f>
        <v>119.3279</v>
      </c>
      <c r="H1018" s="14">
        <f>CHOOSE(CONTROL!$C$42, 119.5376, 119.5376) * CHOOSE(CONTROL!$C$21, $C$9, 100%, $E$9)</f>
        <v>119.5376</v>
      </c>
      <c r="I1018" s="14">
        <f>CHOOSE(CONTROL!$C$42, 119.6888, 119.6888)* CHOOSE(CONTROL!$C$21, $C$9, 100%, $E$9)</f>
        <v>119.6888</v>
      </c>
      <c r="J1018" s="14">
        <f>CHOOSE(CONTROL!$C$42, 119.3038, 119.3038)* CHOOSE(CONTROL!$C$21, $C$9, 100%, $E$9)</f>
        <v>119.3038</v>
      </c>
      <c r="K1018" s="52">
        <f>CHOOSE(CONTROL!$C$42, 119.6849, 119.6849) * CHOOSE(CONTROL!$C$21, $C$9, 100%, $E$9)</f>
        <v>119.6849</v>
      </c>
      <c r="L1018" s="14">
        <f>CHOOSE(CONTROL!$C$42, 120.1246, 120.1246) * CHOOSE(CONTROL!$C$21, $C$9, 100%, $E$9)</f>
        <v>120.1246</v>
      </c>
      <c r="M1018" s="14">
        <f>CHOOSE(CONTROL!$C$42, 116.8671, 116.8671) * CHOOSE(CONTROL!$C$21, $C$9, 100%, $E$9)</f>
        <v>116.86709999999999</v>
      </c>
      <c r="N1018" s="14">
        <f>CHOOSE(CONTROL!$C$42, 116.8838, 116.8838) * CHOOSE(CONTROL!$C$21, $C$9, 100%, $E$9)</f>
        <v>116.88379999999999</v>
      </c>
      <c r="O1018" s="14">
        <f>CHOOSE(CONTROL!$C$42, 117.0961, 117.0961) * CHOOSE(CONTROL!$C$21, $C$9, 100%, $E$9)</f>
        <v>117.09610000000001</v>
      </c>
      <c r="P1018" s="14">
        <f>CHOOSE(CONTROL!$C$42, 117.2367, 117.2367) * CHOOSE(CONTROL!$C$21, $C$9, 100%, $E$9)</f>
        <v>117.2367</v>
      </c>
      <c r="Q1018" s="14">
        <f>CHOOSE(CONTROL!$C$42, 117.6908, 117.6908) * CHOOSE(CONTROL!$C$21, $C$9, 100%, $E$9)</f>
        <v>117.6908</v>
      </c>
      <c r="R1018" s="14">
        <f>CHOOSE(CONTROL!$C$42, 118.572, 118.572) * CHOOSE(CONTROL!$C$21, $C$9, 100%, $E$9)</f>
        <v>118.572</v>
      </c>
      <c r="S1018" s="14">
        <f>CHOOSE(CONTROL!$C$42, 114.6091, 114.6091) * CHOOSE(CONTROL!$C$21, $C$9, 100%, $E$9)</f>
        <v>114.6091</v>
      </c>
      <c r="T1018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56">
        <f>(1000*CHOOSE(CONTROL!$C$42, 695, 695)*CHOOSE(CONTROL!$C$42, 0.5599, 0.5599)*CHOOSE(CONTROL!$C$42, 31, 31))/1000000</f>
        <v>12.063045499999998</v>
      </c>
      <c r="V1018" s="56">
        <f>(1000*CHOOSE(CONTROL!$C$42, 500, 500)*CHOOSE(CONTROL!$C$42, 0.275, 0.275)*CHOOSE(CONTROL!$C$42, 31, 31))/1000000</f>
        <v>4.2625000000000002</v>
      </c>
      <c r="W1018" s="56">
        <f>(1000*CHOOSE(CONTROL!$C$42, 0.1146, 0.1146)*CHOOSE(CONTROL!$C$42, 121.5, 121.5)*CHOOSE(CONTROL!$C$42, 31, 31))/1000000</f>
        <v>0.43164089999999994</v>
      </c>
      <c r="X1018" s="56">
        <f>(31*0.1790888*245000/1000000)+(31*0.2374*100000/1000000)</f>
        <v>2.0961194359999999</v>
      </c>
      <c r="Y1018" s="56"/>
      <c r="Z1018" s="14"/>
      <c r="AA1018" s="55"/>
      <c r="AB1018" s="49">
        <f>(B1018*131.881+C1018*277.167+D1018*79.08+E1018*125.872+F1018*40+G1018*185+H1018*0+I1018*100+J1018*300)/(131.881+277.167+79.08+125.872+0+40+185+100+300)</f>
        <v>119.37108524576271</v>
      </c>
      <c r="AC1018" s="44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117.02503237410073</v>
      </c>
    </row>
    <row r="1019" spans="1:29" ht="15.75" x14ac:dyDescent="0.25">
      <c r="A1019" s="31">
        <v>71924</v>
      </c>
      <c r="B1019" s="14">
        <f>CHOOSE(CONTROL!$C$42, 122.4237, 122.4237) * CHOOSE(CONTROL!$C$21, $C$9, 100%, $E$9)</f>
        <v>122.4237</v>
      </c>
      <c r="C1019" s="14">
        <f>CHOOSE(CONTROL!$C$42, 122.4288, 122.4288) * CHOOSE(CONTROL!$C$21, $C$9, 100%, $E$9)</f>
        <v>122.4288</v>
      </c>
      <c r="D1019" s="14">
        <f>CHOOSE(CONTROL!$C$42, 122.4978, 122.4978) * CHOOSE(CONTROL!$C$21, $C$9, 100%, $E$9)</f>
        <v>122.4978</v>
      </c>
      <c r="E1019" s="14">
        <f>CHOOSE(CONTROL!$C$42, 122.5319, 122.5319) * CHOOSE(CONTROL!$C$21, $C$9, 100%, $E$9)</f>
        <v>122.53189999999999</v>
      </c>
      <c r="F1019" s="14">
        <f>CHOOSE(CONTROL!$C$42, 122.4593, 122.4593)*CHOOSE(CONTROL!$C$21, $C$9, 100%, $E$9)</f>
        <v>122.4593</v>
      </c>
      <c r="G1019" s="14">
        <f>CHOOSE(CONTROL!$C$42, 122.4767, 122.4767)*CHOOSE(CONTROL!$C$21, $C$9, 100%, $E$9)</f>
        <v>122.47669999999999</v>
      </c>
      <c r="H1019" s="14">
        <f>CHOOSE(CONTROL!$C$42, 122.5211, 122.5211) * CHOOSE(CONTROL!$C$21, $C$9, 100%, $E$9)</f>
        <v>122.5211</v>
      </c>
      <c r="I1019" s="14">
        <f>CHOOSE(CONTROL!$C$42, 122.8435, 122.8435)* CHOOSE(CONTROL!$C$21, $C$9, 100%, $E$9)</f>
        <v>122.84350000000001</v>
      </c>
      <c r="J1019" s="14">
        <f>CHOOSE(CONTROL!$C$42, 122.4523, 122.4523)* CHOOSE(CONTROL!$C$21, $C$9, 100%, $E$9)</f>
        <v>122.45229999999999</v>
      </c>
      <c r="K1019" s="52">
        <f>CHOOSE(CONTROL!$C$42, 122.8396, 122.8396) * CHOOSE(CONTROL!$C$21, $C$9, 100%, $E$9)</f>
        <v>122.8396</v>
      </c>
      <c r="L1019" s="14">
        <f>CHOOSE(CONTROL!$C$42, 123.1081, 123.1081) * CHOOSE(CONTROL!$C$21, $C$9, 100%, $E$9)</f>
        <v>123.10809999999999</v>
      </c>
      <c r="M1019" s="14">
        <f>CHOOSE(CONTROL!$C$42, 119.9511, 119.9511) * CHOOSE(CONTROL!$C$21, $C$9, 100%, $E$9)</f>
        <v>119.9511</v>
      </c>
      <c r="N1019" s="14">
        <f>CHOOSE(CONTROL!$C$42, 119.9681, 119.9681) * CHOOSE(CONTROL!$C$21, $C$9, 100%, $E$9)</f>
        <v>119.96810000000001</v>
      </c>
      <c r="O1019" s="14">
        <f>CHOOSE(CONTROL!$C$42, 120.0184, 120.0184) * CHOOSE(CONTROL!$C$21, $C$9, 100%, $E$9)</f>
        <v>120.0184</v>
      </c>
      <c r="P1019" s="14">
        <f>CHOOSE(CONTROL!$C$42, 120.3266, 120.3266) * CHOOSE(CONTROL!$C$21, $C$9, 100%, $E$9)</f>
        <v>120.3266</v>
      </c>
      <c r="Q1019" s="14">
        <f>CHOOSE(CONTROL!$C$42, 120.6131, 120.6131) * CHOOSE(CONTROL!$C$21, $C$9, 100%, $E$9)</f>
        <v>120.6131</v>
      </c>
      <c r="R1019" s="14">
        <f>CHOOSE(CONTROL!$C$42, 121.5017, 121.5017) * CHOOSE(CONTROL!$C$21, $C$9, 100%, $E$9)</f>
        <v>121.5017</v>
      </c>
      <c r="S1019" s="14">
        <f>CHOOSE(CONTROL!$C$42, 117.6284, 117.6284) * CHOOSE(CONTROL!$C$21, $C$9, 100%, $E$9)</f>
        <v>117.6284</v>
      </c>
      <c r="T1019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56">
        <f>(1000*CHOOSE(CONTROL!$C$42, 695, 695)*CHOOSE(CONTROL!$C$42, 0.5599, 0.5599)*CHOOSE(CONTROL!$C$42, 30, 30))/1000000</f>
        <v>11.673914999999997</v>
      </c>
      <c r="V1019" s="56">
        <f>(1000*CHOOSE(CONTROL!$C$42, 500, 500)*CHOOSE(CONTROL!$C$42, 0.275, 0.275)*CHOOSE(CONTROL!$C$42, 30, 30))/1000000</f>
        <v>4.125</v>
      </c>
      <c r="W1019" s="56">
        <f>(1000*CHOOSE(CONTROL!$C$42, 0.1146, 0.1146)*CHOOSE(CONTROL!$C$42, 121.5, 121.5)*CHOOSE(CONTROL!$C$42, 30, 30))/1000000</f>
        <v>0.417717</v>
      </c>
      <c r="X1019" s="56">
        <f>(30*0.1790888*100000/1000000)+(30*0.2374*100000/1000000)</f>
        <v>1.2494664</v>
      </c>
      <c r="Y1019" s="56"/>
      <c r="Z1019" s="14"/>
      <c r="AA1019" s="55"/>
      <c r="AB1019" s="49">
        <f>(B1019*122.58+C1019*297.941+D1019*89.177+E1019*40.302+F1019*40+G1019*160+H1019*0+I1019*100+J1019*300)/(122.58+297.941+89.177+40.302+0+40+160+100+300)</f>
        <v>122.48713668799999</v>
      </c>
      <c r="AC1019" s="44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120.03661007194245</v>
      </c>
    </row>
    <row r="1020" spans="1:29" ht="15.75" x14ac:dyDescent="0.25">
      <c r="A1020" s="31">
        <v>71955</v>
      </c>
      <c r="B1020" s="14">
        <f>CHOOSE(CONTROL!$C$42, 130.7699, 130.7699) * CHOOSE(CONTROL!$C$21, $C$9, 100%, $E$9)</f>
        <v>130.76990000000001</v>
      </c>
      <c r="C1020" s="14">
        <f>CHOOSE(CONTROL!$C$42, 130.7749, 130.7749) * CHOOSE(CONTROL!$C$21, $C$9, 100%, $E$9)</f>
        <v>130.7749</v>
      </c>
      <c r="D1020" s="14">
        <f>CHOOSE(CONTROL!$C$42, 130.844, 130.844) * CHOOSE(CONTROL!$C$21, $C$9, 100%, $E$9)</f>
        <v>130.84399999999999</v>
      </c>
      <c r="E1020" s="14">
        <f>CHOOSE(CONTROL!$C$42, 130.8781, 130.8781) * CHOOSE(CONTROL!$C$21, $C$9, 100%, $E$9)</f>
        <v>130.87809999999999</v>
      </c>
      <c r="F1020" s="14">
        <f>CHOOSE(CONTROL!$C$42, 130.8077, 130.8077)*CHOOSE(CONTROL!$C$21, $C$9, 100%, $E$9)</f>
        <v>130.80770000000001</v>
      </c>
      <c r="G1020" s="14">
        <f>CHOOSE(CONTROL!$C$42, 130.8257, 130.8257)*CHOOSE(CONTROL!$C$21, $C$9, 100%, $E$9)</f>
        <v>130.82570000000001</v>
      </c>
      <c r="H1020" s="14">
        <f>CHOOSE(CONTROL!$C$42, 130.8673, 130.8673) * CHOOSE(CONTROL!$C$21, $C$9, 100%, $E$9)</f>
        <v>130.8673</v>
      </c>
      <c r="I1020" s="14">
        <f>CHOOSE(CONTROL!$C$42, 131.2158, 131.2158)* CHOOSE(CONTROL!$C$21, $C$9, 100%, $E$9)</f>
        <v>131.2158</v>
      </c>
      <c r="J1020" s="14">
        <f>CHOOSE(CONTROL!$C$42, 130.8007, 130.8007)* CHOOSE(CONTROL!$C$21, $C$9, 100%, $E$9)</f>
        <v>130.80070000000001</v>
      </c>
      <c r="K1020" s="52">
        <f>CHOOSE(CONTROL!$C$42, 131.2119, 131.2119) * CHOOSE(CONTROL!$C$21, $C$9, 100%, $E$9)</f>
        <v>131.21190000000001</v>
      </c>
      <c r="L1020" s="14">
        <f>CHOOSE(CONTROL!$C$42, 131.4543, 131.4543) * CHOOSE(CONTROL!$C$21, $C$9, 100%, $E$9)</f>
        <v>131.45429999999999</v>
      </c>
      <c r="M1020" s="14">
        <f>CHOOSE(CONTROL!$C$42, 128.1284, 128.1284) * CHOOSE(CONTROL!$C$21, $C$9, 100%, $E$9)</f>
        <v>128.1284</v>
      </c>
      <c r="N1020" s="14">
        <f>CHOOSE(CONTROL!$C$42, 128.146, 128.146) * CHOOSE(CONTROL!$C$21, $C$9, 100%, $E$9)</f>
        <v>128.14599999999999</v>
      </c>
      <c r="O1020" s="14">
        <f>CHOOSE(CONTROL!$C$42, 128.1936, 128.1936) * CHOOSE(CONTROL!$C$21, $C$9, 100%, $E$9)</f>
        <v>128.1936</v>
      </c>
      <c r="P1020" s="14">
        <f>CHOOSE(CONTROL!$C$42, 128.5268, 128.5268) * CHOOSE(CONTROL!$C$21, $C$9, 100%, $E$9)</f>
        <v>128.52680000000001</v>
      </c>
      <c r="Q1020" s="14">
        <f>CHOOSE(CONTROL!$C$42, 128.7883, 128.7883) * CHOOSE(CONTROL!$C$21, $C$9, 100%, $E$9)</f>
        <v>128.78829999999999</v>
      </c>
      <c r="R1020" s="14">
        <f>CHOOSE(CONTROL!$C$42, 129.6972, 129.6972) * CHOOSE(CONTROL!$C$21, $C$9, 100%, $E$9)</f>
        <v>129.69720000000001</v>
      </c>
      <c r="S1020" s="14">
        <f>CHOOSE(CONTROL!$C$42, 125.6482, 125.6482) * CHOOSE(CONTROL!$C$21, $C$9, 100%, $E$9)</f>
        <v>125.6482</v>
      </c>
      <c r="T1020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56">
        <f>(1000*CHOOSE(CONTROL!$C$42, 695, 695)*CHOOSE(CONTROL!$C$42, 0.5599, 0.5599)*CHOOSE(CONTROL!$C$42, 31, 31))/1000000</f>
        <v>12.063045499999998</v>
      </c>
      <c r="V1020" s="56">
        <f>(1000*CHOOSE(CONTROL!$C$42, 500, 500)*CHOOSE(CONTROL!$C$42, 0.275, 0.275)*CHOOSE(CONTROL!$C$42, 31, 31))/1000000</f>
        <v>4.2625000000000002</v>
      </c>
      <c r="W1020" s="56">
        <f>(1000*CHOOSE(CONTROL!$C$42, 0.1146, 0.1146)*CHOOSE(CONTROL!$C$42, 121.5, 121.5)*CHOOSE(CONTROL!$C$42, 31, 31))/1000000</f>
        <v>0.43164089999999994</v>
      </c>
      <c r="X1020" s="56">
        <f>(31*0.1790888*100000/1000000)+(31*0.2374*100000/1000000)</f>
        <v>1.2911152800000001</v>
      </c>
      <c r="Y1020" s="56"/>
      <c r="Z1020" s="14"/>
      <c r="AA1020" s="55"/>
      <c r="AB1020" s="49">
        <f>(B1020*122.58+C1020*297.941+D1020*89.177+E1020*40.302+F1020*40+G1020*160+H1020*0+I1020*100+J1020*300)/(122.58+297.941+89.177+40.302+0+40+160+100+300)</f>
        <v>130.83662034530437</v>
      </c>
      <c r="AC1020" s="44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128.21628776978417</v>
      </c>
    </row>
    <row r="1021" spans="1:29" ht="15.75" x14ac:dyDescent="0.25">
      <c r="A1021" s="31">
        <v>71986</v>
      </c>
      <c r="B1021" s="14">
        <f>CHOOSE(CONTROL!$C$42, 141.61, 141.61) * CHOOSE(CONTROL!$C$21, $C$9, 100%, $E$9)</f>
        <v>141.61000000000001</v>
      </c>
      <c r="C1021" s="14">
        <f>CHOOSE(CONTROL!$C$42, 141.6151, 141.6151) * CHOOSE(CONTROL!$C$21, $C$9, 100%, $E$9)</f>
        <v>141.61510000000001</v>
      </c>
      <c r="D1021" s="14">
        <f>CHOOSE(CONTROL!$C$42, 141.6945, 141.6945) * CHOOSE(CONTROL!$C$21, $C$9, 100%, $E$9)</f>
        <v>141.69450000000001</v>
      </c>
      <c r="E1021" s="14">
        <f>CHOOSE(CONTROL!$C$42, 141.7286, 141.7286) * CHOOSE(CONTROL!$C$21, $C$9, 100%, $E$9)</f>
        <v>141.7286</v>
      </c>
      <c r="F1021" s="14">
        <f>CHOOSE(CONTROL!$C$42, 141.633, 141.633)*CHOOSE(CONTROL!$C$21, $C$9, 100%, $E$9)</f>
        <v>141.63300000000001</v>
      </c>
      <c r="G1021" s="14">
        <f>CHOOSE(CONTROL!$C$42, 141.6506, 141.6506)*CHOOSE(CONTROL!$C$21, $C$9, 100%, $E$9)</f>
        <v>141.6506</v>
      </c>
      <c r="H1021" s="14">
        <f>CHOOSE(CONTROL!$C$42, 141.7178, 141.7178) * CHOOSE(CONTROL!$C$21, $C$9, 100%, $E$9)</f>
        <v>141.71780000000001</v>
      </c>
      <c r="I1021" s="14">
        <f>CHOOSE(CONTROL!$C$42, 142.0888, 142.0888)* CHOOSE(CONTROL!$C$21, $C$9, 100%, $E$9)</f>
        <v>142.08879999999999</v>
      </c>
      <c r="J1021" s="14">
        <f>CHOOSE(CONTROL!$C$42, 141.626, 141.626)* CHOOSE(CONTROL!$C$21, $C$9, 100%, $E$9)</f>
        <v>141.626</v>
      </c>
      <c r="K1021" s="52">
        <f>CHOOSE(CONTROL!$C$42, 142.0849, 142.0849) * CHOOSE(CONTROL!$C$21, $C$9, 100%, $E$9)</f>
        <v>142.0849</v>
      </c>
      <c r="L1021" s="14">
        <f>CHOOSE(CONTROL!$C$42, 142.3048, 142.3048) * CHOOSE(CONTROL!$C$21, $C$9, 100%, $E$9)</f>
        <v>142.3048</v>
      </c>
      <c r="M1021" s="14">
        <f>CHOOSE(CONTROL!$C$42, 138.7319, 138.7319) * CHOOSE(CONTROL!$C$21, $C$9, 100%, $E$9)</f>
        <v>138.7319</v>
      </c>
      <c r="N1021" s="14">
        <f>CHOOSE(CONTROL!$C$42, 138.7491, 138.7491) * CHOOSE(CONTROL!$C$21, $C$9, 100%, $E$9)</f>
        <v>138.7491</v>
      </c>
      <c r="O1021" s="14">
        <f>CHOOSE(CONTROL!$C$42, 138.8218, 138.8218) * CHOOSE(CONTROL!$C$21, $C$9, 100%, $E$9)</f>
        <v>138.8218</v>
      </c>
      <c r="P1021" s="14">
        <f>CHOOSE(CONTROL!$C$42, 139.1763, 139.1763) * CHOOSE(CONTROL!$C$21, $C$9, 100%, $E$9)</f>
        <v>139.1763</v>
      </c>
      <c r="Q1021" s="14">
        <f>CHOOSE(CONTROL!$C$42, 139.4165, 139.4165) * CHOOSE(CONTROL!$C$21, $C$9, 100%, $E$9)</f>
        <v>139.41650000000001</v>
      </c>
      <c r="R1021" s="14">
        <f>CHOOSE(CONTROL!$C$42, 140.352, 140.352) * CHOOSE(CONTROL!$C$21, $C$9, 100%, $E$9)</f>
        <v>140.352</v>
      </c>
      <c r="S1021" s="14">
        <f>CHOOSE(CONTROL!$C$42, 136.0645, 136.0645) * CHOOSE(CONTROL!$C$21, $C$9, 100%, $E$9)</f>
        <v>136.06450000000001</v>
      </c>
      <c r="T1021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56">
        <f>(1000*CHOOSE(CONTROL!$C$42, 695, 695)*CHOOSE(CONTROL!$C$42, 0.5599, 0.5599)*CHOOSE(CONTROL!$C$42, 31, 31))/1000000</f>
        <v>12.063045499999998</v>
      </c>
      <c r="V1021" s="56">
        <f>(1000*CHOOSE(CONTROL!$C$42, 500, 500)*CHOOSE(CONTROL!$C$42, 0.275, 0.275)*CHOOSE(CONTROL!$C$42, 31, 31))/1000000</f>
        <v>4.2625000000000002</v>
      </c>
      <c r="W1021" s="56">
        <f>(1000*CHOOSE(CONTROL!$C$42, 0.1146, 0.1146)*CHOOSE(CONTROL!$C$42, 121.5, 121.5)*CHOOSE(CONTROL!$C$42, 31, 31))/1000000</f>
        <v>0.43164089999999994</v>
      </c>
      <c r="X1021" s="56">
        <f>(31*0.1790888*100000/1000000)+(31*0.2374*100000/1000000)</f>
        <v>1.2911152800000001</v>
      </c>
      <c r="Y1021" s="56"/>
      <c r="Z1021" s="14"/>
      <c r="AA1021" s="55"/>
      <c r="AB1021" s="49">
        <f>(B1021*122.58+C1021*297.941+D1021*89.177+E1021*40.302+F1021*40+G1021*160+H1021*0+I1021*100+J1021*300)/(122.58+297.941+89.177+40.302+0+40+160+100+300)</f>
        <v>141.67428762852174</v>
      </c>
      <c r="AC1021" s="44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138.83757841726617</v>
      </c>
    </row>
    <row r="1022" spans="1:29" ht="15.75" x14ac:dyDescent="0.25">
      <c r="A1022" s="31">
        <v>72014</v>
      </c>
      <c r="B1022" s="14">
        <f>CHOOSE(CONTROL!$C$42, 144.1307, 144.1307) * CHOOSE(CONTROL!$C$21, $C$9, 100%, $E$9)</f>
        <v>144.13069999999999</v>
      </c>
      <c r="C1022" s="14">
        <f>CHOOSE(CONTROL!$C$42, 144.1358, 144.1358) * CHOOSE(CONTROL!$C$21, $C$9, 100%, $E$9)</f>
        <v>144.13579999999999</v>
      </c>
      <c r="D1022" s="14">
        <f>CHOOSE(CONTROL!$C$42, 144.2152, 144.2152) * CHOOSE(CONTROL!$C$21, $C$9, 100%, $E$9)</f>
        <v>144.21520000000001</v>
      </c>
      <c r="E1022" s="14">
        <f>CHOOSE(CONTROL!$C$42, 144.2493, 144.2493) * CHOOSE(CONTROL!$C$21, $C$9, 100%, $E$9)</f>
        <v>144.24930000000001</v>
      </c>
      <c r="F1022" s="14">
        <f>CHOOSE(CONTROL!$C$42, 144.1535, 144.1535)*CHOOSE(CONTROL!$C$21, $C$9, 100%, $E$9)</f>
        <v>144.15350000000001</v>
      </c>
      <c r="G1022" s="14">
        <f>CHOOSE(CONTROL!$C$42, 144.171, 144.171)*CHOOSE(CONTROL!$C$21, $C$9, 100%, $E$9)</f>
        <v>144.17099999999999</v>
      </c>
      <c r="H1022" s="14">
        <f>CHOOSE(CONTROL!$C$42, 144.2385, 144.2385) * CHOOSE(CONTROL!$C$21, $C$9, 100%, $E$9)</f>
        <v>144.23849999999999</v>
      </c>
      <c r="I1022" s="14">
        <f>CHOOSE(CONTROL!$C$42, 144.6174, 144.6174)* CHOOSE(CONTROL!$C$21, $C$9, 100%, $E$9)</f>
        <v>144.6174</v>
      </c>
      <c r="J1022" s="14">
        <f>CHOOSE(CONTROL!$C$42, 144.1465, 144.1465)* CHOOSE(CONTROL!$C$21, $C$9, 100%, $E$9)</f>
        <v>144.1465</v>
      </c>
      <c r="K1022" s="52">
        <f>CHOOSE(CONTROL!$C$42, 144.6135, 144.6135) * CHOOSE(CONTROL!$C$21, $C$9, 100%, $E$9)</f>
        <v>144.61349999999999</v>
      </c>
      <c r="L1022" s="14">
        <f>CHOOSE(CONTROL!$C$42, 144.8255, 144.8255) * CHOOSE(CONTROL!$C$21, $C$9, 100%, $E$9)</f>
        <v>144.82550000000001</v>
      </c>
      <c r="M1022" s="14">
        <f>CHOOSE(CONTROL!$C$42, 141.2007, 141.2007) * CHOOSE(CONTROL!$C$21, $C$9, 100%, $E$9)</f>
        <v>141.20070000000001</v>
      </c>
      <c r="N1022" s="14">
        <f>CHOOSE(CONTROL!$C$42, 141.2178, 141.2178) * CHOOSE(CONTROL!$C$21, $C$9, 100%, $E$9)</f>
        <v>141.21780000000001</v>
      </c>
      <c r="O1022" s="14">
        <f>CHOOSE(CONTROL!$C$42, 141.2908, 141.2908) * CHOOSE(CONTROL!$C$21, $C$9, 100%, $E$9)</f>
        <v>141.29079999999999</v>
      </c>
      <c r="P1022" s="14">
        <f>CHOOSE(CONTROL!$C$42, 141.653, 141.653) * CHOOSE(CONTROL!$C$21, $C$9, 100%, $E$9)</f>
        <v>141.65299999999999</v>
      </c>
      <c r="Q1022" s="14">
        <f>CHOOSE(CONTROL!$C$42, 141.8855, 141.8855) * CHOOSE(CONTROL!$C$21, $C$9, 100%, $E$9)</f>
        <v>141.88550000000001</v>
      </c>
      <c r="R1022" s="14">
        <f>CHOOSE(CONTROL!$C$42, 142.8273, 142.8273) * CHOOSE(CONTROL!$C$21, $C$9, 100%, $E$9)</f>
        <v>142.82730000000001</v>
      </c>
      <c r="S1022" s="14">
        <f>CHOOSE(CONTROL!$C$42, 138.4867, 138.4867) * CHOOSE(CONTROL!$C$21, $C$9, 100%, $E$9)</f>
        <v>138.48670000000001</v>
      </c>
      <c r="T1022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56">
        <f>(1000*CHOOSE(CONTROL!$C$42, 695, 695)*CHOOSE(CONTROL!$C$42, 0.5599, 0.5599)*CHOOSE(CONTROL!$C$42, 28, 28))/1000000</f>
        <v>10.895653999999999</v>
      </c>
      <c r="V1022" s="56">
        <f>(1000*CHOOSE(CONTROL!$C$42, 500, 500)*CHOOSE(CONTROL!$C$42, 0.275, 0.275)*CHOOSE(CONTROL!$C$42, 28, 28))/1000000</f>
        <v>3.85</v>
      </c>
      <c r="W1022" s="56">
        <f>(1000*CHOOSE(CONTROL!$C$42, 0.1146, 0.1146)*CHOOSE(CONTROL!$C$42, 121.5, 121.5)*CHOOSE(CONTROL!$C$42, 28, 28))/1000000</f>
        <v>0.38986920000000003</v>
      </c>
      <c r="X1022" s="56">
        <f>(28*0.1790888*100000/1000000)+(28*0.2374*100000/1000000)</f>
        <v>1.16616864</v>
      </c>
      <c r="Y1022" s="56"/>
      <c r="Z1022" s="14"/>
      <c r="AA1022" s="55"/>
      <c r="AB1022" s="49">
        <f>(B1022*122.58+C1022*297.941+D1022*89.177+E1022*40.302+F1022*40+G1022*160+H1022*0+I1022*100+J1022*300)/(122.58+297.941+89.177+40.302+0+40+160+100+300)</f>
        <v>144.19557371547825</v>
      </c>
      <c r="AC1022" s="44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141.30760000000001</v>
      </c>
    </row>
    <row r="1023" spans="1:29" ht="15.75" x14ac:dyDescent="0.25">
      <c r="A1023" s="31">
        <v>72045</v>
      </c>
      <c r="B1023" s="14">
        <f>CHOOSE(CONTROL!$C$42, 140.039, 140.039) * CHOOSE(CONTROL!$C$21, $C$9, 100%, $E$9)</f>
        <v>140.03899999999999</v>
      </c>
      <c r="C1023" s="14">
        <f>CHOOSE(CONTROL!$C$42, 140.0441, 140.0441) * CHOOSE(CONTROL!$C$21, $C$9, 100%, $E$9)</f>
        <v>140.04409999999999</v>
      </c>
      <c r="D1023" s="14">
        <f>CHOOSE(CONTROL!$C$42, 140.1235, 140.1235) * CHOOSE(CONTROL!$C$21, $C$9, 100%, $E$9)</f>
        <v>140.12350000000001</v>
      </c>
      <c r="E1023" s="14">
        <f>CHOOSE(CONTROL!$C$42, 140.1576, 140.1576) * CHOOSE(CONTROL!$C$21, $C$9, 100%, $E$9)</f>
        <v>140.1576</v>
      </c>
      <c r="F1023" s="14">
        <f>CHOOSE(CONTROL!$C$42, 140.0611, 140.0611)*CHOOSE(CONTROL!$C$21, $C$9, 100%, $E$9)</f>
        <v>140.06110000000001</v>
      </c>
      <c r="G1023" s="14">
        <f>CHOOSE(CONTROL!$C$42, 140.0783, 140.0783)*CHOOSE(CONTROL!$C$21, $C$9, 100%, $E$9)</f>
        <v>140.07830000000001</v>
      </c>
      <c r="H1023" s="14">
        <f>CHOOSE(CONTROL!$C$42, 140.1468, 140.1468) * CHOOSE(CONTROL!$C$21, $C$9, 100%, $E$9)</f>
        <v>140.14680000000001</v>
      </c>
      <c r="I1023" s="14">
        <f>CHOOSE(CONTROL!$C$42, 140.5129, 140.5129)* CHOOSE(CONTROL!$C$21, $C$9, 100%, $E$9)</f>
        <v>140.5129</v>
      </c>
      <c r="J1023" s="14">
        <f>CHOOSE(CONTROL!$C$42, 140.0541, 140.0541)* CHOOSE(CONTROL!$C$21, $C$9, 100%, $E$9)</f>
        <v>140.05410000000001</v>
      </c>
      <c r="K1023" s="52">
        <f>CHOOSE(CONTROL!$C$42, 140.509, 140.509) * CHOOSE(CONTROL!$C$21, $C$9, 100%, $E$9)</f>
        <v>140.50899999999999</v>
      </c>
      <c r="L1023" s="14">
        <f>CHOOSE(CONTROL!$C$42, 140.7338, 140.7338) * CHOOSE(CONTROL!$C$21, $C$9, 100%, $E$9)</f>
        <v>140.7338</v>
      </c>
      <c r="M1023" s="14">
        <f>CHOOSE(CONTROL!$C$42, 137.1921, 137.1921) * CHOOSE(CONTROL!$C$21, $C$9, 100%, $E$9)</f>
        <v>137.19210000000001</v>
      </c>
      <c r="N1023" s="14">
        <f>CHOOSE(CONTROL!$C$42, 137.2091, 137.2091) * CHOOSE(CONTROL!$C$21, $C$9, 100%, $E$9)</f>
        <v>137.20910000000001</v>
      </c>
      <c r="O1023" s="14">
        <f>CHOOSE(CONTROL!$C$42, 137.283, 137.283) * CHOOSE(CONTROL!$C$21, $C$9, 100%, $E$9)</f>
        <v>137.28299999999999</v>
      </c>
      <c r="P1023" s="14">
        <f>CHOOSE(CONTROL!$C$42, 137.6328, 137.6328) * CHOOSE(CONTROL!$C$21, $C$9, 100%, $E$9)</f>
        <v>137.6328</v>
      </c>
      <c r="Q1023" s="14">
        <f>CHOOSE(CONTROL!$C$42, 137.8777, 137.8777) * CHOOSE(CONTROL!$C$21, $C$9, 100%, $E$9)</f>
        <v>137.8777</v>
      </c>
      <c r="R1023" s="14">
        <f>CHOOSE(CONTROL!$C$42, 138.8094, 138.8094) * CHOOSE(CONTROL!$C$21, $C$9, 100%, $E$9)</f>
        <v>138.80940000000001</v>
      </c>
      <c r="S1023" s="14">
        <f>CHOOSE(CONTROL!$C$42, 134.5549, 134.5549) * CHOOSE(CONTROL!$C$21, $C$9, 100%, $E$9)</f>
        <v>134.5549</v>
      </c>
      <c r="T1023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56">
        <f>(1000*CHOOSE(CONTROL!$C$42, 695, 695)*CHOOSE(CONTROL!$C$42, 0.5599, 0.5599)*CHOOSE(CONTROL!$C$42, 31, 31))/1000000</f>
        <v>12.063045499999998</v>
      </c>
      <c r="V1023" s="56">
        <f>(1000*CHOOSE(CONTROL!$C$42, 500, 500)*CHOOSE(CONTROL!$C$42, 0.275, 0.275)*CHOOSE(CONTROL!$C$42, 31, 31))/1000000</f>
        <v>4.2625000000000002</v>
      </c>
      <c r="W1023" s="56">
        <f>(1000*CHOOSE(CONTROL!$C$42, 0.1146, 0.1146)*CHOOSE(CONTROL!$C$42, 121.5, 121.5)*CHOOSE(CONTROL!$C$42, 31, 31))/1000000</f>
        <v>0.43164089999999994</v>
      </c>
      <c r="X1023" s="56">
        <f>(31*0.1790888*100000/1000000)+(31*0.2374*100000/1000000)</f>
        <v>1.2911152800000001</v>
      </c>
      <c r="Y1023" s="56"/>
      <c r="Z1023" s="14"/>
      <c r="AA1023" s="55"/>
      <c r="AB1023" s="49">
        <f>(B1023*122.58+C1023*297.941+D1023*89.177+E1023*40.302+F1023*40+G1023*160+H1023*0+I1023*100+J1023*300)/(122.58+297.941+89.177+40.302+0+40+160+100+300)</f>
        <v>140.1024145850435</v>
      </c>
      <c r="AC1023" s="44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137.29768776978418</v>
      </c>
    </row>
    <row r="1024" spans="1:29" ht="15.75" x14ac:dyDescent="0.25">
      <c r="A1024" s="31">
        <v>72075</v>
      </c>
      <c r="B1024" s="14">
        <f>CHOOSE(CONTROL!$C$42, 139.6207, 139.6207) * CHOOSE(CONTROL!$C$21, $C$9, 100%, $E$9)</f>
        <v>139.6207</v>
      </c>
      <c r="C1024" s="14">
        <f>CHOOSE(CONTROL!$C$42, 139.6252, 139.6252) * CHOOSE(CONTROL!$C$21, $C$9, 100%, $E$9)</f>
        <v>139.62520000000001</v>
      </c>
      <c r="D1024" s="14">
        <f>CHOOSE(CONTROL!$C$42, 139.8542, 139.8542) * CHOOSE(CONTROL!$C$21, $C$9, 100%, $E$9)</f>
        <v>139.85419999999999</v>
      </c>
      <c r="E1024" s="14">
        <f>CHOOSE(CONTROL!$C$42, 139.8863, 139.8863) * CHOOSE(CONTROL!$C$21, $C$9, 100%, $E$9)</f>
        <v>139.88630000000001</v>
      </c>
      <c r="F1024" s="14">
        <f>CHOOSE(CONTROL!$C$42, 139.6477, 139.6477)*CHOOSE(CONTROL!$C$21, $C$9, 100%, $E$9)</f>
        <v>139.64769999999999</v>
      </c>
      <c r="G1024" s="14">
        <f>CHOOSE(CONTROL!$C$42, 139.6645, 139.6645)*CHOOSE(CONTROL!$C$21, $C$9, 100%, $E$9)</f>
        <v>139.6645</v>
      </c>
      <c r="H1024" s="14">
        <f>CHOOSE(CONTROL!$C$42, 139.876, 139.876) * CHOOSE(CONTROL!$C$21, $C$9, 100%, $E$9)</f>
        <v>139.876</v>
      </c>
      <c r="I1024" s="14">
        <f>CHOOSE(CONTROL!$C$42, 140.091, 140.091)* CHOOSE(CONTROL!$C$21, $C$9, 100%, $E$9)</f>
        <v>140.09100000000001</v>
      </c>
      <c r="J1024" s="14">
        <f>CHOOSE(CONTROL!$C$42, 139.6407, 139.6407)* CHOOSE(CONTROL!$C$21, $C$9, 100%, $E$9)</f>
        <v>139.64070000000001</v>
      </c>
      <c r="K1024" s="52">
        <f>CHOOSE(CONTROL!$C$42, 140.0871, 140.0871) * CHOOSE(CONTROL!$C$21, $C$9, 100%, $E$9)</f>
        <v>140.08709999999999</v>
      </c>
      <c r="L1024" s="14">
        <f>CHOOSE(CONTROL!$C$42, 140.463, 140.463) * CHOOSE(CONTROL!$C$21, $C$9, 100%, $E$9)</f>
        <v>140.46299999999999</v>
      </c>
      <c r="M1024" s="14">
        <f>CHOOSE(CONTROL!$C$42, 136.7873, 136.7873) * CHOOSE(CONTROL!$C$21, $C$9, 100%, $E$9)</f>
        <v>136.78729999999999</v>
      </c>
      <c r="N1024" s="14">
        <f>CHOOSE(CONTROL!$C$42, 136.8037, 136.8037) * CHOOSE(CONTROL!$C$21, $C$9, 100%, $E$9)</f>
        <v>136.80369999999999</v>
      </c>
      <c r="O1024" s="14">
        <f>CHOOSE(CONTROL!$C$42, 137.0178, 137.0178) * CHOOSE(CONTROL!$C$21, $C$9, 100%, $E$9)</f>
        <v>137.01779999999999</v>
      </c>
      <c r="P1024" s="14">
        <f>CHOOSE(CONTROL!$C$42, 137.2196, 137.2196) * CHOOSE(CONTROL!$C$21, $C$9, 100%, $E$9)</f>
        <v>137.21960000000001</v>
      </c>
      <c r="Q1024" s="14">
        <f>CHOOSE(CONTROL!$C$42, 137.6125, 137.6125) * CHOOSE(CONTROL!$C$21, $C$9, 100%, $E$9)</f>
        <v>137.61250000000001</v>
      </c>
      <c r="R1024" s="14">
        <f>CHOOSE(CONTROL!$C$42, 138.5435, 138.5435) * CHOOSE(CONTROL!$C$21, $C$9, 100%, $E$9)</f>
        <v>138.54349999999999</v>
      </c>
      <c r="S1024" s="14">
        <f>CHOOSE(CONTROL!$C$42, 134.1523, 134.1523) * CHOOSE(CONTROL!$C$21, $C$9, 100%, $E$9)</f>
        <v>134.1523</v>
      </c>
      <c r="T1024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56">
        <f>(1000*CHOOSE(CONTROL!$C$42, 695, 695)*CHOOSE(CONTROL!$C$42, 0.5599, 0.5599)*CHOOSE(CONTROL!$C$42, 30, 30))/1000000</f>
        <v>11.673914999999997</v>
      </c>
      <c r="V1024" s="56">
        <f>(1000*CHOOSE(CONTROL!$C$42, 500, 500)*CHOOSE(CONTROL!$C$42, 0.275, 0.275)*CHOOSE(CONTROL!$C$42, 30, 30))/1000000</f>
        <v>4.125</v>
      </c>
      <c r="W1024" s="56">
        <f>(1000*CHOOSE(CONTROL!$C$42, 0.1146, 0.1146)*CHOOSE(CONTROL!$C$42, 121.5, 121.5)*CHOOSE(CONTROL!$C$42, 30, 30))/1000000</f>
        <v>0.417717</v>
      </c>
      <c r="X1024" s="56">
        <f>(30*0.1790888*245000/1000000)+(30*0.2374*100000/1000000)</f>
        <v>2.0285026799999999</v>
      </c>
      <c r="Y1024" s="56"/>
      <c r="Z1024" s="14"/>
      <c r="AA1024" s="55"/>
      <c r="AB1024" s="49">
        <f>(B1024*141.293+C1024*267.993+D1024*115.016+E1024*89.698+F1024*40+G1024*185+H1024*0+I1024*100+J1024*300)/(141.293+267.993+115.016+89.698+0+40+185+100+300)</f>
        <v>139.71278958297017</v>
      </c>
      <c r="AC1024" s="44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136.9549165467626</v>
      </c>
    </row>
    <row r="1025" spans="1:29" ht="15.75" x14ac:dyDescent="0.25">
      <c r="A1025" s="31">
        <v>72106</v>
      </c>
      <c r="B1025" s="14">
        <f>CHOOSE(CONTROL!$C$42, 140.8544, 140.8544) * CHOOSE(CONTROL!$C$21, $C$9, 100%, $E$9)</f>
        <v>140.8544</v>
      </c>
      <c r="C1025" s="14">
        <f>CHOOSE(CONTROL!$C$42, 140.8624, 140.8624) * CHOOSE(CONTROL!$C$21, $C$9, 100%, $E$9)</f>
        <v>140.86240000000001</v>
      </c>
      <c r="D1025" s="14">
        <f>CHOOSE(CONTROL!$C$42, 141.0882, 141.0882) * CHOOSE(CONTROL!$C$21, $C$9, 100%, $E$9)</f>
        <v>141.0882</v>
      </c>
      <c r="E1025" s="14">
        <f>CHOOSE(CONTROL!$C$42, 141.1196, 141.1196) * CHOOSE(CONTROL!$C$21, $C$9, 100%, $E$9)</f>
        <v>141.11959999999999</v>
      </c>
      <c r="F1025" s="14">
        <f>CHOOSE(CONTROL!$C$42, 140.88, 140.88)*CHOOSE(CONTROL!$C$21, $C$9, 100%, $E$9)</f>
        <v>140.88</v>
      </c>
      <c r="G1025" s="14">
        <f>CHOOSE(CONTROL!$C$42, 140.897, 140.897)*CHOOSE(CONTROL!$C$21, $C$9, 100%, $E$9)</f>
        <v>140.89699999999999</v>
      </c>
      <c r="H1025" s="14">
        <f>CHOOSE(CONTROL!$C$42, 141.1083, 141.1083) * CHOOSE(CONTROL!$C$21, $C$9, 100%, $E$9)</f>
        <v>141.10830000000001</v>
      </c>
      <c r="I1025" s="14">
        <f>CHOOSE(CONTROL!$C$42, 141.327, 141.327)* CHOOSE(CONTROL!$C$21, $C$9, 100%, $E$9)</f>
        <v>141.327</v>
      </c>
      <c r="J1025" s="14">
        <f>CHOOSE(CONTROL!$C$42, 140.873, 140.873)* CHOOSE(CONTROL!$C$21, $C$9, 100%, $E$9)</f>
        <v>140.87299999999999</v>
      </c>
      <c r="K1025" s="52">
        <f>CHOOSE(CONTROL!$C$42, 141.3231, 141.3231) * CHOOSE(CONTROL!$C$21, $C$9, 100%, $E$9)</f>
        <v>141.32310000000001</v>
      </c>
      <c r="L1025" s="14">
        <f>CHOOSE(CONTROL!$C$42, 141.6953, 141.6953) * CHOOSE(CONTROL!$C$21, $C$9, 100%, $E$9)</f>
        <v>141.6953</v>
      </c>
      <c r="M1025" s="14">
        <f>CHOOSE(CONTROL!$C$42, 137.9943, 137.9943) * CHOOSE(CONTROL!$C$21, $C$9, 100%, $E$9)</f>
        <v>137.99430000000001</v>
      </c>
      <c r="N1025" s="14">
        <f>CHOOSE(CONTROL!$C$42, 138.0109, 138.0109) * CHOOSE(CONTROL!$C$21, $C$9, 100%, $E$9)</f>
        <v>138.01089999999999</v>
      </c>
      <c r="O1025" s="14">
        <f>CHOOSE(CONTROL!$C$42, 138.2248, 138.2248) * CHOOSE(CONTROL!$C$21, $C$9, 100%, $E$9)</f>
        <v>138.22479999999999</v>
      </c>
      <c r="P1025" s="14">
        <f>CHOOSE(CONTROL!$C$42, 138.4302, 138.4302) * CHOOSE(CONTROL!$C$21, $C$9, 100%, $E$9)</f>
        <v>138.43020000000001</v>
      </c>
      <c r="Q1025" s="14">
        <f>CHOOSE(CONTROL!$C$42, 138.8195, 138.8195) * CHOOSE(CONTROL!$C$21, $C$9, 100%, $E$9)</f>
        <v>138.81950000000001</v>
      </c>
      <c r="R1025" s="14">
        <f>CHOOSE(CONTROL!$C$42, 139.7535, 139.7535) * CHOOSE(CONTROL!$C$21, $C$9, 100%, $E$9)</f>
        <v>139.7535</v>
      </c>
      <c r="S1025" s="14">
        <f>CHOOSE(CONTROL!$C$42, 135.3363, 135.3363) * CHOOSE(CONTROL!$C$21, $C$9, 100%, $E$9)</f>
        <v>135.33629999999999</v>
      </c>
      <c r="T1025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56">
        <f>(1000*CHOOSE(CONTROL!$C$42, 695, 695)*CHOOSE(CONTROL!$C$42, 0.5599, 0.5599)*CHOOSE(CONTROL!$C$42, 31, 31))/1000000</f>
        <v>12.063045499999998</v>
      </c>
      <c r="V1025" s="56">
        <f>(1000*CHOOSE(CONTROL!$C$42, 500, 500)*CHOOSE(CONTROL!$C$42, 0.275, 0.275)*CHOOSE(CONTROL!$C$42, 31, 31))/1000000</f>
        <v>4.2625000000000002</v>
      </c>
      <c r="W1025" s="56">
        <f>(1000*CHOOSE(CONTROL!$C$42, 0.1146, 0.1146)*CHOOSE(CONTROL!$C$42, 121.5, 121.5)*CHOOSE(CONTROL!$C$42, 31, 31))/1000000</f>
        <v>0.43164089999999994</v>
      </c>
      <c r="X1025" s="56">
        <f>(31*0.1790888*245000/1000000)+(31*0.2374*100000/1000000)</f>
        <v>2.0961194359999999</v>
      </c>
      <c r="Y1025" s="56"/>
      <c r="Z1025" s="14"/>
      <c r="AA1025" s="55"/>
      <c r="AB1025" s="49">
        <f>(B1025*194.205+C1025*267.466+D1025*133.845+E1025*53.484+F1025*40+G1025*185+H1025*0+I1025*100+J1025*300)/(194.205+267.466+133.845+53.484+0+40+185+100+300)</f>
        <v>140.94024116624806</v>
      </c>
      <c r="AC1025" s="44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138.16244604316549</v>
      </c>
    </row>
    <row r="1026" spans="1:29" ht="15.75" x14ac:dyDescent="0.25">
      <c r="A1026" s="31">
        <v>72136</v>
      </c>
      <c r="B1026" s="14">
        <f>CHOOSE(CONTROL!$C$42, 144.8496, 144.8496) * CHOOSE(CONTROL!$C$21, $C$9, 100%, $E$9)</f>
        <v>144.84960000000001</v>
      </c>
      <c r="C1026" s="14">
        <f>CHOOSE(CONTROL!$C$42, 144.8576, 144.8576) * CHOOSE(CONTROL!$C$21, $C$9, 100%, $E$9)</f>
        <v>144.85759999999999</v>
      </c>
      <c r="D1026" s="14">
        <f>CHOOSE(CONTROL!$C$42, 145.0834, 145.0834) * CHOOSE(CONTROL!$C$21, $C$9, 100%, $E$9)</f>
        <v>145.08340000000001</v>
      </c>
      <c r="E1026" s="14">
        <f>CHOOSE(CONTROL!$C$42, 145.1148, 145.1148) * CHOOSE(CONTROL!$C$21, $C$9, 100%, $E$9)</f>
        <v>145.1148</v>
      </c>
      <c r="F1026" s="14">
        <f>CHOOSE(CONTROL!$C$42, 144.8757, 144.8757)*CHOOSE(CONTROL!$C$21, $C$9, 100%, $E$9)</f>
        <v>144.87569999999999</v>
      </c>
      <c r="G1026" s="14">
        <f>CHOOSE(CONTROL!$C$42, 144.8927, 144.8927)*CHOOSE(CONTROL!$C$21, $C$9, 100%, $E$9)</f>
        <v>144.89269999999999</v>
      </c>
      <c r="H1026" s="14">
        <f>CHOOSE(CONTROL!$C$42, 145.1035, 145.1035) * CHOOSE(CONTROL!$C$21, $C$9, 100%, $E$9)</f>
        <v>145.1035</v>
      </c>
      <c r="I1026" s="14">
        <f>CHOOSE(CONTROL!$C$42, 145.3347, 145.3347)* CHOOSE(CONTROL!$C$21, $C$9, 100%, $E$9)</f>
        <v>145.3347</v>
      </c>
      <c r="J1026" s="14">
        <f>CHOOSE(CONTROL!$C$42, 144.8687, 144.8687)* CHOOSE(CONTROL!$C$21, $C$9, 100%, $E$9)</f>
        <v>144.86869999999999</v>
      </c>
      <c r="K1026" s="52">
        <f>CHOOSE(CONTROL!$C$42, 145.3309, 145.3309) * CHOOSE(CONTROL!$C$21, $C$9, 100%, $E$9)</f>
        <v>145.33090000000001</v>
      </c>
      <c r="L1026" s="14">
        <f>CHOOSE(CONTROL!$C$42, 145.6905, 145.6905) * CHOOSE(CONTROL!$C$21, $C$9, 100%, $E$9)</f>
        <v>145.69049999999999</v>
      </c>
      <c r="M1026" s="14">
        <f>CHOOSE(CONTROL!$C$42, 141.9081, 141.9081) * CHOOSE(CONTROL!$C$21, $C$9, 100%, $E$9)</f>
        <v>141.90809999999999</v>
      </c>
      <c r="N1026" s="14">
        <f>CHOOSE(CONTROL!$C$42, 141.9248, 141.9248) * CHOOSE(CONTROL!$C$21, $C$9, 100%, $E$9)</f>
        <v>141.9248</v>
      </c>
      <c r="O1026" s="14">
        <f>CHOOSE(CONTROL!$C$42, 142.1381, 142.1381) * CHOOSE(CONTROL!$C$21, $C$9, 100%, $E$9)</f>
        <v>142.13810000000001</v>
      </c>
      <c r="P1026" s="14">
        <f>CHOOSE(CONTROL!$C$42, 142.3556, 142.3556) * CHOOSE(CONTROL!$C$21, $C$9, 100%, $E$9)</f>
        <v>142.35560000000001</v>
      </c>
      <c r="Q1026" s="14">
        <f>CHOOSE(CONTROL!$C$42, 142.7328, 142.7328) * CHOOSE(CONTROL!$C$21, $C$9, 100%, $E$9)</f>
        <v>142.7328</v>
      </c>
      <c r="R1026" s="14">
        <f>CHOOSE(CONTROL!$C$42, 143.6766, 143.6766) * CHOOSE(CONTROL!$C$21, $C$9, 100%, $E$9)</f>
        <v>143.67660000000001</v>
      </c>
      <c r="S1026" s="14">
        <f>CHOOSE(CONTROL!$C$42, 139.1753, 139.1753) * CHOOSE(CONTROL!$C$21, $C$9, 100%, $E$9)</f>
        <v>139.17529999999999</v>
      </c>
      <c r="T1026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56">
        <f>(1000*CHOOSE(CONTROL!$C$42, 695, 695)*CHOOSE(CONTROL!$C$42, 0.5599, 0.5599)*CHOOSE(CONTROL!$C$42, 30, 30))/1000000</f>
        <v>11.673914999999997</v>
      </c>
      <c r="V1026" s="56">
        <f>(1000*CHOOSE(CONTROL!$C$42, 500, 500)*CHOOSE(CONTROL!$C$42, 0.275, 0.275)*CHOOSE(CONTROL!$C$42, 30, 30))/1000000</f>
        <v>4.125</v>
      </c>
      <c r="W1026" s="56">
        <f>(1000*CHOOSE(CONTROL!$C$42, 0.1146, 0.1146)*CHOOSE(CONTROL!$C$42, 121.5, 121.5)*CHOOSE(CONTROL!$C$42, 30, 30))/1000000</f>
        <v>0.417717</v>
      </c>
      <c r="X1026" s="56">
        <f>(30*0.1790888*245000/1000000)+(30*0.2374*100000/1000000)</f>
        <v>2.0285026799999999</v>
      </c>
      <c r="Y1026" s="56"/>
      <c r="Z1026" s="14"/>
      <c r="AA1026" s="55"/>
      <c r="AB1026" s="49">
        <f>(B1026*194.205+C1026*267.466+D1026*133.845+E1026*53.484+F1026*40+G1026*185+H1026*0+I1026*100+J1026*300)/(194.205+267.466+133.845+53.484+0+40+185+100+300)</f>
        <v>144.93662837189953</v>
      </c>
      <c r="AC1026" s="44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142.07769424460432</v>
      </c>
    </row>
    <row r="1027" spans="1:29" ht="15.75" x14ac:dyDescent="0.25">
      <c r="A1027" s="31">
        <v>72167</v>
      </c>
      <c r="B1027" s="14">
        <f>CHOOSE(CONTROL!$C$42, 142.0709, 142.0709) * CHOOSE(CONTROL!$C$21, $C$9, 100%, $E$9)</f>
        <v>142.07089999999999</v>
      </c>
      <c r="C1027" s="14">
        <f>CHOOSE(CONTROL!$C$42, 142.0789, 142.0789) * CHOOSE(CONTROL!$C$21, $C$9, 100%, $E$9)</f>
        <v>142.0789</v>
      </c>
      <c r="D1027" s="14">
        <f>CHOOSE(CONTROL!$C$42, 142.3047, 142.3047) * CHOOSE(CONTROL!$C$21, $C$9, 100%, $E$9)</f>
        <v>142.3047</v>
      </c>
      <c r="E1027" s="14">
        <f>CHOOSE(CONTROL!$C$42, 142.3362, 142.3362) * CHOOSE(CONTROL!$C$21, $C$9, 100%, $E$9)</f>
        <v>142.33619999999999</v>
      </c>
      <c r="F1027" s="14">
        <f>CHOOSE(CONTROL!$C$42, 142.0974, 142.0974)*CHOOSE(CONTROL!$C$21, $C$9, 100%, $E$9)</f>
        <v>142.09739999999999</v>
      </c>
      <c r="G1027" s="14">
        <f>CHOOSE(CONTROL!$C$42, 142.1146, 142.1146)*CHOOSE(CONTROL!$C$21, $C$9, 100%, $E$9)</f>
        <v>142.1146</v>
      </c>
      <c r="H1027" s="14">
        <f>CHOOSE(CONTROL!$C$42, 142.3248, 142.3248) * CHOOSE(CONTROL!$C$21, $C$9, 100%, $E$9)</f>
        <v>142.32480000000001</v>
      </c>
      <c r="I1027" s="14">
        <f>CHOOSE(CONTROL!$C$42, 142.5474, 142.5474)* CHOOSE(CONTROL!$C$21, $C$9, 100%, $E$9)</f>
        <v>142.54740000000001</v>
      </c>
      <c r="J1027" s="14">
        <f>CHOOSE(CONTROL!$C$42, 142.0904, 142.0904)* CHOOSE(CONTROL!$C$21, $C$9, 100%, $E$9)</f>
        <v>142.09039999999999</v>
      </c>
      <c r="K1027" s="52">
        <f>CHOOSE(CONTROL!$C$42, 142.5435, 142.5435) * CHOOSE(CONTROL!$C$21, $C$9, 100%, $E$9)</f>
        <v>142.54349999999999</v>
      </c>
      <c r="L1027" s="14">
        <f>CHOOSE(CONTROL!$C$42, 142.9118, 142.9118) * CHOOSE(CONTROL!$C$21, $C$9, 100%, $E$9)</f>
        <v>142.9118</v>
      </c>
      <c r="M1027" s="14">
        <f>CHOOSE(CONTROL!$C$42, 139.1868, 139.1868) * CHOOSE(CONTROL!$C$21, $C$9, 100%, $E$9)</f>
        <v>139.18680000000001</v>
      </c>
      <c r="N1027" s="14">
        <f>CHOOSE(CONTROL!$C$42, 139.2037, 139.2037) * CHOOSE(CONTROL!$C$21, $C$9, 100%, $E$9)</f>
        <v>139.2037</v>
      </c>
      <c r="O1027" s="14">
        <f>CHOOSE(CONTROL!$C$42, 139.4163, 139.4163) * CHOOSE(CONTROL!$C$21, $C$9, 100%, $E$9)</f>
        <v>139.41630000000001</v>
      </c>
      <c r="P1027" s="14">
        <f>CHOOSE(CONTROL!$C$42, 139.6255, 139.6255) * CHOOSE(CONTROL!$C$21, $C$9, 100%, $E$9)</f>
        <v>139.62549999999999</v>
      </c>
      <c r="Q1027" s="14">
        <f>CHOOSE(CONTROL!$C$42, 140.011, 140.011) * CHOOSE(CONTROL!$C$21, $C$9, 100%, $E$9)</f>
        <v>140.011</v>
      </c>
      <c r="R1027" s="14">
        <f>CHOOSE(CONTROL!$C$42, 140.9481, 140.9481) * CHOOSE(CONTROL!$C$21, $C$9, 100%, $E$9)</f>
        <v>140.94810000000001</v>
      </c>
      <c r="S1027" s="14">
        <f>CHOOSE(CONTROL!$C$42, 136.5053, 136.5053) * CHOOSE(CONTROL!$C$21, $C$9, 100%, $E$9)</f>
        <v>136.50530000000001</v>
      </c>
      <c r="T1027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56">
        <f>(1000*CHOOSE(CONTROL!$C$42, 695, 695)*CHOOSE(CONTROL!$C$42, 0.5599, 0.5599)*CHOOSE(CONTROL!$C$42, 31, 31))/1000000</f>
        <v>12.063045499999998</v>
      </c>
      <c r="V1027" s="56">
        <f>(1000*CHOOSE(CONTROL!$C$42, 500, 500)*CHOOSE(CONTROL!$C$42, 0.275, 0.275)*CHOOSE(CONTROL!$C$42, 31, 31))/1000000</f>
        <v>4.2625000000000002</v>
      </c>
      <c r="W1027" s="56">
        <f>(1000*CHOOSE(CONTROL!$C$42, 0.1146, 0.1146)*CHOOSE(CONTROL!$C$42, 121.5, 121.5)*CHOOSE(CONTROL!$C$42, 31, 31))/1000000</f>
        <v>0.43164089999999994</v>
      </c>
      <c r="X1027" s="56">
        <f>(31*0.1790888*245000/1000000)+(31*0.2374*100000/1000000)</f>
        <v>2.0961194359999999</v>
      </c>
      <c r="Y1027" s="56"/>
      <c r="Z1027" s="14"/>
      <c r="AA1027" s="55"/>
      <c r="AB1027" s="49">
        <f>(B1027*194.205+C1027*267.466+D1027*133.845+E1027*53.484+F1027*40+G1027*185+H1027*0+I1027*100+J1027*300)/(194.205+267.466+133.845+53.484+0+40+185+100+300)</f>
        <v>142.15745140832024</v>
      </c>
      <c r="AC1027" s="44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139.35491294964029</v>
      </c>
    </row>
    <row r="1028" spans="1:29" ht="15.75" x14ac:dyDescent="0.25">
      <c r="A1028" s="31">
        <v>72198</v>
      </c>
      <c r="B1028" s="14">
        <f>CHOOSE(CONTROL!$C$42, 135.0538, 135.0538) * CHOOSE(CONTROL!$C$21, $C$9, 100%, $E$9)</f>
        <v>135.0538</v>
      </c>
      <c r="C1028" s="14">
        <f>CHOOSE(CONTROL!$C$42, 135.0618, 135.0618) * CHOOSE(CONTROL!$C$21, $C$9, 100%, $E$9)</f>
        <v>135.06180000000001</v>
      </c>
      <c r="D1028" s="14">
        <f>CHOOSE(CONTROL!$C$42, 135.2876, 135.2876) * CHOOSE(CONTROL!$C$21, $C$9, 100%, $E$9)</f>
        <v>135.2876</v>
      </c>
      <c r="E1028" s="14">
        <f>CHOOSE(CONTROL!$C$42, 135.3191, 135.3191) * CHOOSE(CONTROL!$C$21, $C$9, 100%, $E$9)</f>
        <v>135.31909999999999</v>
      </c>
      <c r="F1028" s="14">
        <f>CHOOSE(CONTROL!$C$42, 135.0806, 135.0806)*CHOOSE(CONTROL!$C$21, $C$9, 100%, $E$9)</f>
        <v>135.0806</v>
      </c>
      <c r="G1028" s="14">
        <f>CHOOSE(CONTROL!$C$42, 135.0979, 135.0979)*CHOOSE(CONTROL!$C$21, $C$9, 100%, $E$9)</f>
        <v>135.09790000000001</v>
      </c>
      <c r="H1028" s="14">
        <f>CHOOSE(CONTROL!$C$42, 135.3077, 135.3077) * CHOOSE(CONTROL!$C$21, $C$9, 100%, $E$9)</f>
        <v>135.30770000000001</v>
      </c>
      <c r="I1028" s="14">
        <f>CHOOSE(CONTROL!$C$42, 135.5083, 135.5083)* CHOOSE(CONTROL!$C$21, $C$9, 100%, $E$9)</f>
        <v>135.50829999999999</v>
      </c>
      <c r="J1028" s="14">
        <f>CHOOSE(CONTROL!$C$42, 135.0736, 135.0736)* CHOOSE(CONTROL!$C$21, $C$9, 100%, $E$9)</f>
        <v>135.0736</v>
      </c>
      <c r="K1028" s="52">
        <f>CHOOSE(CONTROL!$C$42, 135.5044, 135.5044) * CHOOSE(CONTROL!$C$21, $C$9, 100%, $E$9)</f>
        <v>135.5044</v>
      </c>
      <c r="L1028" s="14">
        <f>CHOOSE(CONTROL!$C$42, 135.8947, 135.8947) * CHOOSE(CONTROL!$C$21, $C$9, 100%, $E$9)</f>
        <v>135.8947</v>
      </c>
      <c r="M1028" s="14">
        <f>CHOOSE(CONTROL!$C$42, 132.3138, 132.3138) * CHOOSE(CONTROL!$C$21, $C$9, 100%, $E$9)</f>
        <v>132.31379999999999</v>
      </c>
      <c r="N1028" s="14">
        <f>CHOOSE(CONTROL!$C$42, 132.3307, 132.3307) * CHOOSE(CONTROL!$C$21, $C$9, 100%, $E$9)</f>
        <v>132.33070000000001</v>
      </c>
      <c r="O1028" s="14">
        <f>CHOOSE(CONTROL!$C$42, 132.5431, 132.5431) * CHOOSE(CONTROL!$C$21, $C$9, 100%, $E$9)</f>
        <v>132.54310000000001</v>
      </c>
      <c r="P1028" s="14">
        <f>CHOOSE(CONTROL!$C$42, 132.7311, 132.7311) * CHOOSE(CONTROL!$C$21, $C$9, 100%, $E$9)</f>
        <v>132.7311</v>
      </c>
      <c r="Q1028" s="14">
        <f>CHOOSE(CONTROL!$C$42, 133.1378, 133.1378) * CHOOSE(CONTROL!$C$21, $C$9, 100%, $E$9)</f>
        <v>133.1378</v>
      </c>
      <c r="R1028" s="14">
        <f>CHOOSE(CONTROL!$C$42, 134.0576, 134.0576) * CHOOSE(CONTROL!$C$21, $C$9, 100%, $E$9)</f>
        <v>134.05760000000001</v>
      </c>
      <c r="S1028" s="14">
        <f>CHOOSE(CONTROL!$C$42, 129.7626, 129.7626) * CHOOSE(CONTROL!$C$21, $C$9, 100%, $E$9)</f>
        <v>129.76259999999999</v>
      </c>
      <c r="T1028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56">
        <f>(1000*CHOOSE(CONTROL!$C$42, 695, 695)*CHOOSE(CONTROL!$C$42, 0.5599, 0.5599)*CHOOSE(CONTROL!$C$42, 31, 31))/1000000</f>
        <v>12.063045499999998</v>
      </c>
      <c r="V1028" s="56">
        <f>(1000*CHOOSE(CONTROL!$C$42, 500, 500)*CHOOSE(CONTROL!$C$42, 0.275, 0.275)*CHOOSE(CONTROL!$C$42, 31, 31))/1000000</f>
        <v>4.2625000000000002</v>
      </c>
      <c r="W1028" s="56">
        <f>(1000*CHOOSE(CONTROL!$C$42, 0.1146, 0.1146)*CHOOSE(CONTROL!$C$42, 121.5, 121.5)*CHOOSE(CONTROL!$C$42, 31, 31))/1000000</f>
        <v>0.43164089999999994</v>
      </c>
      <c r="X1028" s="56">
        <f>(31*0.1790888*245000/1000000)+(31*0.2374*100000/1000000)</f>
        <v>2.0961194359999999</v>
      </c>
      <c r="Y1028" s="56"/>
      <c r="Z1028" s="14"/>
      <c r="AA1028" s="55"/>
      <c r="AB1028" s="49">
        <f>(B1028*194.205+C1028*267.466+D1028*133.845+E1028*53.484+F1028*40+G1028*185+H1028*0+I1028*100+J1028*300)/(194.205+267.466+133.845+53.484+0+40+185+100+300)</f>
        <v>135.13876271130297</v>
      </c>
      <c r="AC1028" s="44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132.47874316546762</v>
      </c>
    </row>
    <row r="1029" spans="1:29" ht="15.75" x14ac:dyDescent="0.25">
      <c r="A1029" s="31">
        <v>72228</v>
      </c>
      <c r="B1029" s="14">
        <f>CHOOSE(CONTROL!$C$42, 126.4801, 126.4801) * CHOOSE(CONTROL!$C$21, $C$9, 100%, $E$9)</f>
        <v>126.48009999999999</v>
      </c>
      <c r="C1029" s="14">
        <f>CHOOSE(CONTROL!$C$42, 126.4881, 126.4881) * CHOOSE(CONTROL!$C$21, $C$9, 100%, $E$9)</f>
        <v>126.4881</v>
      </c>
      <c r="D1029" s="14">
        <f>CHOOSE(CONTROL!$C$42, 126.7139, 126.7139) * CHOOSE(CONTROL!$C$21, $C$9, 100%, $E$9)</f>
        <v>126.7139</v>
      </c>
      <c r="E1029" s="14">
        <f>CHOOSE(CONTROL!$C$42, 126.7453, 126.7453) * CHOOSE(CONTROL!$C$21, $C$9, 100%, $E$9)</f>
        <v>126.7453</v>
      </c>
      <c r="F1029" s="14">
        <f>CHOOSE(CONTROL!$C$42, 126.5069, 126.5069)*CHOOSE(CONTROL!$C$21, $C$9, 100%, $E$9)</f>
        <v>126.5069</v>
      </c>
      <c r="G1029" s="14">
        <f>CHOOSE(CONTROL!$C$42, 126.5241, 126.5241)*CHOOSE(CONTROL!$C$21, $C$9, 100%, $E$9)</f>
        <v>126.5241</v>
      </c>
      <c r="H1029" s="14">
        <f>CHOOSE(CONTROL!$C$42, 126.734, 126.734) * CHOOSE(CONTROL!$C$21, $C$9, 100%, $E$9)</f>
        <v>126.73399999999999</v>
      </c>
      <c r="I1029" s="14">
        <f>CHOOSE(CONTROL!$C$42, 126.9077, 126.9077)* CHOOSE(CONTROL!$C$21, $C$9, 100%, $E$9)</f>
        <v>126.90770000000001</v>
      </c>
      <c r="J1029" s="14">
        <f>CHOOSE(CONTROL!$C$42, 126.4999, 126.4999)* CHOOSE(CONTROL!$C$21, $C$9, 100%, $E$9)</f>
        <v>126.4999</v>
      </c>
      <c r="K1029" s="52">
        <f>CHOOSE(CONTROL!$C$42, 126.9038, 126.9038) * CHOOSE(CONTROL!$C$21, $C$9, 100%, $E$9)</f>
        <v>126.9038</v>
      </c>
      <c r="L1029" s="14">
        <f>CHOOSE(CONTROL!$C$42, 127.321, 127.321) * CHOOSE(CONTROL!$C$21, $C$9, 100%, $E$9)</f>
        <v>127.321</v>
      </c>
      <c r="M1029" s="14">
        <f>CHOOSE(CONTROL!$C$42, 123.9157, 123.9157) * CHOOSE(CONTROL!$C$21, $C$9, 100%, $E$9)</f>
        <v>123.9157</v>
      </c>
      <c r="N1029" s="14">
        <f>CHOOSE(CONTROL!$C$42, 123.9326, 123.9326) * CHOOSE(CONTROL!$C$21, $C$9, 100%, $E$9)</f>
        <v>123.93259999999999</v>
      </c>
      <c r="O1029" s="14">
        <f>CHOOSE(CONTROL!$C$42, 124.145, 124.145) * CHOOSE(CONTROL!$C$21, $C$9, 100%, $E$9)</f>
        <v>124.145</v>
      </c>
      <c r="P1029" s="14">
        <f>CHOOSE(CONTROL!$C$42, 124.3073, 124.3073) * CHOOSE(CONTROL!$C$21, $C$9, 100%, $E$9)</f>
        <v>124.3073</v>
      </c>
      <c r="Q1029" s="14">
        <f>CHOOSE(CONTROL!$C$42, 124.7397, 124.7397) * CHOOSE(CONTROL!$C$21, $C$9, 100%, $E$9)</f>
        <v>124.7397</v>
      </c>
      <c r="R1029" s="14">
        <f>CHOOSE(CONTROL!$C$42, 125.6385, 125.6385) * CHOOSE(CONTROL!$C$21, $C$9, 100%, $E$9)</f>
        <v>125.63849999999999</v>
      </c>
      <c r="S1029" s="14">
        <f>CHOOSE(CONTROL!$C$42, 121.5241, 121.5241) * CHOOSE(CONTROL!$C$21, $C$9, 100%, $E$9)</f>
        <v>121.5241</v>
      </c>
      <c r="T1029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56">
        <f>(1000*CHOOSE(CONTROL!$C$42, 695, 695)*CHOOSE(CONTROL!$C$42, 0.5599, 0.5599)*CHOOSE(CONTROL!$C$42, 30, 30))/1000000</f>
        <v>11.673914999999997</v>
      </c>
      <c r="V1029" s="56">
        <f>(1000*CHOOSE(CONTROL!$C$42, 500, 500)*CHOOSE(CONTROL!$C$42, 0.275, 0.275)*CHOOSE(CONTROL!$C$42, 30, 30))/1000000</f>
        <v>4.125</v>
      </c>
      <c r="W1029" s="56">
        <f>(1000*CHOOSE(CONTROL!$C$42, 0.1146, 0.1146)*CHOOSE(CONTROL!$C$42, 121.5, 121.5)*CHOOSE(CONTROL!$C$42, 30, 30))/1000000</f>
        <v>0.417717</v>
      </c>
      <c r="X1029" s="56">
        <f>(30*0.1790888*245000/1000000)+(30*0.2374*100000/1000000)</f>
        <v>2.0285026799999999</v>
      </c>
      <c r="Y1029" s="56"/>
      <c r="Z1029" s="14"/>
      <c r="AA1029" s="55"/>
      <c r="AB1029" s="49">
        <f>(B1029*194.205+C1029*267.466+D1029*133.845+E1029*53.484+F1029*40+G1029*185+H1029*0+I1029*100+J1029*300)/(194.205+267.466+133.845+53.484+0+40+185+100+300)</f>
        <v>126.56293253202514</v>
      </c>
      <c r="AC1029" s="44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124.076945323741</v>
      </c>
    </row>
    <row r="1030" spans="1:29" ht="15.75" x14ac:dyDescent="0.25">
      <c r="A1030" s="31">
        <v>72259</v>
      </c>
      <c r="B1030" s="14">
        <f>CHOOSE(CONTROL!$C$42, 123.9105, 123.9105) * CHOOSE(CONTROL!$C$21, $C$9, 100%, $E$9)</f>
        <v>123.9105</v>
      </c>
      <c r="C1030" s="14">
        <f>CHOOSE(CONTROL!$C$42, 123.9158, 123.9158) * CHOOSE(CONTROL!$C$21, $C$9, 100%, $E$9)</f>
        <v>123.9158</v>
      </c>
      <c r="D1030" s="14">
        <f>CHOOSE(CONTROL!$C$42, 124.1466, 124.1466) * CHOOSE(CONTROL!$C$21, $C$9, 100%, $E$9)</f>
        <v>124.14660000000001</v>
      </c>
      <c r="E1030" s="14">
        <f>CHOOSE(CONTROL!$C$42, 124.1757, 124.1757) * CHOOSE(CONTROL!$C$21, $C$9, 100%, $E$9)</f>
        <v>124.17570000000001</v>
      </c>
      <c r="F1030" s="14">
        <f>CHOOSE(CONTROL!$C$42, 123.9393, 123.9393)*CHOOSE(CONTROL!$C$21, $C$9, 100%, $E$9)</f>
        <v>123.9393</v>
      </c>
      <c r="G1030" s="14">
        <f>CHOOSE(CONTROL!$C$42, 123.9565, 123.9565)*CHOOSE(CONTROL!$C$21, $C$9, 100%, $E$9)</f>
        <v>123.95650000000001</v>
      </c>
      <c r="H1030" s="14">
        <f>CHOOSE(CONTROL!$C$42, 124.1662, 124.1662) * CHOOSE(CONTROL!$C$21, $C$9, 100%, $E$9)</f>
        <v>124.1662</v>
      </c>
      <c r="I1030" s="14">
        <f>CHOOSE(CONTROL!$C$42, 124.3319, 124.3319)* CHOOSE(CONTROL!$C$21, $C$9, 100%, $E$9)</f>
        <v>124.3319</v>
      </c>
      <c r="J1030" s="14">
        <f>CHOOSE(CONTROL!$C$42, 123.9323, 123.9323)* CHOOSE(CONTROL!$C$21, $C$9, 100%, $E$9)</f>
        <v>123.9323</v>
      </c>
      <c r="K1030" s="52">
        <f>CHOOSE(CONTROL!$C$42, 124.328, 124.328) * CHOOSE(CONTROL!$C$21, $C$9, 100%, $E$9)</f>
        <v>124.328</v>
      </c>
      <c r="L1030" s="14">
        <f>CHOOSE(CONTROL!$C$42, 124.7532, 124.7532) * CHOOSE(CONTROL!$C$21, $C$9, 100%, $E$9)</f>
        <v>124.75320000000001</v>
      </c>
      <c r="M1030" s="14">
        <f>CHOOSE(CONTROL!$C$42, 121.4008, 121.4008) * CHOOSE(CONTROL!$C$21, $C$9, 100%, $E$9)</f>
        <v>121.4008</v>
      </c>
      <c r="N1030" s="14">
        <f>CHOOSE(CONTROL!$C$42, 121.4175, 121.4175) * CHOOSE(CONTROL!$C$21, $C$9, 100%, $E$9)</f>
        <v>121.4175</v>
      </c>
      <c r="O1030" s="14">
        <f>CHOOSE(CONTROL!$C$42, 121.6298, 121.6298) * CHOOSE(CONTROL!$C$21, $C$9, 100%, $E$9)</f>
        <v>121.6298</v>
      </c>
      <c r="P1030" s="14">
        <f>CHOOSE(CONTROL!$C$42, 121.7843, 121.7843) * CHOOSE(CONTROL!$C$21, $C$9, 100%, $E$9)</f>
        <v>121.7843</v>
      </c>
      <c r="Q1030" s="14">
        <f>CHOOSE(CONTROL!$C$42, 122.2245, 122.2245) * CHOOSE(CONTROL!$C$21, $C$9, 100%, $E$9)</f>
        <v>122.22450000000001</v>
      </c>
      <c r="R1030" s="14">
        <f>CHOOSE(CONTROL!$C$42, 123.117, 123.117) * CHOOSE(CONTROL!$C$21, $C$9, 100%, $E$9)</f>
        <v>123.117</v>
      </c>
      <c r="S1030" s="14">
        <f>CHOOSE(CONTROL!$C$42, 119.0566, 119.0566) * CHOOSE(CONTROL!$C$21, $C$9, 100%, $E$9)</f>
        <v>119.0566</v>
      </c>
      <c r="T1030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56">
        <f>(1000*CHOOSE(CONTROL!$C$42, 695, 695)*CHOOSE(CONTROL!$C$42, 0.5599, 0.5599)*CHOOSE(CONTROL!$C$42, 31, 31))/1000000</f>
        <v>12.063045499999998</v>
      </c>
      <c r="V1030" s="56">
        <f>(1000*CHOOSE(CONTROL!$C$42, 500, 500)*CHOOSE(CONTROL!$C$42, 0.275, 0.275)*CHOOSE(CONTROL!$C$42, 31, 31))/1000000</f>
        <v>4.2625000000000002</v>
      </c>
      <c r="W1030" s="56">
        <f>(1000*CHOOSE(CONTROL!$C$42, 0.1146, 0.1146)*CHOOSE(CONTROL!$C$42, 121.5, 121.5)*CHOOSE(CONTROL!$C$42, 31, 31))/1000000</f>
        <v>0.43164089999999994</v>
      </c>
      <c r="X1030" s="56">
        <f>(31*0.1790888*245000/1000000)+(31*0.2374*100000/1000000)</f>
        <v>2.0961194359999999</v>
      </c>
      <c r="Y1030" s="56"/>
      <c r="Z1030" s="14"/>
      <c r="AA1030" s="55"/>
      <c r="AB1030" s="49">
        <f>(B1030*131.881+C1030*277.167+D1030*79.08+E1030*125.872+F1030*40+G1030*185+H1030*0+I1030*100+J1030*300)/(131.881+277.167+79.08+125.872+0+40+185+100+300)</f>
        <v>124.00078492937854</v>
      </c>
      <c r="AC1030" s="44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121.56073237410072</v>
      </c>
    </row>
    <row r="1031" spans="1:29" ht="15.75" x14ac:dyDescent="0.25">
      <c r="A1031" s="31">
        <v>72289</v>
      </c>
      <c r="B1031" s="14">
        <f>CHOOSE(CONTROL!$C$42, 127.1742, 127.1742) * CHOOSE(CONTROL!$C$21, $C$9, 100%, $E$9)</f>
        <v>127.1742</v>
      </c>
      <c r="C1031" s="14">
        <f>CHOOSE(CONTROL!$C$42, 127.1793, 127.1793) * CHOOSE(CONTROL!$C$21, $C$9, 100%, $E$9)</f>
        <v>127.1793</v>
      </c>
      <c r="D1031" s="14">
        <f>CHOOSE(CONTROL!$C$42, 127.2483, 127.2483) * CHOOSE(CONTROL!$C$21, $C$9, 100%, $E$9)</f>
        <v>127.2483</v>
      </c>
      <c r="E1031" s="14">
        <f>CHOOSE(CONTROL!$C$42, 127.2824, 127.2824) * CHOOSE(CONTROL!$C$21, $C$9, 100%, $E$9)</f>
        <v>127.2824</v>
      </c>
      <c r="F1031" s="14">
        <f>CHOOSE(CONTROL!$C$42, 127.2098, 127.2098)*CHOOSE(CONTROL!$C$21, $C$9, 100%, $E$9)</f>
        <v>127.2098</v>
      </c>
      <c r="G1031" s="14">
        <f>CHOOSE(CONTROL!$C$42, 127.2272, 127.2272)*CHOOSE(CONTROL!$C$21, $C$9, 100%, $E$9)</f>
        <v>127.2272</v>
      </c>
      <c r="H1031" s="14">
        <f>CHOOSE(CONTROL!$C$42, 127.2716, 127.2716) * CHOOSE(CONTROL!$C$21, $C$9, 100%, $E$9)</f>
        <v>127.27160000000001</v>
      </c>
      <c r="I1031" s="14">
        <f>CHOOSE(CONTROL!$C$42, 127.6088, 127.6088)* CHOOSE(CONTROL!$C$21, $C$9, 100%, $E$9)</f>
        <v>127.6088</v>
      </c>
      <c r="J1031" s="14">
        <f>CHOOSE(CONTROL!$C$42, 127.2028, 127.2028)* CHOOSE(CONTROL!$C$21, $C$9, 100%, $E$9)</f>
        <v>127.2028</v>
      </c>
      <c r="K1031" s="52">
        <f>CHOOSE(CONTROL!$C$42, 127.6049, 127.6049) * CHOOSE(CONTROL!$C$21, $C$9, 100%, $E$9)</f>
        <v>127.6049</v>
      </c>
      <c r="L1031" s="14">
        <f>CHOOSE(CONTROL!$C$42, 127.8586, 127.8586) * CHOOSE(CONTROL!$C$21, $C$9, 100%, $E$9)</f>
        <v>127.8586</v>
      </c>
      <c r="M1031" s="14">
        <f>CHOOSE(CONTROL!$C$42, 124.6042, 124.6042) * CHOOSE(CONTROL!$C$21, $C$9, 100%, $E$9)</f>
        <v>124.60420000000001</v>
      </c>
      <c r="N1031" s="14">
        <f>CHOOSE(CONTROL!$C$42, 124.6212, 124.6212) * CHOOSE(CONTROL!$C$21, $C$9, 100%, $E$9)</f>
        <v>124.6212</v>
      </c>
      <c r="O1031" s="14">
        <f>CHOOSE(CONTROL!$C$42, 124.6716, 124.6716) * CHOOSE(CONTROL!$C$21, $C$9, 100%, $E$9)</f>
        <v>124.6716</v>
      </c>
      <c r="P1031" s="14">
        <f>CHOOSE(CONTROL!$C$42, 124.994, 124.994) * CHOOSE(CONTROL!$C$21, $C$9, 100%, $E$9)</f>
        <v>124.994</v>
      </c>
      <c r="Q1031" s="14">
        <f>CHOOSE(CONTROL!$C$42, 125.2663, 125.2663) * CHOOSE(CONTROL!$C$21, $C$9, 100%, $E$9)</f>
        <v>125.2663</v>
      </c>
      <c r="R1031" s="14">
        <f>CHOOSE(CONTROL!$C$42, 126.1664, 126.1664) * CHOOSE(CONTROL!$C$21, $C$9, 100%, $E$9)</f>
        <v>126.1664</v>
      </c>
      <c r="S1031" s="14">
        <f>CHOOSE(CONTROL!$C$42, 122.1931, 122.1931) * CHOOSE(CONTROL!$C$21, $C$9, 100%, $E$9)</f>
        <v>122.1931</v>
      </c>
      <c r="T1031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56">
        <f>(1000*CHOOSE(CONTROL!$C$42, 695, 695)*CHOOSE(CONTROL!$C$42, 0.5599, 0.5599)*CHOOSE(CONTROL!$C$42, 30, 30))/1000000</f>
        <v>11.673914999999997</v>
      </c>
      <c r="V1031" s="56">
        <f>(1000*CHOOSE(CONTROL!$C$42, 500, 500)*CHOOSE(CONTROL!$C$42, 0.275, 0.275)*CHOOSE(CONTROL!$C$42, 30, 30))/1000000</f>
        <v>4.125</v>
      </c>
      <c r="W1031" s="56">
        <f>(1000*CHOOSE(CONTROL!$C$42, 0.1146, 0.1146)*CHOOSE(CONTROL!$C$42, 121.5, 121.5)*CHOOSE(CONTROL!$C$42, 30, 30))/1000000</f>
        <v>0.417717</v>
      </c>
      <c r="X1031" s="56">
        <f>(30*0.1790888*100000/1000000)+(30*0.2374*100000/1000000)</f>
        <v>1.2494664</v>
      </c>
      <c r="Y1031" s="56"/>
      <c r="Z1031" s="14"/>
      <c r="AA1031" s="55"/>
      <c r="AB1031" s="49">
        <f>(B1031*122.58+C1031*297.941+D1031*89.177+E1031*40.302+F1031*40+G1031*160+H1031*0+I1031*100+J1031*300)/(122.58+297.941+89.177+40.302+0+40+160+100+300)</f>
        <v>127.23892364452173</v>
      </c>
      <c r="AC1031" s="44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124.69181294964028</v>
      </c>
    </row>
    <row r="1032" spans="1:29" ht="15.75" x14ac:dyDescent="0.25">
      <c r="A1032" s="31">
        <v>72320</v>
      </c>
      <c r="B1032" s="14">
        <f>CHOOSE(CONTROL!$C$42, 135.8442, 135.8442) * CHOOSE(CONTROL!$C$21, $C$9, 100%, $E$9)</f>
        <v>135.8442</v>
      </c>
      <c r="C1032" s="14">
        <f>CHOOSE(CONTROL!$C$42, 135.8493, 135.8493) * CHOOSE(CONTROL!$C$21, $C$9, 100%, $E$9)</f>
        <v>135.8493</v>
      </c>
      <c r="D1032" s="14">
        <f>CHOOSE(CONTROL!$C$42, 135.9183, 135.9183) * CHOOSE(CONTROL!$C$21, $C$9, 100%, $E$9)</f>
        <v>135.91829999999999</v>
      </c>
      <c r="E1032" s="14">
        <f>CHOOSE(CONTROL!$C$42, 135.9524, 135.9524) * CHOOSE(CONTROL!$C$21, $C$9, 100%, $E$9)</f>
        <v>135.95240000000001</v>
      </c>
      <c r="F1032" s="14">
        <f>CHOOSE(CONTROL!$C$42, 135.8821, 135.8821)*CHOOSE(CONTROL!$C$21, $C$9, 100%, $E$9)</f>
        <v>135.88210000000001</v>
      </c>
      <c r="G1032" s="14">
        <f>CHOOSE(CONTROL!$C$42, 135.9001, 135.9001)*CHOOSE(CONTROL!$C$21, $C$9, 100%, $E$9)</f>
        <v>135.90010000000001</v>
      </c>
      <c r="H1032" s="14">
        <f>CHOOSE(CONTROL!$C$42, 135.9416, 135.9416) * CHOOSE(CONTROL!$C$21, $C$9, 100%, $E$9)</f>
        <v>135.94159999999999</v>
      </c>
      <c r="I1032" s="14">
        <f>CHOOSE(CONTROL!$C$42, 136.306, 136.306)* CHOOSE(CONTROL!$C$21, $C$9, 100%, $E$9)</f>
        <v>136.30600000000001</v>
      </c>
      <c r="J1032" s="14">
        <f>CHOOSE(CONTROL!$C$42, 135.8751, 135.8751)* CHOOSE(CONTROL!$C$21, $C$9, 100%, $E$9)</f>
        <v>135.8751</v>
      </c>
      <c r="K1032" s="52">
        <f>CHOOSE(CONTROL!$C$42, 136.3021, 136.3021) * CHOOSE(CONTROL!$C$21, $C$9, 100%, $E$9)</f>
        <v>136.3021</v>
      </c>
      <c r="L1032" s="14">
        <f>CHOOSE(CONTROL!$C$42, 136.5286, 136.5286) * CHOOSE(CONTROL!$C$21, $C$9, 100%, $E$9)</f>
        <v>136.52860000000001</v>
      </c>
      <c r="M1032" s="14">
        <f>CHOOSE(CONTROL!$C$42, 133.0988, 133.0988) * CHOOSE(CONTROL!$C$21, $C$9, 100%, $E$9)</f>
        <v>133.09880000000001</v>
      </c>
      <c r="N1032" s="14">
        <f>CHOOSE(CONTROL!$C$42, 133.1164, 133.1164) * CHOOSE(CONTROL!$C$21, $C$9, 100%, $E$9)</f>
        <v>133.1164</v>
      </c>
      <c r="O1032" s="14">
        <f>CHOOSE(CONTROL!$C$42, 133.164, 133.164) * CHOOSE(CONTROL!$C$21, $C$9, 100%, $E$9)</f>
        <v>133.16399999999999</v>
      </c>
      <c r="P1032" s="14">
        <f>CHOOSE(CONTROL!$C$42, 133.5124, 133.5124) * CHOOSE(CONTROL!$C$21, $C$9, 100%, $E$9)</f>
        <v>133.51240000000001</v>
      </c>
      <c r="Q1032" s="14">
        <f>CHOOSE(CONTROL!$C$42, 133.7587, 133.7587) * CHOOSE(CONTROL!$C$21, $C$9, 100%, $E$9)</f>
        <v>133.7587</v>
      </c>
      <c r="R1032" s="14">
        <f>CHOOSE(CONTROL!$C$42, 134.6801, 134.6801) * CHOOSE(CONTROL!$C$21, $C$9, 100%, $E$9)</f>
        <v>134.68010000000001</v>
      </c>
      <c r="S1032" s="14">
        <f>CHOOSE(CONTROL!$C$42, 130.5242, 130.5242) * CHOOSE(CONTROL!$C$21, $C$9, 100%, $E$9)</f>
        <v>130.52420000000001</v>
      </c>
      <c r="T1032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56">
        <f>(1000*CHOOSE(CONTROL!$C$42, 695, 695)*CHOOSE(CONTROL!$C$42, 0.5599, 0.5599)*CHOOSE(CONTROL!$C$42, 31, 31))/1000000</f>
        <v>12.063045499999998</v>
      </c>
      <c r="V1032" s="56">
        <f>(1000*CHOOSE(CONTROL!$C$42, 500, 500)*CHOOSE(CONTROL!$C$42, 0.275, 0.275)*CHOOSE(CONTROL!$C$42, 31, 31))/1000000</f>
        <v>4.2625000000000002</v>
      </c>
      <c r="W1032" s="56">
        <f>(1000*CHOOSE(CONTROL!$C$42, 0.1146, 0.1146)*CHOOSE(CONTROL!$C$42, 121.5, 121.5)*CHOOSE(CONTROL!$C$42, 31, 31))/1000000</f>
        <v>0.43164089999999994</v>
      </c>
      <c r="X1032" s="56">
        <f>(31*0.1790888*100000/1000000)+(31*0.2374*100000/1000000)</f>
        <v>1.2911152800000001</v>
      </c>
      <c r="Y1032" s="56"/>
      <c r="Z1032" s="14"/>
      <c r="AA1032" s="55"/>
      <c r="AB1032" s="49">
        <f>(B1032*122.58+C1032*297.941+D1032*89.177+E1032*40.302+F1032*40+G1032*160+H1032*0+I1032*100+J1032*300)/(122.58+297.941+89.177+40.302+0+40+160+100+300)</f>
        <v>135.9123723401739</v>
      </c>
      <c r="AC1032" s="44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133.18887482014387</v>
      </c>
    </row>
    <row r="1033" spans="1:29" ht="15.75" x14ac:dyDescent="0.25">
      <c r="A1033" s="31">
        <v>72351</v>
      </c>
      <c r="B1033" s="14">
        <f>CHOOSE(CONTROL!$C$42, 147.105, 147.105) * CHOOSE(CONTROL!$C$21, $C$9, 100%, $E$9)</f>
        <v>147.10499999999999</v>
      </c>
      <c r="C1033" s="14">
        <f>CHOOSE(CONTROL!$C$42, 147.1101, 147.1101) * CHOOSE(CONTROL!$C$21, $C$9, 100%, $E$9)</f>
        <v>147.11009999999999</v>
      </c>
      <c r="D1033" s="14">
        <f>CHOOSE(CONTROL!$C$42, 147.1895, 147.1895) * CHOOSE(CONTROL!$C$21, $C$9, 100%, $E$9)</f>
        <v>147.18950000000001</v>
      </c>
      <c r="E1033" s="14">
        <f>CHOOSE(CONTROL!$C$42, 147.2236, 147.2236) * CHOOSE(CONTROL!$C$21, $C$9, 100%, $E$9)</f>
        <v>147.2236</v>
      </c>
      <c r="F1033" s="14">
        <f>CHOOSE(CONTROL!$C$42, 147.1281, 147.1281)*CHOOSE(CONTROL!$C$21, $C$9, 100%, $E$9)</f>
        <v>147.12809999999999</v>
      </c>
      <c r="G1033" s="14">
        <f>CHOOSE(CONTROL!$C$42, 147.1456, 147.1456)*CHOOSE(CONTROL!$C$21, $C$9, 100%, $E$9)</f>
        <v>147.1456</v>
      </c>
      <c r="H1033" s="14">
        <f>CHOOSE(CONTROL!$C$42, 147.2128, 147.2128) * CHOOSE(CONTROL!$C$21, $C$9, 100%, $E$9)</f>
        <v>147.21279999999999</v>
      </c>
      <c r="I1033" s="14">
        <f>CHOOSE(CONTROL!$C$42, 147.601, 147.601)* CHOOSE(CONTROL!$C$21, $C$9, 100%, $E$9)</f>
        <v>147.601</v>
      </c>
      <c r="J1033" s="14">
        <f>CHOOSE(CONTROL!$C$42, 147.1211, 147.1211)* CHOOSE(CONTROL!$C$21, $C$9, 100%, $E$9)</f>
        <v>147.12110000000001</v>
      </c>
      <c r="K1033" s="52">
        <f>CHOOSE(CONTROL!$C$42, 147.5971, 147.5971) * CHOOSE(CONTROL!$C$21, $C$9, 100%, $E$9)</f>
        <v>147.59710000000001</v>
      </c>
      <c r="L1033" s="14">
        <f>CHOOSE(CONTROL!$C$42, 147.7998, 147.7998) * CHOOSE(CONTROL!$C$21, $C$9, 100%, $E$9)</f>
        <v>147.7998</v>
      </c>
      <c r="M1033" s="14">
        <f>CHOOSE(CONTROL!$C$42, 144.1143, 144.1143) * CHOOSE(CONTROL!$C$21, $C$9, 100%, $E$9)</f>
        <v>144.11429999999999</v>
      </c>
      <c r="N1033" s="14">
        <f>CHOOSE(CONTROL!$C$42, 144.1315, 144.1315) * CHOOSE(CONTROL!$C$21, $C$9, 100%, $E$9)</f>
        <v>144.13149999999999</v>
      </c>
      <c r="O1033" s="14">
        <f>CHOOSE(CONTROL!$C$42, 144.2042, 144.2042) * CHOOSE(CONTROL!$C$21, $C$9, 100%, $E$9)</f>
        <v>144.20419999999999</v>
      </c>
      <c r="P1033" s="14">
        <f>CHOOSE(CONTROL!$C$42, 144.5753, 144.5753) * CHOOSE(CONTROL!$C$21, $C$9, 100%, $E$9)</f>
        <v>144.5753</v>
      </c>
      <c r="Q1033" s="14">
        <f>CHOOSE(CONTROL!$C$42, 144.7989, 144.7989) * CHOOSE(CONTROL!$C$21, $C$9, 100%, $E$9)</f>
        <v>144.7989</v>
      </c>
      <c r="R1033" s="14">
        <f>CHOOSE(CONTROL!$C$42, 145.7479, 145.7479) * CHOOSE(CONTROL!$C$21, $C$9, 100%, $E$9)</f>
        <v>145.74789999999999</v>
      </c>
      <c r="S1033" s="14">
        <f>CHOOSE(CONTROL!$C$42, 141.3447, 141.3447) * CHOOSE(CONTROL!$C$21, $C$9, 100%, $E$9)</f>
        <v>141.34469999999999</v>
      </c>
      <c r="T1033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56">
        <f>(1000*CHOOSE(CONTROL!$C$42, 695, 695)*CHOOSE(CONTROL!$C$42, 0.5599, 0.5599)*CHOOSE(CONTROL!$C$42, 31, 31))/1000000</f>
        <v>12.063045499999998</v>
      </c>
      <c r="V1033" s="56">
        <f>(1000*CHOOSE(CONTROL!$C$42, 500, 500)*CHOOSE(CONTROL!$C$42, 0.275, 0.275)*CHOOSE(CONTROL!$C$42, 31, 31))/1000000</f>
        <v>4.2625000000000002</v>
      </c>
      <c r="W1033" s="56">
        <f>(1000*CHOOSE(CONTROL!$C$42, 0.1146, 0.1146)*CHOOSE(CONTROL!$C$42, 121.5, 121.5)*CHOOSE(CONTROL!$C$42, 31, 31))/1000000</f>
        <v>0.43164089999999994</v>
      </c>
      <c r="X1033" s="56">
        <f>(31*0.1790888*100000/1000000)+(31*0.2374*100000/1000000)</f>
        <v>1.2911152800000001</v>
      </c>
      <c r="Y1033" s="56"/>
      <c r="Z1033" s="14"/>
      <c r="AA1033" s="55"/>
      <c r="AB1033" s="49">
        <f>(B1033*122.58+C1033*297.941+D1033*89.177+E1033*40.302+F1033*40+G1033*160+H1033*0+I1033*100+J1033*300)/(122.58+297.941+89.177+40.302+0+40+160+100+300)</f>
        <v>147.17081284591305</v>
      </c>
      <c r="AC1033" s="44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144.2223669064748</v>
      </c>
    </row>
    <row r="1034" spans="1:29" ht="15.75" x14ac:dyDescent="0.25">
      <c r="A1034" s="31">
        <v>72379</v>
      </c>
      <c r="B1034" s="14">
        <f>CHOOSE(CONTROL!$C$42, 149.7235, 149.7235) * CHOOSE(CONTROL!$C$21, $C$9, 100%, $E$9)</f>
        <v>149.7235</v>
      </c>
      <c r="C1034" s="14">
        <f>CHOOSE(CONTROL!$C$42, 149.7286, 149.7286) * CHOOSE(CONTROL!$C$21, $C$9, 100%, $E$9)</f>
        <v>149.7286</v>
      </c>
      <c r="D1034" s="14">
        <f>CHOOSE(CONTROL!$C$42, 149.808, 149.808) * CHOOSE(CONTROL!$C$21, $C$9, 100%, $E$9)</f>
        <v>149.80799999999999</v>
      </c>
      <c r="E1034" s="14">
        <f>CHOOSE(CONTROL!$C$42, 149.8421, 149.8421) * CHOOSE(CONTROL!$C$21, $C$9, 100%, $E$9)</f>
        <v>149.84209999999999</v>
      </c>
      <c r="F1034" s="14">
        <f>CHOOSE(CONTROL!$C$42, 149.7463, 149.7463)*CHOOSE(CONTROL!$C$21, $C$9, 100%, $E$9)</f>
        <v>149.74629999999999</v>
      </c>
      <c r="G1034" s="14">
        <f>CHOOSE(CONTROL!$C$42, 149.7638, 149.7638)*CHOOSE(CONTROL!$C$21, $C$9, 100%, $E$9)</f>
        <v>149.7638</v>
      </c>
      <c r="H1034" s="14">
        <f>CHOOSE(CONTROL!$C$42, 149.8313, 149.8313) * CHOOSE(CONTROL!$C$21, $C$9, 100%, $E$9)</f>
        <v>149.8313</v>
      </c>
      <c r="I1034" s="14">
        <f>CHOOSE(CONTROL!$C$42, 150.2277, 150.2277)* CHOOSE(CONTROL!$C$21, $C$9, 100%, $E$9)</f>
        <v>150.2277</v>
      </c>
      <c r="J1034" s="14">
        <f>CHOOSE(CONTROL!$C$42, 149.7393, 149.7393)* CHOOSE(CONTROL!$C$21, $C$9, 100%, $E$9)</f>
        <v>149.73929999999999</v>
      </c>
      <c r="K1034" s="52">
        <f>CHOOSE(CONTROL!$C$42, 150.2239, 150.2239) * CHOOSE(CONTROL!$C$21, $C$9, 100%, $E$9)</f>
        <v>150.22389999999999</v>
      </c>
      <c r="L1034" s="14">
        <f>CHOOSE(CONTROL!$C$42, 150.4183, 150.4183) * CHOOSE(CONTROL!$C$21, $C$9, 100%, $E$9)</f>
        <v>150.41829999999999</v>
      </c>
      <c r="M1034" s="14">
        <f>CHOOSE(CONTROL!$C$42, 146.679, 146.679) * CHOOSE(CONTROL!$C$21, $C$9, 100%, $E$9)</f>
        <v>146.679</v>
      </c>
      <c r="N1034" s="14">
        <f>CHOOSE(CONTROL!$C$42, 146.6961, 146.6961) * CHOOSE(CONTROL!$C$21, $C$9, 100%, $E$9)</f>
        <v>146.6961</v>
      </c>
      <c r="O1034" s="14">
        <f>CHOOSE(CONTROL!$C$42, 146.7691, 146.7691) * CHOOSE(CONTROL!$C$21, $C$9, 100%, $E$9)</f>
        <v>146.76910000000001</v>
      </c>
      <c r="P1034" s="14">
        <f>CHOOSE(CONTROL!$C$42, 147.148, 147.148) * CHOOSE(CONTROL!$C$21, $C$9, 100%, $E$9)</f>
        <v>147.148</v>
      </c>
      <c r="Q1034" s="14">
        <f>CHOOSE(CONTROL!$C$42, 147.3638, 147.3638) * CHOOSE(CONTROL!$C$21, $C$9, 100%, $E$9)</f>
        <v>147.3638</v>
      </c>
      <c r="R1034" s="14">
        <f>CHOOSE(CONTROL!$C$42, 148.3192, 148.3192) * CHOOSE(CONTROL!$C$21, $C$9, 100%, $E$9)</f>
        <v>148.3192</v>
      </c>
      <c r="S1034" s="14">
        <f>CHOOSE(CONTROL!$C$42, 143.8608, 143.8608) * CHOOSE(CONTROL!$C$21, $C$9, 100%, $E$9)</f>
        <v>143.86080000000001</v>
      </c>
      <c r="T1034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56">
        <f>(1000*CHOOSE(CONTROL!$C$42, 695, 695)*CHOOSE(CONTROL!$C$42, 0.5599, 0.5599)*CHOOSE(CONTROL!$C$42, 28, 28))/1000000</f>
        <v>10.895653999999999</v>
      </c>
      <c r="V1034" s="56">
        <f>(1000*CHOOSE(CONTROL!$C$42, 500, 500)*CHOOSE(CONTROL!$C$42, 0.275, 0.275)*CHOOSE(CONTROL!$C$42, 28, 28))/1000000</f>
        <v>3.85</v>
      </c>
      <c r="W1034" s="56">
        <f>(1000*CHOOSE(CONTROL!$C$42, 0.1146, 0.1146)*CHOOSE(CONTROL!$C$42, 121.5, 121.5)*CHOOSE(CONTROL!$C$42, 28, 28))/1000000</f>
        <v>0.38986920000000003</v>
      </c>
      <c r="X1034" s="56">
        <f>(28*0.1790888*100000/1000000)+(28*0.2374*100000/1000000)</f>
        <v>1.16616864</v>
      </c>
      <c r="Y1034" s="56"/>
      <c r="Z1034" s="14"/>
      <c r="AA1034" s="55"/>
      <c r="AB1034" s="49">
        <f>(B1034*122.58+C1034*297.941+D1034*89.177+E1034*40.302+F1034*40+G1034*160+H1034*0+I1034*100+J1034*300)/(122.58+297.941+89.177+40.302+0+40+160+100+300)</f>
        <v>149.78989545460868</v>
      </c>
      <c r="AC1034" s="44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146.78830287769784</v>
      </c>
    </row>
    <row r="1035" spans="1:29" ht="15.75" x14ac:dyDescent="0.25">
      <c r="A1035" s="31">
        <v>72410</v>
      </c>
      <c r="B1035" s="14">
        <f>CHOOSE(CONTROL!$C$42, 145.4731, 145.4731) * CHOOSE(CONTROL!$C$21, $C$9, 100%, $E$9)</f>
        <v>145.47309999999999</v>
      </c>
      <c r="C1035" s="14">
        <f>CHOOSE(CONTROL!$C$42, 145.4781, 145.4781) * CHOOSE(CONTROL!$C$21, $C$9, 100%, $E$9)</f>
        <v>145.47810000000001</v>
      </c>
      <c r="D1035" s="14">
        <f>CHOOSE(CONTROL!$C$42, 145.5575, 145.5575) * CHOOSE(CONTROL!$C$21, $C$9, 100%, $E$9)</f>
        <v>145.5575</v>
      </c>
      <c r="E1035" s="14">
        <f>CHOOSE(CONTROL!$C$42, 145.5917, 145.5917) * CHOOSE(CONTROL!$C$21, $C$9, 100%, $E$9)</f>
        <v>145.5917</v>
      </c>
      <c r="F1035" s="14">
        <f>CHOOSE(CONTROL!$C$42, 145.4951, 145.4951)*CHOOSE(CONTROL!$C$21, $C$9, 100%, $E$9)</f>
        <v>145.49510000000001</v>
      </c>
      <c r="G1035" s="14">
        <f>CHOOSE(CONTROL!$C$42, 145.5124, 145.5124)*CHOOSE(CONTROL!$C$21, $C$9, 100%, $E$9)</f>
        <v>145.51240000000001</v>
      </c>
      <c r="H1035" s="14">
        <f>CHOOSE(CONTROL!$C$42, 145.5809, 145.5809) * CHOOSE(CONTROL!$C$21, $C$9, 100%, $E$9)</f>
        <v>145.58090000000001</v>
      </c>
      <c r="I1035" s="14">
        <f>CHOOSE(CONTROL!$C$42, 145.9639, 145.9639)* CHOOSE(CONTROL!$C$21, $C$9, 100%, $E$9)</f>
        <v>145.9639</v>
      </c>
      <c r="J1035" s="14">
        <f>CHOOSE(CONTROL!$C$42, 145.4881, 145.4881)* CHOOSE(CONTROL!$C$21, $C$9, 100%, $E$9)</f>
        <v>145.4881</v>
      </c>
      <c r="K1035" s="52">
        <f>CHOOSE(CONTROL!$C$42, 145.9601, 145.9601) * CHOOSE(CONTROL!$C$21, $C$9, 100%, $E$9)</f>
        <v>145.96010000000001</v>
      </c>
      <c r="L1035" s="14">
        <f>CHOOSE(CONTROL!$C$42, 146.1679, 146.1679) * CHOOSE(CONTROL!$C$21, $C$9, 100%, $E$9)</f>
        <v>146.1679</v>
      </c>
      <c r="M1035" s="14">
        <f>CHOOSE(CONTROL!$C$42, 142.5149, 142.5149) * CHOOSE(CONTROL!$C$21, $C$9, 100%, $E$9)</f>
        <v>142.51490000000001</v>
      </c>
      <c r="N1035" s="14">
        <f>CHOOSE(CONTROL!$C$42, 142.5318, 142.5318) * CHOOSE(CONTROL!$C$21, $C$9, 100%, $E$9)</f>
        <v>142.5318</v>
      </c>
      <c r="O1035" s="14">
        <f>CHOOSE(CONTROL!$C$42, 142.6057, 142.6057) * CHOOSE(CONTROL!$C$21, $C$9, 100%, $E$9)</f>
        <v>142.60570000000001</v>
      </c>
      <c r="P1035" s="14">
        <f>CHOOSE(CONTROL!$C$42, 142.9718, 142.9718) * CHOOSE(CONTROL!$C$21, $C$9, 100%, $E$9)</f>
        <v>142.9718</v>
      </c>
      <c r="Q1035" s="14">
        <f>CHOOSE(CONTROL!$C$42, 143.2004, 143.2004) * CHOOSE(CONTROL!$C$21, $C$9, 100%, $E$9)</f>
        <v>143.2004</v>
      </c>
      <c r="R1035" s="14">
        <f>CHOOSE(CONTROL!$C$42, 144.1454, 144.1454) * CHOOSE(CONTROL!$C$21, $C$9, 100%, $E$9)</f>
        <v>144.1454</v>
      </c>
      <c r="S1035" s="14">
        <f>CHOOSE(CONTROL!$C$42, 139.7765, 139.7765) * CHOOSE(CONTROL!$C$21, $C$9, 100%, $E$9)</f>
        <v>139.7765</v>
      </c>
      <c r="T1035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56">
        <f>(1000*CHOOSE(CONTROL!$C$42, 695, 695)*CHOOSE(CONTROL!$C$42, 0.5599, 0.5599)*CHOOSE(CONTROL!$C$42, 31, 31))/1000000</f>
        <v>12.063045499999998</v>
      </c>
      <c r="V1035" s="56">
        <f>(1000*CHOOSE(CONTROL!$C$42, 500, 500)*CHOOSE(CONTROL!$C$42, 0.275, 0.275)*CHOOSE(CONTROL!$C$42, 31, 31))/1000000</f>
        <v>4.2625000000000002</v>
      </c>
      <c r="W1035" s="56">
        <f>(1000*CHOOSE(CONTROL!$C$42, 0.1146, 0.1146)*CHOOSE(CONTROL!$C$42, 121.5, 121.5)*CHOOSE(CONTROL!$C$42, 31, 31))/1000000</f>
        <v>0.43164089999999994</v>
      </c>
      <c r="X1035" s="56">
        <f>(31*0.1790888*100000/1000000)+(31*0.2374*100000/1000000)</f>
        <v>1.2911152800000001</v>
      </c>
      <c r="Y1035" s="56"/>
      <c r="Z1035" s="14"/>
      <c r="AA1035" s="55"/>
      <c r="AB1035" s="49">
        <f>(B1035*122.58+C1035*297.941+D1035*89.177+E1035*40.302+F1035*40+G1035*160+H1035*0+I1035*100+J1035*300)/(122.58+297.941+89.177+40.302+0+40+160+100+300)</f>
        <v>145.53792092260872</v>
      </c>
      <c r="AC1035" s="44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142.62276762589929</v>
      </c>
    </row>
    <row r="1036" spans="1:29" ht="15.75" x14ac:dyDescent="0.25">
      <c r="A1036" s="31">
        <v>72440</v>
      </c>
      <c r="B1036" s="14">
        <f>CHOOSE(CONTROL!$C$42, 145.0385, 145.0385) * CHOOSE(CONTROL!$C$21, $C$9, 100%, $E$9)</f>
        <v>145.0385</v>
      </c>
      <c r="C1036" s="14">
        <f>CHOOSE(CONTROL!$C$42, 145.043, 145.043) * CHOOSE(CONTROL!$C$21, $C$9, 100%, $E$9)</f>
        <v>145.04300000000001</v>
      </c>
      <c r="D1036" s="14">
        <f>CHOOSE(CONTROL!$C$42, 145.2719, 145.2719) * CHOOSE(CONTROL!$C$21, $C$9, 100%, $E$9)</f>
        <v>145.27189999999999</v>
      </c>
      <c r="E1036" s="14">
        <f>CHOOSE(CONTROL!$C$42, 145.304, 145.304) * CHOOSE(CONTROL!$C$21, $C$9, 100%, $E$9)</f>
        <v>145.304</v>
      </c>
      <c r="F1036" s="14">
        <f>CHOOSE(CONTROL!$C$42, 145.0655, 145.0655)*CHOOSE(CONTROL!$C$21, $C$9, 100%, $E$9)</f>
        <v>145.06549999999999</v>
      </c>
      <c r="G1036" s="14">
        <f>CHOOSE(CONTROL!$C$42, 145.0822, 145.0822)*CHOOSE(CONTROL!$C$21, $C$9, 100%, $E$9)</f>
        <v>145.0822</v>
      </c>
      <c r="H1036" s="14">
        <f>CHOOSE(CONTROL!$C$42, 145.2938, 145.2938) * CHOOSE(CONTROL!$C$21, $C$9, 100%, $E$9)</f>
        <v>145.2938</v>
      </c>
      <c r="I1036" s="14">
        <f>CHOOSE(CONTROL!$C$42, 145.5257, 145.5257)* CHOOSE(CONTROL!$C$21, $C$9, 100%, $E$9)</f>
        <v>145.5257</v>
      </c>
      <c r="J1036" s="14">
        <f>CHOOSE(CONTROL!$C$42, 145.0585, 145.0585)* CHOOSE(CONTROL!$C$21, $C$9, 100%, $E$9)</f>
        <v>145.05850000000001</v>
      </c>
      <c r="K1036" s="52">
        <f>CHOOSE(CONTROL!$C$42, 145.5218, 145.5218) * CHOOSE(CONTROL!$C$21, $C$9, 100%, $E$9)</f>
        <v>145.52180000000001</v>
      </c>
      <c r="L1036" s="14">
        <f>CHOOSE(CONTROL!$C$42, 145.8808, 145.8808) * CHOOSE(CONTROL!$C$21, $C$9, 100%, $E$9)</f>
        <v>145.88079999999999</v>
      </c>
      <c r="M1036" s="14">
        <f>CHOOSE(CONTROL!$C$42, 142.0941, 142.0941) * CHOOSE(CONTROL!$C$21, $C$9, 100%, $E$9)</f>
        <v>142.0941</v>
      </c>
      <c r="N1036" s="14">
        <f>CHOOSE(CONTROL!$C$42, 142.1104, 142.1104) * CHOOSE(CONTROL!$C$21, $C$9, 100%, $E$9)</f>
        <v>142.1104</v>
      </c>
      <c r="O1036" s="14">
        <f>CHOOSE(CONTROL!$C$42, 142.3246, 142.3246) * CHOOSE(CONTROL!$C$21, $C$9, 100%, $E$9)</f>
        <v>142.3246</v>
      </c>
      <c r="P1036" s="14">
        <f>CHOOSE(CONTROL!$C$42, 142.5426, 142.5426) * CHOOSE(CONTROL!$C$21, $C$9, 100%, $E$9)</f>
        <v>142.54259999999999</v>
      </c>
      <c r="Q1036" s="14">
        <f>CHOOSE(CONTROL!$C$42, 142.9193, 142.9193) * CHOOSE(CONTROL!$C$21, $C$9, 100%, $E$9)</f>
        <v>142.91929999999999</v>
      </c>
      <c r="R1036" s="14">
        <f>CHOOSE(CONTROL!$C$42, 143.8635, 143.8635) * CHOOSE(CONTROL!$C$21, $C$9, 100%, $E$9)</f>
        <v>143.86349999999999</v>
      </c>
      <c r="S1036" s="14">
        <f>CHOOSE(CONTROL!$C$42, 139.3582, 139.3582) * CHOOSE(CONTROL!$C$21, $C$9, 100%, $E$9)</f>
        <v>139.35820000000001</v>
      </c>
      <c r="T1036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56">
        <f>(1000*CHOOSE(CONTROL!$C$42, 695, 695)*CHOOSE(CONTROL!$C$42, 0.5599, 0.5599)*CHOOSE(CONTROL!$C$42, 30, 30))/1000000</f>
        <v>11.673914999999997</v>
      </c>
      <c r="V1036" s="56">
        <f>(1000*CHOOSE(CONTROL!$C$42, 500, 500)*CHOOSE(CONTROL!$C$42, 0.275, 0.275)*CHOOSE(CONTROL!$C$42, 30, 30))/1000000</f>
        <v>4.125</v>
      </c>
      <c r="W1036" s="56">
        <f>(1000*CHOOSE(CONTROL!$C$42, 0.1146, 0.1146)*CHOOSE(CONTROL!$C$42, 121.5, 121.5)*CHOOSE(CONTROL!$C$42, 30, 30))/1000000</f>
        <v>0.417717</v>
      </c>
      <c r="X1036" s="56">
        <f>(30*0.1790888*245000/1000000)+(30*0.2374*100000/1000000)</f>
        <v>2.0285026799999999</v>
      </c>
      <c r="Y1036" s="56"/>
      <c r="Z1036" s="14"/>
      <c r="AA1036" s="55"/>
      <c r="AB1036" s="49">
        <f>(B1036*141.293+C1036*267.993+D1036*115.016+E1036*89.698+F1036*40+G1036*185+H1036*0+I1036*100+J1036*300)/(141.293+267.993+115.016+89.698+0+40+185+100+300)</f>
        <v>145.1319221322841</v>
      </c>
      <c r="AC1036" s="44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142.2640417266187</v>
      </c>
    </row>
    <row r="1037" spans="1:29" ht="15.75" x14ac:dyDescent="0.25">
      <c r="A1037" s="31">
        <v>72471</v>
      </c>
      <c r="B1037" s="14">
        <f>CHOOSE(CONTROL!$C$42, 146.32, 146.32) * CHOOSE(CONTROL!$C$21, $C$9, 100%, $E$9)</f>
        <v>146.32</v>
      </c>
      <c r="C1037" s="14">
        <f>CHOOSE(CONTROL!$C$42, 146.328, 146.328) * CHOOSE(CONTROL!$C$21, $C$9, 100%, $E$9)</f>
        <v>146.328</v>
      </c>
      <c r="D1037" s="14">
        <f>CHOOSE(CONTROL!$C$42, 146.5538, 146.5538) * CHOOSE(CONTROL!$C$21, $C$9, 100%, $E$9)</f>
        <v>146.5538</v>
      </c>
      <c r="E1037" s="14">
        <f>CHOOSE(CONTROL!$C$42, 146.5852, 146.5852) * CHOOSE(CONTROL!$C$21, $C$9, 100%, $E$9)</f>
        <v>146.58519999999999</v>
      </c>
      <c r="F1037" s="14">
        <f>CHOOSE(CONTROL!$C$42, 146.3456, 146.3456)*CHOOSE(CONTROL!$C$21, $C$9, 100%, $E$9)</f>
        <v>146.34559999999999</v>
      </c>
      <c r="G1037" s="14">
        <f>CHOOSE(CONTROL!$C$42, 146.3626, 146.3626)*CHOOSE(CONTROL!$C$21, $C$9, 100%, $E$9)</f>
        <v>146.36259999999999</v>
      </c>
      <c r="H1037" s="14">
        <f>CHOOSE(CONTROL!$C$42, 146.5739, 146.5739) * CHOOSE(CONTROL!$C$21, $C$9, 100%, $E$9)</f>
        <v>146.57390000000001</v>
      </c>
      <c r="I1037" s="14">
        <f>CHOOSE(CONTROL!$C$42, 146.8097, 146.8097)* CHOOSE(CONTROL!$C$21, $C$9, 100%, $E$9)</f>
        <v>146.80969999999999</v>
      </c>
      <c r="J1037" s="14">
        <f>CHOOSE(CONTROL!$C$42, 146.3386, 146.3386)* CHOOSE(CONTROL!$C$21, $C$9, 100%, $E$9)</f>
        <v>146.33860000000001</v>
      </c>
      <c r="K1037" s="52">
        <f>CHOOSE(CONTROL!$C$42, 146.8059, 146.8059) * CHOOSE(CONTROL!$C$21, $C$9, 100%, $E$9)</f>
        <v>146.80590000000001</v>
      </c>
      <c r="L1037" s="14">
        <f>CHOOSE(CONTROL!$C$42, 147.1609, 147.1609) * CHOOSE(CONTROL!$C$21, $C$9, 100%, $E$9)</f>
        <v>147.1609</v>
      </c>
      <c r="M1037" s="14">
        <f>CHOOSE(CONTROL!$C$42, 143.3479, 143.3479) * CHOOSE(CONTROL!$C$21, $C$9, 100%, $E$9)</f>
        <v>143.34790000000001</v>
      </c>
      <c r="N1037" s="14">
        <f>CHOOSE(CONTROL!$C$42, 143.3645, 143.3645) * CHOOSE(CONTROL!$C$21, $C$9, 100%, $E$9)</f>
        <v>143.36449999999999</v>
      </c>
      <c r="O1037" s="14">
        <f>CHOOSE(CONTROL!$C$42, 143.5784, 143.5784) * CHOOSE(CONTROL!$C$21, $C$9, 100%, $E$9)</f>
        <v>143.57839999999999</v>
      </c>
      <c r="P1037" s="14">
        <f>CHOOSE(CONTROL!$C$42, 143.8003, 143.8003) * CHOOSE(CONTROL!$C$21, $C$9, 100%, $E$9)</f>
        <v>143.80029999999999</v>
      </c>
      <c r="Q1037" s="14">
        <f>CHOOSE(CONTROL!$C$42, 144.1731, 144.1731) * CHOOSE(CONTROL!$C$21, $C$9, 100%, $E$9)</f>
        <v>144.17310000000001</v>
      </c>
      <c r="R1037" s="14">
        <f>CHOOSE(CONTROL!$C$42, 145.1205, 145.1205) * CHOOSE(CONTROL!$C$21, $C$9, 100%, $E$9)</f>
        <v>145.12049999999999</v>
      </c>
      <c r="S1037" s="14">
        <f>CHOOSE(CONTROL!$C$42, 140.5882, 140.5882) * CHOOSE(CONTROL!$C$21, $C$9, 100%, $E$9)</f>
        <v>140.5882</v>
      </c>
      <c r="T1037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56">
        <f>(1000*CHOOSE(CONTROL!$C$42, 695, 695)*CHOOSE(CONTROL!$C$42, 0.5599, 0.5599)*CHOOSE(CONTROL!$C$42, 31, 31))/1000000</f>
        <v>12.063045499999998</v>
      </c>
      <c r="V1037" s="56">
        <f>(1000*CHOOSE(CONTROL!$C$42, 500, 500)*CHOOSE(CONTROL!$C$42, 0.275, 0.275)*CHOOSE(CONTROL!$C$42, 31, 31))/1000000</f>
        <v>4.2625000000000002</v>
      </c>
      <c r="W1037" s="56">
        <f>(1000*CHOOSE(CONTROL!$C$42, 0.1146, 0.1146)*CHOOSE(CONTROL!$C$42, 121.5, 121.5)*CHOOSE(CONTROL!$C$42, 31, 31))/1000000</f>
        <v>0.43164089999999994</v>
      </c>
      <c r="X1037" s="56">
        <f>(31*0.1790888*245000/1000000)+(31*0.2374*100000/1000000)</f>
        <v>2.0961194359999999</v>
      </c>
      <c r="Y1037" s="56"/>
      <c r="Z1037" s="14"/>
      <c r="AA1037" s="55"/>
      <c r="AB1037" s="49">
        <f>(B1037*194.205+C1037*267.466+D1037*133.845+E1037*53.484+F1037*40+G1037*185+H1037*0+I1037*100+J1037*300)/(194.205+267.466+133.845+53.484+0+40+185+100+300)</f>
        <v>146.40718339544742</v>
      </c>
      <c r="AC1037" s="44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143.5184201438849</v>
      </c>
    </row>
    <row r="1038" spans="1:29" ht="15.75" x14ac:dyDescent="0.25">
      <c r="A1038" s="31">
        <v>72501</v>
      </c>
      <c r="B1038" s="14">
        <f>CHOOSE(CONTROL!$C$42, 150.4702, 150.4702) * CHOOSE(CONTROL!$C$21, $C$9, 100%, $E$9)</f>
        <v>150.47020000000001</v>
      </c>
      <c r="C1038" s="14">
        <f>CHOOSE(CONTROL!$C$42, 150.4782, 150.4782) * CHOOSE(CONTROL!$C$21, $C$9, 100%, $E$9)</f>
        <v>150.47819999999999</v>
      </c>
      <c r="D1038" s="14">
        <f>CHOOSE(CONTROL!$C$42, 150.704, 150.704) * CHOOSE(CONTROL!$C$21, $C$9, 100%, $E$9)</f>
        <v>150.70400000000001</v>
      </c>
      <c r="E1038" s="14">
        <f>CHOOSE(CONTROL!$C$42, 150.7355, 150.7355) * CHOOSE(CONTROL!$C$21, $C$9, 100%, $E$9)</f>
        <v>150.7355</v>
      </c>
      <c r="F1038" s="14">
        <f>CHOOSE(CONTROL!$C$42, 150.4963, 150.4963)*CHOOSE(CONTROL!$C$21, $C$9, 100%, $E$9)</f>
        <v>150.49629999999999</v>
      </c>
      <c r="G1038" s="14">
        <f>CHOOSE(CONTROL!$C$42, 150.5134, 150.5134)*CHOOSE(CONTROL!$C$21, $C$9, 100%, $E$9)</f>
        <v>150.51339999999999</v>
      </c>
      <c r="H1038" s="14">
        <f>CHOOSE(CONTROL!$C$42, 150.7241, 150.7241) * CHOOSE(CONTROL!$C$21, $C$9, 100%, $E$9)</f>
        <v>150.72409999999999</v>
      </c>
      <c r="I1038" s="14">
        <f>CHOOSE(CONTROL!$C$42, 150.973, 150.973)* CHOOSE(CONTROL!$C$21, $C$9, 100%, $E$9)</f>
        <v>150.97300000000001</v>
      </c>
      <c r="J1038" s="14">
        <f>CHOOSE(CONTROL!$C$42, 150.4893, 150.4893)* CHOOSE(CONTROL!$C$21, $C$9, 100%, $E$9)</f>
        <v>150.48929999999999</v>
      </c>
      <c r="K1038" s="52">
        <f>CHOOSE(CONTROL!$C$42, 150.9691, 150.9691) * CHOOSE(CONTROL!$C$21, $C$9, 100%, $E$9)</f>
        <v>150.9691</v>
      </c>
      <c r="L1038" s="14">
        <f>CHOOSE(CONTROL!$C$42, 151.3111, 151.3111) * CHOOSE(CONTROL!$C$21, $C$9, 100%, $E$9)</f>
        <v>151.31110000000001</v>
      </c>
      <c r="M1038" s="14">
        <f>CHOOSE(CONTROL!$C$42, 147.4136, 147.4136) * CHOOSE(CONTROL!$C$21, $C$9, 100%, $E$9)</f>
        <v>147.4136</v>
      </c>
      <c r="N1038" s="14">
        <f>CHOOSE(CONTROL!$C$42, 147.4303, 147.4303) * CHOOSE(CONTROL!$C$21, $C$9, 100%, $E$9)</f>
        <v>147.43029999999999</v>
      </c>
      <c r="O1038" s="14">
        <f>CHOOSE(CONTROL!$C$42, 147.6436, 147.6436) * CHOOSE(CONTROL!$C$21, $C$9, 100%, $E$9)</f>
        <v>147.64359999999999</v>
      </c>
      <c r="P1038" s="14">
        <f>CHOOSE(CONTROL!$C$42, 147.8779, 147.8779) * CHOOSE(CONTROL!$C$21, $C$9, 100%, $E$9)</f>
        <v>147.87790000000001</v>
      </c>
      <c r="Q1038" s="14">
        <f>CHOOSE(CONTROL!$C$42, 148.2383, 148.2383) * CHOOSE(CONTROL!$C$21, $C$9, 100%, $E$9)</f>
        <v>148.23830000000001</v>
      </c>
      <c r="R1038" s="14">
        <f>CHOOSE(CONTROL!$C$42, 149.1959, 149.1959) * CHOOSE(CONTROL!$C$21, $C$9, 100%, $E$9)</f>
        <v>149.19589999999999</v>
      </c>
      <c r="S1038" s="14">
        <f>CHOOSE(CONTROL!$C$42, 144.5762, 144.5762) * CHOOSE(CONTROL!$C$21, $C$9, 100%, $E$9)</f>
        <v>144.5762</v>
      </c>
      <c r="T1038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56">
        <f>(1000*CHOOSE(CONTROL!$C$42, 695, 695)*CHOOSE(CONTROL!$C$42, 0.5599, 0.5599)*CHOOSE(CONTROL!$C$42, 30, 30))/1000000</f>
        <v>11.673914999999997</v>
      </c>
      <c r="V1038" s="56">
        <f>(1000*CHOOSE(CONTROL!$C$42, 500, 500)*CHOOSE(CONTROL!$C$42, 0.275, 0.275)*CHOOSE(CONTROL!$C$42, 30, 30))/1000000</f>
        <v>4.125</v>
      </c>
      <c r="W1038" s="56">
        <f>(1000*CHOOSE(CONTROL!$C$42, 0.1146, 0.1146)*CHOOSE(CONTROL!$C$42, 121.5, 121.5)*CHOOSE(CONTROL!$C$42, 30, 30))/1000000</f>
        <v>0.417717</v>
      </c>
      <c r="X1038" s="56">
        <f>(30*0.1790888*245000/1000000)+(30*0.2374*100000/1000000)</f>
        <v>2.0285026799999999</v>
      </c>
      <c r="Y1038" s="56"/>
      <c r="Z1038" s="14"/>
      <c r="AA1038" s="55"/>
      <c r="AB1038" s="49">
        <f>(B1038*194.205+C1038*267.466+D1038*133.845+E1038*53.484+F1038*40+G1038*185+H1038*0+I1038*100+J1038*300)/(194.205+267.466+133.845+53.484+0+40+185+100+300)</f>
        <v>150.55863641616952</v>
      </c>
      <c r="AC1038" s="44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147.58561151079138</v>
      </c>
    </row>
    <row r="1039" spans="1:29" ht="15.75" x14ac:dyDescent="0.25">
      <c r="A1039" s="31">
        <v>72532</v>
      </c>
      <c r="B1039" s="14">
        <f>CHOOSE(CONTROL!$C$42, 147.5837, 147.5837) * CHOOSE(CONTROL!$C$21, $C$9, 100%, $E$9)</f>
        <v>147.58369999999999</v>
      </c>
      <c r="C1039" s="14">
        <f>CHOOSE(CONTROL!$C$42, 147.5917, 147.5917) * CHOOSE(CONTROL!$C$21, $C$9, 100%, $E$9)</f>
        <v>147.5917</v>
      </c>
      <c r="D1039" s="14">
        <f>CHOOSE(CONTROL!$C$42, 147.8175, 147.8175) * CHOOSE(CONTROL!$C$21, $C$9, 100%, $E$9)</f>
        <v>147.8175</v>
      </c>
      <c r="E1039" s="14">
        <f>CHOOSE(CONTROL!$C$42, 147.849, 147.849) * CHOOSE(CONTROL!$C$21, $C$9, 100%, $E$9)</f>
        <v>147.84899999999999</v>
      </c>
      <c r="F1039" s="14">
        <f>CHOOSE(CONTROL!$C$42, 147.6103, 147.6103)*CHOOSE(CONTROL!$C$21, $C$9, 100%, $E$9)</f>
        <v>147.6103</v>
      </c>
      <c r="G1039" s="14">
        <f>CHOOSE(CONTROL!$C$42, 147.6275, 147.6275)*CHOOSE(CONTROL!$C$21, $C$9, 100%, $E$9)</f>
        <v>147.6275</v>
      </c>
      <c r="H1039" s="14">
        <f>CHOOSE(CONTROL!$C$42, 147.8376, 147.8376) * CHOOSE(CONTROL!$C$21, $C$9, 100%, $E$9)</f>
        <v>147.83760000000001</v>
      </c>
      <c r="I1039" s="14">
        <f>CHOOSE(CONTROL!$C$42, 148.0774, 148.0774)* CHOOSE(CONTROL!$C$21, $C$9, 100%, $E$9)</f>
        <v>148.07740000000001</v>
      </c>
      <c r="J1039" s="14">
        <f>CHOOSE(CONTROL!$C$42, 147.6033, 147.6033)* CHOOSE(CONTROL!$C$21, $C$9, 100%, $E$9)</f>
        <v>147.60329999999999</v>
      </c>
      <c r="K1039" s="52">
        <f>CHOOSE(CONTROL!$C$42, 148.0735, 148.0735) * CHOOSE(CONTROL!$C$21, $C$9, 100%, $E$9)</f>
        <v>148.0735</v>
      </c>
      <c r="L1039" s="14">
        <f>CHOOSE(CONTROL!$C$42, 148.4246, 148.4246) * CHOOSE(CONTROL!$C$21, $C$9, 100%, $E$9)</f>
        <v>148.4246</v>
      </c>
      <c r="M1039" s="14">
        <f>CHOOSE(CONTROL!$C$42, 144.5867, 144.5867) * CHOOSE(CONTROL!$C$21, $C$9, 100%, $E$9)</f>
        <v>144.58670000000001</v>
      </c>
      <c r="N1039" s="14">
        <f>CHOOSE(CONTROL!$C$42, 144.6035, 144.6035) * CHOOSE(CONTROL!$C$21, $C$9, 100%, $E$9)</f>
        <v>144.6035</v>
      </c>
      <c r="O1039" s="14">
        <f>CHOOSE(CONTROL!$C$42, 144.8162, 144.8162) * CHOOSE(CONTROL!$C$21, $C$9, 100%, $E$9)</f>
        <v>144.81620000000001</v>
      </c>
      <c r="P1039" s="14">
        <f>CHOOSE(CONTROL!$C$42, 145.0419, 145.0419) * CHOOSE(CONTROL!$C$21, $C$9, 100%, $E$9)</f>
        <v>145.0419</v>
      </c>
      <c r="Q1039" s="14">
        <f>CHOOSE(CONTROL!$C$42, 145.4109, 145.4109) * CHOOSE(CONTROL!$C$21, $C$9, 100%, $E$9)</f>
        <v>145.4109</v>
      </c>
      <c r="R1039" s="14">
        <f>CHOOSE(CONTROL!$C$42, 146.3614, 146.3614) * CHOOSE(CONTROL!$C$21, $C$9, 100%, $E$9)</f>
        <v>146.3614</v>
      </c>
      <c r="S1039" s="14">
        <f>CHOOSE(CONTROL!$C$42, 141.8025, 141.8025) * CHOOSE(CONTROL!$C$21, $C$9, 100%, $E$9)</f>
        <v>141.80250000000001</v>
      </c>
      <c r="T1039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56">
        <f>(1000*CHOOSE(CONTROL!$C$42, 695, 695)*CHOOSE(CONTROL!$C$42, 0.5599, 0.5599)*CHOOSE(CONTROL!$C$42, 31, 31))/1000000</f>
        <v>12.063045499999998</v>
      </c>
      <c r="V1039" s="56">
        <f>(1000*CHOOSE(CONTROL!$C$42, 500, 500)*CHOOSE(CONTROL!$C$42, 0.275, 0.275)*CHOOSE(CONTROL!$C$42, 31, 31))/1000000</f>
        <v>4.2625000000000002</v>
      </c>
      <c r="W1039" s="56">
        <f>(1000*CHOOSE(CONTROL!$C$42, 0.1146, 0.1146)*CHOOSE(CONTROL!$C$42, 121.5, 121.5)*CHOOSE(CONTROL!$C$42, 31, 31))/1000000</f>
        <v>0.43164089999999994</v>
      </c>
      <c r="X1039" s="56">
        <f>(31*0.1790888*245000/1000000)+(31*0.2374*100000/1000000)</f>
        <v>2.0961194359999999</v>
      </c>
      <c r="Y1039" s="56"/>
      <c r="Z1039" s="14"/>
      <c r="AA1039" s="55"/>
      <c r="AB1039" s="49">
        <f>(B1039*194.205+C1039*267.466+D1039*133.845+E1039*53.484+F1039*40+G1039*185+H1039*0+I1039*100+J1039*300)/(194.205+267.466+133.845+53.484+0+40+185+100+300)</f>
        <v>147.67164269560439</v>
      </c>
      <c r="AC1039" s="44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144.75718129496406</v>
      </c>
    </row>
    <row r="1040" spans="1:29" ht="15.75" x14ac:dyDescent="0.25">
      <c r="A1040" s="31">
        <v>72563</v>
      </c>
      <c r="B1040" s="14">
        <f>CHOOSE(CONTROL!$C$42, 140.2943, 140.2943) * CHOOSE(CONTROL!$C$21, $C$9, 100%, $E$9)</f>
        <v>140.29429999999999</v>
      </c>
      <c r="C1040" s="14">
        <f>CHOOSE(CONTROL!$C$42, 140.3023, 140.3023) * CHOOSE(CONTROL!$C$21, $C$9, 100%, $E$9)</f>
        <v>140.3023</v>
      </c>
      <c r="D1040" s="14">
        <f>CHOOSE(CONTROL!$C$42, 140.5281, 140.5281) * CHOOSE(CONTROL!$C$21, $C$9, 100%, $E$9)</f>
        <v>140.52809999999999</v>
      </c>
      <c r="E1040" s="14">
        <f>CHOOSE(CONTROL!$C$42, 140.5596, 140.5596) * CHOOSE(CONTROL!$C$21, $C$9, 100%, $E$9)</f>
        <v>140.55959999999999</v>
      </c>
      <c r="F1040" s="14">
        <f>CHOOSE(CONTROL!$C$42, 140.3211, 140.3211)*CHOOSE(CONTROL!$C$21, $C$9, 100%, $E$9)</f>
        <v>140.3211</v>
      </c>
      <c r="G1040" s="14">
        <f>CHOOSE(CONTROL!$C$42, 140.3384, 140.3384)*CHOOSE(CONTROL!$C$21, $C$9, 100%, $E$9)</f>
        <v>140.33840000000001</v>
      </c>
      <c r="H1040" s="14">
        <f>CHOOSE(CONTROL!$C$42, 140.5482, 140.5482) * CHOOSE(CONTROL!$C$21, $C$9, 100%, $E$9)</f>
        <v>140.54820000000001</v>
      </c>
      <c r="I1040" s="14">
        <f>CHOOSE(CONTROL!$C$42, 140.7652, 140.7652)* CHOOSE(CONTROL!$C$21, $C$9, 100%, $E$9)</f>
        <v>140.76519999999999</v>
      </c>
      <c r="J1040" s="14">
        <f>CHOOSE(CONTROL!$C$42, 140.3141, 140.3141)* CHOOSE(CONTROL!$C$21, $C$9, 100%, $E$9)</f>
        <v>140.3141</v>
      </c>
      <c r="K1040" s="52">
        <f>CHOOSE(CONTROL!$C$42, 140.7613, 140.7613) * CHOOSE(CONTROL!$C$21, $C$9, 100%, $E$9)</f>
        <v>140.76130000000001</v>
      </c>
      <c r="L1040" s="14">
        <f>CHOOSE(CONTROL!$C$42, 141.1352, 141.1352) * CHOOSE(CONTROL!$C$21, $C$9, 100%, $E$9)</f>
        <v>141.1352</v>
      </c>
      <c r="M1040" s="14">
        <f>CHOOSE(CONTROL!$C$42, 137.4469, 137.4469) * CHOOSE(CONTROL!$C$21, $C$9, 100%, $E$9)</f>
        <v>137.4469</v>
      </c>
      <c r="N1040" s="14">
        <f>CHOOSE(CONTROL!$C$42, 137.4638, 137.4638) * CHOOSE(CONTROL!$C$21, $C$9, 100%, $E$9)</f>
        <v>137.46379999999999</v>
      </c>
      <c r="O1040" s="14">
        <f>CHOOSE(CONTROL!$C$42, 137.6762, 137.6762) * CHOOSE(CONTROL!$C$21, $C$9, 100%, $E$9)</f>
        <v>137.67619999999999</v>
      </c>
      <c r="P1040" s="14">
        <f>CHOOSE(CONTROL!$C$42, 137.88, 137.88) * CHOOSE(CONTROL!$C$21, $C$9, 100%, $E$9)</f>
        <v>137.88</v>
      </c>
      <c r="Q1040" s="14">
        <f>CHOOSE(CONTROL!$C$42, 138.2709, 138.2709) * CHOOSE(CONTROL!$C$21, $C$9, 100%, $E$9)</f>
        <v>138.27090000000001</v>
      </c>
      <c r="R1040" s="14">
        <f>CHOOSE(CONTROL!$C$42, 139.2036, 139.2036) * CHOOSE(CONTROL!$C$21, $C$9, 100%, $E$9)</f>
        <v>139.20359999999999</v>
      </c>
      <c r="S1040" s="14">
        <f>CHOOSE(CONTROL!$C$42, 134.7982, 134.7982) * CHOOSE(CONTROL!$C$21, $C$9, 100%, $E$9)</f>
        <v>134.79820000000001</v>
      </c>
      <c r="T1040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56">
        <f>(1000*CHOOSE(CONTROL!$C$42, 695, 695)*CHOOSE(CONTROL!$C$42, 0.5599, 0.5599)*CHOOSE(CONTROL!$C$42, 31, 31))/1000000</f>
        <v>12.063045499999998</v>
      </c>
      <c r="V1040" s="56">
        <f>(1000*CHOOSE(CONTROL!$C$42, 500, 500)*CHOOSE(CONTROL!$C$42, 0.275, 0.275)*CHOOSE(CONTROL!$C$42, 31, 31))/1000000</f>
        <v>4.2625000000000002</v>
      </c>
      <c r="W1040" s="56">
        <f>(1000*CHOOSE(CONTROL!$C$42, 0.1146, 0.1146)*CHOOSE(CONTROL!$C$42, 121.5, 121.5)*CHOOSE(CONTROL!$C$42, 31, 31))/1000000</f>
        <v>0.43164089999999994</v>
      </c>
      <c r="X1040" s="56">
        <f>(31*0.1790888*245000/1000000)+(31*0.2374*100000/1000000)</f>
        <v>2.0961194359999999</v>
      </c>
      <c r="Y1040" s="56"/>
      <c r="Z1040" s="14"/>
      <c r="AA1040" s="55"/>
      <c r="AB1040" s="49">
        <f>(B1040*194.205+C1040*267.466+D1040*133.845+E1040*53.484+F1040*40+G1040*185+H1040*0+I1040*100+J1040*300)/(194.205+267.466+133.845+53.484+0+40+185+100+300)</f>
        <v>140.38054999544741</v>
      </c>
      <c r="AC1040" s="44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137.6141165467626</v>
      </c>
    </row>
    <row r="1041" spans="1:29" ht="15.75" x14ac:dyDescent="0.25">
      <c r="A1041" s="31">
        <v>72593</v>
      </c>
      <c r="B1041" s="14">
        <f>CHOOSE(CONTROL!$C$42, 131.3879, 131.3879) * CHOOSE(CONTROL!$C$21, $C$9, 100%, $E$9)</f>
        <v>131.3879</v>
      </c>
      <c r="C1041" s="14">
        <f>CHOOSE(CONTROL!$C$42, 131.3959, 131.3959) * CHOOSE(CONTROL!$C$21, $C$9, 100%, $E$9)</f>
        <v>131.39590000000001</v>
      </c>
      <c r="D1041" s="14">
        <f>CHOOSE(CONTROL!$C$42, 131.6217, 131.6217) * CHOOSE(CONTROL!$C$21, $C$9, 100%, $E$9)</f>
        <v>131.6217</v>
      </c>
      <c r="E1041" s="14">
        <f>CHOOSE(CONTROL!$C$42, 131.6531, 131.6531) * CHOOSE(CONTROL!$C$21, $C$9, 100%, $E$9)</f>
        <v>131.65309999999999</v>
      </c>
      <c r="F1041" s="14">
        <f>CHOOSE(CONTROL!$C$42, 131.4147, 131.4147)*CHOOSE(CONTROL!$C$21, $C$9, 100%, $E$9)</f>
        <v>131.41470000000001</v>
      </c>
      <c r="G1041" s="14">
        <f>CHOOSE(CONTROL!$C$42, 131.4319, 131.4319)*CHOOSE(CONTROL!$C$21, $C$9, 100%, $E$9)</f>
        <v>131.43190000000001</v>
      </c>
      <c r="H1041" s="14">
        <f>CHOOSE(CONTROL!$C$42, 131.6418, 131.6418) * CHOOSE(CONTROL!$C$21, $C$9, 100%, $E$9)</f>
        <v>131.64179999999999</v>
      </c>
      <c r="I1041" s="14">
        <f>CHOOSE(CONTROL!$C$42, 131.8309, 131.8309)* CHOOSE(CONTROL!$C$21, $C$9, 100%, $E$9)</f>
        <v>131.83090000000001</v>
      </c>
      <c r="J1041" s="14">
        <f>CHOOSE(CONTROL!$C$42, 131.4077, 131.4077)* CHOOSE(CONTROL!$C$21, $C$9, 100%, $E$9)</f>
        <v>131.40770000000001</v>
      </c>
      <c r="K1041" s="52">
        <f>CHOOSE(CONTROL!$C$42, 131.827, 131.827) * CHOOSE(CONTROL!$C$21, $C$9, 100%, $E$9)</f>
        <v>131.827</v>
      </c>
      <c r="L1041" s="14">
        <f>CHOOSE(CONTROL!$C$42, 132.2288, 132.2288) * CHOOSE(CONTROL!$C$21, $C$9, 100%, $E$9)</f>
        <v>132.22880000000001</v>
      </c>
      <c r="M1041" s="14">
        <f>CHOOSE(CONTROL!$C$42, 128.7229, 128.7229) * CHOOSE(CONTROL!$C$21, $C$9, 100%, $E$9)</f>
        <v>128.72290000000001</v>
      </c>
      <c r="N1041" s="14">
        <f>CHOOSE(CONTROL!$C$42, 128.7398, 128.7398) * CHOOSE(CONTROL!$C$21, $C$9, 100%, $E$9)</f>
        <v>128.7398</v>
      </c>
      <c r="O1041" s="14">
        <f>CHOOSE(CONTROL!$C$42, 128.9522, 128.9522) * CHOOSE(CONTROL!$C$21, $C$9, 100%, $E$9)</f>
        <v>128.9522</v>
      </c>
      <c r="P1041" s="14">
        <f>CHOOSE(CONTROL!$C$42, 129.1292, 129.1292) * CHOOSE(CONTROL!$C$21, $C$9, 100%, $E$9)</f>
        <v>129.1292</v>
      </c>
      <c r="Q1041" s="14">
        <f>CHOOSE(CONTROL!$C$42, 129.5469, 129.5469) * CHOOSE(CONTROL!$C$21, $C$9, 100%, $E$9)</f>
        <v>129.54689999999999</v>
      </c>
      <c r="R1041" s="14">
        <f>CHOOSE(CONTROL!$C$42, 130.4578, 130.4578) * CHOOSE(CONTROL!$C$21, $C$9, 100%, $E$9)</f>
        <v>130.45779999999999</v>
      </c>
      <c r="S1041" s="14">
        <f>CHOOSE(CONTROL!$C$42, 126.24, 126.24) * CHOOSE(CONTROL!$C$21, $C$9, 100%, $E$9)</f>
        <v>126.24</v>
      </c>
      <c r="T1041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56">
        <f>(1000*CHOOSE(CONTROL!$C$42, 695, 695)*CHOOSE(CONTROL!$C$42, 0.5599, 0.5599)*CHOOSE(CONTROL!$C$42, 30, 30))/1000000</f>
        <v>11.673914999999997</v>
      </c>
      <c r="V1041" s="56">
        <f>(1000*CHOOSE(CONTROL!$C$42, 500, 500)*CHOOSE(CONTROL!$C$42, 0.275, 0.275)*CHOOSE(CONTROL!$C$42, 30, 30))/1000000</f>
        <v>4.125</v>
      </c>
      <c r="W1041" s="56">
        <f>(1000*CHOOSE(CONTROL!$C$42, 0.1146, 0.1146)*CHOOSE(CONTROL!$C$42, 121.5, 121.5)*CHOOSE(CONTROL!$C$42, 30, 30))/1000000</f>
        <v>0.417717</v>
      </c>
      <c r="X1041" s="56">
        <f>(30*0.1790888*245000/1000000)+(30*0.2374*100000/1000000)</f>
        <v>2.0285026799999999</v>
      </c>
      <c r="Y1041" s="56"/>
      <c r="Z1041" s="14"/>
      <c r="AA1041" s="55"/>
      <c r="AB1041" s="49">
        <f>(B1041*194.205+C1041*267.466+D1041*133.845+E1041*53.484+F1041*40+G1041*185+H1041*0+I1041*100+J1041*300)/(194.205+267.466+133.845+53.484+0+40+185+100+300)</f>
        <v>131.47194132323395</v>
      </c>
      <c r="AC1041" s="44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128.88626043165468</v>
      </c>
    </row>
    <row r="1042" spans="1:29" ht="15.75" x14ac:dyDescent="0.25">
      <c r="A1042" s="31">
        <v>72624</v>
      </c>
      <c r="B1042" s="14">
        <f>CHOOSE(CONTROL!$C$42, 128.7186, 128.7186) * CHOOSE(CONTROL!$C$21, $C$9, 100%, $E$9)</f>
        <v>128.71860000000001</v>
      </c>
      <c r="C1042" s="14">
        <f>CHOOSE(CONTROL!$C$42, 128.7239, 128.7239) * CHOOSE(CONTROL!$C$21, $C$9, 100%, $E$9)</f>
        <v>128.72389999999999</v>
      </c>
      <c r="D1042" s="14">
        <f>CHOOSE(CONTROL!$C$42, 128.9547, 128.9547) * CHOOSE(CONTROL!$C$21, $C$9, 100%, $E$9)</f>
        <v>128.9547</v>
      </c>
      <c r="E1042" s="14">
        <f>CHOOSE(CONTROL!$C$42, 128.9838, 128.9838) * CHOOSE(CONTROL!$C$21, $C$9, 100%, $E$9)</f>
        <v>128.9838</v>
      </c>
      <c r="F1042" s="14">
        <f>CHOOSE(CONTROL!$C$42, 128.7475, 128.7475)*CHOOSE(CONTROL!$C$21, $C$9, 100%, $E$9)</f>
        <v>128.7475</v>
      </c>
      <c r="G1042" s="14">
        <f>CHOOSE(CONTROL!$C$42, 128.7646, 128.7646)*CHOOSE(CONTROL!$C$21, $C$9, 100%, $E$9)</f>
        <v>128.7646</v>
      </c>
      <c r="H1042" s="14">
        <f>CHOOSE(CONTROL!$C$42, 128.9743, 128.9743) * CHOOSE(CONTROL!$C$21, $C$9, 100%, $E$9)</f>
        <v>128.9743</v>
      </c>
      <c r="I1042" s="14">
        <f>CHOOSE(CONTROL!$C$42, 129.1551, 129.1551)* CHOOSE(CONTROL!$C$21, $C$9, 100%, $E$9)</f>
        <v>129.1551</v>
      </c>
      <c r="J1042" s="14">
        <f>CHOOSE(CONTROL!$C$42, 128.7405, 128.7405)* CHOOSE(CONTROL!$C$21, $C$9, 100%, $E$9)</f>
        <v>128.7405</v>
      </c>
      <c r="K1042" s="52">
        <f>CHOOSE(CONTROL!$C$42, 129.1512, 129.1512) * CHOOSE(CONTROL!$C$21, $C$9, 100%, $E$9)</f>
        <v>129.15119999999999</v>
      </c>
      <c r="L1042" s="14">
        <f>CHOOSE(CONTROL!$C$42, 129.5613, 129.5613) * CHOOSE(CONTROL!$C$21, $C$9, 100%, $E$9)</f>
        <v>129.56129999999999</v>
      </c>
      <c r="M1042" s="14">
        <f>CHOOSE(CONTROL!$C$42, 126.1104, 126.1104) * CHOOSE(CONTROL!$C$21, $C$9, 100%, $E$9)</f>
        <v>126.1104</v>
      </c>
      <c r="N1042" s="14">
        <f>CHOOSE(CONTROL!$C$42, 126.1271, 126.1271) * CHOOSE(CONTROL!$C$21, $C$9, 100%, $E$9)</f>
        <v>126.1271</v>
      </c>
      <c r="O1042" s="14">
        <f>CHOOSE(CONTROL!$C$42, 126.3394, 126.3394) * CHOOSE(CONTROL!$C$21, $C$9, 100%, $E$9)</f>
        <v>126.3394</v>
      </c>
      <c r="P1042" s="14">
        <f>CHOOSE(CONTROL!$C$42, 126.5084, 126.5084) * CHOOSE(CONTROL!$C$21, $C$9, 100%, $E$9)</f>
        <v>126.50839999999999</v>
      </c>
      <c r="Q1042" s="14">
        <f>CHOOSE(CONTROL!$C$42, 126.9341, 126.9341) * CHOOSE(CONTROL!$C$21, $C$9, 100%, $E$9)</f>
        <v>126.9341</v>
      </c>
      <c r="R1042" s="14">
        <f>CHOOSE(CONTROL!$C$42, 127.8384, 127.8384) * CHOOSE(CONTROL!$C$21, $C$9, 100%, $E$9)</f>
        <v>127.83839999999999</v>
      </c>
      <c r="S1042" s="14">
        <f>CHOOSE(CONTROL!$C$42, 123.6768, 123.6768) * CHOOSE(CONTROL!$C$21, $C$9, 100%, $E$9)</f>
        <v>123.6768</v>
      </c>
      <c r="T1042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56">
        <f>(1000*CHOOSE(CONTROL!$C$42, 695, 695)*CHOOSE(CONTROL!$C$42, 0.5599, 0.5599)*CHOOSE(CONTROL!$C$42, 31, 31))/1000000</f>
        <v>12.063045499999998</v>
      </c>
      <c r="V1042" s="56">
        <f>(1000*CHOOSE(CONTROL!$C$42, 500, 500)*CHOOSE(CONTROL!$C$42, 0.275, 0.275)*CHOOSE(CONTROL!$C$42, 31, 31))/1000000</f>
        <v>4.2625000000000002</v>
      </c>
      <c r="W1042" s="56">
        <f>(1000*CHOOSE(CONTROL!$C$42, 0.1146, 0.1146)*CHOOSE(CONTROL!$C$42, 121.5, 121.5)*CHOOSE(CONTROL!$C$42, 31, 31))/1000000</f>
        <v>0.43164089999999994</v>
      </c>
      <c r="X1042" s="56">
        <f>(31*0.1790888*245000/1000000)+(31*0.2374*100000/1000000)</f>
        <v>2.0961194359999999</v>
      </c>
      <c r="Y1042" s="56"/>
      <c r="Z1042" s="14"/>
      <c r="AA1042" s="55"/>
      <c r="AB1042" s="49">
        <f>(B1042*131.881+C1042*277.167+D1042*79.08+E1042*125.872+F1042*40+G1042*185+H1042*0+I1042*100+J1042*300)/(131.881+277.167+79.08+125.872+0+40+185+100+300)</f>
        <v>128.81013109564165</v>
      </c>
      <c r="AC1042" s="44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126.27241870503597</v>
      </c>
    </row>
    <row r="1043" spans="1:29" ht="15.75" x14ac:dyDescent="0.25">
      <c r="A1043" s="31">
        <v>72654</v>
      </c>
      <c r="B1043" s="14">
        <f>CHOOSE(CONTROL!$C$42, 132.109, 132.109) * CHOOSE(CONTROL!$C$21, $C$9, 100%, $E$9)</f>
        <v>132.10900000000001</v>
      </c>
      <c r="C1043" s="14">
        <f>CHOOSE(CONTROL!$C$42, 132.1141, 132.1141) * CHOOSE(CONTROL!$C$21, $C$9, 100%, $E$9)</f>
        <v>132.11410000000001</v>
      </c>
      <c r="D1043" s="14">
        <f>CHOOSE(CONTROL!$C$42, 132.1831, 132.1831) * CHOOSE(CONTROL!$C$21, $C$9, 100%, $E$9)</f>
        <v>132.1831</v>
      </c>
      <c r="E1043" s="14">
        <f>CHOOSE(CONTROL!$C$42, 132.2172, 132.2172) * CHOOSE(CONTROL!$C$21, $C$9, 100%, $E$9)</f>
        <v>132.21719999999999</v>
      </c>
      <c r="F1043" s="14">
        <f>CHOOSE(CONTROL!$C$42, 132.1446, 132.1446)*CHOOSE(CONTROL!$C$21, $C$9, 100%, $E$9)</f>
        <v>132.1446</v>
      </c>
      <c r="G1043" s="14">
        <f>CHOOSE(CONTROL!$C$42, 132.162, 132.162)*CHOOSE(CONTROL!$C$21, $C$9, 100%, $E$9)</f>
        <v>132.16200000000001</v>
      </c>
      <c r="H1043" s="14">
        <f>CHOOSE(CONTROL!$C$42, 132.2064, 132.2064) * CHOOSE(CONTROL!$C$21, $C$9, 100%, $E$9)</f>
        <v>132.2064</v>
      </c>
      <c r="I1043" s="14">
        <f>CHOOSE(CONTROL!$C$42, 132.5591, 132.5591)* CHOOSE(CONTROL!$C$21, $C$9, 100%, $E$9)</f>
        <v>132.5591</v>
      </c>
      <c r="J1043" s="14">
        <f>CHOOSE(CONTROL!$C$42, 132.1376, 132.1376)* CHOOSE(CONTROL!$C$21, $C$9, 100%, $E$9)</f>
        <v>132.13759999999999</v>
      </c>
      <c r="K1043" s="52">
        <f>CHOOSE(CONTROL!$C$42, 132.5552, 132.5552) * CHOOSE(CONTROL!$C$21, $C$9, 100%, $E$9)</f>
        <v>132.55520000000001</v>
      </c>
      <c r="L1043" s="14">
        <f>CHOOSE(CONTROL!$C$42, 132.7934, 132.7934) * CHOOSE(CONTROL!$C$21, $C$9, 100%, $E$9)</f>
        <v>132.79339999999999</v>
      </c>
      <c r="M1043" s="14">
        <f>CHOOSE(CONTROL!$C$42, 129.4379, 129.4379) * CHOOSE(CONTROL!$C$21, $C$9, 100%, $E$9)</f>
        <v>129.43790000000001</v>
      </c>
      <c r="N1043" s="14">
        <f>CHOOSE(CONTROL!$C$42, 129.4549, 129.4549) * CHOOSE(CONTROL!$C$21, $C$9, 100%, $E$9)</f>
        <v>129.45490000000001</v>
      </c>
      <c r="O1043" s="14">
        <f>CHOOSE(CONTROL!$C$42, 129.5053, 129.5053) * CHOOSE(CONTROL!$C$21, $C$9, 100%, $E$9)</f>
        <v>129.50530000000001</v>
      </c>
      <c r="P1043" s="14">
        <f>CHOOSE(CONTROL!$C$42, 129.8425, 129.8425) * CHOOSE(CONTROL!$C$21, $C$9, 100%, $E$9)</f>
        <v>129.8425</v>
      </c>
      <c r="Q1043" s="14">
        <f>CHOOSE(CONTROL!$C$42, 130.1, 130.1) * CHOOSE(CONTROL!$C$21, $C$9, 100%, $E$9)</f>
        <v>130.1</v>
      </c>
      <c r="R1043" s="14">
        <f>CHOOSE(CONTROL!$C$42, 131.0122, 131.0122) * CHOOSE(CONTROL!$C$21, $C$9, 100%, $E$9)</f>
        <v>131.01220000000001</v>
      </c>
      <c r="S1043" s="14">
        <f>CHOOSE(CONTROL!$C$42, 126.935, 126.935) * CHOOSE(CONTROL!$C$21, $C$9, 100%, $E$9)</f>
        <v>126.935</v>
      </c>
      <c r="T1043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56">
        <f>(1000*CHOOSE(CONTROL!$C$42, 695, 695)*CHOOSE(CONTROL!$C$42, 0.5599, 0.5599)*CHOOSE(CONTROL!$C$42, 30, 30))/1000000</f>
        <v>11.673914999999997</v>
      </c>
      <c r="V1043" s="56">
        <f>(1000*CHOOSE(CONTROL!$C$42, 500, 500)*CHOOSE(CONTROL!$C$42, 0.275, 0.275)*CHOOSE(CONTROL!$C$42, 30, 30))/1000000</f>
        <v>4.125</v>
      </c>
      <c r="W1043" s="56">
        <f>(1000*CHOOSE(CONTROL!$C$42, 0.1146, 0.1146)*CHOOSE(CONTROL!$C$42, 121.5, 121.5)*CHOOSE(CONTROL!$C$42, 30, 30))/1000000</f>
        <v>0.417717</v>
      </c>
      <c r="X1043" s="56">
        <f>(30*0.1790888*100000/1000000)+(30*0.2374*100000/1000000)</f>
        <v>1.2494664</v>
      </c>
      <c r="Y1043" s="56"/>
      <c r="Z1043" s="14"/>
      <c r="AA1043" s="55"/>
      <c r="AB1043" s="49">
        <f>(B1043*122.58+C1043*297.941+D1043*89.177+E1043*40.302+F1043*40+G1043*160+H1043*0+I1043*100+J1043*300)/(122.58+297.941+89.177+40.302+0+40+160+100+300)</f>
        <v>132.17507147060869</v>
      </c>
      <c r="AC1043" s="44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129.52764244604316</v>
      </c>
    </row>
    <row r="1044" spans="1:29" ht="15.75" x14ac:dyDescent="0.25">
      <c r="A1044" s="31">
        <v>72685</v>
      </c>
      <c r="B1044" s="14">
        <f>CHOOSE(CONTROL!$C$42, 141.1155, 141.1155) * CHOOSE(CONTROL!$C$21, $C$9, 100%, $E$9)</f>
        <v>141.1155</v>
      </c>
      <c r="C1044" s="14">
        <f>CHOOSE(CONTROL!$C$42, 141.1206, 141.1206) * CHOOSE(CONTROL!$C$21, $C$9, 100%, $E$9)</f>
        <v>141.1206</v>
      </c>
      <c r="D1044" s="14">
        <f>CHOOSE(CONTROL!$C$42, 141.1896, 141.1896) * CHOOSE(CONTROL!$C$21, $C$9, 100%, $E$9)</f>
        <v>141.18960000000001</v>
      </c>
      <c r="E1044" s="14">
        <f>CHOOSE(CONTROL!$C$42, 141.2237, 141.2237) * CHOOSE(CONTROL!$C$21, $C$9, 100%, $E$9)</f>
        <v>141.22370000000001</v>
      </c>
      <c r="F1044" s="14">
        <f>CHOOSE(CONTROL!$C$42, 141.1533, 141.1533)*CHOOSE(CONTROL!$C$21, $C$9, 100%, $E$9)</f>
        <v>141.1533</v>
      </c>
      <c r="G1044" s="14">
        <f>CHOOSE(CONTROL!$C$42, 141.1713, 141.1713)*CHOOSE(CONTROL!$C$21, $C$9, 100%, $E$9)</f>
        <v>141.1713</v>
      </c>
      <c r="H1044" s="14">
        <f>CHOOSE(CONTROL!$C$42, 141.2129, 141.2129) * CHOOSE(CONTROL!$C$21, $C$9, 100%, $E$9)</f>
        <v>141.21289999999999</v>
      </c>
      <c r="I1044" s="14">
        <f>CHOOSE(CONTROL!$C$42, 141.5938, 141.5938)* CHOOSE(CONTROL!$C$21, $C$9, 100%, $E$9)</f>
        <v>141.59379999999999</v>
      </c>
      <c r="J1044" s="14">
        <f>CHOOSE(CONTROL!$C$42, 141.1463, 141.1463)* CHOOSE(CONTROL!$C$21, $C$9, 100%, $E$9)</f>
        <v>141.1463</v>
      </c>
      <c r="K1044" s="52">
        <f>CHOOSE(CONTROL!$C$42, 141.5899, 141.5899) * CHOOSE(CONTROL!$C$21, $C$9, 100%, $E$9)</f>
        <v>141.5899</v>
      </c>
      <c r="L1044" s="14">
        <f>CHOOSE(CONTROL!$C$42, 141.7999, 141.7999) * CHOOSE(CONTROL!$C$21, $C$9, 100%, $E$9)</f>
        <v>141.79990000000001</v>
      </c>
      <c r="M1044" s="14">
        <f>CHOOSE(CONTROL!$C$42, 138.262, 138.262) * CHOOSE(CONTROL!$C$21, $C$9, 100%, $E$9)</f>
        <v>138.262</v>
      </c>
      <c r="N1044" s="14">
        <f>CHOOSE(CONTROL!$C$42, 138.2797, 138.2797) * CHOOSE(CONTROL!$C$21, $C$9, 100%, $E$9)</f>
        <v>138.27969999999999</v>
      </c>
      <c r="O1044" s="14">
        <f>CHOOSE(CONTROL!$C$42, 138.3272, 138.3272) * CHOOSE(CONTROL!$C$21, $C$9, 100%, $E$9)</f>
        <v>138.3272</v>
      </c>
      <c r="P1044" s="14">
        <f>CHOOSE(CONTROL!$C$42, 138.6915, 138.6915) * CHOOSE(CONTROL!$C$21, $C$9, 100%, $E$9)</f>
        <v>138.69149999999999</v>
      </c>
      <c r="Q1044" s="14">
        <f>CHOOSE(CONTROL!$C$42, 138.9219, 138.9219) * CHOOSE(CONTROL!$C$21, $C$9, 100%, $E$9)</f>
        <v>138.92189999999999</v>
      </c>
      <c r="R1044" s="14">
        <f>CHOOSE(CONTROL!$C$42, 139.8562, 139.8562) * CHOOSE(CONTROL!$C$21, $C$9, 100%, $E$9)</f>
        <v>139.8562</v>
      </c>
      <c r="S1044" s="14">
        <f>CHOOSE(CONTROL!$C$42, 135.5893, 135.5893) * CHOOSE(CONTROL!$C$21, $C$9, 100%, $E$9)</f>
        <v>135.58930000000001</v>
      </c>
      <c r="T1044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56">
        <f>(1000*CHOOSE(CONTROL!$C$42, 695, 695)*CHOOSE(CONTROL!$C$42, 0.5599, 0.5599)*CHOOSE(CONTROL!$C$42, 31, 31))/1000000</f>
        <v>12.063045499999998</v>
      </c>
      <c r="V1044" s="56">
        <f>(1000*CHOOSE(CONTROL!$C$42, 500, 500)*CHOOSE(CONTROL!$C$42, 0.275, 0.275)*CHOOSE(CONTROL!$C$42, 31, 31))/1000000</f>
        <v>4.2625000000000002</v>
      </c>
      <c r="W1044" s="56">
        <f>(1000*CHOOSE(CONTROL!$C$42, 0.1146, 0.1146)*CHOOSE(CONTROL!$C$42, 121.5, 121.5)*CHOOSE(CONTROL!$C$42, 31, 31))/1000000</f>
        <v>0.43164089999999994</v>
      </c>
      <c r="X1044" s="56">
        <f>(31*0.1790888*100000/1000000)+(31*0.2374*100000/1000000)</f>
        <v>1.2911152800000001</v>
      </c>
      <c r="Y1044" s="56"/>
      <c r="Z1044" s="14"/>
      <c r="AA1044" s="55"/>
      <c r="AB1044" s="49">
        <f>(B1044*122.58+C1044*297.941+D1044*89.177+E1044*40.302+F1044*40+G1044*160+H1044*0+I1044*100+J1044*300)/(122.58+297.941+89.177+40.302+0+40+160+100+300)</f>
        <v>141.18506364452173</v>
      </c>
      <c r="AC1044" s="44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138.35436834532373</v>
      </c>
    </row>
    <row r="1045" spans="1:29" ht="15.75" x14ac:dyDescent="0.25">
      <c r="A1045" s="31">
        <v>72716</v>
      </c>
      <c r="B1045" s="14">
        <f>CHOOSE(CONTROL!$C$42, 152.8133, 152.8133) * CHOOSE(CONTROL!$C$21, $C$9, 100%, $E$9)</f>
        <v>152.8133</v>
      </c>
      <c r="C1045" s="14">
        <f>CHOOSE(CONTROL!$C$42, 152.8184, 152.8184) * CHOOSE(CONTROL!$C$21, $C$9, 100%, $E$9)</f>
        <v>152.8184</v>
      </c>
      <c r="D1045" s="14">
        <f>CHOOSE(CONTROL!$C$42, 152.8978, 152.8978) * CHOOSE(CONTROL!$C$21, $C$9, 100%, $E$9)</f>
        <v>152.89779999999999</v>
      </c>
      <c r="E1045" s="14">
        <f>CHOOSE(CONTROL!$C$42, 152.9319, 152.9319) * CHOOSE(CONTROL!$C$21, $C$9, 100%, $E$9)</f>
        <v>152.93190000000001</v>
      </c>
      <c r="F1045" s="14">
        <f>CHOOSE(CONTROL!$C$42, 152.8363, 152.8363)*CHOOSE(CONTROL!$C$21, $C$9, 100%, $E$9)</f>
        <v>152.83629999999999</v>
      </c>
      <c r="G1045" s="14">
        <f>CHOOSE(CONTROL!$C$42, 152.8538, 152.8538)*CHOOSE(CONTROL!$C$21, $C$9, 100%, $E$9)</f>
        <v>152.85380000000001</v>
      </c>
      <c r="H1045" s="14">
        <f>CHOOSE(CONTROL!$C$42, 152.9211, 152.9211) * CHOOSE(CONTROL!$C$21, $C$9, 100%, $E$9)</f>
        <v>152.9211</v>
      </c>
      <c r="I1045" s="14">
        <f>CHOOSE(CONTROL!$C$42, 153.3272, 153.3272)* CHOOSE(CONTROL!$C$21, $C$9, 100%, $E$9)</f>
        <v>153.3272</v>
      </c>
      <c r="J1045" s="14">
        <f>CHOOSE(CONTROL!$C$42, 152.8293, 152.8293)* CHOOSE(CONTROL!$C$21, $C$9, 100%, $E$9)</f>
        <v>152.82929999999999</v>
      </c>
      <c r="K1045" s="52">
        <f>CHOOSE(CONTROL!$C$42, 153.3233, 153.3233) * CHOOSE(CONTROL!$C$21, $C$9, 100%, $E$9)</f>
        <v>153.32329999999999</v>
      </c>
      <c r="L1045" s="14">
        <f>CHOOSE(CONTROL!$C$42, 153.5081, 153.5081) * CHOOSE(CONTROL!$C$21, $C$9, 100%, $E$9)</f>
        <v>153.50810000000001</v>
      </c>
      <c r="M1045" s="14">
        <f>CHOOSE(CONTROL!$C$42, 149.7056, 149.7056) * CHOOSE(CONTROL!$C$21, $C$9, 100%, $E$9)</f>
        <v>149.7056</v>
      </c>
      <c r="N1045" s="14">
        <f>CHOOSE(CONTROL!$C$42, 149.7228, 149.7228) * CHOOSE(CONTROL!$C$21, $C$9, 100%, $E$9)</f>
        <v>149.72280000000001</v>
      </c>
      <c r="O1045" s="14">
        <f>CHOOSE(CONTROL!$C$42, 149.7955, 149.7955) * CHOOSE(CONTROL!$C$21, $C$9, 100%, $E$9)</f>
        <v>149.7955</v>
      </c>
      <c r="P1045" s="14">
        <f>CHOOSE(CONTROL!$C$42, 150.1837, 150.1837) * CHOOSE(CONTROL!$C$21, $C$9, 100%, $E$9)</f>
        <v>150.18369999999999</v>
      </c>
      <c r="Q1045" s="14">
        <f>CHOOSE(CONTROL!$C$42, 150.3902, 150.3902) * CHOOSE(CONTROL!$C$21, $C$9, 100%, $E$9)</f>
        <v>150.39019999999999</v>
      </c>
      <c r="R1045" s="14">
        <f>CHOOSE(CONTROL!$C$42, 151.3532, 151.3532) * CHOOSE(CONTROL!$C$21, $C$9, 100%, $E$9)</f>
        <v>151.35319999999999</v>
      </c>
      <c r="S1045" s="14">
        <f>CHOOSE(CONTROL!$C$42, 146.8298, 146.8298) * CHOOSE(CONTROL!$C$21, $C$9, 100%, $E$9)</f>
        <v>146.82980000000001</v>
      </c>
      <c r="T1045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56">
        <f>(1000*CHOOSE(CONTROL!$C$42, 695, 695)*CHOOSE(CONTROL!$C$42, 0.5599, 0.5599)*CHOOSE(CONTROL!$C$42, 31, 31))/1000000</f>
        <v>12.063045499999998</v>
      </c>
      <c r="V1045" s="56">
        <f>(1000*CHOOSE(CONTROL!$C$42, 500, 500)*CHOOSE(CONTROL!$C$42, 0.275, 0.275)*CHOOSE(CONTROL!$C$42, 31, 31))/1000000</f>
        <v>4.2625000000000002</v>
      </c>
      <c r="W1045" s="56">
        <f>(1000*CHOOSE(CONTROL!$C$42, 0.1146, 0.1146)*CHOOSE(CONTROL!$C$42, 121.5, 121.5)*CHOOSE(CONTROL!$C$42, 31, 31))/1000000</f>
        <v>0.43164089999999994</v>
      </c>
      <c r="X1045" s="56">
        <f>(31*0.1790888*100000/1000000)+(31*0.2374*100000/1000000)</f>
        <v>1.2911152800000001</v>
      </c>
      <c r="Y1045" s="56"/>
      <c r="Z1045" s="14"/>
      <c r="AA1045" s="55"/>
      <c r="AB1045" s="49">
        <f>(B1045*122.58+C1045*297.941+D1045*89.177+E1045*40.302+F1045*40+G1045*160+H1045*0+I1045*100+J1045*300)/(122.58+297.941+89.177+40.302+0+40+160+100+300)</f>
        <v>152.8806258893913</v>
      </c>
      <c r="AC1045" s="44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149.81612733812949</v>
      </c>
    </row>
    <row r="1046" spans="1:29" ht="15.75" x14ac:dyDescent="0.25">
      <c r="A1046" s="31">
        <v>72744</v>
      </c>
      <c r="B1046" s="14">
        <f>CHOOSE(CONTROL!$C$42, 155.5334, 155.5334) * CHOOSE(CONTROL!$C$21, $C$9, 100%, $E$9)</f>
        <v>155.5334</v>
      </c>
      <c r="C1046" s="14">
        <f>CHOOSE(CONTROL!$C$42, 155.5385, 155.5385) * CHOOSE(CONTROL!$C$21, $C$9, 100%, $E$9)</f>
        <v>155.5385</v>
      </c>
      <c r="D1046" s="14">
        <f>CHOOSE(CONTROL!$C$42, 155.6179, 155.6179) * CHOOSE(CONTROL!$C$21, $C$9, 100%, $E$9)</f>
        <v>155.61789999999999</v>
      </c>
      <c r="E1046" s="14">
        <f>CHOOSE(CONTROL!$C$42, 155.652, 155.652) * CHOOSE(CONTROL!$C$21, $C$9, 100%, $E$9)</f>
        <v>155.65199999999999</v>
      </c>
      <c r="F1046" s="14">
        <f>CHOOSE(CONTROL!$C$42, 155.5562, 155.5562)*CHOOSE(CONTROL!$C$21, $C$9, 100%, $E$9)</f>
        <v>155.55619999999999</v>
      </c>
      <c r="G1046" s="14">
        <f>CHOOSE(CONTROL!$C$42, 155.5737, 155.5737)*CHOOSE(CONTROL!$C$21, $C$9, 100%, $E$9)</f>
        <v>155.5737</v>
      </c>
      <c r="H1046" s="14">
        <f>CHOOSE(CONTROL!$C$42, 155.6412, 155.6412) * CHOOSE(CONTROL!$C$21, $C$9, 100%, $E$9)</f>
        <v>155.6412</v>
      </c>
      <c r="I1046" s="14">
        <f>CHOOSE(CONTROL!$C$42, 156.0558, 156.0558)* CHOOSE(CONTROL!$C$21, $C$9, 100%, $E$9)</f>
        <v>156.0558</v>
      </c>
      <c r="J1046" s="14">
        <f>CHOOSE(CONTROL!$C$42, 155.5492, 155.5492)* CHOOSE(CONTROL!$C$21, $C$9, 100%, $E$9)</f>
        <v>155.54920000000001</v>
      </c>
      <c r="K1046" s="52">
        <f>CHOOSE(CONTROL!$C$42, 156.0519, 156.0519) * CHOOSE(CONTROL!$C$21, $C$9, 100%, $E$9)</f>
        <v>156.05189999999999</v>
      </c>
      <c r="L1046" s="14">
        <f>CHOOSE(CONTROL!$C$42, 156.2282, 156.2282) * CHOOSE(CONTROL!$C$21, $C$9, 100%, $E$9)</f>
        <v>156.22819999999999</v>
      </c>
      <c r="M1046" s="14">
        <f>CHOOSE(CONTROL!$C$42, 152.3698, 152.3698) * CHOOSE(CONTROL!$C$21, $C$9, 100%, $E$9)</f>
        <v>152.3698</v>
      </c>
      <c r="N1046" s="14">
        <f>CHOOSE(CONTROL!$C$42, 152.3869, 152.3869) * CHOOSE(CONTROL!$C$21, $C$9, 100%, $E$9)</f>
        <v>152.3869</v>
      </c>
      <c r="O1046" s="14">
        <f>CHOOSE(CONTROL!$C$42, 152.4599, 152.4599) * CHOOSE(CONTROL!$C$21, $C$9, 100%, $E$9)</f>
        <v>152.4599</v>
      </c>
      <c r="P1046" s="14">
        <f>CHOOSE(CONTROL!$C$42, 152.8563, 152.8563) * CHOOSE(CONTROL!$C$21, $C$9, 100%, $E$9)</f>
        <v>152.8563</v>
      </c>
      <c r="Q1046" s="14">
        <f>CHOOSE(CONTROL!$C$42, 153.0546, 153.0546) * CHOOSE(CONTROL!$C$21, $C$9, 100%, $E$9)</f>
        <v>153.05459999999999</v>
      </c>
      <c r="R1046" s="14">
        <f>CHOOSE(CONTROL!$C$42, 154.0243, 154.0243) * CHOOSE(CONTROL!$C$21, $C$9, 100%, $E$9)</f>
        <v>154.02430000000001</v>
      </c>
      <c r="S1046" s="14">
        <f>CHOOSE(CONTROL!$C$42, 149.4435, 149.4435) * CHOOSE(CONTROL!$C$21, $C$9, 100%, $E$9)</f>
        <v>149.4435</v>
      </c>
      <c r="T1046" s="56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46" s="56">
        <f>(1000*CHOOSE(CONTROL!$C$42, 695, 695)*CHOOSE(CONTROL!$C$42, 0.5599, 0.5599)*CHOOSE(CONTROL!$C$42, 28, 28))/1000000</f>
        <v>10.895653999999999</v>
      </c>
      <c r="V1046" s="56">
        <f>(1000*CHOOSE(CONTROL!$C$42, 500, 500)*CHOOSE(CONTROL!$C$42, 0.275, 0.275)*CHOOSE(CONTROL!$C$42, 28, 28))/1000000</f>
        <v>3.85</v>
      </c>
      <c r="W1046" s="56">
        <f>(1000*CHOOSE(CONTROL!$C$42, 0.1146, 0.1146)*CHOOSE(CONTROL!$C$42, 121.5, 121.5)*CHOOSE(CONTROL!$C$42, 28, 28))/1000000</f>
        <v>0.38986920000000003</v>
      </c>
      <c r="X1046" s="56">
        <f>(28*0.1790888*100000/1000000)+(28*0.2374*100000/1000000)</f>
        <v>1.16616864</v>
      </c>
      <c r="Y1046" s="56"/>
      <c r="Z1046" s="14"/>
      <c r="AA1046" s="55"/>
      <c r="AB1046" s="49">
        <f>(B1046*122.58+C1046*297.941+D1046*89.177+E1046*40.302+F1046*40+G1046*160+H1046*0+I1046*100+J1046*300)/(122.58+297.941+89.177+40.302+0+40+160+100+300)</f>
        <v>155.60137806330437</v>
      </c>
      <c r="AC1046" s="44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152.48162086330939</v>
      </c>
    </row>
    <row r="1047" spans="1:29" ht="15.75" x14ac:dyDescent="0.25">
      <c r="A1047" s="31">
        <v>72775</v>
      </c>
      <c r="B1047" s="14">
        <f>CHOOSE(CONTROL!$C$42, 151.118, 151.118) * CHOOSE(CONTROL!$C$21, $C$9, 100%, $E$9)</f>
        <v>151.11799999999999</v>
      </c>
      <c r="C1047" s="14">
        <f>CHOOSE(CONTROL!$C$42, 151.1231, 151.1231) * CHOOSE(CONTROL!$C$21, $C$9, 100%, $E$9)</f>
        <v>151.12309999999999</v>
      </c>
      <c r="D1047" s="14">
        <f>CHOOSE(CONTROL!$C$42, 151.2025, 151.2025) * CHOOSE(CONTROL!$C$21, $C$9, 100%, $E$9)</f>
        <v>151.20249999999999</v>
      </c>
      <c r="E1047" s="14">
        <f>CHOOSE(CONTROL!$C$42, 151.2366, 151.2366) * CHOOSE(CONTROL!$C$21, $C$9, 100%, $E$9)</f>
        <v>151.23660000000001</v>
      </c>
      <c r="F1047" s="14">
        <f>CHOOSE(CONTROL!$C$42, 151.14, 151.14)*CHOOSE(CONTROL!$C$21, $C$9, 100%, $E$9)</f>
        <v>151.13999999999999</v>
      </c>
      <c r="G1047" s="14">
        <f>CHOOSE(CONTROL!$C$42, 151.1573, 151.1573)*CHOOSE(CONTROL!$C$21, $C$9, 100%, $E$9)</f>
        <v>151.15729999999999</v>
      </c>
      <c r="H1047" s="14">
        <f>CHOOSE(CONTROL!$C$42, 151.2258, 151.2258) * CHOOSE(CONTROL!$C$21, $C$9, 100%, $E$9)</f>
        <v>151.22579999999999</v>
      </c>
      <c r="I1047" s="14">
        <f>CHOOSE(CONTROL!$C$42, 151.6266, 151.6266)* CHOOSE(CONTROL!$C$21, $C$9, 100%, $E$9)</f>
        <v>151.6266</v>
      </c>
      <c r="J1047" s="14">
        <f>CHOOSE(CONTROL!$C$42, 151.133, 151.133)* CHOOSE(CONTROL!$C$21, $C$9, 100%, $E$9)</f>
        <v>151.13300000000001</v>
      </c>
      <c r="K1047" s="52">
        <f>CHOOSE(CONTROL!$C$42, 151.6227, 151.6227) * CHOOSE(CONTROL!$C$21, $C$9, 100%, $E$9)</f>
        <v>151.62270000000001</v>
      </c>
      <c r="L1047" s="14">
        <f>CHOOSE(CONTROL!$C$42, 151.8128, 151.8128) * CHOOSE(CONTROL!$C$21, $C$9, 100%, $E$9)</f>
        <v>151.81280000000001</v>
      </c>
      <c r="M1047" s="14">
        <f>CHOOSE(CONTROL!$C$42, 148.0441, 148.0441) * CHOOSE(CONTROL!$C$21, $C$9, 100%, $E$9)</f>
        <v>148.04409999999999</v>
      </c>
      <c r="N1047" s="14">
        <f>CHOOSE(CONTROL!$C$42, 148.061, 148.061) * CHOOSE(CONTROL!$C$21, $C$9, 100%, $E$9)</f>
        <v>148.06100000000001</v>
      </c>
      <c r="O1047" s="14">
        <f>CHOOSE(CONTROL!$C$42, 148.135, 148.135) * CHOOSE(CONTROL!$C$21, $C$9, 100%, $E$9)</f>
        <v>148.13499999999999</v>
      </c>
      <c r="P1047" s="14">
        <f>CHOOSE(CONTROL!$C$42, 148.5181, 148.5181) * CHOOSE(CONTROL!$C$21, $C$9, 100%, $E$9)</f>
        <v>148.5181</v>
      </c>
      <c r="Q1047" s="14">
        <f>CHOOSE(CONTROL!$C$42, 148.7297, 148.7297) * CHOOSE(CONTROL!$C$21, $C$9, 100%, $E$9)</f>
        <v>148.72970000000001</v>
      </c>
      <c r="R1047" s="14">
        <f>CHOOSE(CONTROL!$C$42, 149.6885, 149.6885) * CHOOSE(CONTROL!$C$21, $C$9, 100%, $E$9)</f>
        <v>149.6885</v>
      </c>
      <c r="S1047" s="14">
        <f>CHOOSE(CONTROL!$C$42, 145.2007, 145.2007) * CHOOSE(CONTROL!$C$21, $C$9, 100%, $E$9)</f>
        <v>145.20070000000001</v>
      </c>
      <c r="T1047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56">
        <f>(1000*CHOOSE(CONTROL!$C$42, 695, 695)*CHOOSE(CONTROL!$C$42, 0.5599, 0.5599)*CHOOSE(CONTROL!$C$42, 31, 31))/1000000</f>
        <v>12.063045499999998</v>
      </c>
      <c r="V1047" s="56">
        <f>(1000*CHOOSE(CONTROL!$C$42, 500, 500)*CHOOSE(CONTROL!$C$42, 0.275, 0.275)*CHOOSE(CONTROL!$C$42, 31, 31))/1000000</f>
        <v>4.2625000000000002</v>
      </c>
      <c r="W1047" s="56">
        <f>(1000*CHOOSE(CONTROL!$C$42, 0.1146, 0.1146)*CHOOSE(CONTROL!$C$42, 121.5, 121.5)*CHOOSE(CONTROL!$C$42, 31, 31))/1000000</f>
        <v>0.43164089999999994</v>
      </c>
      <c r="X1047" s="56">
        <f>(31*0.1790888*100000/1000000)+(31*0.2374*100000/1000000)</f>
        <v>1.2911152800000001</v>
      </c>
      <c r="Y1047" s="56"/>
      <c r="Z1047" s="14"/>
      <c r="AA1047" s="55"/>
      <c r="AB1047" s="49">
        <f>(B1047*122.58+C1047*297.941+D1047*89.177+E1047*40.302+F1047*40+G1047*160+H1047*0+I1047*100+J1047*300)/(122.58+297.941+89.177+40.302+0+40+160+100+300)</f>
        <v>151.18440241113043</v>
      </c>
      <c r="AC1047" s="44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148.15447338129496</v>
      </c>
    </row>
    <row r="1048" spans="1:29" ht="15.75" x14ac:dyDescent="0.25">
      <c r="A1048" s="31">
        <v>72805</v>
      </c>
      <c r="B1048" s="14">
        <f>CHOOSE(CONTROL!$C$42, 150.6665, 150.6665) * CHOOSE(CONTROL!$C$21, $C$9, 100%, $E$9)</f>
        <v>150.66650000000001</v>
      </c>
      <c r="C1048" s="14">
        <f>CHOOSE(CONTROL!$C$42, 150.671, 150.671) * CHOOSE(CONTROL!$C$21, $C$9, 100%, $E$9)</f>
        <v>150.67099999999999</v>
      </c>
      <c r="D1048" s="14">
        <f>CHOOSE(CONTROL!$C$42, 150.9, 150.9) * CHOOSE(CONTROL!$C$21, $C$9, 100%, $E$9)</f>
        <v>150.9</v>
      </c>
      <c r="E1048" s="14">
        <f>CHOOSE(CONTROL!$C$42, 150.9321, 150.9321) * CHOOSE(CONTROL!$C$21, $C$9, 100%, $E$9)</f>
        <v>150.93209999999999</v>
      </c>
      <c r="F1048" s="14">
        <f>CHOOSE(CONTROL!$C$42, 150.6935, 150.6935)*CHOOSE(CONTROL!$C$21, $C$9, 100%, $E$9)</f>
        <v>150.6935</v>
      </c>
      <c r="G1048" s="14">
        <f>CHOOSE(CONTROL!$C$42, 150.7103, 150.7103)*CHOOSE(CONTROL!$C$21, $C$9, 100%, $E$9)</f>
        <v>150.71029999999999</v>
      </c>
      <c r="H1048" s="14">
        <f>CHOOSE(CONTROL!$C$42, 150.9219, 150.9219) * CHOOSE(CONTROL!$C$21, $C$9, 100%, $E$9)</f>
        <v>150.92189999999999</v>
      </c>
      <c r="I1048" s="14">
        <f>CHOOSE(CONTROL!$C$42, 151.1713, 151.1713)* CHOOSE(CONTROL!$C$21, $C$9, 100%, $E$9)</f>
        <v>151.1713</v>
      </c>
      <c r="J1048" s="14">
        <f>CHOOSE(CONTROL!$C$42, 150.6865, 150.6865)* CHOOSE(CONTROL!$C$21, $C$9, 100%, $E$9)</f>
        <v>150.6865</v>
      </c>
      <c r="K1048" s="52">
        <f>CHOOSE(CONTROL!$C$42, 151.1675, 151.1675) * CHOOSE(CONTROL!$C$21, $C$9, 100%, $E$9)</f>
        <v>151.16749999999999</v>
      </c>
      <c r="L1048" s="14">
        <f>CHOOSE(CONTROL!$C$42, 151.5089, 151.5089) * CHOOSE(CONTROL!$C$21, $C$9, 100%, $E$9)</f>
        <v>151.50890000000001</v>
      </c>
      <c r="M1048" s="14">
        <f>CHOOSE(CONTROL!$C$42, 147.6068, 147.6068) * CHOOSE(CONTROL!$C$21, $C$9, 100%, $E$9)</f>
        <v>147.60679999999999</v>
      </c>
      <c r="N1048" s="14">
        <f>CHOOSE(CONTROL!$C$42, 147.6232, 147.6232) * CHOOSE(CONTROL!$C$21, $C$9, 100%, $E$9)</f>
        <v>147.6232</v>
      </c>
      <c r="O1048" s="14">
        <f>CHOOSE(CONTROL!$C$42, 147.8373, 147.8373) * CHOOSE(CONTROL!$C$21, $C$9, 100%, $E$9)</f>
        <v>147.8373</v>
      </c>
      <c r="P1048" s="14">
        <f>CHOOSE(CONTROL!$C$42, 148.0722, 148.0722) * CHOOSE(CONTROL!$C$21, $C$9, 100%, $E$9)</f>
        <v>148.07220000000001</v>
      </c>
      <c r="Q1048" s="14">
        <f>CHOOSE(CONTROL!$C$42, 148.432, 148.432) * CHOOSE(CONTROL!$C$21, $C$9, 100%, $E$9)</f>
        <v>148.43199999999999</v>
      </c>
      <c r="R1048" s="14">
        <f>CHOOSE(CONTROL!$C$42, 149.39, 149.39) * CHOOSE(CONTROL!$C$21, $C$9, 100%, $E$9)</f>
        <v>149.38999999999999</v>
      </c>
      <c r="S1048" s="14">
        <f>CHOOSE(CONTROL!$C$42, 144.7662, 144.7662) * CHOOSE(CONTROL!$C$21, $C$9, 100%, $E$9)</f>
        <v>144.7662</v>
      </c>
      <c r="T1048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56">
        <f>(1000*CHOOSE(CONTROL!$C$42, 695, 695)*CHOOSE(CONTROL!$C$42, 0.5599, 0.5599)*CHOOSE(CONTROL!$C$42, 30, 30))/1000000</f>
        <v>11.673914999999997</v>
      </c>
      <c r="V1048" s="56">
        <f>(1000*CHOOSE(CONTROL!$C$42, 500, 500)*CHOOSE(CONTROL!$C$42, 0.275, 0.275)*CHOOSE(CONTROL!$C$42, 30, 30))/1000000</f>
        <v>4.125</v>
      </c>
      <c r="W1048" s="56">
        <f>(1000*CHOOSE(CONTROL!$C$42, 0.1146, 0.1146)*CHOOSE(CONTROL!$C$42, 121.5, 121.5)*CHOOSE(CONTROL!$C$42, 30, 30))/1000000</f>
        <v>0.417717</v>
      </c>
      <c r="X1048" s="56">
        <f>(30*0.1790888*245000/1000000)+(30*0.2374*100000/1000000)</f>
        <v>2.0285026799999999</v>
      </c>
      <c r="Y1048" s="56"/>
      <c r="Z1048" s="14"/>
      <c r="AA1048" s="55"/>
      <c r="AB1048" s="49">
        <f>(B1048*141.293+C1048*267.993+D1048*115.016+E1048*89.698+F1048*40+G1048*185+H1048*0+I1048*100+J1048*300)/(141.293+267.993+115.016+89.698+0+40+185+100+300)</f>
        <v>150.76137408660207</v>
      </c>
      <c r="AC1048" s="44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147.77917913669066</v>
      </c>
    </row>
    <row r="1049" spans="1:29" ht="15.75" x14ac:dyDescent="0.25">
      <c r="A1049" s="31">
        <v>72836</v>
      </c>
      <c r="B1049" s="14">
        <f>CHOOSE(CONTROL!$C$42, 151.9977, 151.9977) * CHOOSE(CONTROL!$C$21, $C$9, 100%, $E$9)</f>
        <v>151.99770000000001</v>
      </c>
      <c r="C1049" s="14">
        <f>CHOOSE(CONTROL!$C$42, 152.0057, 152.0057) * CHOOSE(CONTROL!$C$21, $C$9, 100%, $E$9)</f>
        <v>152.00569999999999</v>
      </c>
      <c r="D1049" s="14">
        <f>CHOOSE(CONTROL!$C$42, 152.2315, 152.2315) * CHOOSE(CONTROL!$C$21, $C$9, 100%, $E$9)</f>
        <v>152.23150000000001</v>
      </c>
      <c r="E1049" s="14">
        <f>CHOOSE(CONTROL!$C$42, 152.2629, 152.2629) * CHOOSE(CONTROL!$C$21, $C$9, 100%, $E$9)</f>
        <v>152.2629</v>
      </c>
      <c r="F1049" s="14">
        <f>CHOOSE(CONTROL!$C$42, 152.0233, 152.0233)*CHOOSE(CONTROL!$C$21, $C$9, 100%, $E$9)</f>
        <v>152.02330000000001</v>
      </c>
      <c r="G1049" s="14">
        <f>CHOOSE(CONTROL!$C$42, 152.0403, 152.0403)*CHOOSE(CONTROL!$C$21, $C$9, 100%, $E$9)</f>
        <v>152.0403</v>
      </c>
      <c r="H1049" s="14">
        <f>CHOOSE(CONTROL!$C$42, 152.2516, 152.2516) * CHOOSE(CONTROL!$C$21, $C$9, 100%, $E$9)</f>
        <v>152.2516</v>
      </c>
      <c r="I1049" s="14">
        <f>CHOOSE(CONTROL!$C$42, 152.5052, 152.5052)* CHOOSE(CONTROL!$C$21, $C$9, 100%, $E$9)</f>
        <v>152.5052</v>
      </c>
      <c r="J1049" s="14">
        <f>CHOOSE(CONTROL!$C$42, 152.0163, 152.0163)* CHOOSE(CONTROL!$C$21, $C$9, 100%, $E$9)</f>
        <v>152.0163</v>
      </c>
      <c r="K1049" s="52">
        <f>CHOOSE(CONTROL!$C$42, 152.5013, 152.5013) * CHOOSE(CONTROL!$C$21, $C$9, 100%, $E$9)</f>
        <v>152.50129999999999</v>
      </c>
      <c r="L1049" s="14">
        <f>CHOOSE(CONTROL!$C$42, 152.8386, 152.8386) * CHOOSE(CONTROL!$C$21, $C$9, 100%, $E$9)</f>
        <v>152.83860000000001</v>
      </c>
      <c r="M1049" s="14">
        <f>CHOOSE(CONTROL!$C$42, 148.9093, 148.9093) * CHOOSE(CONTROL!$C$21, $C$9, 100%, $E$9)</f>
        <v>148.9093</v>
      </c>
      <c r="N1049" s="14">
        <f>CHOOSE(CONTROL!$C$42, 148.9259, 148.9259) * CHOOSE(CONTROL!$C$21, $C$9, 100%, $E$9)</f>
        <v>148.92590000000001</v>
      </c>
      <c r="O1049" s="14">
        <f>CHOOSE(CONTROL!$C$42, 149.1397, 149.1397) * CHOOSE(CONTROL!$C$21, $C$9, 100%, $E$9)</f>
        <v>149.1397</v>
      </c>
      <c r="P1049" s="14">
        <f>CHOOSE(CONTROL!$C$42, 149.3787, 149.3787) * CHOOSE(CONTROL!$C$21, $C$9, 100%, $E$9)</f>
        <v>149.37870000000001</v>
      </c>
      <c r="Q1049" s="14">
        <f>CHOOSE(CONTROL!$C$42, 149.7344, 149.7344) * CHOOSE(CONTROL!$C$21, $C$9, 100%, $E$9)</f>
        <v>149.73439999999999</v>
      </c>
      <c r="R1049" s="14">
        <f>CHOOSE(CONTROL!$C$42, 150.6958, 150.6958) * CHOOSE(CONTROL!$C$21, $C$9, 100%, $E$9)</f>
        <v>150.69579999999999</v>
      </c>
      <c r="S1049" s="14">
        <f>CHOOSE(CONTROL!$C$42, 146.0439, 146.0439) * CHOOSE(CONTROL!$C$21, $C$9, 100%, $E$9)</f>
        <v>146.04390000000001</v>
      </c>
      <c r="T1049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56">
        <f>(1000*CHOOSE(CONTROL!$C$42, 695, 695)*CHOOSE(CONTROL!$C$42, 0.5599, 0.5599)*CHOOSE(CONTROL!$C$42, 31, 31))/1000000</f>
        <v>12.063045499999998</v>
      </c>
      <c r="V1049" s="56">
        <f>(1000*CHOOSE(CONTROL!$C$42, 500, 500)*CHOOSE(CONTROL!$C$42, 0.275, 0.275)*CHOOSE(CONTROL!$C$42, 31, 31))/1000000</f>
        <v>4.2625000000000002</v>
      </c>
      <c r="W1049" s="56">
        <f>(1000*CHOOSE(CONTROL!$C$42, 0.1146, 0.1146)*CHOOSE(CONTROL!$C$42, 121.5, 121.5)*CHOOSE(CONTROL!$C$42, 31, 31))/1000000</f>
        <v>0.43164089999999994</v>
      </c>
      <c r="X1049" s="56">
        <f>(31*0.1790888*245000/1000000)+(31*0.2374*100000/1000000)</f>
        <v>2.0961194359999999</v>
      </c>
      <c r="Y1049" s="56"/>
      <c r="Z1049" s="14"/>
      <c r="AA1049" s="55"/>
      <c r="AB1049" s="49">
        <f>(B1049*194.205+C1049*267.466+D1049*133.845+E1049*53.484+F1049*40+G1049*185+H1049*0+I1049*100+J1049*300)/(194.205+267.466+133.845+53.484+0+40+185+100+300)</f>
        <v>152.08628056970173</v>
      </c>
      <c r="AC1049" s="44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149.08222086330937</v>
      </c>
    </row>
    <row r="1050" spans="1:29" ht="15.75" x14ac:dyDescent="0.25">
      <c r="A1050" s="31">
        <v>72866</v>
      </c>
      <c r="B1050" s="14">
        <f>CHOOSE(CONTROL!$C$42, 156.309, 156.309) * CHOOSE(CONTROL!$C$21, $C$9, 100%, $E$9)</f>
        <v>156.309</v>
      </c>
      <c r="C1050" s="14">
        <f>CHOOSE(CONTROL!$C$42, 156.317, 156.317) * CHOOSE(CONTROL!$C$21, $C$9, 100%, $E$9)</f>
        <v>156.31700000000001</v>
      </c>
      <c r="D1050" s="14">
        <f>CHOOSE(CONTROL!$C$42, 156.5428, 156.5428) * CHOOSE(CONTROL!$C$21, $C$9, 100%, $E$9)</f>
        <v>156.5428</v>
      </c>
      <c r="E1050" s="14">
        <f>CHOOSE(CONTROL!$C$42, 156.5742, 156.5742) * CHOOSE(CONTROL!$C$21, $C$9, 100%, $E$9)</f>
        <v>156.57419999999999</v>
      </c>
      <c r="F1050" s="14">
        <f>CHOOSE(CONTROL!$C$42, 156.3351, 156.3351)*CHOOSE(CONTROL!$C$21, $C$9, 100%, $E$9)</f>
        <v>156.33510000000001</v>
      </c>
      <c r="G1050" s="14">
        <f>CHOOSE(CONTROL!$C$42, 156.3521, 156.3521)*CHOOSE(CONTROL!$C$21, $C$9, 100%, $E$9)</f>
        <v>156.35210000000001</v>
      </c>
      <c r="H1050" s="14">
        <f>CHOOSE(CONTROL!$C$42, 156.5629, 156.5629) * CHOOSE(CONTROL!$C$21, $C$9, 100%, $E$9)</f>
        <v>156.56290000000001</v>
      </c>
      <c r="I1050" s="14">
        <f>CHOOSE(CONTROL!$C$42, 156.83, 156.83)* CHOOSE(CONTROL!$C$21, $C$9, 100%, $E$9)</f>
        <v>156.83000000000001</v>
      </c>
      <c r="J1050" s="14">
        <f>CHOOSE(CONTROL!$C$42, 156.3281, 156.3281)* CHOOSE(CONTROL!$C$21, $C$9, 100%, $E$9)</f>
        <v>156.32810000000001</v>
      </c>
      <c r="K1050" s="52">
        <f>CHOOSE(CONTROL!$C$42, 156.8261, 156.8261) * CHOOSE(CONTROL!$C$21, $C$9, 100%, $E$9)</f>
        <v>156.8261</v>
      </c>
      <c r="L1050" s="14">
        <f>CHOOSE(CONTROL!$C$42, 157.1499, 157.1499) * CHOOSE(CONTROL!$C$21, $C$9, 100%, $E$9)</f>
        <v>157.1499</v>
      </c>
      <c r="M1050" s="14">
        <f>CHOOSE(CONTROL!$C$42, 153.1327, 153.1327) * CHOOSE(CONTROL!$C$21, $C$9, 100%, $E$9)</f>
        <v>153.1327</v>
      </c>
      <c r="N1050" s="14">
        <f>CHOOSE(CONTROL!$C$42, 153.1494, 153.1494) * CHOOSE(CONTROL!$C$21, $C$9, 100%, $E$9)</f>
        <v>153.14940000000001</v>
      </c>
      <c r="O1050" s="14">
        <f>CHOOSE(CONTROL!$C$42, 153.3627, 153.3627) * CHOOSE(CONTROL!$C$21, $C$9, 100%, $E$9)</f>
        <v>153.36269999999999</v>
      </c>
      <c r="P1050" s="14">
        <f>CHOOSE(CONTROL!$C$42, 153.6146, 153.6146) * CHOOSE(CONTROL!$C$21, $C$9, 100%, $E$9)</f>
        <v>153.6146</v>
      </c>
      <c r="Q1050" s="14">
        <f>CHOOSE(CONTROL!$C$42, 153.9574, 153.9574) * CHOOSE(CONTROL!$C$21, $C$9, 100%, $E$9)</f>
        <v>153.95740000000001</v>
      </c>
      <c r="R1050" s="14">
        <f>CHOOSE(CONTROL!$C$42, 154.9293, 154.9293) * CHOOSE(CONTROL!$C$21, $C$9, 100%, $E$9)</f>
        <v>154.92930000000001</v>
      </c>
      <c r="S1050" s="14">
        <f>CHOOSE(CONTROL!$C$42, 150.1866, 150.1866) * CHOOSE(CONTROL!$C$21, $C$9, 100%, $E$9)</f>
        <v>150.1866</v>
      </c>
      <c r="T1050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56">
        <f>(1000*CHOOSE(CONTROL!$C$42, 695, 695)*CHOOSE(CONTROL!$C$42, 0.5599, 0.5599)*CHOOSE(CONTROL!$C$42, 30, 30))/1000000</f>
        <v>11.673914999999997</v>
      </c>
      <c r="V1050" s="56">
        <f>(1000*CHOOSE(CONTROL!$C$42, 500, 500)*CHOOSE(CONTROL!$C$42, 0.275, 0.275)*CHOOSE(CONTROL!$C$42, 30, 30))/1000000</f>
        <v>4.125</v>
      </c>
      <c r="W1050" s="56">
        <f>(1000*CHOOSE(CONTROL!$C$42, 0.1146, 0.1146)*CHOOSE(CONTROL!$C$42, 121.5, 121.5)*CHOOSE(CONTROL!$C$42, 30, 30))/1000000</f>
        <v>0.417717</v>
      </c>
      <c r="X1050" s="56">
        <f>(30*0.1790888*245000/1000000)+(30*0.2374*100000/1000000)</f>
        <v>2.0285026799999999</v>
      </c>
      <c r="Y1050" s="56"/>
      <c r="Z1050" s="14"/>
      <c r="AA1050" s="55"/>
      <c r="AB1050" s="49">
        <f>(B1050*194.205+C1050*267.466+D1050*133.845+E1050*53.484+F1050*40+G1050*185+H1050*0+I1050*100+J1050*300)/(194.205+267.466+133.845+53.484+0+40+185+100+300)</f>
        <v>156.39884626828885</v>
      </c>
      <c r="AC1050" s="44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153.30724388489205</v>
      </c>
    </row>
    <row r="1051" spans="1:29" ht="15.75" x14ac:dyDescent="0.25">
      <c r="A1051" s="31">
        <v>72897</v>
      </c>
      <c r="B1051" s="14">
        <f>CHOOSE(CONTROL!$C$42, 153.3104, 153.3104) * CHOOSE(CONTROL!$C$21, $C$9, 100%, $E$9)</f>
        <v>153.31039999999999</v>
      </c>
      <c r="C1051" s="14">
        <f>CHOOSE(CONTROL!$C$42, 153.3184, 153.3184) * CHOOSE(CONTROL!$C$21, $C$9, 100%, $E$9)</f>
        <v>153.3184</v>
      </c>
      <c r="D1051" s="14">
        <f>CHOOSE(CONTROL!$C$42, 153.5442, 153.5442) * CHOOSE(CONTROL!$C$21, $C$9, 100%, $E$9)</f>
        <v>153.54419999999999</v>
      </c>
      <c r="E1051" s="14">
        <f>CHOOSE(CONTROL!$C$42, 153.5757, 153.5757) * CHOOSE(CONTROL!$C$21, $C$9, 100%, $E$9)</f>
        <v>153.57570000000001</v>
      </c>
      <c r="F1051" s="14">
        <f>CHOOSE(CONTROL!$C$42, 153.337, 153.337)*CHOOSE(CONTROL!$C$21, $C$9, 100%, $E$9)</f>
        <v>153.33699999999999</v>
      </c>
      <c r="G1051" s="14">
        <f>CHOOSE(CONTROL!$C$42, 153.3542, 153.3542)*CHOOSE(CONTROL!$C$21, $C$9, 100%, $E$9)</f>
        <v>153.35419999999999</v>
      </c>
      <c r="H1051" s="14">
        <f>CHOOSE(CONTROL!$C$42, 153.5643, 153.5643) * CHOOSE(CONTROL!$C$21, $C$9, 100%, $E$9)</f>
        <v>153.5643</v>
      </c>
      <c r="I1051" s="14">
        <f>CHOOSE(CONTROL!$C$42, 153.8221, 153.8221)* CHOOSE(CONTROL!$C$21, $C$9, 100%, $E$9)</f>
        <v>153.82210000000001</v>
      </c>
      <c r="J1051" s="14">
        <f>CHOOSE(CONTROL!$C$42, 153.33, 153.33)* CHOOSE(CONTROL!$C$21, $C$9, 100%, $E$9)</f>
        <v>153.33000000000001</v>
      </c>
      <c r="K1051" s="52">
        <f>CHOOSE(CONTROL!$C$42, 153.8182, 153.8182) * CHOOSE(CONTROL!$C$21, $C$9, 100%, $E$9)</f>
        <v>153.81819999999999</v>
      </c>
      <c r="L1051" s="14">
        <f>CHOOSE(CONTROL!$C$42, 154.1513, 154.1513) * CHOOSE(CONTROL!$C$21, $C$9, 100%, $E$9)</f>
        <v>154.15129999999999</v>
      </c>
      <c r="M1051" s="14">
        <f>CHOOSE(CONTROL!$C$42, 150.1961, 150.1961) * CHOOSE(CONTROL!$C$21, $C$9, 100%, $E$9)</f>
        <v>150.1961</v>
      </c>
      <c r="N1051" s="14">
        <f>CHOOSE(CONTROL!$C$42, 150.2129, 150.2129) * CHOOSE(CONTROL!$C$21, $C$9, 100%, $E$9)</f>
        <v>150.21289999999999</v>
      </c>
      <c r="O1051" s="14">
        <f>CHOOSE(CONTROL!$C$42, 150.4256, 150.4256) * CHOOSE(CONTROL!$C$21, $C$9, 100%, $E$9)</f>
        <v>150.4256</v>
      </c>
      <c r="P1051" s="14">
        <f>CHOOSE(CONTROL!$C$42, 150.6685, 150.6685) * CHOOSE(CONTROL!$C$21, $C$9, 100%, $E$9)</f>
        <v>150.66849999999999</v>
      </c>
      <c r="Q1051" s="14">
        <f>CHOOSE(CONTROL!$C$42, 151.0203, 151.0203) * CHOOSE(CONTROL!$C$21, $C$9, 100%, $E$9)</f>
        <v>151.02029999999999</v>
      </c>
      <c r="R1051" s="14">
        <f>CHOOSE(CONTROL!$C$42, 151.9848, 151.9848) * CHOOSE(CONTROL!$C$21, $C$9, 100%, $E$9)</f>
        <v>151.98480000000001</v>
      </c>
      <c r="S1051" s="14">
        <f>CHOOSE(CONTROL!$C$42, 147.3054, 147.3054) * CHOOSE(CONTROL!$C$21, $C$9, 100%, $E$9)</f>
        <v>147.30539999999999</v>
      </c>
      <c r="T1051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56">
        <f>(1000*CHOOSE(CONTROL!$C$42, 695, 695)*CHOOSE(CONTROL!$C$42, 0.5599, 0.5599)*CHOOSE(CONTROL!$C$42, 31, 31))/1000000</f>
        <v>12.063045499999998</v>
      </c>
      <c r="V1051" s="56">
        <f>(1000*CHOOSE(CONTROL!$C$42, 500, 500)*CHOOSE(CONTROL!$C$42, 0.275, 0.275)*CHOOSE(CONTROL!$C$42, 31, 31))/1000000</f>
        <v>4.2625000000000002</v>
      </c>
      <c r="W1051" s="56">
        <f>(1000*CHOOSE(CONTROL!$C$42, 0.1146, 0.1146)*CHOOSE(CONTROL!$C$42, 121.5, 121.5)*CHOOSE(CONTROL!$C$42, 31, 31))/1000000</f>
        <v>0.43164089999999994</v>
      </c>
      <c r="X1051" s="56">
        <f>(31*0.1790888*245000/1000000)+(31*0.2374*100000/1000000)</f>
        <v>2.0961194359999999</v>
      </c>
      <c r="Y1051" s="56"/>
      <c r="Z1051" s="14"/>
      <c r="AA1051" s="55"/>
      <c r="AB1051" s="49">
        <f>(B1051*194.205+C1051*267.466+D1051*133.845+E1051*53.484+F1051*40+G1051*185+H1051*0+I1051*100+J1051*300)/(194.205+267.466+133.845+53.484+0+40+185+100+300)</f>
        <v>153.39975556844584</v>
      </c>
      <c r="AC1051" s="44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150.36905611510792</v>
      </c>
    </row>
    <row r="1052" spans="1:29" ht="15.75" x14ac:dyDescent="0.25">
      <c r="A1052" s="31">
        <v>72928</v>
      </c>
      <c r="B1052" s="14">
        <f>CHOOSE(CONTROL!$C$42, 145.7382, 145.7382) * CHOOSE(CONTROL!$C$21, $C$9, 100%, $E$9)</f>
        <v>145.73820000000001</v>
      </c>
      <c r="C1052" s="14">
        <f>CHOOSE(CONTROL!$C$42, 145.7462, 145.7462) * CHOOSE(CONTROL!$C$21, $C$9, 100%, $E$9)</f>
        <v>145.74619999999999</v>
      </c>
      <c r="D1052" s="14">
        <f>CHOOSE(CONTROL!$C$42, 145.972, 145.972) * CHOOSE(CONTROL!$C$21, $C$9, 100%, $E$9)</f>
        <v>145.97200000000001</v>
      </c>
      <c r="E1052" s="14">
        <f>CHOOSE(CONTROL!$C$42, 146.0035, 146.0035) * CHOOSE(CONTROL!$C$21, $C$9, 100%, $E$9)</f>
        <v>146.0035</v>
      </c>
      <c r="F1052" s="14">
        <f>CHOOSE(CONTROL!$C$42, 145.765, 145.765)*CHOOSE(CONTROL!$C$21, $C$9, 100%, $E$9)</f>
        <v>145.76499999999999</v>
      </c>
      <c r="G1052" s="14">
        <f>CHOOSE(CONTROL!$C$42, 145.7823, 145.7823)*CHOOSE(CONTROL!$C$21, $C$9, 100%, $E$9)</f>
        <v>145.78229999999999</v>
      </c>
      <c r="H1052" s="14">
        <f>CHOOSE(CONTROL!$C$42, 145.9921, 145.9921) * CHOOSE(CONTROL!$C$21, $C$9, 100%, $E$9)</f>
        <v>145.99209999999999</v>
      </c>
      <c r="I1052" s="14">
        <f>CHOOSE(CONTROL!$C$42, 146.2262, 146.2262)* CHOOSE(CONTROL!$C$21, $C$9, 100%, $E$9)</f>
        <v>146.22620000000001</v>
      </c>
      <c r="J1052" s="14">
        <f>CHOOSE(CONTROL!$C$42, 145.758, 145.758)* CHOOSE(CONTROL!$C$21, $C$9, 100%, $E$9)</f>
        <v>145.75800000000001</v>
      </c>
      <c r="K1052" s="52">
        <f>CHOOSE(CONTROL!$C$42, 146.2223, 146.2223) * CHOOSE(CONTROL!$C$21, $C$9, 100%, $E$9)</f>
        <v>146.22229999999999</v>
      </c>
      <c r="L1052" s="14">
        <f>CHOOSE(CONTROL!$C$42, 146.5791, 146.5791) * CHOOSE(CONTROL!$C$21, $C$9, 100%, $E$9)</f>
        <v>146.57910000000001</v>
      </c>
      <c r="M1052" s="14">
        <f>CHOOSE(CONTROL!$C$42, 142.7792, 142.7792) * CHOOSE(CONTROL!$C$21, $C$9, 100%, $E$9)</f>
        <v>142.7792</v>
      </c>
      <c r="N1052" s="14">
        <f>CHOOSE(CONTROL!$C$42, 142.7961, 142.7961) * CHOOSE(CONTROL!$C$21, $C$9, 100%, $E$9)</f>
        <v>142.7961</v>
      </c>
      <c r="O1052" s="14">
        <f>CHOOSE(CONTROL!$C$42, 143.0085, 143.0085) * CHOOSE(CONTROL!$C$21, $C$9, 100%, $E$9)</f>
        <v>143.0085</v>
      </c>
      <c r="P1052" s="14">
        <f>CHOOSE(CONTROL!$C$42, 143.2287, 143.2287) * CHOOSE(CONTROL!$C$21, $C$9, 100%, $E$9)</f>
        <v>143.2287</v>
      </c>
      <c r="Q1052" s="14">
        <f>CHOOSE(CONTROL!$C$42, 143.6032, 143.6032) * CHOOSE(CONTROL!$C$21, $C$9, 100%, $E$9)</f>
        <v>143.60319999999999</v>
      </c>
      <c r="R1052" s="14">
        <f>CHOOSE(CONTROL!$C$42, 144.5492, 144.5492) * CHOOSE(CONTROL!$C$21, $C$9, 100%, $E$9)</f>
        <v>144.54920000000001</v>
      </c>
      <c r="S1052" s="14">
        <f>CHOOSE(CONTROL!$C$42, 140.0292, 140.0292) * CHOOSE(CONTROL!$C$21, $C$9, 100%, $E$9)</f>
        <v>140.0292</v>
      </c>
      <c r="T1052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56">
        <f>(1000*CHOOSE(CONTROL!$C$42, 695, 695)*CHOOSE(CONTROL!$C$42, 0.5599, 0.5599)*CHOOSE(CONTROL!$C$42, 31, 31))/1000000</f>
        <v>12.063045499999998</v>
      </c>
      <c r="V1052" s="56">
        <f>(1000*CHOOSE(CONTROL!$C$42, 500, 500)*CHOOSE(CONTROL!$C$42, 0.275, 0.275)*CHOOSE(CONTROL!$C$42, 31, 31))/1000000</f>
        <v>4.2625000000000002</v>
      </c>
      <c r="W1052" s="56">
        <f>(1000*CHOOSE(CONTROL!$C$42, 0.1146, 0.1146)*CHOOSE(CONTROL!$C$42, 121.5, 121.5)*CHOOSE(CONTROL!$C$42, 31, 31))/1000000</f>
        <v>0.43164089999999994</v>
      </c>
      <c r="X1052" s="56">
        <f>(31*0.1790888*245000/1000000)+(31*0.2374*100000/1000000)</f>
        <v>2.0961194359999999</v>
      </c>
      <c r="Y1052" s="56"/>
      <c r="Z1052" s="14"/>
      <c r="AA1052" s="55"/>
      <c r="AB1052" s="49">
        <f>(B1052*194.205+C1052*267.466+D1052*133.845+E1052*53.484+F1052*40+G1052*185+H1052*0+I1052*100+J1052*300)/(194.205+267.466+133.845+53.484+0+40+185+100+300)</f>
        <v>145.82579222464679</v>
      </c>
      <c r="AC1052" s="44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142.94877625899281</v>
      </c>
    </row>
    <row r="1053" spans="1:29" ht="15.75" x14ac:dyDescent="0.25">
      <c r="A1053" s="31">
        <v>72958</v>
      </c>
      <c r="B1053" s="14">
        <f>CHOOSE(CONTROL!$C$42, 136.4861, 136.4861) * CHOOSE(CONTROL!$C$21, $C$9, 100%, $E$9)</f>
        <v>136.48609999999999</v>
      </c>
      <c r="C1053" s="14">
        <f>CHOOSE(CONTROL!$C$42, 136.4941, 136.4941) * CHOOSE(CONTROL!$C$21, $C$9, 100%, $E$9)</f>
        <v>136.4941</v>
      </c>
      <c r="D1053" s="14">
        <f>CHOOSE(CONTROL!$C$42, 136.7199, 136.7199) * CHOOSE(CONTROL!$C$21, $C$9, 100%, $E$9)</f>
        <v>136.7199</v>
      </c>
      <c r="E1053" s="14">
        <f>CHOOSE(CONTROL!$C$42, 136.7514, 136.7514) * CHOOSE(CONTROL!$C$21, $C$9, 100%, $E$9)</f>
        <v>136.75139999999999</v>
      </c>
      <c r="F1053" s="14">
        <f>CHOOSE(CONTROL!$C$42, 136.5129, 136.5129)*CHOOSE(CONTROL!$C$21, $C$9, 100%, $E$9)</f>
        <v>136.5129</v>
      </c>
      <c r="G1053" s="14">
        <f>CHOOSE(CONTROL!$C$42, 136.5302, 136.5302)*CHOOSE(CONTROL!$C$21, $C$9, 100%, $E$9)</f>
        <v>136.53020000000001</v>
      </c>
      <c r="H1053" s="14">
        <f>CHOOSE(CONTROL!$C$42, 136.74, 136.74) * CHOOSE(CONTROL!$C$21, $C$9, 100%, $E$9)</f>
        <v>136.74</v>
      </c>
      <c r="I1053" s="14">
        <f>CHOOSE(CONTROL!$C$42, 136.9451, 136.9451)* CHOOSE(CONTROL!$C$21, $C$9, 100%, $E$9)</f>
        <v>136.9451</v>
      </c>
      <c r="J1053" s="14">
        <f>CHOOSE(CONTROL!$C$42, 136.5059, 136.5059)* CHOOSE(CONTROL!$C$21, $C$9, 100%, $E$9)</f>
        <v>136.5059</v>
      </c>
      <c r="K1053" s="52">
        <f>CHOOSE(CONTROL!$C$42, 136.9412, 136.9412) * CHOOSE(CONTROL!$C$21, $C$9, 100%, $E$9)</f>
        <v>136.94120000000001</v>
      </c>
      <c r="L1053" s="14">
        <f>CHOOSE(CONTROL!$C$42, 137.327, 137.327) * CHOOSE(CONTROL!$C$21, $C$9, 100%, $E$9)</f>
        <v>137.327</v>
      </c>
      <c r="M1053" s="14">
        <f>CHOOSE(CONTROL!$C$42, 133.7167, 133.7167) * CHOOSE(CONTROL!$C$21, $C$9, 100%, $E$9)</f>
        <v>133.7167</v>
      </c>
      <c r="N1053" s="14">
        <f>CHOOSE(CONTROL!$C$42, 133.7336, 133.7336) * CHOOSE(CONTROL!$C$21, $C$9, 100%, $E$9)</f>
        <v>133.7336</v>
      </c>
      <c r="O1053" s="14">
        <f>CHOOSE(CONTROL!$C$42, 133.946, 133.946) * CHOOSE(CONTROL!$C$21, $C$9, 100%, $E$9)</f>
        <v>133.946</v>
      </c>
      <c r="P1053" s="14">
        <f>CHOOSE(CONTROL!$C$42, 134.1383, 134.1383) * CHOOSE(CONTROL!$C$21, $C$9, 100%, $E$9)</f>
        <v>134.13829999999999</v>
      </c>
      <c r="Q1053" s="14">
        <f>CHOOSE(CONTROL!$C$42, 134.5407, 134.5407) * CHOOSE(CONTROL!$C$21, $C$9, 100%, $E$9)</f>
        <v>134.54069999999999</v>
      </c>
      <c r="R1053" s="14">
        <f>CHOOSE(CONTROL!$C$42, 135.464, 135.464) * CHOOSE(CONTROL!$C$21, $C$9, 100%, $E$9)</f>
        <v>135.464</v>
      </c>
      <c r="S1053" s="14">
        <f>CHOOSE(CONTROL!$C$42, 131.1389, 131.1389) * CHOOSE(CONTROL!$C$21, $C$9, 100%, $E$9)</f>
        <v>131.13890000000001</v>
      </c>
      <c r="T1053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56">
        <f>(1000*CHOOSE(CONTROL!$C$42, 695, 695)*CHOOSE(CONTROL!$C$42, 0.5599, 0.5599)*CHOOSE(CONTROL!$C$42, 30, 30))/1000000</f>
        <v>11.673914999999997</v>
      </c>
      <c r="V1053" s="56">
        <f>(1000*CHOOSE(CONTROL!$C$42, 500, 500)*CHOOSE(CONTROL!$C$42, 0.275, 0.275)*CHOOSE(CONTROL!$C$42, 30, 30))/1000000</f>
        <v>4.125</v>
      </c>
      <c r="W1053" s="56">
        <f>(1000*CHOOSE(CONTROL!$C$42, 0.1146, 0.1146)*CHOOSE(CONTROL!$C$42, 121.5, 121.5)*CHOOSE(CONTROL!$C$42, 30, 30))/1000000</f>
        <v>0.417717</v>
      </c>
      <c r="X1053" s="56">
        <f>(30*0.1790888*245000/1000000)+(30*0.2374*100000/1000000)</f>
        <v>2.0285026799999999</v>
      </c>
      <c r="Y1053" s="56"/>
      <c r="Z1053" s="14"/>
      <c r="AA1053" s="55"/>
      <c r="AB1053" s="49">
        <f>(B1053*194.205+C1053*267.466+D1053*133.845+E1053*53.484+F1053*40+G1053*185+H1053*0+I1053*100+J1053*300)/(194.205+267.466+133.845+53.484+0+40+185+100+300)</f>
        <v>136.57141592951334</v>
      </c>
      <c r="AC1053" s="44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133.88226187050361</v>
      </c>
    </row>
    <row r="1054" spans="1:29" ht="15.75" x14ac:dyDescent="0.25">
      <c r="A1054" s="31">
        <v>72989</v>
      </c>
      <c r="B1054" s="14">
        <f>CHOOSE(CONTROL!$C$42, 133.7134, 133.7134) * CHOOSE(CONTROL!$C$21, $C$9, 100%, $E$9)</f>
        <v>133.71340000000001</v>
      </c>
      <c r="C1054" s="14">
        <f>CHOOSE(CONTROL!$C$42, 133.7187, 133.7187) * CHOOSE(CONTROL!$C$21, $C$9, 100%, $E$9)</f>
        <v>133.71870000000001</v>
      </c>
      <c r="D1054" s="14">
        <f>CHOOSE(CONTROL!$C$42, 133.9494, 133.9494) * CHOOSE(CONTROL!$C$21, $C$9, 100%, $E$9)</f>
        <v>133.9494</v>
      </c>
      <c r="E1054" s="14">
        <f>CHOOSE(CONTROL!$C$42, 133.9786, 133.9786) * CHOOSE(CONTROL!$C$21, $C$9, 100%, $E$9)</f>
        <v>133.9786</v>
      </c>
      <c r="F1054" s="14">
        <f>CHOOSE(CONTROL!$C$42, 133.7422, 133.7422)*CHOOSE(CONTROL!$C$21, $C$9, 100%, $E$9)</f>
        <v>133.7422</v>
      </c>
      <c r="G1054" s="14">
        <f>CHOOSE(CONTROL!$C$42, 133.7593, 133.7593)*CHOOSE(CONTROL!$C$21, $C$9, 100%, $E$9)</f>
        <v>133.7593</v>
      </c>
      <c r="H1054" s="14">
        <f>CHOOSE(CONTROL!$C$42, 133.969, 133.969) * CHOOSE(CONTROL!$C$21, $C$9, 100%, $E$9)</f>
        <v>133.96899999999999</v>
      </c>
      <c r="I1054" s="14">
        <f>CHOOSE(CONTROL!$C$42, 134.1654, 134.1654)* CHOOSE(CONTROL!$C$21, $C$9, 100%, $E$9)</f>
        <v>134.16540000000001</v>
      </c>
      <c r="J1054" s="14">
        <f>CHOOSE(CONTROL!$C$42, 133.7352, 133.7352)* CHOOSE(CONTROL!$C$21, $C$9, 100%, $E$9)</f>
        <v>133.73519999999999</v>
      </c>
      <c r="K1054" s="52">
        <f>CHOOSE(CONTROL!$C$42, 134.1615, 134.1615) * CHOOSE(CONTROL!$C$21, $C$9, 100%, $E$9)</f>
        <v>134.16149999999999</v>
      </c>
      <c r="L1054" s="14">
        <f>CHOOSE(CONTROL!$C$42, 134.556, 134.556) * CHOOSE(CONTROL!$C$21, $C$9, 100%, $E$9)</f>
        <v>134.55600000000001</v>
      </c>
      <c r="M1054" s="14">
        <f>CHOOSE(CONTROL!$C$42, 131.0028, 131.0028) * CHOOSE(CONTROL!$C$21, $C$9, 100%, $E$9)</f>
        <v>131.00280000000001</v>
      </c>
      <c r="N1054" s="14">
        <f>CHOOSE(CONTROL!$C$42, 131.0195, 131.0195) * CHOOSE(CONTROL!$C$21, $C$9, 100%, $E$9)</f>
        <v>131.01949999999999</v>
      </c>
      <c r="O1054" s="14">
        <f>CHOOSE(CONTROL!$C$42, 131.2318, 131.2318) * CHOOSE(CONTROL!$C$21, $C$9, 100%, $E$9)</f>
        <v>131.23179999999999</v>
      </c>
      <c r="P1054" s="14">
        <f>CHOOSE(CONTROL!$C$42, 131.4158, 131.4158) * CHOOSE(CONTROL!$C$21, $C$9, 100%, $E$9)</f>
        <v>131.41579999999999</v>
      </c>
      <c r="Q1054" s="14">
        <f>CHOOSE(CONTROL!$C$42, 131.8265, 131.8265) * CHOOSE(CONTROL!$C$21, $C$9, 100%, $E$9)</f>
        <v>131.82650000000001</v>
      </c>
      <c r="R1054" s="14">
        <f>CHOOSE(CONTROL!$C$42, 132.7431, 132.7431) * CHOOSE(CONTROL!$C$21, $C$9, 100%, $E$9)</f>
        <v>132.7431</v>
      </c>
      <c r="S1054" s="14">
        <f>CHOOSE(CONTROL!$C$42, 128.4762, 128.4762) * CHOOSE(CONTROL!$C$21, $C$9, 100%, $E$9)</f>
        <v>128.47620000000001</v>
      </c>
      <c r="T1054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56">
        <f>(1000*CHOOSE(CONTROL!$C$42, 695, 695)*CHOOSE(CONTROL!$C$42, 0.5599, 0.5599)*CHOOSE(CONTROL!$C$42, 31, 31))/1000000</f>
        <v>12.063045499999998</v>
      </c>
      <c r="V1054" s="56">
        <f>(1000*CHOOSE(CONTROL!$C$42, 500, 500)*CHOOSE(CONTROL!$C$42, 0.275, 0.275)*CHOOSE(CONTROL!$C$42, 31, 31))/1000000</f>
        <v>4.2625000000000002</v>
      </c>
      <c r="W1054" s="56">
        <f>(1000*CHOOSE(CONTROL!$C$42, 0.1146, 0.1146)*CHOOSE(CONTROL!$C$42, 121.5, 121.5)*CHOOSE(CONTROL!$C$42, 31, 31))/1000000</f>
        <v>0.43164089999999994</v>
      </c>
      <c r="X1054" s="56">
        <f>(31*0.1790888*245000/1000000)+(31*0.2374*100000/1000000)</f>
        <v>2.0961194359999999</v>
      </c>
      <c r="Y1054" s="56"/>
      <c r="Z1054" s="14"/>
      <c r="AA1054" s="55"/>
      <c r="AB1054" s="49">
        <f>(B1054*131.881+C1054*277.167+D1054*79.08+E1054*125.872+F1054*40+G1054*185+H1054*0+I1054*100+J1054*300)/(131.881+277.167+79.08+125.872+0+40+185+100+300)</f>
        <v>133.80613334907181</v>
      </c>
      <c r="AC1054" s="44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131.1669769784173</v>
      </c>
    </row>
    <row r="1055" spans="1:29" ht="15.75" x14ac:dyDescent="0.25">
      <c r="A1055" s="31">
        <v>73019</v>
      </c>
      <c r="B1055" s="14">
        <f>CHOOSE(CONTROL!$C$42, 137.2353, 137.2353) * CHOOSE(CONTROL!$C$21, $C$9, 100%, $E$9)</f>
        <v>137.2353</v>
      </c>
      <c r="C1055" s="14">
        <f>CHOOSE(CONTROL!$C$42, 137.2404, 137.2404) * CHOOSE(CONTROL!$C$21, $C$9, 100%, $E$9)</f>
        <v>137.24039999999999</v>
      </c>
      <c r="D1055" s="14">
        <f>CHOOSE(CONTROL!$C$42, 137.3094, 137.3094) * CHOOSE(CONTROL!$C$21, $C$9, 100%, $E$9)</f>
        <v>137.30940000000001</v>
      </c>
      <c r="E1055" s="14">
        <f>CHOOSE(CONTROL!$C$42, 137.3435, 137.3435) * CHOOSE(CONTROL!$C$21, $C$9, 100%, $E$9)</f>
        <v>137.34350000000001</v>
      </c>
      <c r="F1055" s="14">
        <f>CHOOSE(CONTROL!$C$42, 137.2709, 137.2709)*CHOOSE(CONTROL!$C$21, $C$9, 100%, $E$9)</f>
        <v>137.27090000000001</v>
      </c>
      <c r="G1055" s="14">
        <f>CHOOSE(CONTROL!$C$42, 137.2883, 137.2883)*CHOOSE(CONTROL!$C$21, $C$9, 100%, $E$9)</f>
        <v>137.28829999999999</v>
      </c>
      <c r="H1055" s="14">
        <f>CHOOSE(CONTROL!$C$42, 137.3327, 137.3327) * CHOOSE(CONTROL!$C$21, $C$9, 100%, $E$9)</f>
        <v>137.33269999999999</v>
      </c>
      <c r="I1055" s="14">
        <f>CHOOSE(CONTROL!$C$42, 137.7015, 137.7015)* CHOOSE(CONTROL!$C$21, $C$9, 100%, $E$9)</f>
        <v>137.70150000000001</v>
      </c>
      <c r="J1055" s="14">
        <f>CHOOSE(CONTROL!$C$42, 137.2639, 137.2639)* CHOOSE(CONTROL!$C$21, $C$9, 100%, $E$9)</f>
        <v>137.26390000000001</v>
      </c>
      <c r="K1055" s="52">
        <f>CHOOSE(CONTROL!$C$42, 137.6976, 137.6976) * CHOOSE(CONTROL!$C$21, $C$9, 100%, $E$9)</f>
        <v>137.69759999999999</v>
      </c>
      <c r="L1055" s="14">
        <f>CHOOSE(CONTROL!$C$42, 137.9197, 137.9197) * CHOOSE(CONTROL!$C$21, $C$9, 100%, $E$9)</f>
        <v>137.91970000000001</v>
      </c>
      <c r="M1055" s="14">
        <f>CHOOSE(CONTROL!$C$42, 134.4592, 134.4592) * CHOOSE(CONTROL!$C$21, $C$9, 100%, $E$9)</f>
        <v>134.45920000000001</v>
      </c>
      <c r="N1055" s="14">
        <f>CHOOSE(CONTROL!$C$42, 134.4762, 134.4762) * CHOOSE(CONTROL!$C$21, $C$9, 100%, $E$9)</f>
        <v>134.47620000000001</v>
      </c>
      <c r="O1055" s="14">
        <f>CHOOSE(CONTROL!$C$42, 134.5266, 134.5266) * CHOOSE(CONTROL!$C$21, $C$9, 100%, $E$9)</f>
        <v>134.5266</v>
      </c>
      <c r="P1055" s="14">
        <f>CHOOSE(CONTROL!$C$42, 134.8792, 134.8792) * CHOOSE(CONTROL!$C$21, $C$9, 100%, $E$9)</f>
        <v>134.8792</v>
      </c>
      <c r="Q1055" s="14">
        <f>CHOOSE(CONTROL!$C$42, 135.1213, 135.1213) * CHOOSE(CONTROL!$C$21, $C$9, 100%, $E$9)</f>
        <v>135.12129999999999</v>
      </c>
      <c r="R1055" s="14">
        <f>CHOOSE(CONTROL!$C$42, 136.0461, 136.0461) * CHOOSE(CONTROL!$C$21, $C$9, 100%, $E$9)</f>
        <v>136.0461</v>
      </c>
      <c r="S1055" s="14">
        <f>CHOOSE(CONTROL!$C$42, 131.8609, 131.8609) * CHOOSE(CONTROL!$C$21, $C$9, 100%, $E$9)</f>
        <v>131.86089999999999</v>
      </c>
      <c r="T1055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56">
        <f>(1000*CHOOSE(CONTROL!$C$42, 695, 695)*CHOOSE(CONTROL!$C$42, 0.5599, 0.5599)*CHOOSE(CONTROL!$C$42, 30, 30))/1000000</f>
        <v>11.673914999999997</v>
      </c>
      <c r="V1055" s="56">
        <f>(1000*CHOOSE(CONTROL!$C$42, 500, 500)*CHOOSE(CONTROL!$C$42, 0.275, 0.275)*CHOOSE(CONTROL!$C$42, 30, 30))/1000000</f>
        <v>4.125</v>
      </c>
      <c r="W1055" s="56">
        <f>(1000*CHOOSE(CONTROL!$C$42, 0.1146, 0.1146)*CHOOSE(CONTROL!$C$42, 121.5, 121.5)*CHOOSE(CONTROL!$C$42, 30, 30))/1000000</f>
        <v>0.417717</v>
      </c>
      <c r="X1055" s="56">
        <f>(30*0.1790888*100000/1000000)+(30*0.2374*100000/1000000)</f>
        <v>1.2494664</v>
      </c>
      <c r="Y1055" s="56"/>
      <c r="Z1055" s="14"/>
      <c r="AA1055" s="55"/>
      <c r="AB1055" s="49">
        <f>(B1055*122.58+C1055*297.941+D1055*89.177+E1055*40.302+F1055*40+G1055*160+H1055*0+I1055*100+J1055*300)/(122.58+297.941+89.177+40.302+0+40+160+100+300)</f>
        <v>137.30277147060869</v>
      </c>
      <c r="AC1055" s="44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134.5511582733813</v>
      </c>
    </row>
    <row r="1056" spans="1:29" ht="15.75" x14ac:dyDescent="0.25">
      <c r="A1056" s="31">
        <v>73050</v>
      </c>
      <c r="B1056" s="14">
        <f>CHOOSE(CONTROL!$C$42, 146.5913, 146.5913) * CHOOSE(CONTROL!$C$21, $C$9, 100%, $E$9)</f>
        <v>146.59129999999999</v>
      </c>
      <c r="C1056" s="14">
        <f>CHOOSE(CONTROL!$C$42, 146.5964, 146.5964) * CHOOSE(CONTROL!$C$21, $C$9, 100%, $E$9)</f>
        <v>146.59639999999999</v>
      </c>
      <c r="D1056" s="14">
        <f>CHOOSE(CONTROL!$C$42, 146.6654, 146.6654) * CHOOSE(CONTROL!$C$21, $C$9, 100%, $E$9)</f>
        <v>146.66540000000001</v>
      </c>
      <c r="E1056" s="14">
        <f>CHOOSE(CONTROL!$C$42, 146.6995, 146.6995) * CHOOSE(CONTROL!$C$21, $C$9, 100%, $E$9)</f>
        <v>146.6995</v>
      </c>
      <c r="F1056" s="14">
        <f>CHOOSE(CONTROL!$C$42, 146.6292, 146.6292)*CHOOSE(CONTROL!$C$21, $C$9, 100%, $E$9)</f>
        <v>146.6292</v>
      </c>
      <c r="G1056" s="14">
        <f>CHOOSE(CONTROL!$C$42, 146.6472, 146.6472)*CHOOSE(CONTROL!$C$21, $C$9, 100%, $E$9)</f>
        <v>146.6472</v>
      </c>
      <c r="H1056" s="14">
        <f>CHOOSE(CONTROL!$C$42, 146.6887, 146.6887) * CHOOSE(CONTROL!$C$21, $C$9, 100%, $E$9)</f>
        <v>146.68870000000001</v>
      </c>
      <c r="I1056" s="14">
        <f>CHOOSE(CONTROL!$C$42, 147.0868, 147.0868)* CHOOSE(CONTROL!$C$21, $C$9, 100%, $E$9)</f>
        <v>147.08680000000001</v>
      </c>
      <c r="J1056" s="14">
        <f>CHOOSE(CONTROL!$C$42, 146.6222, 146.6222)* CHOOSE(CONTROL!$C$21, $C$9, 100%, $E$9)</f>
        <v>146.62219999999999</v>
      </c>
      <c r="K1056" s="52">
        <f>CHOOSE(CONTROL!$C$42, 147.0829, 147.0829) * CHOOSE(CONTROL!$C$21, $C$9, 100%, $E$9)</f>
        <v>147.0829</v>
      </c>
      <c r="L1056" s="14">
        <f>CHOOSE(CONTROL!$C$42, 147.2757, 147.2757) * CHOOSE(CONTROL!$C$21, $C$9, 100%, $E$9)</f>
        <v>147.2757</v>
      </c>
      <c r="M1056" s="14">
        <f>CHOOSE(CONTROL!$C$42, 143.6257, 143.6257) * CHOOSE(CONTROL!$C$21, $C$9, 100%, $E$9)</f>
        <v>143.62569999999999</v>
      </c>
      <c r="N1056" s="14">
        <f>CHOOSE(CONTROL!$C$42, 143.6433, 143.6433) * CHOOSE(CONTROL!$C$21, $C$9, 100%, $E$9)</f>
        <v>143.64330000000001</v>
      </c>
      <c r="O1056" s="14">
        <f>CHOOSE(CONTROL!$C$42, 143.6908, 143.6908) * CHOOSE(CONTROL!$C$21, $C$9, 100%, $E$9)</f>
        <v>143.6908</v>
      </c>
      <c r="P1056" s="14">
        <f>CHOOSE(CONTROL!$C$42, 144.0716, 144.0716) * CHOOSE(CONTROL!$C$21, $C$9, 100%, $E$9)</f>
        <v>144.07159999999999</v>
      </c>
      <c r="Q1056" s="14">
        <f>CHOOSE(CONTROL!$C$42, 144.2855, 144.2855) * CHOOSE(CONTROL!$C$21, $C$9, 100%, $E$9)</f>
        <v>144.28550000000001</v>
      </c>
      <c r="R1056" s="14">
        <f>CHOOSE(CONTROL!$C$42, 145.2333, 145.2333) * CHOOSE(CONTROL!$C$21, $C$9, 100%, $E$9)</f>
        <v>145.23330000000001</v>
      </c>
      <c r="S1056" s="14">
        <f>CHOOSE(CONTROL!$C$42, 140.8511, 140.8511) * CHOOSE(CONTROL!$C$21, $C$9, 100%, $E$9)</f>
        <v>140.8511</v>
      </c>
      <c r="T1056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56">
        <f>(1000*CHOOSE(CONTROL!$C$42, 695, 695)*CHOOSE(CONTROL!$C$42, 0.5599, 0.5599)*CHOOSE(CONTROL!$C$42, 31, 31))/1000000</f>
        <v>12.063045499999998</v>
      </c>
      <c r="V1056" s="56">
        <f>(1000*CHOOSE(CONTROL!$C$42, 500, 500)*CHOOSE(CONTROL!$C$42, 0.275, 0.275)*CHOOSE(CONTROL!$C$42, 31, 31))/1000000</f>
        <v>4.2625000000000002</v>
      </c>
      <c r="W1056" s="56">
        <f>(1000*CHOOSE(CONTROL!$C$42, 0.1146, 0.1146)*CHOOSE(CONTROL!$C$42, 121.5, 121.5)*CHOOSE(CONTROL!$C$42, 31, 31))/1000000</f>
        <v>0.43164089999999994</v>
      </c>
      <c r="X1056" s="56">
        <f>(31*0.1790888*100000/1000000)+(31*0.2374*100000/1000000)</f>
        <v>1.2911152800000001</v>
      </c>
      <c r="Y1056" s="56"/>
      <c r="Z1056" s="14"/>
      <c r="AA1056" s="55"/>
      <c r="AB1056" s="49">
        <f>(B1056*122.58+C1056*297.941+D1056*89.177+E1056*40.302+F1056*40+G1056*160+H1056*0+I1056*100+J1056*300)/(122.58+297.941+89.177+40.302+0+40+160+100+300)</f>
        <v>146.66240277495652</v>
      </c>
      <c r="AC1056" s="44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143.72037697841725</v>
      </c>
    </row>
    <row r="1057" spans="1:29" ht="15.75" x14ac:dyDescent="0.25">
      <c r="A1057" s="31">
        <v>73081</v>
      </c>
      <c r="B1057" s="14">
        <f>CHOOSE(CONTROL!$C$42, 158.7431, 158.7431) * CHOOSE(CONTROL!$C$21, $C$9, 100%, $E$9)</f>
        <v>158.7431</v>
      </c>
      <c r="C1057" s="14">
        <f>CHOOSE(CONTROL!$C$42, 158.7481, 158.7481) * CHOOSE(CONTROL!$C$21, $C$9, 100%, $E$9)</f>
        <v>158.74809999999999</v>
      </c>
      <c r="D1057" s="14">
        <f>CHOOSE(CONTROL!$C$42, 158.8276, 158.8276) * CHOOSE(CONTROL!$C$21, $C$9, 100%, $E$9)</f>
        <v>158.82759999999999</v>
      </c>
      <c r="E1057" s="14">
        <f>CHOOSE(CONTROL!$C$42, 158.8617, 158.8617) * CHOOSE(CONTROL!$C$21, $C$9, 100%, $E$9)</f>
        <v>158.86170000000001</v>
      </c>
      <c r="F1057" s="14">
        <f>CHOOSE(CONTROL!$C$42, 158.7661, 158.7661)*CHOOSE(CONTROL!$C$21, $C$9, 100%, $E$9)</f>
        <v>158.76609999999999</v>
      </c>
      <c r="G1057" s="14">
        <f>CHOOSE(CONTROL!$C$42, 158.7836, 158.7836)*CHOOSE(CONTROL!$C$21, $C$9, 100%, $E$9)</f>
        <v>158.78360000000001</v>
      </c>
      <c r="H1057" s="14">
        <f>CHOOSE(CONTROL!$C$42, 158.8509, 158.8509) * CHOOSE(CONTROL!$C$21, $C$9, 100%, $E$9)</f>
        <v>158.8509</v>
      </c>
      <c r="I1057" s="14">
        <f>CHOOSE(CONTROL!$C$42, 159.2755, 159.2755)* CHOOSE(CONTROL!$C$21, $C$9, 100%, $E$9)</f>
        <v>159.27549999999999</v>
      </c>
      <c r="J1057" s="14">
        <f>CHOOSE(CONTROL!$C$42, 158.7591, 158.7591)* CHOOSE(CONTROL!$C$21, $C$9, 100%, $E$9)</f>
        <v>158.75909999999999</v>
      </c>
      <c r="K1057" s="52">
        <f>CHOOSE(CONTROL!$C$42, 159.2716, 159.2716) * CHOOSE(CONTROL!$C$21, $C$9, 100%, $E$9)</f>
        <v>159.27160000000001</v>
      </c>
      <c r="L1057" s="14">
        <f>CHOOSE(CONTROL!$C$42, 159.4379, 159.4379) * CHOOSE(CONTROL!$C$21, $C$9, 100%, $E$9)</f>
        <v>159.43790000000001</v>
      </c>
      <c r="M1057" s="14">
        <f>CHOOSE(CONTROL!$C$42, 155.5139, 155.5139) * CHOOSE(CONTROL!$C$21, $C$9, 100%, $E$9)</f>
        <v>155.51390000000001</v>
      </c>
      <c r="N1057" s="14">
        <f>CHOOSE(CONTROL!$C$42, 155.5311, 155.5311) * CHOOSE(CONTROL!$C$21, $C$9, 100%, $E$9)</f>
        <v>155.53110000000001</v>
      </c>
      <c r="O1057" s="14">
        <f>CHOOSE(CONTROL!$C$42, 155.6038, 155.6038) * CHOOSE(CONTROL!$C$21, $C$9, 100%, $E$9)</f>
        <v>155.60380000000001</v>
      </c>
      <c r="P1057" s="14">
        <f>CHOOSE(CONTROL!$C$42, 156.0098, 156.0098) * CHOOSE(CONTROL!$C$21, $C$9, 100%, $E$9)</f>
        <v>156.00980000000001</v>
      </c>
      <c r="Q1057" s="14">
        <f>CHOOSE(CONTROL!$C$42, 156.1985, 156.1985) * CHOOSE(CONTROL!$C$21, $C$9, 100%, $E$9)</f>
        <v>156.1985</v>
      </c>
      <c r="R1057" s="14">
        <f>CHOOSE(CONTROL!$C$42, 157.176, 157.176) * CHOOSE(CONTROL!$C$21, $C$9, 100%, $E$9)</f>
        <v>157.17599999999999</v>
      </c>
      <c r="S1057" s="14">
        <f>CHOOSE(CONTROL!$C$42, 152.5277, 152.5277) * CHOOSE(CONTROL!$C$21, $C$9, 100%, $E$9)</f>
        <v>152.52770000000001</v>
      </c>
      <c r="T1057" s="56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57" s="56">
        <f>(1000*CHOOSE(CONTROL!$C$42, 695, 695)*CHOOSE(CONTROL!$C$42, 0.5599, 0.5599)*CHOOSE(CONTROL!$C$42, 31, 31))/1000000</f>
        <v>12.063045499999998</v>
      </c>
      <c r="V1057" s="56">
        <f>(1000*CHOOSE(CONTROL!$C$42, 500, 500)*CHOOSE(CONTROL!$C$42, 0.275, 0.275)*CHOOSE(CONTROL!$C$42, 31, 31))/1000000</f>
        <v>4.2625000000000002</v>
      </c>
      <c r="W1057" s="56">
        <f>(1000*CHOOSE(CONTROL!$C$42, 0.1146, 0.1146)*CHOOSE(CONTROL!$C$42, 121.5, 121.5)*CHOOSE(CONTROL!$C$42, 31, 31))/1000000</f>
        <v>0.43164089999999994</v>
      </c>
      <c r="X1057" s="56">
        <f>(31*0.1790888*100000/1000000)+(31*0.2374*100000/1000000)</f>
        <v>1.2911152800000001</v>
      </c>
      <c r="Y1057" s="56"/>
      <c r="Z1057" s="14"/>
      <c r="AA1057" s="55"/>
      <c r="AB1057" s="49">
        <f>(B1057*122.58+C1057*297.941+D1057*89.177+E1057*40.302+F1057*40+G1057*160+H1057*0+I1057*100+J1057*300)/(122.58+297.941+89.177+40.302+0+40+160+100+300)</f>
        <v>158.81200867713045</v>
      </c>
      <c r="AC1057" s="44">
        <f>(M1057*'RAP TEMPLATE-GAS AVAILABILITY'!O1056+N1057*'RAP TEMPLATE-GAS AVAILABILITY'!P1056+O1057*'RAP TEMPLATE-GAS AVAILABILITY'!Q1056+P1057*'RAP TEMPLATE-GAS AVAILABILITY'!R1056)/('RAP TEMPLATE-GAS AVAILABILITY'!O1056+'RAP TEMPLATE-GAS AVAILABILITY'!P1056+'RAP TEMPLATE-GAS AVAILABILITY'!Q1056+'RAP TEMPLATE-GAS AVAILABILITY'!R1056)</f>
        <v>155.62698848920863</v>
      </c>
    </row>
    <row r="1058" spans="1:29" ht="15.75" x14ac:dyDescent="0.25">
      <c r="A1058" s="31">
        <v>73109</v>
      </c>
      <c r="B1058" s="14">
        <f>CHOOSE(CONTROL!$C$42, 161.5688, 161.5688) * CHOOSE(CONTROL!$C$21, $C$9, 100%, $E$9)</f>
        <v>161.56880000000001</v>
      </c>
      <c r="C1058" s="14">
        <f>CHOOSE(CONTROL!$C$42, 161.5738, 161.5738) * CHOOSE(CONTROL!$C$21, $C$9, 100%, $E$9)</f>
        <v>161.57380000000001</v>
      </c>
      <c r="D1058" s="14">
        <f>CHOOSE(CONTROL!$C$42, 161.6532, 161.6532) * CHOOSE(CONTROL!$C$21, $C$9, 100%, $E$9)</f>
        <v>161.6532</v>
      </c>
      <c r="E1058" s="14">
        <f>CHOOSE(CONTROL!$C$42, 161.6873, 161.6873) * CHOOSE(CONTROL!$C$21, $C$9, 100%, $E$9)</f>
        <v>161.68729999999999</v>
      </c>
      <c r="F1058" s="14">
        <f>CHOOSE(CONTROL!$C$42, 161.5915, 161.5915)*CHOOSE(CONTROL!$C$21, $C$9, 100%, $E$9)</f>
        <v>161.5915</v>
      </c>
      <c r="G1058" s="14">
        <f>CHOOSE(CONTROL!$C$42, 161.609, 161.609)*CHOOSE(CONTROL!$C$21, $C$9, 100%, $E$9)</f>
        <v>161.60900000000001</v>
      </c>
      <c r="H1058" s="14">
        <f>CHOOSE(CONTROL!$C$42, 161.6765, 161.6765) * CHOOSE(CONTROL!$C$21, $C$9, 100%, $E$9)</f>
        <v>161.6765</v>
      </c>
      <c r="I1058" s="14">
        <f>CHOOSE(CONTROL!$C$42, 162.1101, 162.1101)* CHOOSE(CONTROL!$C$21, $C$9, 100%, $E$9)</f>
        <v>162.11009999999999</v>
      </c>
      <c r="J1058" s="14">
        <f>CHOOSE(CONTROL!$C$42, 161.5845, 161.5845)* CHOOSE(CONTROL!$C$21, $C$9, 100%, $E$9)</f>
        <v>161.58449999999999</v>
      </c>
      <c r="K1058" s="52">
        <f>CHOOSE(CONTROL!$C$42, 162.1062, 162.1062) * CHOOSE(CONTROL!$C$21, $C$9, 100%, $E$9)</f>
        <v>162.1062</v>
      </c>
      <c r="L1058" s="14">
        <f>CHOOSE(CONTROL!$C$42, 162.2635, 162.2635) * CHOOSE(CONTROL!$C$21, $C$9, 100%, $E$9)</f>
        <v>162.26349999999999</v>
      </c>
      <c r="M1058" s="14">
        <f>CHOOSE(CONTROL!$C$42, 158.2815, 158.2815) * CHOOSE(CONTROL!$C$21, $C$9, 100%, $E$9)</f>
        <v>158.28149999999999</v>
      </c>
      <c r="N1058" s="14">
        <f>CHOOSE(CONTROL!$C$42, 158.2986, 158.2986) * CHOOSE(CONTROL!$C$21, $C$9, 100%, $E$9)</f>
        <v>158.29859999999999</v>
      </c>
      <c r="O1058" s="14">
        <f>CHOOSE(CONTROL!$C$42, 158.3716, 158.3716) * CHOOSE(CONTROL!$C$21, $C$9, 100%, $E$9)</f>
        <v>158.3716</v>
      </c>
      <c r="P1058" s="14">
        <f>CHOOSE(CONTROL!$C$42, 158.7861, 158.7861) * CHOOSE(CONTROL!$C$21, $C$9, 100%, $E$9)</f>
        <v>158.7861</v>
      </c>
      <c r="Q1058" s="14">
        <f>CHOOSE(CONTROL!$C$42, 158.9663, 158.9663) * CHOOSE(CONTROL!$C$21, $C$9, 100%, $E$9)</f>
        <v>158.96629999999999</v>
      </c>
      <c r="R1058" s="14">
        <f>CHOOSE(CONTROL!$C$42, 159.9507, 159.9507) * CHOOSE(CONTROL!$C$21, $C$9, 100%, $E$9)</f>
        <v>159.95070000000001</v>
      </c>
      <c r="S1058" s="14">
        <f>CHOOSE(CONTROL!$C$42, 155.2429, 155.2429) * CHOOSE(CONTROL!$C$21, $C$9, 100%, $E$9)</f>
        <v>155.24289999999999</v>
      </c>
      <c r="T1058" s="56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58" s="56">
        <f>(1000*CHOOSE(CONTROL!$C$42, 695, 695)*CHOOSE(CONTROL!$C$42, 0.5599, 0.5599)*CHOOSE(CONTROL!$C$42, 29, 29))/1000000</f>
        <v>11.284784499999999</v>
      </c>
      <c r="V1058" s="56">
        <f>(1000*CHOOSE(CONTROL!$C$42, 500, 500)*CHOOSE(CONTROL!$C$42, 0.275, 0.275)*CHOOSE(CONTROL!$C$42, 29, 29))/1000000</f>
        <v>3.9874999999999998</v>
      </c>
      <c r="W1058" s="56">
        <f>(1000*CHOOSE(CONTROL!$C$42, 0.1146, 0.1146)*CHOOSE(CONTROL!$C$42, 121.5, 121.5)*CHOOSE(CONTROL!$C$42, 29, 29))/1000000</f>
        <v>0.40379309999999996</v>
      </c>
      <c r="X1058" s="56">
        <f>(28*0.1790888*100000/1000000)+(28*0.2374*100000/1000000)</f>
        <v>1.16616864</v>
      </c>
      <c r="Y1058" s="56"/>
      <c r="Z1058" s="14"/>
      <c r="AA1058" s="55"/>
      <c r="AB1058" s="49">
        <f>(B1058*122.58+C1058*297.941+D1058*89.177+E1058*40.302+F1058*40+G1058*160+H1058*0+I1058*100+J1058*300)/(122.58+297.941+89.177+40.302+0+40+160+100+300)</f>
        <v>161.63834089634784</v>
      </c>
      <c r="AC1058" s="44">
        <f>(M1058*'RAP TEMPLATE-GAS AVAILABILITY'!O1057+N1058*'RAP TEMPLATE-GAS AVAILABILITY'!P1057+O1058*'RAP TEMPLATE-GAS AVAILABILITY'!Q1057+P1058*'RAP TEMPLATE-GAS AVAILABILITY'!R1057)/('RAP TEMPLATE-GAS AVAILABILITY'!O1057+'RAP TEMPLATE-GAS AVAILABILITY'!P1057+'RAP TEMPLATE-GAS AVAILABILITY'!Q1057+'RAP TEMPLATE-GAS AVAILABILITY'!R1057)</f>
        <v>158.39592517985614</v>
      </c>
    </row>
    <row r="1059" spans="1:29" ht="15.75" x14ac:dyDescent="0.25">
      <c r="A1059" s="31">
        <v>73140</v>
      </c>
      <c r="B1059" s="14">
        <f>CHOOSE(CONTROL!$C$42, 156.982, 156.982) * CHOOSE(CONTROL!$C$21, $C$9, 100%, $E$9)</f>
        <v>156.982</v>
      </c>
      <c r="C1059" s="14">
        <f>CHOOSE(CONTROL!$C$42, 156.987, 156.987) * CHOOSE(CONTROL!$C$21, $C$9, 100%, $E$9)</f>
        <v>156.98699999999999</v>
      </c>
      <c r="D1059" s="14">
        <f>CHOOSE(CONTROL!$C$42, 157.0665, 157.0665) * CHOOSE(CONTROL!$C$21, $C$9, 100%, $E$9)</f>
        <v>157.06649999999999</v>
      </c>
      <c r="E1059" s="14">
        <f>CHOOSE(CONTROL!$C$42, 157.1006, 157.1006) * CHOOSE(CONTROL!$C$21, $C$9, 100%, $E$9)</f>
        <v>157.10059999999999</v>
      </c>
      <c r="F1059" s="14">
        <f>CHOOSE(CONTROL!$C$42, 157.004, 157.004)*CHOOSE(CONTROL!$C$21, $C$9, 100%, $E$9)</f>
        <v>157.00399999999999</v>
      </c>
      <c r="G1059" s="14">
        <f>CHOOSE(CONTROL!$C$42, 157.0213, 157.0213)*CHOOSE(CONTROL!$C$21, $C$9, 100%, $E$9)</f>
        <v>157.0213</v>
      </c>
      <c r="H1059" s="14">
        <f>CHOOSE(CONTROL!$C$42, 157.0898, 157.0898) * CHOOSE(CONTROL!$C$21, $C$9, 100%, $E$9)</f>
        <v>157.0898</v>
      </c>
      <c r="I1059" s="14">
        <f>CHOOSE(CONTROL!$C$42, 157.5089, 157.5089)* CHOOSE(CONTROL!$C$21, $C$9, 100%, $E$9)</f>
        <v>157.50890000000001</v>
      </c>
      <c r="J1059" s="14">
        <f>CHOOSE(CONTROL!$C$42, 156.997, 156.997)* CHOOSE(CONTROL!$C$21, $C$9, 100%, $E$9)</f>
        <v>156.99700000000001</v>
      </c>
      <c r="K1059" s="52">
        <f>CHOOSE(CONTROL!$C$42, 157.505, 157.505) * CHOOSE(CONTROL!$C$21, $C$9, 100%, $E$9)</f>
        <v>157.505</v>
      </c>
      <c r="L1059" s="14">
        <f>CHOOSE(CONTROL!$C$42, 157.6768, 157.6768) * CHOOSE(CONTROL!$C$21, $C$9, 100%, $E$9)</f>
        <v>157.67679999999999</v>
      </c>
      <c r="M1059" s="14">
        <f>CHOOSE(CONTROL!$C$42, 153.788, 153.788) * CHOOSE(CONTROL!$C$21, $C$9, 100%, $E$9)</f>
        <v>153.78800000000001</v>
      </c>
      <c r="N1059" s="14">
        <f>CHOOSE(CONTROL!$C$42, 153.8049, 153.8049) * CHOOSE(CONTROL!$C$21, $C$9, 100%, $E$9)</f>
        <v>153.8049</v>
      </c>
      <c r="O1059" s="14">
        <f>CHOOSE(CONTROL!$C$42, 153.8788, 153.8788) * CHOOSE(CONTROL!$C$21, $C$9, 100%, $E$9)</f>
        <v>153.87880000000001</v>
      </c>
      <c r="P1059" s="14">
        <f>CHOOSE(CONTROL!$C$42, 154.2795, 154.2795) * CHOOSE(CONTROL!$C$21, $C$9, 100%, $E$9)</f>
        <v>154.27950000000001</v>
      </c>
      <c r="Q1059" s="14">
        <f>CHOOSE(CONTROL!$C$42, 154.4735, 154.4735) * CHOOSE(CONTROL!$C$21, $C$9, 100%, $E$9)</f>
        <v>154.4735</v>
      </c>
      <c r="R1059" s="14">
        <f>CHOOSE(CONTROL!$C$42, 155.4467, 155.4467) * CHOOSE(CONTROL!$C$21, $C$9, 100%, $E$9)</f>
        <v>155.44669999999999</v>
      </c>
      <c r="S1059" s="14">
        <f>CHOOSE(CONTROL!$C$42, 150.8354, 150.8354) * CHOOSE(CONTROL!$C$21, $C$9, 100%, $E$9)</f>
        <v>150.83539999999999</v>
      </c>
      <c r="T1059" s="56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59" s="56">
        <f>(1000*CHOOSE(CONTROL!$C$42, 695, 695)*CHOOSE(CONTROL!$C$42, 0.5599, 0.5599)*CHOOSE(CONTROL!$C$42, 31, 31))/1000000</f>
        <v>12.063045499999998</v>
      </c>
      <c r="V1059" s="56">
        <f>(1000*CHOOSE(CONTROL!$C$42, 500, 500)*CHOOSE(CONTROL!$C$42, 0.275, 0.275)*CHOOSE(CONTROL!$C$42, 31, 31))/1000000</f>
        <v>4.2625000000000002</v>
      </c>
      <c r="W1059" s="56">
        <f>(1000*CHOOSE(CONTROL!$C$42, 0.1146, 0.1146)*CHOOSE(CONTROL!$C$42, 121.5, 121.5)*CHOOSE(CONTROL!$C$42, 31, 31))/1000000</f>
        <v>0.43164089999999994</v>
      </c>
      <c r="X1059" s="56">
        <f>(31*0.1790888*100000/1000000)+(31*0.2374*100000/1000000)</f>
        <v>1.2911152800000001</v>
      </c>
      <c r="Y1059" s="56"/>
      <c r="Z1059" s="14"/>
      <c r="AA1059" s="55"/>
      <c r="AB1059" s="49">
        <f>(B1059*122.58+C1059*297.941+D1059*89.177+E1059*40.302+F1059*40+G1059*160+H1059*0+I1059*100+J1059*300)/(122.58+297.941+89.177+40.302+0+40+160+100+300)</f>
        <v>157.04996780756522</v>
      </c>
      <c r="AC1059" s="44">
        <f>(M1059*'RAP TEMPLATE-GAS AVAILABILITY'!O1058+N1059*'RAP TEMPLATE-GAS AVAILABILITY'!P1058+O1059*'RAP TEMPLATE-GAS AVAILABILITY'!Q1058+P1059*'RAP TEMPLATE-GAS AVAILABILITY'!R1058)/('RAP TEMPLATE-GAS AVAILABILITY'!O1058+'RAP TEMPLATE-GAS AVAILABILITY'!P1058+'RAP TEMPLATE-GAS AVAILABILITY'!Q1058+'RAP TEMPLATE-GAS AVAILABILITY'!R1058)</f>
        <v>153.90084604316547</v>
      </c>
    </row>
    <row r="1060" spans="1:29" ht="15.75" x14ac:dyDescent="0.25">
      <c r="A1060" s="31">
        <v>73170</v>
      </c>
      <c r="B1060" s="14">
        <f>CHOOSE(CONTROL!$C$42, 156.513, 156.513) * CHOOSE(CONTROL!$C$21, $C$9, 100%, $E$9)</f>
        <v>156.51300000000001</v>
      </c>
      <c r="C1060" s="14">
        <f>CHOOSE(CONTROL!$C$42, 156.5175, 156.5175) * CHOOSE(CONTROL!$C$21, $C$9, 100%, $E$9)</f>
        <v>156.51750000000001</v>
      </c>
      <c r="D1060" s="14">
        <f>CHOOSE(CONTROL!$C$42, 156.7464, 156.7464) * CHOOSE(CONTROL!$C$21, $C$9, 100%, $E$9)</f>
        <v>156.74639999999999</v>
      </c>
      <c r="E1060" s="14">
        <f>CHOOSE(CONTROL!$C$42, 156.7785, 156.7785) * CHOOSE(CONTROL!$C$21, $C$9, 100%, $E$9)</f>
        <v>156.77850000000001</v>
      </c>
      <c r="F1060" s="14">
        <f>CHOOSE(CONTROL!$C$42, 156.54, 156.54)*CHOOSE(CONTROL!$C$21, $C$9, 100%, $E$9)</f>
        <v>156.54</v>
      </c>
      <c r="G1060" s="14">
        <f>CHOOSE(CONTROL!$C$42, 156.5567, 156.5567)*CHOOSE(CONTROL!$C$21, $C$9, 100%, $E$9)</f>
        <v>156.55670000000001</v>
      </c>
      <c r="H1060" s="14">
        <f>CHOOSE(CONTROL!$C$42, 156.7683, 156.7683) * CHOOSE(CONTROL!$C$21, $C$9, 100%, $E$9)</f>
        <v>156.76830000000001</v>
      </c>
      <c r="I1060" s="14">
        <f>CHOOSE(CONTROL!$C$42, 157.0361, 157.0361)* CHOOSE(CONTROL!$C$21, $C$9, 100%, $E$9)</f>
        <v>157.0361</v>
      </c>
      <c r="J1060" s="14">
        <f>CHOOSE(CONTROL!$C$42, 156.533, 156.533)* CHOOSE(CONTROL!$C$21, $C$9, 100%, $E$9)</f>
        <v>156.53299999999999</v>
      </c>
      <c r="K1060" s="52">
        <f>CHOOSE(CONTROL!$C$42, 157.0322, 157.0322) * CHOOSE(CONTROL!$C$21, $C$9, 100%, $E$9)</f>
        <v>157.03219999999999</v>
      </c>
      <c r="L1060" s="14">
        <f>CHOOSE(CONTROL!$C$42, 157.3553, 157.3553) * CHOOSE(CONTROL!$C$21, $C$9, 100%, $E$9)</f>
        <v>157.3553</v>
      </c>
      <c r="M1060" s="14">
        <f>CHOOSE(CONTROL!$C$42, 153.3334, 153.3334) * CHOOSE(CONTROL!$C$21, $C$9, 100%, $E$9)</f>
        <v>153.33340000000001</v>
      </c>
      <c r="N1060" s="14">
        <f>CHOOSE(CONTROL!$C$42, 153.3498, 153.3498) * CHOOSE(CONTROL!$C$21, $C$9, 100%, $E$9)</f>
        <v>153.34979999999999</v>
      </c>
      <c r="O1060" s="14">
        <f>CHOOSE(CONTROL!$C$42, 153.5639, 153.5639) * CHOOSE(CONTROL!$C$21, $C$9, 100%, $E$9)</f>
        <v>153.56389999999999</v>
      </c>
      <c r="P1060" s="14">
        <f>CHOOSE(CONTROL!$C$42, 153.8164, 153.8164) * CHOOSE(CONTROL!$C$21, $C$9, 100%, $E$9)</f>
        <v>153.81639999999999</v>
      </c>
      <c r="Q1060" s="14">
        <f>CHOOSE(CONTROL!$C$42, 154.1586, 154.1586) * CHOOSE(CONTROL!$C$21, $C$9, 100%, $E$9)</f>
        <v>154.15860000000001</v>
      </c>
      <c r="R1060" s="14">
        <f>CHOOSE(CONTROL!$C$42, 155.131, 155.131) * CHOOSE(CONTROL!$C$21, $C$9, 100%, $E$9)</f>
        <v>155.131</v>
      </c>
      <c r="S1060" s="14">
        <f>CHOOSE(CONTROL!$C$42, 150.384, 150.384) * CHOOSE(CONTROL!$C$21, $C$9, 100%, $E$9)</f>
        <v>150.38399999999999</v>
      </c>
      <c r="T1060" s="56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60" s="56">
        <f>(1000*CHOOSE(CONTROL!$C$42, 695, 695)*CHOOSE(CONTROL!$C$42, 0.5599, 0.5599)*CHOOSE(CONTROL!$C$42, 30, 30))/1000000</f>
        <v>11.673914999999997</v>
      </c>
      <c r="V1060" s="56">
        <f>(1000*CHOOSE(CONTROL!$C$42, 500, 500)*CHOOSE(CONTROL!$C$42, 0.275, 0.275)*CHOOSE(CONTROL!$C$42, 30, 30))/1000000</f>
        <v>4.125</v>
      </c>
      <c r="W1060" s="56">
        <f>(1000*CHOOSE(CONTROL!$C$42, 0.1146, 0.1146)*CHOOSE(CONTROL!$C$42, 121.5, 121.5)*CHOOSE(CONTROL!$C$42, 30, 30))/1000000</f>
        <v>0.417717</v>
      </c>
      <c r="X1060" s="56">
        <f>(30*0.1790888*245000/1000000)+(30*0.2374*100000/1000000)</f>
        <v>2.0285026799999999</v>
      </c>
      <c r="Y1060" s="56"/>
      <c r="Z1060" s="14"/>
      <c r="AA1060" s="55"/>
      <c r="AB1060" s="49">
        <f>(B1060*141.293+C1060*267.993+D1060*115.016+E1060*89.698+F1060*40+G1060*185+H1060*0+I1060*100+J1060*300)/(141.293+267.993+115.016+89.698+0+40+185+100+300)</f>
        <v>156.60931963026636</v>
      </c>
      <c r="AC1060" s="44">
        <f>(M1060*'RAP TEMPLATE-GAS AVAILABILITY'!O1059+N1060*'RAP TEMPLATE-GAS AVAILABILITY'!P1059+O1060*'RAP TEMPLATE-GAS AVAILABILITY'!Q1059+P1060*'RAP TEMPLATE-GAS AVAILABILITY'!R1059)/('RAP TEMPLATE-GAS AVAILABILITY'!O1059+'RAP TEMPLATE-GAS AVAILABILITY'!P1059+'RAP TEMPLATE-GAS AVAILABILITY'!Q1059+'RAP TEMPLATE-GAS AVAILABILITY'!R1059)</f>
        <v>153.50831151079134</v>
      </c>
    </row>
    <row r="1061" spans="1:29" ht="15.75" x14ac:dyDescent="0.25">
      <c r="A1061" s="31">
        <v>73201</v>
      </c>
      <c r="B1061" s="14">
        <f>CHOOSE(CONTROL!$C$42, 157.8957, 157.8957) * CHOOSE(CONTROL!$C$21, $C$9, 100%, $E$9)</f>
        <v>157.89570000000001</v>
      </c>
      <c r="C1061" s="14">
        <f>CHOOSE(CONTROL!$C$42, 157.9037, 157.9037) * CHOOSE(CONTROL!$C$21, $C$9, 100%, $E$9)</f>
        <v>157.90369999999999</v>
      </c>
      <c r="D1061" s="14">
        <f>CHOOSE(CONTROL!$C$42, 158.1295, 158.1295) * CHOOSE(CONTROL!$C$21, $C$9, 100%, $E$9)</f>
        <v>158.12950000000001</v>
      </c>
      <c r="E1061" s="14">
        <f>CHOOSE(CONTROL!$C$42, 158.161, 158.161) * CHOOSE(CONTROL!$C$21, $C$9, 100%, $E$9)</f>
        <v>158.161</v>
      </c>
      <c r="F1061" s="14">
        <f>CHOOSE(CONTROL!$C$42, 157.9213, 157.9213)*CHOOSE(CONTROL!$C$21, $C$9, 100%, $E$9)</f>
        <v>157.9213</v>
      </c>
      <c r="G1061" s="14">
        <f>CHOOSE(CONTROL!$C$42, 157.9383, 157.9383)*CHOOSE(CONTROL!$C$21, $C$9, 100%, $E$9)</f>
        <v>157.9383</v>
      </c>
      <c r="H1061" s="14">
        <f>CHOOSE(CONTROL!$C$42, 158.1496, 158.1496) * CHOOSE(CONTROL!$C$21, $C$9, 100%, $E$9)</f>
        <v>158.14959999999999</v>
      </c>
      <c r="I1061" s="14">
        <f>CHOOSE(CONTROL!$C$42, 158.4217, 158.4217)* CHOOSE(CONTROL!$C$21, $C$9, 100%, $E$9)</f>
        <v>158.42169999999999</v>
      </c>
      <c r="J1061" s="14">
        <f>CHOOSE(CONTROL!$C$42, 157.9143, 157.9143)* CHOOSE(CONTROL!$C$21, $C$9, 100%, $E$9)</f>
        <v>157.9143</v>
      </c>
      <c r="K1061" s="52">
        <f>CHOOSE(CONTROL!$C$42, 158.4178, 158.4178) * CHOOSE(CONTROL!$C$21, $C$9, 100%, $E$9)</f>
        <v>158.4178</v>
      </c>
      <c r="L1061" s="14">
        <f>CHOOSE(CONTROL!$C$42, 158.7366, 158.7366) * CHOOSE(CONTROL!$C$21, $C$9, 100%, $E$9)</f>
        <v>158.73660000000001</v>
      </c>
      <c r="M1061" s="14">
        <f>CHOOSE(CONTROL!$C$42, 154.6865, 154.6865) * CHOOSE(CONTROL!$C$21, $C$9, 100%, $E$9)</f>
        <v>154.6865</v>
      </c>
      <c r="N1061" s="14">
        <f>CHOOSE(CONTROL!$C$42, 154.7031, 154.7031) * CHOOSE(CONTROL!$C$21, $C$9, 100%, $E$9)</f>
        <v>154.70310000000001</v>
      </c>
      <c r="O1061" s="14">
        <f>CHOOSE(CONTROL!$C$42, 154.9169, 154.9169) * CHOOSE(CONTROL!$C$21, $C$9, 100%, $E$9)</f>
        <v>154.9169</v>
      </c>
      <c r="P1061" s="14">
        <f>CHOOSE(CONTROL!$C$42, 155.1736, 155.1736) * CHOOSE(CONTROL!$C$21, $C$9, 100%, $E$9)</f>
        <v>155.17359999999999</v>
      </c>
      <c r="Q1061" s="14">
        <f>CHOOSE(CONTROL!$C$42, 155.5116, 155.5116) * CHOOSE(CONTROL!$C$21, $C$9, 100%, $E$9)</f>
        <v>155.51159999999999</v>
      </c>
      <c r="R1061" s="14">
        <f>CHOOSE(CONTROL!$C$42, 156.4874, 156.4874) * CHOOSE(CONTROL!$C$21, $C$9, 100%, $E$9)</f>
        <v>156.48740000000001</v>
      </c>
      <c r="S1061" s="14">
        <f>CHOOSE(CONTROL!$C$42, 151.7113, 151.7113) * CHOOSE(CONTROL!$C$21, $C$9, 100%, $E$9)</f>
        <v>151.71129999999999</v>
      </c>
      <c r="T1061" s="56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61" s="56">
        <f>(1000*CHOOSE(CONTROL!$C$42, 695, 695)*CHOOSE(CONTROL!$C$42, 0.5599, 0.5599)*CHOOSE(CONTROL!$C$42, 31, 31))/1000000</f>
        <v>12.063045499999998</v>
      </c>
      <c r="V1061" s="56">
        <f>(1000*CHOOSE(CONTROL!$C$42, 500, 500)*CHOOSE(CONTROL!$C$42, 0.275, 0.275)*CHOOSE(CONTROL!$C$42, 31, 31))/1000000</f>
        <v>4.2625000000000002</v>
      </c>
      <c r="W1061" s="56">
        <f>(1000*CHOOSE(CONTROL!$C$42, 0.1146, 0.1146)*CHOOSE(CONTROL!$C$42, 121.5, 121.5)*CHOOSE(CONTROL!$C$42, 31, 31))/1000000</f>
        <v>0.43164089999999994</v>
      </c>
      <c r="X1061" s="56">
        <f>(31*0.1790888*245000/1000000)+(31*0.2374*100000/1000000)</f>
        <v>2.0961194359999999</v>
      </c>
      <c r="Y1061" s="56"/>
      <c r="Z1061" s="14"/>
      <c r="AA1061" s="55"/>
      <c r="AB1061" s="49">
        <f>(B1061*194.205+C1061*267.466+D1061*133.845+E1061*53.484+F1061*40+G1061*185+H1061*0+I1061*100+J1061*300)/(194.205+267.466+133.845+53.484+0+40+185+100+300)</f>
        <v>157.98573688712716</v>
      </c>
      <c r="AC1061" s="44">
        <f>(M1061*'RAP TEMPLATE-GAS AVAILABILITY'!O1060+N1061*'RAP TEMPLATE-GAS AVAILABILITY'!P1060+O1061*'RAP TEMPLATE-GAS AVAILABILITY'!Q1060+P1061*'RAP TEMPLATE-GAS AVAILABILITY'!R1060)/('RAP TEMPLATE-GAS AVAILABILITY'!O1060+'RAP TEMPLATE-GAS AVAILABILITY'!P1060+'RAP TEMPLATE-GAS AVAILABILITY'!Q1060+'RAP TEMPLATE-GAS AVAILABILITY'!R1060)</f>
        <v>154.8619676258993</v>
      </c>
    </row>
    <row r="1062" spans="1:29" ht="15.75" x14ac:dyDescent="0.25">
      <c r="A1062" s="31">
        <v>73231</v>
      </c>
      <c r="B1062" s="14">
        <f>CHOOSE(CONTROL!$C$42, 162.3743, 162.3743) * CHOOSE(CONTROL!$C$21, $C$9, 100%, $E$9)</f>
        <v>162.37430000000001</v>
      </c>
      <c r="C1062" s="14">
        <f>CHOOSE(CONTROL!$C$42, 162.3823, 162.3823) * CHOOSE(CONTROL!$C$21, $C$9, 100%, $E$9)</f>
        <v>162.38229999999999</v>
      </c>
      <c r="D1062" s="14">
        <f>CHOOSE(CONTROL!$C$42, 162.6081, 162.6081) * CHOOSE(CONTROL!$C$21, $C$9, 100%, $E$9)</f>
        <v>162.60810000000001</v>
      </c>
      <c r="E1062" s="14">
        <f>CHOOSE(CONTROL!$C$42, 162.6396, 162.6396) * CHOOSE(CONTROL!$C$21, $C$9, 100%, $E$9)</f>
        <v>162.6396</v>
      </c>
      <c r="F1062" s="14">
        <f>CHOOSE(CONTROL!$C$42, 162.4004, 162.4004)*CHOOSE(CONTROL!$C$21, $C$9, 100%, $E$9)</f>
        <v>162.40039999999999</v>
      </c>
      <c r="G1062" s="14">
        <f>CHOOSE(CONTROL!$C$42, 162.4175, 162.4175)*CHOOSE(CONTROL!$C$21, $C$9, 100%, $E$9)</f>
        <v>162.41749999999999</v>
      </c>
      <c r="H1062" s="14">
        <f>CHOOSE(CONTROL!$C$42, 162.6282, 162.6282) * CHOOSE(CONTROL!$C$21, $C$9, 100%, $E$9)</f>
        <v>162.62819999999999</v>
      </c>
      <c r="I1062" s="14">
        <f>CHOOSE(CONTROL!$C$42, 162.9144, 162.9144)* CHOOSE(CONTROL!$C$21, $C$9, 100%, $E$9)</f>
        <v>162.9144</v>
      </c>
      <c r="J1062" s="14">
        <f>CHOOSE(CONTROL!$C$42, 162.3934, 162.3934)* CHOOSE(CONTROL!$C$21, $C$9, 100%, $E$9)</f>
        <v>162.39340000000001</v>
      </c>
      <c r="K1062" s="52">
        <f>CHOOSE(CONTROL!$C$42, 162.9105, 162.9105) * CHOOSE(CONTROL!$C$21, $C$9, 100%, $E$9)</f>
        <v>162.91050000000001</v>
      </c>
      <c r="L1062" s="14">
        <f>CHOOSE(CONTROL!$C$42, 163.2152, 163.2152) * CHOOSE(CONTROL!$C$21, $C$9, 100%, $E$9)</f>
        <v>163.21520000000001</v>
      </c>
      <c r="M1062" s="14">
        <f>CHOOSE(CONTROL!$C$42, 159.0738, 159.0738) * CHOOSE(CONTROL!$C$21, $C$9, 100%, $E$9)</f>
        <v>159.07380000000001</v>
      </c>
      <c r="N1062" s="14">
        <f>CHOOSE(CONTROL!$C$42, 159.0905, 159.0905) * CHOOSE(CONTROL!$C$21, $C$9, 100%, $E$9)</f>
        <v>159.09049999999999</v>
      </c>
      <c r="O1062" s="14">
        <f>CHOOSE(CONTROL!$C$42, 159.3038, 159.3038) * CHOOSE(CONTROL!$C$21, $C$9, 100%, $E$9)</f>
        <v>159.3038</v>
      </c>
      <c r="P1062" s="14">
        <f>CHOOSE(CONTROL!$C$42, 159.5739, 159.5739) * CHOOSE(CONTROL!$C$21, $C$9, 100%, $E$9)</f>
        <v>159.57390000000001</v>
      </c>
      <c r="Q1062" s="14">
        <f>CHOOSE(CONTROL!$C$42, 159.8985, 159.8985) * CHOOSE(CONTROL!$C$21, $C$9, 100%, $E$9)</f>
        <v>159.89850000000001</v>
      </c>
      <c r="R1062" s="14">
        <f>CHOOSE(CONTROL!$C$42, 160.8852, 160.8852) * CHOOSE(CONTROL!$C$21, $C$9, 100%, $E$9)</f>
        <v>160.8852</v>
      </c>
      <c r="S1062" s="14">
        <f>CHOOSE(CONTROL!$C$42, 156.0148, 156.0148) * CHOOSE(CONTROL!$C$21, $C$9, 100%, $E$9)</f>
        <v>156.01480000000001</v>
      </c>
      <c r="T1062" s="56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62" s="56">
        <f>(1000*CHOOSE(CONTROL!$C$42, 695, 695)*CHOOSE(CONTROL!$C$42, 0.5599, 0.5599)*CHOOSE(CONTROL!$C$42, 30, 30))/1000000</f>
        <v>11.673914999999997</v>
      </c>
      <c r="V1062" s="56">
        <f>(1000*CHOOSE(CONTROL!$C$42, 500, 500)*CHOOSE(CONTROL!$C$42, 0.275, 0.275)*CHOOSE(CONTROL!$C$42, 30, 30))/1000000</f>
        <v>4.125</v>
      </c>
      <c r="W1062" s="56">
        <f>(1000*CHOOSE(CONTROL!$C$42, 0.1146, 0.1146)*CHOOSE(CONTROL!$C$42, 121.5, 121.5)*CHOOSE(CONTROL!$C$42, 30, 30))/1000000</f>
        <v>0.417717</v>
      </c>
      <c r="X1062" s="56">
        <f>(30*0.1790888*245000/1000000)+(30*0.2374*100000/1000000)</f>
        <v>2.0285026799999999</v>
      </c>
      <c r="Y1062" s="56"/>
      <c r="Z1062" s="14"/>
      <c r="AA1062" s="55"/>
      <c r="AB1062" s="49">
        <f>(B1062*194.205+C1062*267.466+D1062*133.845+E1062*53.484+F1062*40+G1062*185+H1062*0+I1062*100+J1062*300)/(194.205+267.466+133.845+53.484+0+40+185+100+300)</f>
        <v>162.46566420266876</v>
      </c>
      <c r="AC1062" s="44">
        <f>(M1062*'RAP TEMPLATE-GAS AVAILABILITY'!O1061+N1062*'RAP TEMPLATE-GAS AVAILABILITY'!P1061+O1062*'RAP TEMPLATE-GAS AVAILABILITY'!Q1061+P1062*'RAP TEMPLATE-GAS AVAILABILITY'!R1061)/('RAP TEMPLATE-GAS AVAILABILITY'!O1061+'RAP TEMPLATE-GAS AVAILABILITY'!P1061+'RAP TEMPLATE-GAS AVAILABILITY'!Q1061+'RAP TEMPLATE-GAS AVAILABILITY'!R1061)</f>
        <v>159.25096258992806</v>
      </c>
    </row>
    <row r="1063" spans="1:29" ht="15.75" x14ac:dyDescent="0.25">
      <c r="A1063" s="31">
        <v>73262</v>
      </c>
      <c r="B1063" s="14">
        <f>CHOOSE(CONTROL!$C$42, 159.2594, 159.2594) * CHOOSE(CONTROL!$C$21, $C$9, 100%, $E$9)</f>
        <v>159.2594</v>
      </c>
      <c r="C1063" s="14">
        <f>CHOOSE(CONTROL!$C$42, 159.2674, 159.2674) * CHOOSE(CONTROL!$C$21, $C$9, 100%, $E$9)</f>
        <v>159.26740000000001</v>
      </c>
      <c r="D1063" s="14">
        <f>CHOOSE(CONTROL!$C$42, 159.4932, 159.4932) * CHOOSE(CONTROL!$C$21, $C$9, 100%, $E$9)</f>
        <v>159.4932</v>
      </c>
      <c r="E1063" s="14">
        <f>CHOOSE(CONTROL!$C$42, 159.5247, 159.5247) * CHOOSE(CONTROL!$C$21, $C$9, 100%, $E$9)</f>
        <v>159.5247</v>
      </c>
      <c r="F1063" s="14">
        <f>CHOOSE(CONTROL!$C$42, 159.286, 159.286)*CHOOSE(CONTROL!$C$21, $C$9, 100%, $E$9)</f>
        <v>159.286</v>
      </c>
      <c r="G1063" s="14">
        <f>CHOOSE(CONTROL!$C$42, 159.3032, 159.3032)*CHOOSE(CONTROL!$C$21, $C$9, 100%, $E$9)</f>
        <v>159.3032</v>
      </c>
      <c r="H1063" s="14">
        <f>CHOOSE(CONTROL!$C$42, 159.5133, 159.5133) * CHOOSE(CONTROL!$C$21, $C$9, 100%, $E$9)</f>
        <v>159.51329999999999</v>
      </c>
      <c r="I1063" s="14">
        <f>CHOOSE(CONTROL!$C$42, 159.7897, 159.7897)* CHOOSE(CONTROL!$C$21, $C$9, 100%, $E$9)</f>
        <v>159.78970000000001</v>
      </c>
      <c r="J1063" s="14">
        <f>CHOOSE(CONTROL!$C$42, 159.279, 159.279)* CHOOSE(CONTROL!$C$21, $C$9, 100%, $E$9)</f>
        <v>159.279</v>
      </c>
      <c r="K1063" s="52">
        <f>CHOOSE(CONTROL!$C$42, 159.7858, 159.7858) * CHOOSE(CONTROL!$C$21, $C$9, 100%, $E$9)</f>
        <v>159.78579999999999</v>
      </c>
      <c r="L1063" s="14">
        <f>CHOOSE(CONTROL!$C$42, 160.1003, 160.1003) * CHOOSE(CONTROL!$C$21, $C$9, 100%, $E$9)</f>
        <v>160.1003</v>
      </c>
      <c r="M1063" s="14">
        <f>CHOOSE(CONTROL!$C$42, 156.0231, 156.0231) * CHOOSE(CONTROL!$C$21, $C$9, 100%, $E$9)</f>
        <v>156.0231</v>
      </c>
      <c r="N1063" s="14">
        <f>CHOOSE(CONTROL!$C$42, 156.04, 156.04) * CHOOSE(CONTROL!$C$21, $C$9, 100%, $E$9)</f>
        <v>156.04</v>
      </c>
      <c r="O1063" s="14">
        <f>CHOOSE(CONTROL!$C$42, 156.2527, 156.2527) * CHOOSE(CONTROL!$C$21, $C$9, 100%, $E$9)</f>
        <v>156.2527</v>
      </c>
      <c r="P1063" s="14">
        <f>CHOOSE(CONTROL!$C$42, 156.5135, 156.5135) * CHOOSE(CONTROL!$C$21, $C$9, 100%, $E$9)</f>
        <v>156.51349999999999</v>
      </c>
      <c r="Q1063" s="14">
        <f>CHOOSE(CONTROL!$C$42, 156.8474, 156.8474) * CHOOSE(CONTROL!$C$21, $C$9, 100%, $E$9)</f>
        <v>156.84739999999999</v>
      </c>
      <c r="R1063" s="14">
        <f>CHOOSE(CONTROL!$C$42, 157.8265, 157.8265) * CHOOSE(CONTROL!$C$21, $C$9, 100%, $E$9)</f>
        <v>157.82650000000001</v>
      </c>
      <c r="S1063" s="14">
        <f>CHOOSE(CONTROL!$C$42, 153.0217, 153.0217) * CHOOSE(CONTROL!$C$21, $C$9, 100%, $E$9)</f>
        <v>153.02170000000001</v>
      </c>
      <c r="T1063" s="56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63" s="56">
        <f>(1000*CHOOSE(CONTROL!$C$42, 695, 695)*CHOOSE(CONTROL!$C$42, 0.5599, 0.5599)*CHOOSE(CONTROL!$C$42, 31, 31))/1000000</f>
        <v>12.063045499999998</v>
      </c>
      <c r="V1063" s="56">
        <f>(1000*CHOOSE(CONTROL!$C$42, 500, 500)*CHOOSE(CONTROL!$C$42, 0.275, 0.275)*CHOOSE(CONTROL!$C$42, 31, 31))/1000000</f>
        <v>4.2625000000000002</v>
      </c>
      <c r="W1063" s="56">
        <f>(1000*CHOOSE(CONTROL!$C$42, 0.1146, 0.1146)*CHOOSE(CONTROL!$C$42, 121.5, 121.5)*CHOOSE(CONTROL!$C$42, 31, 31))/1000000</f>
        <v>0.43164089999999994</v>
      </c>
      <c r="X1063" s="56">
        <f>(31*0.1790888*245000/1000000)+(31*0.2374*100000/1000000)</f>
        <v>2.0961194359999999</v>
      </c>
      <c r="Y1063" s="56"/>
      <c r="Z1063" s="14"/>
      <c r="AA1063" s="55"/>
      <c r="AB1063" s="49">
        <f>(B1063*194.205+C1063*267.466+D1063*133.845+E1063*53.484+F1063*40+G1063*185+H1063*0+I1063*100+J1063*300)/(194.205+267.466+133.845+53.484+0+40+185+100+300)</f>
        <v>159.35021553704865</v>
      </c>
      <c r="AC1063" s="44">
        <f>(M1063*'RAP TEMPLATE-GAS AVAILABILITY'!O1062+N1063*'RAP TEMPLATE-GAS AVAILABILITY'!P1062+O1063*'RAP TEMPLATE-GAS AVAILABILITY'!Q1062+P1063*'RAP TEMPLATE-GAS AVAILABILITY'!R1062)/('RAP TEMPLATE-GAS AVAILABILITY'!O1062+'RAP TEMPLATE-GAS AVAILABILITY'!P1062+'RAP TEMPLATE-GAS AVAILABILITY'!Q1062+'RAP TEMPLATE-GAS AVAILABILITY'!R1062)</f>
        <v>156.19869712230218</v>
      </c>
    </row>
    <row r="1064" spans="1:29" ht="15.75" x14ac:dyDescent="0.25">
      <c r="A1064" s="31">
        <v>73293</v>
      </c>
      <c r="B1064" s="14">
        <f>CHOOSE(CONTROL!$C$42, 151.3933, 151.3933) * CHOOSE(CONTROL!$C$21, $C$9, 100%, $E$9)</f>
        <v>151.39330000000001</v>
      </c>
      <c r="C1064" s="14">
        <f>CHOOSE(CONTROL!$C$42, 151.4013, 151.4013) * CHOOSE(CONTROL!$C$21, $C$9, 100%, $E$9)</f>
        <v>151.40129999999999</v>
      </c>
      <c r="D1064" s="14">
        <f>CHOOSE(CONTROL!$C$42, 151.6271, 151.6271) * CHOOSE(CONTROL!$C$21, $C$9, 100%, $E$9)</f>
        <v>151.62710000000001</v>
      </c>
      <c r="E1064" s="14">
        <f>CHOOSE(CONTROL!$C$42, 151.6586, 151.6586) * CHOOSE(CONTROL!$C$21, $C$9, 100%, $E$9)</f>
        <v>151.65860000000001</v>
      </c>
      <c r="F1064" s="14">
        <f>CHOOSE(CONTROL!$C$42, 151.4201, 151.4201)*CHOOSE(CONTROL!$C$21, $C$9, 100%, $E$9)</f>
        <v>151.42009999999999</v>
      </c>
      <c r="G1064" s="14">
        <f>CHOOSE(CONTROL!$C$42, 151.4374, 151.4374)*CHOOSE(CONTROL!$C$21, $C$9, 100%, $E$9)</f>
        <v>151.4374</v>
      </c>
      <c r="H1064" s="14">
        <f>CHOOSE(CONTROL!$C$42, 151.6472, 151.6472) * CHOOSE(CONTROL!$C$21, $C$9, 100%, $E$9)</f>
        <v>151.6472</v>
      </c>
      <c r="I1064" s="14">
        <f>CHOOSE(CONTROL!$C$42, 151.899, 151.899)* CHOOSE(CONTROL!$C$21, $C$9, 100%, $E$9)</f>
        <v>151.899</v>
      </c>
      <c r="J1064" s="14">
        <f>CHOOSE(CONTROL!$C$42, 151.4131, 151.4131)* CHOOSE(CONTROL!$C$21, $C$9, 100%, $E$9)</f>
        <v>151.41309999999999</v>
      </c>
      <c r="K1064" s="52">
        <f>CHOOSE(CONTROL!$C$42, 151.8951, 151.8951) * CHOOSE(CONTROL!$C$21, $C$9, 100%, $E$9)</f>
        <v>151.89510000000001</v>
      </c>
      <c r="L1064" s="14">
        <f>CHOOSE(CONTROL!$C$42, 152.2342, 152.2342) * CHOOSE(CONTROL!$C$21, $C$9, 100%, $E$9)</f>
        <v>152.23419999999999</v>
      </c>
      <c r="M1064" s="14">
        <f>CHOOSE(CONTROL!$C$42, 148.3185, 148.3185) * CHOOSE(CONTROL!$C$21, $C$9, 100%, $E$9)</f>
        <v>148.3185</v>
      </c>
      <c r="N1064" s="14">
        <f>CHOOSE(CONTROL!$C$42, 148.3354, 148.3354) * CHOOSE(CONTROL!$C$21, $C$9, 100%, $E$9)</f>
        <v>148.33539999999999</v>
      </c>
      <c r="O1064" s="14">
        <f>CHOOSE(CONTROL!$C$42, 148.5478, 148.5478) * CHOOSE(CONTROL!$C$21, $C$9, 100%, $E$9)</f>
        <v>148.5478</v>
      </c>
      <c r="P1064" s="14">
        <f>CHOOSE(CONTROL!$C$42, 148.7849, 148.7849) * CHOOSE(CONTROL!$C$21, $C$9, 100%, $E$9)</f>
        <v>148.78489999999999</v>
      </c>
      <c r="Q1064" s="14">
        <f>CHOOSE(CONTROL!$C$42, 149.1425, 149.1425) * CHOOSE(CONTROL!$C$21, $C$9, 100%, $E$9)</f>
        <v>149.14250000000001</v>
      </c>
      <c r="R1064" s="14">
        <f>CHOOSE(CONTROL!$C$42, 150.1023, 150.1023) * CHOOSE(CONTROL!$C$21, $C$9, 100%, $E$9)</f>
        <v>150.10230000000001</v>
      </c>
      <c r="S1064" s="14">
        <f>CHOOSE(CONTROL!$C$42, 145.4632, 145.4632) * CHOOSE(CONTROL!$C$21, $C$9, 100%, $E$9)</f>
        <v>145.4632</v>
      </c>
      <c r="T1064" s="56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64" s="56">
        <f>(1000*CHOOSE(CONTROL!$C$42, 695, 695)*CHOOSE(CONTROL!$C$42, 0.5599, 0.5599)*CHOOSE(CONTROL!$C$42, 31, 31))/1000000</f>
        <v>12.063045499999998</v>
      </c>
      <c r="V1064" s="56">
        <f>(1000*CHOOSE(CONTROL!$C$42, 500, 500)*CHOOSE(CONTROL!$C$42, 0.275, 0.275)*CHOOSE(CONTROL!$C$42, 31, 31))/1000000</f>
        <v>4.2625000000000002</v>
      </c>
      <c r="W1064" s="56">
        <f>(1000*CHOOSE(CONTROL!$C$42, 0.1146, 0.1146)*CHOOSE(CONTROL!$C$42, 121.5, 121.5)*CHOOSE(CONTROL!$C$42, 31, 31))/1000000</f>
        <v>0.43164089999999994</v>
      </c>
      <c r="X1064" s="56">
        <f>(31*0.1790888*245000/1000000)+(31*0.2374*100000/1000000)</f>
        <v>2.0961194359999999</v>
      </c>
      <c r="Y1064" s="56"/>
      <c r="Z1064" s="14"/>
      <c r="AA1064" s="55"/>
      <c r="AB1064" s="49">
        <f>(B1064*194.205+C1064*267.466+D1064*133.845+E1064*53.484+F1064*40+G1064*185+H1064*0+I1064*100+J1064*300)/(194.205+267.466+133.845+53.484+0+40+185+100+300)</f>
        <v>151.48228154960753</v>
      </c>
      <c r="AC1064" s="44">
        <f>(M1064*'RAP TEMPLATE-GAS AVAILABILITY'!O1063+N1064*'RAP TEMPLATE-GAS AVAILABILITY'!P1063+O1064*'RAP TEMPLATE-GAS AVAILABILITY'!Q1063+P1064*'RAP TEMPLATE-GAS AVAILABILITY'!R1063)/('RAP TEMPLATE-GAS AVAILABILITY'!O1063+'RAP TEMPLATE-GAS AVAILABILITY'!P1063+'RAP TEMPLATE-GAS AVAILABILITY'!Q1063+'RAP TEMPLATE-GAS AVAILABILITY'!R1063)</f>
        <v>148.49050791366906</v>
      </c>
    </row>
    <row r="1065" spans="1:29" ht="15.75" x14ac:dyDescent="0.25">
      <c r="A1065" s="31">
        <v>73323</v>
      </c>
      <c r="B1065" s="14">
        <f>CHOOSE(CONTROL!$C$42, 141.7822, 141.7822) * CHOOSE(CONTROL!$C$21, $C$9, 100%, $E$9)</f>
        <v>141.78219999999999</v>
      </c>
      <c r="C1065" s="14">
        <f>CHOOSE(CONTROL!$C$42, 141.7902, 141.7902) * CHOOSE(CONTROL!$C$21, $C$9, 100%, $E$9)</f>
        <v>141.7902</v>
      </c>
      <c r="D1065" s="14">
        <f>CHOOSE(CONTROL!$C$42, 142.016, 142.016) * CHOOSE(CONTROL!$C$21, $C$9, 100%, $E$9)</f>
        <v>142.01599999999999</v>
      </c>
      <c r="E1065" s="14">
        <f>CHOOSE(CONTROL!$C$42, 142.0475, 142.0475) * CHOOSE(CONTROL!$C$21, $C$9, 100%, $E$9)</f>
        <v>142.04750000000001</v>
      </c>
      <c r="F1065" s="14">
        <f>CHOOSE(CONTROL!$C$42, 141.809, 141.809)*CHOOSE(CONTROL!$C$21, $C$9, 100%, $E$9)</f>
        <v>141.809</v>
      </c>
      <c r="G1065" s="14">
        <f>CHOOSE(CONTROL!$C$42, 141.8263, 141.8263)*CHOOSE(CONTROL!$C$21, $C$9, 100%, $E$9)</f>
        <v>141.8263</v>
      </c>
      <c r="H1065" s="14">
        <f>CHOOSE(CONTROL!$C$42, 142.0361, 142.0361) * CHOOSE(CONTROL!$C$21, $C$9, 100%, $E$9)</f>
        <v>142.0361</v>
      </c>
      <c r="I1065" s="14">
        <f>CHOOSE(CONTROL!$C$42, 142.2578, 142.2578)* CHOOSE(CONTROL!$C$21, $C$9, 100%, $E$9)</f>
        <v>142.2578</v>
      </c>
      <c r="J1065" s="14">
        <f>CHOOSE(CONTROL!$C$42, 141.802, 141.802)* CHOOSE(CONTROL!$C$21, $C$9, 100%, $E$9)</f>
        <v>141.80199999999999</v>
      </c>
      <c r="K1065" s="52">
        <f>CHOOSE(CONTROL!$C$42, 142.2539, 142.2539) * CHOOSE(CONTROL!$C$21, $C$9, 100%, $E$9)</f>
        <v>142.25389999999999</v>
      </c>
      <c r="L1065" s="14">
        <f>CHOOSE(CONTROL!$C$42, 142.6231, 142.6231) * CHOOSE(CONTROL!$C$21, $C$9, 100%, $E$9)</f>
        <v>142.62309999999999</v>
      </c>
      <c r="M1065" s="14">
        <f>CHOOSE(CONTROL!$C$42, 138.9043, 138.9043) * CHOOSE(CONTROL!$C$21, $C$9, 100%, $E$9)</f>
        <v>138.90430000000001</v>
      </c>
      <c r="N1065" s="14">
        <f>CHOOSE(CONTROL!$C$42, 138.9212, 138.9212) * CHOOSE(CONTROL!$C$21, $C$9, 100%, $E$9)</f>
        <v>138.9212</v>
      </c>
      <c r="O1065" s="14">
        <f>CHOOSE(CONTROL!$C$42, 139.1336, 139.1336) * CHOOSE(CONTROL!$C$21, $C$9, 100%, $E$9)</f>
        <v>139.1336</v>
      </c>
      <c r="P1065" s="14">
        <f>CHOOSE(CONTROL!$C$42, 139.3418, 139.3418) * CHOOSE(CONTROL!$C$21, $C$9, 100%, $E$9)</f>
        <v>139.34180000000001</v>
      </c>
      <c r="Q1065" s="14">
        <f>CHOOSE(CONTROL!$C$42, 139.7283, 139.7283) * CHOOSE(CONTROL!$C$21, $C$9, 100%, $E$9)</f>
        <v>139.72829999999999</v>
      </c>
      <c r="R1065" s="14">
        <f>CHOOSE(CONTROL!$C$42, 140.6646, 140.6646) * CHOOSE(CONTROL!$C$21, $C$9, 100%, $E$9)</f>
        <v>140.66460000000001</v>
      </c>
      <c r="S1065" s="14">
        <f>CHOOSE(CONTROL!$C$42, 136.2279, 136.2279) * CHOOSE(CONTROL!$C$21, $C$9, 100%, $E$9)</f>
        <v>136.22790000000001</v>
      </c>
      <c r="T1065" s="56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65" s="56">
        <f>(1000*CHOOSE(CONTROL!$C$42, 695, 695)*CHOOSE(CONTROL!$C$42, 0.5599, 0.5599)*CHOOSE(CONTROL!$C$42, 30, 30))/1000000</f>
        <v>11.673914999999997</v>
      </c>
      <c r="V1065" s="56">
        <f>(1000*CHOOSE(CONTROL!$C$42, 500, 500)*CHOOSE(CONTROL!$C$42, 0.275, 0.275)*CHOOSE(CONTROL!$C$42, 30, 30))/1000000</f>
        <v>4.125</v>
      </c>
      <c r="W1065" s="56">
        <f>(1000*CHOOSE(CONTROL!$C$42, 0.1146, 0.1146)*CHOOSE(CONTROL!$C$42, 121.5, 121.5)*CHOOSE(CONTROL!$C$42, 30, 30))/1000000</f>
        <v>0.417717</v>
      </c>
      <c r="X1065" s="56">
        <f>(30*0.1790888*245000/1000000)+(30*0.2374*100000/1000000)</f>
        <v>2.0285026799999999</v>
      </c>
      <c r="Y1065" s="56"/>
      <c r="Z1065" s="14"/>
      <c r="AA1065" s="55"/>
      <c r="AB1065" s="49">
        <f>(B1065*194.205+C1065*267.466+D1065*133.845+E1065*53.484+F1065*40+G1065*185+H1065*0+I1065*100+J1065*300)/(194.205+267.466+133.845+53.484+0+40+185+100+300)</f>
        <v>141.8688189122449</v>
      </c>
      <c r="AC1065" s="44">
        <f>(M1065*'RAP TEMPLATE-GAS AVAILABILITY'!O1064+N1065*'RAP TEMPLATE-GAS AVAILABILITY'!P1064+O1065*'RAP TEMPLATE-GAS AVAILABILITY'!Q1064+P1065*'RAP TEMPLATE-GAS AVAILABILITY'!R1064)/('RAP TEMPLATE-GAS AVAILABILITY'!O1064+'RAP TEMPLATE-GAS AVAILABILITY'!P1064+'RAP TEMPLATE-GAS AVAILABILITY'!Q1064+'RAP TEMPLATE-GAS AVAILABILITY'!R1064)</f>
        <v>139.07214964028776</v>
      </c>
    </row>
    <row r="1066" spans="1:29" ht="15.75" x14ac:dyDescent="0.25">
      <c r="A1066" s="31">
        <v>73354</v>
      </c>
      <c r="B1066" s="14">
        <f>CHOOSE(CONTROL!$C$42, 138.9019, 138.9019) * CHOOSE(CONTROL!$C$21, $C$9, 100%, $E$9)</f>
        <v>138.90190000000001</v>
      </c>
      <c r="C1066" s="14">
        <f>CHOOSE(CONTROL!$C$42, 138.9072, 138.9072) * CHOOSE(CONTROL!$C$21, $C$9, 100%, $E$9)</f>
        <v>138.90719999999999</v>
      </c>
      <c r="D1066" s="14">
        <f>CHOOSE(CONTROL!$C$42, 139.138, 139.138) * CHOOSE(CONTROL!$C$21, $C$9, 100%, $E$9)</f>
        <v>139.13800000000001</v>
      </c>
      <c r="E1066" s="14">
        <f>CHOOSE(CONTROL!$C$42, 139.1671, 139.1671) * CHOOSE(CONTROL!$C$21, $C$9, 100%, $E$9)</f>
        <v>139.1671</v>
      </c>
      <c r="F1066" s="14">
        <f>CHOOSE(CONTROL!$C$42, 138.9308, 138.9308)*CHOOSE(CONTROL!$C$21, $C$9, 100%, $E$9)</f>
        <v>138.9308</v>
      </c>
      <c r="G1066" s="14">
        <f>CHOOSE(CONTROL!$C$42, 138.9479, 138.9479)*CHOOSE(CONTROL!$C$21, $C$9, 100%, $E$9)</f>
        <v>138.9479</v>
      </c>
      <c r="H1066" s="14">
        <f>CHOOSE(CONTROL!$C$42, 139.1576, 139.1576) * CHOOSE(CONTROL!$C$21, $C$9, 100%, $E$9)</f>
        <v>139.1576</v>
      </c>
      <c r="I1066" s="14">
        <f>CHOOSE(CONTROL!$C$42, 139.3702, 139.3702)* CHOOSE(CONTROL!$C$21, $C$9, 100%, $E$9)</f>
        <v>139.37020000000001</v>
      </c>
      <c r="J1066" s="14">
        <f>CHOOSE(CONTROL!$C$42, 138.9238, 138.9238)* CHOOSE(CONTROL!$C$21, $C$9, 100%, $E$9)</f>
        <v>138.9238</v>
      </c>
      <c r="K1066" s="52">
        <f>CHOOSE(CONTROL!$C$42, 139.3663, 139.3663) * CHOOSE(CONTROL!$C$21, $C$9, 100%, $E$9)</f>
        <v>139.3663</v>
      </c>
      <c r="L1066" s="14">
        <f>CHOOSE(CONTROL!$C$42, 139.7446, 139.7446) * CHOOSE(CONTROL!$C$21, $C$9, 100%, $E$9)</f>
        <v>139.74459999999999</v>
      </c>
      <c r="M1066" s="14">
        <f>CHOOSE(CONTROL!$C$42, 136.085, 136.085) * CHOOSE(CONTROL!$C$21, $C$9, 100%, $E$9)</f>
        <v>136.08500000000001</v>
      </c>
      <c r="N1066" s="14">
        <f>CHOOSE(CONTROL!$C$42, 136.1018, 136.1018) * CHOOSE(CONTROL!$C$21, $C$9, 100%, $E$9)</f>
        <v>136.1018</v>
      </c>
      <c r="O1066" s="14">
        <f>CHOOSE(CONTROL!$C$42, 136.314, 136.314) * CHOOSE(CONTROL!$C$21, $C$9, 100%, $E$9)</f>
        <v>136.31399999999999</v>
      </c>
      <c r="P1066" s="14">
        <f>CHOOSE(CONTROL!$C$42, 136.5137, 136.5137) * CHOOSE(CONTROL!$C$21, $C$9, 100%, $E$9)</f>
        <v>136.5137</v>
      </c>
      <c r="Q1066" s="14">
        <f>CHOOSE(CONTROL!$C$42, 136.9087, 136.9087) * CHOOSE(CONTROL!$C$21, $C$9, 100%, $E$9)</f>
        <v>136.90870000000001</v>
      </c>
      <c r="R1066" s="14">
        <f>CHOOSE(CONTROL!$C$42, 137.838, 137.838) * CHOOSE(CONTROL!$C$21, $C$9, 100%, $E$9)</f>
        <v>137.83799999999999</v>
      </c>
      <c r="S1066" s="14">
        <f>CHOOSE(CONTROL!$C$42, 133.4619, 133.4619) * CHOOSE(CONTROL!$C$21, $C$9, 100%, $E$9)</f>
        <v>133.46190000000001</v>
      </c>
      <c r="T1066" s="56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6" s="56">
        <f>(1000*CHOOSE(CONTROL!$C$42, 695, 695)*CHOOSE(CONTROL!$C$42, 0.5599, 0.5599)*CHOOSE(CONTROL!$C$42, 31, 31))/1000000</f>
        <v>12.063045499999998</v>
      </c>
      <c r="V1066" s="56">
        <f>(1000*CHOOSE(CONTROL!$C$42, 500, 500)*CHOOSE(CONTROL!$C$42, 0.275, 0.275)*CHOOSE(CONTROL!$C$42, 31, 31))/1000000</f>
        <v>4.2625000000000002</v>
      </c>
      <c r="W1066" s="56">
        <f>(1000*CHOOSE(CONTROL!$C$42, 0.1146, 0.1146)*CHOOSE(CONTROL!$C$42, 121.5, 121.5)*CHOOSE(CONTROL!$C$42, 31, 31))/1000000</f>
        <v>0.43164089999999994</v>
      </c>
      <c r="X1066" s="56">
        <f>(31*0.1790888*245000/1000000)+(31*0.2374*100000/1000000)</f>
        <v>2.0961194359999999</v>
      </c>
      <c r="Y1066" s="56"/>
      <c r="Z1066" s="14"/>
      <c r="AA1066" s="55"/>
      <c r="AB1066" s="49">
        <f>(B1066*131.881+C1066*277.167+D1066*79.08+E1066*125.872+F1066*40+G1066*185+H1066*0+I1066*100+J1066*300)/(131.881+277.167+79.08+125.872+0+40+185+100+300)</f>
        <v>138.99599768159806</v>
      </c>
      <c r="AC1066" s="44">
        <f>(M1066*'RAP TEMPLATE-GAS AVAILABILITY'!O1065+N1066*'RAP TEMPLATE-GAS AVAILABILITY'!P1065+O1066*'RAP TEMPLATE-GAS AVAILABILITY'!Q1065+P1066*'RAP TEMPLATE-GAS AVAILABILITY'!R1065)/('RAP TEMPLATE-GAS AVAILABILITY'!O1065+'RAP TEMPLATE-GAS AVAILABILITY'!P1065+'RAP TEMPLATE-GAS AVAILABILITY'!Q1065+'RAP TEMPLATE-GAS AVAILABILITY'!R1065)</f>
        <v>136.25144172661871</v>
      </c>
    </row>
    <row r="1067" spans="1:29" ht="15.75" x14ac:dyDescent="0.25">
      <c r="A1067" s="31">
        <v>73384</v>
      </c>
      <c r="B1067" s="14">
        <f>CHOOSE(CONTROL!$C$42, 142.5606, 142.5606) * CHOOSE(CONTROL!$C$21, $C$9, 100%, $E$9)</f>
        <v>142.56059999999999</v>
      </c>
      <c r="C1067" s="14">
        <f>CHOOSE(CONTROL!$C$42, 142.5656, 142.5656) * CHOOSE(CONTROL!$C$21, $C$9, 100%, $E$9)</f>
        <v>142.56559999999999</v>
      </c>
      <c r="D1067" s="14">
        <f>CHOOSE(CONTROL!$C$42, 142.6347, 142.6347) * CHOOSE(CONTROL!$C$21, $C$9, 100%, $E$9)</f>
        <v>142.63470000000001</v>
      </c>
      <c r="E1067" s="14">
        <f>CHOOSE(CONTROL!$C$42, 142.6688, 142.6688) * CHOOSE(CONTROL!$C$21, $C$9, 100%, $E$9)</f>
        <v>142.6688</v>
      </c>
      <c r="F1067" s="14">
        <f>CHOOSE(CONTROL!$C$42, 142.5962, 142.5962)*CHOOSE(CONTROL!$C$21, $C$9, 100%, $E$9)</f>
        <v>142.59620000000001</v>
      </c>
      <c r="G1067" s="14">
        <f>CHOOSE(CONTROL!$C$42, 142.6136, 142.6136)*CHOOSE(CONTROL!$C$21, $C$9, 100%, $E$9)</f>
        <v>142.61359999999999</v>
      </c>
      <c r="H1067" s="14">
        <f>CHOOSE(CONTROL!$C$42, 142.658, 142.658) * CHOOSE(CONTROL!$C$21, $C$9, 100%, $E$9)</f>
        <v>142.65799999999999</v>
      </c>
      <c r="I1067" s="14">
        <f>CHOOSE(CONTROL!$C$42, 143.0434, 143.0434)* CHOOSE(CONTROL!$C$21, $C$9, 100%, $E$9)</f>
        <v>143.04339999999999</v>
      </c>
      <c r="J1067" s="14">
        <f>CHOOSE(CONTROL!$C$42, 142.5892, 142.5892)* CHOOSE(CONTROL!$C$21, $C$9, 100%, $E$9)</f>
        <v>142.58920000000001</v>
      </c>
      <c r="K1067" s="52">
        <f>CHOOSE(CONTROL!$C$42, 143.0395, 143.0395) * CHOOSE(CONTROL!$C$21, $C$9, 100%, $E$9)</f>
        <v>143.0395</v>
      </c>
      <c r="L1067" s="14">
        <f>CHOOSE(CONTROL!$C$42, 143.245, 143.245) * CHOOSE(CONTROL!$C$21, $C$9, 100%, $E$9)</f>
        <v>143.245</v>
      </c>
      <c r="M1067" s="14">
        <f>CHOOSE(CONTROL!$C$42, 139.6753, 139.6753) * CHOOSE(CONTROL!$C$21, $C$9, 100%, $E$9)</f>
        <v>139.67529999999999</v>
      </c>
      <c r="N1067" s="14">
        <f>CHOOSE(CONTROL!$C$42, 139.6923, 139.6923) * CHOOSE(CONTROL!$C$21, $C$9, 100%, $E$9)</f>
        <v>139.69229999999999</v>
      </c>
      <c r="O1067" s="14">
        <f>CHOOSE(CONTROL!$C$42, 139.7427, 139.7427) * CHOOSE(CONTROL!$C$21, $C$9, 100%, $E$9)</f>
        <v>139.74270000000001</v>
      </c>
      <c r="P1067" s="14">
        <f>CHOOSE(CONTROL!$C$42, 140.1113, 140.1113) * CHOOSE(CONTROL!$C$21, $C$9, 100%, $E$9)</f>
        <v>140.1113</v>
      </c>
      <c r="Q1067" s="14">
        <f>CHOOSE(CONTROL!$C$42, 140.3374, 140.3374) * CHOOSE(CONTROL!$C$21, $C$9, 100%, $E$9)</f>
        <v>140.3374</v>
      </c>
      <c r="R1067" s="14">
        <f>CHOOSE(CONTROL!$C$42, 141.2752, 141.2752) * CHOOSE(CONTROL!$C$21, $C$9, 100%, $E$9)</f>
        <v>141.27520000000001</v>
      </c>
      <c r="S1067" s="14">
        <f>CHOOSE(CONTROL!$C$42, 136.9779, 136.9779) * CHOOSE(CONTROL!$C$21, $C$9, 100%, $E$9)</f>
        <v>136.97790000000001</v>
      </c>
      <c r="T1067" s="56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67" s="56">
        <f>(1000*CHOOSE(CONTROL!$C$42, 695, 695)*CHOOSE(CONTROL!$C$42, 0.5599, 0.5599)*CHOOSE(CONTROL!$C$42, 30, 30))/1000000</f>
        <v>11.673914999999997</v>
      </c>
      <c r="V1067" s="56">
        <f>(1000*CHOOSE(CONTROL!$C$42, 500, 500)*CHOOSE(CONTROL!$C$42, 0.275, 0.275)*CHOOSE(CONTROL!$C$42, 30, 30))/1000000</f>
        <v>4.125</v>
      </c>
      <c r="W1067" s="56">
        <f>(1000*CHOOSE(CONTROL!$C$42, 0.1146, 0.1146)*CHOOSE(CONTROL!$C$42, 121.5, 121.5)*CHOOSE(CONTROL!$C$42, 30, 30))/1000000</f>
        <v>0.417717</v>
      </c>
      <c r="X1067" s="56">
        <f>(30*0.1790888*100000/1000000)+(30*0.2374*100000/1000000)</f>
        <v>1.2494664</v>
      </c>
      <c r="Y1067" s="56"/>
      <c r="Z1067" s="14"/>
      <c r="AA1067" s="55"/>
      <c r="AB1067" s="49">
        <f>(B1067*122.58+C1067*297.941+D1067*89.177+E1067*40.302+F1067*40+G1067*160+H1067*0+I1067*100+J1067*300)/(122.58+297.941+89.177+40.302+0+40+160+100+300)</f>
        <v>142.62948904095654</v>
      </c>
      <c r="AC1067" s="44">
        <f>(M1067*'RAP TEMPLATE-GAS AVAILABILITY'!O1066+N1067*'RAP TEMPLATE-GAS AVAILABILITY'!P1066+O1067*'RAP TEMPLATE-GAS AVAILABILITY'!Q1066+P1067*'RAP TEMPLATE-GAS AVAILABILITY'!R1066)/('RAP TEMPLATE-GAS AVAILABILITY'!O1066+'RAP TEMPLATE-GAS AVAILABILITY'!P1066+'RAP TEMPLATE-GAS AVAILABILITY'!Q1066+'RAP TEMPLATE-GAS AVAILABILITY'!R1066)</f>
        <v>139.7695604316547</v>
      </c>
    </row>
    <row r="1068" spans="1:29" ht="15.75" x14ac:dyDescent="0.25">
      <c r="A1068" s="31">
        <v>73415</v>
      </c>
      <c r="B1068" s="14">
        <f>CHOOSE(CONTROL!$C$42, 152.2789, 152.2789) * CHOOSE(CONTROL!$C$21, $C$9, 100%, $E$9)</f>
        <v>152.27889999999999</v>
      </c>
      <c r="C1068" s="14">
        <f>CHOOSE(CONTROL!$C$42, 152.284, 152.284) * CHOOSE(CONTROL!$C$21, $C$9, 100%, $E$9)</f>
        <v>152.28399999999999</v>
      </c>
      <c r="D1068" s="14">
        <f>CHOOSE(CONTROL!$C$42, 152.353, 152.353) * CHOOSE(CONTROL!$C$21, $C$9, 100%, $E$9)</f>
        <v>152.35300000000001</v>
      </c>
      <c r="E1068" s="14">
        <f>CHOOSE(CONTROL!$C$42, 152.3871, 152.3871) * CHOOSE(CONTROL!$C$21, $C$9, 100%, $E$9)</f>
        <v>152.3871</v>
      </c>
      <c r="F1068" s="14">
        <f>CHOOSE(CONTROL!$C$42, 152.3167, 152.3167)*CHOOSE(CONTROL!$C$21, $C$9, 100%, $E$9)</f>
        <v>152.3167</v>
      </c>
      <c r="G1068" s="14">
        <f>CHOOSE(CONTROL!$C$42, 152.3347, 152.3347)*CHOOSE(CONTROL!$C$21, $C$9, 100%, $E$9)</f>
        <v>152.3347</v>
      </c>
      <c r="H1068" s="14">
        <f>CHOOSE(CONTROL!$C$42, 152.3763, 152.3763) * CHOOSE(CONTROL!$C$21, $C$9, 100%, $E$9)</f>
        <v>152.37629999999999</v>
      </c>
      <c r="I1068" s="14">
        <f>CHOOSE(CONTROL!$C$42, 152.7922, 152.7922)* CHOOSE(CONTROL!$C$21, $C$9, 100%, $E$9)</f>
        <v>152.79220000000001</v>
      </c>
      <c r="J1068" s="14">
        <f>CHOOSE(CONTROL!$C$42, 152.3097, 152.3097)* CHOOSE(CONTROL!$C$21, $C$9, 100%, $E$9)</f>
        <v>152.30969999999999</v>
      </c>
      <c r="K1068" s="52">
        <f>CHOOSE(CONTROL!$C$42, 152.7883, 152.7883) * CHOOSE(CONTROL!$C$21, $C$9, 100%, $E$9)</f>
        <v>152.78829999999999</v>
      </c>
      <c r="L1068" s="14">
        <f>CHOOSE(CONTROL!$C$42, 152.9633, 152.9633) * CHOOSE(CONTROL!$C$21, $C$9, 100%, $E$9)</f>
        <v>152.9633</v>
      </c>
      <c r="M1068" s="14">
        <f>CHOOSE(CONTROL!$C$42, 149.1967, 149.1967) * CHOOSE(CONTROL!$C$21, $C$9, 100%, $E$9)</f>
        <v>149.19669999999999</v>
      </c>
      <c r="N1068" s="14">
        <f>CHOOSE(CONTROL!$C$42, 149.2143, 149.2143) * CHOOSE(CONTROL!$C$21, $C$9, 100%, $E$9)</f>
        <v>149.21430000000001</v>
      </c>
      <c r="O1068" s="14">
        <f>CHOOSE(CONTROL!$C$42, 149.2619, 149.2619) * CHOOSE(CONTROL!$C$21, $C$9, 100%, $E$9)</f>
        <v>149.2619</v>
      </c>
      <c r="P1068" s="14">
        <f>CHOOSE(CONTROL!$C$42, 149.6597, 149.6597) * CHOOSE(CONTROL!$C$21, $C$9, 100%, $E$9)</f>
        <v>149.65969999999999</v>
      </c>
      <c r="Q1068" s="14">
        <f>CHOOSE(CONTROL!$C$42, 149.8566, 149.8566) * CHOOSE(CONTROL!$C$21, $C$9, 100%, $E$9)</f>
        <v>149.85659999999999</v>
      </c>
      <c r="R1068" s="14">
        <f>CHOOSE(CONTROL!$C$42, 150.8182, 150.8182) * CHOOSE(CONTROL!$C$21, $C$9, 100%, $E$9)</f>
        <v>150.81819999999999</v>
      </c>
      <c r="S1068" s="14">
        <f>CHOOSE(CONTROL!$C$42, 146.3163, 146.3163) * CHOOSE(CONTROL!$C$21, $C$9, 100%, $E$9)</f>
        <v>146.31630000000001</v>
      </c>
      <c r="T1068" s="56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68" s="56">
        <f>(1000*CHOOSE(CONTROL!$C$42, 695, 695)*CHOOSE(CONTROL!$C$42, 0.5599, 0.5599)*CHOOSE(CONTROL!$C$42, 31, 31))/1000000</f>
        <v>12.063045499999998</v>
      </c>
      <c r="V1068" s="56">
        <f>(1000*CHOOSE(CONTROL!$C$42, 500, 500)*CHOOSE(CONTROL!$C$42, 0.275, 0.275)*CHOOSE(CONTROL!$C$42, 31, 31))/1000000</f>
        <v>4.2625000000000002</v>
      </c>
      <c r="W1068" s="56">
        <f>(1000*CHOOSE(CONTROL!$C$42, 0.1146, 0.1146)*CHOOSE(CONTROL!$C$42, 121.5, 121.5)*CHOOSE(CONTROL!$C$42, 31, 31))/1000000</f>
        <v>0.43164089999999994</v>
      </c>
      <c r="X1068" s="56">
        <f>(31*0.1790888*100000/1000000)+(31*0.2374*100000/1000000)</f>
        <v>1.2911152800000001</v>
      </c>
      <c r="Y1068" s="56"/>
      <c r="Z1068" s="14"/>
      <c r="AA1068" s="55"/>
      <c r="AB1068" s="49">
        <f>(B1068*122.58+C1068*297.941+D1068*89.177+E1068*40.302+F1068*40+G1068*160+H1068*0+I1068*100+J1068*300)/(122.58+297.941+89.177+40.302+0+40+160+100+300)</f>
        <v>152.35150712278258</v>
      </c>
      <c r="AC1068" s="44">
        <f>(M1068*'RAP TEMPLATE-GAS AVAILABILITY'!O1067+N1068*'RAP TEMPLATE-GAS AVAILABILITY'!P1067+O1068*'RAP TEMPLATE-GAS AVAILABILITY'!Q1067+P1068*'RAP TEMPLATE-GAS AVAILABILITY'!R1067)/('RAP TEMPLATE-GAS AVAILABILITY'!O1067+'RAP TEMPLATE-GAS AVAILABILITY'!P1067+'RAP TEMPLATE-GAS AVAILABILITY'!Q1067+'RAP TEMPLATE-GAS AVAILABILITY'!R1067)</f>
        <v>149.29388273381295</v>
      </c>
    </row>
    <row r="1069" spans="1:29" ht="15" x14ac:dyDescent="0.2">
      <c r="A1069" s="12"/>
    </row>
    <row r="1070" spans="1:29" ht="15.75" x14ac:dyDescent="0.25">
      <c r="A1070" s="10">
        <v>2013</v>
      </c>
      <c r="B1070" s="14">
        <f t="shared" ref="B1070:J1070" si="3">AVERAGE(B13:B24)</f>
        <v>4.0452228506707444</v>
      </c>
      <c r="C1070" s="14">
        <f t="shared" si="3"/>
        <v>4.0514883818031482</v>
      </c>
      <c r="D1070" s="14">
        <f t="shared" si="3"/>
        <v>4.1953833826493225</v>
      </c>
      <c r="E1070" s="14">
        <f t="shared" si="3"/>
        <v>4.2277261541903508</v>
      </c>
      <c r="F1070" s="14">
        <f t="shared" si="3"/>
        <v>4.0575570373948038</v>
      </c>
      <c r="G1070" s="14">
        <f t="shared" si="3"/>
        <v>4.0734516112410839</v>
      </c>
      <c r="H1070" s="14">
        <f t="shared" si="3"/>
        <v>4.216758203282077</v>
      </c>
      <c r="I1070" s="14">
        <f t="shared" si="3"/>
        <v>4.0771601611564483</v>
      </c>
      <c r="J1070" s="14">
        <f t="shared" si="3"/>
        <v>4.0504570373948043</v>
      </c>
      <c r="K1070" s="52"/>
      <c r="L1070" s="14">
        <f t="shared" ref="L1070:S1070" si="4">AVERAGE(L13:L24)</f>
        <v>4.8037582032820785</v>
      </c>
      <c r="M1070" s="14">
        <f t="shared" si="4"/>
        <v>3.9866548599788207</v>
      </c>
      <c r="N1070" s="14">
        <f t="shared" si="4"/>
        <v>4.0022671278056237</v>
      </c>
      <c r="O1070" s="14">
        <f t="shared" si="4"/>
        <v>4.150010382219139</v>
      </c>
      <c r="P1070" s="14">
        <f t="shared" si="4"/>
        <v>4.0127684645548447</v>
      </c>
      <c r="Q1070" s="14">
        <f t="shared" si="4"/>
        <v>4.7447103822191394</v>
      </c>
      <c r="R1070" s="14">
        <f t="shared" si="4"/>
        <v>5.3435805123413536</v>
      </c>
      <c r="S1070" s="14">
        <f t="shared" si="4"/>
        <v>3.8848790647089522</v>
      </c>
      <c r="T1070" s="48">
        <f t="shared" ref="T1070:Y1070" si="5">SUM(T13:T24)</f>
        <v>360.24596200000002</v>
      </c>
      <c r="U1070" s="48">
        <f t="shared" si="5"/>
        <v>142.03616199999999</v>
      </c>
      <c r="V1070" s="48">
        <f t="shared" si="5"/>
        <v>58.217499999999994</v>
      </c>
      <c r="W1070" s="48">
        <f t="shared" si="5"/>
        <v>8.0937859999999997</v>
      </c>
      <c r="X1070" s="48">
        <f t="shared" si="5"/>
        <v>5.5571254639999994</v>
      </c>
      <c r="Y1070" s="48">
        <f t="shared" si="5"/>
        <v>4.7699999999999996</v>
      </c>
      <c r="Z1070" s="14">
        <f>AVERAGE(Z13:Z24)</f>
        <v>4.0053033330354335</v>
      </c>
      <c r="AA1070" s="48">
        <f>SUM(AA13:AA24)</f>
        <v>9.4679999999999982</v>
      </c>
      <c r="AB1070" s="49">
        <f>AVERAGE(AB13:AB24)</f>
        <v>4.0993117594973532</v>
      </c>
      <c r="AC1070" s="44">
        <f>AVERAGE(AC13:AC24)</f>
        <v>4.0553198907082839</v>
      </c>
    </row>
    <row r="1071" spans="1:29" ht="15.75" x14ac:dyDescent="0.25">
      <c r="A1071" s="10">
        <v>2014</v>
      </c>
      <c r="B1071" s="14">
        <f t="shared" ref="B1071:J1071" si="6">AVERAGE(B25:B36)</f>
        <v>4.3924750000000001</v>
      </c>
      <c r="C1071" s="14">
        <f t="shared" si="6"/>
        <v>4.3987249999999998</v>
      </c>
      <c r="D1071" s="14">
        <f t="shared" si="6"/>
        <v>4.5624916666666673</v>
      </c>
      <c r="E1071" s="14">
        <f t="shared" si="6"/>
        <v>4.5949166666666663</v>
      </c>
      <c r="F1071" s="14">
        <f t="shared" si="6"/>
        <v>4.4199083333333338</v>
      </c>
      <c r="G1071" s="14">
        <f t="shared" si="6"/>
        <v>4.4371666666666663</v>
      </c>
      <c r="H1071" s="14">
        <f t="shared" si="6"/>
        <v>4.5840333333333341</v>
      </c>
      <c r="I1071" s="14">
        <f t="shared" si="6"/>
        <v>4.4397666666666664</v>
      </c>
      <c r="J1071" s="14">
        <f t="shared" si="6"/>
        <v>4.4129083333333332</v>
      </c>
      <c r="K1071" s="52"/>
      <c r="L1071" s="14">
        <f t="shared" ref="L1071:S1071" si="7">AVERAGE(L25:L36)</f>
        <v>5.1710333333333329</v>
      </c>
      <c r="M1071" s="14">
        <f t="shared" si="7"/>
        <v>4.3301666666666669</v>
      </c>
      <c r="N1071" s="14">
        <f t="shared" si="7"/>
        <v>4.3470916666666666</v>
      </c>
      <c r="O1071" s="14">
        <f t="shared" si="7"/>
        <v>4.4977916666666671</v>
      </c>
      <c r="P1071" s="14">
        <f t="shared" si="7"/>
        <v>4.3563083333333337</v>
      </c>
      <c r="Q1071" s="14">
        <f t="shared" si="7"/>
        <v>5.0924916666666666</v>
      </c>
      <c r="R1071" s="14">
        <f t="shared" si="7"/>
        <v>5.6922250000000005</v>
      </c>
      <c r="S1071" s="14">
        <f t="shared" si="7"/>
        <v>4.2111999999999998</v>
      </c>
      <c r="T1071" s="48">
        <f t="shared" ref="T1071:Y1071" si="8">SUM(T25:T36)</f>
        <v>364.742681</v>
      </c>
      <c r="U1071" s="48">
        <f t="shared" si="8"/>
        <v>142.03263249999998</v>
      </c>
      <c r="V1071" s="48">
        <f t="shared" si="8"/>
        <v>58.217499999999994</v>
      </c>
      <c r="W1071" s="48">
        <f t="shared" si="8"/>
        <v>8.3657999999999983</v>
      </c>
      <c r="X1071" s="48">
        <f t="shared" si="8"/>
        <v>5.5571254639999994</v>
      </c>
      <c r="Y1071" s="48">
        <f t="shared" si="8"/>
        <v>1.2000000000000002</v>
      </c>
      <c r="Z1071" s="14">
        <f>AVERAGE(Z25:Z36)</f>
        <v>4.3347916666666668</v>
      </c>
      <c r="AA1071" s="48">
        <f>SUM(AA25:AA36)</f>
        <v>9.4679999999999982</v>
      </c>
      <c r="AB1071" s="49">
        <f>AVERAGE(AB25:AB36)</f>
        <v>4.4592816198158287</v>
      </c>
      <c r="AC1071" s="44">
        <f>AVERAGE(AC25:AC36)</f>
        <v>4.398099100719425</v>
      </c>
    </row>
    <row r="1072" spans="1:29" ht="15.75" x14ac:dyDescent="0.25">
      <c r="A1072" s="10">
        <v>2015</v>
      </c>
      <c r="B1072" s="14">
        <f t="shared" ref="B1072:J1072" si="9">AVERAGE(B37:B48)</f>
        <v>4.5319250000000002</v>
      </c>
      <c r="C1072" s="14">
        <f t="shared" si="9"/>
        <v>4.5381916666666671</v>
      </c>
      <c r="D1072" s="14">
        <f t="shared" si="9"/>
        <v>4.7019333333333329</v>
      </c>
      <c r="E1072" s="14">
        <f t="shared" si="9"/>
        <v>4.7343666666666664</v>
      </c>
      <c r="F1072" s="14">
        <f t="shared" si="9"/>
        <v>4.5593416666666666</v>
      </c>
      <c r="G1072" s="14">
        <f t="shared" si="9"/>
        <v>4.5766250000000008</v>
      </c>
      <c r="H1072" s="14">
        <f t="shared" si="9"/>
        <v>4.7234750000000005</v>
      </c>
      <c r="I1072" s="14">
        <f t="shared" si="9"/>
        <v>4.57965</v>
      </c>
      <c r="J1072" s="14">
        <f t="shared" si="9"/>
        <v>4.552341666666667</v>
      </c>
      <c r="K1072" s="52"/>
      <c r="L1072" s="14">
        <f t="shared" ref="L1072:S1072" si="10">AVERAGE(L37:L48)</f>
        <v>5.3104749999999994</v>
      </c>
      <c r="M1072" s="14">
        <f t="shared" si="10"/>
        <v>4.4667749999999993</v>
      </c>
      <c r="N1072" s="14">
        <f t="shared" si="10"/>
        <v>4.4836916666666671</v>
      </c>
      <c r="O1072" s="14">
        <f t="shared" si="10"/>
        <v>4.6343916666666658</v>
      </c>
      <c r="P1072" s="14">
        <f t="shared" si="10"/>
        <v>4.4933083333333323</v>
      </c>
      <c r="Q1072" s="14">
        <f t="shared" si="10"/>
        <v>5.2290916666666662</v>
      </c>
      <c r="R1072" s="14">
        <f t="shared" si="10"/>
        <v>5.829158333333333</v>
      </c>
      <c r="S1072" s="14">
        <f t="shared" si="10"/>
        <v>4.3452000000000002</v>
      </c>
      <c r="T1072" s="48">
        <f>SUM(T37:T48)</f>
        <v>364.742681</v>
      </c>
      <c r="U1072" s="48">
        <f>SUM(U37:U48)</f>
        <v>142.03263249999998</v>
      </c>
      <c r="V1072" s="48">
        <f>SUM(V37:V48)</f>
        <v>58.217499999999994</v>
      </c>
      <c r="W1072" s="48">
        <f>SUM(W37:W48)</f>
        <v>8.3657999999999983</v>
      </c>
      <c r="X1072" s="48">
        <f>SUM(X37:X48)</f>
        <v>17.010567464000001</v>
      </c>
      <c r="Y1072" s="48"/>
      <c r="Z1072" s="14">
        <f>AVERAGE(Z37:Z48)</f>
        <v>4.4719499999999996</v>
      </c>
      <c r="AA1072" s="48">
        <f>SUM(AA37:AA48)</f>
        <v>9.4679999999999982</v>
      </c>
      <c r="AB1072" s="49">
        <f>AVERAGE(AB37:AB48)</f>
        <v>4.5816082305219137</v>
      </c>
      <c r="AC1072" s="44">
        <f>AVERAGE(AC37:AC48)</f>
        <v>4.527137949640287</v>
      </c>
    </row>
    <row r="1073" spans="1:29" ht="15.75" x14ac:dyDescent="0.25">
      <c r="A1073" s="10">
        <v>2016</v>
      </c>
      <c r="B1073" s="14">
        <f t="shared" ref="B1073:J1073" si="11">AVERAGE(B49:B60)</f>
        <v>4.7299083333333334</v>
      </c>
      <c r="C1073" s="14">
        <f t="shared" si="11"/>
        <v>4.7361833333333339</v>
      </c>
      <c r="D1073" s="14">
        <f t="shared" si="11"/>
        <v>4.8999333333333333</v>
      </c>
      <c r="E1073" s="14">
        <f t="shared" si="11"/>
        <v>4.9323583333333332</v>
      </c>
      <c r="F1073" s="14">
        <f t="shared" si="11"/>
        <v>4.7573499999999997</v>
      </c>
      <c r="G1073" s="14">
        <f t="shared" si="11"/>
        <v>4.7746250000000003</v>
      </c>
      <c r="H1073" s="14">
        <f t="shared" si="11"/>
        <v>4.9214666666666673</v>
      </c>
      <c r="I1073" s="14">
        <f t="shared" si="11"/>
        <v>4.7782583333333335</v>
      </c>
      <c r="J1073" s="14">
        <f t="shared" si="11"/>
        <v>4.7503500000000001</v>
      </c>
      <c r="K1073" s="52"/>
      <c r="L1073" s="14">
        <f t="shared" ref="L1073:S1073" si="12">AVERAGE(L49:L60)</f>
        <v>5.5084666666666671</v>
      </c>
      <c r="M1073" s="14">
        <f t="shared" si="12"/>
        <v>4.6607083333333339</v>
      </c>
      <c r="N1073" s="14">
        <f t="shared" si="12"/>
        <v>4.6776166666666663</v>
      </c>
      <c r="O1073" s="14">
        <f t="shared" si="12"/>
        <v>4.8283333333333323</v>
      </c>
      <c r="P1073" s="14">
        <f t="shared" si="12"/>
        <v>4.6878333333333337</v>
      </c>
      <c r="Q1073" s="14">
        <f t="shared" si="12"/>
        <v>5.4230333333333336</v>
      </c>
      <c r="R1073" s="14">
        <f t="shared" si="12"/>
        <v>6.0235916666666673</v>
      </c>
      <c r="S1073" s="14">
        <f t="shared" si="12"/>
        <v>4.5354666666666663</v>
      </c>
      <c r="T1073" s="48">
        <f>SUM(T49:T60)</f>
        <v>358.17703550000004</v>
      </c>
      <c r="U1073" s="48">
        <f>SUM(U49:U60)</f>
        <v>142.42176299999997</v>
      </c>
      <c r="V1073" s="48">
        <f>SUM(V49:V60)</f>
        <v>58.377000000000002</v>
      </c>
      <c r="W1073" s="48">
        <f>SUM(W49:W60)</f>
        <v>6.1846754999999982</v>
      </c>
      <c r="X1073" s="48">
        <f>SUM(X49:X60)</f>
        <v>20.800615543999996</v>
      </c>
      <c r="Y1073" s="48"/>
      <c r="Z1073" s="14"/>
      <c r="AA1073" s="48"/>
      <c r="AB1073" s="49">
        <f>AVERAGE(AB49:AB60)</f>
        <v>4.7737563008965713</v>
      </c>
      <c r="AC1073" s="44">
        <f>AVERAGE(AC49:AC60)</f>
        <v>4.7201050359712236</v>
      </c>
    </row>
    <row r="1074" spans="1:29" ht="15.75" x14ac:dyDescent="0.25">
      <c r="A1074" s="10">
        <v>2017</v>
      </c>
      <c r="B1074" s="14">
        <f t="shared" ref="B1074:S1074" si="13">AVERAGE(B61:B72)</f>
        <v>5.0979416666666664</v>
      </c>
      <c r="C1074" s="14">
        <f t="shared" si="13"/>
        <v>5.1042250000000005</v>
      </c>
      <c r="D1074" s="14">
        <f t="shared" si="13"/>
        <v>5.2679750000000007</v>
      </c>
      <c r="E1074" s="14">
        <f t="shared" si="13"/>
        <v>5.3003749999999989</v>
      </c>
      <c r="F1074" s="14">
        <f t="shared" si="13"/>
        <v>5.1253833333333336</v>
      </c>
      <c r="G1074" s="14">
        <f t="shared" si="13"/>
        <v>5.142641666666667</v>
      </c>
      <c r="H1074" s="14">
        <f t="shared" si="13"/>
        <v>5.2895083333333348</v>
      </c>
      <c r="I1074" s="14">
        <f t="shared" si="13"/>
        <v>5.1474499999999992</v>
      </c>
      <c r="J1074" s="14">
        <f t="shared" si="13"/>
        <v>5.118383333333334</v>
      </c>
      <c r="K1074" s="52">
        <f t="shared" si="13"/>
        <v>5.1435499999999994</v>
      </c>
      <c r="L1074" s="14">
        <f t="shared" si="13"/>
        <v>5.8765083333333328</v>
      </c>
      <c r="M1074" s="14">
        <f t="shared" si="13"/>
        <v>5.0211916666666667</v>
      </c>
      <c r="N1074" s="14">
        <f t="shared" si="13"/>
        <v>5.038125</v>
      </c>
      <c r="O1074" s="14">
        <f t="shared" si="13"/>
        <v>5.1888250000000005</v>
      </c>
      <c r="P1074" s="14">
        <f t="shared" si="13"/>
        <v>5.0494249999999994</v>
      </c>
      <c r="Q1074" s="14">
        <f t="shared" si="13"/>
        <v>5.783525</v>
      </c>
      <c r="R1074" s="14">
        <f t="shared" si="13"/>
        <v>6.3849666666666662</v>
      </c>
      <c r="S1074" s="14">
        <f t="shared" si="13"/>
        <v>4.8891083333333336</v>
      </c>
      <c r="T1074" s="48">
        <f>SUM(T61:T72)</f>
        <v>357.24568100000005</v>
      </c>
      <c r="U1074" s="48">
        <f>SUM(U61:U72)</f>
        <v>142.03263249999998</v>
      </c>
      <c r="V1074" s="48">
        <f>SUM(V61:V72)</f>
        <v>58.217499999999994</v>
      </c>
      <c r="W1074" s="48">
        <f>SUM(W61:W72)</f>
        <v>5.0822234999999996</v>
      </c>
      <c r="X1074" s="48">
        <f>SUM(X61:X72)</f>
        <v>20.758966663999999</v>
      </c>
      <c r="Y1074" s="48"/>
      <c r="Z1074" s="14"/>
      <c r="AA1074" s="14"/>
      <c r="AB1074" s="49">
        <f>AVERAGE(AB61:AB72)</f>
        <v>5.141884024227239</v>
      </c>
      <c r="AC1074" s="44">
        <f>AVERAGE(AC61:AC72)</f>
        <v>5.0807559352517986</v>
      </c>
    </row>
    <row r="1075" spans="1:29" ht="15.75" x14ac:dyDescent="0.25">
      <c r="A1075" s="10">
        <v>2018</v>
      </c>
      <c r="B1075" s="14">
        <f t="shared" ref="B1075:S1075" si="14">AVERAGE(B73:B84)</f>
        <v>5.8629083333333334</v>
      </c>
      <c r="C1075" s="14">
        <f t="shared" si="14"/>
        <v>5.869183333333333</v>
      </c>
      <c r="D1075" s="14">
        <f t="shared" si="14"/>
        <v>6.0329166666666678</v>
      </c>
      <c r="E1075" s="14">
        <f t="shared" si="14"/>
        <v>6.0653499999999996</v>
      </c>
      <c r="F1075" s="14">
        <f t="shared" si="14"/>
        <v>5.8903416666666653</v>
      </c>
      <c r="G1075" s="14">
        <f t="shared" si="14"/>
        <v>5.9076083333333331</v>
      </c>
      <c r="H1075" s="14">
        <f t="shared" si="14"/>
        <v>6.0544583333333328</v>
      </c>
      <c r="I1075" s="14">
        <f t="shared" si="14"/>
        <v>5.9148000000000023</v>
      </c>
      <c r="J1075" s="14">
        <f t="shared" si="14"/>
        <v>5.8833416666666665</v>
      </c>
      <c r="K1075" s="52">
        <f t="shared" si="14"/>
        <v>5.9109249999999998</v>
      </c>
      <c r="L1075" s="14">
        <f t="shared" si="14"/>
        <v>6.6414583333333335</v>
      </c>
      <c r="M1075" s="14">
        <f t="shared" si="14"/>
        <v>5.7704750000000002</v>
      </c>
      <c r="N1075" s="14">
        <f t="shared" si="14"/>
        <v>5.7874000000000008</v>
      </c>
      <c r="O1075" s="14">
        <f t="shared" si="14"/>
        <v>5.9381250000000003</v>
      </c>
      <c r="P1075" s="14">
        <f t="shared" si="14"/>
        <v>5.8010250000000001</v>
      </c>
      <c r="Q1075" s="14">
        <f t="shared" si="14"/>
        <v>6.5328249999999999</v>
      </c>
      <c r="R1075" s="14">
        <f t="shared" si="14"/>
        <v>7.136141666666667</v>
      </c>
      <c r="S1075" s="14">
        <f t="shared" si="14"/>
        <v>5.6241750000000001</v>
      </c>
      <c r="T1075" s="48">
        <f>SUM(T73:T84)</f>
        <v>357.24568100000005</v>
      </c>
      <c r="U1075" s="48">
        <f>SUM(U73:U84)</f>
        <v>142.03263249999998</v>
      </c>
      <c r="V1075" s="48">
        <f>SUM(V73:V84)</f>
        <v>50.187500000000007</v>
      </c>
      <c r="W1075" s="48">
        <f>SUM(W73:W84)</f>
        <v>5.0822234999999996</v>
      </c>
      <c r="X1075" s="48">
        <f>SUM(X73:X84)</f>
        <v>20.758966663999999</v>
      </c>
      <c r="Y1075" s="48"/>
      <c r="Z1075" s="14"/>
      <c r="AA1075" s="14"/>
      <c r="AB1075" s="49">
        <f>AVERAGE(AB73:AB84)</f>
        <v>5.9070413443741963</v>
      </c>
      <c r="AC1075" s="44">
        <f>AVERAGE(AC73:AC84)</f>
        <v>5.8303767985611517</v>
      </c>
    </row>
    <row r="1076" spans="1:29" ht="15.75" x14ac:dyDescent="0.25">
      <c r="A1076" s="10">
        <v>2019</v>
      </c>
      <c r="B1076" s="14">
        <f t="shared" ref="B1076:S1076" si="15">AVERAGE(B85:B96)</f>
        <v>6.4108583333333344</v>
      </c>
      <c r="C1076" s="14">
        <f t="shared" si="15"/>
        <v>6.4171166666666659</v>
      </c>
      <c r="D1076" s="14">
        <f t="shared" si="15"/>
        <v>6.580866666666668</v>
      </c>
      <c r="E1076" s="14">
        <f t="shared" si="15"/>
        <v>6.6132833333333343</v>
      </c>
      <c r="F1076" s="14">
        <f t="shared" si="15"/>
        <v>6.4382666666666664</v>
      </c>
      <c r="G1076" s="14">
        <f t="shared" si="15"/>
        <v>6.4555333333333342</v>
      </c>
      <c r="H1076" s="14">
        <f t="shared" si="15"/>
        <v>6.6024083333333321</v>
      </c>
      <c r="I1076" s="14">
        <f t="shared" si="15"/>
        <v>6.4644666666666675</v>
      </c>
      <c r="J1076" s="14">
        <f t="shared" si="15"/>
        <v>6.4312666666666667</v>
      </c>
      <c r="K1076" s="52">
        <f t="shared" si="15"/>
        <v>6.4605666666666659</v>
      </c>
      <c r="L1076" s="14">
        <f t="shared" si="15"/>
        <v>7.1894083333333327</v>
      </c>
      <c r="M1076" s="14">
        <f t="shared" si="15"/>
        <v>6.3071916666666672</v>
      </c>
      <c r="N1076" s="14">
        <f t="shared" si="15"/>
        <v>6.3241166666666659</v>
      </c>
      <c r="O1076" s="14">
        <f t="shared" si="15"/>
        <v>6.4748250000000001</v>
      </c>
      <c r="P1076" s="14">
        <f t="shared" si="15"/>
        <v>6.3393750000000004</v>
      </c>
      <c r="Q1076" s="14">
        <f t="shared" si="15"/>
        <v>7.0695249999999996</v>
      </c>
      <c r="R1076" s="14">
        <f t="shared" si="15"/>
        <v>7.6741749999999991</v>
      </c>
      <c r="S1076" s="14">
        <f t="shared" si="15"/>
        <v>6.1506666666666669</v>
      </c>
      <c r="T1076" s="48">
        <f>SUM(T85:T96)</f>
        <v>357.24568100000005</v>
      </c>
      <c r="U1076" s="48">
        <f>SUM(U85:U96)</f>
        <v>142.03263249999998</v>
      </c>
      <c r="V1076" s="48">
        <f>SUM(V85:V96)</f>
        <v>50.187500000000007</v>
      </c>
      <c r="W1076" s="48">
        <f>SUM(W85:W96)</f>
        <v>5.0822234999999996</v>
      </c>
      <c r="X1076" s="48">
        <f>SUM(X85:X96)</f>
        <v>20.758966663999999</v>
      </c>
      <c r="Y1076" s="48"/>
      <c r="Z1076" s="14"/>
      <c r="AA1076" s="14"/>
      <c r="AB1076" s="49">
        <f>AVERAGE(AB85:AB96)</f>
        <v>6.4551176896484206</v>
      </c>
      <c r="AC1076" s="44">
        <f>AVERAGE(AC85:AC96)</f>
        <v>6.3673223621103103</v>
      </c>
    </row>
    <row r="1077" spans="1:29" ht="15.75" x14ac:dyDescent="0.25">
      <c r="A1077" s="10">
        <v>2020</v>
      </c>
      <c r="B1077" s="14">
        <f t="shared" ref="B1077:S1077" si="16">AVERAGE(B97:B108)</f>
        <v>6.955958333333335</v>
      </c>
      <c r="C1077" s="14">
        <f t="shared" si="16"/>
        <v>6.9622250000000001</v>
      </c>
      <c r="D1077" s="14">
        <f t="shared" si="16"/>
        <v>7.1259666666666659</v>
      </c>
      <c r="E1077" s="14">
        <f t="shared" si="16"/>
        <v>7.1583916666666667</v>
      </c>
      <c r="F1077" s="14">
        <f t="shared" si="16"/>
        <v>6.9833833333333333</v>
      </c>
      <c r="G1077" s="14">
        <f t="shared" si="16"/>
        <v>7.000658333333333</v>
      </c>
      <c r="H1077" s="14">
        <f t="shared" si="16"/>
        <v>7.1475000000000009</v>
      </c>
      <c r="I1077" s="14">
        <f t="shared" si="16"/>
        <v>7.0112916666666658</v>
      </c>
      <c r="J1077" s="14">
        <f t="shared" si="16"/>
        <v>6.9763833333333336</v>
      </c>
      <c r="K1077" s="52">
        <f t="shared" si="16"/>
        <v>7.0073916666666678</v>
      </c>
      <c r="L1077" s="14">
        <f t="shared" si="16"/>
        <v>7.7344999999999997</v>
      </c>
      <c r="M1077" s="14">
        <f t="shared" si="16"/>
        <v>6.8411333333333326</v>
      </c>
      <c r="N1077" s="14">
        <f t="shared" si="16"/>
        <v>6.8580499999999995</v>
      </c>
      <c r="O1077" s="14">
        <f t="shared" si="16"/>
        <v>7.0087666666666655</v>
      </c>
      <c r="P1077" s="14">
        <f t="shared" si="16"/>
        <v>6.8749666666666664</v>
      </c>
      <c r="Q1077" s="14">
        <f t="shared" si="16"/>
        <v>7.6034666666666668</v>
      </c>
      <c r="R1077" s="14">
        <f t="shared" si="16"/>
        <v>8.2094583333333322</v>
      </c>
      <c r="S1077" s="14">
        <f t="shared" si="16"/>
        <v>6.674475000000001</v>
      </c>
      <c r="T1077" s="48">
        <f>SUM(T97:T108)</f>
        <v>358.17703550000004</v>
      </c>
      <c r="U1077" s="48">
        <f>SUM(U97:U108)</f>
        <v>142.42176299999997</v>
      </c>
      <c r="V1077" s="48">
        <f>SUM(V97:V108)</f>
        <v>50.325000000000003</v>
      </c>
      <c r="W1077" s="48">
        <f>SUM(W97:W108)</f>
        <v>5.0961473999999995</v>
      </c>
      <c r="X1077" s="48">
        <f>SUM(X97:X108)</f>
        <v>20.800615543999996</v>
      </c>
      <c r="Y1077" s="48"/>
      <c r="Z1077" s="14"/>
      <c r="AA1077" s="14"/>
      <c r="AB1077" s="49">
        <f>AVERAGE(AB97:AB108)</f>
        <v>7.0003705376146321</v>
      </c>
      <c r="AC1077" s="44">
        <f>AVERAGE(AC97:AC108)</f>
        <v>6.9015009592326129</v>
      </c>
    </row>
    <row r="1078" spans="1:29" ht="15.75" x14ac:dyDescent="0.25">
      <c r="A1078" s="10">
        <v>2021</v>
      </c>
      <c r="B1078" s="14">
        <f t="shared" ref="B1078:S1078" si="17">AVERAGE(B109:B120)</f>
        <v>7.3609999999999998</v>
      </c>
      <c r="C1078" s="14">
        <f t="shared" si="17"/>
        <v>7.3672500000000012</v>
      </c>
      <c r="D1078" s="14">
        <f t="shared" si="17"/>
        <v>7.5310083333333324</v>
      </c>
      <c r="E1078" s="14">
        <f t="shared" si="17"/>
        <v>7.5634250000000014</v>
      </c>
      <c r="F1078" s="14">
        <f t="shared" si="17"/>
        <v>7.3884166666666671</v>
      </c>
      <c r="G1078" s="14">
        <f t="shared" si="17"/>
        <v>7.405683333333335</v>
      </c>
      <c r="H1078" s="14">
        <f t="shared" si="17"/>
        <v>7.5525500000000001</v>
      </c>
      <c r="I1078" s="14">
        <f t="shared" si="17"/>
        <v>7.4175749999999994</v>
      </c>
      <c r="J1078" s="14">
        <f t="shared" si="17"/>
        <v>7.3814166666666656</v>
      </c>
      <c r="K1078" s="52">
        <f t="shared" si="17"/>
        <v>7.4136750000000013</v>
      </c>
      <c r="L1078" s="14">
        <f t="shared" si="17"/>
        <v>8.1395500000000016</v>
      </c>
      <c r="M1078" s="14">
        <f t="shared" si="17"/>
        <v>7.2378500000000008</v>
      </c>
      <c r="N1078" s="14">
        <f t="shared" si="17"/>
        <v>7.2547749999999995</v>
      </c>
      <c r="O1078" s="14">
        <f t="shared" si="17"/>
        <v>7.4054916666666664</v>
      </c>
      <c r="P1078" s="14">
        <f t="shared" si="17"/>
        <v>7.2729083333333335</v>
      </c>
      <c r="Q1078" s="14">
        <f t="shared" si="17"/>
        <v>8.0001916666666659</v>
      </c>
      <c r="R1078" s="14">
        <f t="shared" si="17"/>
        <v>8.6071666666666662</v>
      </c>
      <c r="S1078" s="14">
        <f t="shared" si="17"/>
        <v>7.0636583333333336</v>
      </c>
      <c r="T1078" s="48">
        <f>SUM(T109:T120)</f>
        <v>357.24568100000005</v>
      </c>
      <c r="U1078" s="48">
        <f>SUM(U109:U120)</f>
        <v>142.03263249999998</v>
      </c>
      <c r="V1078" s="48">
        <f>SUM(V109:V120)</f>
        <v>50.187500000000007</v>
      </c>
      <c r="W1078" s="48">
        <f>SUM(W109:W120)</f>
        <v>5.0822234999999996</v>
      </c>
      <c r="X1078" s="48">
        <f>SUM(X109:X120)</f>
        <v>20.758966663999999</v>
      </c>
      <c r="Y1078" s="48"/>
      <c r="Z1078" s="14"/>
      <c r="AA1078" s="14"/>
      <c r="AB1078" s="49">
        <f>AVERAGE(AB109:AB120)</f>
        <v>7.4055055171655484</v>
      </c>
      <c r="AC1078" s="44">
        <f>AVERAGE(AC109:AC120)</f>
        <v>7.2983981414868104</v>
      </c>
    </row>
    <row r="1079" spans="1:29" ht="15.75" x14ac:dyDescent="0.25">
      <c r="A1079" s="10">
        <v>2022</v>
      </c>
      <c r="B1079" s="14">
        <f t="shared" ref="B1079:S1079" si="18">AVERAGE(B121:B132)</f>
        <v>7.6703000000000001</v>
      </c>
      <c r="C1079" s="14">
        <f t="shared" si="18"/>
        <v>7.6765916666666678</v>
      </c>
      <c r="D1079" s="14">
        <f t="shared" si="18"/>
        <v>7.8403250000000009</v>
      </c>
      <c r="E1079" s="14">
        <f t="shared" si="18"/>
        <v>7.8727333333333336</v>
      </c>
      <c r="F1079" s="14">
        <f t="shared" si="18"/>
        <v>7.6977416666666665</v>
      </c>
      <c r="G1079" s="14">
        <f t="shared" si="18"/>
        <v>7.7149916666666671</v>
      </c>
      <c r="H1079" s="14">
        <f t="shared" si="18"/>
        <v>7.8618666666666668</v>
      </c>
      <c r="I1079" s="14">
        <f t="shared" si="18"/>
        <v>7.7278666666666664</v>
      </c>
      <c r="J1079" s="14">
        <f t="shared" si="18"/>
        <v>7.6907416666666677</v>
      </c>
      <c r="K1079" s="52">
        <f t="shared" si="18"/>
        <v>7.7239666666666666</v>
      </c>
      <c r="L1079" s="14">
        <f t="shared" si="18"/>
        <v>8.4488666666666692</v>
      </c>
      <c r="M1079" s="14">
        <f t="shared" si="18"/>
        <v>7.5408499999999998</v>
      </c>
      <c r="N1079" s="14">
        <f t="shared" si="18"/>
        <v>7.5577666666666667</v>
      </c>
      <c r="O1079" s="14">
        <f t="shared" si="18"/>
        <v>7.7084833333333336</v>
      </c>
      <c r="P1079" s="14">
        <f t="shared" si="18"/>
        <v>7.5768083333333331</v>
      </c>
      <c r="Q1079" s="14">
        <f t="shared" si="18"/>
        <v>8.3031833333333331</v>
      </c>
      <c r="R1079" s="14">
        <f t="shared" si="18"/>
        <v>8.9109416666666679</v>
      </c>
      <c r="S1079" s="14">
        <f t="shared" si="18"/>
        <v>7.3608749999999992</v>
      </c>
      <c r="T1079" s="48">
        <f>SUM(T121:T132)</f>
        <v>357.24568100000005</v>
      </c>
      <c r="U1079" s="48">
        <f>SUM(U121:U132)</f>
        <v>142.03263249999998</v>
      </c>
      <c r="V1079" s="48">
        <f>SUM(V121:V132)</f>
        <v>50.187500000000007</v>
      </c>
      <c r="W1079" s="48">
        <f>SUM(W121:W132)</f>
        <v>5.0822234999999996</v>
      </c>
      <c r="X1079" s="48">
        <f>SUM(X121:X132)</f>
        <v>20.758966663999999</v>
      </c>
      <c r="Y1079" s="48"/>
      <c r="Z1079" s="14"/>
      <c r="AA1079" s="14"/>
      <c r="AB1079" s="49">
        <f>AVERAGE(AB121:AB132)</f>
        <v>7.7149063268310796</v>
      </c>
      <c r="AC1079" s="44">
        <f>AVERAGE(AC121:AC132)</f>
        <v>7.6015219424460438</v>
      </c>
    </row>
    <row r="1080" spans="1:29" ht="15.75" x14ac:dyDescent="0.25">
      <c r="A1080" s="10">
        <v>2023</v>
      </c>
      <c r="B1080" s="14">
        <f t="shared" ref="B1080:S1080" si="19">AVERAGE(B133:B144)</f>
        <v>8.3051083333333331</v>
      </c>
      <c r="C1080" s="14">
        <f t="shared" si="19"/>
        <v>8.3113916666666672</v>
      </c>
      <c r="D1080" s="14">
        <f t="shared" si="19"/>
        <v>8.4751416666666675</v>
      </c>
      <c r="E1080" s="14">
        <f t="shared" si="19"/>
        <v>8.5075416666666666</v>
      </c>
      <c r="F1080" s="14">
        <f t="shared" si="19"/>
        <v>8.3325499999999995</v>
      </c>
      <c r="G1080" s="14">
        <f t="shared" si="19"/>
        <v>8.3498083333333337</v>
      </c>
      <c r="H1080" s="14">
        <f t="shared" si="19"/>
        <v>8.4966833333333316</v>
      </c>
      <c r="I1080" s="14">
        <f t="shared" si="19"/>
        <v>8.3646583333333329</v>
      </c>
      <c r="J1080" s="14">
        <f t="shared" si="19"/>
        <v>8.3255499999999998</v>
      </c>
      <c r="K1080" s="52">
        <f t="shared" si="19"/>
        <v>8.3607666666666667</v>
      </c>
      <c r="L1080" s="14">
        <f t="shared" si="19"/>
        <v>9.0836833333333313</v>
      </c>
      <c r="M1080" s="14">
        <f t="shared" si="19"/>
        <v>8.1626333333333339</v>
      </c>
      <c r="N1080" s="14">
        <f t="shared" si="19"/>
        <v>8.1795583333333326</v>
      </c>
      <c r="O1080" s="14">
        <f t="shared" si="19"/>
        <v>8.3302666666666649</v>
      </c>
      <c r="P1080" s="14">
        <f t="shared" si="19"/>
        <v>8.2005250000000007</v>
      </c>
      <c r="Q1080" s="14">
        <f t="shared" si="19"/>
        <v>8.924966666666668</v>
      </c>
      <c r="R1080" s="14">
        <f t="shared" si="19"/>
        <v>9.5343</v>
      </c>
      <c r="S1080" s="14">
        <f t="shared" si="19"/>
        <v>7.9708666666666668</v>
      </c>
      <c r="T1080" s="48">
        <f>SUM(T133:T144)</f>
        <v>357.24568100000005</v>
      </c>
      <c r="U1080" s="48">
        <f>SUM(U133:U144)</f>
        <v>142.03263249999998</v>
      </c>
      <c r="V1080" s="48">
        <f>SUM(V133:V144)</f>
        <v>50.187500000000007</v>
      </c>
      <c r="W1080" s="48">
        <f>SUM(W133:W144)</f>
        <v>5.0822234999999996</v>
      </c>
      <c r="X1080" s="48">
        <f>SUM(X133:X144)</f>
        <v>20.758966663999999</v>
      </c>
      <c r="Y1080" s="48"/>
      <c r="Z1080" s="14"/>
      <c r="AA1080" s="14"/>
      <c r="AB1080" s="49">
        <f>AVERAGE(AB133:AB144)</f>
        <v>8.3498783143633002</v>
      </c>
      <c r="AC1080" s="44">
        <f>AVERAGE(AC133:AC144)</f>
        <v>8.2235868105515575</v>
      </c>
    </row>
    <row r="1081" spans="1:29" ht="15.75" x14ac:dyDescent="0.25">
      <c r="A1081" s="10">
        <v>2024</v>
      </c>
      <c r="B1081" s="14">
        <f t="shared" ref="B1081:S1081" si="20">AVERAGE(B145:B156)</f>
        <v>8.6737166666666674</v>
      </c>
      <c r="C1081" s="14">
        <f t="shared" si="20"/>
        <v>8.6799916666666661</v>
      </c>
      <c r="D1081" s="14">
        <f t="shared" si="20"/>
        <v>8.8437250000000009</v>
      </c>
      <c r="E1081" s="14">
        <f t="shared" si="20"/>
        <v>8.8761583333333345</v>
      </c>
      <c r="F1081" s="14">
        <f t="shared" si="20"/>
        <v>8.7011416666666683</v>
      </c>
      <c r="G1081" s="14">
        <f t="shared" si="20"/>
        <v>8.7184083333333344</v>
      </c>
      <c r="H1081" s="14">
        <f t="shared" si="20"/>
        <v>8.8652666666666651</v>
      </c>
      <c r="I1081" s="14">
        <f t="shared" si="20"/>
        <v>8.7344249999999981</v>
      </c>
      <c r="J1081" s="14">
        <f t="shared" si="20"/>
        <v>8.6941416666666651</v>
      </c>
      <c r="K1081" s="52">
        <f t="shared" si="20"/>
        <v>8.7305250000000001</v>
      </c>
      <c r="L1081" s="14">
        <f t="shared" si="20"/>
        <v>9.4522666666666666</v>
      </c>
      <c r="M1081" s="14">
        <f t="shared" si="20"/>
        <v>8.5236916666666662</v>
      </c>
      <c r="N1081" s="14">
        <f t="shared" si="20"/>
        <v>8.5406083333333331</v>
      </c>
      <c r="O1081" s="14">
        <f t="shared" si="20"/>
        <v>8.6913249999999973</v>
      </c>
      <c r="P1081" s="14">
        <f t="shared" si="20"/>
        <v>8.5626833333333341</v>
      </c>
      <c r="Q1081" s="14">
        <f t="shared" si="20"/>
        <v>9.2860250000000004</v>
      </c>
      <c r="R1081" s="14">
        <f t="shared" si="20"/>
        <v>9.896233333333333</v>
      </c>
      <c r="S1081" s="14">
        <f t="shared" si="20"/>
        <v>8.3250666666666664</v>
      </c>
      <c r="T1081" s="48">
        <f>SUM(T145:T156)</f>
        <v>358.17703550000004</v>
      </c>
      <c r="U1081" s="48">
        <f>SUM(U145:U156)</f>
        <v>142.42176299999997</v>
      </c>
      <c r="V1081" s="48">
        <f>SUM(V145:V156)</f>
        <v>50.325000000000003</v>
      </c>
      <c r="W1081" s="48">
        <f>SUM(W145:W156)</f>
        <v>5.0961473999999995</v>
      </c>
      <c r="X1081" s="48">
        <f>SUM(X145:X156)</f>
        <v>20.800615543999996</v>
      </c>
      <c r="Y1081" s="48"/>
      <c r="Z1081" s="14"/>
      <c r="AA1081" s="14"/>
      <c r="AB1081" s="49">
        <f>AVERAGE(AB145:AB156)</f>
        <v>8.7185723885451445</v>
      </c>
      <c r="AC1081" s="44">
        <f>AVERAGE(AC145:AC156)</f>
        <v>8.5848000599520375</v>
      </c>
    </row>
    <row r="1082" spans="1:29" ht="15.75" x14ac:dyDescent="0.25">
      <c r="A1082" s="10">
        <v>2025</v>
      </c>
      <c r="B1082" s="14">
        <f t="shared" ref="B1082:S1082" si="21">AVERAGE(B157:B168)</f>
        <v>9.0405250000000006</v>
      </c>
      <c r="C1082" s="14">
        <f t="shared" si="21"/>
        <v>9.0468166666666683</v>
      </c>
      <c r="D1082" s="14">
        <f t="shared" si="21"/>
        <v>9.2105583333333332</v>
      </c>
      <c r="E1082" s="14">
        <f t="shared" si="21"/>
        <v>9.2429749999999995</v>
      </c>
      <c r="F1082" s="14">
        <f t="shared" si="21"/>
        <v>9.0679666666666652</v>
      </c>
      <c r="G1082" s="14">
        <f t="shared" si="21"/>
        <v>9.0852250000000012</v>
      </c>
      <c r="H1082" s="14">
        <f t="shared" si="21"/>
        <v>9.2321000000000009</v>
      </c>
      <c r="I1082" s="14">
        <f t="shared" si="21"/>
        <v>9.1023916666666658</v>
      </c>
      <c r="J1082" s="14">
        <f t="shared" si="21"/>
        <v>9.0609666666666673</v>
      </c>
      <c r="K1082" s="52">
        <f t="shared" si="21"/>
        <v>9.098491666666666</v>
      </c>
      <c r="L1082" s="14">
        <f t="shared" si="21"/>
        <v>9.8191000000000006</v>
      </c>
      <c r="M1082" s="14">
        <f t="shared" si="21"/>
        <v>8.8829999999999991</v>
      </c>
      <c r="N1082" s="14">
        <f t="shared" si="21"/>
        <v>8.899916666666666</v>
      </c>
      <c r="O1082" s="14">
        <f t="shared" si="21"/>
        <v>9.0506166666666665</v>
      </c>
      <c r="P1082" s="14">
        <f t="shared" si="21"/>
        <v>8.9230833333333344</v>
      </c>
      <c r="Q1082" s="14">
        <f t="shared" si="21"/>
        <v>9.6453166666666679</v>
      </c>
      <c r="R1082" s="14">
        <f t="shared" si="21"/>
        <v>10.256441666666667</v>
      </c>
      <c r="S1082" s="14">
        <f t="shared" si="21"/>
        <v>8.6775416666666683</v>
      </c>
      <c r="T1082" s="48">
        <f>SUM(T157:T168)</f>
        <v>357.24568100000005</v>
      </c>
      <c r="U1082" s="48">
        <f>SUM(U157:U168)</f>
        <v>142.03263249999998</v>
      </c>
      <c r="V1082" s="48">
        <f>SUM(V157:V168)</f>
        <v>50.187500000000007</v>
      </c>
      <c r="W1082" s="48">
        <f>SUM(W157:W168)</f>
        <v>5.0822234999999996</v>
      </c>
      <c r="X1082" s="48">
        <f>SUM(X157:X168)</f>
        <v>20.758966663999999</v>
      </c>
      <c r="Y1082" s="48"/>
      <c r="Z1082" s="14"/>
      <c r="AA1082" s="14"/>
      <c r="AB1082" s="49">
        <f>AVERAGE(AB157:AB168)</f>
        <v>9.0854881480888317</v>
      </c>
      <c r="AC1082" s="44">
        <f>AVERAGE(AC157:AC168)</f>
        <v>8.944259352517987</v>
      </c>
    </row>
    <row r="1083" spans="1:29" ht="15.75" x14ac:dyDescent="0.25">
      <c r="A1083" s="10">
        <v>2026</v>
      </c>
      <c r="B1083" s="14">
        <f t="shared" ref="B1083:S1083" si="22">AVERAGE(B169:B180)</f>
        <v>9.3663916666666669</v>
      </c>
      <c r="C1083" s="14">
        <f t="shared" si="22"/>
        <v>9.3726499999999984</v>
      </c>
      <c r="D1083" s="14">
        <f t="shared" si="22"/>
        <v>9.5364166666666677</v>
      </c>
      <c r="E1083" s="14">
        <f t="shared" si="22"/>
        <v>9.5688333333333322</v>
      </c>
      <c r="F1083" s="14">
        <f t="shared" si="22"/>
        <v>9.3938083333333342</v>
      </c>
      <c r="G1083" s="14">
        <f t="shared" si="22"/>
        <v>9.4110916666666657</v>
      </c>
      <c r="H1083" s="14">
        <f t="shared" si="22"/>
        <v>9.5579499999999999</v>
      </c>
      <c r="I1083" s="14">
        <f t="shared" si="22"/>
        <v>9.4292583333333333</v>
      </c>
      <c r="J1083" s="14">
        <f t="shared" si="22"/>
        <v>9.3868083333333328</v>
      </c>
      <c r="K1083" s="52">
        <f t="shared" si="22"/>
        <v>9.4253583333333335</v>
      </c>
      <c r="L1083" s="14">
        <f t="shared" si="22"/>
        <v>10.14495</v>
      </c>
      <c r="M1083" s="14">
        <f t="shared" si="22"/>
        <v>9.2021833333333323</v>
      </c>
      <c r="N1083" s="14">
        <f t="shared" si="22"/>
        <v>9.219100000000001</v>
      </c>
      <c r="O1083" s="14">
        <f t="shared" si="22"/>
        <v>9.3697999999999997</v>
      </c>
      <c r="P1083" s="14">
        <f t="shared" si="22"/>
        <v>9.2432416666666679</v>
      </c>
      <c r="Q1083" s="14">
        <f t="shared" si="22"/>
        <v>9.964500000000001</v>
      </c>
      <c r="R1083" s="14">
        <f t="shared" si="22"/>
        <v>10.576408333333335</v>
      </c>
      <c r="S1083" s="14">
        <f t="shared" si="22"/>
        <v>8.9906583333333323</v>
      </c>
      <c r="T1083" s="48">
        <f>SUM(T169:T180)</f>
        <v>357.24568100000005</v>
      </c>
      <c r="U1083" s="48">
        <f>SUM(U169:U180)</f>
        <v>142.03263249999998</v>
      </c>
      <c r="V1083" s="48">
        <f>SUM(V169:V180)</f>
        <v>50.187500000000007</v>
      </c>
      <c r="W1083" s="48">
        <f>SUM(W169:W180)</f>
        <v>5.0822234999999996</v>
      </c>
      <c r="X1083" s="48">
        <f>SUM(X169:X180)</f>
        <v>20.758966663999999</v>
      </c>
      <c r="Y1083" s="48"/>
      <c r="Z1083" s="14"/>
      <c r="AA1083" s="14"/>
      <c r="AB1083" s="49">
        <f>AVERAGE(AB169:AB180)</f>
        <v>9.411421317832378</v>
      </c>
      <c r="AC1083" s="44">
        <f>AVERAGE(AC169:AC180)</f>
        <v>9.2635829736211033</v>
      </c>
    </row>
    <row r="1084" spans="1:29" ht="15.75" x14ac:dyDescent="0.25">
      <c r="A1084" s="10">
        <v>2027</v>
      </c>
      <c r="B1084" s="14">
        <f t="shared" ref="B1084:S1084" si="23">AVERAGE(B181:B192)</f>
        <v>9.6871000000000009</v>
      </c>
      <c r="C1084" s="14">
        <f t="shared" si="23"/>
        <v>9.693366666666666</v>
      </c>
      <c r="D1084" s="14">
        <f t="shared" si="23"/>
        <v>9.8571250000000017</v>
      </c>
      <c r="E1084" s="14">
        <f t="shared" si="23"/>
        <v>9.8895333333333308</v>
      </c>
      <c r="F1084" s="14">
        <f t="shared" si="23"/>
        <v>9.7145250000000001</v>
      </c>
      <c r="G1084" s="14">
        <f t="shared" si="23"/>
        <v>9.7317833333333343</v>
      </c>
      <c r="H1084" s="14">
        <f t="shared" si="23"/>
        <v>9.8786666666666676</v>
      </c>
      <c r="I1084" s="14">
        <f t="shared" si="23"/>
        <v>9.7509750000000004</v>
      </c>
      <c r="J1084" s="14">
        <f t="shared" si="23"/>
        <v>9.7075250000000004</v>
      </c>
      <c r="K1084" s="52">
        <f t="shared" si="23"/>
        <v>9.7470833333333342</v>
      </c>
      <c r="L1084" s="14">
        <f t="shared" si="23"/>
        <v>10.465666666666666</v>
      </c>
      <c r="M1084" s="14">
        <f t="shared" si="23"/>
        <v>9.5163250000000001</v>
      </c>
      <c r="N1084" s="14">
        <f t="shared" si="23"/>
        <v>9.5332249999999998</v>
      </c>
      <c r="O1084" s="14">
        <f t="shared" si="23"/>
        <v>9.6839416666666658</v>
      </c>
      <c r="P1084" s="14">
        <f t="shared" si="23"/>
        <v>9.5583500000000008</v>
      </c>
      <c r="Q1084" s="14">
        <f t="shared" si="23"/>
        <v>10.278641666666667</v>
      </c>
      <c r="R1084" s="14">
        <f t="shared" si="23"/>
        <v>10.891350000000001</v>
      </c>
      <c r="S1084" s="14">
        <f t="shared" si="23"/>
        <v>9.2988333333333326</v>
      </c>
      <c r="T1084" s="48">
        <f>SUM(T181:T192)</f>
        <v>357.24568100000005</v>
      </c>
      <c r="U1084" s="48">
        <f>SUM(U181:U192)</f>
        <v>142.03263249999998</v>
      </c>
      <c r="V1084" s="48">
        <f>SUM(V181:V192)</f>
        <v>50.187500000000007</v>
      </c>
      <c r="W1084" s="48">
        <f>SUM(W181:W192)</f>
        <v>5.0822234999999996</v>
      </c>
      <c r="X1084" s="48">
        <f>SUM(X181:X192)</f>
        <v>20.758966663999999</v>
      </c>
      <c r="Y1084" s="48"/>
      <c r="Z1084" s="14"/>
      <c r="AA1084" s="14"/>
      <c r="AB1084" s="49">
        <f>AVERAGE(AB181:AB192)</f>
        <v>9.7322142655404154</v>
      </c>
      <c r="AC1084" s="44">
        <f>AVERAGE(AC181:AC192)</f>
        <v>9.5778613309352512</v>
      </c>
    </row>
    <row r="1085" spans="1:29" ht="15.75" x14ac:dyDescent="0.25">
      <c r="A1085" s="10">
        <v>2028</v>
      </c>
      <c r="B1085" s="14">
        <f t="shared" ref="B1085:S1085" si="24">AVERAGE(B193:B204)</f>
        <v>10.009924999999999</v>
      </c>
      <c r="C1085" s="14">
        <f t="shared" si="24"/>
        <v>10.016174999999999</v>
      </c>
      <c r="D1085" s="14">
        <f t="shared" si="24"/>
        <v>10.179908333333332</v>
      </c>
      <c r="E1085" s="14">
        <f t="shared" si="24"/>
        <v>10.212349999999999</v>
      </c>
      <c r="F1085" s="14">
        <f t="shared" si="24"/>
        <v>10.037333333333335</v>
      </c>
      <c r="G1085" s="14">
        <f t="shared" si="24"/>
        <v>10.054608333333332</v>
      </c>
      <c r="H1085" s="14">
        <f t="shared" si="24"/>
        <v>10.201458333333333</v>
      </c>
      <c r="I1085" s="14">
        <f t="shared" si="24"/>
        <v>10.074816666666669</v>
      </c>
      <c r="J1085" s="14">
        <f t="shared" si="24"/>
        <v>10.030333333333333</v>
      </c>
      <c r="K1085" s="52">
        <f t="shared" si="24"/>
        <v>10.070924999999999</v>
      </c>
      <c r="L1085" s="14">
        <f t="shared" si="24"/>
        <v>10.788458333333333</v>
      </c>
      <c r="M1085" s="14">
        <f t="shared" si="24"/>
        <v>9.8324999999999996</v>
      </c>
      <c r="N1085" s="14">
        <f t="shared" si="24"/>
        <v>9.8494250000000001</v>
      </c>
      <c r="O1085" s="14">
        <f t="shared" si="24"/>
        <v>10.000124999999999</v>
      </c>
      <c r="P1085" s="14">
        <f t="shared" si="24"/>
        <v>9.8755166666666696</v>
      </c>
      <c r="Q1085" s="14">
        <f t="shared" si="24"/>
        <v>10.594825</v>
      </c>
      <c r="R1085" s="14">
        <f t="shared" si="24"/>
        <v>11.208308333333333</v>
      </c>
      <c r="S1085" s="14">
        <f t="shared" si="24"/>
        <v>9.6090083333333336</v>
      </c>
      <c r="T1085" s="48">
        <f>SUM(T193:T204)</f>
        <v>358.17703550000004</v>
      </c>
      <c r="U1085" s="48">
        <f>SUM(U193:U204)</f>
        <v>142.42176299999997</v>
      </c>
      <c r="V1085" s="48">
        <f>SUM(V193:V204)</f>
        <v>50.325000000000003</v>
      </c>
      <c r="W1085" s="48">
        <f>SUM(W193:W204)</f>
        <v>5.0961473999999995</v>
      </c>
      <c r="X1085" s="48">
        <f>SUM(X193:X204)</f>
        <v>20.800615543999996</v>
      </c>
      <c r="Y1085" s="48"/>
      <c r="Z1085" s="14"/>
      <c r="AA1085" s="14"/>
      <c r="AB1085" s="49">
        <f>AVERAGE(AB193:AB204)</f>
        <v>10.05511035598253</v>
      </c>
      <c r="AC1085" s="44">
        <f>AVERAGE(AC193:AC204)</f>
        <v>9.8941856714628287</v>
      </c>
    </row>
    <row r="1086" spans="1:29" ht="15.75" x14ac:dyDescent="0.25">
      <c r="A1086" s="10">
        <v>2029</v>
      </c>
      <c r="B1086" s="14">
        <f t="shared" ref="B1086:S1086" si="25">AVERAGE(B205:B216)</f>
        <v>10.342808333333332</v>
      </c>
      <c r="C1086" s="14">
        <f t="shared" si="25"/>
        <v>10.349066666666667</v>
      </c>
      <c r="D1086" s="14">
        <f t="shared" si="25"/>
        <v>10.512825000000001</v>
      </c>
      <c r="E1086" s="14">
        <f t="shared" si="25"/>
        <v>10.545250000000001</v>
      </c>
      <c r="F1086" s="14">
        <f t="shared" si="25"/>
        <v>10.370225</v>
      </c>
      <c r="G1086" s="14">
        <f t="shared" si="25"/>
        <v>10.387500000000001</v>
      </c>
      <c r="H1086" s="14">
        <f t="shared" si="25"/>
        <v>10.534366666666669</v>
      </c>
      <c r="I1086" s="14">
        <f t="shared" si="25"/>
        <v>10.408741666666666</v>
      </c>
      <c r="J1086" s="14">
        <f t="shared" si="25"/>
        <v>10.363225000000002</v>
      </c>
      <c r="K1086" s="52">
        <f t="shared" si="25"/>
        <v>10.40485</v>
      </c>
      <c r="L1086" s="14">
        <f t="shared" si="25"/>
        <v>11.121366666666669</v>
      </c>
      <c r="M1086" s="14">
        <f t="shared" si="25"/>
        <v>10.158591666666668</v>
      </c>
      <c r="N1086" s="14">
        <f t="shared" si="25"/>
        <v>10.1755</v>
      </c>
      <c r="O1086" s="14">
        <f t="shared" si="25"/>
        <v>10.326208333333334</v>
      </c>
      <c r="P1086" s="14">
        <f t="shared" si="25"/>
        <v>10.202591666666665</v>
      </c>
      <c r="Q1086" s="14">
        <f t="shared" si="25"/>
        <v>10.920908333333335</v>
      </c>
      <c r="R1086" s="14">
        <f t="shared" si="25"/>
        <v>11.535224999999999</v>
      </c>
      <c r="S1086" s="14">
        <f t="shared" si="25"/>
        <v>9.928899999999997</v>
      </c>
      <c r="T1086" s="48">
        <f>SUM(T205:T216)</f>
        <v>357.24568100000005</v>
      </c>
      <c r="U1086" s="48">
        <f>SUM(U205:U216)</f>
        <v>142.03263249999998</v>
      </c>
      <c r="V1086" s="48">
        <f>SUM(V205:V216)</f>
        <v>50.187500000000007</v>
      </c>
      <c r="W1086" s="48">
        <f>SUM(W205:W216)</f>
        <v>5.0822234999999996</v>
      </c>
      <c r="X1086" s="48">
        <f>SUM(X205:X216)</f>
        <v>20.758966663999999</v>
      </c>
      <c r="Y1086" s="48"/>
      <c r="Z1086" s="14"/>
      <c r="AA1086" s="14"/>
      <c r="AB1086" s="49">
        <f>AVERAGE(AB205:AB216)</f>
        <v>10.388088608882251</v>
      </c>
      <c r="AC1086" s="44">
        <f>AVERAGE(AC205:AC216)</f>
        <v>10.220412649880098</v>
      </c>
    </row>
    <row r="1087" spans="1:29" ht="15.75" x14ac:dyDescent="0.25">
      <c r="A1087" s="10">
        <v>2030</v>
      </c>
      <c r="B1087" s="14">
        <f t="shared" ref="B1087:S1087" si="26">AVERAGE(B217:B228)</f>
        <v>10.642949999999999</v>
      </c>
      <c r="C1087" s="14">
        <f t="shared" si="26"/>
        <v>10.649216666666668</v>
      </c>
      <c r="D1087" s="14">
        <f t="shared" si="26"/>
        <v>10.812958333333333</v>
      </c>
      <c r="E1087" s="14">
        <f t="shared" si="26"/>
        <v>10.845383333333332</v>
      </c>
      <c r="F1087" s="14">
        <f t="shared" si="26"/>
        <v>10.670366666666668</v>
      </c>
      <c r="G1087" s="14">
        <f t="shared" si="26"/>
        <v>10.687658333333333</v>
      </c>
      <c r="H1087" s="14">
        <f t="shared" si="26"/>
        <v>10.834499999999998</v>
      </c>
      <c r="I1087" s="14">
        <f t="shared" si="26"/>
        <v>10.709825000000002</v>
      </c>
      <c r="J1087" s="14">
        <f t="shared" si="26"/>
        <v>10.663366666666667</v>
      </c>
      <c r="K1087" s="52">
        <f t="shared" si="26"/>
        <v>10.705925000000001</v>
      </c>
      <c r="L1087" s="14">
        <f t="shared" si="26"/>
        <v>11.4215</v>
      </c>
      <c r="M1087" s="14">
        <f t="shared" si="26"/>
        <v>10.452583333333335</v>
      </c>
      <c r="N1087" s="14">
        <f t="shared" si="26"/>
        <v>10.469483333333335</v>
      </c>
      <c r="O1087" s="14">
        <f t="shared" si="26"/>
        <v>10.620199999999999</v>
      </c>
      <c r="P1087" s="14">
        <f t="shared" si="26"/>
        <v>10.497491666666669</v>
      </c>
      <c r="Q1087" s="14">
        <f t="shared" si="26"/>
        <v>11.2149</v>
      </c>
      <c r="R1087" s="14">
        <f t="shared" si="26"/>
        <v>11.829933333333331</v>
      </c>
      <c r="S1087" s="14">
        <f t="shared" si="26"/>
        <v>10.217308333333333</v>
      </c>
      <c r="T1087" s="48">
        <f>SUM(T217:T228)</f>
        <v>357.24568100000005</v>
      </c>
      <c r="U1087" s="48">
        <f>SUM(U217:U228)</f>
        <v>142.03263249999998</v>
      </c>
      <c r="V1087" s="48">
        <f>SUM(V217:V228)</f>
        <v>50.187500000000007</v>
      </c>
      <c r="W1087" s="48">
        <f>SUM(W217:W228)</f>
        <v>5.0822234999999996</v>
      </c>
      <c r="X1087" s="48">
        <f>SUM(X217:X228)</f>
        <v>20.758966663999999</v>
      </c>
      <c r="Y1087" s="48"/>
      <c r="Z1087" s="14"/>
      <c r="AA1087" s="14"/>
      <c r="AB1087" s="49">
        <f>AVERAGE(AB217:AB228)</f>
        <v>10.688310853702481</v>
      </c>
      <c r="AC1087" s="44">
        <f>AVERAGE(AC217:AC228)</f>
        <v>10.514533093525179</v>
      </c>
    </row>
    <row r="1088" spans="1:29" ht="15.75" x14ac:dyDescent="0.25">
      <c r="A1088" s="10">
        <v>2031</v>
      </c>
      <c r="B1088" s="14">
        <f t="shared" ref="B1088:S1088" si="27">AVERAGE(B229:B240)</f>
        <v>11.096716666666666</v>
      </c>
      <c r="C1088" s="14">
        <f t="shared" si="27"/>
        <v>11.103</v>
      </c>
      <c r="D1088" s="14">
        <f t="shared" si="27"/>
        <v>11.266733333333333</v>
      </c>
      <c r="E1088" s="14">
        <f t="shared" si="27"/>
        <v>11.299149999999999</v>
      </c>
      <c r="F1088" s="14">
        <f t="shared" si="27"/>
        <v>11.124141666666667</v>
      </c>
      <c r="G1088" s="14">
        <f t="shared" si="27"/>
        <v>11.14141666666667</v>
      </c>
      <c r="H1088" s="14">
        <f t="shared" si="27"/>
        <v>11.288266666666667</v>
      </c>
      <c r="I1088" s="14">
        <f t="shared" si="27"/>
        <v>11.165016666666666</v>
      </c>
      <c r="J1088" s="14">
        <f t="shared" si="27"/>
        <v>11.117141666666667</v>
      </c>
      <c r="K1088" s="52">
        <f t="shared" si="27"/>
        <v>11.161124999999998</v>
      </c>
      <c r="L1088" s="14">
        <f t="shared" si="27"/>
        <v>11.875266666666668</v>
      </c>
      <c r="M1088" s="14">
        <f t="shared" si="27"/>
        <v>10.897066666666667</v>
      </c>
      <c r="N1088" s="14">
        <f t="shared" si="27"/>
        <v>10.913983333333334</v>
      </c>
      <c r="O1088" s="14">
        <f t="shared" si="27"/>
        <v>11.064683333333333</v>
      </c>
      <c r="P1088" s="14">
        <f t="shared" si="27"/>
        <v>10.943308333333334</v>
      </c>
      <c r="Q1088" s="14">
        <f t="shared" si="27"/>
        <v>11.659383333333333</v>
      </c>
      <c r="R1088" s="14">
        <f t="shared" si="27"/>
        <v>12.275525</v>
      </c>
      <c r="S1088" s="14">
        <f t="shared" si="27"/>
        <v>10.653333333333331</v>
      </c>
      <c r="T1088" s="48">
        <f>SUM(T229:T240)</f>
        <v>357.24568100000005</v>
      </c>
      <c r="U1088" s="48">
        <f>SUM(U229:U240)</f>
        <v>142.03263249999998</v>
      </c>
      <c r="V1088" s="48">
        <f>SUM(V229:V240)</f>
        <v>50.187500000000007</v>
      </c>
      <c r="W1088" s="48">
        <f>SUM(W229:W240)</f>
        <v>5.0822234999999996</v>
      </c>
      <c r="X1088" s="48">
        <f>SUM(X229:X240)</f>
        <v>20.758966663999999</v>
      </c>
      <c r="Y1088" s="48"/>
      <c r="Z1088" s="14"/>
      <c r="AA1088" s="14"/>
      <c r="AB1088" s="49">
        <f>AVERAGE(AB229:AB240)</f>
        <v>11.142200651187379</v>
      </c>
      <c r="AC1088" s="44">
        <f>AVERAGE(AC229:AC240)</f>
        <v>10.959212110311752</v>
      </c>
    </row>
    <row r="1089" spans="1:29" ht="15.75" x14ac:dyDescent="0.25">
      <c r="A1089" s="10">
        <v>2032</v>
      </c>
      <c r="B1089" s="14">
        <f t="shared" ref="B1089:S1089" si="28">AVERAGE(B241:B252)</f>
        <v>11.526933333333332</v>
      </c>
      <c r="C1089" s="14">
        <f t="shared" si="28"/>
        <v>11.533208333333334</v>
      </c>
      <c r="D1089" s="14">
        <f t="shared" si="28"/>
        <v>11.696958333333333</v>
      </c>
      <c r="E1089" s="14">
        <f t="shared" si="28"/>
        <v>11.729374999999999</v>
      </c>
      <c r="F1089" s="14">
        <f t="shared" si="28"/>
        <v>11.554358333333333</v>
      </c>
      <c r="G1089" s="14">
        <f t="shared" si="28"/>
        <v>11.571616666666666</v>
      </c>
      <c r="H1089" s="14">
        <f t="shared" si="28"/>
        <v>11.718491666666665</v>
      </c>
      <c r="I1089" s="14">
        <f t="shared" si="28"/>
        <v>11.596566666666666</v>
      </c>
      <c r="J1089" s="14">
        <f t="shared" si="28"/>
        <v>11.547358333333333</v>
      </c>
      <c r="K1089" s="52">
        <f t="shared" si="28"/>
        <v>11.592675</v>
      </c>
      <c r="L1089" s="14">
        <f t="shared" si="28"/>
        <v>12.305491666666668</v>
      </c>
      <c r="M1089" s="14">
        <f t="shared" si="28"/>
        <v>11.31845</v>
      </c>
      <c r="N1089" s="14">
        <f t="shared" si="28"/>
        <v>11.335374999999999</v>
      </c>
      <c r="O1089" s="14">
        <f t="shared" si="28"/>
        <v>11.486075</v>
      </c>
      <c r="P1089" s="14">
        <f t="shared" si="28"/>
        <v>11.365991666666666</v>
      </c>
      <c r="Q1089" s="14">
        <f t="shared" si="28"/>
        <v>12.080775000000003</v>
      </c>
      <c r="R1089" s="14">
        <f t="shared" si="28"/>
        <v>12.697983333333335</v>
      </c>
      <c r="S1089" s="14">
        <f t="shared" si="28"/>
        <v>11.066725</v>
      </c>
      <c r="T1089" s="48">
        <f>SUM(T241:T252)</f>
        <v>358.17703550000004</v>
      </c>
      <c r="U1089" s="48">
        <f>SUM(U241:U252)</f>
        <v>142.42176299999997</v>
      </c>
      <c r="V1089" s="48">
        <f>SUM(V241:V252)</f>
        <v>50.325000000000003</v>
      </c>
      <c r="W1089" s="48">
        <f>SUM(W241:W252)</f>
        <v>5.0961473999999995</v>
      </c>
      <c r="X1089" s="48">
        <f>SUM(X241:X252)</f>
        <v>20.800615543999996</v>
      </c>
      <c r="Y1089" s="48"/>
      <c r="Z1089" s="14"/>
      <c r="AA1089" s="14"/>
      <c r="AB1089" s="49">
        <f>AVERAGE(AB241:AB252)</f>
        <v>11.57252498651488</v>
      </c>
      <c r="AC1089" s="44">
        <f>AVERAGE(AC241:AC252)</f>
        <v>11.38078818944844</v>
      </c>
    </row>
    <row r="1090" spans="1:29" ht="15.75" x14ac:dyDescent="0.25">
      <c r="A1090" s="10">
        <v>2033</v>
      </c>
      <c r="B1090" s="14">
        <f t="shared" ref="B1090:S1090" si="29">AVERAGE(B253:B264)</f>
        <v>11.973833333333333</v>
      </c>
      <c r="C1090" s="14">
        <f t="shared" si="29"/>
        <v>11.980091666666667</v>
      </c>
      <c r="D1090" s="14">
        <f t="shared" si="29"/>
        <v>12.143833333333333</v>
      </c>
      <c r="E1090" s="14">
        <f t="shared" si="29"/>
        <v>12.176266666666665</v>
      </c>
      <c r="F1090" s="14">
        <f t="shared" si="29"/>
        <v>12.001258333333334</v>
      </c>
      <c r="G1090" s="14">
        <f t="shared" si="29"/>
        <v>12.018533333333332</v>
      </c>
      <c r="H1090" s="14">
        <f t="shared" si="29"/>
        <v>12.165374999999999</v>
      </c>
      <c r="I1090" s="14">
        <f t="shared" si="29"/>
        <v>12.044874999999999</v>
      </c>
      <c r="J1090" s="14">
        <f t="shared" si="29"/>
        <v>11.994258333333333</v>
      </c>
      <c r="K1090" s="52">
        <f t="shared" si="29"/>
        <v>12.040983333333331</v>
      </c>
      <c r="L1090" s="14">
        <f t="shared" si="29"/>
        <v>12.752375000000001</v>
      </c>
      <c r="M1090" s="14">
        <f t="shared" si="29"/>
        <v>11.756216666666667</v>
      </c>
      <c r="N1090" s="14">
        <f t="shared" si="29"/>
        <v>11.773108333333333</v>
      </c>
      <c r="O1090" s="14">
        <f t="shared" si="29"/>
        <v>11.923816666666669</v>
      </c>
      <c r="P1090" s="14">
        <f t="shared" si="29"/>
        <v>11.805091666666668</v>
      </c>
      <c r="Q1090" s="14">
        <f t="shared" si="29"/>
        <v>12.518516666666663</v>
      </c>
      <c r="R1090" s="14">
        <f t="shared" si="29"/>
        <v>13.136825000000002</v>
      </c>
      <c r="S1090" s="14">
        <f t="shared" si="29"/>
        <v>11.496158333333334</v>
      </c>
      <c r="T1090" s="48">
        <f>SUM(T253:T264)</f>
        <v>357.24568100000005</v>
      </c>
      <c r="U1090" s="48">
        <f>SUM(U253:U264)</f>
        <v>142.03263249999998</v>
      </c>
      <c r="V1090" s="48">
        <f>SUM(V253:V264)</f>
        <v>50.187500000000007</v>
      </c>
      <c r="W1090" s="48">
        <f>SUM(W253:W264)</f>
        <v>5.0822234999999996</v>
      </c>
      <c r="X1090" s="48">
        <f>SUM(X253:X264)</f>
        <v>20.758966663999999</v>
      </c>
      <c r="Y1090" s="48"/>
      <c r="Z1090" s="14"/>
      <c r="AA1090" s="14"/>
      <c r="AB1090" s="49">
        <f>AVERAGE(AB253:AB264)</f>
        <v>12.019536733722559</v>
      </c>
      <c r="AC1090" s="44">
        <f>AVERAGE(AC253:AC264)</f>
        <v>11.818732014388488</v>
      </c>
    </row>
    <row r="1091" spans="1:29" ht="15.75" x14ac:dyDescent="0.25">
      <c r="A1091" s="10">
        <v>2034</v>
      </c>
      <c r="B1091" s="14">
        <f t="shared" ref="B1091:S1091" si="30">AVERAGE(B265:B276)</f>
        <v>12.438083333333331</v>
      </c>
      <c r="C1091" s="14">
        <f t="shared" si="30"/>
        <v>12.44435</v>
      </c>
      <c r="D1091" s="14">
        <f t="shared" si="30"/>
        <v>12.6081</v>
      </c>
      <c r="E1091" s="14">
        <f t="shared" si="30"/>
        <v>12.640516666666668</v>
      </c>
      <c r="F1091" s="14">
        <f t="shared" si="30"/>
        <v>12.465516666666666</v>
      </c>
      <c r="G1091" s="14">
        <f t="shared" si="30"/>
        <v>12.482775000000002</v>
      </c>
      <c r="H1091" s="14">
        <f t="shared" si="30"/>
        <v>12.629633333333333</v>
      </c>
      <c r="I1091" s="14">
        <f t="shared" si="30"/>
        <v>12.510583333333336</v>
      </c>
      <c r="J1091" s="14">
        <f t="shared" si="30"/>
        <v>12.458516666666666</v>
      </c>
      <c r="K1091" s="52">
        <f t="shared" si="30"/>
        <v>12.506691666666667</v>
      </c>
      <c r="L1091" s="14">
        <f t="shared" si="30"/>
        <v>13.216633333333334</v>
      </c>
      <c r="M1091" s="14">
        <f t="shared" si="30"/>
        <v>12.210941666666669</v>
      </c>
      <c r="N1091" s="14">
        <f t="shared" si="30"/>
        <v>12.227833333333331</v>
      </c>
      <c r="O1091" s="14">
        <f t="shared" si="30"/>
        <v>12.378566666666666</v>
      </c>
      <c r="P1091" s="14">
        <f t="shared" si="30"/>
        <v>12.261225000000001</v>
      </c>
      <c r="Q1091" s="14">
        <f t="shared" si="30"/>
        <v>12.973266666666667</v>
      </c>
      <c r="R1091" s="14">
        <f t="shared" si="30"/>
        <v>13.592691666666665</v>
      </c>
      <c r="S1091" s="14">
        <f t="shared" si="30"/>
        <v>11.942233333333332</v>
      </c>
      <c r="T1091" s="48">
        <f>SUM(T265:T276)</f>
        <v>357.24568100000005</v>
      </c>
      <c r="U1091" s="48">
        <f>SUM(U265:U276)</f>
        <v>142.03263249999998</v>
      </c>
      <c r="V1091" s="48">
        <f>SUM(V265:V276)</f>
        <v>50.187500000000007</v>
      </c>
      <c r="W1091" s="48">
        <f>SUM(W265:W276)</f>
        <v>5.0822234999999996</v>
      </c>
      <c r="X1091" s="48">
        <f>SUM(X265:X276)</f>
        <v>20.758966663999999</v>
      </c>
      <c r="Y1091" s="48"/>
      <c r="Z1091" s="14"/>
      <c r="AA1091" s="14"/>
      <c r="AB1091" s="49">
        <f>AVERAGE(AB265:AB276)</f>
        <v>12.48391098692287</v>
      </c>
      <c r="AC1091" s="44">
        <f>AVERAGE(AC265:AC276)</f>
        <v>12.273669544364509</v>
      </c>
    </row>
    <row r="1092" spans="1:29" ht="15.75" x14ac:dyDescent="0.25">
      <c r="A1092" s="10">
        <v>2035</v>
      </c>
      <c r="B1092" s="14">
        <f t="shared" ref="B1092:S1092" si="31">AVERAGE(B277:B288)</f>
        <v>12.920341666666667</v>
      </c>
      <c r="C1092" s="14">
        <f t="shared" si="31"/>
        <v>12.926608333333334</v>
      </c>
      <c r="D1092" s="14">
        <f t="shared" si="31"/>
        <v>13.090366666666666</v>
      </c>
      <c r="E1092" s="14">
        <f t="shared" si="31"/>
        <v>13.122783333333333</v>
      </c>
      <c r="F1092" s="14">
        <f t="shared" si="31"/>
        <v>12.947775</v>
      </c>
      <c r="G1092" s="14">
        <f t="shared" si="31"/>
        <v>12.965041666666666</v>
      </c>
      <c r="H1092" s="14">
        <f t="shared" si="31"/>
        <v>13.111908333333332</v>
      </c>
      <c r="I1092" s="14">
        <f t="shared" si="31"/>
        <v>12.994350000000003</v>
      </c>
      <c r="J1092" s="14">
        <f t="shared" si="31"/>
        <v>12.940775</v>
      </c>
      <c r="K1092" s="52">
        <f t="shared" si="31"/>
        <v>12.990458333333335</v>
      </c>
      <c r="L1092" s="14">
        <f t="shared" si="31"/>
        <v>13.698908333333335</v>
      </c>
      <c r="M1092" s="14">
        <f t="shared" si="31"/>
        <v>12.683316666666668</v>
      </c>
      <c r="N1092" s="14">
        <f t="shared" si="31"/>
        <v>12.700216666666668</v>
      </c>
      <c r="O1092" s="14">
        <f t="shared" si="31"/>
        <v>12.850949999999997</v>
      </c>
      <c r="P1092" s="14">
        <f t="shared" si="31"/>
        <v>12.735049999999999</v>
      </c>
      <c r="Q1092" s="14">
        <f t="shared" si="31"/>
        <v>13.445650000000001</v>
      </c>
      <c r="R1092" s="14">
        <f t="shared" si="31"/>
        <v>14.066258333333332</v>
      </c>
      <c r="S1092" s="14">
        <f t="shared" si="31"/>
        <v>12.40565</v>
      </c>
      <c r="T1092" s="48">
        <f>SUM(T277:T288)</f>
        <v>357.24568100000005</v>
      </c>
      <c r="U1092" s="48">
        <f>SUM(U277:U288)</f>
        <v>142.03263249999998</v>
      </c>
      <c r="V1092" s="48">
        <f>SUM(V277:V288)</f>
        <v>50.187500000000007</v>
      </c>
      <c r="W1092" s="48">
        <f>SUM(W277:W288)</f>
        <v>5.0822234999999996</v>
      </c>
      <c r="X1092" s="48">
        <f>SUM(X277:X288)</f>
        <v>20.758966663999999</v>
      </c>
      <c r="Y1092" s="48"/>
      <c r="Z1092" s="14"/>
      <c r="AA1092" s="14"/>
      <c r="AB1092" s="49">
        <f>AVERAGE(AB277:AB288)</f>
        <v>12.9662965399613</v>
      </c>
      <c r="AC1092" s="44">
        <f>AVERAGE(AC277:AC288)</f>
        <v>12.746255995203837</v>
      </c>
    </row>
    <row r="1093" spans="1:29" ht="15.75" x14ac:dyDescent="0.25">
      <c r="A1093" s="10">
        <v>2036</v>
      </c>
      <c r="B1093" s="14">
        <f t="shared" ref="B1093:S1093" si="32">AVERAGE(B289:B300)</f>
        <v>13.421333333333335</v>
      </c>
      <c r="C1093" s="14">
        <f t="shared" si="32"/>
        <v>13.42759166666667</v>
      </c>
      <c r="D1093" s="14">
        <f t="shared" si="32"/>
        <v>13.591333333333331</v>
      </c>
      <c r="E1093" s="14">
        <f t="shared" si="32"/>
        <v>13.623758333333333</v>
      </c>
      <c r="F1093" s="14">
        <f t="shared" si="32"/>
        <v>13.448741666666669</v>
      </c>
      <c r="G1093" s="14">
        <f t="shared" si="32"/>
        <v>13.466008333333335</v>
      </c>
      <c r="H1093" s="14">
        <f t="shared" si="32"/>
        <v>13.612874999999997</v>
      </c>
      <c r="I1093" s="14">
        <f t="shared" si="32"/>
        <v>13.496900000000002</v>
      </c>
      <c r="J1093" s="14">
        <f t="shared" si="32"/>
        <v>13.441741666666665</v>
      </c>
      <c r="K1093" s="52">
        <f t="shared" si="32"/>
        <v>13.49300833333333</v>
      </c>
      <c r="L1093" s="14">
        <f t="shared" si="32"/>
        <v>14.199875</v>
      </c>
      <c r="M1093" s="14">
        <f t="shared" si="32"/>
        <v>13.174033333333336</v>
      </c>
      <c r="N1093" s="14">
        <f t="shared" si="32"/>
        <v>13.190933333333334</v>
      </c>
      <c r="O1093" s="14">
        <f t="shared" si="32"/>
        <v>13.341658333333333</v>
      </c>
      <c r="P1093" s="14">
        <f t="shared" si="32"/>
        <v>13.227283333333332</v>
      </c>
      <c r="Q1093" s="14">
        <f t="shared" si="32"/>
        <v>13.936358333333333</v>
      </c>
      <c r="R1093" s="14">
        <f t="shared" si="32"/>
        <v>14.558200000000001</v>
      </c>
      <c r="S1093" s="14">
        <f t="shared" si="32"/>
        <v>12.887041666666663</v>
      </c>
      <c r="T1093" s="48">
        <f>SUM(T289:T300)</f>
        <v>358.17703550000004</v>
      </c>
      <c r="U1093" s="48">
        <f>SUM(U289:U300)</f>
        <v>142.42176299999997</v>
      </c>
      <c r="V1093" s="48">
        <f>SUM(V289:V300)</f>
        <v>50.325000000000003</v>
      </c>
      <c r="W1093" s="48">
        <f>SUM(W289:W300)</f>
        <v>5.0961473999999995</v>
      </c>
      <c r="X1093" s="48">
        <f>SUM(X289:X300)</f>
        <v>20.800615543999996</v>
      </c>
      <c r="Y1093" s="48"/>
      <c r="Z1093" s="14"/>
      <c r="AA1093" s="14"/>
      <c r="AB1093" s="49">
        <f>AVERAGE(AB289:AB300)</f>
        <v>13.467401307332489</v>
      </c>
      <c r="AC1093" s="44">
        <f>AVERAGE(AC289:AC300)</f>
        <v>13.237188549160672</v>
      </c>
    </row>
    <row r="1094" spans="1:29" ht="15.75" x14ac:dyDescent="0.25">
      <c r="A1094" s="10">
        <v>2037</v>
      </c>
      <c r="B1094" s="14">
        <f t="shared" ref="B1094:S1094" si="33">AVERAGE(B301:B312)</f>
        <v>13.941749999999999</v>
      </c>
      <c r="C1094" s="14">
        <f t="shared" si="33"/>
        <v>13.948016666666666</v>
      </c>
      <c r="D1094" s="14">
        <f t="shared" si="33"/>
        <v>14.111766666666668</v>
      </c>
      <c r="E1094" s="14">
        <f t="shared" si="33"/>
        <v>14.144183333333332</v>
      </c>
      <c r="F1094" s="14">
        <f t="shared" si="33"/>
        <v>13.969158333333334</v>
      </c>
      <c r="G1094" s="14">
        <f t="shared" si="33"/>
        <v>13.986416666666669</v>
      </c>
      <c r="H1094" s="14">
        <f t="shared" si="33"/>
        <v>14.133308333333332</v>
      </c>
      <c r="I1094" s="14">
        <f t="shared" si="33"/>
        <v>14.018949999999998</v>
      </c>
      <c r="J1094" s="14">
        <f t="shared" si="33"/>
        <v>13.962158333333333</v>
      </c>
      <c r="K1094" s="52">
        <f t="shared" si="33"/>
        <v>14.015058333333334</v>
      </c>
      <c r="L1094" s="14">
        <f t="shared" si="33"/>
        <v>14.720308333333334</v>
      </c>
      <c r="M1094" s="14">
        <f t="shared" si="33"/>
        <v>13.683774999999999</v>
      </c>
      <c r="N1094" s="14">
        <f t="shared" si="33"/>
        <v>13.700691666666666</v>
      </c>
      <c r="O1094" s="14">
        <f t="shared" si="33"/>
        <v>13.851399999999998</v>
      </c>
      <c r="P1094" s="14">
        <f t="shared" si="33"/>
        <v>13.738583333333333</v>
      </c>
      <c r="Q1094" s="14">
        <f t="shared" si="33"/>
        <v>14.446100000000001</v>
      </c>
      <c r="R1094" s="14">
        <f t="shared" si="33"/>
        <v>15.069233333333331</v>
      </c>
      <c r="S1094" s="14">
        <f t="shared" si="33"/>
        <v>13.387108333333336</v>
      </c>
      <c r="T1094" s="48">
        <f>SUM(T301:T312)</f>
        <v>357.24568100000005</v>
      </c>
      <c r="U1094" s="48">
        <f>SUM(U301:U312)</f>
        <v>142.03263249999998</v>
      </c>
      <c r="V1094" s="48">
        <f>SUM(V301:V312)</f>
        <v>50.187500000000007</v>
      </c>
      <c r="W1094" s="48">
        <f>SUM(W301:W312)</f>
        <v>5.0822234999999996</v>
      </c>
      <c r="X1094" s="48">
        <f>SUM(X301:X312)</f>
        <v>20.758966663999999</v>
      </c>
      <c r="Y1094" s="48"/>
      <c r="Z1094" s="14"/>
      <c r="AA1094" s="14"/>
      <c r="AB1094" s="49">
        <f>AVERAGE(AB301:AB312)</f>
        <v>13.987955141340263</v>
      </c>
      <c r="AC1094" s="44">
        <f>AVERAGE(AC301:AC312)</f>
        <v>13.747156834532374</v>
      </c>
    </row>
    <row r="1095" spans="1:29" ht="15.75" x14ac:dyDescent="0.25">
      <c r="A1095" s="10">
        <f t="shared" ref="A1095:A1126" si="34">A1094+1</f>
        <v>2038</v>
      </c>
      <c r="B1095" s="14">
        <f t="shared" ref="B1095:S1095" si="35">AVERAGE(B313:B324)</f>
        <v>14.482349999999999</v>
      </c>
      <c r="C1095" s="14">
        <f t="shared" si="35"/>
        <v>14.488624999999999</v>
      </c>
      <c r="D1095" s="14">
        <f t="shared" si="35"/>
        <v>14.652383333333335</v>
      </c>
      <c r="E1095" s="14">
        <f t="shared" si="35"/>
        <v>14.684800000000001</v>
      </c>
      <c r="F1095" s="14">
        <f t="shared" si="35"/>
        <v>14.509774999999999</v>
      </c>
      <c r="G1095" s="14">
        <f t="shared" si="35"/>
        <v>14.527041666666667</v>
      </c>
      <c r="H1095" s="14">
        <f t="shared" si="35"/>
        <v>14.673925000000002</v>
      </c>
      <c r="I1095" s="14">
        <f t="shared" si="35"/>
        <v>14.561241666666666</v>
      </c>
      <c r="J1095" s="14">
        <f t="shared" si="35"/>
        <v>14.502775</v>
      </c>
      <c r="K1095" s="52">
        <f t="shared" si="35"/>
        <v>14.557358333333333</v>
      </c>
      <c r="L1095" s="14">
        <f t="shared" si="35"/>
        <v>15.260925</v>
      </c>
      <c r="M1095" s="14">
        <f t="shared" si="35"/>
        <v>14.213308333333332</v>
      </c>
      <c r="N1095" s="14">
        <f t="shared" si="35"/>
        <v>14.230225000000003</v>
      </c>
      <c r="O1095" s="14">
        <f t="shared" si="35"/>
        <v>14.380933333333333</v>
      </c>
      <c r="P1095" s="14">
        <f t="shared" si="35"/>
        <v>14.269741666666667</v>
      </c>
      <c r="Q1095" s="14">
        <f t="shared" si="35"/>
        <v>14.975633333333333</v>
      </c>
      <c r="R1095" s="14">
        <f t="shared" si="35"/>
        <v>15.60006666666667</v>
      </c>
      <c r="S1095" s="14">
        <f t="shared" si="35"/>
        <v>13.906566666666668</v>
      </c>
      <c r="T1095" s="48">
        <f>SUM(T313:T324)</f>
        <v>357.24568100000005</v>
      </c>
      <c r="U1095" s="48">
        <f>SUM(U313:U324)</f>
        <v>142.03263249999998</v>
      </c>
      <c r="V1095" s="48">
        <f>SUM(V313:V324)</f>
        <v>50.187500000000007</v>
      </c>
      <c r="W1095" s="48">
        <f>SUM(W313:W324)</f>
        <v>5.0822234999999996</v>
      </c>
      <c r="X1095" s="48">
        <f>SUM(X313:X324)</f>
        <v>20.758966663999999</v>
      </c>
      <c r="Y1095" s="48"/>
      <c r="Z1095" s="14"/>
      <c r="AA1095" s="14"/>
      <c r="AB1095" s="49">
        <f>AVERAGE(AB313:AB324)</f>
        <v>14.528706683834182</v>
      </c>
      <c r="AC1095" s="44">
        <f>AVERAGE(AC313:AC324)</f>
        <v>14.276922541966426</v>
      </c>
    </row>
    <row r="1096" spans="1:29" ht="15.75" x14ac:dyDescent="0.25">
      <c r="A1096" s="10">
        <f t="shared" si="34"/>
        <v>2039</v>
      </c>
      <c r="B1096" s="14">
        <f t="shared" ref="B1096:S1096" si="36">AVERAGE(B325:B336)</f>
        <v>15.043950000000001</v>
      </c>
      <c r="C1096" s="14">
        <f t="shared" si="36"/>
        <v>15.050200000000002</v>
      </c>
      <c r="D1096" s="14">
        <f t="shared" si="36"/>
        <v>15.213949999999999</v>
      </c>
      <c r="E1096" s="14">
        <f t="shared" si="36"/>
        <v>15.246383333333332</v>
      </c>
      <c r="F1096" s="14">
        <f t="shared" si="36"/>
        <v>15.071358333333334</v>
      </c>
      <c r="G1096" s="14">
        <f t="shared" si="36"/>
        <v>15.088633333333336</v>
      </c>
      <c r="H1096" s="14">
        <f t="shared" si="36"/>
        <v>15.235491666666666</v>
      </c>
      <c r="I1096" s="14">
        <f t="shared" si="36"/>
        <v>15.124600000000001</v>
      </c>
      <c r="J1096" s="14">
        <f t="shared" si="36"/>
        <v>15.064358333333331</v>
      </c>
      <c r="K1096" s="52">
        <f t="shared" si="36"/>
        <v>15.120699999999999</v>
      </c>
      <c r="L1096" s="14">
        <f t="shared" si="36"/>
        <v>15.822491666666664</v>
      </c>
      <c r="M1096" s="14">
        <f t="shared" si="36"/>
        <v>14.763408333333331</v>
      </c>
      <c r="N1096" s="14">
        <f t="shared" si="36"/>
        <v>14.780308333333336</v>
      </c>
      <c r="O1096" s="14">
        <f t="shared" si="36"/>
        <v>14.931025</v>
      </c>
      <c r="P1096" s="14">
        <f t="shared" si="36"/>
        <v>14.821533333333333</v>
      </c>
      <c r="Q1096" s="14">
        <f t="shared" si="36"/>
        <v>15.525725</v>
      </c>
      <c r="R1096" s="14">
        <f t="shared" si="36"/>
        <v>16.15154166666667</v>
      </c>
      <c r="S1096" s="14">
        <f t="shared" si="36"/>
        <v>14.446208333333331</v>
      </c>
      <c r="T1096" s="48">
        <f>SUM(T325:T336)</f>
        <v>357.24568100000005</v>
      </c>
      <c r="U1096" s="48">
        <f>SUM(U325:U336)</f>
        <v>142.03263249999998</v>
      </c>
      <c r="V1096" s="48">
        <f>SUM(V325:V336)</f>
        <v>50.187500000000007</v>
      </c>
      <c r="W1096" s="48">
        <f>SUM(W325:W336)</f>
        <v>5.0822234999999996</v>
      </c>
      <c r="X1096" s="48">
        <f>SUM(X325:X336)</f>
        <v>20.758966663999999</v>
      </c>
      <c r="Y1096" s="48"/>
      <c r="Z1096" s="54"/>
      <c r="AA1096" s="53"/>
      <c r="AB1096" s="49">
        <f>AVERAGE(AB325:AB336)</f>
        <v>15.090436009647377</v>
      </c>
      <c r="AC1096" s="44">
        <f>AVERAGE(AC325:AC336)</f>
        <v>14.827261211031177</v>
      </c>
    </row>
    <row r="1097" spans="1:29" ht="15.75" x14ac:dyDescent="0.25">
      <c r="A1097" s="10">
        <f t="shared" si="34"/>
        <v>2040</v>
      </c>
      <c r="B1097" s="14">
        <f t="shared" ref="B1097:S1097" si="37">AVERAGE(B337:B348)</f>
        <v>15.62735</v>
      </c>
      <c r="C1097" s="14">
        <f t="shared" si="37"/>
        <v>15.633599999999999</v>
      </c>
      <c r="D1097" s="14">
        <f t="shared" si="37"/>
        <v>15.797358333333335</v>
      </c>
      <c r="E1097" s="14">
        <f t="shared" si="37"/>
        <v>15.829783333333332</v>
      </c>
      <c r="F1097" s="14">
        <f t="shared" si="37"/>
        <v>15.65475</v>
      </c>
      <c r="G1097" s="14">
        <f t="shared" si="37"/>
        <v>15.672024999999998</v>
      </c>
      <c r="H1097" s="14">
        <f t="shared" si="37"/>
        <v>15.818900000000005</v>
      </c>
      <c r="I1097" s="14">
        <f t="shared" si="37"/>
        <v>15.709808333333333</v>
      </c>
      <c r="J1097" s="14">
        <f t="shared" si="37"/>
        <v>15.647750000000002</v>
      </c>
      <c r="K1097" s="52">
        <f t="shared" si="37"/>
        <v>15.705916666666665</v>
      </c>
      <c r="L1097" s="14">
        <f t="shared" si="37"/>
        <v>16.405899999999999</v>
      </c>
      <c r="M1097" s="14">
        <f t="shared" si="37"/>
        <v>15.334824999999997</v>
      </c>
      <c r="N1097" s="14">
        <f t="shared" si="37"/>
        <v>15.351766666666665</v>
      </c>
      <c r="O1097" s="14">
        <f t="shared" si="37"/>
        <v>15.502458333333331</v>
      </c>
      <c r="P1097" s="14">
        <f t="shared" si="37"/>
        <v>15.394708333333334</v>
      </c>
      <c r="Q1097" s="14">
        <f t="shared" si="37"/>
        <v>16.097158333333333</v>
      </c>
      <c r="R1097" s="14">
        <f t="shared" si="37"/>
        <v>16.724408333333333</v>
      </c>
      <c r="S1097" s="14">
        <f t="shared" si="37"/>
        <v>15.006783333333333</v>
      </c>
      <c r="T1097" s="48">
        <f>SUM(T337:T348)</f>
        <v>358.17703550000004</v>
      </c>
      <c r="U1097" s="48">
        <f>SUM(U337:U348)</f>
        <v>142.42176299999997</v>
      </c>
      <c r="V1097" s="48">
        <f>SUM(V337:V348)</f>
        <v>50.325000000000003</v>
      </c>
      <c r="W1097" s="48">
        <f>SUM(W337:W348)</f>
        <v>5.0961473999999995</v>
      </c>
      <c r="X1097" s="48">
        <f>SUM(X337:X348)</f>
        <v>20.800615543999996</v>
      </c>
      <c r="Y1097" s="48"/>
      <c r="Z1097" s="54"/>
      <c r="AA1097" s="53"/>
      <c r="AB1097" s="49">
        <f>AVERAGE(AB337:AB348)</f>
        <v>15.673982428599436</v>
      </c>
      <c r="AC1097" s="44">
        <f>AVERAGE(AC337:AC348)</f>
        <v>15.398942266187049</v>
      </c>
    </row>
    <row r="1098" spans="1:29" ht="15.75" x14ac:dyDescent="0.25">
      <c r="A1098" s="10">
        <f t="shared" si="34"/>
        <v>2041</v>
      </c>
      <c r="B1098" s="14">
        <f t="shared" ref="B1098:S1098" si="38">AVERAGE(B349:B360)</f>
        <v>16.233358333333332</v>
      </c>
      <c r="C1098" s="14">
        <f t="shared" si="38"/>
        <v>16.239625</v>
      </c>
      <c r="D1098" s="14">
        <f t="shared" si="38"/>
        <v>16.403366666666667</v>
      </c>
      <c r="E1098" s="14">
        <f t="shared" si="38"/>
        <v>16.435774999999996</v>
      </c>
      <c r="F1098" s="14">
        <f t="shared" si="38"/>
        <v>16.260791666666666</v>
      </c>
      <c r="G1098" s="14">
        <f t="shared" si="38"/>
        <v>16.278033333333333</v>
      </c>
      <c r="H1098" s="14">
        <f t="shared" si="38"/>
        <v>16.424908333333335</v>
      </c>
      <c r="I1098" s="14">
        <f t="shared" si="38"/>
        <v>16.317733333333333</v>
      </c>
      <c r="J1098" s="14">
        <f t="shared" si="38"/>
        <v>16.253791666666665</v>
      </c>
      <c r="K1098" s="52">
        <f t="shared" si="38"/>
        <v>16.313850000000002</v>
      </c>
      <c r="L1098" s="14">
        <f t="shared" si="38"/>
        <v>17.011908333333331</v>
      </c>
      <c r="M1098" s="14">
        <f t="shared" si="38"/>
        <v>15.92844166666667</v>
      </c>
      <c r="N1098" s="14">
        <f t="shared" si="38"/>
        <v>15.945358333333331</v>
      </c>
      <c r="O1098" s="14">
        <f t="shared" si="38"/>
        <v>16.096074999999999</v>
      </c>
      <c r="P1098" s="14">
        <f t="shared" si="38"/>
        <v>15.990158333333335</v>
      </c>
      <c r="Q1098" s="14">
        <f t="shared" si="38"/>
        <v>16.690775000000002</v>
      </c>
      <c r="R1098" s="14">
        <f t="shared" si="38"/>
        <v>17.319491666666668</v>
      </c>
      <c r="S1098" s="14">
        <f t="shared" si="38"/>
        <v>15.589125000000001</v>
      </c>
      <c r="T1098" s="48">
        <f>SUM(T349:T360)</f>
        <v>357.24568100000005</v>
      </c>
      <c r="U1098" s="48">
        <f>SUM(U349:U360)</f>
        <v>142.03263249999998</v>
      </c>
      <c r="V1098" s="48">
        <f>SUM(V349:V360)</f>
        <v>50.187500000000007</v>
      </c>
      <c r="W1098" s="48">
        <f>SUM(W349:W360)</f>
        <v>5.0822234999999996</v>
      </c>
      <c r="X1098" s="48">
        <f>SUM(X349:X360)</f>
        <v>20.758966663999999</v>
      </c>
      <c r="Y1098" s="48"/>
      <c r="Z1098" s="54"/>
      <c r="AA1098" s="53"/>
      <c r="AB1098" s="49">
        <f>AVERAGE(AB349:AB360)</f>
        <v>16.280161202641931</v>
      </c>
      <c r="AC1098" s="44">
        <f>AVERAGE(AC349:AC360)</f>
        <v>15.992821282973621</v>
      </c>
    </row>
    <row r="1099" spans="1:29" ht="15.75" x14ac:dyDescent="0.25">
      <c r="A1099" s="10">
        <f t="shared" si="34"/>
        <v>2042</v>
      </c>
      <c r="B1099" s="14">
        <f t="shared" ref="B1099:S1099" si="39">AVERAGE(B361:B372)</f>
        <v>16.8629</v>
      </c>
      <c r="C1099" s="14">
        <f t="shared" si="39"/>
        <v>16.869175000000002</v>
      </c>
      <c r="D1099" s="14">
        <f t="shared" si="39"/>
        <v>17.032908333333332</v>
      </c>
      <c r="E1099" s="14">
        <f t="shared" si="39"/>
        <v>17.065349999999999</v>
      </c>
      <c r="F1099" s="14">
        <f t="shared" si="39"/>
        <v>16.89030833333333</v>
      </c>
      <c r="G1099" s="14">
        <f t="shared" si="39"/>
        <v>16.907616666666666</v>
      </c>
      <c r="H1099" s="14">
        <f t="shared" si="39"/>
        <v>17.054449999999999</v>
      </c>
      <c r="I1099" s="14">
        <f t="shared" si="39"/>
        <v>16.949258333333333</v>
      </c>
      <c r="J1099" s="14">
        <f t="shared" si="39"/>
        <v>16.883308333333328</v>
      </c>
      <c r="K1099" s="52">
        <f t="shared" si="39"/>
        <v>16.945366666666668</v>
      </c>
      <c r="L1099" s="14">
        <f t="shared" si="39"/>
        <v>17.641449999999999</v>
      </c>
      <c r="M1099" s="14">
        <f t="shared" si="39"/>
        <v>16.545075000000001</v>
      </c>
      <c r="N1099" s="14">
        <f t="shared" si="39"/>
        <v>16.562000000000001</v>
      </c>
      <c r="O1099" s="14">
        <f t="shared" si="39"/>
        <v>16.712725000000002</v>
      </c>
      <c r="P1099" s="14">
        <f t="shared" si="39"/>
        <v>16.608691666666669</v>
      </c>
      <c r="Q1099" s="14">
        <f t="shared" si="39"/>
        <v>17.307424999999999</v>
      </c>
      <c r="R1099" s="14">
        <f t="shared" si="39"/>
        <v>17.937683333333336</v>
      </c>
      <c r="S1099" s="14">
        <f t="shared" si="39"/>
        <v>16.194033333333334</v>
      </c>
      <c r="T1099" s="48">
        <f>SUM(T361:T372)</f>
        <v>357.24568100000005</v>
      </c>
      <c r="U1099" s="48">
        <f>SUM(U361:U372)</f>
        <v>142.03263249999998</v>
      </c>
      <c r="V1099" s="48">
        <f>SUM(V361:V372)</f>
        <v>50.187500000000007</v>
      </c>
      <c r="W1099" s="48">
        <f>SUM(W361:W372)</f>
        <v>5.0822234999999996</v>
      </c>
      <c r="X1099" s="48">
        <f>SUM(X361:X372)</f>
        <v>20.758966663999999</v>
      </c>
      <c r="Y1099" s="48"/>
      <c r="Z1099" s="54"/>
      <c r="AA1099" s="53"/>
      <c r="AB1099" s="49">
        <f>AVERAGE(AB361:AB372)</f>
        <v>16.909868347859955</v>
      </c>
      <c r="AC1099" s="44">
        <f>AVERAGE(AC361:AC372)</f>
        <v>16.609734592326138</v>
      </c>
    </row>
    <row r="1100" spans="1:29" ht="15.75" x14ac:dyDescent="0.25">
      <c r="A1100" s="10">
        <f t="shared" si="34"/>
        <v>2043</v>
      </c>
      <c r="B1100" s="14">
        <f t="shared" ref="B1100:S1100" si="40">AVERAGE(B373:B384)</f>
        <v>17.516883333333336</v>
      </c>
      <c r="C1100" s="14">
        <f t="shared" si="40"/>
        <v>17.523150000000001</v>
      </c>
      <c r="D1100" s="14">
        <f t="shared" si="40"/>
        <v>17.686891666666661</v>
      </c>
      <c r="E1100" s="14">
        <f t="shared" si="40"/>
        <v>17.719308333333331</v>
      </c>
      <c r="F1100" s="14">
        <f t="shared" si="40"/>
        <v>17.544291666666666</v>
      </c>
      <c r="G1100" s="14">
        <f t="shared" si="40"/>
        <v>17.561558333333334</v>
      </c>
      <c r="H1100" s="14">
        <f t="shared" si="40"/>
        <v>17.708441666666669</v>
      </c>
      <c r="I1100" s="14">
        <f t="shared" si="40"/>
        <v>17.605275000000002</v>
      </c>
      <c r="J1100" s="14">
        <f t="shared" si="40"/>
        <v>17.537291666666665</v>
      </c>
      <c r="K1100" s="52">
        <f t="shared" si="40"/>
        <v>17.601391666666668</v>
      </c>
      <c r="L1100" s="14">
        <f t="shared" si="40"/>
        <v>18.295441666666665</v>
      </c>
      <c r="M1100" s="14">
        <f t="shared" si="40"/>
        <v>17.185666666666666</v>
      </c>
      <c r="N1100" s="14">
        <f t="shared" si="40"/>
        <v>17.202574999999996</v>
      </c>
      <c r="O1100" s="14">
        <f t="shared" si="40"/>
        <v>17.353283333333334</v>
      </c>
      <c r="P1100" s="14">
        <f t="shared" si="40"/>
        <v>17.251216666666668</v>
      </c>
      <c r="Q1100" s="14">
        <f t="shared" si="40"/>
        <v>17.947983333333333</v>
      </c>
      <c r="R1100" s="14">
        <f t="shared" si="40"/>
        <v>18.579858333333334</v>
      </c>
      <c r="S1100" s="14">
        <f t="shared" si="40"/>
        <v>16.822458333333334</v>
      </c>
      <c r="T1100" s="48">
        <f>SUM(T373:T384)</f>
        <v>357.24568100000005</v>
      </c>
      <c r="U1100" s="48">
        <f>SUM(U373:U384)</f>
        <v>142.03263249999998</v>
      </c>
      <c r="V1100" s="48">
        <f>SUM(V373:V384)</f>
        <v>50.187500000000007</v>
      </c>
      <c r="W1100" s="48">
        <f>SUM(W373:W384)</f>
        <v>5.0822234999999996</v>
      </c>
      <c r="X1100" s="48">
        <f>SUM(X373:X384)</f>
        <v>20.758966663999999</v>
      </c>
      <c r="Y1100" s="48"/>
      <c r="Z1100" s="54"/>
      <c r="AA1100" s="53"/>
      <c r="AB1100" s="49">
        <f>AVERAGE(AB373:AB384)</f>
        <v>17.564010427027792</v>
      </c>
      <c r="AC1100" s="44">
        <f>AVERAGE(AC373:AC384)</f>
        <v>17.250591247002401</v>
      </c>
    </row>
    <row r="1101" spans="1:29" ht="15.75" x14ac:dyDescent="0.25">
      <c r="A1101" s="10">
        <f t="shared" si="34"/>
        <v>2044</v>
      </c>
      <c r="B1101" s="14">
        <f t="shared" ref="B1101:S1101" si="41">AVERAGE(B385:B396)</f>
        <v>18.196225000000002</v>
      </c>
      <c r="C1101" s="14">
        <f t="shared" si="41"/>
        <v>18.202508333333331</v>
      </c>
      <c r="D1101" s="14">
        <f t="shared" si="41"/>
        <v>18.366241666666664</v>
      </c>
      <c r="E1101" s="14">
        <f t="shared" si="41"/>
        <v>18.398658333333334</v>
      </c>
      <c r="F1101" s="14">
        <f t="shared" si="41"/>
        <v>18.223649999999999</v>
      </c>
      <c r="G1101" s="14">
        <f t="shared" si="41"/>
        <v>18.240925000000001</v>
      </c>
      <c r="H1101" s="14">
        <f t="shared" si="41"/>
        <v>18.387783333333335</v>
      </c>
      <c r="I1101" s="14">
        <f t="shared" si="41"/>
        <v>18.286749999999998</v>
      </c>
      <c r="J1101" s="14">
        <f t="shared" si="41"/>
        <v>18.216650000000001</v>
      </c>
      <c r="K1101" s="52">
        <f t="shared" si="41"/>
        <v>18.282866666666667</v>
      </c>
      <c r="L1101" s="14">
        <f t="shared" si="41"/>
        <v>18.974783333333331</v>
      </c>
      <c r="M1101" s="14">
        <f t="shared" si="41"/>
        <v>17.851099999999999</v>
      </c>
      <c r="N1101" s="14">
        <f t="shared" si="41"/>
        <v>17.868016666666666</v>
      </c>
      <c r="O1101" s="14">
        <f t="shared" si="41"/>
        <v>18.018733333333333</v>
      </c>
      <c r="P1101" s="14">
        <f t="shared" si="41"/>
        <v>17.918691666666668</v>
      </c>
      <c r="Q1101" s="14">
        <f t="shared" si="41"/>
        <v>18.613433333333337</v>
      </c>
      <c r="R1101" s="14">
        <f t="shared" si="41"/>
        <v>19.246966666666669</v>
      </c>
      <c r="S1101" s="14">
        <f t="shared" si="41"/>
        <v>17.475233333333335</v>
      </c>
      <c r="T1101" s="48">
        <f>SUM(T385:T396)</f>
        <v>358.17703550000004</v>
      </c>
      <c r="U1101" s="48">
        <f>SUM(U385:U396)</f>
        <v>142.42176299999997</v>
      </c>
      <c r="V1101" s="48">
        <f>SUM(V385:V396)</f>
        <v>50.325000000000003</v>
      </c>
      <c r="W1101" s="48">
        <f>SUM(W385:W396)</f>
        <v>5.0961473999999995</v>
      </c>
      <c r="X1101" s="48">
        <f>SUM(X385:X396)</f>
        <v>20.800615543999996</v>
      </c>
      <c r="Y1101" s="48"/>
      <c r="Z1101" s="54"/>
      <c r="AA1101" s="53"/>
      <c r="AB1101" s="49">
        <f>AVERAGE(AB385:AB396)</f>
        <v>18.243541174483443</v>
      </c>
      <c r="AC1101" s="44">
        <f>AVERAGE(AC385:AC396)</f>
        <v>17.916323501199042</v>
      </c>
    </row>
    <row r="1102" spans="1:29" ht="15.75" x14ac:dyDescent="0.25">
      <c r="A1102" s="10">
        <f t="shared" si="34"/>
        <v>2045</v>
      </c>
      <c r="B1102" s="14">
        <f t="shared" ref="B1102:S1102" si="42">AVERAGE(B397:B408)</f>
        <v>18.901941666666666</v>
      </c>
      <c r="C1102" s="14">
        <f t="shared" si="42"/>
        <v>18.908225000000002</v>
      </c>
      <c r="D1102" s="14">
        <f t="shared" si="42"/>
        <v>19.071958333333331</v>
      </c>
      <c r="E1102" s="14">
        <f t="shared" si="42"/>
        <v>19.104383333333335</v>
      </c>
      <c r="F1102" s="14">
        <f t="shared" si="42"/>
        <v>18.929358333333333</v>
      </c>
      <c r="G1102" s="14">
        <f t="shared" si="42"/>
        <v>18.946650000000002</v>
      </c>
      <c r="H1102" s="14">
        <f t="shared" si="42"/>
        <v>19.093500000000002</v>
      </c>
      <c r="I1102" s="14">
        <f t="shared" si="42"/>
        <v>18.994683333333331</v>
      </c>
      <c r="J1102" s="14">
        <f t="shared" si="42"/>
        <v>18.922358333333332</v>
      </c>
      <c r="K1102" s="52">
        <f t="shared" si="42"/>
        <v>18.99079166666667</v>
      </c>
      <c r="L1102" s="14">
        <f t="shared" si="42"/>
        <v>19.680499999999999</v>
      </c>
      <c r="M1102" s="14">
        <f t="shared" si="42"/>
        <v>18.542349999999995</v>
      </c>
      <c r="N1102" s="14">
        <f t="shared" si="42"/>
        <v>18.559250000000002</v>
      </c>
      <c r="O1102" s="14">
        <f t="shared" si="42"/>
        <v>18.709974999999996</v>
      </c>
      <c r="P1102" s="14">
        <f t="shared" si="42"/>
        <v>18.612066666666664</v>
      </c>
      <c r="Q1102" s="14">
        <f t="shared" si="42"/>
        <v>19.304675</v>
      </c>
      <c r="R1102" s="14">
        <f t="shared" si="42"/>
        <v>19.939933333333332</v>
      </c>
      <c r="S1102" s="14">
        <f t="shared" si="42"/>
        <v>18.153366666666663</v>
      </c>
      <c r="T1102" s="48">
        <f>SUM(T397:T408)</f>
        <v>357.24568100000005</v>
      </c>
      <c r="U1102" s="48">
        <f>SUM(U397:U408)</f>
        <v>142.03263249999998</v>
      </c>
      <c r="V1102" s="48">
        <f>SUM(V397:V408)</f>
        <v>50.187500000000007</v>
      </c>
      <c r="W1102" s="48">
        <f>SUM(W397:W408)</f>
        <v>5.0822234999999996</v>
      </c>
      <c r="X1102" s="48">
        <f>SUM(X397:X408)</f>
        <v>20.758966663999999</v>
      </c>
      <c r="Y1102" s="48"/>
      <c r="Z1102" s="54"/>
      <c r="AA1102" s="53"/>
      <c r="AB1102" s="49">
        <f>AVERAGE(AB397:AB408)</f>
        <v>18.949439525934878</v>
      </c>
      <c r="AC1102" s="44">
        <f>AVERAGE(AC397:AC408)</f>
        <v>18.607873081534766</v>
      </c>
    </row>
    <row r="1103" spans="1:29" ht="15.75" x14ac:dyDescent="0.25">
      <c r="A1103" s="10">
        <f t="shared" si="34"/>
        <v>2046</v>
      </c>
      <c r="B1103" s="14">
        <f t="shared" ref="B1103:S1103" si="43">AVERAGE(B409:B420)</f>
        <v>19.635041666666666</v>
      </c>
      <c r="C1103" s="14">
        <f t="shared" si="43"/>
        <v>19.641325000000002</v>
      </c>
      <c r="D1103" s="14">
        <f t="shared" si="43"/>
        <v>19.805058333333335</v>
      </c>
      <c r="E1103" s="14">
        <f t="shared" si="43"/>
        <v>19.837483333333335</v>
      </c>
      <c r="F1103" s="14">
        <f t="shared" si="43"/>
        <v>19.662466666666667</v>
      </c>
      <c r="G1103" s="14">
        <f t="shared" si="43"/>
        <v>19.679741666666668</v>
      </c>
      <c r="H1103" s="14">
        <f t="shared" si="43"/>
        <v>19.826599999999999</v>
      </c>
      <c r="I1103" s="14">
        <f t="shared" si="43"/>
        <v>19.730074999999999</v>
      </c>
      <c r="J1103" s="14">
        <f t="shared" si="43"/>
        <v>19.655466666666669</v>
      </c>
      <c r="K1103" s="52">
        <f t="shared" si="43"/>
        <v>19.726191666666665</v>
      </c>
      <c r="L1103" s="14">
        <f t="shared" si="43"/>
        <v>20.413600000000002</v>
      </c>
      <c r="M1103" s="14">
        <f t="shared" si="43"/>
        <v>19.260433333333332</v>
      </c>
      <c r="N1103" s="14">
        <f t="shared" si="43"/>
        <v>19.277341666666668</v>
      </c>
      <c r="O1103" s="14">
        <f t="shared" si="43"/>
        <v>19.428058333333333</v>
      </c>
      <c r="P1103" s="14">
        <f t="shared" si="43"/>
        <v>19.332341666666668</v>
      </c>
      <c r="Q1103" s="14">
        <f t="shared" si="43"/>
        <v>20.022758333333336</v>
      </c>
      <c r="R1103" s="14">
        <f t="shared" si="43"/>
        <v>20.659825000000001</v>
      </c>
      <c r="S1103" s="14">
        <f t="shared" si="43"/>
        <v>18.857808333333331</v>
      </c>
      <c r="T1103" s="48">
        <f>SUM(T409:T420)</f>
        <v>357.24568100000005</v>
      </c>
      <c r="U1103" s="48">
        <f>SUM(U409:U420)</f>
        <v>142.03263249999998</v>
      </c>
      <c r="V1103" s="48">
        <f>SUM(V409:V420)</f>
        <v>50.187500000000007</v>
      </c>
      <c r="W1103" s="48">
        <f>SUM(W409:W420)</f>
        <v>5.0822234999999996</v>
      </c>
      <c r="X1103" s="48">
        <f>SUM(X409:X420)</f>
        <v>20.758966663999999</v>
      </c>
      <c r="Y1103" s="48"/>
      <c r="Z1103" s="54"/>
      <c r="AA1103" s="53"/>
      <c r="AB1103" s="49">
        <f>AVERAGE(AB409:AB420)</f>
        <v>19.682730373352602</v>
      </c>
      <c r="AC1103" s="44">
        <f>AVERAGE(AC409:AC420)</f>
        <v>19.326272242206233</v>
      </c>
    </row>
    <row r="1104" spans="1:29" ht="15.75" x14ac:dyDescent="0.25">
      <c r="A1104" s="10">
        <f t="shared" si="34"/>
        <v>2047</v>
      </c>
      <c r="B1104" s="14">
        <f t="shared" ref="B1104:S1104" si="44">AVERAGE(B421:B432)</f>
        <v>20.396583333333336</v>
      </c>
      <c r="C1104" s="14">
        <f t="shared" si="44"/>
        <v>20.402866666666668</v>
      </c>
      <c r="D1104" s="14">
        <f t="shared" si="44"/>
        <v>20.566624999999998</v>
      </c>
      <c r="E1104" s="14">
        <f t="shared" si="44"/>
        <v>20.599033333333338</v>
      </c>
      <c r="F1104" s="14">
        <f t="shared" si="44"/>
        <v>20.424008333333333</v>
      </c>
      <c r="G1104" s="14">
        <f t="shared" si="44"/>
        <v>20.441300000000002</v>
      </c>
      <c r="H1104" s="14">
        <f t="shared" si="44"/>
        <v>20.588150000000002</v>
      </c>
      <c r="I1104" s="14">
        <f t="shared" si="44"/>
        <v>20.49400833333333</v>
      </c>
      <c r="J1104" s="14">
        <f t="shared" si="44"/>
        <v>20.417008333333332</v>
      </c>
      <c r="K1104" s="52">
        <f t="shared" si="44"/>
        <v>20.490124999999999</v>
      </c>
      <c r="L1104" s="14">
        <f t="shared" si="44"/>
        <v>21.175149999999999</v>
      </c>
      <c r="M1104" s="14">
        <f t="shared" si="44"/>
        <v>20.006375000000002</v>
      </c>
      <c r="N1104" s="14">
        <f t="shared" si="44"/>
        <v>20.023299999999999</v>
      </c>
      <c r="O1104" s="14">
        <f t="shared" si="44"/>
        <v>20.17400833333333</v>
      </c>
      <c r="P1104" s="14">
        <f t="shared" si="44"/>
        <v>20.080591666666667</v>
      </c>
      <c r="Q1104" s="14">
        <f t="shared" si="44"/>
        <v>20.768708333333333</v>
      </c>
      <c r="R1104" s="14">
        <f t="shared" si="44"/>
        <v>21.407624999999999</v>
      </c>
      <c r="S1104" s="14">
        <f t="shared" si="44"/>
        <v>19.589591666666667</v>
      </c>
      <c r="T1104" s="48">
        <f>SUM(T421:T432)</f>
        <v>357.24568100000005</v>
      </c>
      <c r="U1104" s="48">
        <f>SUM(U421:U432)</f>
        <v>142.03263249999998</v>
      </c>
      <c r="V1104" s="48">
        <f>SUM(V421:V432)</f>
        <v>50.187500000000007</v>
      </c>
      <c r="W1104" s="48">
        <f>SUM(W421:W432)</f>
        <v>5.0822234999999996</v>
      </c>
      <c r="X1104" s="48">
        <f>SUM(X421:X432)</f>
        <v>20.758966663999999</v>
      </c>
      <c r="Y1104" s="48"/>
      <c r="Z1104" s="54"/>
      <c r="AA1104" s="53"/>
      <c r="AB1104" s="49">
        <f>AVERAGE(AB421:AB432)</f>
        <v>20.444472639060042</v>
      </c>
      <c r="AC1104" s="44">
        <f>AVERAGE(AC421:AC432)</f>
        <v>20.072555095923263</v>
      </c>
    </row>
    <row r="1105" spans="1:29" ht="15.75" x14ac:dyDescent="0.25">
      <c r="A1105" s="10">
        <f t="shared" si="34"/>
        <v>2048</v>
      </c>
      <c r="B1105" s="14">
        <f t="shared" ref="B1105:S1105" si="45">AVERAGE(B433:B444)</f>
        <v>21.187708333333333</v>
      </c>
      <c r="C1105" s="14">
        <f t="shared" si="45"/>
        <v>21.193974999999998</v>
      </c>
      <c r="D1105" s="14">
        <f t="shared" si="45"/>
        <v>21.357716666666665</v>
      </c>
      <c r="E1105" s="14">
        <f t="shared" si="45"/>
        <v>21.390133333333335</v>
      </c>
      <c r="F1105" s="14">
        <f t="shared" si="45"/>
        <v>21.215125</v>
      </c>
      <c r="G1105" s="14">
        <f t="shared" si="45"/>
        <v>21.232408333333332</v>
      </c>
      <c r="H1105" s="14">
        <f t="shared" si="45"/>
        <v>21.379258333333336</v>
      </c>
      <c r="I1105" s="14">
        <f t="shared" si="45"/>
        <v>21.287591666666675</v>
      </c>
      <c r="J1105" s="14">
        <f t="shared" si="45"/>
        <v>21.208124999999999</v>
      </c>
      <c r="K1105" s="52">
        <f t="shared" si="45"/>
        <v>21.2837</v>
      </c>
      <c r="L1105" s="14">
        <f t="shared" si="45"/>
        <v>21.966258333333332</v>
      </c>
      <c r="M1105" s="14">
        <f t="shared" si="45"/>
        <v>20.781275000000004</v>
      </c>
      <c r="N1105" s="14">
        <f t="shared" si="45"/>
        <v>20.798199999999998</v>
      </c>
      <c r="O1105" s="14">
        <f t="shared" si="45"/>
        <v>20.948891666666665</v>
      </c>
      <c r="P1105" s="14">
        <f t="shared" si="45"/>
        <v>20.857858333333329</v>
      </c>
      <c r="Q1105" s="14">
        <f t="shared" si="45"/>
        <v>21.543591666666668</v>
      </c>
      <c r="R1105" s="14">
        <f t="shared" si="45"/>
        <v>22.184458333333328</v>
      </c>
      <c r="S1105" s="14">
        <f t="shared" si="45"/>
        <v>20.34975833333333</v>
      </c>
      <c r="T1105" s="48">
        <f>SUM(T433:T444)</f>
        <v>358.17703550000004</v>
      </c>
      <c r="U1105" s="48">
        <f>SUM(U433:U444)</f>
        <v>142.42176299999997</v>
      </c>
      <c r="V1105" s="48">
        <f>SUM(V433:V444)</f>
        <v>50.325000000000003</v>
      </c>
      <c r="W1105" s="48">
        <f>SUM(W433:W444)</f>
        <v>5.0961473999999995</v>
      </c>
      <c r="X1105" s="48">
        <f>SUM(X433:X444)</f>
        <v>20.800615543999996</v>
      </c>
      <c r="Y1105" s="48"/>
      <c r="Z1105" s="54"/>
      <c r="AA1105" s="53"/>
      <c r="AB1105" s="49">
        <f>AVERAGE(AB433:AB444)</f>
        <v>21.235788580846798</v>
      </c>
      <c r="AC1105" s="44">
        <f>AVERAGE(AC433:AC444)</f>
        <v>20.847786630695442</v>
      </c>
    </row>
    <row r="1106" spans="1:29" ht="15.75" x14ac:dyDescent="0.25">
      <c r="A1106" s="10">
        <f t="shared" si="34"/>
        <v>2049</v>
      </c>
      <c r="B1106" s="14">
        <f t="shared" ref="B1106:S1106" si="46">AVERAGE(B445:B456)</f>
        <v>22.009508333333333</v>
      </c>
      <c r="C1106" s="14">
        <f t="shared" si="46"/>
        <v>22.015766666666668</v>
      </c>
      <c r="D1106" s="14">
        <f t="shared" si="46"/>
        <v>22.179516666666668</v>
      </c>
      <c r="E1106" s="14">
        <f t="shared" si="46"/>
        <v>22.211933333333331</v>
      </c>
      <c r="F1106" s="14">
        <f t="shared" si="46"/>
        <v>22.036924999999997</v>
      </c>
      <c r="G1106" s="14">
        <f t="shared" si="46"/>
        <v>22.054191666666668</v>
      </c>
      <c r="H1106" s="14">
        <f t="shared" si="46"/>
        <v>22.201049999999999</v>
      </c>
      <c r="I1106" s="14">
        <f t="shared" si="46"/>
        <v>22.111966666666664</v>
      </c>
      <c r="J1106" s="14">
        <f t="shared" si="46"/>
        <v>22.029925000000002</v>
      </c>
      <c r="K1106" s="52">
        <f t="shared" si="46"/>
        <v>22.108074999999999</v>
      </c>
      <c r="L1106" s="14">
        <f t="shared" si="46"/>
        <v>22.788049999999998</v>
      </c>
      <c r="M1106" s="14">
        <f t="shared" si="46"/>
        <v>21.586233333333336</v>
      </c>
      <c r="N1106" s="14">
        <f t="shared" si="46"/>
        <v>21.60316666666667</v>
      </c>
      <c r="O1106" s="14">
        <f t="shared" si="46"/>
        <v>21.753874999999997</v>
      </c>
      <c r="P1106" s="14">
        <f t="shared" si="46"/>
        <v>21.665291666666665</v>
      </c>
      <c r="Q1106" s="14">
        <f t="shared" si="46"/>
        <v>22.348575</v>
      </c>
      <c r="R1106" s="14">
        <f t="shared" si="46"/>
        <v>22.99145</v>
      </c>
      <c r="S1106" s="14">
        <f t="shared" si="46"/>
        <v>21.139416666666666</v>
      </c>
      <c r="T1106" s="48">
        <f>SUM(T445:T456)</f>
        <v>357.24568100000005</v>
      </c>
      <c r="U1106" s="48">
        <f>SUM(U445:U456)</f>
        <v>142.03263249999998</v>
      </c>
      <c r="V1106" s="48">
        <f>SUM(V445:V456)</f>
        <v>50.187500000000007</v>
      </c>
      <c r="W1106" s="48">
        <f>SUM(W445:W456)</f>
        <v>5.0822234999999996</v>
      </c>
      <c r="X1106" s="48">
        <f>SUM(X445:X456)</f>
        <v>20.758966663999999</v>
      </c>
      <c r="Y1106" s="48"/>
      <c r="Z1106" s="54"/>
      <c r="AA1106" s="53"/>
      <c r="AB1106" s="49">
        <f>AVERAGE(AB445:AB456)</f>
        <v>22.057795951880319</v>
      </c>
      <c r="AC1106" s="44">
        <f>AVERAGE(AC445:AC456)</f>
        <v>21.653112889688245</v>
      </c>
    </row>
    <row r="1107" spans="1:29" ht="15.75" x14ac:dyDescent="0.25">
      <c r="A1107" s="10">
        <f t="shared" si="34"/>
        <v>2050</v>
      </c>
      <c r="B1107" s="14">
        <f t="shared" ref="B1107:S1107" si="47">AVERAGE(B457:B468)</f>
        <v>22.863200000000003</v>
      </c>
      <c r="C1107" s="14">
        <f t="shared" si="47"/>
        <v>22.869458333333331</v>
      </c>
      <c r="D1107" s="14">
        <f t="shared" si="47"/>
        <v>23.033208333333334</v>
      </c>
      <c r="E1107" s="14">
        <f t="shared" si="47"/>
        <v>23.065650000000002</v>
      </c>
      <c r="F1107" s="14">
        <f t="shared" si="47"/>
        <v>22.89061666666667</v>
      </c>
      <c r="G1107" s="14">
        <f t="shared" si="47"/>
        <v>22.907908333333328</v>
      </c>
      <c r="H1107" s="14">
        <f t="shared" si="47"/>
        <v>23.054749999999999</v>
      </c>
      <c r="I1107" s="14">
        <f t="shared" si="47"/>
        <v>22.968333333333334</v>
      </c>
      <c r="J1107" s="14">
        <f t="shared" si="47"/>
        <v>22.883616666666668</v>
      </c>
      <c r="K1107" s="52">
        <f t="shared" si="47"/>
        <v>22.964441666666669</v>
      </c>
      <c r="L1107" s="14">
        <f t="shared" si="47"/>
        <v>23.641750000000002</v>
      </c>
      <c r="M1107" s="14">
        <f t="shared" si="47"/>
        <v>22.422458333333335</v>
      </c>
      <c r="N1107" s="14">
        <f t="shared" si="47"/>
        <v>22.439366666666668</v>
      </c>
      <c r="O1107" s="14">
        <f t="shared" si="47"/>
        <v>22.590074999999999</v>
      </c>
      <c r="P1107" s="14">
        <f t="shared" si="47"/>
        <v>22.504066666666663</v>
      </c>
      <c r="Q1107" s="14">
        <f t="shared" si="47"/>
        <v>23.184775000000002</v>
      </c>
      <c r="R1107" s="14">
        <f t="shared" si="47"/>
        <v>23.829733333333333</v>
      </c>
      <c r="S1107" s="14">
        <f t="shared" si="47"/>
        <v>21.959741666666662</v>
      </c>
      <c r="T1107" s="48">
        <f>SUM(T457:T468)</f>
        <v>357.24568100000005</v>
      </c>
      <c r="U1107" s="48">
        <f>SUM(U457:U468)</f>
        <v>142.03263249999998</v>
      </c>
      <c r="V1107" s="48">
        <f>SUM(V457:V468)</f>
        <v>50.187500000000007</v>
      </c>
      <c r="W1107" s="48">
        <f>SUM(W457:W468)</f>
        <v>5.0822234999999996</v>
      </c>
      <c r="X1107" s="48">
        <f>SUM(X457:X468)</f>
        <v>20.758966663999999</v>
      </c>
      <c r="Y1107" s="48"/>
      <c r="Z1107" s="54"/>
      <c r="AA1107" s="53"/>
      <c r="AB1107" s="49">
        <f>AVERAGE(AB457:AB468)</f>
        <v>22.911712552213888</v>
      </c>
      <c r="AC1107" s="44">
        <f>AVERAGE(AC457:AC468)</f>
        <v>22.489690587529978</v>
      </c>
    </row>
    <row r="1108" spans="1:29" ht="15.75" x14ac:dyDescent="0.25">
      <c r="A1108" s="10">
        <f t="shared" si="34"/>
        <v>2051</v>
      </c>
      <c r="B1108" s="14">
        <f t="shared" ref="B1108:S1108" si="48">AVERAGE(B469:B480)</f>
        <v>23.750033333333331</v>
      </c>
      <c r="C1108" s="14">
        <f t="shared" si="48"/>
        <v>23.756283333333339</v>
      </c>
      <c r="D1108" s="14">
        <f t="shared" si="48"/>
        <v>23.920041666666663</v>
      </c>
      <c r="E1108" s="14">
        <f t="shared" si="48"/>
        <v>23.952458333333336</v>
      </c>
      <c r="F1108" s="14">
        <f t="shared" si="48"/>
        <v>23.777433333333335</v>
      </c>
      <c r="G1108" s="14">
        <f t="shared" si="48"/>
        <v>23.79471666666667</v>
      </c>
      <c r="H1108" s="14">
        <f t="shared" si="48"/>
        <v>23.94158333333333</v>
      </c>
      <c r="I1108" s="14">
        <f t="shared" si="48"/>
        <v>23.857958333333332</v>
      </c>
      <c r="J1108" s="14">
        <f t="shared" si="48"/>
        <v>23.77043333333333</v>
      </c>
      <c r="K1108" s="52">
        <f t="shared" si="48"/>
        <v>23.854058333333331</v>
      </c>
      <c r="L1108" s="14">
        <f t="shared" si="48"/>
        <v>24.52858333333333</v>
      </c>
      <c r="M1108" s="14">
        <f t="shared" si="48"/>
        <v>23.291108333333337</v>
      </c>
      <c r="N1108" s="14">
        <f t="shared" si="48"/>
        <v>23.308008333333333</v>
      </c>
      <c r="O1108" s="14">
        <f t="shared" si="48"/>
        <v>23.458725000000001</v>
      </c>
      <c r="P1108" s="14">
        <f t="shared" si="48"/>
        <v>23.375375000000002</v>
      </c>
      <c r="Q1108" s="14">
        <f t="shared" si="48"/>
        <v>24.053425000000004</v>
      </c>
      <c r="R1108" s="14">
        <f t="shared" si="48"/>
        <v>24.70054166666667</v>
      </c>
      <c r="S1108" s="14">
        <f t="shared" si="48"/>
        <v>22.811908333333339</v>
      </c>
      <c r="T1108" s="48">
        <f>SUM(T469:T480)</f>
        <v>357.24568100000005</v>
      </c>
      <c r="U1108" s="48">
        <f>SUM(U469:U480)</f>
        <v>142.03263249999998</v>
      </c>
      <c r="V1108" s="48">
        <f>SUM(V469:V480)</f>
        <v>50.187500000000007</v>
      </c>
      <c r="W1108" s="48">
        <f>SUM(W469:W480)</f>
        <v>5.0822234999999996</v>
      </c>
      <c r="X1108" s="48">
        <f>SUM(X469:X480)</f>
        <v>20.758966663999999</v>
      </c>
      <c r="Y1108" s="48"/>
      <c r="Z1108" s="54"/>
      <c r="AA1108" s="53"/>
      <c r="AB1108" s="49">
        <f>AVERAGE(AB469:AB480)</f>
        <v>23.798764848265431</v>
      </c>
      <c r="AC1108" s="44">
        <f>AVERAGE(AC469:AC480)</f>
        <v>23.358724040767385</v>
      </c>
    </row>
    <row r="1109" spans="1:29" ht="15.75" x14ac:dyDescent="0.25">
      <c r="A1109" s="10">
        <f t="shared" si="34"/>
        <v>2052</v>
      </c>
      <c r="B1109" s="14">
        <f t="shared" ref="B1109:S1109" si="49">AVERAGE(B481:B492)</f>
        <v>24.671258333333331</v>
      </c>
      <c r="C1109" s="14">
        <f t="shared" si="49"/>
        <v>24.677524999999999</v>
      </c>
      <c r="D1109" s="14">
        <f t="shared" si="49"/>
        <v>24.841274999999996</v>
      </c>
      <c r="E1109" s="14">
        <f t="shared" si="49"/>
        <v>24.873700000000003</v>
      </c>
      <c r="F1109" s="14">
        <f t="shared" si="49"/>
        <v>24.698674999999998</v>
      </c>
      <c r="G1109" s="14">
        <f t="shared" si="49"/>
        <v>24.715949999999996</v>
      </c>
      <c r="H1109" s="14">
        <f t="shared" si="49"/>
        <v>24.862816666666671</v>
      </c>
      <c r="I1109" s="14">
        <f t="shared" si="49"/>
        <v>24.782066666666665</v>
      </c>
      <c r="J1109" s="14">
        <f t="shared" si="49"/>
        <v>24.691675000000004</v>
      </c>
      <c r="K1109" s="52">
        <f t="shared" si="49"/>
        <v>24.778166666666664</v>
      </c>
      <c r="L1109" s="14">
        <f t="shared" si="49"/>
        <v>25.449816666666663</v>
      </c>
      <c r="M1109" s="14">
        <f t="shared" si="49"/>
        <v>24.193474999999996</v>
      </c>
      <c r="N1109" s="14">
        <f t="shared" si="49"/>
        <v>24.210383333333336</v>
      </c>
      <c r="O1109" s="14">
        <f t="shared" si="49"/>
        <v>24.361083333333326</v>
      </c>
      <c r="P1109" s="14">
        <f t="shared" si="49"/>
        <v>24.280508333333334</v>
      </c>
      <c r="Q1109" s="14">
        <f t="shared" si="49"/>
        <v>24.955783333333333</v>
      </c>
      <c r="R1109" s="14">
        <f t="shared" si="49"/>
        <v>25.60519166666667</v>
      </c>
      <c r="S1109" s="14">
        <f t="shared" si="49"/>
        <v>23.697108333333333</v>
      </c>
      <c r="T1109" s="48">
        <f>SUM(T481:T492)</f>
        <v>358.17703550000004</v>
      </c>
      <c r="U1109" s="48">
        <f>SUM(U481:U492)</f>
        <v>142.42176299999997</v>
      </c>
      <c r="V1109" s="48">
        <f>SUM(V481:V492)</f>
        <v>50.325000000000003</v>
      </c>
      <c r="W1109" s="48">
        <f>SUM(W481:W492)</f>
        <v>5.0961473999999995</v>
      </c>
      <c r="X1109" s="48">
        <f>SUM(X481:X492)</f>
        <v>20.800615543999996</v>
      </c>
      <c r="Y1109" s="48"/>
      <c r="Z1109" s="54"/>
      <c r="AA1109" s="53"/>
      <c r="AB1109" s="49">
        <f>AVERAGE(AB481:AB492)</f>
        <v>24.720239013669829</v>
      </c>
      <c r="AC1109" s="44">
        <f>AVERAGE(AC481:AC492)</f>
        <v>24.261485491606717</v>
      </c>
    </row>
    <row r="1110" spans="1:29" ht="15.75" x14ac:dyDescent="0.25">
      <c r="A1110" s="10">
        <f t="shared" si="34"/>
        <v>2053</v>
      </c>
      <c r="B1110" s="14">
        <f t="shared" ref="B1110:S1110" si="50">AVERAGE(B493:B504)</f>
        <v>25.628241666666668</v>
      </c>
      <c r="C1110" s="14">
        <f t="shared" si="50"/>
        <v>25.63451666666667</v>
      </c>
      <c r="D1110" s="14">
        <f t="shared" si="50"/>
        <v>25.798258333333337</v>
      </c>
      <c r="E1110" s="14">
        <f t="shared" si="50"/>
        <v>25.830699999999997</v>
      </c>
      <c r="F1110" s="14">
        <f t="shared" si="50"/>
        <v>25.655674999999999</v>
      </c>
      <c r="G1110" s="14">
        <f t="shared" si="50"/>
        <v>25.672958333333337</v>
      </c>
      <c r="H1110" s="14">
        <f t="shared" si="50"/>
        <v>25.819800000000001</v>
      </c>
      <c r="I1110" s="14">
        <f t="shared" si="50"/>
        <v>25.742058333333333</v>
      </c>
      <c r="J1110" s="14">
        <f t="shared" si="50"/>
        <v>25.648675000000008</v>
      </c>
      <c r="K1110" s="52">
        <f t="shared" si="50"/>
        <v>25.738166666666661</v>
      </c>
      <c r="L1110" s="14">
        <f t="shared" si="50"/>
        <v>26.406800000000004</v>
      </c>
      <c r="M1110" s="14">
        <f t="shared" si="50"/>
        <v>25.130858333333332</v>
      </c>
      <c r="N1110" s="14">
        <f t="shared" si="50"/>
        <v>25.147775000000006</v>
      </c>
      <c r="O1110" s="14">
        <f t="shared" si="50"/>
        <v>25.29846666666667</v>
      </c>
      <c r="P1110" s="14">
        <f t="shared" si="50"/>
        <v>25.220783333333333</v>
      </c>
      <c r="Q1110" s="14">
        <f t="shared" si="50"/>
        <v>25.893166666666669</v>
      </c>
      <c r="R1110" s="14">
        <f t="shared" si="50"/>
        <v>26.544908333333328</v>
      </c>
      <c r="S1110" s="14">
        <f t="shared" si="50"/>
        <v>24.616675000000004</v>
      </c>
      <c r="T1110" s="48">
        <f>SUM(T493:T504)</f>
        <v>357.24568100000005</v>
      </c>
      <c r="U1110" s="48">
        <f>SUM(U493:U504)</f>
        <v>142.03263249999998</v>
      </c>
      <c r="V1110" s="48">
        <f>SUM(V493:V504)</f>
        <v>50.187500000000007</v>
      </c>
      <c r="W1110" s="48">
        <f>SUM(W493:W504)</f>
        <v>5.0822234999999996</v>
      </c>
      <c r="X1110" s="48">
        <f>SUM(X493:X504)</f>
        <v>20.758966663999999</v>
      </c>
      <c r="Y1110" s="48"/>
      <c r="Z1110" s="54"/>
      <c r="AA1110" s="53"/>
      <c r="AB1110" s="49">
        <f>AVERAGE(AB493:AB504)</f>
        <v>25.677481553587469</v>
      </c>
      <c r="AC1110" s="44">
        <f>AVERAGE(AC493:AC504)</f>
        <v>25.19928537170264</v>
      </c>
    </row>
    <row r="1111" spans="1:29" ht="15.75" x14ac:dyDescent="0.25">
      <c r="A1111" s="10">
        <f t="shared" si="34"/>
        <v>2054</v>
      </c>
      <c r="B1111" s="14">
        <f t="shared" ref="B1111:S1111" si="51">AVERAGE(B505:B516)</f>
        <v>26.622374999999995</v>
      </c>
      <c r="C1111" s="14">
        <f t="shared" si="51"/>
        <v>26.628650000000004</v>
      </c>
      <c r="D1111" s="14">
        <f t="shared" si="51"/>
        <v>26.792391666666663</v>
      </c>
      <c r="E1111" s="14">
        <f t="shared" si="51"/>
        <v>26.824833333333331</v>
      </c>
      <c r="F1111" s="14">
        <f t="shared" si="51"/>
        <v>26.649791666666662</v>
      </c>
      <c r="G1111" s="14">
        <f t="shared" si="51"/>
        <v>26.667100000000001</v>
      </c>
      <c r="H1111" s="14">
        <f t="shared" si="51"/>
        <v>26.813925000000001</v>
      </c>
      <c r="I1111" s="14">
        <f t="shared" si="51"/>
        <v>26.739291666666663</v>
      </c>
      <c r="J1111" s="14">
        <f t="shared" si="51"/>
        <v>26.642791666666664</v>
      </c>
      <c r="K1111" s="52">
        <f t="shared" si="51"/>
        <v>26.735391666666668</v>
      </c>
      <c r="L1111" s="14">
        <f t="shared" si="51"/>
        <v>27.400924999999997</v>
      </c>
      <c r="M1111" s="14">
        <f t="shared" si="51"/>
        <v>26.104608333333331</v>
      </c>
      <c r="N1111" s="14">
        <f t="shared" si="51"/>
        <v>26.121508333333335</v>
      </c>
      <c r="O1111" s="14">
        <f t="shared" si="51"/>
        <v>26.272224999999995</v>
      </c>
      <c r="P1111" s="14">
        <f t="shared" si="51"/>
        <v>26.197508333333332</v>
      </c>
      <c r="Q1111" s="14">
        <f t="shared" si="51"/>
        <v>26.866925000000005</v>
      </c>
      <c r="R1111" s="14">
        <f t="shared" si="51"/>
        <v>27.521100000000001</v>
      </c>
      <c r="S1111" s="14">
        <f t="shared" si="51"/>
        <v>25.571933333333334</v>
      </c>
      <c r="T1111" s="48">
        <f>SUM(T505:T516)</f>
        <v>357.24568100000005</v>
      </c>
      <c r="U1111" s="48">
        <f>SUM(U505:U516)</f>
        <v>142.03263249999998</v>
      </c>
      <c r="V1111" s="48">
        <f>SUM(V505:V516)</f>
        <v>50.187500000000007</v>
      </c>
      <c r="W1111" s="48">
        <f>SUM(W505:W516)</f>
        <v>5.0822234999999996</v>
      </c>
      <c r="X1111" s="48">
        <f>SUM(X505:X516)</f>
        <v>20.758966663999999</v>
      </c>
      <c r="Y1111" s="48"/>
      <c r="Z1111" s="51"/>
      <c r="AA1111" s="50"/>
      <c r="AB1111" s="49">
        <f>AVERAGE(AB505:AB516)</f>
        <v>26.671866590161454</v>
      </c>
      <c r="AC1111" s="44">
        <f>AVERAGE(AC505:AC516)</f>
        <v>26.173466247002398</v>
      </c>
    </row>
    <row r="1112" spans="1:29" ht="15.75" x14ac:dyDescent="0.25">
      <c r="A1112" s="10">
        <f t="shared" si="34"/>
        <v>2055</v>
      </c>
      <c r="B1112" s="14">
        <f t="shared" ref="B1112:S1112" si="52">AVERAGE(B517:B528)</f>
        <v>27.655075</v>
      </c>
      <c r="C1112" s="14">
        <f t="shared" si="52"/>
        <v>27.661358333333336</v>
      </c>
      <c r="D1112" s="14">
        <f t="shared" si="52"/>
        <v>27.825091666666665</v>
      </c>
      <c r="E1112" s="14">
        <f t="shared" si="52"/>
        <v>27.857516666666669</v>
      </c>
      <c r="F1112" s="14">
        <f t="shared" si="52"/>
        <v>27.682500000000001</v>
      </c>
      <c r="G1112" s="14">
        <f t="shared" si="52"/>
        <v>27.699766666666665</v>
      </c>
      <c r="H1112" s="14">
        <f t="shared" si="52"/>
        <v>27.846633333333333</v>
      </c>
      <c r="I1112" s="14">
        <f t="shared" si="52"/>
        <v>27.775233333333333</v>
      </c>
      <c r="J1112" s="14">
        <f t="shared" si="52"/>
        <v>27.675499999999996</v>
      </c>
      <c r="K1112" s="52">
        <f t="shared" si="52"/>
        <v>27.771366666666662</v>
      </c>
      <c r="L1112" s="14">
        <f t="shared" si="52"/>
        <v>28.433633333333329</v>
      </c>
      <c r="M1112" s="14">
        <f t="shared" si="52"/>
        <v>27.116141666666664</v>
      </c>
      <c r="N1112" s="14">
        <f t="shared" si="52"/>
        <v>27.133066666666668</v>
      </c>
      <c r="O1112" s="14">
        <f t="shared" si="52"/>
        <v>27.283758333333335</v>
      </c>
      <c r="P1112" s="14">
        <f t="shared" si="52"/>
        <v>27.212149999999998</v>
      </c>
      <c r="Q1112" s="14">
        <f t="shared" si="52"/>
        <v>27.878458333333331</v>
      </c>
      <c r="R1112" s="14">
        <f t="shared" si="52"/>
        <v>28.535175000000006</v>
      </c>
      <c r="S1112" s="14">
        <f t="shared" si="52"/>
        <v>26.564249999999998</v>
      </c>
      <c r="T1112" s="48">
        <f>SUM(T517:T528)</f>
        <v>357.24568100000005</v>
      </c>
      <c r="U1112" s="48">
        <f>SUM(U517:U528)</f>
        <v>142.03263249999998</v>
      </c>
      <c r="V1112" s="48">
        <f>SUM(V517:V528)</f>
        <v>50.187500000000007</v>
      </c>
      <c r="W1112" s="48">
        <f>SUM(W517:W528)</f>
        <v>5.0822234999999996</v>
      </c>
      <c r="X1112" s="48">
        <f>SUM(X517:X528)</f>
        <v>20.758966663999999</v>
      </c>
      <c r="Y1112" s="48"/>
      <c r="Z1112" s="51"/>
      <c r="AA1112" s="50"/>
      <c r="AB1112" s="49">
        <f>AVERAGE(AB517:AB528)</f>
        <v>27.704832197840474</v>
      </c>
      <c r="AC1112" s="44">
        <f>AVERAGE(AC517:AC528)</f>
        <v>27.185449700239804</v>
      </c>
    </row>
    <row r="1113" spans="1:29" ht="15.75" x14ac:dyDescent="0.25">
      <c r="A1113" s="10">
        <f t="shared" si="34"/>
        <v>2056</v>
      </c>
      <c r="B1113" s="14">
        <f t="shared" ref="B1113:S1113" si="53">AVERAGE(B529:B540)</f>
        <v>28.727875000000001</v>
      </c>
      <c r="C1113" s="14">
        <f t="shared" si="53"/>
        <v>28.73414166666667</v>
      </c>
      <c r="D1113" s="14">
        <f t="shared" si="53"/>
        <v>28.89789166666667</v>
      </c>
      <c r="E1113" s="14">
        <f t="shared" si="53"/>
        <v>28.930291666666665</v>
      </c>
      <c r="F1113" s="14">
        <f t="shared" si="53"/>
        <v>28.755283333333335</v>
      </c>
      <c r="G1113" s="14">
        <f t="shared" si="53"/>
        <v>28.772541666666669</v>
      </c>
      <c r="H1113" s="14">
        <f t="shared" si="53"/>
        <v>28.919433333333341</v>
      </c>
      <c r="I1113" s="14">
        <f t="shared" si="53"/>
        <v>28.85136666666666</v>
      </c>
      <c r="J1113" s="14">
        <f t="shared" si="53"/>
        <v>28.74828333333333</v>
      </c>
      <c r="K1113" s="52">
        <f t="shared" si="53"/>
        <v>28.847483333333333</v>
      </c>
      <c r="L1113" s="14">
        <f t="shared" si="53"/>
        <v>29.506433333333337</v>
      </c>
      <c r="M1113" s="14">
        <f t="shared" si="53"/>
        <v>28.166933333333336</v>
      </c>
      <c r="N1113" s="14">
        <f t="shared" si="53"/>
        <v>28.18385833333333</v>
      </c>
      <c r="O1113" s="14">
        <f t="shared" si="53"/>
        <v>28.334566666666671</v>
      </c>
      <c r="P1113" s="14">
        <f t="shared" si="53"/>
        <v>28.266191666666668</v>
      </c>
      <c r="Q1113" s="14">
        <f t="shared" si="53"/>
        <v>28.929266666666667</v>
      </c>
      <c r="R1113" s="14">
        <f t="shared" si="53"/>
        <v>29.588599999999996</v>
      </c>
      <c r="S1113" s="14">
        <f t="shared" si="53"/>
        <v>27.595108333333332</v>
      </c>
      <c r="T1113" s="48">
        <f>SUM(T529:T540)</f>
        <v>358.17703550000004</v>
      </c>
      <c r="U1113" s="48">
        <f>SUM(U529:U540)</f>
        <v>142.42176299999997</v>
      </c>
      <c r="V1113" s="48">
        <f>SUM(V529:V540)</f>
        <v>50.325000000000003</v>
      </c>
      <c r="W1113" s="48">
        <f>SUM(W529:W540)</f>
        <v>5.0961473999999995</v>
      </c>
      <c r="X1113" s="48">
        <f>SUM(X529:X540)</f>
        <v>20.800615543999996</v>
      </c>
      <c r="Y1113" s="48"/>
      <c r="Z1113" s="51"/>
      <c r="AA1113" s="50"/>
      <c r="AB1113" s="49">
        <f>AVERAGE(AB529:AB540)</f>
        <v>28.777893220807599</v>
      </c>
      <c r="AC1113" s="44">
        <f>AVERAGE(AC529:AC540)</f>
        <v>28.236716546762597</v>
      </c>
    </row>
    <row r="1114" spans="1:29" ht="15.75" x14ac:dyDescent="0.25">
      <c r="A1114" s="10">
        <f t="shared" si="34"/>
        <v>2057</v>
      </c>
      <c r="B1114" s="14">
        <f t="shared" ref="B1114:S1114" si="54">AVERAGE(B541:B552)</f>
        <v>29.842283333333327</v>
      </c>
      <c r="C1114" s="14">
        <f t="shared" si="54"/>
        <v>29.848541666666666</v>
      </c>
      <c r="D1114" s="14">
        <f t="shared" si="54"/>
        <v>30.012308333333333</v>
      </c>
      <c r="E1114" s="14">
        <f t="shared" si="54"/>
        <v>30.04471666666667</v>
      </c>
      <c r="F1114" s="14">
        <f t="shared" si="54"/>
        <v>29.869691666666668</v>
      </c>
      <c r="G1114" s="14">
        <f t="shared" si="54"/>
        <v>29.886958333333329</v>
      </c>
      <c r="H1114" s="14">
        <f t="shared" si="54"/>
        <v>30.033850000000001</v>
      </c>
      <c r="I1114" s="14">
        <f t="shared" si="54"/>
        <v>29.969266666666666</v>
      </c>
      <c r="J1114" s="14">
        <f t="shared" si="54"/>
        <v>29.862691666666667</v>
      </c>
      <c r="K1114" s="52">
        <f t="shared" si="54"/>
        <v>29.965383333333335</v>
      </c>
      <c r="L1114" s="14">
        <f t="shared" si="54"/>
        <v>30.620850000000001</v>
      </c>
      <c r="M1114" s="14">
        <f t="shared" si="54"/>
        <v>29.258516666666669</v>
      </c>
      <c r="N1114" s="14">
        <f t="shared" si="54"/>
        <v>29.275458333333333</v>
      </c>
      <c r="O1114" s="14">
        <f t="shared" si="54"/>
        <v>29.426141666666666</v>
      </c>
      <c r="P1114" s="14">
        <f t="shared" si="54"/>
        <v>29.361100000000004</v>
      </c>
      <c r="Q1114" s="14">
        <f t="shared" si="54"/>
        <v>30.020841666666666</v>
      </c>
      <c r="R1114" s="14">
        <f t="shared" si="54"/>
        <v>30.6829</v>
      </c>
      <c r="S1114" s="14">
        <f t="shared" si="54"/>
        <v>28.665925000000001</v>
      </c>
      <c r="T1114" s="48">
        <f>SUM(T541:T552)</f>
        <v>357.24568100000005</v>
      </c>
      <c r="U1114" s="48">
        <f>SUM(U541:U552)</f>
        <v>142.03263249999998</v>
      </c>
      <c r="V1114" s="48">
        <f>SUM(V541:V552)</f>
        <v>50.187500000000007</v>
      </c>
      <c r="W1114" s="48">
        <f>SUM(W541:W552)</f>
        <v>5.0822234999999996</v>
      </c>
      <c r="X1114" s="48">
        <f>SUM(X541:X552)</f>
        <v>20.758966663999999</v>
      </c>
      <c r="Y1114" s="48"/>
      <c r="Z1114" s="51"/>
      <c r="AA1114" s="50"/>
      <c r="AB1114" s="49">
        <f>AVERAGE(AB541:AB552)</f>
        <v>29.892590456212734</v>
      </c>
      <c r="AC1114" s="44">
        <f>AVERAGE(AC541:AC552)</f>
        <v>29.328776918465227</v>
      </c>
    </row>
    <row r="1115" spans="1:29" ht="15.75" x14ac:dyDescent="0.25">
      <c r="A1115" s="10">
        <f t="shared" si="34"/>
        <v>2058</v>
      </c>
      <c r="B1115" s="14">
        <f t="shared" ref="B1115:S1115" si="55">AVERAGE(B553:B564)</f>
        <v>30.999925000000001</v>
      </c>
      <c r="C1115" s="14">
        <f t="shared" si="55"/>
        <v>31.006200000000003</v>
      </c>
      <c r="D1115" s="14">
        <f t="shared" si="55"/>
        <v>31.169950000000004</v>
      </c>
      <c r="E1115" s="14">
        <f t="shared" si="55"/>
        <v>31.202375</v>
      </c>
      <c r="F1115" s="14">
        <f t="shared" si="55"/>
        <v>31.027383333333333</v>
      </c>
      <c r="G1115" s="14">
        <f t="shared" si="55"/>
        <v>31.044624999999996</v>
      </c>
      <c r="H1115" s="14">
        <f t="shared" si="55"/>
        <v>31.191491666666668</v>
      </c>
      <c r="I1115" s="14">
        <f t="shared" si="55"/>
        <v>31.13055833333333</v>
      </c>
      <c r="J1115" s="14">
        <f t="shared" si="55"/>
        <v>31.020383333333331</v>
      </c>
      <c r="K1115" s="52">
        <f t="shared" si="55"/>
        <v>31.126666666666676</v>
      </c>
      <c r="L1115" s="14">
        <f t="shared" si="55"/>
        <v>31.778491666666667</v>
      </c>
      <c r="M1115" s="14">
        <f t="shared" si="55"/>
        <v>30.392483333333331</v>
      </c>
      <c r="N1115" s="14">
        <f t="shared" si="55"/>
        <v>30.409391666666668</v>
      </c>
      <c r="O1115" s="14">
        <f t="shared" si="55"/>
        <v>30.560083333333338</v>
      </c>
      <c r="P1115" s="14">
        <f t="shared" si="55"/>
        <v>30.498533333333331</v>
      </c>
      <c r="Q1115" s="14">
        <f t="shared" si="55"/>
        <v>31.154783333333338</v>
      </c>
      <c r="R1115" s="14">
        <f t="shared" si="55"/>
        <v>31.819675</v>
      </c>
      <c r="S1115" s="14">
        <f t="shared" si="55"/>
        <v>29.778325000000006</v>
      </c>
      <c r="T1115" s="48">
        <f>SUM(T553:T564)</f>
        <v>357.24568100000005</v>
      </c>
      <c r="U1115" s="48">
        <f>SUM(U553:U564)</f>
        <v>142.03263249999998</v>
      </c>
      <c r="V1115" s="48">
        <f>SUM(V553:V564)</f>
        <v>50.187500000000007</v>
      </c>
      <c r="W1115" s="48">
        <f>SUM(W553:W564)</f>
        <v>5.0822234999999996</v>
      </c>
      <c r="X1115" s="48">
        <f>SUM(X553:X564)</f>
        <v>20.758966663999999</v>
      </c>
      <c r="Y1115" s="48"/>
      <c r="Z1115" s="51"/>
      <c r="AA1115" s="50"/>
      <c r="AB1115" s="49">
        <f>AVERAGE(AB553:AB564)</f>
        <v>31.050555321490183</v>
      </c>
      <c r="AC1115" s="44">
        <f>AVERAGE(AC553:AC564)</f>
        <v>30.463226258992805</v>
      </c>
    </row>
    <row r="1116" spans="1:29" ht="15.75" x14ac:dyDescent="0.25">
      <c r="A1116" s="10">
        <f t="shared" si="34"/>
        <v>2059</v>
      </c>
      <c r="B1116" s="14">
        <f t="shared" ref="B1116:S1116" si="56">AVERAGE(B565:B576)</f>
        <v>32.202525000000001</v>
      </c>
      <c r="C1116" s="14">
        <f t="shared" si="56"/>
        <v>32.208775000000003</v>
      </c>
      <c r="D1116" s="14">
        <f t="shared" si="56"/>
        <v>32.37253333333333</v>
      </c>
      <c r="E1116" s="14">
        <f t="shared" si="56"/>
        <v>32.404958333333333</v>
      </c>
      <c r="F1116" s="14">
        <f t="shared" si="56"/>
        <v>32.229933333333335</v>
      </c>
      <c r="G1116" s="14">
        <f t="shared" si="56"/>
        <v>32.247191666666666</v>
      </c>
      <c r="H1116" s="14">
        <f t="shared" si="56"/>
        <v>32.394075000000001</v>
      </c>
      <c r="I1116" s="14">
        <f t="shared" si="56"/>
        <v>32.33691666666666</v>
      </c>
      <c r="J1116" s="14">
        <f t="shared" si="56"/>
        <v>32.22293333333333</v>
      </c>
      <c r="K1116" s="52">
        <f t="shared" si="56"/>
        <v>32.333024999999999</v>
      </c>
      <c r="L1116" s="14">
        <f t="shared" si="56"/>
        <v>32.981074999999997</v>
      </c>
      <c r="M1116" s="14">
        <f t="shared" si="56"/>
        <v>31.570400000000003</v>
      </c>
      <c r="N1116" s="14">
        <f t="shared" si="56"/>
        <v>31.587324999999996</v>
      </c>
      <c r="O1116" s="14">
        <f t="shared" si="56"/>
        <v>31.738024999999997</v>
      </c>
      <c r="P1116" s="14">
        <f t="shared" si="56"/>
        <v>31.680083333333343</v>
      </c>
      <c r="Q1116" s="14">
        <f t="shared" si="56"/>
        <v>32.332724999999996</v>
      </c>
      <c r="R1116" s="14">
        <f t="shared" si="56"/>
        <v>33.000574999999998</v>
      </c>
      <c r="S1116" s="14">
        <f t="shared" si="56"/>
        <v>30.933883333333331</v>
      </c>
      <c r="T1116" s="48">
        <f>SUM(T565:T576)</f>
        <v>357.24568100000005</v>
      </c>
      <c r="U1116" s="48">
        <f>SUM(U565:U576)</f>
        <v>142.03263249999998</v>
      </c>
      <c r="V1116" s="48">
        <f>SUM(V565:V576)</f>
        <v>50.187500000000007</v>
      </c>
      <c r="W1116" s="48">
        <f>SUM(W565:W576)</f>
        <v>5.0822234999999996</v>
      </c>
      <c r="X1116" s="48">
        <f>SUM(X565:X576)</f>
        <v>20.758966663999999</v>
      </c>
      <c r="Y1116" s="48"/>
      <c r="Z1116" s="14"/>
      <c r="AA1116" s="14"/>
      <c r="AB1116" s="49">
        <f>AVERAGE(AB565:AB576)</f>
        <v>32.25343712550093</v>
      </c>
      <c r="AC1116" s="44">
        <f>AVERAGE(AC565:AC576)</f>
        <v>31.641679436450833</v>
      </c>
    </row>
    <row r="1117" spans="1:29" ht="15.75" x14ac:dyDescent="0.25">
      <c r="A1117" s="10">
        <f t="shared" si="34"/>
        <v>2060</v>
      </c>
      <c r="B1117" s="14">
        <f t="shared" ref="B1117:S1117" si="57">AVERAGE(B577:B588)</f>
        <v>33.451758333333331</v>
      </c>
      <c r="C1117" s="14">
        <f t="shared" si="57"/>
        <v>33.458033333333333</v>
      </c>
      <c r="D1117" s="14">
        <f t="shared" si="57"/>
        <v>33.621775000000007</v>
      </c>
      <c r="E1117" s="14">
        <f t="shared" si="57"/>
        <v>33.654208333333337</v>
      </c>
      <c r="F1117" s="14">
        <f t="shared" si="57"/>
        <v>33.479183333333332</v>
      </c>
      <c r="G1117" s="14">
        <f t="shared" si="57"/>
        <v>33.496458333333329</v>
      </c>
      <c r="H1117" s="14">
        <f t="shared" si="57"/>
        <v>33.643316666666664</v>
      </c>
      <c r="I1117" s="14">
        <f t="shared" si="57"/>
        <v>33.590075000000006</v>
      </c>
      <c r="J1117" s="14">
        <f t="shared" si="57"/>
        <v>33.472183333333334</v>
      </c>
      <c r="K1117" s="52">
        <f t="shared" si="57"/>
        <v>33.586175000000004</v>
      </c>
      <c r="L1117" s="14">
        <f t="shared" si="57"/>
        <v>34.230316666666667</v>
      </c>
      <c r="M1117" s="14">
        <f t="shared" si="57"/>
        <v>32.794058333333332</v>
      </c>
      <c r="N1117" s="14">
        <f t="shared" si="57"/>
        <v>32.810958333333339</v>
      </c>
      <c r="O1117" s="14">
        <f t="shared" si="57"/>
        <v>32.961666666666666</v>
      </c>
      <c r="P1117" s="14">
        <f t="shared" si="57"/>
        <v>32.907491666666665</v>
      </c>
      <c r="Q1117" s="14">
        <f t="shared" si="57"/>
        <v>33.556366666666669</v>
      </c>
      <c r="R1117" s="14">
        <f t="shared" si="57"/>
        <v>34.227283333333332</v>
      </c>
      <c r="S1117" s="14">
        <f t="shared" si="57"/>
        <v>32.134291666666662</v>
      </c>
      <c r="T1117" s="48">
        <f>SUM(T577:T588)</f>
        <v>358.17703550000004</v>
      </c>
      <c r="U1117" s="48">
        <f>SUM(U577:U588)</f>
        <v>142.42176299999997</v>
      </c>
      <c r="V1117" s="48">
        <f>SUM(V577:V588)</f>
        <v>50.325000000000003</v>
      </c>
      <c r="W1117" s="48">
        <f>SUM(W577:W588)</f>
        <v>5.0961473999999995</v>
      </c>
      <c r="X1117" s="48">
        <f>SUM(X577:X588)</f>
        <v>20.800615543999996</v>
      </c>
      <c r="Y1117" s="48"/>
      <c r="Z1117" s="51"/>
      <c r="AA1117" s="50"/>
      <c r="AB1117" s="49">
        <f>AVERAGE(AB577:AB588)</f>
        <v>33.50301038190954</v>
      </c>
      <c r="AC1117" s="44">
        <f>AVERAGE(AC577:AC588)</f>
        <v>32.865866906474828</v>
      </c>
    </row>
    <row r="1118" spans="1:29" ht="15.75" x14ac:dyDescent="0.25">
      <c r="A1118" s="10">
        <f t="shared" si="34"/>
        <v>2061</v>
      </c>
      <c r="B1118" s="14">
        <f t="shared" ref="B1118:S1118" si="58">AVERAGE(B589:B600)</f>
        <v>34.749500000000005</v>
      </c>
      <c r="C1118" s="14">
        <f t="shared" si="58"/>
        <v>34.755750000000006</v>
      </c>
      <c r="D1118" s="14">
        <f t="shared" si="58"/>
        <v>34.919508333333333</v>
      </c>
      <c r="E1118" s="14">
        <f t="shared" si="58"/>
        <v>34.951941666666663</v>
      </c>
      <c r="F1118" s="14">
        <f t="shared" si="58"/>
        <v>34.776924999999999</v>
      </c>
      <c r="G1118" s="14">
        <f t="shared" si="58"/>
        <v>34.79419166666667</v>
      </c>
      <c r="H1118" s="14">
        <f t="shared" si="58"/>
        <v>34.941050000000004</v>
      </c>
      <c r="I1118" s="14">
        <f t="shared" si="58"/>
        <v>34.891866666666665</v>
      </c>
      <c r="J1118" s="14">
        <f t="shared" si="58"/>
        <v>34.769925000000001</v>
      </c>
      <c r="K1118" s="52">
        <f t="shared" si="58"/>
        <v>34.887974999999997</v>
      </c>
      <c r="L1118" s="14">
        <f t="shared" si="58"/>
        <v>35.52805</v>
      </c>
      <c r="M1118" s="14">
        <f t="shared" si="58"/>
        <v>34.065216666666664</v>
      </c>
      <c r="N1118" s="14">
        <f t="shared" si="58"/>
        <v>34.082108333333338</v>
      </c>
      <c r="O1118" s="14">
        <f t="shared" si="58"/>
        <v>34.232833333333339</v>
      </c>
      <c r="P1118" s="14">
        <f t="shared" si="58"/>
        <v>34.182516666666665</v>
      </c>
      <c r="Q1118" s="14">
        <f t="shared" si="58"/>
        <v>34.827533333333335</v>
      </c>
      <c r="R1118" s="14">
        <f t="shared" si="58"/>
        <v>35.501583333333329</v>
      </c>
      <c r="S1118" s="14">
        <f t="shared" si="58"/>
        <v>33.381283333333329</v>
      </c>
      <c r="T1118" s="48">
        <f>SUM(T589:T600)</f>
        <v>357.24568100000005</v>
      </c>
      <c r="U1118" s="48">
        <f>SUM(U589:U600)</f>
        <v>142.03263249999998</v>
      </c>
      <c r="V1118" s="48">
        <f>SUM(V589:V600)</f>
        <v>50.187500000000007</v>
      </c>
      <c r="W1118" s="48">
        <f>SUM(W589:W600)</f>
        <v>5.0822234999999996</v>
      </c>
      <c r="X1118" s="48">
        <f>SUM(X589:X600)</f>
        <v>20.758966663999999</v>
      </c>
      <c r="Y1118" s="48"/>
      <c r="Z1118" s="51"/>
      <c r="AA1118" s="50"/>
      <c r="AB1118" s="49">
        <f>AVERAGE(AB589:AB600)</f>
        <v>34.801079059756383</v>
      </c>
      <c r="AC1118" s="44">
        <f>AVERAGE(AC589:AC600)</f>
        <v>34.137583453237404</v>
      </c>
    </row>
    <row r="1119" spans="1:29" ht="15" x14ac:dyDescent="0.2">
      <c r="A1119" s="10">
        <f t="shared" si="34"/>
        <v>2062</v>
      </c>
      <c r="B1119" s="14">
        <f t="shared" ref="B1119:K1128" ca="1" si="59">AVERAGE(OFFSET(B$601,($A1119-$A$1119)*12,0,12,1))</f>
        <v>36.097591666666666</v>
      </c>
      <c r="C1119" s="14">
        <f t="shared" ca="1" si="59"/>
        <v>36.103858333333342</v>
      </c>
      <c r="D1119" s="14">
        <f t="shared" ca="1" si="59"/>
        <v>36.267608333333335</v>
      </c>
      <c r="E1119" s="14">
        <f t="shared" ca="1" si="59"/>
        <v>36.300016666666664</v>
      </c>
      <c r="F1119" s="14">
        <f t="shared" ca="1" si="59"/>
        <v>36.125016666666667</v>
      </c>
      <c r="G1119" s="14">
        <f t="shared" ca="1" si="59"/>
        <v>36.142275000000005</v>
      </c>
      <c r="H1119" s="14">
        <f t="shared" ca="1" si="59"/>
        <v>36.289149999999999</v>
      </c>
      <c r="I1119" s="14">
        <f t="shared" ca="1" si="59"/>
        <v>36.244166666666665</v>
      </c>
      <c r="J1119" s="14">
        <f t="shared" ca="1" si="59"/>
        <v>36.118016666666662</v>
      </c>
      <c r="K1119" s="14">
        <f t="shared" ca="1" si="59"/>
        <v>36.240275000000004</v>
      </c>
      <c r="L1119" s="14">
        <f t="shared" ref="L1119:S1128" ca="1" si="60">AVERAGE(OFFSET(L$601,($A1119-$A$1119)*12,0,12,1))</f>
        <v>36.876149999999996</v>
      </c>
      <c r="M1119" s="14">
        <f t="shared" ca="1" si="60"/>
        <v>35.385683333333333</v>
      </c>
      <c r="N1119" s="14">
        <f t="shared" ca="1" si="60"/>
        <v>35.40258333333334</v>
      </c>
      <c r="O1119" s="14">
        <f t="shared" ca="1" si="60"/>
        <v>35.553283333333333</v>
      </c>
      <c r="P1119" s="14">
        <f t="shared" ca="1" si="60"/>
        <v>35.50705</v>
      </c>
      <c r="Q1119" s="14">
        <f t="shared" ca="1" si="60"/>
        <v>36.147983333333336</v>
      </c>
      <c r="R1119" s="14">
        <f t="shared" ca="1" si="60"/>
        <v>36.825358333333334</v>
      </c>
      <c r="S1119" s="14">
        <f t="shared" ca="1" si="60"/>
        <v>34.676658333333336</v>
      </c>
      <c r="T1119" s="48">
        <f t="shared" ref="T1119:X1128" ca="1" si="61">SUM(OFFSET(T$601,($A1119-$A$1119)*12,0,12,1))</f>
        <v>357.24568100000005</v>
      </c>
      <c r="U1119" s="48">
        <f t="shared" ca="1" si="61"/>
        <v>142.03263249999998</v>
      </c>
      <c r="V1119" s="48">
        <f t="shared" ca="1" si="61"/>
        <v>50.187500000000007</v>
      </c>
      <c r="W1119" s="48">
        <f t="shared" ca="1" si="61"/>
        <v>5.0822234999999996</v>
      </c>
      <c r="X1119" s="48">
        <f t="shared" ca="1" si="61"/>
        <v>20.758966663999999</v>
      </c>
      <c r="Y1119" s="14"/>
      <c r="Z1119" s="14"/>
      <c r="AA1119" s="14"/>
      <c r="AB1119" s="14">
        <f t="shared" ref="AB1119:AC1138" ca="1" si="62">AVERAGE(OFFSET(AB$601,($A1119-$A$1119)*12,0,12,1))</f>
        <v>36.149519887418826</v>
      </c>
      <c r="AC1119" s="14">
        <f t="shared" ca="1" si="62"/>
        <v>35.480081414868103</v>
      </c>
    </row>
    <row r="1120" spans="1:29" ht="15" x14ac:dyDescent="0.2">
      <c r="A1120" s="10">
        <f t="shared" si="34"/>
        <v>2063</v>
      </c>
      <c r="B1120" s="14">
        <f t="shared" ca="1" si="59"/>
        <v>37.497991666666671</v>
      </c>
      <c r="C1120" s="14">
        <f t="shared" ca="1" si="59"/>
        <v>37.50425833333334</v>
      </c>
      <c r="D1120" s="14">
        <f t="shared" ca="1" si="59"/>
        <v>37.668008333333333</v>
      </c>
      <c r="E1120" s="14">
        <f t="shared" ca="1" si="59"/>
        <v>37.700433333333329</v>
      </c>
      <c r="F1120" s="14">
        <f t="shared" ca="1" si="59"/>
        <v>37.525408333333331</v>
      </c>
      <c r="G1120" s="14">
        <f t="shared" ca="1" si="59"/>
        <v>37.542691666666663</v>
      </c>
      <c r="H1120" s="14">
        <f t="shared" ca="1" si="59"/>
        <v>37.689549999999997</v>
      </c>
      <c r="I1120" s="14">
        <f t="shared" ca="1" si="59"/>
        <v>37.648966666666659</v>
      </c>
      <c r="J1120" s="14">
        <f t="shared" ca="1" si="59"/>
        <v>37.518408333333333</v>
      </c>
      <c r="K1120" s="14">
        <f t="shared" ca="1" si="59"/>
        <v>37.645074999999999</v>
      </c>
      <c r="L1120" s="14">
        <f t="shared" ca="1" si="60"/>
        <v>38.27655</v>
      </c>
      <c r="M1120" s="14">
        <f t="shared" ca="1" si="60"/>
        <v>36.757374999999996</v>
      </c>
      <c r="N1120" s="14">
        <f t="shared" ca="1" si="60"/>
        <v>36.774283333333337</v>
      </c>
      <c r="O1120" s="14">
        <f t="shared" ca="1" si="60"/>
        <v>36.925008333333331</v>
      </c>
      <c r="P1120" s="14">
        <f t="shared" ca="1" si="60"/>
        <v>36.882983333333328</v>
      </c>
      <c r="Q1120" s="14">
        <f t="shared" ca="1" si="60"/>
        <v>37.519708333333334</v>
      </c>
      <c r="R1120" s="14">
        <f t="shared" ca="1" si="60"/>
        <v>38.200491666666672</v>
      </c>
      <c r="S1120" s="14">
        <f t="shared" ca="1" si="60"/>
        <v>36.022308333333335</v>
      </c>
      <c r="T1120" s="48">
        <f t="shared" ca="1" si="61"/>
        <v>357.24568100000005</v>
      </c>
      <c r="U1120" s="48">
        <f t="shared" ca="1" si="61"/>
        <v>142.03263249999998</v>
      </c>
      <c r="V1120" s="48">
        <f t="shared" ca="1" si="61"/>
        <v>50.187500000000007</v>
      </c>
      <c r="W1120" s="48">
        <f t="shared" ca="1" si="61"/>
        <v>5.0822234999999996</v>
      </c>
      <c r="X1120" s="48">
        <f t="shared" ca="1" si="61"/>
        <v>20.758966663999999</v>
      </c>
      <c r="Y1120" s="14"/>
      <c r="Z1120" s="14"/>
      <c r="AA1120" s="14"/>
      <c r="AB1120" s="14">
        <f t="shared" ca="1" si="62"/>
        <v>37.550282348059589</v>
      </c>
      <c r="AC1120" s="14">
        <f t="shared" ca="1" si="62"/>
        <v>36.852398980815344</v>
      </c>
    </row>
    <row r="1121" spans="1:29" ht="15" x14ac:dyDescent="0.2">
      <c r="A1121" s="10">
        <f t="shared" si="34"/>
        <v>2064</v>
      </c>
      <c r="B1121" s="14">
        <f t="shared" ca="1" si="59"/>
        <v>38.952758333333328</v>
      </c>
      <c r="C1121" s="14">
        <f t="shared" ca="1" si="59"/>
        <v>38.959008333333337</v>
      </c>
      <c r="D1121" s="14">
        <f t="shared" ca="1" si="59"/>
        <v>39.122741666666663</v>
      </c>
      <c r="E1121" s="14">
        <f t="shared" ca="1" si="59"/>
        <v>39.155175</v>
      </c>
      <c r="F1121" s="14">
        <f t="shared" ca="1" si="59"/>
        <v>38.980158333333328</v>
      </c>
      <c r="G1121" s="14">
        <f t="shared" ca="1" si="59"/>
        <v>38.997433333333333</v>
      </c>
      <c r="H1121" s="14">
        <f t="shared" ca="1" si="59"/>
        <v>39.144283333333334</v>
      </c>
      <c r="I1121" s="14">
        <f t="shared" ca="1" si="59"/>
        <v>39.108266666666673</v>
      </c>
      <c r="J1121" s="14">
        <f t="shared" ca="1" si="59"/>
        <v>38.973158333333323</v>
      </c>
      <c r="K1121" s="14">
        <f t="shared" ca="1" si="59"/>
        <v>39.104374999999997</v>
      </c>
      <c r="L1121" s="14">
        <f t="shared" ca="1" si="60"/>
        <v>39.73128333333333</v>
      </c>
      <c r="M1121" s="14">
        <f t="shared" ca="1" si="60"/>
        <v>38.182316666666672</v>
      </c>
      <c r="N1121" s="14">
        <f t="shared" ca="1" si="60"/>
        <v>38.199241666666666</v>
      </c>
      <c r="O1121" s="14">
        <f t="shared" ca="1" si="60"/>
        <v>38.349933333333347</v>
      </c>
      <c r="P1121" s="14">
        <f t="shared" ca="1" si="60"/>
        <v>38.312283333333326</v>
      </c>
      <c r="Q1121" s="14">
        <f t="shared" ca="1" si="60"/>
        <v>38.944633333333336</v>
      </c>
      <c r="R1121" s="14">
        <f t="shared" ca="1" si="60"/>
        <v>39.628991666666664</v>
      </c>
      <c r="S1121" s="14">
        <f t="shared" ca="1" si="60"/>
        <v>37.420166666666667</v>
      </c>
      <c r="T1121" s="48">
        <f t="shared" ca="1" si="61"/>
        <v>358.17703550000004</v>
      </c>
      <c r="U1121" s="48">
        <f t="shared" ca="1" si="61"/>
        <v>142.42176299999997</v>
      </c>
      <c r="V1121" s="48">
        <f t="shared" ca="1" si="61"/>
        <v>50.325000000000003</v>
      </c>
      <c r="W1121" s="48">
        <f t="shared" ca="1" si="61"/>
        <v>5.0961473999999995</v>
      </c>
      <c r="X1121" s="48">
        <f t="shared" ca="1" si="61"/>
        <v>20.800615543999996</v>
      </c>
      <c r="Y1121" s="14"/>
      <c r="Z1121" s="14"/>
      <c r="AA1121" s="14"/>
      <c r="AB1121" s="14">
        <f t="shared" ca="1" si="62"/>
        <v>39.005407125763384</v>
      </c>
      <c r="AC1121" s="14">
        <f t="shared" ca="1" si="62"/>
        <v>38.277961151079133</v>
      </c>
    </row>
    <row r="1122" spans="1:29" ht="15" x14ac:dyDescent="0.2">
      <c r="A1122" s="10">
        <f t="shared" si="34"/>
        <v>2065</v>
      </c>
      <c r="B1122" s="14">
        <f t="shared" ca="1" si="59"/>
        <v>40.463941666666663</v>
      </c>
      <c r="C1122" s="14">
        <f t="shared" ca="1" si="59"/>
        <v>40.470216666666666</v>
      </c>
      <c r="D1122" s="14">
        <f t="shared" ca="1" si="59"/>
        <v>40.633958333333332</v>
      </c>
      <c r="E1122" s="14">
        <f t="shared" ca="1" si="59"/>
        <v>40.666383333333336</v>
      </c>
      <c r="F1122" s="14">
        <f t="shared" ca="1" si="59"/>
        <v>40.491358333333331</v>
      </c>
      <c r="G1122" s="14">
        <f t="shared" ca="1" si="59"/>
        <v>40.508633333333336</v>
      </c>
      <c r="H1122" s="14">
        <f t="shared" ca="1" si="59"/>
        <v>40.655499999999996</v>
      </c>
      <c r="I1122" s="14">
        <f t="shared" ca="1" si="59"/>
        <v>40.624200000000002</v>
      </c>
      <c r="J1122" s="14">
        <f t="shared" ca="1" si="59"/>
        <v>40.484358333333333</v>
      </c>
      <c r="K1122" s="14">
        <f t="shared" ca="1" si="59"/>
        <v>40.62031666666666</v>
      </c>
      <c r="L1122" s="14">
        <f t="shared" ca="1" si="60"/>
        <v>41.2425</v>
      </c>
      <c r="M1122" s="14">
        <f t="shared" ca="1" si="60"/>
        <v>39.662549999999996</v>
      </c>
      <c r="N1122" s="14">
        <f t="shared" ca="1" si="60"/>
        <v>39.679475000000004</v>
      </c>
      <c r="O1122" s="14">
        <f t="shared" ca="1" si="60"/>
        <v>39.830174999999997</v>
      </c>
      <c r="P1122" s="14">
        <f t="shared" ca="1" si="60"/>
        <v>39.797066666666659</v>
      </c>
      <c r="Q1122" s="14">
        <f t="shared" ca="1" si="60"/>
        <v>40.424875000000007</v>
      </c>
      <c r="R1122" s="14">
        <f t="shared" ca="1" si="60"/>
        <v>41.112950000000005</v>
      </c>
      <c r="S1122" s="14">
        <f t="shared" ca="1" si="60"/>
        <v>38.872275000000002</v>
      </c>
      <c r="T1122" s="48">
        <f t="shared" ca="1" si="61"/>
        <v>357.24568100000005</v>
      </c>
      <c r="U1122" s="48">
        <f t="shared" ca="1" si="61"/>
        <v>142.03263249999998</v>
      </c>
      <c r="V1122" s="48">
        <f t="shared" ca="1" si="61"/>
        <v>50.187500000000007</v>
      </c>
      <c r="W1122" s="48">
        <f t="shared" ca="1" si="61"/>
        <v>5.0822234999999996</v>
      </c>
      <c r="X1122" s="48">
        <f t="shared" ca="1" si="61"/>
        <v>20.758966663999999</v>
      </c>
      <c r="Y1122" s="14"/>
      <c r="Z1122" s="14"/>
      <c r="AA1122" s="14"/>
      <c r="AB1122" s="14">
        <f t="shared" ca="1" si="62"/>
        <v>40.516998358196005</v>
      </c>
      <c r="AC1122" s="14">
        <f t="shared" ca="1" si="62"/>
        <v>39.758852937649884</v>
      </c>
    </row>
    <row r="1123" spans="1:29" ht="15" x14ac:dyDescent="0.2">
      <c r="A1123" s="10">
        <f t="shared" si="34"/>
        <v>2066</v>
      </c>
      <c r="B1123" s="14">
        <f t="shared" ca="1" si="59"/>
        <v>42.033783333333332</v>
      </c>
      <c r="C1123" s="14">
        <f t="shared" ca="1" si="59"/>
        <v>42.040066666666661</v>
      </c>
      <c r="D1123" s="14">
        <f t="shared" ca="1" si="59"/>
        <v>42.203816666666661</v>
      </c>
      <c r="E1123" s="14">
        <f t="shared" ca="1" si="59"/>
        <v>42.236225000000012</v>
      </c>
      <c r="F1123" s="14">
        <f t="shared" ca="1" si="59"/>
        <v>42.061225</v>
      </c>
      <c r="G1123" s="14">
        <f t="shared" ca="1" si="59"/>
        <v>42.078483333333338</v>
      </c>
      <c r="H1123" s="14">
        <f t="shared" ca="1" si="59"/>
        <v>42.225358333333332</v>
      </c>
      <c r="I1123" s="14">
        <f t="shared" ca="1" si="59"/>
        <v>42.198974999999997</v>
      </c>
      <c r="J1123" s="14">
        <f t="shared" ca="1" si="59"/>
        <v>42.054224999999995</v>
      </c>
      <c r="K1123" s="14">
        <f t="shared" ca="1" si="59"/>
        <v>42.195083333333336</v>
      </c>
      <c r="L1123" s="14">
        <f t="shared" ca="1" si="60"/>
        <v>42.812358333333343</v>
      </c>
      <c r="M1123" s="14">
        <f t="shared" ca="1" si="60"/>
        <v>41.20024166666667</v>
      </c>
      <c r="N1123" s="14">
        <f t="shared" ca="1" si="60"/>
        <v>41.217166666666664</v>
      </c>
      <c r="O1123" s="14">
        <f t="shared" ca="1" si="60"/>
        <v>41.367874999999998</v>
      </c>
      <c r="P1123" s="14">
        <f t="shared" ca="1" si="60"/>
        <v>41.339458333333333</v>
      </c>
      <c r="Q1123" s="14">
        <f t="shared" ca="1" si="60"/>
        <v>41.962575000000008</v>
      </c>
      <c r="R1123" s="14">
        <f t="shared" ca="1" si="60"/>
        <v>42.654491666666658</v>
      </c>
      <c r="S1123" s="14">
        <f t="shared" ca="1" si="60"/>
        <v>40.38075833333334</v>
      </c>
      <c r="T1123" s="48">
        <f t="shared" ca="1" si="61"/>
        <v>357.24568100000005</v>
      </c>
      <c r="U1123" s="48">
        <f t="shared" ca="1" si="61"/>
        <v>142.03263249999998</v>
      </c>
      <c r="V1123" s="48">
        <f t="shared" ca="1" si="61"/>
        <v>50.187500000000007</v>
      </c>
      <c r="W1123" s="48">
        <f t="shared" ca="1" si="61"/>
        <v>5.0822234999999996</v>
      </c>
      <c r="X1123" s="48">
        <f t="shared" ca="1" si="61"/>
        <v>20.758966663999999</v>
      </c>
      <c r="Y1123" s="14"/>
      <c r="Z1123" s="14"/>
      <c r="AA1123" s="14"/>
      <c r="AB1123" s="14">
        <f t="shared" ca="1" si="62"/>
        <v>42.087257716284675</v>
      </c>
      <c r="AC1123" s="14">
        <f t="shared" ca="1" si="62"/>
        <v>41.297224640287773</v>
      </c>
    </row>
    <row r="1124" spans="1:29" ht="15" x14ac:dyDescent="0.2">
      <c r="A1124" s="10">
        <f t="shared" si="34"/>
        <v>2067</v>
      </c>
      <c r="B1124" s="14">
        <f t="shared" ca="1" si="59"/>
        <v>43.664558333333332</v>
      </c>
      <c r="C1124" s="14">
        <f t="shared" ca="1" si="59"/>
        <v>43.670825000000008</v>
      </c>
      <c r="D1124" s="14">
        <f t="shared" ca="1" si="59"/>
        <v>43.834575000000001</v>
      </c>
      <c r="E1124" s="14">
        <f t="shared" ca="1" si="59"/>
        <v>43.867008333333338</v>
      </c>
      <c r="F1124" s="14">
        <f t="shared" ca="1" si="59"/>
        <v>43.691975000000006</v>
      </c>
      <c r="G1124" s="14">
        <f t="shared" ca="1" si="59"/>
        <v>43.709258333333338</v>
      </c>
      <c r="H1124" s="14">
        <f t="shared" ca="1" si="59"/>
        <v>43.856116666666672</v>
      </c>
      <c r="I1124" s="14">
        <f t="shared" ca="1" si="59"/>
        <v>43.834849999999996</v>
      </c>
      <c r="J1124" s="14">
        <f t="shared" ca="1" si="59"/>
        <v>43.684975000000001</v>
      </c>
      <c r="K1124" s="14">
        <f t="shared" ca="1" si="59"/>
        <v>43.830949999999994</v>
      </c>
      <c r="L1124" s="14">
        <f t="shared" ca="1" si="60"/>
        <v>44.443116666666668</v>
      </c>
      <c r="M1124" s="14">
        <f t="shared" ca="1" si="60"/>
        <v>42.797608333333329</v>
      </c>
      <c r="N1124" s="14">
        <f t="shared" ca="1" si="60"/>
        <v>42.81451666666667</v>
      </c>
      <c r="O1124" s="14">
        <f t="shared" ca="1" si="60"/>
        <v>42.965224999999997</v>
      </c>
      <c r="P1124" s="14">
        <f t="shared" ca="1" si="60"/>
        <v>42.941716666666672</v>
      </c>
      <c r="Q1124" s="14">
        <f t="shared" ca="1" si="60"/>
        <v>43.559924999999993</v>
      </c>
      <c r="R1124" s="14">
        <f t="shared" ca="1" si="60"/>
        <v>44.255808333333334</v>
      </c>
      <c r="S1124" s="14">
        <f t="shared" ca="1" si="60"/>
        <v>41.947774999999993</v>
      </c>
      <c r="T1124" s="48">
        <f t="shared" ca="1" si="61"/>
        <v>357.24568100000005</v>
      </c>
      <c r="U1124" s="48">
        <f t="shared" ca="1" si="61"/>
        <v>142.03263249999998</v>
      </c>
      <c r="V1124" s="48">
        <f t="shared" ca="1" si="61"/>
        <v>50.187500000000007</v>
      </c>
      <c r="W1124" s="48">
        <f t="shared" ca="1" si="61"/>
        <v>5.0822234999999996</v>
      </c>
      <c r="X1124" s="48">
        <f t="shared" ca="1" si="61"/>
        <v>20.758966663999999</v>
      </c>
      <c r="Y1124" s="14"/>
      <c r="Z1124" s="14"/>
      <c r="AA1124" s="14"/>
      <c r="AB1124" s="14">
        <f t="shared" ca="1" si="62"/>
        <v>43.71844162649483</v>
      </c>
      <c r="AC1124" s="14">
        <f t="shared" ca="1" si="62"/>
        <v>42.895286630695445</v>
      </c>
    </row>
    <row r="1125" spans="1:29" ht="15" x14ac:dyDescent="0.2">
      <c r="A1125" s="10">
        <f t="shared" si="34"/>
        <v>2068</v>
      </c>
      <c r="B1125" s="14">
        <f t="shared" ca="1" si="59"/>
        <v>45.358616666666656</v>
      </c>
      <c r="C1125" s="14">
        <f t="shared" ca="1" si="59"/>
        <v>45.364875000000005</v>
      </c>
      <c r="D1125" s="14">
        <f t="shared" ca="1" si="59"/>
        <v>45.528633333333325</v>
      </c>
      <c r="E1125" s="14">
        <f t="shared" ca="1" si="59"/>
        <v>45.561049999999994</v>
      </c>
      <c r="F1125" s="14">
        <f t="shared" ca="1" si="59"/>
        <v>45.386024999999997</v>
      </c>
      <c r="G1125" s="14">
        <f t="shared" ca="1" si="59"/>
        <v>45.403300000000002</v>
      </c>
      <c r="H1125" s="14">
        <f t="shared" ca="1" si="59"/>
        <v>45.550174999999996</v>
      </c>
      <c r="I1125" s="14">
        <f t="shared" ca="1" si="59"/>
        <v>45.534208333333339</v>
      </c>
      <c r="J1125" s="14">
        <f t="shared" ca="1" si="59"/>
        <v>45.379024999999992</v>
      </c>
      <c r="K1125" s="14">
        <f t="shared" ca="1" si="59"/>
        <v>45.530308333333345</v>
      </c>
      <c r="L1125" s="14">
        <f t="shared" ca="1" si="60"/>
        <v>46.137175000000013</v>
      </c>
      <c r="M1125" s="14">
        <f t="shared" ca="1" si="60"/>
        <v>44.456950000000006</v>
      </c>
      <c r="N1125" s="14">
        <f t="shared" ca="1" si="60"/>
        <v>44.473866666666673</v>
      </c>
      <c r="O1125" s="14">
        <f t="shared" ca="1" si="60"/>
        <v>44.624583333333334</v>
      </c>
      <c r="P1125" s="14">
        <f t="shared" ca="1" si="60"/>
        <v>44.606158333333333</v>
      </c>
      <c r="Q1125" s="14">
        <f t="shared" ca="1" si="60"/>
        <v>45.219283333333323</v>
      </c>
      <c r="R1125" s="14">
        <f t="shared" ca="1" si="60"/>
        <v>45.919324999999994</v>
      </c>
      <c r="S1125" s="14">
        <f t="shared" ca="1" si="60"/>
        <v>43.575583333333334</v>
      </c>
      <c r="T1125" s="48">
        <f t="shared" ca="1" si="61"/>
        <v>358.17703550000004</v>
      </c>
      <c r="U1125" s="48">
        <f t="shared" ca="1" si="61"/>
        <v>142.42176299999997</v>
      </c>
      <c r="V1125" s="48">
        <f t="shared" ca="1" si="61"/>
        <v>50.325000000000003</v>
      </c>
      <c r="W1125" s="48">
        <f t="shared" ca="1" si="61"/>
        <v>5.0961473999999995</v>
      </c>
      <c r="X1125" s="48">
        <f t="shared" ca="1" si="61"/>
        <v>20.800615543999996</v>
      </c>
      <c r="Y1125" s="14"/>
      <c r="Z1125" s="14"/>
      <c r="AA1125" s="14"/>
      <c r="AB1125" s="14">
        <f t="shared" ca="1" si="62"/>
        <v>45.412928670477889</v>
      </c>
      <c r="AC1125" s="14">
        <f t="shared" ca="1" si="62"/>
        <v>44.555370143884886</v>
      </c>
    </row>
    <row r="1126" spans="1:29" ht="15" x14ac:dyDescent="0.2">
      <c r="A1126" s="10">
        <f t="shared" si="34"/>
        <v>2069</v>
      </c>
      <c r="B1126" s="14">
        <f t="shared" ca="1" si="59"/>
        <v>47.118391666666668</v>
      </c>
      <c r="C1126" s="14">
        <f t="shared" ca="1" si="59"/>
        <v>47.124675000000003</v>
      </c>
      <c r="D1126" s="14">
        <f t="shared" ca="1" si="59"/>
        <v>47.288408333333336</v>
      </c>
      <c r="E1126" s="14">
        <f t="shared" ca="1" si="59"/>
        <v>47.320850000000007</v>
      </c>
      <c r="F1126" s="14">
        <f t="shared" ca="1" si="59"/>
        <v>47.145824999999995</v>
      </c>
      <c r="G1126" s="14">
        <f t="shared" ca="1" si="59"/>
        <v>47.163100000000007</v>
      </c>
      <c r="H1126" s="14">
        <f t="shared" ca="1" si="59"/>
        <v>47.309941666666667</v>
      </c>
      <c r="I1126" s="14">
        <f t="shared" ca="1" si="59"/>
        <v>47.299508333333335</v>
      </c>
      <c r="J1126" s="14">
        <f t="shared" ca="1" si="59"/>
        <v>47.138825000000004</v>
      </c>
      <c r="K1126" s="14">
        <f t="shared" ca="1" si="59"/>
        <v>47.295625000000001</v>
      </c>
      <c r="L1126" s="14">
        <f t="shared" ca="1" si="60"/>
        <v>47.89694166666667</v>
      </c>
      <c r="M1126" s="14">
        <f t="shared" ca="1" si="60"/>
        <v>46.180666666666667</v>
      </c>
      <c r="N1126" s="14">
        <f t="shared" ca="1" si="60"/>
        <v>46.197583333333334</v>
      </c>
      <c r="O1126" s="14">
        <f t="shared" ca="1" si="60"/>
        <v>46.348300000000002</v>
      </c>
      <c r="P1126" s="14">
        <f t="shared" ca="1" si="60"/>
        <v>46.335183333333333</v>
      </c>
      <c r="Q1126" s="14">
        <f t="shared" ca="1" si="60"/>
        <v>46.943000000000005</v>
      </c>
      <c r="R1126" s="14">
        <f t="shared" ca="1" si="60"/>
        <v>47.64736666666667</v>
      </c>
      <c r="S1126" s="14">
        <f t="shared" ca="1" si="60"/>
        <v>45.266566666666677</v>
      </c>
      <c r="T1126" s="48">
        <f t="shared" ca="1" si="61"/>
        <v>357.24568100000005</v>
      </c>
      <c r="U1126" s="48">
        <f t="shared" ca="1" si="61"/>
        <v>142.03263249999998</v>
      </c>
      <c r="V1126" s="48">
        <f t="shared" ca="1" si="61"/>
        <v>50.187500000000007</v>
      </c>
      <c r="W1126" s="48">
        <f t="shared" ca="1" si="61"/>
        <v>5.0822234999999996</v>
      </c>
      <c r="X1126" s="48">
        <f t="shared" ca="1" si="61"/>
        <v>20.758966663999999</v>
      </c>
      <c r="Y1126" s="14"/>
      <c r="Z1126" s="14"/>
      <c r="AA1126" s="14"/>
      <c r="AB1126" s="14">
        <f t="shared" ca="1" si="62"/>
        <v>47.173178249119566</v>
      </c>
      <c r="AC1126" s="14">
        <f t="shared" ca="1" si="62"/>
        <v>46.279850599520387</v>
      </c>
    </row>
    <row r="1127" spans="1:29" ht="15" x14ac:dyDescent="0.2">
      <c r="A1127" s="10">
        <f t="shared" ref="A1127:A1157" si="63">A1126+1</f>
        <v>2070</v>
      </c>
      <c r="B1127" s="14">
        <f t="shared" ca="1" si="59"/>
        <v>48.946491666666667</v>
      </c>
      <c r="C1127" s="14">
        <f t="shared" ca="1" si="59"/>
        <v>48.952750000000002</v>
      </c>
      <c r="D1127" s="14">
        <f t="shared" ca="1" si="59"/>
        <v>49.116491666666668</v>
      </c>
      <c r="E1127" s="14">
        <f t="shared" ca="1" si="59"/>
        <v>49.148941666666673</v>
      </c>
      <c r="F1127" s="14">
        <f t="shared" ca="1" si="59"/>
        <v>48.973900000000008</v>
      </c>
      <c r="G1127" s="14">
        <f t="shared" ca="1" si="59"/>
        <v>48.991191666666658</v>
      </c>
      <c r="H1127" s="14">
        <f t="shared" ca="1" si="59"/>
        <v>49.13803333333334</v>
      </c>
      <c r="I1127" s="14">
        <f t="shared" ca="1" si="59"/>
        <v>49.133333333333326</v>
      </c>
      <c r="J1127" s="14">
        <f t="shared" ca="1" si="59"/>
        <v>48.966900000000003</v>
      </c>
      <c r="K1127" s="14">
        <f t="shared" ca="1" si="59"/>
        <v>49.129433333333331</v>
      </c>
      <c r="L1127" s="14">
        <f t="shared" ca="1" si="60"/>
        <v>49.725033333333336</v>
      </c>
      <c r="M1127" s="14">
        <f t="shared" ca="1" si="60"/>
        <v>47.971300000000006</v>
      </c>
      <c r="N1127" s="14">
        <f t="shared" ca="1" si="60"/>
        <v>47.988233333333341</v>
      </c>
      <c r="O1127" s="14">
        <f t="shared" ca="1" si="60"/>
        <v>48.138916666666667</v>
      </c>
      <c r="P1127" s="14">
        <f t="shared" ca="1" si="60"/>
        <v>48.131300000000003</v>
      </c>
      <c r="Q1127" s="14">
        <f t="shared" ca="1" si="60"/>
        <v>48.73361666666667</v>
      </c>
      <c r="R1127" s="14">
        <f t="shared" ca="1" si="60"/>
        <v>49.442466666666661</v>
      </c>
      <c r="S1127" s="14">
        <f t="shared" ca="1" si="60"/>
        <v>47.023166666666668</v>
      </c>
      <c r="T1127" s="48">
        <f t="shared" ca="1" si="61"/>
        <v>357.24568100000005</v>
      </c>
      <c r="U1127" s="48">
        <f t="shared" ca="1" si="61"/>
        <v>142.03263249999998</v>
      </c>
      <c r="V1127" s="48">
        <f t="shared" ca="1" si="61"/>
        <v>50.187500000000007</v>
      </c>
      <c r="W1127" s="48">
        <f t="shared" ca="1" si="61"/>
        <v>5.0822234999999996</v>
      </c>
      <c r="X1127" s="48">
        <f t="shared" ca="1" si="61"/>
        <v>20.758966663999999</v>
      </c>
      <c r="Y1127" s="14"/>
      <c r="Z1127" s="14"/>
      <c r="AA1127" s="14"/>
      <c r="AB1127" s="14">
        <f t="shared" ca="1" si="62"/>
        <v>49.001733479947198</v>
      </c>
      <c r="AC1127" s="14">
        <f t="shared" ca="1" si="62"/>
        <v>48.071266306954435</v>
      </c>
    </row>
    <row r="1128" spans="1:29" ht="15" x14ac:dyDescent="0.2">
      <c r="A1128" s="10">
        <f t="shared" si="63"/>
        <v>2071</v>
      </c>
      <c r="B1128" s="14">
        <f t="shared" ca="1" si="59"/>
        <v>50.845499999999994</v>
      </c>
      <c r="C1128" s="14">
        <f t="shared" ca="1" si="59"/>
        <v>50.851783333333337</v>
      </c>
      <c r="D1128" s="14">
        <f t="shared" ca="1" si="59"/>
        <v>51.015516666666663</v>
      </c>
      <c r="E1128" s="14">
        <f t="shared" ca="1" si="59"/>
        <v>51.047941666666667</v>
      </c>
      <c r="F1128" s="14">
        <f t="shared" ca="1" si="59"/>
        <v>50.872949999999996</v>
      </c>
      <c r="G1128" s="14">
        <f t="shared" ca="1" si="59"/>
        <v>50.890208333333334</v>
      </c>
      <c r="H1128" s="14">
        <f t="shared" ca="1" si="59"/>
        <v>51.037049999999994</v>
      </c>
      <c r="I1128" s="14">
        <f t="shared" ca="1" si="59"/>
        <v>51.038291666666659</v>
      </c>
      <c r="J1128" s="14">
        <f t="shared" ca="1" si="59"/>
        <v>50.865950000000005</v>
      </c>
      <c r="K1128" s="14">
        <f t="shared" ca="1" si="59"/>
        <v>51.034391666666664</v>
      </c>
      <c r="L1128" s="14">
        <f t="shared" ca="1" si="60"/>
        <v>51.624050000000004</v>
      </c>
      <c r="M1128" s="14">
        <f t="shared" ca="1" si="60"/>
        <v>49.83144166666667</v>
      </c>
      <c r="N1128" s="14">
        <f t="shared" ca="1" si="60"/>
        <v>49.84834166666667</v>
      </c>
      <c r="O1128" s="14">
        <f t="shared" ca="1" si="60"/>
        <v>49.99904999999999</v>
      </c>
      <c r="P1128" s="14">
        <f t="shared" ca="1" si="60"/>
        <v>49.997099999999996</v>
      </c>
      <c r="Q1128" s="14">
        <f t="shared" ca="1" si="60"/>
        <v>50.59375</v>
      </c>
      <c r="R1128" s="14">
        <f t="shared" ca="1" si="60"/>
        <v>51.307216666666669</v>
      </c>
      <c r="S1128" s="14">
        <f t="shared" ca="1" si="60"/>
        <v>48.847924999999996</v>
      </c>
      <c r="T1128" s="48">
        <f t="shared" ca="1" si="61"/>
        <v>357.24568100000005</v>
      </c>
      <c r="U1128" s="48">
        <f t="shared" ca="1" si="61"/>
        <v>142.03263249999998</v>
      </c>
      <c r="V1128" s="48">
        <f t="shared" ca="1" si="61"/>
        <v>50.187500000000007</v>
      </c>
      <c r="W1128" s="48">
        <f t="shared" ca="1" si="61"/>
        <v>5.0822234999999996</v>
      </c>
      <c r="X1128" s="48">
        <f t="shared" ca="1" si="61"/>
        <v>20.758966663999999</v>
      </c>
      <c r="Y1128" s="14"/>
      <c r="Z1128" s="14"/>
      <c r="AA1128" s="14"/>
      <c r="AB1128" s="14">
        <f t="shared" ca="1" si="62"/>
        <v>50.901251140905153</v>
      </c>
      <c r="AC1128" s="14">
        <f t="shared" ca="1" si="62"/>
        <v>49.93221642685851</v>
      </c>
    </row>
    <row r="1129" spans="1:29" ht="15" x14ac:dyDescent="0.2">
      <c r="A1129" s="10">
        <f t="shared" si="63"/>
        <v>2072</v>
      </c>
      <c r="B1129" s="14">
        <f t="shared" ref="B1129:K1138" ca="1" si="64">AVERAGE(OFFSET(B$601,($A1129-$A$1119)*12,0,12,1))</f>
        <v>52.818241666666673</v>
      </c>
      <c r="C1129" s="14">
        <f t="shared" ca="1" si="64"/>
        <v>52.824508333333334</v>
      </c>
      <c r="D1129" s="14">
        <f t="shared" ca="1" si="64"/>
        <v>52.988258333333334</v>
      </c>
      <c r="E1129" s="14">
        <f t="shared" ca="1" si="64"/>
        <v>53.020675000000004</v>
      </c>
      <c r="F1129" s="14">
        <f t="shared" ca="1" si="64"/>
        <v>52.845674999999993</v>
      </c>
      <c r="G1129" s="14">
        <f t="shared" ca="1" si="64"/>
        <v>52.862933333333331</v>
      </c>
      <c r="H1129" s="14">
        <f t="shared" ca="1" si="64"/>
        <v>53.009800000000006</v>
      </c>
      <c r="I1129" s="14">
        <f t="shared" ca="1" si="64"/>
        <v>53.017191666666662</v>
      </c>
      <c r="J1129" s="14">
        <f t="shared" ca="1" si="64"/>
        <v>52.838675000000016</v>
      </c>
      <c r="K1129" s="14">
        <f t="shared" ca="1" si="64"/>
        <v>53.013291666666667</v>
      </c>
      <c r="L1129" s="14">
        <f t="shared" ref="L1129:S1138" ca="1" si="65">AVERAGE(OFFSET(L$601,($A1129-$A$1119)*12,0,12,1))</f>
        <v>53.596800000000002</v>
      </c>
      <c r="M1129" s="14">
        <f t="shared" ca="1" si="65"/>
        <v>51.763733333333334</v>
      </c>
      <c r="N1129" s="14">
        <f t="shared" ca="1" si="65"/>
        <v>51.780641666666668</v>
      </c>
      <c r="O1129" s="14">
        <f t="shared" ca="1" si="65"/>
        <v>51.931341666666668</v>
      </c>
      <c r="P1129" s="14">
        <f t="shared" ca="1" si="65"/>
        <v>51.93535833333334</v>
      </c>
      <c r="Q1129" s="14">
        <f t="shared" ca="1" si="65"/>
        <v>52.526041666666664</v>
      </c>
      <c r="R1129" s="14">
        <f t="shared" ca="1" si="65"/>
        <v>53.244358333333317</v>
      </c>
      <c r="S1129" s="14">
        <f t="shared" ca="1" si="65"/>
        <v>50.743541666666665</v>
      </c>
      <c r="T1129" s="48">
        <f t="shared" ref="T1129:X1138" ca="1" si="66">SUM(OFFSET(T$601,($A1129-$A$1119)*12,0,12,1))</f>
        <v>358.17703550000004</v>
      </c>
      <c r="U1129" s="48">
        <f t="shared" ca="1" si="66"/>
        <v>142.42176299999997</v>
      </c>
      <c r="V1129" s="48">
        <f t="shared" ca="1" si="66"/>
        <v>50.325000000000003</v>
      </c>
      <c r="W1129" s="48">
        <f t="shared" ca="1" si="66"/>
        <v>5.0961473999999995</v>
      </c>
      <c r="X1129" s="48">
        <f t="shared" ca="1" si="66"/>
        <v>20.800615543999996</v>
      </c>
      <c r="Y1129" s="14"/>
      <c r="Z1129" s="14"/>
      <c r="AA1129" s="14"/>
      <c r="AB1129" s="14">
        <f t="shared" ca="1" si="62"/>
        <v>52.874489344458262</v>
      </c>
      <c r="AC1129" s="14">
        <f t="shared" ca="1" si="62"/>
        <v>51.865367086330942</v>
      </c>
    </row>
    <row r="1130" spans="1:29" ht="15" x14ac:dyDescent="0.2">
      <c r="A1130" s="10">
        <f t="shared" si="63"/>
        <v>2073</v>
      </c>
      <c r="B1130" s="14">
        <f t="shared" ca="1" si="64"/>
        <v>54.867525000000008</v>
      </c>
      <c r="C1130" s="14">
        <f t="shared" ca="1" si="64"/>
        <v>54.873791666666655</v>
      </c>
      <c r="D1130" s="14">
        <f t="shared" ca="1" si="64"/>
        <v>55.037533333333329</v>
      </c>
      <c r="E1130" s="14">
        <f t="shared" ca="1" si="64"/>
        <v>55.069933333333346</v>
      </c>
      <c r="F1130" s="14">
        <f t="shared" ca="1" si="64"/>
        <v>54.894933333333334</v>
      </c>
      <c r="G1130" s="14">
        <f t="shared" ca="1" si="64"/>
        <v>54.912183333333331</v>
      </c>
      <c r="H1130" s="14">
        <f t="shared" ca="1" si="64"/>
        <v>55.059075</v>
      </c>
      <c r="I1130" s="14">
        <f t="shared" ca="1" si="64"/>
        <v>55.072900000000004</v>
      </c>
      <c r="J1130" s="14">
        <f t="shared" ca="1" si="64"/>
        <v>54.887933333333329</v>
      </c>
      <c r="K1130" s="14">
        <f t="shared" ca="1" si="64"/>
        <v>55.069016666666663</v>
      </c>
      <c r="L1130" s="14">
        <f t="shared" ca="1" si="65"/>
        <v>55.646074999999996</v>
      </c>
      <c r="M1130" s="14">
        <f t="shared" ca="1" si="65"/>
        <v>53.771000000000008</v>
      </c>
      <c r="N1130" s="14">
        <f t="shared" ca="1" si="65"/>
        <v>53.787941666666676</v>
      </c>
      <c r="O1130" s="14">
        <f t="shared" ca="1" si="65"/>
        <v>53.938633333333335</v>
      </c>
      <c r="P1130" s="14">
        <f t="shared" ca="1" si="65"/>
        <v>53.948783333333331</v>
      </c>
      <c r="Q1130" s="14">
        <f t="shared" ca="1" si="65"/>
        <v>54.533333333333339</v>
      </c>
      <c r="R1130" s="14">
        <f t="shared" ca="1" si="65"/>
        <v>55.256658333333341</v>
      </c>
      <c r="S1130" s="14">
        <f t="shared" ca="1" si="65"/>
        <v>52.712683333333331</v>
      </c>
      <c r="T1130" s="48">
        <f t="shared" ca="1" si="66"/>
        <v>357.24568100000005</v>
      </c>
      <c r="U1130" s="48">
        <f t="shared" ca="1" si="66"/>
        <v>142.03263249999998</v>
      </c>
      <c r="V1130" s="48">
        <f t="shared" ca="1" si="66"/>
        <v>50.187500000000007</v>
      </c>
      <c r="W1130" s="48">
        <f t="shared" ca="1" si="66"/>
        <v>5.0822234999999996</v>
      </c>
      <c r="X1130" s="48">
        <f t="shared" ca="1" si="66"/>
        <v>20.758966663999999</v>
      </c>
      <c r="Y1130" s="14"/>
      <c r="Z1130" s="14"/>
      <c r="AA1130" s="14"/>
      <c r="AB1130" s="14">
        <f t="shared" ca="1" si="62"/>
        <v>54.924288768347459</v>
      </c>
      <c r="AC1130" s="14">
        <f t="shared" ca="1" si="62"/>
        <v>53.873533093525189</v>
      </c>
    </row>
    <row r="1131" spans="1:29" ht="15" x14ac:dyDescent="0.2">
      <c r="A1131" s="10">
        <f t="shared" si="63"/>
        <v>2074</v>
      </c>
      <c r="B1131" s="14">
        <f t="shared" ca="1" si="64"/>
        <v>56.996308333333339</v>
      </c>
      <c r="C1131" s="14">
        <f t="shared" ca="1" si="64"/>
        <v>57.002566666666667</v>
      </c>
      <c r="D1131" s="14">
        <f t="shared" ca="1" si="64"/>
        <v>57.166324999999993</v>
      </c>
      <c r="E1131" s="14">
        <f t="shared" ca="1" si="64"/>
        <v>57.198749999999997</v>
      </c>
      <c r="F1131" s="14">
        <f t="shared" ca="1" si="64"/>
        <v>57.023733333333332</v>
      </c>
      <c r="G1131" s="14">
        <f t="shared" ca="1" si="64"/>
        <v>57.041008333333338</v>
      </c>
      <c r="H1131" s="14">
        <f t="shared" ca="1" si="64"/>
        <v>57.187866666666672</v>
      </c>
      <c r="I1131" s="14">
        <f t="shared" ca="1" si="64"/>
        <v>57.20836666666667</v>
      </c>
      <c r="J1131" s="14">
        <f t="shared" ca="1" si="64"/>
        <v>57.016733333333327</v>
      </c>
      <c r="K1131" s="14">
        <f t="shared" ca="1" si="64"/>
        <v>57.204466666666661</v>
      </c>
      <c r="L1131" s="14">
        <f t="shared" ca="1" si="65"/>
        <v>57.774866666666675</v>
      </c>
      <c r="M1131" s="14">
        <f t="shared" ca="1" si="65"/>
        <v>55.856208333333335</v>
      </c>
      <c r="N1131" s="14">
        <f t="shared" ca="1" si="65"/>
        <v>55.873100000000015</v>
      </c>
      <c r="O1131" s="14">
        <f t="shared" ca="1" si="65"/>
        <v>56.023816666666669</v>
      </c>
      <c r="P1131" s="14">
        <f t="shared" ca="1" si="65"/>
        <v>56.040366666666664</v>
      </c>
      <c r="Q1131" s="14">
        <f t="shared" ca="1" si="65"/>
        <v>56.618516666666672</v>
      </c>
      <c r="R1131" s="14">
        <f t="shared" ca="1" si="65"/>
        <v>57.347058333333329</v>
      </c>
      <c r="S1131" s="14">
        <f t="shared" ca="1" si="65"/>
        <v>54.758249999999983</v>
      </c>
      <c r="T1131" s="48">
        <f t="shared" ca="1" si="66"/>
        <v>357.24568100000005</v>
      </c>
      <c r="U1131" s="48">
        <f t="shared" ca="1" si="66"/>
        <v>142.03263249999998</v>
      </c>
      <c r="V1131" s="48">
        <f t="shared" ca="1" si="66"/>
        <v>50.187500000000007</v>
      </c>
      <c r="W1131" s="48">
        <f t="shared" ca="1" si="66"/>
        <v>5.0822234999999996</v>
      </c>
      <c r="X1131" s="48">
        <f t="shared" ca="1" si="66"/>
        <v>20.758966663999999</v>
      </c>
      <c r="Y1131" s="14"/>
      <c r="Z1131" s="14"/>
      <c r="AA1131" s="14"/>
      <c r="AB1131" s="14">
        <f t="shared" ca="1" si="62"/>
        <v>57.053632804473345</v>
      </c>
      <c r="AC1131" s="14">
        <f t="shared" ca="1" si="62"/>
        <v>55.959644484412472</v>
      </c>
    </row>
    <row r="1132" spans="1:29" ht="15" x14ac:dyDescent="0.2">
      <c r="A1132" s="10">
        <f t="shared" si="63"/>
        <v>2075</v>
      </c>
      <c r="B1132" s="14">
        <f t="shared" ca="1" si="64"/>
        <v>59.207725000000011</v>
      </c>
      <c r="C1132" s="14">
        <f t="shared" ca="1" si="64"/>
        <v>59.213999999999999</v>
      </c>
      <c r="D1132" s="14">
        <f t="shared" ca="1" si="64"/>
        <v>59.377725000000005</v>
      </c>
      <c r="E1132" s="14">
        <f t="shared" ca="1" si="64"/>
        <v>59.410149999999994</v>
      </c>
      <c r="F1132" s="14">
        <f t="shared" ca="1" si="64"/>
        <v>59.235133333333323</v>
      </c>
      <c r="G1132" s="14">
        <f t="shared" ca="1" si="64"/>
        <v>59.252400000000002</v>
      </c>
      <c r="H1132" s="14">
        <f t="shared" ca="1" si="64"/>
        <v>59.399266666666676</v>
      </c>
      <c r="I1132" s="14">
        <f t="shared" ca="1" si="64"/>
        <v>59.426700000000004</v>
      </c>
      <c r="J1132" s="14">
        <f t="shared" ca="1" si="64"/>
        <v>59.228133333333339</v>
      </c>
      <c r="K1132" s="14">
        <f t="shared" ca="1" si="64"/>
        <v>59.422799999999995</v>
      </c>
      <c r="L1132" s="14">
        <f t="shared" ca="1" si="65"/>
        <v>59.986266666666666</v>
      </c>
      <c r="M1132" s="14">
        <f t="shared" ca="1" si="65"/>
        <v>58.022291666666668</v>
      </c>
      <c r="N1132" s="14">
        <f t="shared" ca="1" si="65"/>
        <v>58.039208333333342</v>
      </c>
      <c r="O1132" s="14">
        <f t="shared" ca="1" si="65"/>
        <v>58.189916666666669</v>
      </c>
      <c r="P1132" s="14">
        <f t="shared" ca="1" si="65"/>
        <v>58.213108333333331</v>
      </c>
      <c r="Q1132" s="14">
        <f t="shared" ca="1" si="65"/>
        <v>58.784616666666658</v>
      </c>
      <c r="R1132" s="14">
        <f t="shared" ca="1" si="65"/>
        <v>59.518583333333339</v>
      </c>
      <c r="S1132" s="14">
        <f t="shared" ca="1" si="65"/>
        <v>56.883183333333335</v>
      </c>
      <c r="T1132" s="48">
        <f t="shared" ca="1" si="66"/>
        <v>357.24568100000005</v>
      </c>
      <c r="U1132" s="48">
        <f t="shared" ca="1" si="66"/>
        <v>142.03263249999998</v>
      </c>
      <c r="V1132" s="48">
        <f t="shared" ca="1" si="66"/>
        <v>50.187500000000007</v>
      </c>
      <c r="W1132" s="48">
        <f t="shared" ca="1" si="66"/>
        <v>5.0822234999999996</v>
      </c>
      <c r="X1132" s="48">
        <f t="shared" ca="1" si="66"/>
        <v>20.758966663999999</v>
      </c>
      <c r="Y1132" s="14"/>
      <c r="Z1132" s="14"/>
      <c r="AA1132" s="14"/>
      <c r="AB1132" s="14">
        <f t="shared" ca="1" si="62"/>
        <v>59.265613145809418</v>
      </c>
      <c r="AC1132" s="14">
        <f t="shared" ca="1" si="62"/>
        <v>58.1266948441247</v>
      </c>
    </row>
    <row r="1133" spans="1:29" ht="15" x14ac:dyDescent="0.2">
      <c r="A1133" s="10">
        <f t="shared" si="63"/>
        <v>2076</v>
      </c>
      <c r="B1133" s="14">
        <f t="shared" ca="1" si="64"/>
        <v>61.504950000000001</v>
      </c>
      <c r="C1133" s="14">
        <f t="shared" ca="1" si="64"/>
        <v>61.51124166666667</v>
      </c>
      <c r="D1133" s="14">
        <f t="shared" ca="1" si="64"/>
        <v>61.67496666666667</v>
      </c>
      <c r="E1133" s="14">
        <f t="shared" ca="1" si="64"/>
        <v>61.707366666666665</v>
      </c>
      <c r="F1133" s="14">
        <f t="shared" ca="1" si="64"/>
        <v>61.532383333333343</v>
      </c>
      <c r="G1133" s="14">
        <f t="shared" ca="1" si="64"/>
        <v>61.549633333333333</v>
      </c>
      <c r="H1133" s="14">
        <f t="shared" ca="1" si="64"/>
        <v>61.696508333333334</v>
      </c>
      <c r="I1133" s="14">
        <f t="shared" ca="1" si="64"/>
        <v>61.731116666666672</v>
      </c>
      <c r="J1133" s="14">
        <f t="shared" ca="1" si="64"/>
        <v>61.52538333333333</v>
      </c>
      <c r="K1133" s="14">
        <f t="shared" ca="1" si="64"/>
        <v>61.727225000000004</v>
      </c>
      <c r="L1133" s="14">
        <f t="shared" ca="1" si="65"/>
        <v>62.283508333333337</v>
      </c>
      <c r="M1133" s="14">
        <f t="shared" ca="1" si="65"/>
        <v>60.272458333333333</v>
      </c>
      <c r="N1133" s="14">
        <f t="shared" ca="1" si="65"/>
        <v>60.289358333333332</v>
      </c>
      <c r="O1133" s="14">
        <f t="shared" ca="1" si="65"/>
        <v>60.44006666666666</v>
      </c>
      <c r="P1133" s="14">
        <f t="shared" ca="1" si="65"/>
        <v>60.470183333333324</v>
      </c>
      <c r="Q1133" s="14">
        <f t="shared" ca="1" si="65"/>
        <v>61.034766666666677</v>
      </c>
      <c r="R1133" s="14">
        <f t="shared" ca="1" si="65"/>
        <v>61.774350000000005</v>
      </c>
      <c r="S1133" s="14">
        <f t="shared" ca="1" si="65"/>
        <v>59.090591666666661</v>
      </c>
      <c r="T1133" s="48">
        <f t="shared" ca="1" si="66"/>
        <v>358.17703550000004</v>
      </c>
      <c r="U1133" s="48">
        <f t="shared" ca="1" si="66"/>
        <v>142.42176299999997</v>
      </c>
      <c r="V1133" s="48">
        <f t="shared" ca="1" si="66"/>
        <v>50.325000000000003</v>
      </c>
      <c r="W1133" s="48">
        <f t="shared" ca="1" si="66"/>
        <v>5.0961473999999995</v>
      </c>
      <c r="X1133" s="48">
        <f t="shared" ca="1" si="66"/>
        <v>20.800615543999996</v>
      </c>
      <c r="Y1133" s="14"/>
      <c r="Z1133" s="14"/>
      <c r="AA1133" s="14"/>
      <c r="AB1133" s="14">
        <f t="shared" ca="1" si="62"/>
        <v>61.563444190577563</v>
      </c>
      <c r="AC1133" s="14">
        <f t="shared" ca="1" si="62"/>
        <v>60.377847002398084</v>
      </c>
    </row>
    <row r="1134" spans="1:29" ht="15" x14ac:dyDescent="0.2">
      <c r="A1134" s="10">
        <f t="shared" si="63"/>
        <v>2077</v>
      </c>
      <c r="B1134" s="14">
        <f t="shared" ca="1" si="64"/>
        <v>63.891316666666661</v>
      </c>
      <c r="C1134" s="14">
        <f t="shared" ca="1" si="64"/>
        <v>63.89758333333333</v>
      </c>
      <c r="D1134" s="14">
        <f t="shared" ca="1" si="64"/>
        <v>64.061341666666678</v>
      </c>
      <c r="E1134" s="14">
        <f t="shared" ca="1" si="64"/>
        <v>64.093775000000008</v>
      </c>
      <c r="F1134" s="14">
        <f t="shared" ca="1" si="64"/>
        <v>63.918741666666669</v>
      </c>
      <c r="G1134" s="14">
        <f t="shared" ca="1" si="64"/>
        <v>63.936016666666667</v>
      </c>
      <c r="H1134" s="14">
        <f t="shared" ca="1" si="64"/>
        <v>64.082883333333342</v>
      </c>
      <c r="I1134" s="14">
        <f t="shared" ca="1" si="64"/>
        <v>64.124966666666651</v>
      </c>
      <c r="J1134" s="14">
        <f t="shared" ca="1" si="64"/>
        <v>63.911741666666671</v>
      </c>
      <c r="K1134" s="14">
        <f t="shared" ca="1" si="64"/>
        <v>64.121075000000005</v>
      </c>
      <c r="L1134" s="14">
        <f t="shared" ca="1" si="65"/>
        <v>64.669883333333331</v>
      </c>
      <c r="M1134" s="14">
        <f t="shared" ca="1" si="65"/>
        <v>62.609933333333338</v>
      </c>
      <c r="N1134" s="14">
        <f t="shared" ca="1" si="65"/>
        <v>62.626849999999997</v>
      </c>
      <c r="O1134" s="14">
        <f t="shared" ca="1" si="65"/>
        <v>62.777558333333332</v>
      </c>
      <c r="P1134" s="14">
        <f t="shared" ca="1" si="65"/>
        <v>62.814825000000006</v>
      </c>
      <c r="Q1134" s="14">
        <f t="shared" ca="1" si="65"/>
        <v>63.372258333333342</v>
      </c>
      <c r="R1134" s="14">
        <f t="shared" ca="1" si="65"/>
        <v>64.117691666666659</v>
      </c>
      <c r="S1134" s="14">
        <f t="shared" ca="1" si="65"/>
        <v>61.383675000000004</v>
      </c>
      <c r="T1134" s="48">
        <f t="shared" ca="1" si="66"/>
        <v>357.24568100000005</v>
      </c>
      <c r="U1134" s="48">
        <f t="shared" ca="1" si="66"/>
        <v>142.03263249999998</v>
      </c>
      <c r="V1134" s="48">
        <f t="shared" ca="1" si="66"/>
        <v>50.187500000000007</v>
      </c>
      <c r="W1134" s="48">
        <f t="shared" ca="1" si="66"/>
        <v>5.0822234999999996</v>
      </c>
      <c r="X1134" s="48">
        <f t="shared" ca="1" si="66"/>
        <v>20.758966663999999</v>
      </c>
      <c r="Y1134" s="14"/>
      <c r="Z1134" s="14"/>
      <c r="AA1134" s="14"/>
      <c r="AB1134" s="14">
        <f t="shared" ca="1" si="62"/>
        <v>63.950425111236747</v>
      </c>
      <c r="AC1134" s="14">
        <f t="shared" ca="1" si="62"/>
        <v>62.716361690647481</v>
      </c>
    </row>
    <row r="1135" spans="1:29" ht="15" x14ac:dyDescent="0.2">
      <c r="A1135" s="10">
        <f t="shared" si="63"/>
        <v>2078</v>
      </c>
      <c r="B1135" s="14">
        <f t="shared" ca="1" si="64"/>
        <v>66.370308333333327</v>
      </c>
      <c r="C1135" s="14">
        <f t="shared" ca="1" si="64"/>
        <v>66.376583333333329</v>
      </c>
      <c r="D1135" s="14">
        <f t="shared" ca="1" si="64"/>
        <v>66.54032500000001</v>
      </c>
      <c r="E1135" s="14">
        <f t="shared" ca="1" si="64"/>
        <v>66.572741666666658</v>
      </c>
      <c r="F1135" s="14">
        <f t="shared" ca="1" si="64"/>
        <v>66.397733333333335</v>
      </c>
      <c r="G1135" s="14">
        <f t="shared" ca="1" si="64"/>
        <v>66.415008333333347</v>
      </c>
      <c r="H1135" s="14">
        <f t="shared" ca="1" si="64"/>
        <v>66.561866666666674</v>
      </c>
      <c r="I1135" s="14">
        <f t="shared" ca="1" si="64"/>
        <v>66.611699999999985</v>
      </c>
      <c r="J1135" s="14">
        <f t="shared" ca="1" si="64"/>
        <v>66.39073333333333</v>
      </c>
      <c r="K1135" s="14">
        <f t="shared" ca="1" si="64"/>
        <v>66.607816666666665</v>
      </c>
      <c r="L1135" s="14">
        <f t="shared" ca="1" si="65"/>
        <v>67.148866666666677</v>
      </c>
      <c r="M1135" s="14">
        <f t="shared" ca="1" si="65"/>
        <v>65.038116666666667</v>
      </c>
      <c r="N1135" s="14">
        <f t="shared" ca="1" si="65"/>
        <v>65.055041666666668</v>
      </c>
      <c r="O1135" s="14">
        <f t="shared" ca="1" si="65"/>
        <v>65.205741666666668</v>
      </c>
      <c r="P1135" s="14">
        <f t="shared" ca="1" si="65"/>
        <v>65.250458333333327</v>
      </c>
      <c r="Q1135" s="14">
        <f t="shared" ca="1" si="65"/>
        <v>65.800441666666671</v>
      </c>
      <c r="R1135" s="14">
        <f t="shared" ca="1" si="65"/>
        <v>66.551958333333332</v>
      </c>
      <c r="S1135" s="14">
        <f t="shared" ca="1" si="65"/>
        <v>63.765716666666663</v>
      </c>
      <c r="T1135" s="48">
        <f t="shared" ca="1" si="66"/>
        <v>357.24568100000005</v>
      </c>
      <c r="U1135" s="48">
        <f t="shared" ca="1" si="66"/>
        <v>142.03263249999998</v>
      </c>
      <c r="V1135" s="48">
        <f t="shared" ca="1" si="66"/>
        <v>50.187500000000007</v>
      </c>
      <c r="W1135" s="48">
        <f t="shared" ca="1" si="66"/>
        <v>5.0822234999999996</v>
      </c>
      <c r="X1135" s="48">
        <f t="shared" ca="1" si="66"/>
        <v>20.758966663999999</v>
      </c>
      <c r="Y1135" s="14"/>
      <c r="Z1135" s="14"/>
      <c r="AA1135" s="14"/>
      <c r="AB1135" s="14">
        <f t="shared" ca="1" si="62"/>
        <v>66.430054280281183</v>
      </c>
      <c r="AC1135" s="14">
        <f t="shared" ca="1" si="62"/>
        <v>65.145617446043175</v>
      </c>
    </row>
    <row r="1136" spans="1:29" ht="15" x14ac:dyDescent="0.2">
      <c r="A1136" s="10">
        <f t="shared" si="63"/>
        <v>2079</v>
      </c>
      <c r="B1136" s="14">
        <f t="shared" ca="1" si="64"/>
        <v>68.945483333333328</v>
      </c>
      <c r="C1136" s="14">
        <f t="shared" ca="1" si="64"/>
        <v>68.95174999999999</v>
      </c>
      <c r="D1136" s="14">
        <f t="shared" ca="1" si="64"/>
        <v>69.115491666666671</v>
      </c>
      <c r="E1136" s="14">
        <f t="shared" ca="1" si="64"/>
        <v>69.147925000000001</v>
      </c>
      <c r="F1136" s="14">
        <f t="shared" ca="1" si="64"/>
        <v>68.972891666666683</v>
      </c>
      <c r="G1136" s="14">
        <f t="shared" ca="1" si="64"/>
        <v>68.990166666666667</v>
      </c>
      <c r="H1136" s="14">
        <f t="shared" ca="1" si="64"/>
        <v>69.137033333333349</v>
      </c>
      <c r="I1136" s="14">
        <f t="shared" ca="1" si="64"/>
        <v>69.194941666666679</v>
      </c>
      <c r="J1136" s="14">
        <f t="shared" ca="1" si="64"/>
        <v>68.965891666666664</v>
      </c>
      <c r="K1136" s="14">
        <f t="shared" ca="1" si="64"/>
        <v>69.191041666666663</v>
      </c>
      <c r="L1136" s="14">
        <f t="shared" ca="1" si="65"/>
        <v>69.724033333333338</v>
      </c>
      <c r="M1136" s="14">
        <f t="shared" ca="1" si="65"/>
        <v>67.560549999999992</v>
      </c>
      <c r="N1136" s="14">
        <f t="shared" ca="1" si="65"/>
        <v>67.577466666666666</v>
      </c>
      <c r="O1136" s="14">
        <f t="shared" ca="1" si="65"/>
        <v>67.728166666666667</v>
      </c>
      <c r="P1136" s="14">
        <f t="shared" ca="1" si="65"/>
        <v>67.780608333333348</v>
      </c>
      <c r="Q1136" s="14">
        <f t="shared" ca="1" si="65"/>
        <v>68.32286666666667</v>
      </c>
      <c r="R1136" s="14">
        <f t="shared" ca="1" si="65"/>
        <v>69.080666666666673</v>
      </c>
      <c r="S1136" s="14">
        <f t="shared" ca="1" si="65"/>
        <v>66.240208333333314</v>
      </c>
      <c r="T1136" s="48">
        <f t="shared" ca="1" si="66"/>
        <v>357.24568100000005</v>
      </c>
      <c r="U1136" s="48">
        <f t="shared" ca="1" si="66"/>
        <v>142.03263249999998</v>
      </c>
      <c r="V1136" s="48">
        <f t="shared" ca="1" si="66"/>
        <v>50.187500000000007</v>
      </c>
      <c r="W1136" s="48">
        <f t="shared" ca="1" si="66"/>
        <v>5.0822234999999996</v>
      </c>
      <c r="X1136" s="48">
        <f t="shared" ca="1" si="66"/>
        <v>20.758966663999999</v>
      </c>
      <c r="Y1136" s="14"/>
      <c r="Z1136" s="14"/>
      <c r="AA1136" s="14"/>
      <c r="AB1136" s="14">
        <f t="shared" ca="1" si="62"/>
        <v>69.005884070070337</v>
      </c>
      <c r="AC1136" s="14">
        <f t="shared" ca="1" si="62"/>
        <v>67.669156834532359</v>
      </c>
    </row>
    <row r="1137" spans="1:29" ht="15" x14ac:dyDescent="0.2">
      <c r="A1137" s="10">
        <f t="shared" si="63"/>
        <v>2080</v>
      </c>
      <c r="B1137" s="14">
        <f t="shared" ca="1" si="64"/>
        <v>71.620599999999996</v>
      </c>
      <c r="C1137" s="14">
        <f t="shared" ca="1" si="64"/>
        <v>71.626883333333325</v>
      </c>
      <c r="D1137" s="14">
        <f t="shared" ca="1" si="64"/>
        <v>71.790633333333332</v>
      </c>
      <c r="E1137" s="14">
        <f t="shared" ca="1" si="64"/>
        <v>71.823041666666668</v>
      </c>
      <c r="F1137" s="14">
        <f t="shared" ca="1" si="64"/>
        <v>71.648049999999998</v>
      </c>
      <c r="G1137" s="14">
        <f t="shared" ca="1" si="64"/>
        <v>71.665291666666661</v>
      </c>
      <c r="H1137" s="14">
        <f t="shared" ca="1" si="64"/>
        <v>71.812158333333329</v>
      </c>
      <c r="I1137" s="14">
        <f t="shared" ca="1" si="64"/>
        <v>71.87844166666666</v>
      </c>
      <c r="J1137" s="14">
        <f t="shared" ca="1" si="64"/>
        <v>71.641049999999993</v>
      </c>
      <c r="K1137" s="14">
        <f t="shared" ca="1" si="64"/>
        <v>71.874549999999999</v>
      </c>
      <c r="L1137" s="14">
        <f t="shared" ca="1" si="65"/>
        <v>72.399158333333332</v>
      </c>
      <c r="M1137" s="14">
        <f t="shared" ca="1" si="65"/>
        <v>70.180833333333325</v>
      </c>
      <c r="N1137" s="14">
        <f t="shared" ca="1" si="65"/>
        <v>70.197775000000007</v>
      </c>
      <c r="O1137" s="14">
        <f t="shared" ca="1" si="65"/>
        <v>70.348466666666667</v>
      </c>
      <c r="P1137" s="14">
        <f t="shared" ca="1" si="65"/>
        <v>70.408966666666672</v>
      </c>
      <c r="Q1137" s="14">
        <f t="shared" ca="1" si="65"/>
        <v>70.94316666666667</v>
      </c>
      <c r="R1137" s="14">
        <f t="shared" ca="1" si="65"/>
        <v>71.70753333333333</v>
      </c>
      <c r="S1137" s="14">
        <f t="shared" ca="1" si="65"/>
        <v>68.810716666666664</v>
      </c>
      <c r="T1137" s="48">
        <f t="shared" ca="1" si="66"/>
        <v>358.17703550000004</v>
      </c>
      <c r="U1137" s="48">
        <f t="shared" ca="1" si="66"/>
        <v>142.42176299999997</v>
      </c>
      <c r="V1137" s="48">
        <f t="shared" ca="1" si="66"/>
        <v>50.325000000000003</v>
      </c>
      <c r="W1137" s="48">
        <f t="shared" ca="1" si="66"/>
        <v>5.0961473999999995</v>
      </c>
      <c r="X1137" s="48">
        <f t="shared" ca="1" si="66"/>
        <v>20.800615543999996</v>
      </c>
      <c r="Y1137" s="14"/>
      <c r="Z1137" s="14"/>
      <c r="AA1137" s="14"/>
      <c r="AB1137" s="14">
        <f t="shared" ca="1" si="62"/>
        <v>71.681710606773933</v>
      </c>
      <c r="AC1137" s="14">
        <f t="shared" ca="1" si="62"/>
        <v>70.290611031175061</v>
      </c>
    </row>
    <row r="1138" spans="1:29" ht="15" x14ac:dyDescent="0.2">
      <c r="A1138" s="10">
        <f t="shared" si="63"/>
        <v>2081</v>
      </c>
      <c r="B1138" s="14">
        <f t="shared" ca="1" si="64"/>
        <v>74.399516666666671</v>
      </c>
      <c r="C1138" s="14">
        <f t="shared" ca="1" si="64"/>
        <v>74.40580833333334</v>
      </c>
      <c r="D1138" s="14">
        <f t="shared" ca="1" si="64"/>
        <v>74.569541666666666</v>
      </c>
      <c r="E1138" s="14">
        <f t="shared" ca="1" si="64"/>
        <v>74.601966666666669</v>
      </c>
      <c r="F1138" s="14">
        <f t="shared" ca="1" si="64"/>
        <v>74.426958333333332</v>
      </c>
      <c r="G1138" s="14">
        <f t="shared" ca="1" si="64"/>
        <v>74.444224999999989</v>
      </c>
      <c r="H1138" s="14">
        <f t="shared" ca="1" si="64"/>
        <v>74.591074999999989</v>
      </c>
      <c r="I1138" s="14">
        <f t="shared" ca="1" si="64"/>
        <v>74.666091666666674</v>
      </c>
      <c r="J1138" s="14">
        <f t="shared" ca="1" si="64"/>
        <v>74.419958333333327</v>
      </c>
      <c r="K1138" s="14">
        <f t="shared" ca="1" si="64"/>
        <v>74.662199999999999</v>
      </c>
      <c r="L1138" s="14">
        <f t="shared" ca="1" si="65"/>
        <v>75.178074999999993</v>
      </c>
      <c r="M1138" s="14">
        <f t="shared" ca="1" si="65"/>
        <v>72.902824999999993</v>
      </c>
      <c r="N1138" s="14">
        <f t="shared" ca="1" si="65"/>
        <v>72.91975833333332</v>
      </c>
      <c r="O1138" s="14">
        <f t="shared" ca="1" si="65"/>
        <v>73.070458333333335</v>
      </c>
      <c r="P1138" s="14">
        <f t="shared" ca="1" si="65"/>
        <v>73.139300000000006</v>
      </c>
      <c r="Q1138" s="14">
        <f t="shared" ca="1" si="65"/>
        <v>73.665158333333324</v>
      </c>
      <c r="R1138" s="14">
        <f t="shared" ca="1" si="65"/>
        <v>74.436333333333323</v>
      </c>
      <c r="S1138" s="14">
        <f t="shared" ca="1" si="65"/>
        <v>71.481016666666662</v>
      </c>
      <c r="T1138" s="48">
        <f t="shared" ca="1" si="66"/>
        <v>357.24568100000005</v>
      </c>
      <c r="U1138" s="48">
        <f t="shared" ca="1" si="66"/>
        <v>142.03263249999998</v>
      </c>
      <c r="V1138" s="48">
        <f t="shared" ca="1" si="66"/>
        <v>50.187500000000007</v>
      </c>
      <c r="W1138" s="48">
        <f t="shared" ca="1" si="66"/>
        <v>5.0822234999999996</v>
      </c>
      <c r="X1138" s="48">
        <f t="shared" ca="1" si="66"/>
        <v>20.758966663999999</v>
      </c>
      <c r="Y1138" s="14"/>
      <c r="Z1138" s="14"/>
      <c r="AA1138" s="14"/>
      <c r="AB1138" s="14">
        <f t="shared" ca="1" si="62"/>
        <v>74.461349032811015</v>
      </c>
      <c r="AC1138" s="14">
        <f t="shared" ca="1" si="62"/>
        <v>73.013802458033567</v>
      </c>
    </row>
    <row r="1139" spans="1:29" ht="15" x14ac:dyDescent="0.2">
      <c r="A1139" s="10">
        <f t="shared" si="63"/>
        <v>2082</v>
      </c>
      <c r="B1139" s="14">
        <f t="shared" ref="B1139:K1148" ca="1" si="67">AVERAGE(OFFSET(B$601,($A1139-$A$1119)*12,0,12,1))</f>
        <v>77.286299999999997</v>
      </c>
      <c r="C1139" s="14">
        <f t="shared" ca="1" si="67"/>
        <v>77.292583333333326</v>
      </c>
      <c r="D1139" s="14">
        <f t="shared" ca="1" si="67"/>
        <v>77.456325000000007</v>
      </c>
      <c r="E1139" s="14">
        <f t="shared" ca="1" si="67"/>
        <v>77.48874166666667</v>
      </c>
      <c r="F1139" s="14">
        <f t="shared" ca="1" si="67"/>
        <v>77.313716666666664</v>
      </c>
      <c r="G1139" s="14">
        <f t="shared" ca="1" si="67"/>
        <v>77.331000000000003</v>
      </c>
      <c r="H1139" s="14">
        <f t="shared" ca="1" si="67"/>
        <v>77.477858333333316</v>
      </c>
      <c r="I1139" s="14">
        <f t="shared" ca="1" si="67"/>
        <v>77.561891666666682</v>
      </c>
      <c r="J1139" s="14">
        <f t="shared" ca="1" si="67"/>
        <v>77.306716666666674</v>
      </c>
      <c r="K1139" s="14">
        <f t="shared" ca="1" si="67"/>
        <v>77.557999999999993</v>
      </c>
      <c r="L1139" s="14">
        <f t="shared" ref="L1139:S1148" ca="1" si="68">AVERAGE(OFFSET(L$601,($A1139-$A$1119)*12,0,12,1))</f>
        <v>78.064858333333333</v>
      </c>
      <c r="M1139" s="14">
        <f t="shared" ca="1" si="68"/>
        <v>75.730466666666658</v>
      </c>
      <c r="N1139" s="14">
        <f t="shared" ca="1" si="68"/>
        <v>75.747358333333338</v>
      </c>
      <c r="O1139" s="14">
        <f t="shared" ca="1" si="68"/>
        <v>75.898099999999999</v>
      </c>
      <c r="P1139" s="14">
        <f t="shared" ca="1" si="68"/>
        <v>75.975583333333347</v>
      </c>
      <c r="Q1139" s="14">
        <f t="shared" ca="1" si="68"/>
        <v>76.492800000000003</v>
      </c>
      <c r="R1139" s="14">
        <f t="shared" ca="1" si="68"/>
        <v>77.271008333333342</v>
      </c>
      <c r="S1139" s="14">
        <f t="shared" ca="1" si="68"/>
        <v>74.254900000000006</v>
      </c>
      <c r="T1139" s="48">
        <f t="shared" ref="T1139:X1148" ca="1" si="69">SUM(OFFSET(T$601,($A1139-$A$1119)*12,0,12,1))</f>
        <v>357.24568100000005</v>
      </c>
      <c r="U1139" s="48">
        <f t="shared" ca="1" si="69"/>
        <v>142.03263249999998</v>
      </c>
      <c r="V1139" s="48">
        <f t="shared" ca="1" si="69"/>
        <v>50.187500000000007</v>
      </c>
      <c r="W1139" s="48">
        <f t="shared" ca="1" si="69"/>
        <v>5.0822234999999996</v>
      </c>
      <c r="X1139" s="48">
        <f t="shared" ca="1" si="69"/>
        <v>20.758966663999999</v>
      </c>
      <c r="Y1139" s="14"/>
      <c r="Z1139" s="14"/>
      <c r="AA1139" s="14"/>
      <c r="AB1139" s="14">
        <f t="shared" ref="AB1139:AC1157" ca="1" si="70">AVERAGE(OFFSET(AB$601,($A1139-$A$1119)*12,0,12,1))</f>
        <v>77.348864221894075</v>
      </c>
      <c r="AC1139" s="14">
        <f t="shared" ca="1" si="70"/>
        <v>75.842685131894484</v>
      </c>
    </row>
    <row r="1140" spans="1:29" ht="15" x14ac:dyDescent="0.2">
      <c r="A1140" s="10">
        <f t="shared" si="63"/>
        <v>2083</v>
      </c>
      <c r="B1140" s="14">
        <f t="shared" ca="1" si="67"/>
        <v>80.2851</v>
      </c>
      <c r="C1140" s="14">
        <f t="shared" ca="1" si="67"/>
        <v>80.291366666666661</v>
      </c>
      <c r="D1140" s="14">
        <f t="shared" ca="1" si="67"/>
        <v>80.455100000000002</v>
      </c>
      <c r="E1140" s="14">
        <f t="shared" ca="1" si="67"/>
        <v>80.487533333333332</v>
      </c>
      <c r="F1140" s="14">
        <f t="shared" ca="1" si="67"/>
        <v>80.312525000000008</v>
      </c>
      <c r="G1140" s="14">
        <f t="shared" ca="1" si="67"/>
        <v>80.329774999999998</v>
      </c>
      <c r="H1140" s="14">
        <f t="shared" ca="1" si="67"/>
        <v>80.476641666666666</v>
      </c>
      <c r="I1140" s="14">
        <f t="shared" ca="1" si="67"/>
        <v>80.570075000000017</v>
      </c>
      <c r="J1140" s="14">
        <f t="shared" ca="1" si="67"/>
        <v>80.305525000000003</v>
      </c>
      <c r="K1140" s="14">
        <f t="shared" ca="1" si="67"/>
        <v>80.566175000000001</v>
      </c>
      <c r="L1140" s="14">
        <f t="shared" ca="1" si="68"/>
        <v>81.063641666666669</v>
      </c>
      <c r="M1140" s="14">
        <f t="shared" ca="1" si="68"/>
        <v>78.667808333333326</v>
      </c>
      <c r="N1140" s="14">
        <f t="shared" ca="1" si="68"/>
        <v>78.684733333333341</v>
      </c>
      <c r="O1140" s="14">
        <f t="shared" ca="1" si="68"/>
        <v>78.835433333333341</v>
      </c>
      <c r="P1140" s="14">
        <f t="shared" ca="1" si="68"/>
        <v>78.92195000000001</v>
      </c>
      <c r="Q1140" s="14">
        <f t="shared" ca="1" si="68"/>
        <v>79.43013333333333</v>
      </c>
      <c r="R1140" s="14">
        <f t="shared" ca="1" si="68"/>
        <v>80.215700000000012</v>
      </c>
      <c r="S1140" s="14">
        <f t="shared" ca="1" si="68"/>
        <v>77.136433333333329</v>
      </c>
      <c r="T1140" s="48">
        <f t="shared" ca="1" si="69"/>
        <v>357.24568100000005</v>
      </c>
      <c r="U1140" s="48">
        <f t="shared" ca="1" si="69"/>
        <v>142.03263249999998</v>
      </c>
      <c r="V1140" s="48">
        <f t="shared" ca="1" si="69"/>
        <v>50.187500000000007</v>
      </c>
      <c r="W1140" s="48">
        <f t="shared" ca="1" si="69"/>
        <v>5.0822234999999996</v>
      </c>
      <c r="X1140" s="48">
        <f t="shared" ca="1" si="69"/>
        <v>20.758966663999999</v>
      </c>
      <c r="Y1140" s="14"/>
      <c r="Z1140" s="14"/>
      <c r="AA1140" s="14"/>
      <c r="AB1140" s="14">
        <f t="shared" ca="1" si="70"/>
        <v>80.348430042659913</v>
      </c>
      <c r="AC1140" s="14">
        <f t="shared" ca="1" si="70"/>
        <v>78.78132350119904</v>
      </c>
    </row>
    <row r="1141" spans="1:29" ht="15" x14ac:dyDescent="0.2">
      <c r="A1141" s="10">
        <f t="shared" si="63"/>
        <v>2084</v>
      </c>
      <c r="B1141" s="14">
        <f t="shared" ca="1" si="67"/>
        <v>83.400258333333326</v>
      </c>
      <c r="C1141" s="14">
        <f t="shared" ca="1" si="67"/>
        <v>83.406533333333329</v>
      </c>
      <c r="D1141" s="14">
        <f t="shared" ca="1" si="67"/>
        <v>83.570266666666683</v>
      </c>
      <c r="E1141" s="14">
        <f t="shared" ca="1" si="67"/>
        <v>83.602691666666672</v>
      </c>
      <c r="F1141" s="14">
        <f t="shared" ca="1" si="67"/>
        <v>83.427691666666675</v>
      </c>
      <c r="G1141" s="14">
        <f t="shared" ca="1" si="67"/>
        <v>83.444958333333332</v>
      </c>
      <c r="H1141" s="14">
        <f t="shared" ca="1" si="67"/>
        <v>83.591808333333333</v>
      </c>
      <c r="I1141" s="14">
        <f t="shared" ca="1" si="67"/>
        <v>83.695008333333334</v>
      </c>
      <c r="J1141" s="14">
        <f t="shared" ca="1" si="67"/>
        <v>83.42069166666667</v>
      </c>
      <c r="K1141" s="14">
        <f t="shared" ca="1" si="67"/>
        <v>83.691116666666673</v>
      </c>
      <c r="L1141" s="14">
        <f t="shared" ca="1" si="68"/>
        <v>84.178808333333336</v>
      </c>
      <c r="M1141" s="14">
        <f t="shared" ca="1" si="68"/>
        <v>81.719149999999985</v>
      </c>
      <c r="N1141" s="14">
        <f t="shared" ca="1" si="68"/>
        <v>81.736074999999985</v>
      </c>
      <c r="O1141" s="14">
        <f t="shared" ca="1" si="68"/>
        <v>81.886783333333341</v>
      </c>
      <c r="P1141" s="14">
        <f t="shared" ca="1" si="68"/>
        <v>81.982650000000007</v>
      </c>
      <c r="Q1141" s="14">
        <f t="shared" ca="1" si="68"/>
        <v>82.48148333333333</v>
      </c>
      <c r="R1141" s="14">
        <f t="shared" ca="1" si="68"/>
        <v>83.274666666666647</v>
      </c>
      <c r="S1141" s="14">
        <f t="shared" ca="1" si="68"/>
        <v>80.129799999999989</v>
      </c>
      <c r="T1141" s="48">
        <f t="shared" ca="1" si="69"/>
        <v>358.17703550000004</v>
      </c>
      <c r="U1141" s="48">
        <f t="shared" ca="1" si="69"/>
        <v>142.42176299999997</v>
      </c>
      <c r="V1141" s="48">
        <f t="shared" ca="1" si="69"/>
        <v>50.325000000000003</v>
      </c>
      <c r="W1141" s="48">
        <f t="shared" ca="1" si="69"/>
        <v>5.0961473999999995</v>
      </c>
      <c r="X1141" s="48">
        <f t="shared" ca="1" si="69"/>
        <v>20.800615543999996</v>
      </c>
      <c r="Y1141" s="14"/>
      <c r="Z1141" s="14"/>
      <c r="AA1141" s="14"/>
      <c r="AB1141" s="14">
        <f t="shared" ca="1" si="70"/>
        <v>83.464402450508075</v>
      </c>
      <c r="AC1141" s="14">
        <f t="shared" ca="1" si="70"/>
        <v>81.834015467625889</v>
      </c>
    </row>
    <row r="1142" spans="1:29" ht="15" x14ac:dyDescent="0.2">
      <c r="A1142" s="10">
        <f t="shared" si="63"/>
        <v>2085</v>
      </c>
      <c r="B1142" s="14">
        <f t="shared" ca="1" si="67"/>
        <v>86.636324999999999</v>
      </c>
      <c r="C1142" s="14">
        <f t="shared" ca="1" si="67"/>
        <v>86.642583333333334</v>
      </c>
      <c r="D1142" s="14">
        <f t="shared" ca="1" si="67"/>
        <v>86.806341666666654</v>
      </c>
      <c r="E1142" s="14">
        <f t="shared" ca="1" si="67"/>
        <v>86.838750000000005</v>
      </c>
      <c r="F1142" s="14">
        <f t="shared" ca="1" si="67"/>
        <v>86.663741666666667</v>
      </c>
      <c r="G1142" s="14">
        <f t="shared" ca="1" si="67"/>
        <v>86.681024999999991</v>
      </c>
      <c r="H1142" s="14">
        <f t="shared" ca="1" si="67"/>
        <v>86.827874999999992</v>
      </c>
      <c r="I1142" s="14">
        <f t="shared" ca="1" si="67"/>
        <v>86.941199999999995</v>
      </c>
      <c r="J1142" s="14">
        <f t="shared" ca="1" si="67"/>
        <v>86.656741666666676</v>
      </c>
      <c r="K1142" s="14">
        <f t="shared" ca="1" si="67"/>
        <v>86.937299999999993</v>
      </c>
      <c r="L1142" s="14">
        <f t="shared" ca="1" si="68"/>
        <v>87.414874999999995</v>
      </c>
      <c r="M1142" s="14">
        <f t="shared" ca="1" si="68"/>
        <v>84.888900000000007</v>
      </c>
      <c r="N1142" s="14">
        <f t="shared" ca="1" si="68"/>
        <v>84.905816666666666</v>
      </c>
      <c r="O1142" s="14">
        <f t="shared" ca="1" si="68"/>
        <v>85.056524999999993</v>
      </c>
      <c r="P1142" s="14">
        <f t="shared" ca="1" si="68"/>
        <v>85.16213333333333</v>
      </c>
      <c r="Q1142" s="14">
        <f t="shared" ca="1" si="68"/>
        <v>85.651224999999997</v>
      </c>
      <c r="R1142" s="14">
        <f t="shared" ca="1" si="68"/>
        <v>86.45235000000001</v>
      </c>
      <c r="S1142" s="14">
        <f t="shared" ca="1" si="68"/>
        <v>83.239325000000008</v>
      </c>
      <c r="T1142" s="48">
        <f t="shared" ca="1" si="69"/>
        <v>357.24568100000005</v>
      </c>
      <c r="U1142" s="48">
        <f t="shared" ca="1" si="69"/>
        <v>142.03263249999998</v>
      </c>
      <c r="V1142" s="48">
        <f t="shared" ca="1" si="69"/>
        <v>50.187500000000007</v>
      </c>
      <c r="W1142" s="48">
        <f t="shared" ca="1" si="69"/>
        <v>5.0822234999999996</v>
      </c>
      <c r="X1142" s="48">
        <f t="shared" ca="1" si="69"/>
        <v>20.758966663999999</v>
      </c>
      <c r="Y1142" s="14"/>
      <c r="Z1142" s="14"/>
      <c r="AA1142" s="14"/>
      <c r="AB1142" s="14">
        <f t="shared" ca="1" si="70"/>
        <v>86.701295332100131</v>
      </c>
      <c r="AC1142" s="14">
        <f t="shared" ca="1" si="70"/>
        <v>85.005161690647483</v>
      </c>
    </row>
    <row r="1143" spans="1:29" ht="15" x14ac:dyDescent="0.2">
      <c r="A1143" s="10">
        <f t="shared" si="63"/>
        <v>2086</v>
      </c>
      <c r="B1143" s="14">
        <f t="shared" ca="1" si="67"/>
        <v>89.997941666666676</v>
      </c>
      <c r="C1143" s="14">
        <f t="shared" ca="1" si="67"/>
        <v>90.004216666666665</v>
      </c>
      <c r="D1143" s="14">
        <f t="shared" ca="1" si="67"/>
        <v>90.167958333333331</v>
      </c>
      <c r="E1143" s="14">
        <f t="shared" ca="1" si="67"/>
        <v>90.200391666666675</v>
      </c>
      <c r="F1143" s="14">
        <f t="shared" ca="1" si="67"/>
        <v>90.025383333333352</v>
      </c>
      <c r="G1143" s="14">
        <f t="shared" ca="1" si="67"/>
        <v>90.042650000000023</v>
      </c>
      <c r="H1143" s="14">
        <f t="shared" ca="1" si="67"/>
        <v>90.189499999999995</v>
      </c>
      <c r="I1143" s="14">
        <f t="shared" ca="1" si="67"/>
        <v>90.313350000000014</v>
      </c>
      <c r="J1143" s="14">
        <f t="shared" ca="1" si="67"/>
        <v>90.018383333333347</v>
      </c>
      <c r="K1143" s="14">
        <f t="shared" ca="1" si="67"/>
        <v>90.309466666666665</v>
      </c>
      <c r="L1143" s="14">
        <f t="shared" ca="1" si="68"/>
        <v>90.776499999999999</v>
      </c>
      <c r="M1143" s="14">
        <f t="shared" ca="1" si="68"/>
        <v>88.181666666666658</v>
      </c>
      <c r="N1143" s="14">
        <f t="shared" ca="1" si="68"/>
        <v>88.198575000000005</v>
      </c>
      <c r="O1143" s="14">
        <f t="shared" ca="1" si="68"/>
        <v>88.349283333333332</v>
      </c>
      <c r="P1143" s="14">
        <f t="shared" ca="1" si="68"/>
        <v>88.464999999999989</v>
      </c>
      <c r="Q1143" s="14">
        <f t="shared" ca="1" si="68"/>
        <v>88.943983333333335</v>
      </c>
      <c r="R1143" s="14">
        <f t="shared" ca="1" si="68"/>
        <v>89.753350000000012</v>
      </c>
      <c r="S1143" s="14">
        <f t="shared" ca="1" si="68"/>
        <v>86.46952499999999</v>
      </c>
      <c r="T1143" s="48">
        <f t="shared" ca="1" si="69"/>
        <v>357.24568100000005</v>
      </c>
      <c r="U1143" s="48">
        <f t="shared" ca="1" si="69"/>
        <v>142.03263249999998</v>
      </c>
      <c r="V1143" s="48">
        <f t="shared" ca="1" si="69"/>
        <v>50.187500000000007</v>
      </c>
      <c r="W1143" s="48">
        <f t="shared" ca="1" si="69"/>
        <v>5.0822234999999996</v>
      </c>
      <c r="X1143" s="48">
        <f t="shared" ca="1" si="69"/>
        <v>20.758966663999999</v>
      </c>
      <c r="Y1143" s="14"/>
      <c r="Z1143" s="14"/>
      <c r="AA1143" s="14"/>
      <c r="AB1143" s="14">
        <f t="shared" ca="1" si="70"/>
        <v>90.063792963951201</v>
      </c>
      <c r="AC1143" s="14">
        <f t="shared" ca="1" si="70"/>
        <v>88.299377338129503</v>
      </c>
    </row>
    <row r="1144" spans="1:29" ht="15" x14ac:dyDescent="0.2">
      <c r="A1144" s="10">
        <f t="shared" si="63"/>
        <v>2087</v>
      </c>
      <c r="B1144" s="14">
        <f t="shared" ca="1" si="67"/>
        <v>93.490041666666642</v>
      </c>
      <c r="C1144" s="14">
        <f t="shared" ca="1" si="67"/>
        <v>93.496308333333332</v>
      </c>
      <c r="D1144" s="14">
        <f t="shared" ca="1" si="67"/>
        <v>93.660058333333339</v>
      </c>
      <c r="E1144" s="14">
        <f t="shared" ca="1" si="67"/>
        <v>93.69250000000001</v>
      </c>
      <c r="F1144" s="14">
        <f t="shared" ca="1" si="67"/>
        <v>93.517475000000005</v>
      </c>
      <c r="G1144" s="14">
        <f t="shared" ca="1" si="67"/>
        <v>93.534750000000017</v>
      </c>
      <c r="H1144" s="14">
        <f t="shared" ca="1" si="67"/>
        <v>93.681600000000017</v>
      </c>
      <c r="I1144" s="14">
        <f t="shared" ca="1" si="67"/>
        <v>93.81638333333332</v>
      </c>
      <c r="J1144" s="14">
        <f t="shared" ca="1" si="67"/>
        <v>93.510475</v>
      </c>
      <c r="K1144" s="14">
        <f t="shared" ca="1" si="67"/>
        <v>93.812491666666673</v>
      </c>
      <c r="L1144" s="14">
        <f t="shared" ca="1" si="68"/>
        <v>94.268600000000006</v>
      </c>
      <c r="M1144" s="14">
        <f t="shared" ca="1" si="68"/>
        <v>91.602199999999996</v>
      </c>
      <c r="N1144" s="14">
        <f t="shared" ca="1" si="68"/>
        <v>91.61911666666667</v>
      </c>
      <c r="O1144" s="14">
        <f t="shared" ca="1" si="68"/>
        <v>91.769816666666671</v>
      </c>
      <c r="P1144" s="14">
        <f t="shared" ca="1" si="68"/>
        <v>91.896033333333321</v>
      </c>
      <c r="Q1144" s="14">
        <f t="shared" ca="1" si="68"/>
        <v>92.36451666666666</v>
      </c>
      <c r="R1144" s="14">
        <f t="shared" ca="1" si="68"/>
        <v>93.18243333333335</v>
      </c>
      <c r="S1144" s="14">
        <f t="shared" ca="1" si="68"/>
        <v>89.825066666666672</v>
      </c>
      <c r="T1144" s="48">
        <f t="shared" ca="1" si="69"/>
        <v>357.24568100000005</v>
      </c>
      <c r="U1144" s="48">
        <f t="shared" ca="1" si="69"/>
        <v>142.03263249999998</v>
      </c>
      <c r="V1144" s="48">
        <f t="shared" ca="1" si="69"/>
        <v>50.187500000000007</v>
      </c>
      <c r="W1144" s="48">
        <f t="shared" ca="1" si="69"/>
        <v>5.0822234999999996</v>
      </c>
      <c r="X1144" s="48">
        <f t="shared" ca="1" si="69"/>
        <v>20.758966663999999</v>
      </c>
      <c r="Y1144" s="14"/>
      <c r="Z1144" s="14"/>
      <c r="AA1144" s="14"/>
      <c r="AB1144" s="14">
        <f t="shared" ca="1" si="70"/>
        <v>93.556790036363466</v>
      </c>
      <c r="AC1144" s="14">
        <f t="shared" ca="1" si="70"/>
        <v>91.721421942446042</v>
      </c>
    </row>
    <row r="1145" spans="1:29" ht="15" x14ac:dyDescent="0.2">
      <c r="A1145" s="10">
        <f t="shared" si="63"/>
        <v>2088</v>
      </c>
      <c r="B1145" s="14">
        <f t="shared" ca="1" si="67"/>
        <v>97.117641666666671</v>
      </c>
      <c r="C1145" s="14">
        <f t="shared" ca="1" si="67"/>
        <v>97.123925</v>
      </c>
      <c r="D1145" s="14">
        <f t="shared" ca="1" si="67"/>
        <v>97.287666666666667</v>
      </c>
      <c r="E1145" s="14">
        <f t="shared" ca="1" si="67"/>
        <v>97.320091666666656</v>
      </c>
      <c r="F1145" s="14">
        <f t="shared" ca="1" si="67"/>
        <v>97.145066666666665</v>
      </c>
      <c r="G1145" s="14">
        <f t="shared" ca="1" si="67"/>
        <v>97.162350000000004</v>
      </c>
      <c r="H1145" s="14">
        <f t="shared" ca="1" si="67"/>
        <v>97.309191666666678</v>
      </c>
      <c r="I1145" s="14">
        <f t="shared" ca="1" si="67"/>
        <v>97.455333333333328</v>
      </c>
      <c r="J1145" s="14">
        <f t="shared" ca="1" si="67"/>
        <v>97.13806666666666</v>
      </c>
      <c r="K1145" s="14">
        <f t="shared" ca="1" si="67"/>
        <v>97.451458333333335</v>
      </c>
      <c r="L1145" s="14">
        <f t="shared" ca="1" si="68"/>
        <v>97.896191666666667</v>
      </c>
      <c r="M1145" s="14">
        <f t="shared" ca="1" si="68"/>
        <v>95.155474999999981</v>
      </c>
      <c r="N1145" s="14">
        <f t="shared" ca="1" si="68"/>
        <v>95.172399999999996</v>
      </c>
      <c r="O1145" s="14">
        <f t="shared" ca="1" si="68"/>
        <v>95.323099999999997</v>
      </c>
      <c r="P1145" s="14">
        <f t="shared" ca="1" si="68"/>
        <v>95.460216666666668</v>
      </c>
      <c r="Q1145" s="14">
        <f t="shared" ca="1" si="68"/>
        <v>95.9178</v>
      </c>
      <c r="R1145" s="14">
        <f t="shared" ca="1" si="68"/>
        <v>96.744600000000005</v>
      </c>
      <c r="S1145" s="14">
        <f t="shared" ca="1" si="68"/>
        <v>93.310841666666661</v>
      </c>
      <c r="T1145" s="48">
        <f t="shared" ca="1" si="69"/>
        <v>358.17703550000004</v>
      </c>
      <c r="U1145" s="48">
        <f t="shared" ca="1" si="69"/>
        <v>142.42176299999997</v>
      </c>
      <c r="V1145" s="48">
        <f t="shared" ca="1" si="69"/>
        <v>50.325000000000003</v>
      </c>
      <c r="W1145" s="48">
        <f t="shared" ca="1" si="69"/>
        <v>5.0961473999999995</v>
      </c>
      <c r="X1145" s="48">
        <f t="shared" ca="1" si="69"/>
        <v>20.800615543999996</v>
      </c>
      <c r="Y1145" s="14"/>
      <c r="Z1145" s="14"/>
      <c r="AA1145" s="14"/>
      <c r="AB1145" s="14">
        <f t="shared" ca="1" si="70"/>
        <v>97.185326965850777</v>
      </c>
      <c r="AC1145" s="14">
        <f t="shared" ca="1" si="70"/>
        <v>95.276270743405277</v>
      </c>
    </row>
    <row r="1146" spans="1:29" ht="15" x14ac:dyDescent="0.2">
      <c r="A1146" s="10">
        <f t="shared" si="63"/>
        <v>2089</v>
      </c>
      <c r="B1146" s="14">
        <f t="shared" ca="1" si="67"/>
        <v>100.88604166666666</v>
      </c>
      <c r="C1146" s="14">
        <f t="shared" ca="1" si="67"/>
        <v>100.89230833333333</v>
      </c>
      <c r="D1146" s="14">
        <f t="shared" ca="1" si="67"/>
        <v>101.05605833333334</v>
      </c>
      <c r="E1146" s="14">
        <f t="shared" ca="1" si="67"/>
        <v>101.08846666666666</v>
      </c>
      <c r="F1146" s="14">
        <f t="shared" ca="1" si="67"/>
        <v>100.91345</v>
      </c>
      <c r="G1146" s="14">
        <f t="shared" ca="1" si="67"/>
        <v>100.93072500000001</v>
      </c>
      <c r="H1146" s="14">
        <f t="shared" ca="1" si="67"/>
        <v>101.07760000000002</v>
      </c>
      <c r="I1146" s="14">
        <f t="shared" ca="1" si="67"/>
        <v>101.23553333333335</v>
      </c>
      <c r="J1146" s="14">
        <f t="shared" ca="1" si="67"/>
        <v>100.90645000000001</v>
      </c>
      <c r="K1146" s="14">
        <f t="shared" ca="1" si="67"/>
        <v>101.23163333333332</v>
      </c>
      <c r="L1146" s="14">
        <f t="shared" ca="1" si="68"/>
        <v>101.66460000000001</v>
      </c>
      <c r="M1146" s="14">
        <f t="shared" ca="1" si="68"/>
        <v>98.846641666666685</v>
      </c>
      <c r="N1146" s="14">
        <f t="shared" ca="1" si="68"/>
        <v>98.86355833333333</v>
      </c>
      <c r="O1146" s="14">
        <f t="shared" ca="1" si="68"/>
        <v>99.014274999999998</v>
      </c>
      <c r="P1146" s="14">
        <f t="shared" ca="1" si="68"/>
        <v>99.16269166666666</v>
      </c>
      <c r="Q1146" s="14">
        <f t="shared" ca="1" si="68"/>
        <v>99.608974999999987</v>
      </c>
      <c r="R1146" s="14">
        <f t="shared" ca="1" si="68"/>
        <v>100.44498333333333</v>
      </c>
      <c r="S1146" s="14">
        <f t="shared" ca="1" si="68"/>
        <v>96.931891666666672</v>
      </c>
      <c r="T1146" s="48">
        <f t="shared" ca="1" si="69"/>
        <v>357.24568100000005</v>
      </c>
      <c r="U1146" s="48">
        <f t="shared" ca="1" si="69"/>
        <v>142.03263249999998</v>
      </c>
      <c r="V1146" s="48">
        <f t="shared" ca="1" si="69"/>
        <v>50.187500000000007</v>
      </c>
      <c r="W1146" s="48">
        <f t="shared" ca="1" si="69"/>
        <v>5.0822234999999996</v>
      </c>
      <c r="X1146" s="48">
        <f t="shared" ca="1" si="69"/>
        <v>20.758966663999999</v>
      </c>
      <c r="Y1146" s="14"/>
      <c r="Z1146" s="14"/>
      <c r="AA1146" s="14"/>
      <c r="AB1146" s="14">
        <f t="shared" ca="1" si="70"/>
        <v>100.9546853760372</v>
      </c>
      <c r="AC1146" s="14">
        <f t="shared" ca="1" si="70"/>
        <v>98.969067805755401</v>
      </c>
    </row>
    <row r="1147" spans="1:29" ht="15" x14ac:dyDescent="0.2">
      <c r="A1147" s="10">
        <f t="shared" si="63"/>
        <v>2090</v>
      </c>
      <c r="B1147" s="14">
        <f t="shared" ca="1" si="67"/>
        <v>104.80065833333333</v>
      </c>
      <c r="C1147" s="14">
        <f t="shared" ca="1" si="67"/>
        <v>104.80692499999999</v>
      </c>
      <c r="D1147" s="14">
        <f t="shared" ca="1" si="67"/>
        <v>104.97066666666666</v>
      </c>
      <c r="E1147" s="14">
        <f t="shared" ca="1" si="67"/>
        <v>105.00308333333334</v>
      </c>
      <c r="F1147" s="14">
        <f t="shared" ca="1" si="67"/>
        <v>104.82806666666666</v>
      </c>
      <c r="G1147" s="14">
        <f t="shared" ca="1" si="67"/>
        <v>104.84534166666667</v>
      </c>
      <c r="H1147" s="14">
        <f t="shared" ca="1" si="67"/>
        <v>104.99220833333332</v>
      </c>
      <c r="I1147" s="14">
        <f t="shared" ca="1" si="67"/>
        <v>105.16240000000001</v>
      </c>
      <c r="J1147" s="14">
        <f t="shared" ca="1" si="67"/>
        <v>104.82106666666668</v>
      </c>
      <c r="K1147" s="14">
        <f t="shared" ca="1" si="67"/>
        <v>105.15853333333332</v>
      </c>
      <c r="L1147" s="14">
        <f t="shared" ca="1" si="68"/>
        <v>105.57920833333333</v>
      </c>
      <c r="M1147" s="14">
        <f t="shared" ca="1" si="68"/>
        <v>102.68105000000001</v>
      </c>
      <c r="N1147" s="14">
        <f t="shared" ca="1" si="68"/>
        <v>102.697975</v>
      </c>
      <c r="O1147" s="14">
        <f t="shared" ca="1" si="68"/>
        <v>102.84866666666666</v>
      </c>
      <c r="P1147" s="14">
        <f t="shared" ca="1" si="68"/>
        <v>103.00885833333332</v>
      </c>
      <c r="Q1147" s="14">
        <f t="shared" ca="1" si="68"/>
        <v>103.44336666666668</v>
      </c>
      <c r="R1147" s="14">
        <f t="shared" ca="1" si="68"/>
        <v>104.28898333333332</v>
      </c>
      <c r="S1147" s="14">
        <f t="shared" ca="1" si="68"/>
        <v>100.69342499999999</v>
      </c>
      <c r="T1147" s="48">
        <f t="shared" ca="1" si="69"/>
        <v>357.24568100000005</v>
      </c>
      <c r="U1147" s="48">
        <f t="shared" ca="1" si="69"/>
        <v>142.03263249999998</v>
      </c>
      <c r="V1147" s="48">
        <f t="shared" ca="1" si="69"/>
        <v>50.187500000000007</v>
      </c>
      <c r="W1147" s="48">
        <f t="shared" ca="1" si="69"/>
        <v>5.0822234999999996</v>
      </c>
      <c r="X1147" s="48">
        <f t="shared" ca="1" si="69"/>
        <v>20.758966663999999</v>
      </c>
      <c r="Y1147" s="14"/>
      <c r="Z1147" s="14"/>
      <c r="AA1147" s="14"/>
      <c r="AB1147" s="14">
        <f t="shared" ca="1" si="70"/>
        <v>104.87031085950203</v>
      </c>
      <c r="AC1147" s="14">
        <f t="shared" ca="1" si="70"/>
        <v>102.80516091127099</v>
      </c>
    </row>
    <row r="1148" spans="1:29" ht="15" x14ac:dyDescent="0.2">
      <c r="A1148" s="10">
        <f t="shared" si="63"/>
        <v>2091</v>
      </c>
      <c r="B1148" s="14">
        <f t="shared" ca="1" si="67"/>
        <v>108.86716666666668</v>
      </c>
      <c r="C1148" s="14">
        <f t="shared" ca="1" si="67"/>
        <v>108.87344166666664</v>
      </c>
      <c r="D1148" s="14">
        <f t="shared" ca="1" si="67"/>
        <v>109.03718333333332</v>
      </c>
      <c r="E1148" s="14">
        <f t="shared" ca="1" si="67"/>
        <v>109.06960833333333</v>
      </c>
      <c r="F1148" s="14">
        <f t="shared" ca="1" si="67"/>
        <v>108.89459999999998</v>
      </c>
      <c r="G1148" s="14">
        <f t="shared" ca="1" si="67"/>
        <v>108.91187500000001</v>
      </c>
      <c r="H1148" s="14">
        <f t="shared" ca="1" si="67"/>
        <v>109.05873333333334</v>
      </c>
      <c r="I1148" s="14">
        <f t="shared" ca="1" si="67"/>
        <v>109.24167499999999</v>
      </c>
      <c r="J1148" s="14">
        <f t="shared" ca="1" si="67"/>
        <v>108.88760000000001</v>
      </c>
      <c r="K1148" s="14">
        <f t="shared" ca="1" si="67"/>
        <v>109.23779166666667</v>
      </c>
      <c r="L1148" s="14">
        <f t="shared" ca="1" si="68"/>
        <v>109.64573333333333</v>
      </c>
      <c r="M1148" s="14">
        <f t="shared" ca="1" si="68"/>
        <v>106.66425833333334</v>
      </c>
      <c r="N1148" s="14">
        <f t="shared" ca="1" si="68"/>
        <v>106.68118333333335</v>
      </c>
      <c r="O1148" s="14">
        <f t="shared" ca="1" si="68"/>
        <v>106.83189166666666</v>
      </c>
      <c r="P1148" s="14">
        <f t="shared" ca="1" si="68"/>
        <v>107.00429166666669</v>
      </c>
      <c r="Q1148" s="14">
        <f t="shared" ca="1" si="68"/>
        <v>107.42659166666668</v>
      </c>
      <c r="R1148" s="14">
        <f t="shared" ca="1" si="68"/>
        <v>108.28215</v>
      </c>
      <c r="S1148" s="14">
        <f t="shared" ca="1" si="68"/>
        <v>104.60095000000001</v>
      </c>
      <c r="T1148" s="48">
        <f t="shared" ca="1" si="69"/>
        <v>357.24568100000005</v>
      </c>
      <c r="U1148" s="48">
        <f t="shared" ca="1" si="69"/>
        <v>142.03263249999998</v>
      </c>
      <c r="V1148" s="48">
        <f t="shared" ca="1" si="69"/>
        <v>50.187500000000007</v>
      </c>
      <c r="W1148" s="48">
        <f t="shared" ca="1" si="69"/>
        <v>5.0822234999999996</v>
      </c>
      <c r="X1148" s="48">
        <f t="shared" ca="1" si="69"/>
        <v>20.758966663999999</v>
      </c>
      <c r="Y1148" s="14"/>
      <c r="Z1148" s="14"/>
      <c r="AA1148" s="14"/>
      <c r="AB1148" s="14">
        <f t="shared" ca="1" si="70"/>
        <v>108.93788542570753</v>
      </c>
      <c r="AC1148" s="14">
        <f t="shared" ca="1" si="70"/>
        <v>106.79013579136689</v>
      </c>
    </row>
    <row r="1149" spans="1:29" ht="15" x14ac:dyDescent="0.2">
      <c r="A1149" s="10">
        <f t="shared" si="63"/>
        <v>2092</v>
      </c>
      <c r="B1149" s="14">
        <f t="shared" ref="B1149:K1157" ca="1" si="71">AVERAGE(OFFSET(B$601,($A1149-$A$1119)*12,0,12,1))</f>
        <v>113.09150833333335</v>
      </c>
      <c r="C1149" s="14">
        <f t="shared" ca="1" si="71"/>
        <v>113.09779166666668</v>
      </c>
      <c r="D1149" s="14">
        <f t="shared" ca="1" si="71"/>
        <v>113.26152499999999</v>
      </c>
      <c r="E1149" s="14">
        <f t="shared" ca="1" si="71"/>
        <v>113.29394999999998</v>
      </c>
      <c r="F1149" s="14">
        <f t="shared" ca="1" si="71"/>
        <v>113.11894166666667</v>
      </c>
      <c r="G1149" s="14">
        <f t="shared" ca="1" si="71"/>
        <v>113.13620000000002</v>
      </c>
      <c r="H1149" s="14">
        <f t="shared" ca="1" si="71"/>
        <v>113.28305833333333</v>
      </c>
      <c r="I1149" s="14">
        <f t="shared" ca="1" si="71"/>
        <v>113.47922499999999</v>
      </c>
      <c r="J1149" s="14">
        <f t="shared" ca="1" si="71"/>
        <v>113.11194166666668</v>
      </c>
      <c r="K1149" s="14">
        <f t="shared" ca="1" si="71"/>
        <v>113.47533333333332</v>
      </c>
      <c r="L1149" s="14">
        <f t="shared" ref="L1149:S1157" ca="1" si="72">AVERAGE(OFFSET(L$601,($A1149-$A$1119)*12,0,12,1))</f>
        <v>113.87005833333335</v>
      </c>
      <c r="M1149" s="14">
        <f t="shared" ca="1" si="72"/>
        <v>110.80205833333332</v>
      </c>
      <c r="N1149" s="14">
        <f t="shared" ca="1" si="72"/>
        <v>110.81895833333334</v>
      </c>
      <c r="O1149" s="14">
        <f t="shared" ca="1" si="72"/>
        <v>110.96966666666667</v>
      </c>
      <c r="P1149" s="14">
        <f t="shared" ca="1" si="72"/>
        <v>111.15477500000001</v>
      </c>
      <c r="Q1149" s="14">
        <f t="shared" ca="1" si="72"/>
        <v>111.56436666666667</v>
      </c>
      <c r="R1149" s="14">
        <f t="shared" ca="1" si="72"/>
        <v>112.43027499999999</v>
      </c>
      <c r="S1149" s="14">
        <f t="shared" ca="1" si="72"/>
        <v>108.66013333333335</v>
      </c>
      <c r="T1149" s="48">
        <f t="shared" ref="T1149:X1157" ca="1" si="73">SUM(OFFSET(T$601,($A1149-$A$1119)*12,0,12,1))</f>
        <v>358.17703550000004</v>
      </c>
      <c r="U1149" s="48">
        <f t="shared" ca="1" si="73"/>
        <v>142.42176299999997</v>
      </c>
      <c r="V1149" s="48">
        <f t="shared" ca="1" si="73"/>
        <v>50.325000000000003</v>
      </c>
      <c r="W1149" s="48">
        <f t="shared" ca="1" si="73"/>
        <v>5.0961473999999995</v>
      </c>
      <c r="X1149" s="48">
        <f t="shared" ca="1" si="73"/>
        <v>20.800615543999996</v>
      </c>
      <c r="Y1149" s="14"/>
      <c r="Z1149" s="14"/>
      <c r="AA1149" s="14"/>
      <c r="AB1149" s="14">
        <f t="shared" ca="1" si="70"/>
        <v>113.1633147024116</v>
      </c>
      <c r="AC1149" s="14">
        <f t="shared" ca="1" si="70"/>
        <v>110.9297479616307</v>
      </c>
    </row>
    <row r="1150" spans="1:29" ht="15" x14ac:dyDescent="0.2">
      <c r="A1150" s="10">
        <f t="shared" si="63"/>
        <v>2093</v>
      </c>
      <c r="B1150" s="14">
        <f t="shared" ca="1" si="71"/>
        <v>117.47979166666669</v>
      </c>
      <c r="C1150" s="14">
        <f t="shared" ca="1" si="71"/>
        <v>117.48604166666665</v>
      </c>
      <c r="D1150" s="14">
        <f t="shared" ca="1" si="71"/>
        <v>117.64979166666664</v>
      </c>
      <c r="E1150" s="14">
        <f t="shared" ca="1" si="71"/>
        <v>117.68221666666665</v>
      </c>
      <c r="F1150" s="14">
        <f t="shared" ca="1" si="71"/>
        <v>117.50720000000001</v>
      </c>
      <c r="G1150" s="14">
        <f t="shared" ca="1" si="71"/>
        <v>117.524475</v>
      </c>
      <c r="H1150" s="14">
        <f t="shared" ca="1" si="71"/>
        <v>117.67133333333334</v>
      </c>
      <c r="I1150" s="14">
        <f t="shared" ca="1" si="71"/>
        <v>117.88124999999998</v>
      </c>
      <c r="J1150" s="14">
        <f t="shared" ca="1" si="71"/>
        <v>117.50019999999999</v>
      </c>
      <c r="K1150" s="14">
        <f t="shared" ca="1" si="71"/>
        <v>117.87735833333333</v>
      </c>
      <c r="L1150" s="14">
        <f t="shared" ca="1" si="72"/>
        <v>118.25833333333333</v>
      </c>
      <c r="M1150" s="14">
        <f t="shared" ca="1" si="72"/>
        <v>115.10039999999999</v>
      </c>
      <c r="N1150" s="14">
        <f t="shared" ca="1" si="72"/>
        <v>115.11731666666667</v>
      </c>
      <c r="O1150" s="14">
        <f t="shared" ca="1" si="72"/>
        <v>115.26801666666665</v>
      </c>
      <c r="P1150" s="14">
        <f t="shared" ca="1" si="72"/>
        <v>115.46630833333334</v>
      </c>
      <c r="Q1150" s="14">
        <f t="shared" ca="1" si="72"/>
        <v>115.86271666666666</v>
      </c>
      <c r="R1150" s="14">
        <f t="shared" ca="1" si="72"/>
        <v>116.73938333333332</v>
      </c>
      <c r="S1150" s="14">
        <f t="shared" ca="1" si="72"/>
        <v>112.87682499999998</v>
      </c>
      <c r="T1150" s="48">
        <f t="shared" ca="1" si="73"/>
        <v>357.24568100000005</v>
      </c>
      <c r="U1150" s="48">
        <f t="shared" ca="1" si="73"/>
        <v>142.03263249999998</v>
      </c>
      <c r="V1150" s="48">
        <f t="shared" ca="1" si="73"/>
        <v>50.187500000000007</v>
      </c>
      <c r="W1150" s="48">
        <f t="shared" ca="1" si="73"/>
        <v>5.0822234999999996</v>
      </c>
      <c r="X1150" s="48">
        <f t="shared" ca="1" si="73"/>
        <v>20.758966663999999</v>
      </c>
      <c r="Y1150" s="14"/>
      <c r="Z1150" s="14"/>
      <c r="AA1150" s="14"/>
      <c r="AB1150" s="14">
        <f t="shared" ca="1" si="70"/>
        <v>117.55271179262722</v>
      </c>
      <c r="AC1150" s="14">
        <f t="shared" ca="1" si="70"/>
        <v>115.22999244604314</v>
      </c>
    </row>
    <row r="1151" spans="1:29" ht="15" x14ac:dyDescent="0.2">
      <c r="A1151" s="10">
        <f t="shared" si="63"/>
        <v>2094</v>
      </c>
      <c r="B1151" s="14">
        <f t="shared" ca="1" si="71"/>
        <v>122.03835833333333</v>
      </c>
      <c r="C1151" s="14">
        <f t="shared" ca="1" si="71"/>
        <v>122.04461666666664</v>
      </c>
      <c r="D1151" s="14">
        <f t="shared" ca="1" si="71"/>
        <v>122.20835833333335</v>
      </c>
      <c r="E1151" s="14">
        <f t="shared" ca="1" si="71"/>
        <v>122.24079999999999</v>
      </c>
      <c r="F1151" s="14">
        <f t="shared" ca="1" si="71"/>
        <v>122.06577500000002</v>
      </c>
      <c r="G1151" s="14">
        <f t="shared" ca="1" si="71"/>
        <v>122.08304166666666</v>
      </c>
      <c r="H1151" s="14">
        <f t="shared" ca="1" si="71"/>
        <v>122.2299</v>
      </c>
      <c r="I1151" s="14">
        <f t="shared" ca="1" si="71"/>
        <v>122.45409166666667</v>
      </c>
      <c r="J1151" s="14">
        <f t="shared" ca="1" si="71"/>
        <v>122.05877500000001</v>
      </c>
      <c r="K1151" s="14">
        <f t="shared" ca="1" si="71"/>
        <v>122.45020000000001</v>
      </c>
      <c r="L1151" s="14">
        <f t="shared" ca="1" si="72"/>
        <v>122.81689999999999</v>
      </c>
      <c r="M1151" s="14">
        <f t="shared" ca="1" si="72"/>
        <v>119.56554999999999</v>
      </c>
      <c r="N1151" s="14">
        <f t="shared" ca="1" si="72"/>
        <v>119.5825</v>
      </c>
      <c r="O1151" s="14">
        <f t="shared" ca="1" si="72"/>
        <v>119.7332</v>
      </c>
      <c r="P1151" s="14">
        <f t="shared" ca="1" si="72"/>
        <v>119.94517499999999</v>
      </c>
      <c r="Q1151" s="14">
        <f t="shared" ca="1" si="72"/>
        <v>120.32789999999999</v>
      </c>
      <c r="R1151" s="14">
        <f t="shared" ca="1" si="72"/>
        <v>121.21570000000001</v>
      </c>
      <c r="S1151" s="14">
        <f t="shared" ca="1" si="72"/>
        <v>117.25712500000002</v>
      </c>
      <c r="T1151" s="48">
        <f t="shared" ca="1" si="73"/>
        <v>357.24568100000005</v>
      </c>
      <c r="U1151" s="48">
        <f t="shared" ca="1" si="73"/>
        <v>142.03263249999998</v>
      </c>
      <c r="V1151" s="48">
        <f t="shared" ca="1" si="73"/>
        <v>50.187500000000007</v>
      </c>
      <c r="W1151" s="48">
        <f t="shared" ca="1" si="73"/>
        <v>5.0822234999999996</v>
      </c>
      <c r="X1151" s="48">
        <f t="shared" ca="1" si="73"/>
        <v>20.758966663999999</v>
      </c>
      <c r="Y1151" s="14"/>
      <c r="Z1151" s="14"/>
      <c r="AA1151" s="14"/>
      <c r="AB1151" s="14">
        <f t="shared" ca="1" si="70"/>
        <v>122.11246006297104</v>
      </c>
      <c r="AC1151" s="14">
        <f t="shared" ca="1" si="70"/>
        <v>119.69713309352518</v>
      </c>
    </row>
    <row r="1152" spans="1:29" ht="15" x14ac:dyDescent="0.2">
      <c r="A1152" s="10">
        <f t="shared" si="63"/>
        <v>2095</v>
      </c>
      <c r="B1152" s="14">
        <f t="shared" ca="1" si="71"/>
        <v>126.77380833333332</v>
      </c>
      <c r="C1152" s="14">
        <f t="shared" ca="1" si="71"/>
        <v>126.78009166666668</v>
      </c>
      <c r="D1152" s="14">
        <f t="shared" ca="1" si="71"/>
        <v>126.94382499999999</v>
      </c>
      <c r="E1152" s="14">
        <f t="shared" ca="1" si="71"/>
        <v>126.97623333333335</v>
      </c>
      <c r="F1152" s="14">
        <f t="shared" ca="1" si="71"/>
        <v>126.80124166666667</v>
      </c>
      <c r="G1152" s="14">
        <f t="shared" ca="1" si="71"/>
        <v>126.81850000000001</v>
      </c>
      <c r="H1152" s="14">
        <f t="shared" ca="1" si="71"/>
        <v>126.96536666666668</v>
      </c>
      <c r="I1152" s="14">
        <f t="shared" ca="1" si="71"/>
        <v>127.20439166666667</v>
      </c>
      <c r="J1152" s="14">
        <f t="shared" ca="1" si="71"/>
        <v>126.79424166666666</v>
      </c>
      <c r="K1152" s="14">
        <f t="shared" ca="1" si="71"/>
        <v>127.20050000000002</v>
      </c>
      <c r="L1152" s="14">
        <f t="shared" ca="1" si="72"/>
        <v>127.55236666666669</v>
      </c>
      <c r="M1152" s="14">
        <f t="shared" ca="1" si="72"/>
        <v>124.20399166666668</v>
      </c>
      <c r="N1152" s="14">
        <f t="shared" ca="1" si="72"/>
        <v>124.2209166666667</v>
      </c>
      <c r="O1152" s="14">
        <f t="shared" ca="1" si="72"/>
        <v>124.37163333333332</v>
      </c>
      <c r="P1152" s="14">
        <f t="shared" ca="1" si="72"/>
        <v>124.59782499999999</v>
      </c>
      <c r="Q1152" s="14">
        <f t="shared" ca="1" si="72"/>
        <v>124.96633333333334</v>
      </c>
      <c r="R1152" s="14">
        <f t="shared" ca="1" si="72"/>
        <v>125.86574999999999</v>
      </c>
      <c r="S1152" s="14">
        <f t="shared" ca="1" si="72"/>
        <v>121.80744166666669</v>
      </c>
      <c r="T1152" s="48">
        <f t="shared" ca="1" si="73"/>
        <v>357.24568100000005</v>
      </c>
      <c r="U1152" s="48">
        <f t="shared" ca="1" si="73"/>
        <v>142.03263249999998</v>
      </c>
      <c r="V1152" s="48">
        <f t="shared" ca="1" si="73"/>
        <v>50.187500000000007</v>
      </c>
      <c r="W1152" s="48">
        <f t="shared" ca="1" si="73"/>
        <v>5.0822234999999996</v>
      </c>
      <c r="X1152" s="48">
        <f t="shared" ca="1" si="73"/>
        <v>20.758966663999999</v>
      </c>
      <c r="Y1152" s="14"/>
      <c r="Z1152" s="14"/>
      <c r="AA1152" s="14"/>
      <c r="AB1152" s="14">
        <f t="shared" ca="1" si="70"/>
        <v>126.84914663908721</v>
      </c>
      <c r="AC1152" s="14">
        <f t="shared" ca="1" si="70"/>
        <v>124.33761390887288</v>
      </c>
    </row>
    <row r="1153" spans="1:29" ht="15" x14ac:dyDescent="0.2">
      <c r="A1153" s="10">
        <f t="shared" si="63"/>
        <v>2096</v>
      </c>
      <c r="B1153" s="14">
        <f t="shared" ca="1" si="71"/>
        <v>131.69305</v>
      </c>
      <c r="C1153" s="14">
        <f t="shared" ca="1" si="71"/>
        <v>131.69929999999999</v>
      </c>
      <c r="D1153" s="14">
        <f t="shared" ca="1" si="71"/>
        <v>131.86305833333333</v>
      </c>
      <c r="E1153" s="14">
        <f t="shared" ca="1" si="71"/>
        <v>131.8955</v>
      </c>
      <c r="F1153" s="14">
        <f t="shared" ca="1" si="71"/>
        <v>131.72046666666668</v>
      </c>
      <c r="G1153" s="14">
        <f t="shared" ca="1" si="71"/>
        <v>131.73775000000003</v>
      </c>
      <c r="H1153" s="14">
        <f t="shared" ca="1" si="71"/>
        <v>131.88459166666667</v>
      </c>
      <c r="I1153" s="14">
        <f t="shared" ca="1" si="71"/>
        <v>132.13901666666666</v>
      </c>
      <c r="J1153" s="14">
        <f t="shared" ca="1" si="71"/>
        <v>131.71346666666662</v>
      </c>
      <c r="K1153" s="14">
        <f t="shared" ca="1" si="71"/>
        <v>132.13512500000002</v>
      </c>
      <c r="L1153" s="14">
        <f t="shared" ca="1" si="72"/>
        <v>132.47159166666665</v>
      </c>
      <c r="M1153" s="14">
        <f t="shared" ca="1" si="72"/>
        <v>129.02245833333333</v>
      </c>
      <c r="N1153" s="14">
        <f t="shared" ca="1" si="72"/>
        <v>129.03934166666667</v>
      </c>
      <c r="O1153" s="14">
        <f t="shared" ca="1" si="72"/>
        <v>129.19005833333333</v>
      </c>
      <c r="P1153" s="14">
        <f t="shared" ca="1" si="72"/>
        <v>129.43105833333337</v>
      </c>
      <c r="Q1153" s="14">
        <f t="shared" ca="1" si="72"/>
        <v>129.78475833333334</v>
      </c>
      <c r="R1153" s="14">
        <f t="shared" ca="1" si="72"/>
        <v>130.696225</v>
      </c>
      <c r="S1153" s="14">
        <f t="shared" ca="1" si="72"/>
        <v>126.53432500000001</v>
      </c>
      <c r="T1153" s="48">
        <f t="shared" ca="1" si="73"/>
        <v>358.17703550000004</v>
      </c>
      <c r="U1153" s="48">
        <f t="shared" ca="1" si="73"/>
        <v>142.42176299999997</v>
      </c>
      <c r="V1153" s="48">
        <f t="shared" ca="1" si="73"/>
        <v>50.325000000000003</v>
      </c>
      <c r="W1153" s="48">
        <f t="shared" ca="1" si="73"/>
        <v>5.0961473999999995</v>
      </c>
      <c r="X1153" s="48">
        <f t="shared" ca="1" si="73"/>
        <v>20.800615543999996</v>
      </c>
      <c r="Y1153" s="14"/>
      <c r="Z1153" s="14"/>
      <c r="AA1153" s="14"/>
      <c r="AB1153" s="14">
        <f t="shared" ca="1" si="70"/>
        <v>131.76964441881054</v>
      </c>
      <c r="AC1153" s="14">
        <f t="shared" ca="1" si="70"/>
        <v>129.15818399280579</v>
      </c>
    </row>
    <row r="1154" spans="1:29" ht="15" x14ac:dyDescent="0.2">
      <c r="A1154" s="10">
        <f t="shared" si="63"/>
        <v>2097</v>
      </c>
      <c r="B1154" s="14">
        <f t="shared" ca="1" si="71"/>
        <v>136.80317499999998</v>
      </c>
      <c r="C1154" s="14">
        <f t="shared" ca="1" si="71"/>
        <v>136.80945</v>
      </c>
      <c r="D1154" s="14">
        <f t="shared" ca="1" si="71"/>
        <v>136.97319999999999</v>
      </c>
      <c r="E1154" s="14">
        <f t="shared" ca="1" si="71"/>
        <v>137.00560833333336</v>
      </c>
      <c r="F1154" s="14">
        <f t="shared" ca="1" si="71"/>
        <v>136.83059166666669</v>
      </c>
      <c r="G1154" s="14">
        <f t="shared" ca="1" si="71"/>
        <v>136.84787500000002</v>
      </c>
      <c r="H1154" s="14">
        <f t="shared" ca="1" si="71"/>
        <v>136.99473333333333</v>
      </c>
      <c r="I1154" s="14">
        <f t="shared" ca="1" si="71"/>
        <v>137.26515833333332</v>
      </c>
      <c r="J1154" s="14">
        <f t="shared" ca="1" si="71"/>
        <v>136.82359166666666</v>
      </c>
      <c r="K1154" s="14">
        <f t="shared" ca="1" si="71"/>
        <v>137.26126666666667</v>
      </c>
      <c r="L1154" s="14">
        <f t="shared" ca="1" si="72"/>
        <v>137.58173333333335</v>
      </c>
      <c r="M1154" s="14">
        <f t="shared" ca="1" si="72"/>
        <v>134.02787499999999</v>
      </c>
      <c r="N1154" s="14">
        <f t="shared" ca="1" si="72"/>
        <v>134.0447916666667</v>
      </c>
      <c r="O1154" s="14">
        <f t="shared" ca="1" si="72"/>
        <v>134.19550833333332</v>
      </c>
      <c r="P1154" s="14">
        <f t="shared" ca="1" si="72"/>
        <v>134.45184166666667</v>
      </c>
      <c r="Q1154" s="14">
        <f t="shared" ca="1" si="72"/>
        <v>134.79020833333337</v>
      </c>
      <c r="R1154" s="14">
        <f t="shared" ca="1" si="72"/>
        <v>135.71416666666667</v>
      </c>
      <c r="S1154" s="14">
        <f t="shared" ca="1" si="72"/>
        <v>131.44465833333331</v>
      </c>
      <c r="T1154" s="48">
        <f t="shared" ca="1" si="73"/>
        <v>357.24568100000005</v>
      </c>
      <c r="U1154" s="48">
        <f t="shared" ca="1" si="73"/>
        <v>142.03263249999998</v>
      </c>
      <c r="V1154" s="48">
        <f t="shared" ca="1" si="73"/>
        <v>50.187500000000007</v>
      </c>
      <c r="W1154" s="48">
        <f t="shared" ca="1" si="73"/>
        <v>5.0822234999999996</v>
      </c>
      <c r="X1154" s="48">
        <f t="shared" ca="1" si="73"/>
        <v>20.758966663999999</v>
      </c>
      <c r="Y1154" s="14"/>
      <c r="Z1154" s="14"/>
      <c r="AA1154" s="14"/>
      <c r="AB1154" s="14">
        <f t="shared" ca="1" si="70"/>
        <v>136.88109688465698</v>
      </c>
      <c r="AC1154" s="14">
        <f t="shared" ca="1" si="70"/>
        <v>134.16582871702636</v>
      </c>
    </row>
    <row r="1155" spans="1:29" ht="15" x14ac:dyDescent="0.2">
      <c r="A1155" s="10">
        <f t="shared" si="63"/>
        <v>2098</v>
      </c>
      <c r="B1155" s="14">
        <f t="shared" ca="1" si="71"/>
        <v>142.11160833333329</v>
      </c>
      <c r="C1155" s="14">
        <f t="shared" ca="1" si="71"/>
        <v>142.117875</v>
      </c>
      <c r="D1155" s="14">
        <f t="shared" ca="1" si="71"/>
        <v>142.28161666666665</v>
      </c>
      <c r="E1155" s="14">
        <f t="shared" ca="1" si="71"/>
        <v>142.31404166666667</v>
      </c>
      <c r="F1155" s="14">
        <f t="shared" ca="1" si="71"/>
        <v>142.13903333333332</v>
      </c>
      <c r="G1155" s="14">
        <f t="shared" ca="1" si="71"/>
        <v>142.15630833333336</v>
      </c>
      <c r="H1155" s="14">
        <f t="shared" ca="1" si="71"/>
        <v>142.30316666666667</v>
      </c>
      <c r="I1155" s="14">
        <f t="shared" ca="1" si="71"/>
        <v>142.59020833333332</v>
      </c>
      <c r="J1155" s="14">
        <f t="shared" ca="1" si="71"/>
        <v>142.13203333333334</v>
      </c>
      <c r="K1155" s="14">
        <f t="shared" ca="1" si="71"/>
        <v>142.58633333333333</v>
      </c>
      <c r="L1155" s="14">
        <f t="shared" ca="1" si="72"/>
        <v>142.89016666666666</v>
      </c>
      <c r="M1155" s="14">
        <f t="shared" ca="1" si="72"/>
        <v>139.22754999999998</v>
      </c>
      <c r="N1155" s="14">
        <f t="shared" ca="1" si="72"/>
        <v>139.24445</v>
      </c>
      <c r="O1155" s="14">
        <f t="shared" ca="1" si="72"/>
        <v>139.39517499999999</v>
      </c>
      <c r="P1155" s="14">
        <f t="shared" ca="1" si="72"/>
        <v>139.66744999999997</v>
      </c>
      <c r="Q1155" s="14">
        <f t="shared" ca="1" si="72"/>
        <v>139.98987499999998</v>
      </c>
      <c r="R1155" s="14">
        <f t="shared" ca="1" si="72"/>
        <v>140.92683333333335</v>
      </c>
      <c r="S1155" s="14">
        <f t="shared" ca="1" si="72"/>
        <v>136.54553333333334</v>
      </c>
      <c r="T1155" s="48">
        <f t="shared" ca="1" si="73"/>
        <v>357.24568100000005</v>
      </c>
      <c r="U1155" s="48">
        <f t="shared" ca="1" si="73"/>
        <v>142.03263249999998</v>
      </c>
      <c r="V1155" s="48">
        <f t="shared" ca="1" si="73"/>
        <v>50.187500000000007</v>
      </c>
      <c r="W1155" s="48">
        <f t="shared" ca="1" si="73"/>
        <v>5.0822234999999996</v>
      </c>
      <c r="X1155" s="48">
        <f t="shared" ca="1" si="73"/>
        <v>20.758966663999999</v>
      </c>
      <c r="Y1155" s="14"/>
      <c r="Z1155" s="14"/>
      <c r="AA1155" s="14"/>
      <c r="AB1155" s="14">
        <f t="shared" ca="1" si="70"/>
        <v>142.19089761600745</v>
      </c>
      <c r="AC1155" s="14">
        <f t="shared" ca="1" si="70"/>
        <v>139.36779154676259</v>
      </c>
    </row>
    <row r="1156" spans="1:29" ht="15" x14ac:dyDescent="0.2">
      <c r="A1156" s="10">
        <f t="shared" si="63"/>
        <v>2099</v>
      </c>
      <c r="B1156" s="14">
        <f t="shared" ca="1" si="71"/>
        <v>147.62605000000002</v>
      </c>
      <c r="C1156" s="14">
        <f t="shared" ca="1" si="71"/>
        <v>147.63232499999998</v>
      </c>
      <c r="D1156" s="14">
        <f t="shared" ca="1" si="71"/>
        <v>147.79606666666669</v>
      </c>
      <c r="E1156" s="14">
        <f t="shared" ca="1" si="71"/>
        <v>147.82849166666668</v>
      </c>
      <c r="F1156" s="14">
        <f t="shared" ca="1" si="71"/>
        <v>147.65346666666667</v>
      </c>
      <c r="G1156" s="14">
        <f t="shared" ca="1" si="71"/>
        <v>147.67075</v>
      </c>
      <c r="H1156" s="14">
        <f t="shared" ca="1" si="71"/>
        <v>147.81760833333331</v>
      </c>
      <c r="I1156" s="14">
        <f t="shared" ca="1" si="71"/>
        <v>148.12193333333335</v>
      </c>
      <c r="J1156" s="14">
        <f t="shared" ca="1" si="71"/>
        <v>147.64646666666667</v>
      </c>
      <c r="K1156" s="14">
        <f t="shared" ca="1" si="71"/>
        <v>148.11804166666664</v>
      </c>
      <c r="L1156" s="14">
        <f t="shared" ca="1" si="72"/>
        <v>148.40460833333333</v>
      </c>
      <c r="M1156" s="14">
        <f t="shared" ca="1" si="72"/>
        <v>144.62899999999999</v>
      </c>
      <c r="N1156" s="14">
        <f t="shared" ca="1" si="72"/>
        <v>144.64590000000001</v>
      </c>
      <c r="O1156" s="14">
        <f t="shared" ca="1" si="72"/>
        <v>144.79661666666667</v>
      </c>
      <c r="P1156" s="14">
        <f t="shared" ca="1" si="72"/>
        <v>145.08547500000003</v>
      </c>
      <c r="Q1156" s="14">
        <f t="shared" ca="1" si="72"/>
        <v>145.39131666666665</v>
      </c>
      <c r="R1156" s="14">
        <f t="shared" ca="1" si="72"/>
        <v>146.34180000000001</v>
      </c>
      <c r="S1156" s="14">
        <f t="shared" ca="1" si="72"/>
        <v>141.84436666666667</v>
      </c>
      <c r="T1156" s="48">
        <f t="shared" ca="1" si="73"/>
        <v>357.24568100000005</v>
      </c>
      <c r="U1156" s="48">
        <f t="shared" ca="1" si="73"/>
        <v>142.03263249999998</v>
      </c>
      <c r="V1156" s="48">
        <f t="shared" ca="1" si="73"/>
        <v>50.187500000000007</v>
      </c>
      <c r="W1156" s="48">
        <f t="shared" ca="1" si="73"/>
        <v>5.0822234999999996</v>
      </c>
      <c r="X1156" s="48">
        <f t="shared" ca="1" si="73"/>
        <v>20.758966663999999</v>
      </c>
      <c r="Y1156" s="14"/>
      <c r="Z1156" s="14"/>
      <c r="AA1156" s="14"/>
      <c r="AB1156" s="14">
        <f t="shared" ca="1" si="70"/>
        <v>147.70676488380514</v>
      </c>
      <c r="AC1156" s="14">
        <f t="shared" ca="1" si="70"/>
        <v>144.77162266187054</v>
      </c>
    </row>
    <row r="1157" spans="1:29" ht="15" x14ac:dyDescent="0.2">
      <c r="A1157" s="10">
        <f t="shared" si="63"/>
        <v>2100</v>
      </c>
      <c r="B1157" s="14">
        <f t="shared" ca="1" si="71"/>
        <v>153.35443333333333</v>
      </c>
      <c r="C1157" s="14">
        <f t="shared" ca="1" si="71"/>
        <v>153.36067499999999</v>
      </c>
      <c r="D1157" s="14">
        <f t="shared" ca="1" si="71"/>
        <v>153.52444166666666</v>
      </c>
      <c r="E1157" s="14">
        <f t="shared" ca="1" si="71"/>
        <v>153.55687499999999</v>
      </c>
      <c r="F1157" s="14">
        <f t="shared" ca="1" si="71"/>
        <v>153.38184166666667</v>
      </c>
      <c r="G1157" s="14">
        <f t="shared" ca="1" si="71"/>
        <v>153.399125</v>
      </c>
      <c r="H1157" s="14">
        <f t="shared" ca="1" si="71"/>
        <v>153.54598333333334</v>
      </c>
      <c r="I1157" s="14">
        <f t="shared" ca="1" si="71"/>
        <v>153.86825000000002</v>
      </c>
      <c r="J1157" s="14">
        <f t="shared" ca="1" si="71"/>
        <v>153.37484166666667</v>
      </c>
      <c r="K1157" s="14">
        <f t="shared" ca="1" si="71"/>
        <v>153.86434999999997</v>
      </c>
      <c r="L1157" s="14">
        <f t="shared" ca="1" si="72"/>
        <v>154.13298333333333</v>
      </c>
      <c r="M1157" s="14">
        <f t="shared" ca="1" si="72"/>
        <v>150.24</v>
      </c>
      <c r="N1157" s="14">
        <f t="shared" ca="1" si="72"/>
        <v>150.25691666666665</v>
      </c>
      <c r="O1157" s="14">
        <f t="shared" ca="1" si="72"/>
        <v>150.40762500000002</v>
      </c>
      <c r="P1157" s="14">
        <f t="shared" ca="1" si="72"/>
        <v>150.71368333333331</v>
      </c>
      <c r="Q1157" s="14">
        <f t="shared" ca="1" si="72"/>
        <v>151.00232500000001</v>
      </c>
      <c r="R1157" s="14">
        <f t="shared" ca="1" si="72"/>
        <v>151.96681666666666</v>
      </c>
      <c r="S1157" s="14">
        <f t="shared" ca="1" si="72"/>
        <v>147.34875</v>
      </c>
      <c r="T1157" s="48">
        <f t="shared" ca="1" si="73"/>
        <v>358.17703550000004</v>
      </c>
      <c r="U1157" s="48">
        <f t="shared" ca="1" si="73"/>
        <v>142.42176299999997</v>
      </c>
      <c r="V1157" s="48">
        <f t="shared" ca="1" si="73"/>
        <v>50.325000000000003</v>
      </c>
      <c r="W1157" s="48">
        <f t="shared" ca="1" si="73"/>
        <v>5.0961473999999995</v>
      </c>
      <c r="X1157" s="48">
        <f t="shared" ca="1" si="73"/>
        <v>20.758966663999999</v>
      </c>
      <c r="Y1157" s="14"/>
      <c r="Z1157" s="14"/>
      <c r="AA1157" s="14"/>
      <c r="AB1157" s="14">
        <f t="shared" ca="1" si="70"/>
        <v>153.43661232877866</v>
      </c>
      <c r="AC1157" s="14">
        <f t="shared" ca="1" si="70"/>
        <v>150.38510341726621</v>
      </c>
    </row>
    <row r="1158" spans="1:29" ht="15" x14ac:dyDescent="0.2">
      <c r="A1158" s="10"/>
    </row>
    <row r="1159" spans="1:29" ht="15" x14ac:dyDescent="0.2">
      <c r="A1159" s="10"/>
    </row>
    <row r="1160" spans="1:29" ht="15" x14ac:dyDescent="0.2">
      <c r="A1160" s="10"/>
    </row>
    <row r="1161" spans="1:29" ht="15" x14ac:dyDescent="0.2">
      <c r="A1161" s="10"/>
    </row>
    <row r="1162" spans="1:29" ht="15" x14ac:dyDescent="0.2">
      <c r="A1162" s="10"/>
    </row>
    <row r="1163" spans="1:29" ht="15" x14ac:dyDescent="0.2">
      <c r="A1163" s="10"/>
    </row>
    <row r="1164" spans="1:29" ht="15" x14ac:dyDescent="0.2">
      <c r="A1164" s="10"/>
    </row>
    <row r="1165" spans="1:29" ht="15" x14ac:dyDescent="0.2">
      <c r="A1165" s="10"/>
    </row>
    <row r="1166" spans="1:29" ht="15" x14ac:dyDescent="0.2">
      <c r="A1166" s="10"/>
    </row>
    <row r="1167" spans="1:29" ht="15" x14ac:dyDescent="0.2">
      <c r="A1167" s="10"/>
    </row>
    <row r="1168" spans="1:29" ht="15" x14ac:dyDescent="0.2">
      <c r="A1168" s="10"/>
    </row>
    <row r="1169" spans="1:1" ht="15" x14ac:dyDescent="0.2">
      <c r="A1169" s="10"/>
    </row>
    <row r="1170" spans="1:1" ht="15" x14ac:dyDescent="0.2">
      <c r="A1170" s="10"/>
    </row>
    <row r="1171" spans="1:1" ht="15" x14ac:dyDescent="0.2">
      <c r="A1171" s="10"/>
    </row>
    <row r="1172" spans="1:1" ht="15" x14ac:dyDescent="0.2">
      <c r="A1172" s="10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333375</xdr:colOff>
                    <xdr:row>7</xdr:row>
                    <xdr:rowOff>85725</xdr:rowOff>
                  </from>
                  <to>
                    <xdr:col>8</xdr:col>
                    <xdr:colOff>600075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47625</xdr:colOff>
                    <xdr:row>7</xdr:row>
                    <xdr:rowOff>180975</xdr:rowOff>
                  </from>
                  <to>
                    <xdr:col>12</xdr:col>
                    <xdr:colOff>323850</xdr:colOff>
                    <xdr:row>9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76"/>
  <sheetViews>
    <sheetView zoomScale="75" workbookViewId="0">
      <pane xSplit="1" ySplit="11" topLeftCell="B12" activePane="bottomRight" state="frozen"/>
      <selection activeCell="C20" sqref="C20:C21"/>
      <selection pane="topRight" activeCell="C20" sqref="C20:C21"/>
      <selection pane="bottomLeft" activeCell="C20" sqref="C20:C21"/>
      <selection pane="bottomRight" activeCell="B12" sqref="B12"/>
    </sheetView>
  </sheetViews>
  <sheetFormatPr defaultColWidth="7.109375" defaultRowHeight="12.75" x14ac:dyDescent="0.2"/>
  <cols>
    <col min="1" max="1" width="19.21875" style="30" customWidth="1"/>
    <col min="2" max="2" width="7.88671875" style="30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102" t="s">
        <v>91</v>
      </c>
    </row>
    <row r="2" spans="1:30" ht="15.75" x14ac:dyDescent="0.25">
      <c r="A2" s="102" t="s">
        <v>92</v>
      </c>
    </row>
    <row r="3" spans="1:30" ht="15.75" x14ac:dyDescent="0.25">
      <c r="A3" s="102" t="s">
        <v>93</v>
      </c>
    </row>
    <row r="4" spans="1:30" ht="15.75" x14ac:dyDescent="0.25">
      <c r="A4" s="102" t="s">
        <v>94</v>
      </c>
    </row>
    <row r="5" spans="1:30" ht="15.75" x14ac:dyDescent="0.25">
      <c r="A5" s="102" t="s">
        <v>96</v>
      </c>
    </row>
    <row r="6" spans="1:30" ht="15.75" x14ac:dyDescent="0.25">
      <c r="A6" s="102" t="s">
        <v>101</v>
      </c>
    </row>
    <row r="7" spans="1:30" s="22" customFormat="1" x14ac:dyDescent="0.2">
      <c r="A7" s="47"/>
      <c r="B7" s="47"/>
    </row>
    <row r="8" spans="1:30" ht="15.75" x14ac:dyDescent="0.25">
      <c r="A8" s="42" t="s">
        <v>27</v>
      </c>
      <c r="B8" s="42"/>
      <c r="C8" s="99"/>
      <c r="O8" s="71"/>
      <c r="P8" s="71"/>
      <c r="Q8" s="71"/>
      <c r="R8" s="71"/>
      <c r="S8" s="71"/>
    </row>
    <row r="9" spans="1:30" ht="15.75" x14ac:dyDescent="0.25">
      <c r="A9" s="42"/>
      <c r="C9" s="111" t="s">
        <v>90</v>
      </c>
      <c r="D9" s="111"/>
      <c r="E9" s="111"/>
      <c r="F9" s="111"/>
      <c r="G9" s="98"/>
      <c r="H9" s="98"/>
      <c r="I9" s="116" t="s">
        <v>89</v>
      </c>
      <c r="J9" s="117"/>
      <c r="K9" s="117"/>
      <c r="L9" s="97"/>
      <c r="M9" s="73"/>
      <c r="N9" s="96"/>
      <c r="O9" s="115"/>
      <c r="P9" s="115"/>
      <c r="Q9" s="115"/>
      <c r="R9" s="95"/>
      <c r="S9" s="95"/>
    </row>
    <row r="10" spans="1:30" ht="97.9" customHeight="1" x14ac:dyDescent="0.25">
      <c r="A10" s="94"/>
      <c r="B10" s="94"/>
      <c r="C10" s="66" t="s">
        <v>76</v>
      </c>
      <c r="D10" s="70" t="s">
        <v>75</v>
      </c>
      <c r="E10" s="66" t="s">
        <v>74</v>
      </c>
      <c r="F10" s="66" t="s">
        <v>73</v>
      </c>
      <c r="G10" s="70" t="s">
        <v>72</v>
      </c>
      <c r="H10" s="70" t="s">
        <v>71</v>
      </c>
      <c r="I10" s="70" t="s">
        <v>70</v>
      </c>
      <c r="J10" s="70" t="s">
        <v>69</v>
      </c>
      <c r="K10" s="70" t="s">
        <v>68</v>
      </c>
      <c r="L10" s="66" t="s">
        <v>88</v>
      </c>
      <c r="M10" s="67" t="s">
        <v>67</v>
      </c>
      <c r="N10" s="36" t="s">
        <v>66</v>
      </c>
      <c r="O10" s="69" t="s">
        <v>87</v>
      </c>
      <c r="P10" s="69" t="s">
        <v>86</v>
      </c>
      <c r="Q10" s="69" t="s">
        <v>85</v>
      </c>
      <c r="R10" s="69" t="s">
        <v>84</v>
      </c>
      <c r="S10" s="93" t="s">
        <v>83</v>
      </c>
      <c r="T10" s="38" t="s">
        <v>82</v>
      </c>
    </row>
    <row r="11" spans="1:30" ht="15.75" x14ac:dyDescent="0.25">
      <c r="A11" s="37" t="s">
        <v>15</v>
      </c>
      <c r="B11" s="37" t="s">
        <v>81</v>
      </c>
      <c r="C11" s="37" t="s">
        <v>80</v>
      </c>
      <c r="D11" s="37" t="s">
        <v>80</v>
      </c>
      <c r="E11" s="37" t="s">
        <v>80</v>
      </c>
      <c r="F11" s="37" t="s">
        <v>80</v>
      </c>
      <c r="G11" s="37" t="s">
        <v>80</v>
      </c>
      <c r="H11" s="37" t="s">
        <v>80</v>
      </c>
      <c r="I11" s="37" t="s">
        <v>80</v>
      </c>
      <c r="J11" s="37" t="s">
        <v>80</v>
      </c>
      <c r="K11" s="37" t="s">
        <v>80</v>
      </c>
      <c r="L11" s="37" t="s">
        <v>80</v>
      </c>
      <c r="M11" s="92" t="s">
        <v>80</v>
      </c>
      <c r="N11" s="37" t="s">
        <v>80</v>
      </c>
      <c r="O11" s="37" t="s">
        <v>80</v>
      </c>
      <c r="P11" s="37" t="s">
        <v>80</v>
      </c>
      <c r="Q11" s="37" t="s">
        <v>80</v>
      </c>
      <c r="R11" s="37" t="s">
        <v>80</v>
      </c>
      <c r="S11" s="37" t="s">
        <v>80</v>
      </c>
      <c r="T11" s="37" t="s">
        <v>80</v>
      </c>
    </row>
    <row r="12" spans="1:30" ht="15" x14ac:dyDescent="0.2">
      <c r="A12" s="13">
        <v>41275</v>
      </c>
      <c r="B12" s="90">
        <v>31</v>
      </c>
      <c r="C12" s="76">
        <v>122.58</v>
      </c>
      <c r="D12" s="76">
        <v>297.94099999999997</v>
      </c>
      <c r="E12" s="85">
        <v>89.177000000000007</v>
      </c>
      <c r="F12" s="76">
        <v>200.30199999999999</v>
      </c>
      <c r="G12" s="79">
        <v>40</v>
      </c>
      <c r="H12" s="76">
        <v>0</v>
      </c>
      <c r="I12" s="76">
        <v>0</v>
      </c>
      <c r="J12" s="79">
        <v>100</v>
      </c>
      <c r="K12" s="79">
        <v>300</v>
      </c>
      <c r="L12" s="76">
        <v>1150</v>
      </c>
      <c r="M12" s="91"/>
      <c r="N12" s="76">
        <v>125</v>
      </c>
      <c r="O12" s="79">
        <v>240</v>
      </c>
      <c r="P12" s="79">
        <v>0</v>
      </c>
      <c r="Q12" s="79">
        <v>355</v>
      </c>
      <c r="R12" s="79">
        <v>100</v>
      </c>
      <c r="S12" s="76">
        <v>695</v>
      </c>
      <c r="T12" s="76">
        <v>50</v>
      </c>
      <c r="U12" s="77"/>
      <c r="V12" s="77"/>
      <c r="W12" s="77"/>
      <c r="X12" s="77"/>
      <c r="Y12" s="77"/>
      <c r="Z12" s="77"/>
      <c r="AA12" s="77"/>
      <c r="AB12" s="77"/>
      <c r="AC12" s="77"/>
      <c r="AD12" s="77"/>
    </row>
    <row r="13" spans="1:30" ht="15" x14ac:dyDescent="0.2">
      <c r="A13" s="13">
        <v>41306</v>
      </c>
      <c r="B13" s="90">
        <v>28</v>
      </c>
      <c r="C13" s="76">
        <v>122.58</v>
      </c>
      <c r="D13" s="76">
        <v>297.94099999999997</v>
      </c>
      <c r="E13" s="85">
        <v>89.177000000000007</v>
      </c>
      <c r="F13" s="76">
        <v>200.30199999999999</v>
      </c>
      <c r="G13" s="79">
        <v>40</v>
      </c>
      <c r="H13" s="76">
        <v>0</v>
      </c>
      <c r="I13" s="76">
        <v>0</v>
      </c>
      <c r="J13" s="79">
        <v>100</v>
      </c>
      <c r="K13" s="79">
        <v>300</v>
      </c>
      <c r="L13" s="76">
        <v>1150</v>
      </c>
      <c r="M13" s="91"/>
      <c r="N13" s="76">
        <v>125</v>
      </c>
      <c r="O13" s="79">
        <v>240</v>
      </c>
      <c r="P13" s="79">
        <v>0</v>
      </c>
      <c r="Q13" s="79">
        <v>355</v>
      </c>
      <c r="R13" s="79">
        <v>100</v>
      </c>
      <c r="S13" s="76">
        <v>695</v>
      </c>
      <c r="T13" s="76">
        <v>50</v>
      </c>
      <c r="U13" s="77"/>
      <c r="V13" s="77"/>
      <c r="W13" s="77"/>
      <c r="X13" s="77"/>
      <c r="Y13" s="77"/>
      <c r="Z13" s="77"/>
      <c r="AA13" s="77"/>
      <c r="AB13" s="77"/>
      <c r="AC13" s="77"/>
      <c r="AD13" s="77"/>
    </row>
    <row r="14" spans="1:30" ht="15" x14ac:dyDescent="0.2">
      <c r="A14" s="13">
        <v>41334</v>
      </c>
      <c r="B14" s="90">
        <v>31</v>
      </c>
      <c r="C14" s="76">
        <v>122.58</v>
      </c>
      <c r="D14" s="76">
        <v>297.94099999999997</v>
      </c>
      <c r="E14" s="85">
        <v>89.177000000000007</v>
      </c>
      <c r="F14" s="76">
        <v>200.30199999999999</v>
      </c>
      <c r="G14" s="79">
        <v>40</v>
      </c>
      <c r="H14" s="76">
        <v>0</v>
      </c>
      <c r="I14" s="76">
        <v>0</v>
      </c>
      <c r="J14" s="79">
        <v>100</v>
      </c>
      <c r="K14" s="79">
        <v>300</v>
      </c>
      <c r="L14" s="76">
        <v>1150</v>
      </c>
      <c r="M14" s="91"/>
      <c r="N14" s="76">
        <v>125</v>
      </c>
      <c r="O14" s="79">
        <v>240</v>
      </c>
      <c r="P14" s="79">
        <v>0</v>
      </c>
      <c r="Q14" s="79">
        <v>355</v>
      </c>
      <c r="R14" s="79">
        <v>100</v>
      </c>
      <c r="S14" s="76">
        <v>695</v>
      </c>
      <c r="T14" s="76">
        <v>50</v>
      </c>
      <c r="U14" s="77"/>
      <c r="V14" s="77"/>
      <c r="W14" s="77"/>
      <c r="X14" s="77"/>
      <c r="Y14" s="77"/>
      <c r="Z14" s="77"/>
      <c r="AA14" s="77"/>
      <c r="AB14" s="77"/>
      <c r="AC14" s="77"/>
      <c r="AD14" s="77"/>
    </row>
    <row r="15" spans="1:30" ht="15" x14ac:dyDescent="0.2">
      <c r="A15" s="13">
        <v>41365</v>
      </c>
      <c r="B15" s="90">
        <v>30</v>
      </c>
      <c r="C15" s="76">
        <v>141.29300000000001</v>
      </c>
      <c r="D15" s="76">
        <v>267.99299999999999</v>
      </c>
      <c r="E15" s="85">
        <v>115.01600000000001</v>
      </c>
      <c r="F15" s="76">
        <v>249.69800000000001</v>
      </c>
      <c r="G15" s="79">
        <v>40</v>
      </c>
      <c r="H15" s="76">
        <v>25</v>
      </c>
      <c r="I15" s="76">
        <v>0</v>
      </c>
      <c r="J15" s="79">
        <v>100</v>
      </c>
      <c r="K15" s="79">
        <v>300</v>
      </c>
      <c r="L15" s="76">
        <v>1239</v>
      </c>
      <c r="M15" s="91"/>
      <c r="N15" s="76">
        <v>125</v>
      </c>
      <c r="O15" s="79">
        <v>240</v>
      </c>
      <c r="P15" s="79">
        <v>120</v>
      </c>
      <c r="Q15" s="79">
        <v>235</v>
      </c>
      <c r="R15" s="79">
        <v>100</v>
      </c>
      <c r="S15" s="76">
        <v>695</v>
      </c>
      <c r="T15" s="76">
        <v>50</v>
      </c>
      <c r="U15" s="77"/>
      <c r="V15" s="77"/>
      <c r="W15" s="77"/>
      <c r="X15" s="77"/>
      <c r="Y15" s="77"/>
      <c r="Z15" s="77"/>
      <c r="AA15" s="77"/>
      <c r="AB15" s="77"/>
      <c r="AC15" s="77"/>
      <c r="AD15" s="77"/>
    </row>
    <row r="16" spans="1:30" ht="15" x14ac:dyDescent="0.2">
      <c r="A16" s="13">
        <v>41395</v>
      </c>
      <c r="B16" s="90">
        <v>31</v>
      </c>
      <c r="C16" s="76">
        <v>194.20500000000001</v>
      </c>
      <c r="D16" s="76">
        <v>267.46600000000001</v>
      </c>
      <c r="E16" s="85">
        <v>133.845</v>
      </c>
      <c r="F16" s="76">
        <v>213.48400000000001</v>
      </c>
      <c r="G16" s="79">
        <v>40</v>
      </c>
      <c r="H16" s="76">
        <v>25</v>
      </c>
      <c r="I16" s="91">
        <v>30</v>
      </c>
      <c r="J16" s="79">
        <v>100</v>
      </c>
      <c r="K16" s="79">
        <v>300</v>
      </c>
      <c r="L16" s="76">
        <v>1304</v>
      </c>
      <c r="M16" s="91"/>
      <c r="N16" s="76">
        <v>100</v>
      </c>
      <c r="O16" s="79">
        <v>240</v>
      </c>
      <c r="P16" s="79">
        <v>120</v>
      </c>
      <c r="Q16" s="79">
        <v>235</v>
      </c>
      <c r="R16" s="79">
        <v>100</v>
      </c>
      <c r="S16" s="76">
        <v>695</v>
      </c>
      <c r="T16" s="76">
        <v>50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</row>
    <row r="17" spans="1:30" ht="15" x14ac:dyDescent="0.2">
      <c r="A17" s="13">
        <v>41426</v>
      </c>
      <c r="B17" s="90">
        <v>30</v>
      </c>
      <c r="C17" s="76">
        <v>194.20500000000001</v>
      </c>
      <c r="D17" s="76">
        <v>267.46600000000001</v>
      </c>
      <c r="E17" s="85">
        <v>133.845</v>
      </c>
      <c r="F17" s="76">
        <v>213.48400000000001</v>
      </c>
      <c r="G17" s="79">
        <v>40</v>
      </c>
      <c r="H17" s="76">
        <v>25</v>
      </c>
      <c r="I17" s="91">
        <v>30</v>
      </c>
      <c r="J17" s="79">
        <v>100</v>
      </c>
      <c r="K17" s="79">
        <v>300</v>
      </c>
      <c r="L17" s="76">
        <v>1304</v>
      </c>
      <c r="M17" s="91"/>
      <c r="N17" s="76">
        <v>55</v>
      </c>
      <c r="O17" s="79">
        <v>240</v>
      </c>
      <c r="P17" s="79">
        <v>120</v>
      </c>
      <c r="Q17" s="79">
        <v>235</v>
      </c>
      <c r="R17" s="79">
        <v>100</v>
      </c>
      <c r="S17" s="76">
        <v>695</v>
      </c>
      <c r="T17" s="76">
        <v>50</v>
      </c>
      <c r="U17" s="77"/>
      <c r="V17" s="77"/>
      <c r="W17" s="77"/>
      <c r="X17" s="77"/>
      <c r="Y17" s="77"/>
      <c r="Z17" s="77"/>
      <c r="AA17" s="77"/>
      <c r="AB17" s="77"/>
      <c r="AC17" s="77"/>
      <c r="AD17" s="77"/>
    </row>
    <row r="18" spans="1:30" ht="15" x14ac:dyDescent="0.2">
      <c r="A18" s="13">
        <v>41456</v>
      </c>
      <c r="B18" s="90">
        <v>31</v>
      </c>
      <c r="C18" s="76">
        <f>194.205</f>
        <v>194.20500000000001</v>
      </c>
      <c r="D18" s="76">
        <f>267.466</f>
        <v>267.46600000000001</v>
      </c>
      <c r="E18" s="85">
        <f>133.845</f>
        <v>133.845</v>
      </c>
      <c r="F18" s="76">
        <f>278.484-40-25</f>
        <v>213.48399999999998</v>
      </c>
      <c r="G18" s="79">
        <v>40</v>
      </c>
      <c r="H18" s="76">
        <v>25</v>
      </c>
      <c r="I18" s="91">
        <v>30</v>
      </c>
      <c r="J18" s="79">
        <v>100</v>
      </c>
      <c r="K18" s="79">
        <v>300</v>
      </c>
      <c r="L18" s="76">
        <f t="shared" ref="L18:L81" si="0">SUM(C18:K18)</f>
        <v>1304</v>
      </c>
      <c r="M18" s="91"/>
      <c r="N18" s="76">
        <f>55</f>
        <v>55</v>
      </c>
      <c r="O18" s="79">
        <v>240</v>
      </c>
      <c r="P18" s="79">
        <f>145-H18</f>
        <v>120</v>
      </c>
      <c r="Q18" s="79">
        <f t="shared" ref="Q18:Q81" si="1">695-R18-O18-P18</f>
        <v>235</v>
      </c>
      <c r="R18" s="79">
        <f t="shared" ref="R18:R81" si="2">200-J18</f>
        <v>100</v>
      </c>
      <c r="S18" s="76">
        <f t="shared" ref="S18:S81" si="3">SUM(O18:R18)</f>
        <v>695</v>
      </c>
      <c r="T18" s="76">
        <f>0</f>
        <v>0</v>
      </c>
      <c r="U18" s="77"/>
      <c r="V18" s="77"/>
      <c r="W18" s="77"/>
      <c r="X18" s="77"/>
      <c r="Y18" s="77"/>
      <c r="Z18" s="77"/>
      <c r="AA18" s="77"/>
      <c r="AB18" s="77"/>
      <c r="AC18" s="77"/>
      <c r="AD18" s="77"/>
    </row>
    <row r="19" spans="1:30" ht="15" x14ac:dyDescent="0.2">
      <c r="A19" s="13">
        <v>41487</v>
      </c>
      <c r="B19" s="90">
        <v>31</v>
      </c>
      <c r="C19" s="76">
        <f>194.205</f>
        <v>194.20500000000001</v>
      </c>
      <c r="D19" s="76">
        <f>267.466</f>
        <v>267.46600000000001</v>
      </c>
      <c r="E19" s="85">
        <f>133.845</f>
        <v>133.845</v>
      </c>
      <c r="F19" s="76">
        <f>278.484-40-25</f>
        <v>213.48399999999998</v>
      </c>
      <c r="G19" s="79">
        <v>40</v>
      </c>
      <c r="H19" s="76">
        <v>25</v>
      </c>
      <c r="I19" s="91">
        <v>30</v>
      </c>
      <c r="J19" s="79">
        <v>100</v>
      </c>
      <c r="K19" s="79">
        <v>300</v>
      </c>
      <c r="L19" s="76">
        <f t="shared" si="0"/>
        <v>1304</v>
      </c>
      <c r="M19" s="91"/>
      <c r="N19" s="76">
        <f>55</f>
        <v>55</v>
      </c>
      <c r="O19" s="79">
        <v>240</v>
      </c>
      <c r="P19" s="79">
        <f>145-H19</f>
        <v>120</v>
      </c>
      <c r="Q19" s="79">
        <f t="shared" si="1"/>
        <v>235</v>
      </c>
      <c r="R19" s="79">
        <f t="shared" si="2"/>
        <v>100</v>
      </c>
      <c r="S19" s="76">
        <f t="shared" si="3"/>
        <v>695</v>
      </c>
      <c r="T19" s="76">
        <f>0</f>
        <v>0</v>
      </c>
      <c r="U19" s="77"/>
      <c r="V19" s="77"/>
      <c r="W19" s="77"/>
      <c r="X19" s="77"/>
      <c r="Y19" s="77"/>
      <c r="Z19" s="77"/>
      <c r="AA19" s="77"/>
      <c r="AB19" s="77"/>
      <c r="AC19" s="77"/>
      <c r="AD19" s="77"/>
    </row>
    <row r="20" spans="1:30" ht="15" x14ac:dyDescent="0.2">
      <c r="A20" s="13">
        <v>41518</v>
      </c>
      <c r="B20" s="90">
        <v>30</v>
      </c>
      <c r="C20" s="76">
        <f>194.205</f>
        <v>194.20500000000001</v>
      </c>
      <c r="D20" s="76">
        <f>267.466</f>
        <v>267.46600000000001</v>
      </c>
      <c r="E20" s="85">
        <f>133.845</f>
        <v>133.845</v>
      </c>
      <c r="F20" s="76">
        <f>278.484-40-25</f>
        <v>213.48399999999998</v>
      </c>
      <c r="G20" s="79">
        <v>40</v>
      </c>
      <c r="H20" s="76">
        <v>25</v>
      </c>
      <c r="I20" s="91">
        <v>30</v>
      </c>
      <c r="J20" s="79">
        <v>100</v>
      </c>
      <c r="K20" s="79">
        <v>300</v>
      </c>
      <c r="L20" s="76">
        <f t="shared" si="0"/>
        <v>1304</v>
      </c>
      <c r="M20" s="91"/>
      <c r="N20" s="76">
        <f>55</f>
        <v>55</v>
      </c>
      <c r="O20" s="79">
        <v>240</v>
      </c>
      <c r="P20" s="79">
        <f>145-H20</f>
        <v>120</v>
      </c>
      <c r="Q20" s="79">
        <f t="shared" si="1"/>
        <v>235</v>
      </c>
      <c r="R20" s="79">
        <f t="shared" si="2"/>
        <v>100</v>
      </c>
      <c r="S20" s="76">
        <f t="shared" si="3"/>
        <v>695</v>
      </c>
      <c r="T20" s="76">
        <f>0</f>
        <v>0</v>
      </c>
      <c r="U20" s="77"/>
      <c r="V20" s="77"/>
      <c r="W20" s="77"/>
      <c r="X20" s="77"/>
      <c r="Y20" s="77"/>
      <c r="Z20" s="77"/>
      <c r="AA20" s="77"/>
      <c r="AB20" s="77"/>
      <c r="AC20" s="77"/>
      <c r="AD20" s="77"/>
    </row>
    <row r="21" spans="1:30" ht="15" x14ac:dyDescent="0.2">
      <c r="A21" s="13">
        <v>41548</v>
      </c>
      <c r="B21" s="90">
        <v>31</v>
      </c>
      <c r="C21" s="76">
        <f>131.881</f>
        <v>131.881</v>
      </c>
      <c r="D21" s="76">
        <f>277.167</f>
        <v>277.16699999999997</v>
      </c>
      <c r="E21" s="85">
        <f>79.08</f>
        <v>79.08</v>
      </c>
      <c r="F21" s="76">
        <f>350.872-40-25</f>
        <v>285.87200000000001</v>
      </c>
      <c r="G21" s="79">
        <v>40</v>
      </c>
      <c r="H21" s="76">
        <v>25</v>
      </c>
      <c r="I21" s="76">
        <v>0</v>
      </c>
      <c r="J21" s="79">
        <v>100</v>
      </c>
      <c r="K21" s="79">
        <v>300</v>
      </c>
      <c r="L21" s="76">
        <f t="shared" si="0"/>
        <v>1239</v>
      </c>
      <c r="M21" s="91"/>
      <c r="N21" s="76">
        <f>100</f>
        <v>100</v>
      </c>
      <c r="O21" s="79">
        <v>240</v>
      </c>
      <c r="P21" s="79">
        <f>145-H21</f>
        <v>120</v>
      </c>
      <c r="Q21" s="79">
        <f t="shared" si="1"/>
        <v>235</v>
      </c>
      <c r="R21" s="79">
        <f t="shared" si="2"/>
        <v>100</v>
      </c>
      <c r="S21" s="76">
        <f t="shared" si="3"/>
        <v>695</v>
      </c>
      <c r="T21" s="76">
        <f>0</f>
        <v>0</v>
      </c>
      <c r="U21" s="77"/>
      <c r="V21" s="77"/>
      <c r="W21" s="77"/>
      <c r="X21" s="77"/>
      <c r="Y21" s="77"/>
      <c r="Z21" s="77"/>
      <c r="AA21" s="77"/>
      <c r="AB21" s="77"/>
      <c r="AC21" s="77"/>
      <c r="AD21" s="77"/>
    </row>
    <row r="22" spans="1:30" ht="15" x14ac:dyDescent="0.2">
      <c r="A22" s="13">
        <v>41579</v>
      </c>
      <c r="B22" s="90">
        <v>30</v>
      </c>
      <c r="C22" s="76">
        <f>122.58</f>
        <v>122.58</v>
      </c>
      <c r="D22" s="76">
        <f>297.941</f>
        <v>297.94099999999997</v>
      </c>
      <c r="E22" s="85">
        <f>89.177</f>
        <v>89.177000000000007</v>
      </c>
      <c r="F22" s="76">
        <f>240.302-40</f>
        <v>200.30199999999999</v>
      </c>
      <c r="G22" s="79">
        <v>40</v>
      </c>
      <c r="H22" s="76">
        <v>0</v>
      </c>
      <c r="I22" s="76">
        <v>0</v>
      </c>
      <c r="J22" s="79">
        <v>100</v>
      </c>
      <c r="K22" s="79">
        <v>300</v>
      </c>
      <c r="L22" s="76">
        <f t="shared" si="0"/>
        <v>1150</v>
      </c>
      <c r="M22" s="91"/>
      <c r="N22" s="76">
        <f>125</f>
        <v>125</v>
      </c>
      <c r="O22" s="79">
        <v>240</v>
      </c>
      <c r="P22" s="79">
        <v>0</v>
      </c>
      <c r="Q22" s="79">
        <f t="shared" si="1"/>
        <v>355</v>
      </c>
      <c r="R22" s="79">
        <f t="shared" si="2"/>
        <v>100</v>
      </c>
      <c r="S22" s="76">
        <f t="shared" si="3"/>
        <v>695</v>
      </c>
      <c r="T22" s="76">
        <f>50</f>
        <v>50</v>
      </c>
      <c r="U22" s="77"/>
      <c r="V22" s="77"/>
      <c r="W22" s="77"/>
      <c r="X22" s="77"/>
      <c r="Y22" s="77"/>
      <c r="Z22" s="77"/>
      <c r="AA22" s="77"/>
      <c r="AB22" s="77"/>
      <c r="AC22" s="77"/>
      <c r="AD22" s="77"/>
    </row>
    <row r="23" spans="1:30" ht="15" x14ac:dyDescent="0.2">
      <c r="A23" s="13">
        <v>41609</v>
      </c>
      <c r="B23" s="90">
        <v>31</v>
      </c>
      <c r="C23" s="76">
        <f>122.58</f>
        <v>122.58</v>
      </c>
      <c r="D23" s="76">
        <f>297.941</f>
        <v>297.94099999999997</v>
      </c>
      <c r="E23" s="85">
        <f>89.177</f>
        <v>89.177000000000007</v>
      </c>
      <c r="F23" s="76">
        <f>240.302-40</f>
        <v>200.30199999999999</v>
      </c>
      <c r="G23" s="79">
        <v>40</v>
      </c>
      <c r="H23" s="76">
        <v>0</v>
      </c>
      <c r="I23" s="76">
        <v>0</v>
      </c>
      <c r="J23" s="79">
        <v>100</v>
      </c>
      <c r="K23" s="79">
        <v>300</v>
      </c>
      <c r="L23" s="76">
        <f t="shared" si="0"/>
        <v>1150</v>
      </c>
      <c r="M23" s="91"/>
      <c r="N23" s="76">
        <f>125</f>
        <v>125</v>
      </c>
      <c r="O23" s="79">
        <v>240</v>
      </c>
      <c r="P23" s="79">
        <v>0</v>
      </c>
      <c r="Q23" s="79">
        <f t="shared" si="1"/>
        <v>355</v>
      </c>
      <c r="R23" s="79">
        <f t="shared" si="2"/>
        <v>100</v>
      </c>
      <c r="S23" s="76">
        <f t="shared" si="3"/>
        <v>695</v>
      </c>
      <c r="T23" s="76">
        <f>50</f>
        <v>50</v>
      </c>
      <c r="U23" s="77"/>
      <c r="V23" s="77"/>
      <c r="W23" s="77"/>
      <c r="X23" s="77"/>
      <c r="Y23" s="77"/>
      <c r="Z23" s="77"/>
      <c r="AA23" s="77"/>
      <c r="AB23" s="77"/>
      <c r="AC23" s="77"/>
      <c r="AD23" s="77"/>
    </row>
    <row r="24" spans="1:30" ht="15.75" x14ac:dyDescent="0.25">
      <c r="A24" s="13">
        <v>41640</v>
      </c>
      <c r="B24" s="90">
        <v>31</v>
      </c>
      <c r="C24" s="76">
        <f>122.58</f>
        <v>122.58</v>
      </c>
      <c r="D24" s="76">
        <f>297.941</f>
        <v>297.94099999999997</v>
      </c>
      <c r="E24" s="85">
        <f>89.177</f>
        <v>89.177000000000007</v>
      </c>
      <c r="F24" s="76">
        <f>240.302-40</f>
        <v>200.30199999999999</v>
      </c>
      <c r="G24" s="79">
        <v>40</v>
      </c>
      <c r="H24" s="76">
        <v>0</v>
      </c>
      <c r="I24" s="76">
        <v>0</v>
      </c>
      <c r="J24" s="79">
        <v>100</v>
      </c>
      <c r="K24" s="79">
        <v>300</v>
      </c>
      <c r="L24" s="76">
        <f t="shared" si="0"/>
        <v>1150</v>
      </c>
      <c r="M24" s="87"/>
      <c r="N24" s="76">
        <f>100</f>
        <v>100</v>
      </c>
      <c r="O24" s="79">
        <v>240</v>
      </c>
      <c r="P24" s="79">
        <v>0</v>
      </c>
      <c r="Q24" s="79">
        <f t="shared" si="1"/>
        <v>355</v>
      </c>
      <c r="R24" s="79">
        <f t="shared" si="2"/>
        <v>100</v>
      </c>
      <c r="S24" s="76">
        <f t="shared" si="3"/>
        <v>695</v>
      </c>
      <c r="T24" s="76">
        <f>50</f>
        <v>50</v>
      </c>
      <c r="U24" s="77"/>
      <c r="V24" s="77"/>
      <c r="W24" s="77"/>
      <c r="X24" s="77"/>
      <c r="Y24" s="77"/>
      <c r="Z24" s="77"/>
      <c r="AA24" s="77"/>
      <c r="AB24" s="77"/>
      <c r="AC24" s="77"/>
      <c r="AD24" s="77"/>
    </row>
    <row r="25" spans="1:30" ht="15.75" x14ac:dyDescent="0.25">
      <c r="A25" s="13">
        <v>41671</v>
      </c>
      <c r="B25" s="90">
        <v>28</v>
      </c>
      <c r="C25" s="76">
        <f>122.58</f>
        <v>122.58</v>
      </c>
      <c r="D25" s="76">
        <f>297.941</f>
        <v>297.94099999999997</v>
      </c>
      <c r="E25" s="85">
        <f>89.177</f>
        <v>89.177000000000007</v>
      </c>
      <c r="F25" s="76">
        <f>240.302-40</f>
        <v>200.30199999999999</v>
      </c>
      <c r="G25" s="79">
        <v>40</v>
      </c>
      <c r="H25" s="76">
        <v>0</v>
      </c>
      <c r="I25" s="76">
        <v>0</v>
      </c>
      <c r="J25" s="79">
        <v>100</v>
      </c>
      <c r="K25" s="79">
        <v>300</v>
      </c>
      <c r="L25" s="76">
        <f t="shared" si="0"/>
        <v>1150</v>
      </c>
      <c r="M25" s="87"/>
      <c r="N25" s="76">
        <f>100</f>
        <v>100</v>
      </c>
      <c r="O25" s="79">
        <v>240</v>
      </c>
      <c r="P25" s="79">
        <v>0</v>
      </c>
      <c r="Q25" s="79">
        <f t="shared" si="1"/>
        <v>355</v>
      </c>
      <c r="R25" s="79">
        <f t="shared" si="2"/>
        <v>100</v>
      </c>
      <c r="S25" s="76">
        <f t="shared" si="3"/>
        <v>695</v>
      </c>
      <c r="T25" s="76">
        <f>50</f>
        <v>50</v>
      </c>
      <c r="U25" s="77"/>
      <c r="V25" s="77"/>
      <c r="W25" s="77"/>
      <c r="X25" s="77"/>
      <c r="Y25" s="77"/>
      <c r="Z25" s="77"/>
      <c r="AA25" s="77"/>
      <c r="AB25" s="77"/>
      <c r="AC25" s="77"/>
      <c r="AD25" s="77"/>
    </row>
    <row r="26" spans="1:30" ht="15.75" x14ac:dyDescent="0.25">
      <c r="A26" s="13">
        <v>41699</v>
      </c>
      <c r="B26" s="90">
        <v>31</v>
      </c>
      <c r="C26" s="76">
        <f>122.58</f>
        <v>122.58</v>
      </c>
      <c r="D26" s="76">
        <f>297.941</f>
        <v>297.94099999999997</v>
      </c>
      <c r="E26" s="85">
        <f>89.177</f>
        <v>89.177000000000007</v>
      </c>
      <c r="F26" s="76">
        <f>240.302-40</f>
        <v>200.30199999999999</v>
      </c>
      <c r="G26" s="79">
        <v>40</v>
      </c>
      <c r="H26" s="76">
        <v>0</v>
      </c>
      <c r="I26" s="76">
        <v>0</v>
      </c>
      <c r="J26" s="79">
        <v>100</v>
      </c>
      <c r="K26" s="79">
        <v>300</v>
      </c>
      <c r="L26" s="76">
        <f t="shared" si="0"/>
        <v>1150</v>
      </c>
      <c r="M26" s="87"/>
      <c r="N26" s="76">
        <f>100</f>
        <v>100</v>
      </c>
      <c r="O26" s="79">
        <v>240</v>
      </c>
      <c r="P26" s="79">
        <v>0</v>
      </c>
      <c r="Q26" s="79">
        <f t="shared" si="1"/>
        <v>355</v>
      </c>
      <c r="R26" s="79">
        <f t="shared" si="2"/>
        <v>100</v>
      </c>
      <c r="S26" s="76">
        <f t="shared" si="3"/>
        <v>695</v>
      </c>
      <c r="T26" s="76">
        <f>50</f>
        <v>50</v>
      </c>
      <c r="U26" s="77"/>
      <c r="V26" s="77"/>
      <c r="W26" s="77"/>
      <c r="X26" s="77"/>
      <c r="Y26" s="77"/>
      <c r="Z26" s="77"/>
      <c r="AA26" s="77"/>
      <c r="AB26" s="77"/>
      <c r="AC26" s="77"/>
      <c r="AD26" s="77"/>
    </row>
    <row r="27" spans="1:30" ht="15.75" x14ac:dyDescent="0.25">
      <c r="A27" s="13">
        <v>41730</v>
      </c>
      <c r="B27" s="90">
        <v>30</v>
      </c>
      <c r="C27" s="76">
        <f>141.293</f>
        <v>141.29300000000001</v>
      </c>
      <c r="D27" s="76">
        <f>267.993</f>
        <v>267.99299999999999</v>
      </c>
      <c r="E27" s="85">
        <f>115.016</f>
        <v>115.01600000000001</v>
      </c>
      <c r="F27" s="76">
        <f>314.698-40-25</f>
        <v>249.69799999999998</v>
      </c>
      <c r="G27" s="79">
        <v>40</v>
      </c>
      <c r="H27" s="76">
        <v>25</v>
      </c>
      <c r="I27" s="76">
        <v>0</v>
      </c>
      <c r="J27" s="79">
        <v>100</v>
      </c>
      <c r="K27" s="79">
        <v>300</v>
      </c>
      <c r="L27" s="76">
        <f t="shared" si="0"/>
        <v>1239</v>
      </c>
      <c r="M27" s="87"/>
      <c r="N27" s="76">
        <f>100</f>
        <v>100</v>
      </c>
      <c r="O27" s="79">
        <v>240</v>
      </c>
      <c r="P27" s="79">
        <f t="shared" ref="P27:P33" si="4">145-H27</f>
        <v>120</v>
      </c>
      <c r="Q27" s="79">
        <f t="shared" si="1"/>
        <v>235</v>
      </c>
      <c r="R27" s="79">
        <f t="shared" si="2"/>
        <v>100</v>
      </c>
      <c r="S27" s="76">
        <f t="shared" si="3"/>
        <v>695</v>
      </c>
      <c r="T27" s="76">
        <f>50</f>
        <v>50</v>
      </c>
      <c r="U27" s="77"/>
      <c r="V27" s="77"/>
      <c r="W27" s="77"/>
      <c r="X27" s="77"/>
      <c r="Y27" s="77"/>
      <c r="Z27" s="77"/>
      <c r="AA27" s="77"/>
      <c r="AB27" s="77"/>
      <c r="AC27" s="77"/>
      <c r="AD27" s="77"/>
    </row>
    <row r="28" spans="1:30" ht="15.75" x14ac:dyDescent="0.25">
      <c r="A28" s="13">
        <v>41760</v>
      </c>
      <c r="B28" s="90">
        <v>31</v>
      </c>
      <c r="C28" s="76">
        <f>194.205</f>
        <v>194.20500000000001</v>
      </c>
      <c r="D28" s="76">
        <f>267.466</f>
        <v>267.46600000000001</v>
      </c>
      <c r="E28" s="85">
        <f>133.845</f>
        <v>133.845</v>
      </c>
      <c r="F28" s="76">
        <f>278.484-40-25</f>
        <v>213.48399999999998</v>
      </c>
      <c r="G28" s="79">
        <v>40</v>
      </c>
      <c r="H28" s="76">
        <v>25</v>
      </c>
      <c r="I28" s="91">
        <v>50</v>
      </c>
      <c r="J28" s="79">
        <v>100</v>
      </c>
      <c r="K28" s="79">
        <v>300</v>
      </c>
      <c r="L28" s="76">
        <f t="shared" si="0"/>
        <v>1324</v>
      </c>
      <c r="M28" s="87"/>
      <c r="N28" s="76">
        <f>75</f>
        <v>75</v>
      </c>
      <c r="O28" s="79">
        <v>240</v>
      </c>
      <c r="P28" s="79">
        <f t="shared" si="4"/>
        <v>120</v>
      </c>
      <c r="Q28" s="79">
        <f t="shared" si="1"/>
        <v>235</v>
      </c>
      <c r="R28" s="79">
        <f t="shared" si="2"/>
        <v>100</v>
      </c>
      <c r="S28" s="76">
        <f t="shared" si="3"/>
        <v>695</v>
      </c>
      <c r="T28" s="76">
        <f>50</f>
        <v>50</v>
      </c>
      <c r="U28" s="77"/>
      <c r="V28" s="77"/>
      <c r="W28" s="77"/>
      <c r="X28" s="77"/>
      <c r="Y28" s="77"/>
      <c r="Z28" s="77"/>
      <c r="AA28" s="77"/>
      <c r="AB28" s="77"/>
      <c r="AC28" s="77"/>
      <c r="AD28" s="77"/>
    </row>
    <row r="29" spans="1:30" ht="15.75" x14ac:dyDescent="0.25">
      <c r="A29" s="13">
        <v>41791</v>
      </c>
      <c r="B29" s="90">
        <v>30</v>
      </c>
      <c r="C29" s="76">
        <f>194.205</f>
        <v>194.20500000000001</v>
      </c>
      <c r="D29" s="76">
        <f>267.466</f>
        <v>267.46600000000001</v>
      </c>
      <c r="E29" s="85">
        <f>133.845</f>
        <v>133.845</v>
      </c>
      <c r="F29" s="76">
        <f>278.484-40-25</f>
        <v>213.48399999999998</v>
      </c>
      <c r="G29" s="79">
        <v>40</v>
      </c>
      <c r="H29" s="76">
        <v>25</v>
      </c>
      <c r="I29" s="91">
        <v>50</v>
      </c>
      <c r="J29" s="79">
        <v>100</v>
      </c>
      <c r="K29" s="79">
        <v>300</v>
      </c>
      <c r="L29" s="76">
        <f t="shared" si="0"/>
        <v>1324</v>
      </c>
      <c r="M29" s="87"/>
      <c r="N29" s="76">
        <f>30</f>
        <v>30</v>
      </c>
      <c r="O29" s="79">
        <v>240</v>
      </c>
      <c r="P29" s="79">
        <f t="shared" si="4"/>
        <v>120</v>
      </c>
      <c r="Q29" s="79">
        <f t="shared" si="1"/>
        <v>235</v>
      </c>
      <c r="R29" s="79">
        <f t="shared" si="2"/>
        <v>100</v>
      </c>
      <c r="S29" s="76">
        <f t="shared" si="3"/>
        <v>695</v>
      </c>
      <c r="T29" s="76">
        <f>50</f>
        <v>50</v>
      </c>
      <c r="U29" s="77"/>
      <c r="V29" s="77"/>
      <c r="W29" s="77"/>
      <c r="X29" s="77"/>
      <c r="Y29" s="77"/>
      <c r="Z29" s="77"/>
      <c r="AA29" s="77"/>
      <c r="AB29" s="77"/>
      <c r="AC29" s="77"/>
      <c r="AD29" s="77"/>
    </row>
    <row r="30" spans="1:30" ht="15.75" x14ac:dyDescent="0.25">
      <c r="A30" s="13">
        <v>41821</v>
      </c>
      <c r="B30" s="90">
        <v>31</v>
      </c>
      <c r="C30" s="76">
        <f>194.205</f>
        <v>194.20500000000001</v>
      </c>
      <c r="D30" s="76">
        <f>267.466</f>
        <v>267.46600000000001</v>
      </c>
      <c r="E30" s="85">
        <f>133.845</f>
        <v>133.845</v>
      </c>
      <c r="F30" s="76">
        <f>278.484-40-25</f>
        <v>213.48399999999998</v>
      </c>
      <c r="G30" s="79">
        <v>40</v>
      </c>
      <c r="H30" s="76">
        <v>25</v>
      </c>
      <c r="I30" s="91">
        <v>50</v>
      </c>
      <c r="J30" s="79">
        <v>100</v>
      </c>
      <c r="K30" s="79">
        <v>300</v>
      </c>
      <c r="L30" s="76">
        <f t="shared" si="0"/>
        <v>1324</v>
      </c>
      <c r="M30" s="87"/>
      <c r="N30" s="76">
        <f>30</f>
        <v>30</v>
      </c>
      <c r="O30" s="79">
        <v>240</v>
      </c>
      <c r="P30" s="79">
        <f t="shared" si="4"/>
        <v>120</v>
      </c>
      <c r="Q30" s="79">
        <f t="shared" si="1"/>
        <v>235</v>
      </c>
      <c r="R30" s="79">
        <f t="shared" si="2"/>
        <v>100</v>
      </c>
      <c r="S30" s="76">
        <f t="shared" si="3"/>
        <v>695</v>
      </c>
      <c r="T30" s="76">
        <f>0</f>
        <v>0</v>
      </c>
      <c r="U30" s="77"/>
      <c r="V30" s="77"/>
      <c r="W30" s="77"/>
      <c r="X30" s="77"/>
      <c r="Y30" s="77"/>
      <c r="Z30" s="77"/>
      <c r="AA30" s="77"/>
      <c r="AB30" s="77"/>
      <c r="AC30" s="77"/>
      <c r="AD30" s="77"/>
    </row>
    <row r="31" spans="1:30" ht="15.75" x14ac:dyDescent="0.25">
      <c r="A31" s="13">
        <v>41852</v>
      </c>
      <c r="B31" s="90">
        <v>31</v>
      </c>
      <c r="C31" s="76">
        <f>194.205</f>
        <v>194.20500000000001</v>
      </c>
      <c r="D31" s="76">
        <f>267.466</f>
        <v>267.46600000000001</v>
      </c>
      <c r="E31" s="85">
        <f>133.845</f>
        <v>133.845</v>
      </c>
      <c r="F31" s="76">
        <f>278.484-40-25</f>
        <v>213.48399999999998</v>
      </c>
      <c r="G31" s="79">
        <v>40</v>
      </c>
      <c r="H31" s="76">
        <v>25</v>
      </c>
      <c r="I31" s="91">
        <v>50</v>
      </c>
      <c r="J31" s="79">
        <v>100</v>
      </c>
      <c r="K31" s="79">
        <v>300</v>
      </c>
      <c r="L31" s="76">
        <f t="shared" si="0"/>
        <v>1324</v>
      </c>
      <c r="M31" s="87"/>
      <c r="N31" s="76">
        <f>30</f>
        <v>30</v>
      </c>
      <c r="O31" s="79">
        <v>240</v>
      </c>
      <c r="P31" s="79">
        <f t="shared" si="4"/>
        <v>120</v>
      </c>
      <c r="Q31" s="79">
        <f t="shared" si="1"/>
        <v>235</v>
      </c>
      <c r="R31" s="79">
        <f t="shared" si="2"/>
        <v>100</v>
      </c>
      <c r="S31" s="76">
        <f t="shared" si="3"/>
        <v>695</v>
      </c>
      <c r="T31" s="76">
        <f>0</f>
        <v>0</v>
      </c>
      <c r="U31" s="77"/>
      <c r="V31" s="77"/>
      <c r="W31" s="77"/>
      <c r="X31" s="77"/>
      <c r="Y31" s="77"/>
      <c r="Z31" s="77"/>
      <c r="AA31" s="77"/>
      <c r="AB31" s="77"/>
      <c r="AC31" s="77"/>
      <c r="AD31" s="77"/>
    </row>
    <row r="32" spans="1:30" ht="15.75" x14ac:dyDescent="0.25">
      <c r="A32" s="13">
        <v>41883</v>
      </c>
      <c r="B32" s="90">
        <v>30</v>
      </c>
      <c r="C32" s="76">
        <f>194.205</f>
        <v>194.20500000000001</v>
      </c>
      <c r="D32" s="76">
        <f>267.466</f>
        <v>267.46600000000001</v>
      </c>
      <c r="E32" s="85">
        <f>133.845</f>
        <v>133.845</v>
      </c>
      <c r="F32" s="76">
        <f>278.484-40-25</f>
        <v>213.48399999999998</v>
      </c>
      <c r="G32" s="79">
        <v>40</v>
      </c>
      <c r="H32" s="76">
        <v>25</v>
      </c>
      <c r="I32" s="91">
        <v>50</v>
      </c>
      <c r="J32" s="79">
        <v>100</v>
      </c>
      <c r="K32" s="79">
        <v>300</v>
      </c>
      <c r="L32" s="76">
        <f t="shared" si="0"/>
        <v>1324</v>
      </c>
      <c r="M32" s="87"/>
      <c r="N32" s="76">
        <f>30</f>
        <v>30</v>
      </c>
      <c r="O32" s="79">
        <v>240</v>
      </c>
      <c r="P32" s="79">
        <f t="shared" si="4"/>
        <v>120</v>
      </c>
      <c r="Q32" s="79">
        <f t="shared" si="1"/>
        <v>235</v>
      </c>
      <c r="R32" s="79">
        <f t="shared" si="2"/>
        <v>100</v>
      </c>
      <c r="S32" s="76">
        <f t="shared" si="3"/>
        <v>695</v>
      </c>
      <c r="T32" s="76">
        <f>0</f>
        <v>0</v>
      </c>
      <c r="U32" s="77"/>
      <c r="V32" s="77"/>
      <c r="W32" s="77"/>
      <c r="X32" s="77"/>
      <c r="Y32" s="77"/>
      <c r="Z32" s="77"/>
      <c r="AA32" s="77"/>
      <c r="AB32" s="77"/>
      <c r="AC32" s="77"/>
      <c r="AD32" s="77"/>
    </row>
    <row r="33" spans="1:30" ht="15.75" x14ac:dyDescent="0.25">
      <c r="A33" s="13">
        <v>41913</v>
      </c>
      <c r="B33" s="90">
        <v>31</v>
      </c>
      <c r="C33" s="76">
        <f>131.881</f>
        <v>131.881</v>
      </c>
      <c r="D33" s="76">
        <f>277.167</f>
        <v>277.16699999999997</v>
      </c>
      <c r="E33" s="85">
        <f>79.08</f>
        <v>79.08</v>
      </c>
      <c r="F33" s="76">
        <f>350.872-40-25</f>
        <v>285.87200000000001</v>
      </c>
      <c r="G33" s="79">
        <v>40</v>
      </c>
      <c r="H33" s="76">
        <v>25</v>
      </c>
      <c r="I33" s="76">
        <v>0</v>
      </c>
      <c r="J33" s="79">
        <v>100</v>
      </c>
      <c r="K33" s="79">
        <v>300</v>
      </c>
      <c r="L33" s="76">
        <f t="shared" si="0"/>
        <v>1239</v>
      </c>
      <c r="M33" s="87"/>
      <c r="N33" s="76">
        <f>75</f>
        <v>75</v>
      </c>
      <c r="O33" s="79">
        <v>240</v>
      </c>
      <c r="P33" s="79">
        <f t="shared" si="4"/>
        <v>120</v>
      </c>
      <c r="Q33" s="79">
        <f t="shared" si="1"/>
        <v>235</v>
      </c>
      <c r="R33" s="79">
        <f t="shared" si="2"/>
        <v>100</v>
      </c>
      <c r="S33" s="76">
        <f t="shared" si="3"/>
        <v>695</v>
      </c>
      <c r="T33" s="76">
        <f>0</f>
        <v>0</v>
      </c>
      <c r="U33" s="77"/>
      <c r="V33" s="77"/>
      <c r="W33" s="77"/>
      <c r="X33" s="77"/>
      <c r="Y33" s="77"/>
      <c r="Z33" s="77"/>
      <c r="AA33" s="77"/>
      <c r="AB33" s="77"/>
      <c r="AC33" s="77"/>
      <c r="AD33" s="77"/>
    </row>
    <row r="34" spans="1:30" ht="15.75" x14ac:dyDescent="0.25">
      <c r="A34" s="13">
        <v>41944</v>
      </c>
      <c r="B34" s="90">
        <v>30</v>
      </c>
      <c r="C34" s="76">
        <f>122.58</f>
        <v>122.58</v>
      </c>
      <c r="D34" s="76">
        <f>297.941</f>
        <v>297.94099999999997</v>
      </c>
      <c r="E34" s="85">
        <f>89.177</f>
        <v>89.177000000000007</v>
      </c>
      <c r="F34" s="76">
        <f>240.302-40</f>
        <v>200.30199999999999</v>
      </c>
      <c r="G34" s="79">
        <v>40</v>
      </c>
      <c r="H34" s="76">
        <v>0</v>
      </c>
      <c r="I34" s="76">
        <v>0</v>
      </c>
      <c r="J34" s="79">
        <v>100</v>
      </c>
      <c r="K34" s="79">
        <v>300</v>
      </c>
      <c r="L34" s="76">
        <f t="shared" si="0"/>
        <v>1150</v>
      </c>
      <c r="M34" s="87"/>
      <c r="N34" s="76">
        <f>100</f>
        <v>100</v>
      </c>
      <c r="O34" s="79">
        <v>240</v>
      </c>
      <c r="P34" s="79">
        <v>0</v>
      </c>
      <c r="Q34" s="79">
        <f t="shared" si="1"/>
        <v>355</v>
      </c>
      <c r="R34" s="79">
        <f t="shared" si="2"/>
        <v>100</v>
      </c>
      <c r="S34" s="76">
        <f t="shared" si="3"/>
        <v>695</v>
      </c>
      <c r="T34" s="76">
        <f>50</f>
        <v>50</v>
      </c>
      <c r="U34" s="77"/>
      <c r="V34" s="77"/>
      <c r="W34" s="77"/>
      <c r="X34" s="77"/>
      <c r="Y34" s="77"/>
      <c r="Z34" s="77"/>
      <c r="AA34" s="77"/>
      <c r="AB34" s="77"/>
      <c r="AC34" s="77"/>
      <c r="AD34" s="77"/>
    </row>
    <row r="35" spans="1:30" ht="15.75" x14ac:dyDescent="0.25">
      <c r="A35" s="13">
        <v>41974</v>
      </c>
      <c r="B35" s="90">
        <v>31</v>
      </c>
      <c r="C35" s="76">
        <f>122.58</f>
        <v>122.58</v>
      </c>
      <c r="D35" s="76">
        <f>297.941</f>
        <v>297.94099999999997</v>
      </c>
      <c r="E35" s="85">
        <f>89.177</f>
        <v>89.177000000000007</v>
      </c>
      <c r="F35" s="76">
        <f>240.302-40</f>
        <v>200.30199999999999</v>
      </c>
      <c r="G35" s="79">
        <v>40</v>
      </c>
      <c r="H35" s="76">
        <v>0</v>
      </c>
      <c r="I35" s="76">
        <v>0</v>
      </c>
      <c r="J35" s="79">
        <v>100</v>
      </c>
      <c r="K35" s="79">
        <v>300</v>
      </c>
      <c r="L35" s="76">
        <f t="shared" si="0"/>
        <v>1150</v>
      </c>
      <c r="M35" s="87"/>
      <c r="N35" s="76">
        <f>100</f>
        <v>100</v>
      </c>
      <c r="O35" s="79">
        <v>240</v>
      </c>
      <c r="P35" s="79">
        <v>0</v>
      </c>
      <c r="Q35" s="79">
        <f t="shared" si="1"/>
        <v>355</v>
      </c>
      <c r="R35" s="79">
        <f t="shared" si="2"/>
        <v>100</v>
      </c>
      <c r="S35" s="76">
        <f t="shared" si="3"/>
        <v>695</v>
      </c>
      <c r="T35" s="76">
        <f>50</f>
        <v>50</v>
      </c>
      <c r="U35" s="77"/>
      <c r="V35" s="77"/>
      <c r="W35" s="77"/>
      <c r="X35" s="77"/>
      <c r="Y35" s="77"/>
      <c r="Z35" s="77"/>
      <c r="AA35" s="77"/>
      <c r="AB35" s="77"/>
      <c r="AC35" s="77"/>
      <c r="AD35" s="77"/>
    </row>
    <row r="36" spans="1:30" ht="15.75" x14ac:dyDescent="0.25">
      <c r="A36" s="13">
        <v>42005</v>
      </c>
      <c r="B36" s="90">
        <v>31</v>
      </c>
      <c r="C36" s="76">
        <f>122.58</f>
        <v>122.58</v>
      </c>
      <c r="D36" s="76">
        <f>297.941</f>
        <v>297.94099999999997</v>
      </c>
      <c r="E36" s="85">
        <f>89.177</f>
        <v>89.177000000000007</v>
      </c>
      <c r="F36" s="76">
        <f>240.302-40</f>
        <v>200.30199999999999</v>
      </c>
      <c r="G36" s="79">
        <v>40</v>
      </c>
      <c r="H36" s="76">
        <v>0</v>
      </c>
      <c r="I36" s="76">
        <v>0</v>
      </c>
      <c r="J36" s="79">
        <v>100</v>
      </c>
      <c r="K36" s="79">
        <v>300</v>
      </c>
      <c r="L36" s="76">
        <f t="shared" si="0"/>
        <v>1150</v>
      </c>
      <c r="M36" s="87"/>
      <c r="N36" s="76">
        <f>100</f>
        <v>100</v>
      </c>
      <c r="O36" s="79">
        <v>240</v>
      </c>
      <c r="P36" s="79">
        <v>0</v>
      </c>
      <c r="Q36" s="79">
        <f t="shared" si="1"/>
        <v>355</v>
      </c>
      <c r="R36" s="79">
        <f t="shared" si="2"/>
        <v>100</v>
      </c>
      <c r="S36" s="76">
        <f t="shared" si="3"/>
        <v>695</v>
      </c>
      <c r="T36" s="76">
        <f>50</f>
        <v>50</v>
      </c>
      <c r="U36" s="77"/>
      <c r="V36" s="77"/>
      <c r="W36" s="77"/>
      <c r="X36" s="77"/>
      <c r="Y36" s="77"/>
      <c r="Z36" s="77"/>
      <c r="AA36" s="77"/>
      <c r="AB36" s="77"/>
      <c r="AC36" s="77"/>
      <c r="AD36" s="77"/>
    </row>
    <row r="37" spans="1:30" ht="15.75" x14ac:dyDescent="0.25">
      <c r="A37" s="13">
        <v>42036</v>
      </c>
      <c r="B37" s="90">
        <v>28</v>
      </c>
      <c r="C37" s="76">
        <f>122.58</f>
        <v>122.58</v>
      </c>
      <c r="D37" s="76">
        <f>297.941</f>
        <v>297.94099999999997</v>
      </c>
      <c r="E37" s="85">
        <f>89.177</f>
        <v>89.177000000000007</v>
      </c>
      <c r="F37" s="76">
        <f>240.302-40</f>
        <v>200.30199999999999</v>
      </c>
      <c r="G37" s="79">
        <v>40</v>
      </c>
      <c r="H37" s="76">
        <v>0</v>
      </c>
      <c r="I37" s="76">
        <v>0</v>
      </c>
      <c r="J37" s="79">
        <v>100</v>
      </c>
      <c r="K37" s="79">
        <v>300</v>
      </c>
      <c r="L37" s="76">
        <f t="shared" si="0"/>
        <v>1150</v>
      </c>
      <c r="M37" s="87"/>
      <c r="N37" s="76">
        <f>100</f>
        <v>100</v>
      </c>
      <c r="O37" s="79">
        <v>240</v>
      </c>
      <c r="P37" s="79">
        <v>0</v>
      </c>
      <c r="Q37" s="79">
        <f t="shared" si="1"/>
        <v>355</v>
      </c>
      <c r="R37" s="79">
        <f t="shared" si="2"/>
        <v>100</v>
      </c>
      <c r="S37" s="76">
        <f t="shared" si="3"/>
        <v>695</v>
      </c>
      <c r="T37" s="76">
        <f>50</f>
        <v>50</v>
      </c>
      <c r="U37" s="77"/>
      <c r="V37" s="77"/>
      <c r="W37" s="77"/>
      <c r="X37" s="77"/>
      <c r="Y37" s="77"/>
      <c r="Z37" s="77"/>
      <c r="AA37" s="77"/>
      <c r="AB37" s="77"/>
      <c r="AC37" s="77"/>
      <c r="AD37" s="77"/>
    </row>
    <row r="38" spans="1:30" ht="15.75" x14ac:dyDescent="0.25">
      <c r="A38" s="13">
        <v>42064</v>
      </c>
      <c r="B38" s="90">
        <v>31</v>
      </c>
      <c r="C38" s="76">
        <f>122.58</f>
        <v>122.58</v>
      </c>
      <c r="D38" s="76">
        <f>297.941</f>
        <v>297.94099999999997</v>
      </c>
      <c r="E38" s="85">
        <f>89.177</f>
        <v>89.177000000000007</v>
      </c>
      <c r="F38" s="76">
        <f>240.302-40</f>
        <v>200.30199999999999</v>
      </c>
      <c r="G38" s="79">
        <v>40</v>
      </c>
      <c r="H38" s="76">
        <v>0</v>
      </c>
      <c r="I38" s="76">
        <v>0</v>
      </c>
      <c r="J38" s="79">
        <v>100</v>
      </c>
      <c r="K38" s="79">
        <v>300</v>
      </c>
      <c r="L38" s="76">
        <f t="shared" si="0"/>
        <v>1150</v>
      </c>
      <c r="M38" s="87"/>
      <c r="N38" s="76">
        <f>100</f>
        <v>100</v>
      </c>
      <c r="O38" s="79">
        <v>240</v>
      </c>
      <c r="P38" s="79">
        <v>0</v>
      </c>
      <c r="Q38" s="79">
        <f t="shared" si="1"/>
        <v>355</v>
      </c>
      <c r="R38" s="79">
        <f t="shared" si="2"/>
        <v>100</v>
      </c>
      <c r="S38" s="76">
        <f t="shared" si="3"/>
        <v>695</v>
      </c>
      <c r="T38" s="76">
        <f>50</f>
        <v>50</v>
      </c>
      <c r="U38" s="77"/>
      <c r="V38" s="77"/>
      <c r="W38" s="77"/>
      <c r="X38" s="77"/>
      <c r="Y38" s="77"/>
      <c r="Z38" s="77"/>
      <c r="AA38" s="77"/>
      <c r="AB38" s="77"/>
      <c r="AC38" s="77"/>
      <c r="AD38" s="77"/>
    </row>
    <row r="39" spans="1:30" ht="15.75" x14ac:dyDescent="0.25">
      <c r="A39" s="13">
        <v>42095</v>
      </c>
      <c r="B39" s="90">
        <v>30</v>
      </c>
      <c r="C39" s="76">
        <f>141.293</f>
        <v>141.29300000000001</v>
      </c>
      <c r="D39" s="76">
        <f>267.993</f>
        <v>267.99299999999999</v>
      </c>
      <c r="E39" s="85">
        <f>115.016</f>
        <v>115.01600000000001</v>
      </c>
      <c r="F39" s="76">
        <f>314.698-40-25-60-100</f>
        <v>89.697999999999979</v>
      </c>
      <c r="G39" s="79">
        <v>40</v>
      </c>
      <c r="H39" s="76">
        <f t="shared" ref="H39:H45" si="5">25+60+100</f>
        <v>185</v>
      </c>
      <c r="I39" s="76">
        <v>0</v>
      </c>
      <c r="J39" s="79">
        <v>100</v>
      </c>
      <c r="K39" s="79">
        <v>300</v>
      </c>
      <c r="L39" s="76">
        <f t="shared" si="0"/>
        <v>1239</v>
      </c>
      <c r="M39" s="87"/>
      <c r="N39" s="76">
        <f>100</f>
        <v>100</v>
      </c>
      <c r="O39" s="79">
        <v>240</v>
      </c>
      <c r="P39" s="79">
        <f t="shared" ref="P39:P45" si="6">120+40</f>
        <v>160</v>
      </c>
      <c r="Q39" s="79">
        <f t="shared" si="1"/>
        <v>195</v>
      </c>
      <c r="R39" s="79">
        <f t="shared" si="2"/>
        <v>100</v>
      </c>
      <c r="S39" s="76">
        <f t="shared" si="3"/>
        <v>695</v>
      </c>
      <c r="T39" s="76">
        <f>50</f>
        <v>50</v>
      </c>
      <c r="U39" s="77"/>
      <c r="V39" s="77"/>
      <c r="W39" s="77"/>
      <c r="X39" s="77"/>
      <c r="Y39" s="77"/>
      <c r="Z39" s="77"/>
      <c r="AA39" s="77"/>
      <c r="AB39" s="77"/>
      <c r="AC39" s="77"/>
      <c r="AD39" s="77"/>
    </row>
    <row r="40" spans="1:30" ht="15.75" x14ac:dyDescent="0.25">
      <c r="A40" s="13">
        <v>42125</v>
      </c>
      <c r="B40" s="90">
        <v>31</v>
      </c>
      <c r="C40" s="76">
        <f>194.205</f>
        <v>194.20500000000001</v>
      </c>
      <c r="D40" s="76">
        <f>267.466</f>
        <v>267.46600000000001</v>
      </c>
      <c r="E40" s="85">
        <f>133.845</f>
        <v>133.845</v>
      </c>
      <c r="F40" s="76">
        <f>278.484-40-25-60-100</f>
        <v>53.48399999999998</v>
      </c>
      <c r="G40" s="79">
        <v>40</v>
      </c>
      <c r="H40" s="76">
        <f t="shared" si="5"/>
        <v>185</v>
      </c>
      <c r="I40" s="91">
        <v>50</v>
      </c>
      <c r="J40" s="79">
        <v>100</v>
      </c>
      <c r="K40" s="79">
        <v>300</v>
      </c>
      <c r="L40" s="76">
        <f t="shared" si="0"/>
        <v>1324</v>
      </c>
      <c r="M40" s="87"/>
      <c r="N40" s="76">
        <f>75</f>
        <v>75</v>
      </c>
      <c r="O40" s="79">
        <v>240</v>
      </c>
      <c r="P40" s="79">
        <f t="shared" si="6"/>
        <v>160</v>
      </c>
      <c r="Q40" s="79">
        <f t="shared" si="1"/>
        <v>195</v>
      </c>
      <c r="R40" s="79">
        <f t="shared" si="2"/>
        <v>100</v>
      </c>
      <c r="S40" s="76">
        <f t="shared" si="3"/>
        <v>695</v>
      </c>
      <c r="T40" s="76">
        <f>50</f>
        <v>50</v>
      </c>
      <c r="U40" s="77"/>
      <c r="V40" s="77"/>
      <c r="W40" s="77"/>
      <c r="X40" s="77"/>
      <c r="Y40" s="77"/>
      <c r="Z40" s="77"/>
      <c r="AA40" s="77"/>
      <c r="AB40" s="77"/>
      <c r="AC40" s="77"/>
      <c r="AD40" s="77"/>
    </row>
    <row r="41" spans="1:30" ht="15.75" x14ac:dyDescent="0.25">
      <c r="A41" s="13">
        <v>42156</v>
      </c>
      <c r="B41" s="90">
        <v>30</v>
      </c>
      <c r="C41" s="76">
        <f>194.205</f>
        <v>194.20500000000001</v>
      </c>
      <c r="D41" s="76">
        <f>267.466</f>
        <v>267.46600000000001</v>
      </c>
      <c r="E41" s="85">
        <f>133.845</f>
        <v>133.845</v>
      </c>
      <c r="F41" s="76">
        <f>278.484-40-25-60-100</f>
        <v>53.48399999999998</v>
      </c>
      <c r="G41" s="79">
        <v>40</v>
      </c>
      <c r="H41" s="76">
        <f t="shared" si="5"/>
        <v>185</v>
      </c>
      <c r="I41" s="91">
        <v>50</v>
      </c>
      <c r="J41" s="79">
        <v>100</v>
      </c>
      <c r="K41" s="79">
        <v>300</v>
      </c>
      <c r="L41" s="76">
        <f t="shared" si="0"/>
        <v>1324</v>
      </c>
      <c r="M41" s="87"/>
      <c r="N41" s="76">
        <f>30</f>
        <v>30</v>
      </c>
      <c r="O41" s="79">
        <v>240</v>
      </c>
      <c r="P41" s="79">
        <f t="shared" si="6"/>
        <v>160</v>
      </c>
      <c r="Q41" s="79">
        <f t="shared" si="1"/>
        <v>195</v>
      </c>
      <c r="R41" s="79">
        <f t="shared" si="2"/>
        <v>100</v>
      </c>
      <c r="S41" s="76">
        <f t="shared" si="3"/>
        <v>695</v>
      </c>
      <c r="T41" s="76">
        <f>50</f>
        <v>50</v>
      </c>
      <c r="U41" s="77"/>
      <c r="V41" s="77"/>
      <c r="W41" s="77"/>
      <c r="X41" s="77"/>
      <c r="Y41" s="77"/>
      <c r="Z41" s="77"/>
      <c r="AA41" s="77"/>
      <c r="AB41" s="77"/>
      <c r="AC41" s="77"/>
      <c r="AD41" s="77"/>
    </row>
    <row r="42" spans="1:30" ht="15.75" x14ac:dyDescent="0.25">
      <c r="A42" s="13">
        <v>42186</v>
      </c>
      <c r="B42" s="90">
        <v>31</v>
      </c>
      <c r="C42" s="76">
        <f>194.205</f>
        <v>194.20500000000001</v>
      </c>
      <c r="D42" s="76">
        <f>267.466</f>
        <v>267.46600000000001</v>
      </c>
      <c r="E42" s="85">
        <f>133.845</f>
        <v>133.845</v>
      </c>
      <c r="F42" s="76">
        <f>278.484-40-25-60-100</f>
        <v>53.48399999999998</v>
      </c>
      <c r="G42" s="79">
        <v>40</v>
      </c>
      <c r="H42" s="76">
        <f t="shared" si="5"/>
        <v>185</v>
      </c>
      <c r="I42" s="91">
        <v>50</v>
      </c>
      <c r="J42" s="79">
        <v>100</v>
      </c>
      <c r="K42" s="79">
        <v>300</v>
      </c>
      <c r="L42" s="76">
        <f t="shared" si="0"/>
        <v>1324</v>
      </c>
      <c r="M42" s="87"/>
      <c r="N42" s="76">
        <f>30</f>
        <v>30</v>
      </c>
      <c r="O42" s="79">
        <v>240</v>
      </c>
      <c r="P42" s="79">
        <f t="shared" si="6"/>
        <v>160</v>
      </c>
      <c r="Q42" s="79">
        <f t="shared" si="1"/>
        <v>195</v>
      </c>
      <c r="R42" s="79">
        <f t="shared" si="2"/>
        <v>100</v>
      </c>
      <c r="S42" s="76">
        <f t="shared" si="3"/>
        <v>695</v>
      </c>
      <c r="T42" s="76">
        <f>0</f>
        <v>0</v>
      </c>
      <c r="U42" s="77"/>
      <c r="V42" s="77"/>
      <c r="W42" s="77"/>
      <c r="X42" s="77"/>
      <c r="Y42" s="77"/>
      <c r="Z42" s="77"/>
      <c r="AA42" s="77"/>
      <c r="AB42" s="77"/>
      <c r="AC42" s="77"/>
      <c r="AD42" s="77"/>
    </row>
    <row r="43" spans="1:30" ht="15.75" x14ac:dyDescent="0.25">
      <c r="A43" s="13">
        <v>42217</v>
      </c>
      <c r="B43" s="90">
        <v>31</v>
      </c>
      <c r="C43" s="76">
        <f>194.205</f>
        <v>194.20500000000001</v>
      </c>
      <c r="D43" s="76">
        <f>267.466</f>
        <v>267.46600000000001</v>
      </c>
      <c r="E43" s="85">
        <f>133.845</f>
        <v>133.845</v>
      </c>
      <c r="F43" s="76">
        <f>278.484-40-25-60-100</f>
        <v>53.48399999999998</v>
      </c>
      <c r="G43" s="79">
        <v>40</v>
      </c>
      <c r="H43" s="76">
        <f t="shared" si="5"/>
        <v>185</v>
      </c>
      <c r="I43" s="91">
        <v>50</v>
      </c>
      <c r="J43" s="79">
        <v>100</v>
      </c>
      <c r="K43" s="79">
        <v>300</v>
      </c>
      <c r="L43" s="76">
        <f t="shared" si="0"/>
        <v>1324</v>
      </c>
      <c r="M43" s="87"/>
      <c r="N43" s="76">
        <f>30</f>
        <v>30</v>
      </c>
      <c r="O43" s="79">
        <v>240</v>
      </c>
      <c r="P43" s="79">
        <f t="shared" si="6"/>
        <v>160</v>
      </c>
      <c r="Q43" s="79">
        <f t="shared" si="1"/>
        <v>195</v>
      </c>
      <c r="R43" s="79">
        <f t="shared" si="2"/>
        <v>100</v>
      </c>
      <c r="S43" s="76">
        <f t="shared" si="3"/>
        <v>695</v>
      </c>
      <c r="T43" s="76">
        <f>0</f>
        <v>0</v>
      </c>
      <c r="U43" s="77"/>
      <c r="V43" s="77"/>
      <c r="W43" s="77"/>
      <c r="X43" s="77"/>
      <c r="Y43" s="77"/>
      <c r="Z43" s="77"/>
      <c r="AA43" s="77"/>
      <c r="AB43" s="77"/>
      <c r="AC43" s="77"/>
      <c r="AD43" s="77"/>
    </row>
    <row r="44" spans="1:30" ht="15.75" x14ac:dyDescent="0.25">
      <c r="A44" s="13">
        <v>42248</v>
      </c>
      <c r="B44" s="90">
        <v>30</v>
      </c>
      <c r="C44" s="76">
        <f>194.205</f>
        <v>194.20500000000001</v>
      </c>
      <c r="D44" s="76">
        <f>267.466</f>
        <v>267.46600000000001</v>
      </c>
      <c r="E44" s="85">
        <f>133.845</f>
        <v>133.845</v>
      </c>
      <c r="F44" s="76">
        <f>278.484-40-25-60-100</f>
        <v>53.48399999999998</v>
      </c>
      <c r="G44" s="79">
        <v>40</v>
      </c>
      <c r="H44" s="76">
        <f t="shared" si="5"/>
        <v>185</v>
      </c>
      <c r="I44" s="91">
        <v>50</v>
      </c>
      <c r="J44" s="79">
        <v>100</v>
      </c>
      <c r="K44" s="79">
        <v>300</v>
      </c>
      <c r="L44" s="76">
        <f t="shared" si="0"/>
        <v>1324</v>
      </c>
      <c r="M44" s="87"/>
      <c r="N44" s="76">
        <f>30</f>
        <v>30</v>
      </c>
      <c r="O44" s="79">
        <v>240</v>
      </c>
      <c r="P44" s="79">
        <f t="shared" si="6"/>
        <v>160</v>
      </c>
      <c r="Q44" s="79">
        <f t="shared" si="1"/>
        <v>195</v>
      </c>
      <c r="R44" s="79">
        <f t="shared" si="2"/>
        <v>100</v>
      </c>
      <c r="S44" s="76">
        <f t="shared" si="3"/>
        <v>695</v>
      </c>
      <c r="T44" s="76">
        <f>0</f>
        <v>0</v>
      </c>
      <c r="U44" s="77"/>
      <c r="V44" s="77"/>
      <c r="W44" s="77"/>
      <c r="X44" s="77"/>
      <c r="Y44" s="77"/>
      <c r="Z44" s="77"/>
      <c r="AA44" s="77"/>
      <c r="AB44" s="77"/>
      <c r="AC44" s="77"/>
      <c r="AD44" s="77"/>
    </row>
    <row r="45" spans="1:30" ht="15.75" x14ac:dyDescent="0.25">
      <c r="A45" s="13">
        <v>42278</v>
      </c>
      <c r="B45" s="90">
        <v>31</v>
      </c>
      <c r="C45" s="76">
        <f>131.881</f>
        <v>131.881</v>
      </c>
      <c r="D45" s="76">
        <f>277.167</f>
        <v>277.16699999999997</v>
      </c>
      <c r="E45" s="85">
        <f>79.08</f>
        <v>79.08</v>
      </c>
      <c r="F45" s="76">
        <f>350.872-40-25-60-100</f>
        <v>125.87200000000001</v>
      </c>
      <c r="G45" s="79">
        <v>40</v>
      </c>
      <c r="H45" s="76">
        <f t="shared" si="5"/>
        <v>185</v>
      </c>
      <c r="I45" s="76">
        <v>0</v>
      </c>
      <c r="J45" s="79">
        <v>100</v>
      </c>
      <c r="K45" s="79">
        <v>300</v>
      </c>
      <c r="L45" s="76">
        <f t="shared" si="0"/>
        <v>1239</v>
      </c>
      <c r="M45" s="87"/>
      <c r="N45" s="76">
        <f>75</f>
        <v>75</v>
      </c>
      <c r="O45" s="79">
        <v>240</v>
      </c>
      <c r="P45" s="79">
        <f t="shared" si="6"/>
        <v>160</v>
      </c>
      <c r="Q45" s="79">
        <f t="shared" si="1"/>
        <v>195</v>
      </c>
      <c r="R45" s="79">
        <f t="shared" si="2"/>
        <v>100</v>
      </c>
      <c r="S45" s="76">
        <f t="shared" si="3"/>
        <v>695</v>
      </c>
      <c r="T45" s="76">
        <f>0</f>
        <v>0</v>
      </c>
      <c r="U45" s="77"/>
      <c r="V45" s="77"/>
      <c r="W45" s="77"/>
      <c r="X45" s="77"/>
      <c r="Y45" s="77"/>
      <c r="Z45" s="77"/>
      <c r="AA45" s="77"/>
      <c r="AB45" s="77"/>
      <c r="AC45" s="77"/>
      <c r="AD45" s="77"/>
    </row>
    <row r="46" spans="1:30" ht="15.75" x14ac:dyDescent="0.25">
      <c r="A46" s="13">
        <v>42309</v>
      </c>
      <c r="B46" s="90">
        <v>30</v>
      </c>
      <c r="C46" s="76">
        <f>122.58</f>
        <v>122.58</v>
      </c>
      <c r="D46" s="76">
        <f>297.941</f>
        <v>297.94099999999997</v>
      </c>
      <c r="E46" s="85">
        <f>89.177</f>
        <v>89.177000000000007</v>
      </c>
      <c r="F46" s="76">
        <f>240.302-40-60-100</f>
        <v>40.301999999999992</v>
      </c>
      <c r="G46" s="79">
        <v>40</v>
      </c>
      <c r="H46" s="76">
        <f>60+100</f>
        <v>160</v>
      </c>
      <c r="I46" s="76">
        <v>0</v>
      </c>
      <c r="J46" s="79">
        <v>100</v>
      </c>
      <c r="K46" s="79">
        <v>300</v>
      </c>
      <c r="L46" s="76">
        <f t="shared" si="0"/>
        <v>1150</v>
      </c>
      <c r="M46" s="87"/>
      <c r="N46" s="76">
        <f>100</f>
        <v>100</v>
      </c>
      <c r="O46" s="79">
        <v>240</v>
      </c>
      <c r="P46" s="79">
        <v>40</v>
      </c>
      <c r="Q46" s="79">
        <f t="shared" si="1"/>
        <v>315</v>
      </c>
      <c r="R46" s="79">
        <f t="shared" si="2"/>
        <v>100</v>
      </c>
      <c r="S46" s="76">
        <f t="shared" si="3"/>
        <v>695</v>
      </c>
      <c r="T46" s="76">
        <f>50</f>
        <v>50</v>
      </c>
      <c r="U46" s="77"/>
      <c r="V46" s="77"/>
      <c r="W46" s="77"/>
      <c r="X46" s="77"/>
      <c r="Y46" s="77"/>
      <c r="Z46" s="77"/>
      <c r="AA46" s="77"/>
      <c r="AB46" s="77"/>
      <c r="AC46" s="77"/>
      <c r="AD46" s="77"/>
    </row>
    <row r="47" spans="1:30" ht="15.75" x14ac:dyDescent="0.25">
      <c r="A47" s="13">
        <v>42339</v>
      </c>
      <c r="B47" s="90">
        <v>31</v>
      </c>
      <c r="C47" s="76">
        <f>122.58</f>
        <v>122.58</v>
      </c>
      <c r="D47" s="76">
        <f>297.941</f>
        <v>297.94099999999997</v>
      </c>
      <c r="E47" s="85">
        <f>89.177</f>
        <v>89.177000000000007</v>
      </c>
      <c r="F47" s="76">
        <f>240.302-40-60-100</f>
        <v>40.301999999999992</v>
      </c>
      <c r="G47" s="79">
        <v>40</v>
      </c>
      <c r="H47" s="76">
        <f>60+100</f>
        <v>160</v>
      </c>
      <c r="I47" s="76">
        <v>0</v>
      </c>
      <c r="J47" s="79">
        <v>100</v>
      </c>
      <c r="K47" s="79">
        <v>300</v>
      </c>
      <c r="L47" s="76">
        <f t="shared" si="0"/>
        <v>1150</v>
      </c>
      <c r="M47" s="87"/>
      <c r="N47" s="76">
        <f>100</f>
        <v>100</v>
      </c>
      <c r="O47" s="79">
        <v>240</v>
      </c>
      <c r="P47" s="79">
        <v>40</v>
      </c>
      <c r="Q47" s="79">
        <f t="shared" si="1"/>
        <v>315</v>
      </c>
      <c r="R47" s="79">
        <f t="shared" si="2"/>
        <v>100</v>
      </c>
      <c r="S47" s="76">
        <f t="shared" si="3"/>
        <v>695</v>
      </c>
      <c r="T47" s="76">
        <f>50</f>
        <v>50</v>
      </c>
      <c r="U47" s="77"/>
      <c r="V47" s="77"/>
      <c r="W47" s="77"/>
      <c r="X47" s="77"/>
      <c r="Y47" s="77"/>
      <c r="Z47" s="77"/>
      <c r="AA47" s="77"/>
      <c r="AB47" s="77"/>
      <c r="AC47" s="77"/>
      <c r="AD47" s="77"/>
    </row>
    <row r="48" spans="1:30" ht="15.75" x14ac:dyDescent="0.25">
      <c r="A48" s="13">
        <v>42370</v>
      </c>
      <c r="B48" s="90">
        <v>31</v>
      </c>
      <c r="C48" s="76">
        <f>122.58</f>
        <v>122.58</v>
      </c>
      <c r="D48" s="76">
        <f>297.941</f>
        <v>297.94099999999997</v>
      </c>
      <c r="E48" s="85">
        <f>89.177</f>
        <v>89.177000000000007</v>
      </c>
      <c r="F48" s="76">
        <f>240.302-40-60-100</f>
        <v>40.301999999999992</v>
      </c>
      <c r="G48" s="79">
        <v>40</v>
      </c>
      <c r="H48" s="76">
        <f>60+100</f>
        <v>160</v>
      </c>
      <c r="I48" s="76">
        <v>0</v>
      </c>
      <c r="J48" s="79">
        <v>100</v>
      </c>
      <c r="K48" s="79">
        <v>300</v>
      </c>
      <c r="L48" s="76">
        <f t="shared" si="0"/>
        <v>1150</v>
      </c>
      <c r="M48" s="87"/>
      <c r="N48" s="76">
        <f>100</f>
        <v>100</v>
      </c>
      <c r="O48" s="79">
        <v>240</v>
      </c>
      <c r="P48" s="79">
        <v>40</v>
      </c>
      <c r="Q48" s="79">
        <f t="shared" si="1"/>
        <v>315</v>
      </c>
      <c r="R48" s="79">
        <f t="shared" si="2"/>
        <v>100</v>
      </c>
      <c r="S48" s="76">
        <f t="shared" si="3"/>
        <v>695</v>
      </c>
      <c r="T48" s="76">
        <f>50</f>
        <v>50</v>
      </c>
      <c r="U48" s="77"/>
      <c r="V48" s="77"/>
      <c r="W48" s="77"/>
      <c r="X48" s="77"/>
      <c r="Y48" s="77"/>
      <c r="Z48" s="77"/>
      <c r="AA48" s="77"/>
      <c r="AB48" s="77"/>
      <c r="AC48" s="77"/>
      <c r="AD48" s="77"/>
    </row>
    <row r="49" spans="1:30" ht="15.75" x14ac:dyDescent="0.25">
      <c r="A49" s="13">
        <v>42401</v>
      </c>
      <c r="B49" s="90">
        <v>29</v>
      </c>
      <c r="C49" s="76">
        <f>122.58</f>
        <v>122.58</v>
      </c>
      <c r="D49" s="76">
        <f>297.941</f>
        <v>297.94099999999997</v>
      </c>
      <c r="E49" s="85">
        <f>89.177</f>
        <v>89.177000000000007</v>
      </c>
      <c r="F49" s="76">
        <f>240.302-40-60-100</f>
        <v>40.301999999999992</v>
      </c>
      <c r="G49" s="79">
        <v>40</v>
      </c>
      <c r="H49" s="76">
        <f>60+100</f>
        <v>160</v>
      </c>
      <c r="I49" s="76">
        <v>0</v>
      </c>
      <c r="J49" s="79">
        <v>100</v>
      </c>
      <c r="K49" s="79">
        <v>300</v>
      </c>
      <c r="L49" s="76">
        <f t="shared" si="0"/>
        <v>1150</v>
      </c>
      <c r="M49" s="87"/>
      <c r="N49" s="76">
        <f>100</f>
        <v>100</v>
      </c>
      <c r="O49" s="79">
        <v>240</v>
      </c>
      <c r="P49" s="79">
        <v>40</v>
      </c>
      <c r="Q49" s="79">
        <f t="shared" si="1"/>
        <v>315</v>
      </c>
      <c r="R49" s="79">
        <f t="shared" si="2"/>
        <v>100</v>
      </c>
      <c r="S49" s="76">
        <f t="shared" si="3"/>
        <v>695</v>
      </c>
      <c r="T49" s="76">
        <f>50</f>
        <v>50</v>
      </c>
      <c r="U49" s="77"/>
      <c r="V49" s="77"/>
      <c r="W49" s="77"/>
      <c r="X49" s="77"/>
      <c r="Y49" s="77"/>
      <c r="Z49" s="77"/>
      <c r="AA49" s="77"/>
      <c r="AB49" s="77"/>
      <c r="AC49" s="77"/>
      <c r="AD49" s="77"/>
    </row>
    <row r="50" spans="1:30" ht="15.75" x14ac:dyDescent="0.25">
      <c r="A50" s="13">
        <v>42430</v>
      </c>
      <c r="B50" s="90">
        <v>31</v>
      </c>
      <c r="C50" s="76">
        <f>122.58</f>
        <v>122.58</v>
      </c>
      <c r="D50" s="76">
        <f>297.941</f>
        <v>297.94099999999997</v>
      </c>
      <c r="E50" s="85">
        <f>89.177</f>
        <v>89.177000000000007</v>
      </c>
      <c r="F50" s="76">
        <f>240.302-40-60-100</f>
        <v>40.301999999999992</v>
      </c>
      <c r="G50" s="79">
        <v>40</v>
      </c>
      <c r="H50" s="76">
        <f>60+100</f>
        <v>160</v>
      </c>
      <c r="I50" s="76">
        <v>0</v>
      </c>
      <c r="J50" s="79">
        <v>100</v>
      </c>
      <c r="K50" s="79">
        <v>300</v>
      </c>
      <c r="L50" s="76">
        <f t="shared" si="0"/>
        <v>1150</v>
      </c>
      <c r="M50" s="87"/>
      <c r="N50" s="76">
        <f>100</f>
        <v>100</v>
      </c>
      <c r="O50" s="79">
        <v>240</v>
      </c>
      <c r="P50" s="79">
        <v>40</v>
      </c>
      <c r="Q50" s="79">
        <f t="shared" si="1"/>
        <v>315</v>
      </c>
      <c r="R50" s="79">
        <f t="shared" si="2"/>
        <v>100</v>
      </c>
      <c r="S50" s="76">
        <f t="shared" si="3"/>
        <v>695</v>
      </c>
      <c r="T50" s="76">
        <f>50</f>
        <v>50</v>
      </c>
      <c r="U50" s="77"/>
      <c r="V50" s="77"/>
      <c r="W50" s="77"/>
      <c r="X50" s="77"/>
      <c r="Y50" s="77"/>
      <c r="Z50" s="77"/>
      <c r="AA50" s="77"/>
      <c r="AB50" s="77"/>
      <c r="AC50" s="77"/>
      <c r="AD50" s="77"/>
    </row>
    <row r="51" spans="1:30" ht="15.75" x14ac:dyDescent="0.25">
      <c r="A51" s="13">
        <v>42461</v>
      </c>
      <c r="B51" s="90">
        <v>30</v>
      </c>
      <c r="C51" s="76">
        <f>141.293</f>
        <v>141.29300000000001</v>
      </c>
      <c r="D51" s="76">
        <f>267.993</f>
        <v>267.99299999999999</v>
      </c>
      <c r="E51" s="85">
        <f>115.016</f>
        <v>115.01600000000001</v>
      </c>
      <c r="F51" s="76">
        <f>314.698-40-25-60-100</f>
        <v>89.697999999999979</v>
      </c>
      <c r="G51" s="79">
        <v>40</v>
      </c>
      <c r="H51" s="76">
        <f t="shared" ref="H51:H57" si="7">25+60+100</f>
        <v>185</v>
      </c>
      <c r="I51" s="76">
        <v>0</v>
      </c>
      <c r="J51" s="79">
        <v>100</v>
      </c>
      <c r="K51" s="79">
        <v>300</v>
      </c>
      <c r="L51" s="76">
        <f t="shared" si="0"/>
        <v>1239</v>
      </c>
      <c r="M51" s="87"/>
      <c r="N51" s="76">
        <f>100</f>
        <v>100</v>
      </c>
      <c r="O51" s="79">
        <v>240</v>
      </c>
      <c r="P51" s="79">
        <v>160</v>
      </c>
      <c r="Q51" s="79">
        <f t="shared" si="1"/>
        <v>195</v>
      </c>
      <c r="R51" s="79">
        <f t="shared" si="2"/>
        <v>100</v>
      </c>
      <c r="S51" s="76">
        <f t="shared" si="3"/>
        <v>695</v>
      </c>
      <c r="T51" s="76">
        <f>50</f>
        <v>50</v>
      </c>
      <c r="U51" s="77"/>
      <c r="V51" s="77"/>
      <c r="W51" s="77"/>
      <c r="X51" s="77"/>
      <c r="Y51" s="77"/>
      <c r="Z51" s="77"/>
      <c r="AA51" s="77"/>
      <c r="AB51" s="77"/>
      <c r="AC51" s="77"/>
      <c r="AD51" s="77"/>
    </row>
    <row r="52" spans="1:30" ht="15.75" x14ac:dyDescent="0.25">
      <c r="A52" s="13">
        <v>42491</v>
      </c>
      <c r="B52" s="90">
        <v>31</v>
      </c>
      <c r="C52" s="76">
        <f>194.205</f>
        <v>194.20500000000001</v>
      </c>
      <c r="D52" s="76">
        <f>267.466</f>
        <v>267.46600000000001</v>
      </c>
      <c r="E52" s="85">
        <f>133.845</f>
        <v>133.845</v>
      </c>
      <c r="F52" s="76">
        <f>278.484-40-25-60-100</f>
        <v>53.48399999999998</v>
      </c>
      <c r="G52" s="79">
        <v>40</v>
      </c>
      <c r="H52" s="76">
        <f t="shared" si="7"/>
        <v>185</v>
      </c>
      <c r="I52" s="76">
        <f t="shared" ref="I52:I115" si="8">400-J52-K52</f>
        <v>0</v>
      </c>
      <c r="J52" s="79">
        <v>100</v>
      </c>
      <c r="K52" s="79">
        <v>300</v>
      </c>
      <c r="L52" s="76">
        <f t="shared" si="0"/>
        <v>1274</v>
      </c>
      <c r="M52" s="87"/>
      <c r="N52" s="76">
        <f>75</f>
        <v>75</v>
      </c>
      <c r="O52" s="79">
        <v>240</v>
      </c>
      <c r="P52" s="79">
        <v>160</v>
      </c>
      <c r="Q52" s="79">
        <f t="shared" si="1"/>
        <v>195</v>
      </c>
      <c r="R52" s="79">
        <f t="shared" si="2"/>
        <v>100</v>
      </c>
      <c r="S52" s="76">
        <f t="shared" si="3"/>
        <v>695</v>
      </c>
      <c r="T52" s="76">
        <f>50</f>
        <v>50</v>
      </c>
      <c r="U52" s="77"/>
      <c r="V52" s="77"/>
      <c r="W52" s="77"/>
      <c r="X52" s="77"/>
      <c r="Y52" s="77"/>
      <c r="Z52" s="77"/>
      <c r="AA52" s="77"/>
      <c r="AB52" s="77"/>
      <c r="AC52" s="77"/>
      <c r="AD52" s="77"/>
    </row>
    <row r="53" spans="1:30" ht="15.75" x14ac:dyDescent="0.25">
      <c r="A53" s="13">
        <v>42522</v>
      </c>
      <c r="B53" s="90">
        <v>30</v>
      </c>
      <c r="C53" s="76">
        <f>194.205</f>
        <v>194.20500000000001</v>
      </c>
      <c r="D53" s="76">
        <f>267.466</f>
        <v>267.46600000000001</v>
      </c>
      <c r="E53" s="85">
        <f>133.845</f>
        <v>133.845</v>
      </c>
      <c r="F53" s="76">
        <f>278.484-40-25-60-100</f>
        <v>53.48399999999998</v>
      </c>
      <c r="G53" s="79">
        <v>40</v>
      </c>
      <c r="H53" s="76">
        <f t="shared" si="7"/>
        <v>185</v>
      </c>
      <c r="I53" s="76">
        <f t="shared" si="8"/>
        <v>0</v>
      </c>
      <c r="J53" s="79">
        <v>100</v>
      </c>
      <c r="K53" s="79">
        <v>300</v>
      </c>
      <c r="L53" s="76">
        <f t="shared" si="0"/>
        <v>1274</v>
      </c>
      <c r="M53" s="87"/>
      <c r="N53" s="76">
        <f>30</f>
        <v>30</v>
      </c>
      <c r="O53" s="79">
        <v>240</v>
      </c>
      <c r="P53" s="79">
        <v>160</v>
      </c>
      <c r="Q53" s="79">
        <f t="shared" si="1"/>
        <v>195</v>
      </c>
      <c r="R53" s="79">
        <f t="shared" si="2"/>
        <v>100</v>
      </c>
      <c r="S53" s="76">
        <f t="shared" si="3"/>
        <v>695</v>
      </c>
      <c r="T53" s="76">
        <f>50</f>
        <v>50</v>
      </c>
      <c r="U53" s="77"/>
      <c r="V53" s="77"/>
      <c r="W53" s="77"/>
      <c r="X53" s="77"/>
      <c r="Y53" s="77"/>
      <c r="Z53" s="77"/>
      <c r="AA53" s="77"/>
      <c r="AB53" s="77"/>
      <c r="AC53" s="77"/>
      <c r="AD53" s="77"/>
    </row>
    <row r="54" spans="1:30" ht="15.75" x14ac:dyDescent="0.25">
      <c r="A54" s="13">
        <v>42552</v>
      </c>
      <c r="B54" s="90">
        <v>31</v>
      </c>
      <c r="C54" s="76">
        <f>194.205</f>
        <v>194.20500000000001</v>
      </c>
      <c r="D54" s="76">
        <f>267.466</f>
        <v>267.46600000000001</v>
      </c>
      <c r="E54" s="85">
        <f>133.845</f>
        <v>133.845</v>
      </c>
      <c r="F54" s="76">
        <f>278.484-40-25-60-100</f>
        <v>53.48399999999998</v>
      </c>
      <c r="G54" s="79">
        <v>40</v>
      </c>
      <c r="H54" s="76">
        <f t="shared" si="7"/>
        <v>185</v>
      </c>
      <c r="I54" s="76">
        <f t="shared" si="8"/>
        <v>0</v>
      </c>
      <c r="J54" s="79">
        <v>100</v>
      </c>
      <c r="K54" s="79">
        <v>300</v>
      </c>
      <c r="L54" s="76">
        <f t="shared" si="0"/>
        <v>1274</v>
      </c>
      <c r="M54" s="87"/>
      <c r="N54" s="76">
        <f>30</f>
        <v>30</v>
      </c>
      <c r="O54" s="79">
        <v>240</v>
      </c>
      <c r="P54" s="79">
        <v>160</v>
      </c>
      <c r="Q54" s="79">
        <f t="shared" si="1"/>
        <v>195</v>
      </c>
      <c r="R54" s="79">
        <f t="shared" si="2"/>
        <v>100</v>
      </c>
      <c r="S54" s="76">
        <f t="shared" si="3"/>
        <v>695</v>
      </c>
      <c r="T54" s="76">
        <f>0</f>
        <v>0</v>
      </c>
      <c r="U54" s="77"/>
      <c r="V54" s="77"/>
      <c r="W54" s="77"/>
      <c r="X54" s="77"/>
      <c r="Y54" s="77"/>
      <c r="Z54" s="77"/>
      <c r="AA54" s="77"/>
      <c r="AB54" s="77"/>
      <c r="AC54" s="77"/>
      <c r="AD54" s="77"/>
    </row>
    <row r="55" spans="1:30" ht="15.75" x14ac:dyDescent="0.25">
      <c r="A55" s="13">
        <v>42583</v>
      </c>
      <c r="B55" s="90">
        <v>31</v>
      </c>
      <c r="C55" s="76">
        <f>194.205</f>
        <v>194.20500000000001</v>
      </c>
      <c r="D55" s="76">
        <f>267.466</f>
        <v>267.46600000000001</v>
      </c>
      <c r="E55" s="85">
        <f>133.845</f>
        <v>133.845</v>
      </c>
      <c r="F55" s="76">
        <f>278.484-40-25-60-100</f>
        <v>53.48399999999998</v>
      </c>
      <c r="G55" s="79">
        <v>40</v>
      </c>
      <c r="H55" s="76">
        <f t="shared" si="7"/>
        <v>185</v>
      </c>
      <c r="I55" s="76">
        <f t="shared" si="8"/>
        <v>0</v>
      </c>
      <c r="J55" s="79">
        <v>100</v>
      </c>
      <c r="K55" s="79">
        <v>300</v>
      </c>
      <c r="L55" s="76">
        <f t="shared" si="0"/>
        <v>1274</v>
      </c>
      <c r="M55" s="87"/>
      <c r="N55" s="76">
        <f>30</f>
        <v>30</v>
      </c>
      <c r="O55" s="79">
        <v>240</v>
      </c>
      <c r="P55" s="79">
        <v>160</v>
      </c>
      <c r="Q55" s="79">
        <f t="shared" si="1"/>
        <v>195</v>
      </c>
      <c r="R55" s="79">
        <f t="shared" si="2"/>
        <v>100</v>
      </c>
      <c r="S55" s="76">
        <f t="shared" si="3"/>
        <v>695</v>
      </c>
      <c r="T55" s="76">
        <f>0</f>
        <v>0</v>
      </c>
      <c r="U55" s="77"/>
      <c r="V55" s="77"/>
      <c r="W55" s="77"/>
      <c r="X55" s="77"/>
      <c r="Y55" s="77"/>
      <c r="Z55" s="77"/>
      <c r="AA55" s="77"/>
      <c r="AB55" s="77"/>
      <c r="AC55" s="77"/>
      <c r="AD55" s="77"/>
    </row>
    <row r="56" spans="1:30" ht="15.75" x14ac:dyDescent="0.25">
      <c r="A56" s="13">
        <v>42614</v>
      </c>
      <c r="B56" s="90">
        <v>30</v>
      </c>
      <c r="C56" s="76">
        <f>194.205</f>
        <v>194.20500000000001</v>
      </c>
      <c r="D56" s="76">
        <f>267.466</f>
        <v>267.46600000000001</v>
      </c>
      <c r="E56" s="85">
        <f>133.845</f>
        <v>133.845</v>
      </c>
      <c r="F56" s="76">
        <f>278.484-40-25-60-100</f>
        <v>53.48399999999998</v>
      </c>
      <c r="G56" s="79">
        <v>40</v>
      </c>
      <c r="H56" s="76">
        <f t="shared" si="7"/>
        <v>185</v>
      </c>
      <c r="I56" s="76">
        <f t="shared" si="8"/>
        <v>0</v>
      </c>
      <c r="J56" s="79">
        <v>100</v>
      </c>
      <c r="K56" s="79">
        <v>300</v>
      </c>
      <c r="L56" s="76">
        <f t="shared" si="0"/>
        <v>1274</v>
      </c>
      <c r="M56" s="87"/>
      <c r="N56" s="76">
        <f>30</f>
        <v>30</v>
      </c>
      <c r="O56" s="79">
        <v>240</v>
      </c>
      <c r="P56" s="79">
        <v>160</v>
      </c>
      <c r="Q56" s="79">
        <f t="shared" si="1"/>
        <v>195</v>
      </c>
      <c r="R56" s="79">
        <f t="shared" si="2"/>
        <v>100</v>
      </c>
      <c r="S56" s="76">
        <f t="shared" si="3"/>
        <v>695</v>
      </c>
      <c r="T56" s="76">
        <f>0</f>
        <v>0</v>
      </c>
      <c r="U56" s="77"/>
      <c r="V56" s="77"/>
      <c r="W56" s="77"/>
      <c r="X56" s="77"/>
      <c r="Y56" s="77"/>
      <c r="Z56" s="77"/>
      <c r="AA56" s="77"/>
      <c r="AB56" s="77"/>
      <c r="AC56" s="77"/>
      <c r="AD56" s="77"/>
    </row>
    <row r="57" spans="1:30" ht="15.75" x14ac:dyDescent="0.25">
      <c r="A57" s="13">
        <v>42644</v>
      </c>
      <c r="B57" s="90">
        <v>31</v>
      </c>
      <c r="C57" s="76">
        <f>131.881</f>
        <v>131.881</v>
      </c>
      <c r="D57" s="76">
        <f>277.167</f>
        <v>277.16699999999997</v>
      </c>
      <c r="E57" s="85">
        <f>79.08</f>
        <v>79.08</v>
      </c>
      <c r="F57" s="76">
        <f>350.872-40-25-60-100</f>
        <v>125.87200000000001</v>
      </c>
      <c r="G57" s="79">
        <v>40</v>
      </c>
      <c r="H57" s="76">
        <f t="shared" si="7"/>
        <v>185</v>
      </c>
      <c r="I57" s="76">
        <f t="shared" si="8"/>
        <v>0</v>
      </c>
      <c r="J57" s="79">
        <v>100</v>
      </c>
      <c r="K57" s="79">
        <v>300</v>
      </c>
      <c r="L57" s="76">
        <f t="shared" si="0"/>
        <v>1239</v>
      </c>
      <c r="M57" s="87"/>
      <c r="N57" s="76">
        <f>75</f>
        <v>75</v>
      </c>
      <c r="O57" s="79">
        <v>240</v>
      </c>
      <c r="P57" s="79">
        <v>160</v>
      </c>
      <c r="Q57" s="79">
        <f t="shared" si="1"/>
        <v>195</v>
      </c>
      <c r="R57" s="79">
        <f t="shared" si="2"/>
        <v>100</v>
      </c>
      <c r="S57" s="76">
        <f t="shared" si="3"/>
        <v>695</v>
      </c>
      <c r="T57" s="76">
        <f>0</f>
        <v>0</v>
      </c>
      <c r="U57" s="77"/>
      <c r="V57" s="77"/>
      <c r="W57" s="77"/>
      <c r="X57" s="77"/>
      <c r="Y57" s="77"/>
      <c r="Z57" s="77"/>
      <c r="AA57" s="77"/>
      <c r="AB57" s="77"/>
      <c r="AC57" s="77"/>
      <c r="AD57" s="77"/>
    </row>
    <row r="58" spans="1:30" ht="15.75" x14ac:dyDescent="0.25">
      <c r="A58" s="13">
        <v>42675</v>
      </c>
      <c r="B58" s="90">
        <v>30</v>
      </c>
      <c r="C58" s="76">
        <f>122.58</f>
        <v>122.58</v>
      </c>
      <c r="D58" s="76">
        <f>297.941</f>
        <v>297.94099999999997</v>
      </c>
      <c r="E58" s="85">
        <f>89.177</f>
        <v>89.177000000000007</v>
      </c>
      <c r="F58" s="76">
        <f>240.302-40-60-100</f>
        <v>40.301999999999992</v>
      </c>
      <c r="G58" s="79">
        <v>40</v>
      </c>
      <c r="H58" s="76">
        <f>60+100</f>
        <v>160</v>
      </c>
      <c r="I58" s="76">
        <f t="shared" si="8"/>
        <v>0</v>
      </c>
      <c r="J58" s="79">
        <v>100</v>
      </c>
      <c r="K58" s="79">
        <v>300</v>
      </c>
      <c r="L58" s="76">
        <f t="shared" si="0"/>
        <v>1150</v>
      </c>
      <c r="M58" s="87"/>
      <c r="N58" s="76">
        <f>100</f>
        <v>100</v>
      </c>
      <c r="O58" s="79">
        <v>240</v>
      </c>
      <c r="P58" s="79">
        <v>40</v>
      </c>
      <c r="Q58" s="79">
        <f t="shared" si="1"/>
        <v>315</v>
      </c>
      <c r="R58" s="79">
        <f t="shared" si="2"/>
        <v>100</v>
      </c>
      <c r="S58" s="76">
        <f t="shared" si="3"/>
        <v>695</v>
      </c>
      <c r="T58" s="76">
        <f>50</f>
        <v>50</v>
      </c>
      <c r="U58" s="77"/>
      <c r="V58" s="77"/>
      <c r="W58" s="77"/>
      <c r="X58" s="77"/>
      <c r="Y58" s="77"/>
      <c r="Z58" s="77"/>
      <c r="AA58" s="77"/>
      <c r="AB58" s="77"/>
      <c r="AC58" s="77"/>
      <c r="AD58" s="77"/>
    </row>
    <row r="59" spans="1:30" ht="15.75" x14ac:dyDescent="0.25">
      <c r="A59" s="13">
        <v>42705</v>
      </c>
      <c r="B59" s="90">
        <v>31</v>
      </c>
      <c r="C59" s="76">
        <f>122.58</f>
        <v>122.58</v>
      </c>
      <c r="D59" s="76">
        <f>297.941</f>
        <v>297.94099999999997</v>
      </c>
      <c r="E59" s="85">
        <f>89.177</f>
        <v>89.177000000000007</v>
      </c>
      <c r="F59" s="76">
        <f>240.302-40-60-100</f>
        <v>40.301999999999992</v>
      </c>
      <c r="G59" s="79">
        <v>40</v>
      </c>
      <c r="H59" s="76">
        <f>60+100</f>
        <v>160</v>
      </c>
      <c r="I59" s="76">
        <f t="shared" si="8"/>
        <v>0</v>
      </c>
      <c r="J59" s="79">
        <v>100</v>
      </c>
      <c r="K59" s="79">
        <v>300</v>
      </c>
      <c r="L59" s="76">
        <f t="shared" si="0"/>
        <v>1150</v>
      </c>
      <c r="M59" s="87"/>
      <c r="N59" s="76">
        <f>100</f>
        <v>100</v>
      </c>
      <c r="O59" s="79">
        <v>240</v>
      </c>
      <c r="P59" s="79">
        <v>40</v>
      </c>
      <c r="Q59" s="79">
        <f t="shared" si="1"/>
        <v>315</v>
      </c>
      <c r="R59" s="79">
        <f t="shared" si="2"/>
        <v>100</v>
      </c>
      <c r="S59" s="76">
        <f t="shared" si="3"/>
        <v>695</v>
      </c>
      <c r="T59" s="76">
        <f>50</f>
        <v>50</v>
      </c>
      <c r="U59" s="77"/>
      <c r="V59" s="77"/>
      <c r="W59" s="77"/>
      <c r="X59" s="77"/>
      <c r="Y59" s="77"/>
      <c r="Z59" s="77"/>
      <c r="AA59" s="77"/>
      <c r="AB59" s="77"/>
      <c r="AC59" s="77"/>
      <c r="AD59" s="77"/>
    </row>
    <row r="60" spans="1:30" ht="15.75" x14ac:dyDescent="0.25">
      <c r="A60" s="13">
        <v>42736</v>
      </c>
      <c r="B60" s="90">
        <v>31</v>
      </c>
      <c r="C60" s="76">
        <f>122.58</f>
        <v>122.58</v>
      </c>
      <c r="D60" s="76">
        <f>297.941</f>
        <v>297.94099999999997</v>
      </c>
      <c r="E60" s="85">
        <f>89.177</f>
        <v>89.177000000000007</v>
      </c>
      <c r="F60" s="76">
        <f>240.302-40-60-100</f>
        <v>40.301999999999992</v>
      </c>
      <c r="G60" s="79">
        <v>40</v>
      </c>
      <c r="H60" s="76">
        <f>60+100</f>
        <v>160</v>
      </c>
      <c r="I60" s="76">
        <f t="shared" si="8"/>
        <v>0</v>
      </c>
      <c r="J60" s="79">
        <v>100</v>
      </c>
      <c r="K60" s="79">
        <v>300</v>
      </c>
      <c r="L60" s="76">
        <f t="shared" si="0"/>
        <v>1150</v>
      </c>
      <c r="M60" s="87">
        <v>400</v>
      </c>
      <c r="N60" s="76">
        <f>100</f>
        <v>100</v>
      </c>
      <c r="O60" s="79">
        <v>240</v>
      </c>
      <c r="P60" s="79">
        <v>40</v>
      </c>
      <c r="Q60" s="79">
        <f t="shared" si="1"/>
        <v>315</v>
      </c>
      <c r="R60" s="79">
        <f t="shared" si="2"/>
        <v>100</v>
      </c>
      <c r="S60" s="76">
        <f t="shared" si="3"/>
        <v>695</v>
      </c>
      <c r="T60" s="76">
        <f>50</f>
        <v>50</v>
      </c>
      <c r="U60" s="77"/>
      <c r="V60" s="77"/>
      <c r="W60" s="77"/>
      <c r="X60" s="77"/>
      <c r="Y60" s="77"/>
      <c r="Z60" s="77"/>
      <c r="AA60" s="77"/>
      <c r="AB60" s="77"/>
      <c r="AC60" s="77"/>
      <c r="AD60" s="77"/>
    </row>
    <row r="61" spans="1:30" ht="15.75" x14ac:dyDescent="0.25">
      <c r="A61" s="13">
        <v>42767</v>
      </c>
      <c r="B61" s="90">
        <v>28</v>
      </c>
      <c r="C61" s="76">
        <f>122.58</f>
        <v>122.58</v>
      </c>
      <c r="D61" s="76">
        <f>297.941</f>
        <v>297.94099999999997</v>
      </c>
      <c r="E61" s="85">
        <f>89.177</f>
        <v>89.177000000000007</v>
      </c>
      <c r="F61" s="76">
        <f>240.302-40-60-100</f>
        <v>40.301999999999992</v>
      </c>
      <c r="G61" s="79">
        <v>40</v>
      </c>
      <c r="H61" s="76">
        <f>60+100</f>
        <v>160</v>
      </c>
      <c r="I61" s="76">
        <f t="shared" si="8"/>
        <v>0</v>
      </c>
      <c r="J61" s="79">
        <v>100</v>
      </c>
      <c r="K61" s="79">
        <v>300</v>
      </c>
      <c r="L61" s="76">
        <f t="shared" si="0"/>
        <v>1150</v>
      </c>
      <c r="M61" s="87">
        <v>400</v>
      </c>
      <c r="N61" s="76">
        <f>100</f>
        <v>100</v>
      </c>
      <c r="O61" s="79">
        <v>240</v>
      </c>
      <c r="P61" s="79">
        <v>40</v>
      </c>
      <c r="Q61" s="79">
        <f t="shared" si="1"/>
        <v>315</v>
      </c>
      <c r="R61" s="79">
        <f t="shared" si="2"/>
        <v>100</v>
      </c>
      <c r="S61" s="76">
        <f t="shared" si="3"/>
        <v>695</v>
      </c>
      <c r="T61" s="76">
        <f>50</f>
        <v>50</v>
      </c>
      <c r="U61" s="77"/>
      <c r="V61" s="77"/>
      <c r="W61" s="77"/>
      <c r="X61" s="77"/>
      <c r="Y61" s="77"/>
      <c r="Z61" s="77"/>
      <c r="AA61" s="77"/>
      <c r="AB61" s="77"/>
      <c r="AC61" s="77"/>
      <c r="AD61" s="77"/>
    </row>
    <row r="62" spans="1:30" ht="15.75" x14ac:dyDescent="0.25">
      <c r="A62" s="13">
        <v>42795</v>
      </c>
      <c r="B62" s="90">
        <v>31</v>
      </c>
      <c r="C62" s="76">
        <f>122.58</f>
        <v>122.58</v>
      </c>
      <c r="D62" s="76">
        <f>297.941</f>
        <v>297.94099999999997</v>
      </c>
      <c r="E62" s="85">
        <f>89.177</f>
        <v>89.177000000000007</v>
      </c>
      <c r="F62" s="76">
        <f>240.302-40-60-100</f>
        <v>40.301999999999992</v>
      </c>
      <c r="G62" s="79">
        <v>40</v>
      </c>
      <c r="H62" s="76">
        <f>60+100</f>
        <v>160</v>
      </c>
      <c r="I62" s="76">
        <f t="shared" si="8"/>
        <v>0</v>
      </c>
      <c r="J62" s="79">
        <v>100</v>
      </c>
      <c r="K62" s="79">
        <v>300</v>
      </c>
      <c r="L62" s="76">
        <f t="shared" si="0"/>
        <v>1150</v>
      </c>
      <c r="M62" s="87">
        <v>400</v>
      </c>
      <c r="N62" s="76">
        <f>100</f>
        <v>100</v>
      </c>
      <c r="O62" s="79">
        <v>240</v>
      </c>
      <c r="P62" s="79">
        <v>40</v>
      </c>
      <c r="Q62" s="79">
        <f t="shared" si="1"/>
        <v>315</v>
      </c>
      <c r="R62" s="79">
        <f t="shared" si="2"/>
        <v>100</v>
      </c>
      <c r="S62" s="76">
        <f t="shared" si="3"/>
        <v>695</v>
      </c>
      <c r="T62" s="76">
        <f>50</f>
        <v>50</v>
      </c>
      <c r="U62" s="77"/>
      <c r="V62" s="77"/>
      <c r="W62" s="77"/>
      <c r="X62" s="77"/>
      <c r="Y62" s="77"/>
      <c r="Z62" s="77"/>
      <c r="AA62" s="77"/>
      <c r="AB62" s="77"/>
      <c r="AC62" s="77"/>
      <c r="AD62" s="77"/>
    </row>
    <row r="63" spans="1:30" ht="15.75" x14ac:dyDescent="0.25">
      <c r="A63" s="13">
        <v>42826</v>
      </c>
      <c r="B63" s="90">
        <v>30</v>
      </c>
      <c r="C63" s="76">
        <f>141.293</f>
        <v>141.29300000000001</v>
      </c>
      <c r="D63" s="76">
        <f>267.993</f>
        <v>267.99299999999999</v>
      </c>
      <c r="E63" s="85">
        <f>115.016</f>
        <v>115.01600000000001</v>
      </c>
      <c r="F63" s="76">
        <f>314.698-40-25-60-100</f>
        <v>89.697999999999979</v>
      </c>
      <c r="G63" s="79">
        <v>40</v>
      </c>
      <c r="H63" s="76">
        <f t="shared" ref="H63:H69" si="9">25+60+100</f>
        <v>185</v>
      </c>
      <c r="I63" s="76">
        <f t="shared" si="8"/>
        <v>0</v>
      </c>
      <c r="J63" s="79">
        <v>100</v>
      </c>
      <c r="K63" s="79">
        <v>300</v>
      </c>
      <c r="L63" s="76">
        <f t="shared" si="0"/>
        <v>1239</v>
      </c>
      <c r="M63" s="87">
        <v>400</v>
      </c>
      <c r="N63" s="76">
        <f>100</f>
        <v>100</v>
      </c>
      <c r="O63" s="79">
        <v>240</v>
      </c>
      <c r="P63" s="79">
        <v>160</v>
      </c>
      <c r="Q63" s="79">
        <f t="shared" si="1"/>
        <v>195</v>
      </c>
      <c r="R63" s="79">
        <f t="shared" si="2"/>
        <v>100</v>
      </c>
      <c r="S63" s="76">
        <f t="shared" si="3"/>
        <v>695</v>
      </c>
      <c r="T63" s="76">
        <f>50</f>
        <v>50</v>
      </c>
      <c r="U63" s="77"/>
      <c r="V63" s="77"/>
      <c r="W63" s="77"/>
      <c r="X63" s="77"/>
      <c r="Y63" s="77"/>
      <c r="Z63" s="77"/>
      <c r="AA63" s="77"/>
      <c r="AB63" s="77"/>
      <c r="AC63" s="77"/>
      <c r="AD63" s="77"/>
    </row>
    <row r="64" spans="1:30" ht="15.75" x14ac:dyDescent="0.25">
      <c r="A64" s="13">
        <v>42856</v>
      </c>
      <c r="B64" s="90">
        <v>31</v>
      </c>
      <c r="C64" s="76">
        <f>194.205</f>
        <v>194.20500000000001</v>
      </c>
      <c r="D64" s="76">
        <f>267.466</f>
        <v>267.46600000000001</v>
      </c>
      <c r="E64" s="85">
        <f>133.845</f>
        <v>133.845</v>
      </c>
      <c r="F64" s="76">
        <f>278.484-40-25-60-100</f>
        <v>53.48399999999998</v>
      </c>
      <c r="G64" s="79">
        <v>40</v>
      </c>
      <c r="H64" s="76">
        <f t="shared" si="9"/>
        <v>185</v>
      </c>
      <c r="I64" s="76">
        <f t="shared" si="8"/>
        <v>0</v>
      </c>
      <c r="J64" s="79">
        <v>100</v>
      </c>
      <c r="K64" s="79">
        <v>300</v>
      </c>
      <c r="L64" s="76">
        <f t="shared" si="0"/>
        <v>1274</v>
      </c>
      <c r="M64" s="87">
        <v>400</v>
      </c>
      <c r="N64" s="76">
        <f>75</f>
        <v>75</v>
      </c>
      <c r="O64" s="79">
        <v>240</v>
      </c>
      <c r="P64" s="79">
        <v>160</v>
      </c>
      <c r="Q64" s="79">
        <f t="shared" si="1"/>
        <v>195</v>
      </c>
      <c r="R64" s="79">
        <f t="shared" si="2"/>
        <v>100</v>
      </c>
      <c r="S64" s="76">
        <f t="shared" si="3"/>
        <v>695</v>
      </c>
      <c r="T64" s="76">
        <f>50</f>
        <v>50</v>
      </c>
      <c r="U64" s="77"/>
      <c r="V64" s="77"/>
      <c r="W64" s="77"/>
      <c r="X64" s="77"/>
      <c r="Y64" s="77"/>
      <c r="Z64" s="77"/>
      <c r="AA64" s="77"/>
      <c r="AB64" s="77"/>
      <c r="AC64" s="77"/>
      <c r="AD64" s="77"/>
    </row>
    <row r="65" spans="1:30" ht="15.75" x14ac:dyDescent="0.25">
      <c r="A65" s="13">
        <v>42887</v>
      </c>
      <c r="B65" s="90">
        <v>30</v>
      </c>
      <c r="C65" s="76">
        <f>194.205</f>
        <v>194.20500000000001</v>
      </c>
      <c r="D65" s="76">
        <f>267.466</f>
        <v>267.46600000000001</v>
      </c>
      <c r="E65" s="85">
        <f>133.845</f>
        <v>133.845</v>
      </c>
      <c r="F65" s="76">
        <f>278.484-40-25-60-100</f>
        <v>53.48399999999998</v>
      </c>
      <c r="G65" s="79">
        <v>40</v>
      </c>
      <c r="H65" s="76">
        <f t="shared" si="9"/>
        <v>185</v>
      </c>
      <c r="I65" s="76">
        <f t="shared" si="8"/>
        <v>0</v>
      </c>
      <c r="J65" s="79">
        <v>100</v>
      </c>
      <c r="K65" s="79">
        <v>300</v>
      </c>
      <c r="L65" s="76">
        <f t="shared" si="0"/>
        <v>1274</v>
      </c>
      <c r="M65" s="87">
        <v>400</v>
      </c>
      <c r="N65" s="76">
        <f>30</f>
        <v>30</v>
      </c>
      <c r="O65" s="79">
        <v>240</v>
      </c>
      <c r="P65" s="79">
        <v>160</v>
      </c>
      <c r="Q65" s="79">
        <f t="shared" si="1"/>
        <v>195</v>
      </c>
      <c r="R65" s="79">
        <f t="shared" si="2"/>
        <v>100</v>
      </c>
      <c r="S65" s="76">
        <f t="shared" si="3"/>
        <v>695</v>
      </c>
      <c r="T65" s="76">
        <f>50</f>
        <v>50</v>
      </c>
      <c r="U65" s="77"/>
      <c r="V65" s="77"/>
      <c r="W65" s="77"/>
      <c r="X65" s="77"/>
      <c r="Y65" s="77"/>
      <c r="Z65" s="77"/>
      <c r="AA65" s="77"/>
      <c r="AB65" s="77"/>
      <c r="AC65" s="77"/>
      <c r="AD65" s="77"/>
    </row>
    <row r="66" spans="1:30" ht="15.75" x14ac:dyDescent="0.25">
      <c r="A66" s="13">
        <v>42917</v>
      </c>
      <c r="B66" s="90">
        <v>31</v>
      </c>
      <c r="C66" s="76">
        <f>194.205</f>
        <v>194.20500000000001</v>
      </c>
      <c r="D66" s="76">
        <f>267.466</f>
        <v>267.46600000000001</v>
      </c>
      <c r="E66" s="85">
        <f>133.845</f>
        <v>133.845</v>
      </c>
      <c r="F66" s="76">
        <f>278.484-40-25-60-100</f>
        <v>53.48399999999998</v>
      </c>
      <c r="G66" s="79">
        <v>40</v>
      </c>
      <c r="H66" s="76">
        <f t="shared" si="9"/>
        <v>185</v>
      </c>
      <c r="I66" s="76">
        <f t="shared" si="8"/>
        <v>0</v>
      </c>
      <c r="J66" s="79">
        <v>100</v>
      </c>
      <c r="K66" s="79">
        <v>300</v>
      </c>
      <c r="L66" s="76">
        <f t="shared" si="0"/>
        <v>1274</v>
      </c>
      <c r="M66" s="87">
        <v>400</v>
      </c>
      <c r="N66" s="76">
        <f>30</f>
        <v>30</v>
      </c>
      <c r="O66" s="79">
        <v>240</v>
      </c>
      <c r="P66" s="79">
        <v>160</v>
      </c>
      <c r="Q66" s="79">
        <f t="shared" si="1"/>
        <v>195</v>
      </c>
      <c r="R66" s="79">
        <f t="shared" si="2"/>
        <v>100</v>
      </c>
      <c r="S66" s="76">
        <f t="shared" si="3"/>
        <v>695</v>
      </c>
      <c r="T66" s="76">
        <f>0</f>
        <v>0</v>
      </c>
      <c r="U66" s="77"/>
      <c r="V66" s="77"/>
      <c r="W66" s="77"/>
      <c r="X66" s="77"/>
      <c r="Y66" s="77"/>
      <c r="Z66" s="77"/>
      <c r="AA66" s="77"/>
      <c r="AB66" s="77"/>
      <c r="AC66" s="77"/>
      <c r="AD66" s="77"/>
    </row>
    <row r="67" spans="1:30" ht="15.75" x14ac:dyDescent="0.25">
      <c r="A67" s="13">
        <v>42948</v>
      </c>
      <c r="B67" s="90">
        <v>31</v>
      </c>
      <c r="C67" s="76">
        <f>194.205</f>
        <v>194.20500000000001</v>
      </c>
      <c r="D67" s="76">
        <f>267.466</f>
        <v>267.46600000000001</v>
      </c>
      <c r="E67" s="85">
        <f>133.845</f>
        <v>133.845</v>
      </c>
      <c r="F67" s="76">
        <f>278.484-40-25-60-100</f>
        <v>53.48399999999998</v>
      </c>
      <c r="G67" s="79">
        <v>40</v>
      </c>
      <c r="H67" s="76">
        <f t="shared" si="9"/>
        <v>185</v>
      </c>
      <c r="I67" s="76">
        <f t="shared" si="8"/>
        <v>0</v>
      </c>
      <c r="J67" s="79">
        <v>100</v>
      </c>
      <c r="K67" s="79">
        <v>300</v>
      </c>
      <c r="L67" s="76">
        <f t="shared" si="0"/>
        <v>1274</v>
      </c>
      <c r="M67" s="87">
        <v>400</v>
      </c>
      <c r="N67" s="76">
        <f>30</f>
        <v>30</v>
      </c>
      <c r="O67" s="79">
        <v>240</v>
      </c>
      <c r="P67" s="79">
        <v>160</v>
      </c>
      <c r="Q67" s="79">
        <f t="shared" si="1"/>
        <v>195</v>
      </c>
      <c r="R67" s="79">
        <f t="shared" si="2"/>
        <v>100</v>
      </c>
      <c r="S67" s="76">
        <f t="shared" si="3"/>
        <v>695</v>
      </c>
      <c r="T67" s="76">
        <f>0</f>
        <v>0</v>
      </c>
      <c r="U67" s="77"/>
      <c r="V67" s="77"/>
      <c r="W67" s="77"/>
      <c r="X67" s="77"/>
      <c r="Y67" s="77"/>
      <c r="Z67" s="77"/>
      <c r="AA67" s="77"/>
      <c r="AB67" s="77"/>
      <c r="AC67" s="77"/>
      <c r="AD67" s="77"/>
    </row>
    <row r="68" spans="1:30" ht="15.75" x14ac:dyDescent="0.25">
      <c r="A68" s="13">
        <v>42979</v>
      </c>
      <c r="B68" s="90">
        <v>30</v>
      </c>
      <c r="C68" s="76">
        <f>194.205</f>
        <v>194.20500000000001</v>
      </c>
      <c r="D68" s="76">
        <f>267.466</f>
        <v>267.46600000000001</v>
      </c>
      <c r="E68" s="85">
        <f>133.845</f>
        <v>133.845</v>
      </c>
      <c r="F68" s="76">
        <f>278.484-40-25-60-100</f>
        <v>53.48399999999998</v>
      </c>
      <c r="G68" s="79">
        <v>40</v>
      </c>
      <c r="H68" s="76">
        <f t="shared" si="9"/>
        <v>185</v>
      </c>
      <c r="I68" s="76">
        <f t="shared" si="8"/>
        <v>0</v>
      </c>
      <c r="J68" s="79">
        <v>100</v>
      </c>
      <c r="K68" s="79">
        <v>300</v>
      </c>
      <c r="L68" s="76">
        <f t="shared" si="0"/>
        <v>1274</v>
      </c>
      <c r="M68" s="87">
        <v>400</v>
      </c>
      <c r="N68" s="76">
        <f>30</f>
        <v>30</v>
      </c>
      <c r="O68" s="79">
        <v>240</v>
      </c>
      <c r="P68" s="79">
        <v>160</v>
      </c>
      <c r="Q68" s="79">
        <f t="shared" si="1"/>
        <v>195</v>
      </c>
      <c r="R68" s="79">
        <f t="shared" si="2"/>
        <v>100</v>
      </c>
      <c r="S68" s="76">
        <f t="shared" si="3"/>
        <v>695</v>
      </c>
      <c r="T68" s="76">
        <f>0</f>
        <v>0</v>
      </c>
      <c r="U68" s="77"/>
      <c r="V68" s="77"/>
      <c r="W68" s="77"/>
      <c r="X68" s="77"/>
      <c r="Y68" s="77"/>
      <c r="Z68" s="77"/>
      <c r="AA68" s="77"/>
      <c r="AB68" s="77"/>
      <c r="AC68" s="77"/>
      <c r="AD68" s="77"/>
    </row>
    <row r="69" spans="1:30" ht="15.75" x14ac:dyDescent="0.25">
      <c r="A69" s="13">
        <v>43009</v>
      </c>
      <c r="B69" s="90">
        <v>31</v>
      </c>
      <c r="C69" s="76">
        <f>131.881</f>
        <v>131.881</v>
      </c>
      <c r="D69" s="76">
        <f>277.167</f>
        <v>277.16699999999997</v>
      </c>
      <c r="E69" s="85">
        <f>79.08</f>
        <v>79.08</v>
      </c>
      <c r="F69" s="76">
        <f>350.872-40-25-60-100</f>
        <v>125.87200000000001</v>
      </c>
      <c r="G69" s="79">
        <v>40</v>
      </c>
      <c r="H69" s="76">
        <f t="shared" si="9"/>
        <v>185</v>
      </c>
      <c r="I69" s="76">
        <f t="shared" si="8"/>
        <v>0</v>
      </c>
      <c r="J69" s="79">
        <v>100</v>
      </c>
      <c r="K69" s="79">
        <v>300</v>
      </c>
      <c r="L69" s="76">
        <f t="shared" si="0"/>
        <v>1239</v>
      </c>
      <c r="M69" s="87">
        <v>400</v>
      </c>
      <c r="N69" s="76">
        <f>75</f>
        <v>75</v>
      </c>
      <c r="O69" s="79">
        <v>240</v>
      </c>
      <c r="P69" s="79">
        <v>160</v>
      </c>
      <c r="Q69" s="79">
        <f t="shared" si="1"/>
        <v>195</v>
      </c>
      <c r="R69" s="79">
        <f t="shared" si="2"/>
        <v>100</v>
      </c>
      <c r="S69" s="76">
        <f t="shared" si="3"/>
        <v>695</v>
      </c>
      <c r="T69" s="76">
        <f>0</f>
        <v>0</v>
      </c>
      <c r="U69" s="77"/>
      <c r="V69" s="77"/>
      <c r="W69" s="77"/>
      <c r="X69" s="77"/>
      <c r="Y69" s="77"/>
      <c r="Z69" s="77"/>
      <c r="AA69" s="77"/>
      <c r="AB69" s="77"/>
      <c r="AC69" s="77"/>
      <c r="AD69" s="77"/>
    </row>
    <row r="70" spans="1:30" ht="15.75" x14ac:dyDescent="0.25">
      <c r="A70" s="13">
        <v>43040</v>
      </c>
      <c r="B70" s="90">
        <v>30</v>
      </c>
      <c r="C70" s="76">
        <f>122.58</f>
        <v>122.58</v>
      </c>
      <c r="D70" s="76">
        <f>297.941</f>
        <v>297.94099999999997</v>
      </c>
      <c r="E70" s="85">
        <f>89.177</f>
        <v>89.177000000000007</v>
      </c>
      <c r="F70" s="76">
        <f>240.302-40-60-100</f>
        <v>40.301999999999992</v>
      </c>
      <c r="G70" s="79">
        <v>40</v>
      </c>
      <c r="H70" s="76">
        <f>60+100</f>
        <v>160</v>
      </c>
      <c r="I70" s="76">
        <f t="shared" si="8"/>
        <v>0</v>
      </c>
      <c r="J70" s="79">
        <v>100</v>
      </c>
      <c r="K70" s="79">
        <v>300</v>
      </c>
      <c r="L70" s="76">
        <f t="shared" si="0"/>
        <v>1150</v>
      </c>
      <c r="M70" s="87">
        <v>400</v>
      </c>
      <c r="N70" s="76">
        <f>100</f>
        <v>100</v>
      </c>
      <c r="O70" s="79">
        <v>240</v>
      </c>
      <c r="P70" s="79">
        <v>40</v>
      </c>
      <c r="Q70" s="79">
        <f t="shared" si="1"/>
        <v>315</v>
      </c>
      <c r="R70" s="79">
        <f t="shared" si="2"/>
        <v>100</v>
      </c>
      <c r="S70" s="76">
        <f t="shared" si="3"/>
        <v>695</v>
      </c>
      <c r="T70" s="76">
        <f>50</f>
        <v>50</v>
      </c>
      <c r="U70" s="77"/>
      <c r="V70" s="77"/>
      <c r="W70" s="77"/>
      <c r="X70" s="77"/>
      <c r="Y70" s="77"/>
      <c r="Z70" s="77"/>
      <c r="AA70" s="77"/>
      <c r="AB70" s="77"/>
      <c r="AC70" s="77"/>
      <c r="AD70" s="77"/>
    </row>
    <row r="71" spans="1:30" ht="15.75" x14ac:dyDescent="0.25">
      <c r="A71" s="13">
        <v>43070</v>
      </c>
      <c r="B71" s="90">
        <v>31</v>
      </c>
      <c r="C71" s="76">
        <f>122.58</f>
        <v>122.58</v>
      </c>
      <c r="D71" s="76">
        <f>297.941</f>
        <v>297.94099999999997</v>
      </c>
      <c r="E71" s="85">
        <f>89.177</f>
        <v>89.177000000000007</v>
      </c>
      <c r="F71" s="76">
        <f>240.302-40-60-100</f>
        <v>40.301999999999992</v>
      </c>
      <c r="G71" s="79">
        <v>40</v>
      </c>
      <c r="H71" s="76">
        <f>60+100</f>
        <v>160</v>
      </c>
      <c r="I71" s="76">
        <f t="shared" si="8"/>
        <v>0</v>
      </c>
      <c r="J71" s="79">
        <v>100</v>
      </c>
      <c r="K71" s="79">
        <v>300</v>
      </c>
      <c r="L71" s="76">
        <f t="shared" si="0"/>
        <v>1150</v>
      </c>
      <c r="M71" s="87">
        <v>400</v>
      </c>
      <c r="N71" s="76">
        <f>100</f>
        <v>100</v>
      </c>
      <c r="O71" s="79">
        <v>240</v>
      </c>
      <c r="P71" s="79">
        <v>40</v>
      </c>
      <c r="Q71" s="79">
        <f t="shared" si="1"/>
        <v>315</v>
      </c>
      <c r="R71" s="79">
        <f t="shared" si="2"/>
        <v>100</v>
      </c>
      <c r="S71" s="76">
        <f t="shared" si="3"/>
        <v>695</v>
      </c>
      <c r="T71" s="76">
        <f>50</f>
        <v>50</v>
      </c>
      <c r="U71" s="77"/>
      <c r="V71" s="77"/>
      <c r="W71" s="77"/>
      <c r="X71" s="77"/>
      <c r="Y71" s="77"/>
      <c r="Z71" s="77"/>
      <c r="AA71" s="77"/>
      <c r="AB71" s="77"/>
      <c r="AC71" s="77"/>
      <c r="AD71" s="77"/>
    </row>
    <row r="72" spans="1:30" ht="15.75" x14ac:dyDescent="0.25">
      <c r="A72" s="13">
        <v>43101</v>
      </c>
      <c r="B72" s="90">
        <v>31</v>
      </c>
      <c r="C72" s="76">
        <f>122.58</f>
        <v>122.58</v>
      </c>
      <c r="D72" s="76">
        <f>297.941</f>
        <v>297.94099999999997</v>
      </c>
      <c r="E72" s="85">
        <f>89.177</f>
        <v>89.177000000000007</v>
      </c>
      <c r="F72" s="76">
        <f>240.302-40-60-100</f>
        <v>40.301999999999992</v>
      </c>
      <c r="G72" s="79">
        <v>40</v>
      </c>
      <c r="H72" s="76">
        <f>60+100</f>
        <v>160</v>
      </c>
      <c r="I72" s="76">
        <f t="shared" si="8"/>
        <v>0</v>
      </c>
      <c r="J72" s="79">
        <v>100</v>
      </c>
      <c r="K72" s="79">
        <v>300</v>
      </c>
      <c r="L72" s="76">
        <f t="shared" si="0"/>
        <v>1150</v>
      </c>
      <c r="M72" s="87">
        <v>400</v>
      </c>
      <c r="N72" s="76">
        <f>100</f>
        <v>100</v>
      </c>
      <c r="O72" s="79">
        <v>240</v>
      </c>
      <c r="P72" s="79">
        <v>40</v>
      </c>
      <c r="Q72" s="79">
        <f t="shared" si="1"/>
        <v>315</v>
      </c>
      <c r="R72" s="79">
        <f t="shared" si="2"/>
        <v>100</v>
      </c>
      <c r="S72" s="76">
        <f t="shared" si="3"/>
        <v>695</v>
      </c>
      <c r="T72" s="76">
        <f>50</f>
        <v>50</v>
      </c>
      <c r="U72" s="77"/>
      <c r="V72" s="77"/>
      <c r="W72" s="77"/>
      <c r="X72" s="77"/>
      <c r="Y72" s="77"/>
      <c r="Z72" s="77"/>
      <c r="AA72" s="77"/>
      <c r="AB72" s="77"/>
      <c r="AC72" s="77"/>
      <c r="AD72" s="77"/>
    </row>
    <row r="73" spans="1:30" ht="15.75" x14ac:dyDescent="0.25">
      <c r="A73" s="13">
        <v>43132</v>
      </c>
      <c r="B73" s="90">
        <v>28</v>
      </c>
      <c r="C73" s="76">
        <f>122.58</f>
        <v>122.58</v>
      </c>
      <c r="D73" s="76">
        <f>297.941</f>
        <v>297.94099999999997</v>
      </c>
      <c r="E73" s="85">
        <f>89.177</f>
        <v>89.177000000000007</v>
      </c>
      <c r="F73" s="76">
        <f>240.302-40-60-100</f>
        <v>40.301999999999992</v>
      </c>
      <c r="G73" s="79">
        <v>40</v>
      </c>
      <c r="H73" s="76">
        <f>60+100</f>
        <v>160</v>
      </c>
      <c r="I73" s="76">
        <f t="shared" si="8"/>
        <v>0</v>
      </c>
      <c r="J73" s="79">
        <v>100</v>
      </c>
      <c r="K73" s="79">
        <v>300</v>
      </c>
      <c r="L73" s="76">
        <f t="shared" si="0"/>
        <v>1150</v>
      </c>
      <c r="M73" s="87">
        <v>400</v>
      </c>
      <c r="N73" s="76">
        <f>100</f>
        <v>100</v>
      </c>
      <c r="O73" s="79">
        <v>240</v>
      </c>
      <c r="P73" s="79">
        <v>40</v>
      </c>
      <c r="Q73" s="79">
        <f t="shared" si="1"/>
        <v>315</v>
      </c>
      <c r="R73" s="79">
        <f t="shared" si="2"/>
        <v>100</v>
      </c>
      <c r="S73" s="76">
        <f t="shared" si="3"/>
        <v>695</v>
      </c>
      <c r="T73" s="76">
        <f>50</f>
        <v>50</v>
      </c>
      <c r="U73" s="77"/>
      <c r="V73" s="77"/>
      <c r="W73" s="77"/>
      <c r="X73" s="77"/>
      <c r="Y73" s="77"/>
      <c r="Z73" s="77"/>
      <c r="AA73" s="77"/>
      <c r="AB73" s="77"/>
      <c r="AC73" s="77"/>
      <c r="AD73" s="77"/>
    </row>
    <row r="74" spans="1:30" ht="15.75" x14ac:dyDescent="0.25">
      <c r="A74" s="13">
        <v>43160</v>
      </c>
      <c r="B74" s="90">
        <v>31</v>
      </c>
      <c r="C74" s="76">
        <f>122.58</f>
        <v>122.58</v>
      </c>
      <c r="D74" s="76">
        <f>297.941</f>
        <v>297.94099999999997</v>
      </c>
      <c r="E74" s="85">
        <f>89.177</f>
        <v>89.177000000000007</v>
      </c>
      <c r="F74" s="76">
        <f>240.302-40-60-100</f>
        <v>40.301999999999992</v>
      </c>
      <c r="G74" s="79">
        <v>40</v>
      </c>
      <c r="H74" s="76">
        <f>60+100</f>
        <v>160</v>
      </c>
      <c r="I74" s="76">
        <f t="shared" si="8"/>
        <v>0</v>
      </c>
      <c r="J74" s="79">
        <v>100</v>
      </c>
      <c r="K74" s="79">
        <v>300</v>
      </c>
      <c r="L74" s="76">
        <f t="shared" si="0"/>
        <v>1150</v>
      </c>
      <c r="M74" s="87">
        <v>400</v>
      </c>
      <c r="N74" s="76">
        <f>100</f>
        <v>100</v>
      </c>
      <c r="O74" s="79">
        <v>240</v>
      </c>
      <c r="P74" s="79">
        <v>40</v>
      </c>
      <c r="Q74" s="79">
        <f t="shared" si="1"/>
        <v>315</v>
      </c>
      <c r="R74" s="79">
        <f t="shared" si="2"/>
        <v>100</v>
      </c>
      <c r="S74" s="76">
        <f t="shared" si="3"/>
        <v>695</v>
      </c>
      <c r="T74" s="76">
        <f>50</f>
        <v>50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</row>
    <row r="75" spans="1:30" ht="15.75" x14ac:dyDescent="0.25">
      <c r="A75" s="13">
        <v>43191</v>
      </c>
      <c r="B75" s="90">
        <v>30</v>
      </c>
      <c r="C75" s="76">
        <f>141.293</f>
        <v>141.29300000000001</v>
      </c>
      <c r="D75" s="76">
        <f>267.993</f>
        <v>267.99299999999999</v>
      </c>
      <c r="E75" s="85">
        <f>115.016</f>
        <v>115.01600000000001</v>
      </c>
      <c r="F75" s="76">
        <f>314.698-40-25-60-100</f>
        <v>89.697999999999979</v>
      </c>
      <c r="G75" s="79">
        <v>40</v>
      </c>
      <c r="H75" s="76">
        <f t="shared" ref="H75:H81" si="10">25+60+100</f>
        <v>185</v>
      </c>
      <c r="I75" s="76">
        <f t="shared" si="8"/>
        <v>0</v>
      </c>
      <c r="J75" s="79">
        <v>100</v>
      </c>
      <c r="K75" s="79">
        <v>300</v>
      </c>
      <c r="L75" s="76">
        <f t="shared" si="0"/>
        <v>1239</v>
      </c>
      <c r="M75" s="87">
        <v>400</v>
      </c>
      <c r="N75" s="76">
        <f>100</f>
        <v>100</v>
      </c>
      <c r="O75" s="79">
        <v>240</v>
      </c>
      <c r="P75" s="79">
        <v>160</v>
      </c>
      <c r="Q75" s="79">
        <f t="shared" si="1"/>
        <v>195</v>
      </c>
      <c r="R75" s="79">
        <f t="shared" si="2"/>
        <v>100</v>
      </c>
      <c r="S75" s="76">
        <f t="shared" si="3"/>
        <v>695</v>
      </c>
      <c r="T75" s="76">
        <f>50</f>
        <v>50</v>
      </c>
      <c r="U75" s="77"/>
      <c r="V75" s="77"/>
      <c r="W75" s="77"/>
      <c r="X75" s="77"/>
      <c r="Y75" s="77"/>
      <c r="Z75" s="77"/>
      <c r="AA75" s="77"/>
      <c r="AB75" s="77"/>
      <c r="AC75" s="77"/>
      <c r="AD75" s="77"/>
    </row>
    <row r="76" spans="1:30" ht="15.75" x14ac:dyDescent="0.25">
      <c r="A76" s="13">
        <v>43221</v>
      </c>
      <c r="B76" s="90">
        <v>31</v>
      </c>
      <c r="C76" s="76">
        <f>194.205</f>
        <v>194.20500000000001</v>
      </c>
      <c r="D76" s="76">
        <f>267.466</f>
        <v>267.46600000000001</v>
      </c>
      <c r="E76" s="85">
        <f>133.845</f>
        <v>133.845</v>
      </c>
      <c r="F76" s="76">
        <f>278.484-40-25-60-100</f>
        <v>53.48399999999998</v>
      </c>
      <c r="G76" s="79">
        <v>40</v>
      </c>
      <c r="H76" s="76">
        <f t="shared" si="10"/>
        <v>185</v>
      </c>
      <c r="I76" s="76">
        <f t="shared" si="8"/>
        <v>0</v>
      </c>
      <c r="J76" s="79">
        <v>100</v>
      </c>
      <c r="K76" s="79">
        <v>300</v>
      </c>
      <c r="L76" s="76">
        <f t="shared" si="0"/>
        <v>1274</v>
      </c>
      <c r="M76" s="87">
        <v>400</v>
      </c>
      <c r="N76" s="76">
        <f>75</f>
        <v>75</v>
      </c>
      <c r="O76" s="79">
        <v>240</v>
      </c>
      <c r="P76" s="79">
        <v>160</v>
      </c>
      <c r="Q76" s="79">
        <f t="shared" si="1"/>
        <v>195</v>
      </c>
      <c r="R76" s="79">
        <f t="shared" si="2"/>
        <v>100</v>
      </c>
      <c r="S76" s="76">
        <f t="shared" si="3"/>
        <v>695</v>
      </c>
      <c r="T76" s="76">
        <f>50</f>
        <v>50</v>
      </c>
      <c r="U76" s="77"/>
      <c r="V76" s="77"/>
      <c r="W76" s="77"/>
      <c r="X76" s="77"/>
      <c r="Y76" s="77"/>
      <c r="Z76" s="77"/>
      <c r="AA76" s="77"/>
      <c r="AB76" s="77"/>
      <c r="AC76" s="77"/>
      <c r="AD76" s="77"/>
    </row>
    <row r="77" spans="1:30" ht="15.75" x14ac:dyDescent="0.25">
      <c r="A77" s="13">
        <v>43252</v>
      </c>
      <c r="B77" s="90">
        <v>30</v>
      </c>
      <c r="C77" s="76">
        <f>194.205</f>
        <v>194.20500000000001</v>
      </c>
      <c r="D77" s="76">
        <f>267.466</f>
        <v>267.46600000000001</v>
      </c>
      <c r="E77" s="85">
        <f>133.845</f>
        <v>133.845</v>
      </c>
      <c r="F77" s="76">
        <f>278.484-40-25-60-100</f>
        <v>53.48399999999998</v>
      </c>
      <c r="G77" s="79">
        <v>40</v>
      </c>
      <c r="H77" s="76">
        <f t="shared" si="10"/>
        <v>185</v>
      </c>
      <c r="I77" s="76">
        <f t="shared" si="8"/>
        <v>0</v>
      </c>
      <c r="J77" s="79">
        <v>100</v>
      </c>
      <c r="K77" s="79">
        <v>300</v>
      </c>
      <c r="L77" s="76">
        <f t="shared" si="0"/>
        <v>1274</v>
      </c>
      <c r="M77" s="87">
        <v>400</v>
      </c>
      <c r="N77" s="76">
        <f>30</f>
        <v>30</v>
      </c>
      <c r="O77" s="79">
        <v>240</v>
      </c>
      <c r="P77" s="79">
        <v>160</v>
      </c>
      <c r="Q77" s="79">
        <f t="shared" si="1"/>
        <v>195</v>
      </c>
      <c r="R77" s="79">
        <f t="shared" si="2"/>
        <v>100</v>
      </c>
      <c r="S77" s="76">
        <f t="shared" si="3"/>
        <v>695</v>
      </c>
      <c r="T77" s="76">
        <f>50</f>
        <v>50</v>
      </c>
      <c r="U77" s="77"/>
      <c r="V77" s="77"/>
      <c r="W77" s="77"/>
      <c r="X77" s="77"/>
      <c r="Y77" s="77"/>
      <c r="Z77" s="77"/>
      <c r="AA77" s="77"/>
      <c r="AB77" s="77"/>
      <c r="AC77" s="77"/>
      <c r="AD77" s="77"/>
    </row>
    <row r="78" spans="1:30" ht="15.75" x14ac:dyDescent="0.25">
      <c r="A78" s="13">
        <v>43282</v>
      </c>
      <c r="B78" s="90">
        <v>31</v>
      </c>
      <c r="C78" s="76">
        <f>194.205</f>
        <v>194.20500000000001</v>
      </c>
      <c r="D78" s="76">
        <f>267.466</f>
        <v>267.46600000000001</v>
      </c>
      <c r="E78" s="85">
        <f>133.845</f>
        <v>133.845</v>
      </c>
      <c r="F78" s="76">
        <f>278.484-40-25-60-100</f>
        <v>53.48399999999998</v>
      </c>
      <c r="G78" s="79">
        <v>40</v>
      </c>
      <c r="H78" s="76">
        <f t="shared" si="10"/>
        <v>185</v>
      </c>
      <c r="I78" s="76">
        <f t="shared" si="8"/>
        <v>0</v>
      </c>
      <c r="J78" s="79">
        <v>100</v>
      </c>
      <c r="K78" s="79">
        <v>300</v>
      </c>
      <c r="L78" s="76">
        <f t="shared" si="0"/>
        <v>1274</v>
      </c>
      <c r="M78" s="87">
        <v>400</v>
      </c>
      <c r="N78" s="76">
        <f>30</f>
        <v>30</v>
      </c>
      <c r="O78" s="79">
        <v>240</v>
      </c>
      <c r="P78" s="79">
        <v>160</v>
      </c>
      <c r="Q78" s="79">
        <f t="shared" si="1"/>
        <v>195</v>
      </c>
      <c r="R78" s="79">
        <f t="shared" si="2"/>
        <v>100</v>
      </c>
      <c r="S78" s="76">
        <f t="shared" si="3"/>
        <v>695</v>
      </c>
      <c r="T78" s="76">
        <f>0</f>
        <v>0</v>
      </c>
      <c r="U78" s="77"/>
      <c r="V78" s="77"/>
      <c r="W78" s="77"/>
      <c r="X78" s="77"/>
      <c r="Y78" s="77"/>
      <c r="Z78" s="77"/>
      <c r="AA78" s="77"/>
      <c r="AB78" s="77"/>
      <c r="AC78" s="77"/>
      <c r="AD78" s="77"/>
    </row>
    <row r="79" spans="1:30" ht="15.75" x14ac:dyDescent="0.25">
      <c r="A79" s="13">
        <v>43313</v>
      </c>
      <c r="B79" s="90">
        <v>31</v>
      </c>
      <c r="C79" s="76">
        <f>194.205</f>
        <v>194.20500000000001</v>
      </c>
      <c r="D79" s="76">
        <f>267.466</f>
        <v>267.46600000000001</v>
      </c>
      <c r="E79" s="85">
        <f>133.845</f>
        <v>133.845</v>
      </c>
      <c r="F79" s="76">
        <f>278.484-40-25-60-100</f>
        <v>53.48399999999998</v>
      </c>
      <c r="G79" s="79">
        <v>40</v>
      </c>
      <c r="H79" s="76">
        <f t="shared" si="10"/>
        <v>185</v>
      </c>
      <c r="I79" s="76">
        <f t="shared" si="8"/>
        <v>0</v>
      </c>
      <c r="J79" s="79">
        <v>100</v>
      </c>
      <c r="K79" s="79">
        <v>300</v>
      </c>
      <c r="L79" s="76">
        <f t="shared" si="0"/>
        <v>1274</v>
      </c>
      <c r="M79" s="87">
        <v>400</v>
      </c>
      <c r="N79" s="76">
        <f>30</f>
        <v>30</v>
      </c>
      <c r="O79" s="79">
        <v>240</v>
      </c>
      <c r="P79" s="79">
        <v>160</v>
      </c>
      <c r="Q79" s="79">
        <f t="shared" si="1"/>
        <v>195</v>
      </c>
      <c r="R79" s="79">
        <f t="shared" si="2"/>
        <v>100</v>
      </c>
      <c r="S79" s="76">
        <f t="shared" si="3"/>
        <v>695</v>
      </c>
      <c r="T79" s="76">
        <f>0</f>
        <v>0</v>
      </c>
      <c r="U79" s="77"/>
      <c r="V79" s="77"/>
      <c r="W79" s="77"/>
      <c r="X79" s="77"/>
      <c r="Y79" s="77"/>
      <c r="Z79" s="77"/>
      <c r="AA79" s="77"/>
      <c r="AB79" s="77"/>
      <c r="AC79" s="77"/>
      <c r="AD79" s="77"/>
    </row>
    <row r="80" spans="1:30" ht="15.75" x14ac:dyDescent="0.25">
      <c r="A80" s="13">
        <v>43344</v>
      </c>
      <c r="B80" s="90">
        <v>30</v>
      </c>
      <c r="C80" s="76">
        <f>194.205</f>
        <v>194.20500000000001</v>
      </c>
      <c r="D80" s="76">
        <f>267.466</f>
        <v>267.46600000000001</v>
      </c>
      <c r="E80" s="85">
        <f>133.845</f>
        <v>133.845</v>
      </c>
      <c r="F80" s="76">
        <f>278.484-40-25-60-100</f>
        <v>53.48399999999998</v>
      </c>
      <c r="G80" s="79">
        <v>40</v>
      </c>
      <c r="H80" s="76">
        <f t="shared" si="10"/>
        <v>185</v>
      </c>
      <c r="I80" s="76">
        <f t="shared" si="8"/>
        <v>0</v>
      </c>
      <c r="J80" s="79">
        <v>100</v>
      </c>
      <c r="K80" s="79">
        <v>300</v>
      </c>
      <c r="L80" s="76">
        <f t="shared" si="0"/>
        <v>1274</v>
      </c>
      <c r="M80" s="87">
        <v>400</v>
      </c>
      <c r="N80" s="76">
        <f>30</f>
        <v>30</v>
      </c>
      <c r="O80" s="79">
        <v>240</v>
      </c>
      <c r="P80" s="79">
        <v>160</v>
      </c>
      <c r="Q80" s="79">
        <f t="shared" si="1"/>
        <v>195</v>
      </c>
      <c r="R80" s="79">
        <f t="shared" si="2"/>
        <v>100</v>
      </c>
      <c r="S80" s="76">
        <f t="shared" si="3"/>
        <v>695</v>
      </c>
      <c r="T80" s="76">
        <f>0</f>
        <v>0</v>
      </c>
      <c r="U80" s="77"/>
      <c r="V80" s="77"/>
      <c r="W80" s="77"/>
      <c r="X80" s="77"/>
      <c r="Y80" s="77"/>
      <c r="Z80" s="77"/>
      <c r="AA80" s="77"/>
      <c r="AB80" s="77"/>
      <c r="AC80" s="77"/>
      <c r="AD80" s="77"/>
    </row>
    <row r="81" spans="1:30" ht="15.75" x14ac:dyDescent="0.25">
      <c r="A81" s="13">
        <v>43374</v>
      </c>
      <c r="B81" s="90">
        <v>31</v>
      </c>
      <c r="C81" s="76">
        <f>131.881</f>
        <v>131.881</v>
      </c>
      <c r="D81" s="76">
        <f>277.167</f>
        <v>277.16699999999997</v>
      </c>
      <c r="E81" s="85">
        <f>79.08</f>
        <v>79.08</v>
      </c>
      <c r="F81" s="76">
        <f>350.872-40-25-60-100</f>
        <v>125.87200000000001</v>
      </c>
      <c r="G81" s="79">
        <v>40</v>
      </c>
      <c r="H81" s="76">
        <f t="shared" si="10"/>
        <v>185</v>
      </c>
      <c r="I81" s="76">
        <f t="shared" si="8"/>
        <v>0</v>
      </c>
      <c r="J81" s="79">
        <v>100</v>
      </c>
      <c r="K81" s="79">
        <v>300</v>
      </c>
      <c r="L81" s="76">
        <f t="shared" si="0"/>
        <v>1239</v>
      </c>
      <c r="M81" s="87">
        <v>400</v>
      </c>
      <c r="N81" s="76">
        <f>75</f>
        <v>75</v>
      </c>
      <c r="O81" s="79">
        <v>240</v>
      </c>
      <c r="P81" s="79">
        <v>160</v>
      </c>
      <c r="Q81" s="79">
        <f t="shared" si="1"/>
        <v>195</v>
      </c>
      <c r="R81" s="79">
        <f t="shared" si="2"/>
        <v>100</v>
      </c>
      <c r="S81" s="76">
        <f t="shared" si="3"/>
        <v>695</v>
      </c>
      <c r="T81" s="76">
        <f>0</f>
        <v>0</v>
      </c>
      <c r="U81" s="77"/>
      <c r="V81" s="77"/>
      <c r="W81" s="77"/>
      <c r="X81" s="77"/>
      <c r="Y81" s="77"/>
      <c r="Z81" s="77"/>
      <c r="AA81" s="77"/>
      <c r="AB81" s="77"/>
      <c r="AC81" s="77"/>
      <c r="AD81" s="77"/>
    </row>
    <row r="82" spans="1:30" ht="15.75" x14ac:dyDescent="0.25">
      <c r="A82" s="13">
        <v>43405</v>
      </c>
      <c r="B82" s="90">
        <v>30</v>
      </c>
      <c r="C82" s="76">
        <f>122.58</f>
        <v>122.58</v>
      </c>
      <c r="D82" s="76">
        <f>297.941</f>
        <v>297.94099999999997</v>
      </c>
      <c r="E82" s="85">
        <f>89.177</f>
        <v>89.177000000000007</v>
      </c>
      <c r="F82" s="76">
        <f>240.302-40-60-100</f>
        <v>40.301999999999992</v>
      </c>
      <c r="G82" s="79">
        <v>40</v>
      </c>
      <c r="H82" s="76">
        <f>60+100</f>
        <v>160</v>
      </c>
      <c r="I82" s="76">
        <f t="shared" si="8"/>
        <v>0</v>
      </c>
      <c r="J82" s="79">
        <v>100</v>
      </c>
      <c r="K82" s="79">
        <v>300</v>
      </c>
      <c r="L82" s="76">
        <f t="shared" ref="L82:L145" si="11">SUM(C82:K82)</f>
        <v>1150</v>
      </c>
      <c r="M82" s="87">
        <v>400</v>
      </c>
      <c r="N82" s="76">
        <f>100</f>
        <v>100</v>
      </c>
      <c r="O82" s="79">
        <v>240</v>
      </c>
      <c r="P82" s="79">
        <v>40</v>
      </c>
      <c r="Q82" s="79">
        <f t="shared" ref="Q82:Q145" si="12">695-R82-O82-P82</f>
        <v>315</v>
      </c>
      <c r="R82" s="79">
        <f t="shared" ref="R82:R145" si="13">200-J82</f>
        <v>100</v>
      </c>
      <c r="S82" s="76">
        <f t="shared" ref="S82:S145" si="14">SUM(O82:R82)</f>
        <v>695</v>
      </c>
      <c r="T82" s="76">
        <f>50</f>
        <v>50</v>
      </c>
      <c r="U82" s="77"/>
      <c r="V82" s="77"/>
      <c r="W82" s="77"/>
      <c r="X82" s="77"/>
      <c r="Y82" s="77"/>
      <c r="Z82" s="77"/>
      <c r="AA82" s="77"/>
      <c r="AB82" s="77"/>
      <c r="AC82" s="77"/>
      <c r="AD82" s="77"/>
    </row>
    <row r="83" spans="1:30" ht="15.75" x14ac:dyDescent="0.25">
      <c r="A83" s="13">
        <v>43435</v>
      </c>
      <c r="B83" s="90">
        <v>31</v>
      </c>
      <c r="C83" s="76">
        <f>122.58</f>
        <v>122.58</v>
      </c>
      <c r="D83" s="76">
        <f>297.941</f>
        <v>297.94099999999997</v>
      </c>
      <c r="E83" s="85">
        <f>89.177</f>
        <v>89.177000000000007</v>
      </c>
      <c r="F83" s="76">
        <f>240.302-40-60-100</f>
        <v>40.301999999999992</v>
      </c>
      <c r="G83" s="79">
        <v>40</v>
      </c>
      <c r="H83" s="76">
        <f>60+100</f>
        <v>160</v>
      </c>
      <c r="I83" s="76">
        <f t="shared" si="8"/>
        <v>0</v>
      </c>
      <c r="J83" s="79">
        <v>100</v>
      </c>
      <c r="K83" s="79">
        <v>300</v>
      </c>
      <c r="L83" s="76">
        <f t="shared" si="11"/>
        <v>1150</v>
      </c>
      <c r="M83" s="87">
        <v>400</v>
      </c>
      <c r="N83" s="76">
        <f>100</f>
        <v>100</v>
      </c>
      <c r="O83" s="79">
        <v>240</v>
      </c>
      <c r="P83" s="79">
        <v>40</v>
      </c>
      <c r="Q83" s="79">
        <f t="shared" si="12"/>
        <v>315</v>
      </c>
      <c r="R83" s="79">
        <f t="shared" si="13"/>
        <v>100</v>
      </c>
      <c r="S83" s="76">
        <f t="shared" si="14"/>
        <v>695</v>
      </c>
      <c r="T83" s="76">
        <f>50</f>
        <v>50</v>
      </c>
      <c r="U83" s="77"/>
      <c r="V83" s="77"/>
      <c r="W83" s="77"/>
      <c r="X83" s="77"/>
      <c r="Y83" s="77"/>
      <c r="Z83" s="77"/>
      <c r="AA83" s="77"/>
      <c r="AB83" s="77"/>
      <c r="AC83" s="77"/>
      <c r="AD83" s="77"/>
    </row>
    <row r="84" spans="1:30" ht="15.75" x14ac:dyDescent="0.25">
      <c r="A84" s="13">
        <v>43466</v>
      </c>
      <c r="B84" s="90">
        <v>31</v>
      </c>
      <c r="C84" s="76">
        <f>122.58</f>
        <v>122.58</v>
      </c>
      <c r="D84" s="76">
        <f>297.941</f>
        <v>297.94099999999997</v>
      </c>
      <c r="E84" s="85">
        <f>89.177</f>
        <v>89.177000000000007</v>
      </c>
      <c r="F84" s="76">
        <f>240.302-40-60-100</f>
        <v>40.301999999999992</v>
      </c>
      <c r="G84" s="79">
        <v>40</v>
      </c>
      <c r="H84" s="76">
        <f>60+100</f>
        <v>160</v>
      </c>
      <c r="I84" s="76">
        <f t="shared" si="8"/>
        <v>0</v>
      </c>
      <c r="J84" s="79">
        <v>100</v>
      </c>
      <c r="K84" s="79">
        <v>300</v>
      </c>
      <c r="L84" s="76">
        <f t="shared" si="11"/>
        <v>1150</v>
      </c>
      <c r="M84" s="87">
        <v>400</v>
      </c>
      <c r="N84" s="76">
        <f>100</f>
        <v>100</v>
      </c>
      <c r="O84" s="79">
        <v>240</v>
      </c>
      <c r="P84" s="79">
        <v>40</v>
      </c>
      <c r="Q84" s="79">
        <f t="shared" si="12"/>
        <v>315</v>
      </c>
      <c r="R84" s="79">
        <f t="shared" si="13"/>
        <v>100</v>
      </c>
      <c r="S84" s="76">
        <f t="shared" si="14"/>
        <v>695</v>
      </c>
      <c r="T84" s="76">
        <f>50</f>
        <v>50</v>
      </c>
      <c r="U84" s="77"/>
      <c r="V84" s="77"/>
      <c r="W84" s="77"/>
      <c r="X84" s="77"/>
      <c r="Y84" s="77"/>
      <c r="Z84" s="77"/>
      <c r="AA84" s="77"/>
      <c r="AB84" s="77"/>
      <c r="AC84" s="77"/>
      <c r="AD84" s="77"/>
    </row>
    <row r="85" spans="1:30" ht="15.75" x14ac:dyDescent="0.25">
      <c r="A85" s="13">
        <v>43497</v>
      </c>
      <c r="B85" s="90">
        <v>28</v>
      </c>
      <c r="C85" s="76">
        <f>122.58</f>
        <v>122.58</v>
      </c>
      <c r="D85" s="76">
        <f>297.941</f>
        <v>297.94099999999997</v>
      </c>
      <c r="E85" s="85">
        <f>89.177</f>
        <v>89.177000000000007</v>
      </c>
      <c r="F85" s="76">
        <f>240.302-40-60-100</f>
        <v>40.301999999999992</v>
      </c>
      <c r="G85" s="79">
        <v>40</v>
      </c>
      <c r="H85" s="76">
        <f>60+100</f>
        <v>160</v>
      </c>
      <c r="I85" s="76">
        <f t="shared" si="8"/>
        <v>0</v>
      </c>
      <c r="J85" s="79">
        <v>100</v>
      </c>
      <c r="K85" s="79">
        <v>300</v>
      </c>
      <c r="L85" s="76">
        <f t="shared" si="11"/>
        <v>1150</v>
      </c>
      <c r="M85" s="87">
        <v>400</v>
      </c>
      <c r="N85" s="76">
        <f>100</f>
        <v>100</v>
      </c>
      <c r="O85" s="79">
        <v>240</v>
      </c>
      <c r="P85" s="79">
        <v>40</v>
      </c>
      <c r="Q85" s="79">
        <f t="shared" si="12"/>
        <v>315</v>
      </c>
      <c r="R85" s="79">
        <f t="shared" si="13"/>
        <v>100</v>
      </c>
      <c r="S85" s="76">
        <f t="shared" si="14"/>
        <v>695</v>
      </c>
      <c r="T85" s="76">
        <f>50</f>
        <v>50</v>
      </c>
      <c r="U85" s="77"/>
      <c r="V85" s="77"/>
      <c r="W85" s="77"/>
      <c r="X85" s="77"/>
      <c r="Y85" s="77"/>
      <c r="Z85" s="77"/>
      <c r="AA85" s="77"/>
      <c r="AB85" s="77"/>
      <c r="AC85" s="77"/>
      <c r="AD85" s="77"/>
    </row>
    <row r="86" spans="1:30" ht="15.75" x14ac:dyDescent="0.25">
      <c r="A86" s="13">
        <v>43525</v>
      </c>
      <c r="B86" s="90">
        <v>31</v>
      </c>
      <c r="C86" s="76">
        <f>122.58</f>
        <v>122.58</v>
      </c>
      <c r="D86" s="76">
        <f>297.941</f>
        <v>297.94099999999997</v>
      </c>
      <c r="E86" s="85">
        <f>89.177</f>
        <v>89.177000000000007</v>
      </c>
      <c r="F86" s="76">
        <f>240.302-40-60-100</f>
        <v>40.301999999999992</v>
      </c>
      <c r="G86" s="79">
        <v>40</v>
      </c>
      <c r="H86" s="76">
        <f>60+100</f>
        <v>160</v>
      </c>
      <c r="I86" s="76">
        <f t="shared" si="8"/>
        <v>0</v>
      </c>
      <c r="J86" s="79">
        <v>100</v>
      </c>
      <c r="K86" s="79">
        <v>300</v>
      </c>
      <c r="L86" s="76">
        <f t="shared" si="11"/>
        <v>1150</v>
      </c>
      <c r="M86" s="87">
        <v>400</v>
      </c>
      <c r="N86" s="76">
        <f>100</f>
        <v>100</v>
      </c>
      <c r="O86" s="79">
        <v>240</v>
      </c>
      <c r="P86" s="79">
        <v>40</v>
      </c>
      <c r="Q86" s="79">
        <f t="shared" si="12"/>
        <v>315</v>
      </c>
      <c r="R86" s="79">
        <f t="shared" si="13"/>
        <v>100</v>
      </c>
      <c r="S86" s="76">
        <f t="shared" si="14"/>
        <v>695</v>
      </c>
      <c r="T86" s="76">
        <f>50</f>
        <v>50</v>
      </c>
      <c r="U86" s="77"/>
      <c r="V86" s="77"/>
      <c r="W86" s="77"/>
      <c r="X86" s="77"/>
      <c r="Y86" s="77"/>
      <c r="Z86" s="77"/>
      <c r="AA86" s="77"/>
      <c r="AB86" s="77"/>
      <c r="AC86" s="77"/>
      <c r="AD86" s="77"/>
    </row>
    <row r="87" spans="1:30" ht="15.75" x14ac:dyDescent="0.25">
      <c r="A87" s="13">
        <v>43556</v>
      </c>
      <c r="B87" s="90">
        <v>30</v>
      </c>
      <c r="C87" s="76">
        <f>141.293</f>
        <v>141.29300000000001</v>
      </c>
      <c r="D87" s="76">
        <f>267.993</f>
        <v>267.99299999999999</v>
      </c>
      <c r="E87" s="85">
        <f>115.016</f>
        <v>115.01600000000001</v>
      </c>
      <c r="F87" s="76">
        <f>314.698-40-25-60-100</f>
        <v>89.697999999999979</v>
      </c>
      <c r="G87" s="79">
        <v>40</v>
      </c>
      <c r="H87" s="76">
        <f t="shared" ref="H87:H93" si="15">25+60+100</f>
        <v>185</v>
      </c>
      <c r="I87" s="76">
        <f t="shared" si="8"/>
        <v>0</v>
      </c>
      <c r="J87" s="79">
        <v>100</v>
      </c>
      <c r="K87" s="79">
        <v>300</v>
      </c>
      <c r="L87" s="76">
        <f t="shared" si="11"/>
        <v>1239</v>
      </c>
      <c r="M87" s="87">
        <v>400</v>
      </c>
      <c r="N87" s="76">
        <f>100</f>
        <v>100</v>
      </c>
      <c r="O87" s="79">
        <v>240</v>
      </c>
      <c r="P87" s="79">
        <v>160</v>
      </c>
      <c r="Q87" s="79">
        <f t="shared" si="12"/>
        <v>195</v>
      </c>
      <c r="R87" s="79">
        <f t="shared" si="13"/>
        <v>100</v>
      </c>
      <c r="S87" s="76">
        <f t="shared" si="14"/>
        <v>695</v>
      </c>
      <c r="T87" s="76">
        <f>50</f>
        <v>50</v>
      </c>
      <c r="U87" s="77"/>
      <c r="V87" s="77"/>
      <c r="W87" s="77"/>
      <c r="X87" s="77"/>
      <c r="Y87" s="77"/>
      <c r="Z87" s="77"/>
      <c r="AA87" s="77"/>
      <c r="AB87" s="77"/>
      <c r="AC87" s="77"/>
      <c r="AD87" s="77"/>
    </row>
    <row r="88" spans="1:30" ht="15.75" x14ac:dyDescent="0.25">
      <c r="A88" s="13">
        <v>43586</v>
      </c>
      <c r="B88" s="90">
        <v>31</v>
      </c>
      <c r="C88" s="76">
        <f>194.205</f>
        <v>194.20500000000001</v>
      </c>
      <c r="D88" s="76">
        <f>267.466</f>
        <v>267.46600000000001</v>
      </c>
      <c r="E88" s="85">
        <f>133.845</f>
        <v>133.845</v>
      </c>
      <c r="F88" s="76">
        <f>278.484-40-25-60-100</f>
        <v>53.48399999999998</v>
      </c>
      <c r="G88" s="79">
        <v>40</v>
      </c>
      <c r="H88" s="76">
        <f t="shared" si="15"/>
        <v>185</v>
      </c>
      <c r="I88" s="76">
        <f t="shared" si="8"/>
        <v>0</v>
      </c>
      <c r="J88" s="79">
        <v>100</v>
      </c>
      <c r="K88" s="79">
        <v>300</v>
      </c>
      <c r="L88" s="76">
        <f t="shared" si="11"/>
        <v>1274</v>
      </c>
      <c r="M88" s="87">
        <v>400</v>
      </c>
      <c r="N88" s="76">
        <f>75</f>
        <v>75</v>
      </c>
      <c r="O88" s="79">
        <v>240</v>
      </c>
      <c r="P88" s="79">
        <v>160</v>
      </c>
      <c r="Q88" s="79">
        <f t="shared" si="12"/>
        <v>195</v>
      </c>
      <c r="R88" s="79">
        <f t="shared" si="13"/>
        <v>100</v>
      </c>
      <c r="S88" s="76">
        <f t="shared" si="14"/>
        <v>695</v>
      </c>
      <c r="T88" s="76">
        <f>50</f>
        <v>50</v>
      </c>
      <c r="U88" s="77"/>
      <c r="V88" s="77"/>
      <c r="W88" s="77"/>
      <c r="X88" s="77"/>
      <c r="Y88" s="77"/>
      <c r="Z88" s="77"/>
      <c r="AA88" s="77"/>
      <c r="AB88" s="77"/>
      <c r="AC88" s="77"/>
      <c r="AD88" s="77"/>
    </row>
    <row r="89" spans="1:30" ht="15.75" x14ac:dyDescent="0.25">
      <c r="A89" s="13">
        <v>43617</v>
      </c>
      <c r="B89" s="90">
        <v>30</v>
      </c>
      <c r="C89" s="76">
        <f>194.205</f>
        <v>194.20500000000001</v>
      </c>
      <c r="D89" s="76">
        <f>267.466</f>
        <v>267.46600000000001</v>
      </c>
      <c r="E89" s="85">
        <f>133.845</f>
        <v>133.845</v>
      </c>
      <c r="F89" s="76">
        <f>278.484-40-25-60-100</f>
        <v>53.48399999999998</v>
      </c>
      <c r="G89" s="79">
        <v>40</v>
      </c>
      <c r="H89" s="76">
        <f t="shared" si="15"/>
        <v>185</v>
      </c>
      <c r="I89" s="76">
        <f t="shared" si="8"/>
        <v>0</v>
      </c>
      <c r="J89" s="79">
        <v>100</v>
      </c>
      <c r="K89" s="79">
        <v>300</v>
      </c>
      <c r="L89" s="76">
        <f t="shared" si="11"/>
        <v>1274</v>
      </c>
      <c r="M89" s="87">
        <v>400</v>
      </c>
      <c r="N89" s="76">
        <f>30</f>
        <v>30</v>
      </c>
      <c r="O89" s="79">
        <v>240</v>
      </c>
      <c r="P89" s="79">
        <v>160</v>
      </c>
      <c r="Q89" s="79">
        <f t="shared" si="12"/>
        <v>195</v>
      </c>
      <c r="R89" s="79">
        <f t="shared" si="13"/>
        <v>100</v>
      </c>
      <c r="S89" s="76">
        <f t="shared" si="14"/>
        <v>695</v>
      </c>
      <c r="T89" s="76">
        <f>50</f>
        <v>50</v>
      </c>
      <c r="U89" s="77"/>
      <c r="V89" s="77"/>
      <c r="W89" s="77"/>
      <c r="X89" s="77"/>
      <c r="Y89" s="77"/>
      <c r="Z89" s="77"/>
      <c r="AA89" s="77"/>
      <c r="AB89" s="77"/>
      <c r="AC89" s="77"/>
      <c r="AD89" s="77"/>
    </row>
    <row r="90" spans="1:30" ht="15.75" x14ac:dyDescent="0.25">
      <c r="A90" s="13">
        <v>43647</v>
      </c>
      <c r="B90" s="90">
        <v>31</v>
      </c>
      <c r="C90" s="76">
        <f>194.205</f>
        <v>194.20500000000001</v>
      </c>
      <c r="D90" s="76">
        <f>267.466</f>
        <v>267.46600000000001</v>
      </c>
      <c r="E90" s="85">
        <f>133.845</f>
        <v>133.845</v>
      </c>
      <c r="F90" s="76">
        <f>278.484-40-25-60-100</f>
        <v>53.48399999999998</v>
      </c>
      <c r="G90" s="79">
        <v>40</v>
      </c>
      <c r="H90" s="76">
        <f t="shared" si="15"/>
        <v>185</v>
      </c>
      <c r="I90" s="76">
        <f t="shared" si="8"/>
        <v>0</v>
      </c>
      <c r="J90" s="79">
        <v>100</v>
      </c>
      <c r="K90" s="79">
        <v>300</v>
      </c>
      <c r="L90" s="76">
        <f t="shared" si="11"/>
        <v>1274</v>
      </c>
      <c r="M90" s="87">
        <v>400</v>
      </c>
      <c r="N90" s="76">
        <f>30</f>
        <v>30</v>
      </c>
      <c r="O90" s="79">
        <v>240</v>
      </c>
      <c r="P90" s="79">
        <v>160</v>
      </c>
      <c r="Q90" s="79">
        <f t="shared" si="12"/>
        <v>195</v>
      </c>
      <c r="R90" s="79">
        <f t="shared" si="13"/>
        <v>100</v>
      </c>
      <c r="S90" s="76">
        <f t="shared" si="14"/>
        <v>695</v>
      </c>
      <c r="T90" s="76">
        <f>0</f>
        <v>0</v>
      </c>
      <c r="U90" s="77"/>
      <c r="V90" s="77"/>
      <c r="W90" s="77"/>
      <c r="X90" s="77"/>
      <c r="Y90" s="77"/>
      <c r="Z90" s="77"/>
      <c r="AA90" s="77"/>
      <c r="AB90" s="77"/>
      <c r="AC90" s="77"/>
      <c r="AD90" s="77"/>
    </row>
    <row r="91" spans="1:30" ht="15.75" x14ac:dyDescent="0.25">
      <c r="A91" s="13">
        <v>43678</v>
      </c>
      <c r="B91" s="90">
        <v>31</v>
      </c>
      <c r="C91" s="76">
        <f>194.205</f>
        <v>194.20500000000001</v>
      </c>
      <c r="D91" s="76">
        <f>267.466</f>
        <v>267.46600000000001</v>
      </c>
      <c r="E91" s="85">
        <f>133.845</f>
        <v>133.845</v>
      </c>
      <c r="F91" s="76">
        <f>278.484-40-25-60-100</f>
        <v>53.48399999999998</v>
      </c>
      <c r="G91" s="79">
        <v>40</v>
      </c>
      <c r="H91" s="76">
        <f t="shared" si="15"/>
        <v>185</v>
      </c>
      <c r="I91" s="76">
        <f t="shared" si="8"/>
        <v>0</v>
      </c>
      <c r="J91" s="79">
        <v>100</v>
      </c>
      <c r="K91" s="79">
        <v>300</v>
      </c>
      <c r="L91" s="76">
        <f t="shared" si="11"/>
        <v>1274</v>
      </c>
      <c r="M91" s="87">
        <v>400</v>
      </c>
      <c r="N91" s="76">
        <f>30</f>
        <v>30</v>
      </c>
      <c r="O91" s="79">
        <v>240</v>
      </c>
      <c r="P91" s="79">
        <v>160</v>
      </c>
      <c r="Q91" s="79">
        <f t="shared" si="12"/>
        <v>195</v>
      </c>
      <c r="R91" s="79">
        <f t="shared" si="13"/>
        <v>100</v>
      </c>
      <c r="S91" s="76">
        <f t="shared" si="14"/>
        <v>695</v>
      </c>
      <c r="T91" s="76">
        <f>0</f>
        <v>0</v>
      </c>
      <c r="U91" s="77"/>
      <c r="V91" s="77"/>
      <c r="W91" s="77"/>
      <c r="X91" s="77"/>
      <c r="Y91" s="77"/>
      <c r="Z91" s="77"/>
      <c r="AA91" s="77"/>
      <c r="AB91" s="77"/>
      <c r="AC91" s="77"/>
      <c r="AD91" s="77"/>
    </row>
    <row r="92" spans="1:30" ht="15.75" x14ac:dyDescent="0.25">
      <c r="A92" s="13">
        <v>43709</v>
      </c>
      <c r="B92" s="90">
        <v>30</v>
      </c>
      <c r="C92" s="76">
        <f>194.205</f>
        <v>194.20500000000001</v>
      </c>
      <c r="D92" s="76">
        <f>267.466</f>
        <v>267.46600000000001</v>
      </c>
      <c r="E92" s="85">
        <f>133.845</f>
        <v>133.845</v>
      </c>
      <c r="F92" s="76">
        <f>278.484-40-25-60-100</f>
        <v>53.48399999999998</v>
      </c>
      <c r="G92" s="79">
        <v>40</v>
      </c>
      <c r="H92" s="76">
        <f t="shared" si="15"/>
        <v>185</v>
      </c>
      <c r="I92" s="76">
        <f t="shared" si="8"/>
        <v>0</v>
      </c>
      <c r="J92" s="79">
        <v>100</v>
      </c>
      <c r="K92" s="79">
        <v>300</v>
      </c>
      <c r="L92" s="76">
        <f t="shared" si="11"/>
        <v>1274</v>
      </c>
      <c r="M92" s="87">
        <v>400</v>
      </c>
      <c r="N92" s="76">
        <f>30</f>
        <v>30</v>
      </c>
      <c r="O92" s="79">
        <v>240</v>
      </c>
      <c r="P92" s="79">
        <v>160</v>
      </c>
      <c r="Q92" s="79">
        <f t="shared" si="12"/>
        <v>195</v>
      </c>
      <c r="R92" s="79">
        <f t="shared" si="13"/>
        <v>100</v>
      </c>
      <c r="S92" s="76">
        <f t="shared" si="14"/>
        <v>695</v>
      </c>
      <c r="T92" s="76">
        <f>0</f>
        <v>0</v>
      </c>
      <c r="U92" s="77"/>
      <c r="V92" s="77"/>
      <c r="W92" s="77"/>
      <c r="X92" s="77"/>
      <c r="Y92" s="77"/>
      <c r="Z92" s="77"/>
      <c r="AA92" s="77"/>
      <c r="AB92" s="77"/>
      <c r="AC92" s="77"/>
      <c r="AD92" s="77"/>
    </row>
    <row r="93" spans="1:30" ht="15.75" x14ac:dyDescent="0.25">
      <c r="A93" s="13">
        <v>43739</v>
      </c>
      <c r="B93" s="90">
        <v>31</v>
      </c>
      <c r="C93" s="76">
        <f>131.881</f>
        <v>131.881</v>
      </c>
      <c r="D93" s="76">
        <f>277.167</f>
        <v>277.16699999999997</v>
      </c>
      <c r="E93" s="85">
        <f>79.08</f>
        <v>79.08</v>
      </c>
      <c r="F93" s="76">
        <f>350.872-40-25-60-100</f>
        <v>125.87200000000001</v>
      </c>
      <c r="G93" s="79">
        <v>40</v>
      </c>
      <c r="H93" s="76">
        <f t="shared" si="15"/>
        <v>185</v>
      </c>
      <c r="I93" s="76">
        <f t="shared" si="8"/>
        <v>0</v>
      </c>
      <c r="J93" s="79">
        <v>100</v>
      </c>
      <c r="K93" s="79">
        <v>300</v>
      </c>
      <c r="L93" s="76">
        <f t="shared" si="11"/>
        <v>1239</v>
      </c>
      <c r="M93" s="87">
        <v>400</v>
      </c>
      <c r="N93" s="76">
        <f>75</f>
        <v>75</v>
      </c>
      <c r="O93" s="79">
        <v>240</v>
      </c>
      <c r="P93" s="79">
        <v>160</v>
      </c>
      <c r="Q93" s="79">
        <f t="shared" si="12"/>
        <v>195</v>
      </c>
      <c r="R93" s="79">
        <f t="shared" si="13"/>
        <v>100</v>
      </c>
      <c r="S93" s="76">
        <f t="shared" si="14"/>
        <v>695</v>
      </c>
      <c r="T93" s="76">
        <f>0</f>
        <v>0</v>
      </c>
      <c r="U93" s="77"/>
      <c r="V93" s="77"/>
      <c r="W93" s="77"/>
      <c r="X93" s="77"/>
      <c r="Y93" s="77"/>
      <c r="Z93" s="77"/>
      <c r="AA93" s="77"/>
      <c r="AB93" s="77"/>
      <c r="AC93" s="77"/>
      <c r="AD93" s="77"/>
    </row>
    <row r="94" spans="1:30" ht="15.75" x14ac:dyDescent="0.25">
      <c r="A94" s="13">
        <v>43770</v>
      </c>
      <c r="B94" s="90">
        <v>30</v>
      </c>
      <c r="C94" s="76">
        <f>122.58</f>
        <v>122.58</v>
      </c>
      <c r="D94" s="76">
        <f>297.941</f>
        <v>297.94099999999997</v>
      </c>
      <c r="E94" s="85">
        <f>89.177</f>
        <v>89.177000000000007</v>
      </c>
      <c r="F94" s="76">
        <f>240.302-40-60-100</f>
        <v>40.301999999999992</v>
      </c>
      <c r="G94" s="79">
        <v>40</v>
      </c>
      <c r="H94" s="76">
        <f>60+100</f>
        <v>160</v>
      </c>
      <c r="I94" s="76">
        <f t="shared" si="8"/>
        <v>0</v>
      </c>
      <c r="J94" s="79">
        <v>100</v>
      </c>
      <c r="K94" s="79">
        <v>300</v>
      </c>
      <c r="L94" s="76">
        <f t="shared" si="11"/>
        <v>1150</v>
      </c>
      <c r="M94" s="87">
        <v>400</v>
      </c>
      <c r="N94" s="76">
        <f>100</f>
        <v>100</v>
      </c>
      <c r="O94" s="79">
        <v>240</v>
      </c>
      <c r="P94" s="79">
        <v>40</v>
      </c>
      <c r="Q94" s="79">
        <f t="shared" si="12"/>
        <v>315</v>
      </c>
      <c r="R94" s="79">
        <f t="shared" si="13"/>
        <v>100</v>
      </c>
      <c r="S94" s="76">
        <f t="shared" si="14"/>
        <v>695</v>
      </c>
      <c r="T94" s="76">
        <f>50</f>
        <v>50</v>
      </c>
      <c r="U94" s="77"/>
      <c r="V94" s="77"/>
      <c r="W94" s="77"/>
      <c r="X94" s="77"/>
      <c r="Y94" s="77"/>
      <c r="Z94" s="77"/>
      <c r="AA94" s="77"/>
      <c r="AB94" s="77"/>
      <c r="AC94" s="77"/>
      <c r="AD94" s="77"/>
    </row>
    <row r="95" spans="1:30" ht="15.75" x14ac:dyDescent="0.25">
      <c r="A95" s="13">
        <v>43800</v>
      </c>
      <c r="B95" s="90">
        <v>31</v>
      </c>
      <c r="C95" s="76">
        <f>122.58</f>
        <v>122.58</v>
      </c>
      <c r="D95" s="76">
        <f>297.941</f>
        <v>297.94099999999997</v>
      </c>
      <c r="E95" s="85">
        <f>89.177</f>
        <v>89.177000000000007</v>
      </c>
      <c r="F95" s="76">
        <f>240.302-40-60-100</f>
        <v>40.301999999999992</v>
      </c>
      <c r="G95" s="79">
        <v>40</v>
      </c>
      <c r="H95" s="76">
        <f>60+100</f>
        <v>160</v>
      </c>
      <c r="I95" s="76">
        <f t="shared" si="8"/>
        <v>0</v>
      </c>
      <c r="J95" s="79">
        <v>100</v>
      </c>
      <c r="K95" s="79">
        <v>300</v>
      </c>
      <c r="L95" s="76">
        <f t="shared" si="11"/>
        <v>1150</v>
      </c>
      <c r="M95" s="87">
        <v>400</v>
      </c>
      <c r="N95" s="76">
        <f>100</f>
        <v>100</v>
      </c>
      <c r="O95" s="79">
        <v>240</v>
      </c>
      <c r="P95" s="79">
        <v>40</v>
      </c>
      <c r="Q95" s="79">
        <f t="shared" si="12"/>
        <v>315</v>
      </c>
      <c r="R95" s="79">
        <f t="shared" si="13"/>
        <v>100</v>
      </c>
      <c r="S95" s="76">
        <f t="shared" si="14"/>
        <v>695</v>
      </c>
      <c r="T95" s="76">
        <f>50</f>
        <v>50</v>
      </c>
      <c r="U95" s="77"/>
      <c r="V95" s="77"/>
      <c r="W95" s="77"/>
      <c r="X95" s="77"/>
      <c r="Y95" s="77"/>
      <c r="Z95" s="77"/>
      <c r="AA95" s="77"/>
      <c r="AB95" s="77"/>
      <c r="AC95" s="77"/>
      <c r="AD95" s="77"/>
    </row>
    <row r="96" spans="1:30" ht="15.75" x14ac:dyDescent="0.25">
      <c r="A96" s="13">
        <v>43831</v>
      </c>
      <c r="B96" s="90">
        <v>31</v>
      </c>
      <c r="C96" s="76">
        <f>122.58</f>
        <v>122.58</v>
      </c>
      <c r="D96" s="76">
        <f>297.941</f>
        <v>297.94099999999997</v>
      </c>
      <c r="E96" s="85">
        <f>89.177</f>
        <v>89.177000000000007</v>
      </c>
      <c r="F96" s="76">
        <f>240.302-40-60-100</f>
        <v>40.301999999999992</v>
      </c>
      <c r="G96" s="79">
        <v>40</v>
      </c>
      <c r="H96" s="76">
        <f>60+100</f>
        <v>160</v>
      </c>
      <c r="I96" s="76">
        <f t="shared" si="8"/>
        <v>0</v>
      </c>
      <c r="J96" s="79">
        <v>100</v>
      </c>
      <c r="K96" s="79">
        <v>300</v>
      </c>
      <c r="L96" s="76">
        <f t="shared" si="11"/>
        <v>1150</v>
      </c>
      <c r="M96" s="87">
        <v>400</v>
      </c>
      <c r="N96" s="76">
        <f>100</f>
        <v>100</v>
      </c>
      <c r="O96" s="79">
        <v>240</v>
      </c>
      <c r="P96" s="79">
        <v>40</v>
      </c>
      <c r="Q96" s="79">
        <f t="shared" si="12"/>
        <v>315</v>
      </c>
      <c r="R96" s="79">
        <f t="shared" si="13"/>
        <v>100</v>
      </c>
      <c r="S96" s="76">
        <f t="shared" si="14"/>
        <v>695</v>
      </c>
      <c r="T96" s="76">
        <f>50</f>
        <v>50</v>
      </c>
      <c r="U96" s="77"/>
      <c r="V96" s="77"/>
      <c r="W96" s="77"/>
      <c r="X96" s="77"/>
      <c r="Y96" s="77"/>
      <c r="Z96" s="77"/>
      <c r="AA96" s="77"/>
      <c r="AB96" s="77"/>
      <c r="AC96" s="77"/>
      <c r="AD96" s="77"/>
    </row>
    <row r="97" spans="1:30" ht="15.75" x14ac:dyDescent="0.25">
      <c r="A97" s="13">
        <v>43862</v>
      </c>
      <c r="B97" s="90">
        <v>29</v>
      </c>
      <c r="C97" s="76">
        <f>122.58</f>
        <v>122.58</v>
      </c>
      <c r="D97" s="76">
        <f>297.941</f>
        <v>297.94099999999997</v>
      </c>
      <c r="E97" s="85">
        <f>89.177</f>
        <v>89.177000000000007</v>
      </c>
      <c r="F97" s="76">
        <f>240.302-40-60-100</f>
        <v>40.301999999999992</v>
      </c>
      <c r="G97" s="79">
        <v>40</v>
      </c>
      <c r="H97" s="76">
        <f>60+100</f>
        <v>160</v>
      </c>
      <c r="I97" s="76">
        <f t="shared" si="8"/>
        <v>0</v>
      </c>
      <c r="J97" s="79">
        <v>100</v>
      </c>
      <c r="K97" s="79">
        <v>300</v>
      </c>
      <c r="L97" s="76">
        <f t="shared" si="11"/>
        <v>1150</v>
      </c>
      <c r="M97" s="87">
        <v>400</v>
      </c>
      <c r="N97" s="76">
        <f>100</f>
        <v>100</v>
      </c>
      <c r="O97" s="79">
        <v>240</v>
      </c>
      <c r="P97" s="79">
        <v>40</v>
      </c>
      <c r="Q97" s="79">
        <f t="shared" si="12"/>
        <v>315</v>
      </c>
      <c r="R97" s="79">
        <f t="shared" si="13"/>
        <v>100</v>
      </c>
      <c r="S97" s="76">
        <f t="shared" si="14"/>
        <v>695</v>
      </c>
      <c r="T97" s="76">
        <f>50</f>
        <v>50</v>
      </c>
      <c r="U97" s="77"/>
      <c r="V97" s="77"/>
      <c r="W97" s="77"/>
      <c r="X97" s="77"/>
      <c r="Y97" s="77"/>
      <c r="Z97" s="77"/>
      <c r="AA97" s="77"/>
      <c r="AB97" s="77"/>
      <c r="AC97" s="77"/>
      <c r="AD97" s="77"/>
    </row>
    <row r="98" spans="1:30" ht="15.75" x14ac:dyDescent="0.25">
      <c r="A98" s="13">
        <v>43891</v>
      </c>
      <c r="B98" s="90">
        <v>31</v>
      </c>
      <c r="C98" s="76">
        <f>122.58</f>
        <v>122.58</v>
      </c>
      <c r="D98" s="76">
        <f>297.941</f>
        <v>297.94099999999997</v>
      </c>
      <c r="E98" s="85">
        <f>89.177</f>
        <v>89.177000000000007</v>
      </c>
      <c r="F98" s="76">
        <f>240.302-40-60-100</f>
        <v>40.301999999999992</v>
      </c>
      <c r="G98" s="79">
        <v>40</v>
      </c>
      <c r="H98" s="76">
        <f>60+100</f>
        <v>160</v>
      </c>
      <c r="I98" s="76">
        <f t="shared" si="8"/>
        <v>0</v>
      </c>
      <c r="J98" s="79">
        <v>100</v>
      </c>
      <c r="K98" s="79">
        <v>300</v>
      </c>
      <c r="L98" s="76">
        <f t="shared" si="11"/>
        <v>1150</v>
      </c>
      <c r="M98" s="87">
        <v>400</v>
      </c>
      <c r="N98" s="76">
        <f>100</f>
        <v>100</v>
      </c>
      <c r="O98" s="79">
        <v>240</v>
      </c>
      <c r="P98" s="79">
        <v>40</v>
      </c>
      <c r="Q98" s="79">
        <f t="shared" si="12"/>
        <v>315</v>
      </c>
      <c r="R98" s="79">
        <f t="shared" si="13"/>
        <v>100</v>
      </c>
      <c r="S98" s="76">
        <f t="shared" si="14"/>
        <v>695</v>
      </c>
      <c r="T98" s="76">
        <f>50</f>
        <v>50</v>
      </c>
      <c r="U98" s="77"/>
      <c r="V98" s="77"/>
      <c r="W98" s="77"/>
      <c r="X98" s="77"/>
      <c r="Y98" s="77"/>
      <c r="Z98" s="77"/>
      <c r="AA98" s="77"/>
      <c r="AB98" s="77"/>
      <c r="AC98" s="77"/>
      <c r="AD98" s="77"/>
    </row>
    <row r="99" spans="1:30" ht="15.75" x14ac:dyDescent="0.25">
      <c r="A99" s="13">
        <v>43922</v>
      </c>
      <c r="B99" s="90">
        <v>30</v>
      </c>
      <c r="C99" s="76">
        <f>141.293</f>
        <v>141.29300000000001</v>
      </c>
      <c r="D99" s="76">
        <f>267.993</f>
        <v>267.99299999999999</v>
      </c>
      <c r="E99" s="85">
        <f>115.016</f>
        <v>115.01600000000001</v>
      </c>
      <c r="F99" s="76">
        <f>314.698-40-25-60-100</f>
        <v>89.697999999999979</v>
      </c>
      <c r="G99" s="79">
        <v>40</v>
      </c>
      <c r="H99" s="76">
        <f t="shared" ref="H99:H105" si="16">25+60+100</f>
        <v>185</v>
      </c>
      <c r="I99" s="76">
        <f t="shared" si="8"/>
        <v>0</v>
      </c>
      <c r="J99" s="79">
        <v>100</v>
      </c>
      <c r="K99" s="79">
        <v>300</v>
      </c>
      <c r="L99" s="76">
        <f t="shared" si="11"/>
        <v>1239</v>
      </c>
      <c r="M99" s="87">
        <v>400</v>
      </c>
      <c r="N99" s="76">
        <f>100</f>
        <v>100</v>
      </c>
      <c r="O99" s="79">
        <v>240</v>
      </c>
      <c r="P99" s="79">
        <v>160</v>
      </c>
      <c r="Q99" s="79">
        <f t="shared" si="12"/>
        <v>195</v>
      </c>
      <c r="R99" s="79">
        <f t="shared" si="13"/>
        <v>100</v>
      </c>
      <c r="S99" s="76">
        <f t="shared" si="14"/>
        <v>695</v>
      </c>
      <c r="T99" s="76">
        <f>50</f>
        <v>50</v>
      </c>
      <c r="U99" s="77"/>
      <c r="V99" s="77"/>
      <c r="W99" s="77"/>
      <c r="X99" s="77"/>
      <c r="Y99" s="77"/>
      <c r="Z99" s="77"/>
      <c r="AA99" s="77"/>
      <c r="AB99" s="77"/>
      <c r="AC99" s="77"/>
      <c r="AD99" s="77"/>
    </row>
    <row r="100" spans="1:30" ht="15.75" x14ac:dyDescent="0.25">
      <c r="A100" s="13">
        <v>43952</v>
      </c>
      <c r="B100" s="90">
        <v>31</v>
      </c>
      <c r="C100" s="76">
        <f>194.205</f>
        <v>194.20500000000001</v>
      </c>
      <c r="D100" s="76">
        <f>267.466</f>
        <v>267.46600000000001</v>
      </c>
      <c r="E100" s="85">
        <f>133.845</f>
        <v>133.845</v>
      </c>
      <c r="F100" s="76">
        <f>278.484-40-25-60-100</f>
        <v>53.48399999999998</v>
      </c>
      <c r="G100" s="79">
        <v>40</v>
      </c>
      <c r="H100" s="76">
        <f t="shared" si="16"/>
        <v>185</v>
      </c>
      <c r="I100" s="76">
        <f t="shared" si="8"/>
        <v>0</v>
      </c>
      <c r="J100" s="79">
        <v>100</v>
      </c>
      <c r="K100" s="79">
        <v>300</v>
      </c>
      <c r="L100" s="76">
        <f t="shared" si="11"/>
        <v>1274</v>
      </c>
      <c r="M100" s="87">
        <v>600</v>
      </c>
      <c r="N100" s="76">
        <f>75</f>
        <v>75</v>
      </c>
      <c r="O100" s="79">
        <v>240</v>
      </c>
      <c r="P100" s="79">
        <v>160</v>
      </c>
      <c r="Q100" s="79">
        <f t="shared" si="12"/>
        <v>195</v>
      </c>
      <c r="R100" s="79">
        <f t="shared" si="13"/>
        <v>100</v>
      </c>
      <c r="S100" s="76">
        <f t="shared" si="14"/>
        <v>695</v>
      </c>
      <c r="T100" s="76">
        <f>50</f>
        <v>50</v>
      </c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</row>
    <row r="101" spans="1:30" ht="15.75" x14ac:dyDescent="0.25">
      <c r="A101" s="13">
        <v>43983</v>
      </c>
      <c r="B101" s="90">
        <v>30</v>
      </c>
      <c r="C101" s="76">
        <f>194.205</f>
        <v>194.20500000000001</v>
      </c>
      <c r="D101" s="76">
        <f>267.466</f>
        <v>267.46600000000001</v>
      </c>
      <c r="E101" s="85">
        <f>133.845</f>
        <v>133.845</v>
      </c>
      <c r="F101" s="76">
        <f>278.484-40-25-60-100</f>
        <v>53.48399999999998</v>
      </c>
      <c r="G101" s="79">
        <v>40</v>
      </c>
      <c r="H101" s="76">
        <f t="shared" si="16"/>
        <v>185</v>
      </c>
      <c r="I101" s="76">
        <f t="shared" si="8"/>
        <v>0</v>
      </c>
      <c r="J101" s="79">
        <v>100</v>
      </c>
      <c r="K101" s="79">
        <v>300</v>
      </c>
      <c r="L101" s="76">
        <f t="shared" si="11"/>
        <v>1274</v>
      </c>
      <c r="M101" s="87">
        <v>600</v>
      </c>
      <c r="N101" s="76">
        <f>30</f>
        <v>30</v>
      </c>
      <c r="O101" s="79">
        <v>240</v>
      </c>
      <c r="P101" s="79">
        <v>160</v>
      </c>
      <c r="Q101" s="79">
        <f t="shared" si="12"/>
        <v>195</v>
      </c>
      <c r="R101" s="79">
        <f t="shared" si="13"/>
        <v>100</v>
      </c>
      <c r="S101" s="76">
        <f t="shared" si="14"/>
        <v>695</v>
      </c>
      <c r="T101" s="76">
        <f>50</f>
        <v>50</v>
      </c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</row>
    <row r="102" spans="1:30" ht="15.75" x14ac:dyDescent="0.25">
      <c r="A102" s="13">
        <v>44013</v>
      </c>
      <c r="B102" s="90">
        <v>31</v>
      </c>
      <c r="C102" s="76">
        <f>194.205</f>
        <v>194.20500000000001</v>
      </c>
      <c r="D102" s="76">
        <f>267.466</f>
        <v>267.46600000000001</v>
      </c>
      <c r="E102" s="85">
        <f>133.845</f>
        <v>133.845</v>
      </c>
      <c r="F102" s="76">
        <f>278.484-40-25-60-100</f>
        <v>53.48399999999998</v>
      </c>
      <c r="G102" s="79">
        <v>40</v>
      </c>
      <c r="H102" s="76">
        <f t="shared" si="16"/>
        <v>185</v>
      </c>
      <c r="I102" s="76">
        <f t="shared" si="8"/>
        <v>0</v>
      </c>
      <c r="J102" s="79">
        <v>100</v>
      </c>
      <c r="K102" s="79">
        <v>300</v>
      </c>
      <c r="L102" s="76">
        <f t="shared" si="11"/>
        <v>1274</v>
      </c>
      <c r="M102" s="87">
        <v>600</v>
      </c>
      <c r="N102" s="76">
        <f>30</f>
        <v>30</v>
      </c>
      <c r="O102" s="79">
        <v>240</v>
      </c>
      <c r="P102" s="79">
        <v>160</v>
      </c>
      <c r="Q102" s="79">
        <f t="shared" si="12"/>
        <v>195</v>
      </c>
      <c r="R102" s="79">
        <f t="shared" si="13"/>
        <v>100</v>
      </c>
      <c r="S102" s="76">
        <f t="shared" si="14"/>
        <v>695</v>
      </c>
      <c r="T102" s="76">
        <f>0</f>
        <v>0</v>
      </c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</row>
    <row r="103" spans="1:30" ht="15.75" x14ac:dyDescent="0.25">
      <c r="A103" s="13">
        <v>44044</v>
      </c>
      <c r="B103" s="90">
        <v>31</v>
      </c>
      <c r="C103" s="76">
        <f>194.205</f>
        <v>194.20500000000001</v>
      </c>
      <c r="D103" s="76">
        <f>267.466</f>
        <v>267.46600000000001</v>
      </c>
      <c r="E103" s="85">
        <f>133.845</f>
        <v>133.845</v>
      </c>
      <c r="F103" s="76">
        <f>278.484-40-25-60-100</f>
        <v>53.48399999999998</v>
      </c>
      <c r="G103" s="79">
        <v>40</v>
      </c>
      <c r="H103" s="76">
        <f t="shared" si="16"/>
        <v>185</v>
      </c>
      <c r="I103" s="76">
        <f t="shared" si="8"/>
        <v>0</v>
      </c>
      <c r="J103" s="79">
        <v>100</v>
      </c>
      <c r="K103" s="79">
        <v>300</v>
      </c>
      <c r="L103" s="76">
        <f t="shared" si="11"/>
        <v>1274</v>
      </c>
      <c r="M103" s="87">
        <v>600</v>
      </c>
      <c r="N103" s="76">
        <f>30</f>
        <v>30</v>
      </c>
      <c r="O103" s="79">
        <v>240</v>
      </c>
      <c r="P103" s="79">
        <v>160</v>
      </c>
      <c r="Q103" s="79">
        <f t="shared" si="12"/>
        <v>195</v>
      </c>
      <c r="R103" s="79">
        <f t="shared" si="13"/>
        <v>100</v>
      </c>
      <c r="S103" s="76">
        <f t="shared" si="14"/>
        <v>695</v>
      </c>
      <c r="T103" s="76">
        <f>0</f>
        <v>0</v>
      </c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</row>
    <row r="104" spans="1:30" ht="15.75" x14ac:dyDescent="0.25">
      <c r="A104" s="13">
        <v>44075</v>
      </c>
      <c r="B104" s="90">
        <v>30</v>
      </c>
      <c r="C104" s="76">
        <f>194.205</f>
        <v>194.20500000000001</v>
      </c>
      <c r="D104" s="76">
        <f>267.466</f>
        <v>267.46600000000001</v>
      </c>
      <c r="E104" s="85">
        <f>133.845</f>
        <v>133.845</v>
      </c>
      <c r="F104" s="76">
        <f>278.484-40-25-60-100</f>
        <v>53.48399999999998</v>
      </c>
      <c r="G104" s="79">
        <v>40</v>
      </c>
      <c r="H104" s="76">
        <f t="shared" si="16"/>
        <v>185</v>
      </c>
      <c r="I104" s="76">
        <f t="shared" si="8"/>
        <v>0</v>
      </c>
      <c r="J104" s="79">
        <v>100</v>
      </c>
      <c r="K104" s="79">
        <v>300</v>
      </c>
      <c r="L104" s="76">
        <f t="shared" si="11"/>
        <v>1274</v>
      </c>
      <c r="M104" s="87">
        <v>600</v>
      </c>
      <c r="N104" s="76">
        <f>30</f>
        <v>30</v>
      </c>
      <c r="O104" s="79">
        <v>240</v>
      </c>
      <c r="P104" s="79">
        <v>160</v>
      </c>
      <c r="Q104" s="79">
        <f t="shared" si="12"/>
        <v>195</v>
      </c>
      <c r="R104" s="79">
        <f t="shared" si="13"/>
        <v>100</v>
      </c>
      <c r="S104" s="76">
        <f t="shared" si="14"/>
        <v>695</v>
      </c>
      <c r="T104" s="76">
        <f>0</f>
        <v>0</v>
      </c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</row>
    <row r="105" spans="1:30" ht="15.75" x14ac:dyDescent="0.25">
      <c r="A105" s="13">
        <v>44105</v>
      </c>
      <c r="B105" s="90">
        <v>31</v>
      </c>
      <c r="C105" s="76">
        <f>131.881</f>
        <v>131.881</v>
      </c>
      <c r="D105" s="76">
        <f>277.167</f>
        <v>277.16699999999997</v>
      </c>
      <c r="E105" s="85">
        <f>79.08</f>
        <v>79.08</v>
      </c>
      <c r="F105" s="76">
        <f>350.872-40-25-60-100</f>
        <v>125.87200000000001</v>
      </c>
      <c r="G105" s="79">
        <v>40</v>
      </c>
      <c r="H105" s="76">
        <f t="shared" si="16"/>
        <v>185</v>
      </c>
      <c r="I105" s="76">
        <f t="shared" si="8"/>
        <v>0</v>
      </c>
      <c r="J105" s="79">
        <v>100</v>
      </c>
      <c r="K105" s="79">
        <v>300</v>
      </c>
      <c r="L105" s="76">
        <f t="shared" si="11"/>
        <v>1239</v>
      </c>
      <c r="M105" s="87">
        <v>600</v>
      </c>
      <c r="N105" s="76">
        <f>75</f>
        <v>75</v>
      </c>
      <c r="O105" s="79">
        <v>240</v>
      </c>
      <c r="P105" s="79">
        <v>160</v>
      </c>
      <c r="Q105" s="79">
        <f t="shared" si="12"/>
        <v>195</v>
      </c>
      <c r="R105" s="79">
        <f t="shared" si="13"/>
        <v>100</v>
      </c>
      <c r="S105" s="76">
        <f t="shared" si="14"/>
        <v>695</v>
      </c>
      <c r="T105" s="76">
        <f>0</f>
        <v>0</v>
      </c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</row>
    <row r="106" spans="1:30" ht="15.75" x14ac:dyDescent="0.25">
      <c r="A106" s="13">
        <v>44136</v>
      </c>
      <c r="B106" s="90">
        <v>30</v>
      </c>
      <c r="C106" s="76">
        <f>122.58</f>
        <v>122.58</v>
      </c>
      <c r="D106" s="76">
        <f>297.941</f>
        <v>297.94099999999997</v>
      </c>
      <c r="E106" s="85">
        <f>89.177</f>
        <v>89.177000000000007</v>
      </c>
      <c r="F106" s="76">
        <f>240.302-40-60-100</f>
        <v>40.301999999999992</v>
      </c>
      <c r="G106" s="79">
        <v>40</v>
      </c>
      <c r="H106" s="76">
        <f>60+100</f>
        <v>160</v>
      </c>
      <c r="I106" s="76">
        <f t="shared" si="8"/>
        <v>0</v>
      </c>
      <c r="J106" s="79">
        <v>100</v>
      </c>
      <c r="K106" s="79">
        <v>300</v>
      </c>
      <c r="L106" s="76">
        <f t="shared" si="11"/>
        <v>1150</v>
      </c>
      <c r="M106" s="87">
        <v>600</v>
      </c>
      <c r="N106" s="76">
        <f>100</f>
        <v>100</v>
      </c>
      <c r="O106" s="79">
        <v>240</v>
      </c>
      <c r="P106" s="79">
        <v>40</v>
      </c>
      <c r="Q106" s="79">
        <f t="shared" si="12"/>
        <v>315</v>
      </c>
      <c r="R106" s="79">
        <f t="shared" si="13"/>
        <v>100</v>
      </c>
      <c r="S106" s="76">
        <f t="shared" si="14"/>
        <v>695</v>
      </c>
      <c r="T106" s="76">
        <f>50</f>
        <v>50</v>
      </c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 ht="15.75" x14ac:dyDescent="0.25">
      <c r="A107" s="13">
        <v>44166</v>
      </c>
      <c r="B107" s="90">
        <v>31</v>
      </c>
      <c r="C107" s="76">
        <f>122.58</f>
        <v>122.58</v>
      </c>
      <c r="D107" s="76">
        <f>297.941</f>
        <v>297.94099999999997</v>
      </c>
      <c r="E107" s="85">
        <f>89.177</f>
        <v>89.177000000000007</v>
      </c>
      <c r="F107" s="76">
        <f>240.302-40-60-100</f>
        <v>40.301999999999992</v>
      </c>
      <c r="G107" s="79">
        <v>40</v>
      </c>
      <c r="H107" s="76">
        <f>60+100</f>
        <v>160</v>
      </c>
      <c r="I107" s="76">
        <f t="shared" si="8"/>
        <v>0</v>
      </c>
      <c r="J107" s="79">
        <v>100</v>
      </c>
      <c r="K107" s="79">
        <v>300</v>
      </c>
      <c r="L107" s="76">
        <f t="shared" si="11"/>
        <v>1150</v>
      </c>
      <c r="M107" s="87">
        <v>600</v>
      </c>
      <c r="N107" s="76">
        <f>100</f>
        <v>100</v>
      </c>
      <c r="O107" s="79">
        <v>240</v>
      </c>
      <c r="P107" s="79">
        <v>40</v>
      </c>
      <c r="Q107" s="79">
        <f t="shared" si="12"/>
        <v>315</v>
      </c>
      <c r="R107" s="79">
        <f t="shared" si="13"/>
        <v>100</v>
      </c>
      <c r="S107" s="76">
        <f t="shared" si="14"/>
        <v>695</v>
      </c>
      <c r="T107" s="76">
        <f>50</f>
        <v>50</v>
      </c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 ht="15.75" x14ac:dyDescent="0.25">
      <c r="A108" s="13">
        <v>44197</v>
      </c>
      <c r="B108" s="90">
        <v>31</v>
      </c>
      <c r="C108" s="76">
        <f>122.58</f>
        <v>122.58</v>
      </c>
      <c r="D108" s="76">
        <f>297.941</f>
        <v>297.94099999999997</v>
      </c>
      <c r="E108" s="85">
        <f>89.177</f>
        <v>89.177000000000007</v>
      </c>
      <c r="F108" s="76">
        <f>240.302-40-60-100</f>
        <v>40.301999999999992</v>
      </c>
      <c r="G108" s="79">
        <v>40</v>
      </c>
      <c r="H108" s="76">
        <f>60+100</f>
        <v>160</v>
      </c>
      <c r="I108" s="76">
        <f t="shared" si="8"/>
        <v>0</v>
      </c>
      <c r="J108" s="79">
        <v>100</v>
      </c>
      <c r="K108" s="79">
        <v>300</v>
      </c>
      <c r="L108" s="76">
        <f t="shared" si="11"/>
        <v>1150</v>
      </c>
      <c r="M108" s="87">
        <v>600</v>
      </c>
      <c r="N108" s="76">
        <f>100</f>
        <v>100</v>
      </c>
      <c r="O108" s="79">
        <v>240</v>
      </c>
      <c r="P108" s="79">
        <v>40</v>
      </c>
      <c r="Q108" s="79">
        <f t="shared" si="12"/>
        <v>315</v>
      </c>
      <c r="R108" s="79">
        <f t="shared" si="13"/>
        <v>100</v>
      </c>
      <c r="S108" s="76">
        <f t="shared" si="14"/>
        <v>695</v>
      </c>
      <c r="T108" s="76">
        <f>50</f>
        <v>50</v>
      </c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 ht="15.75" x14ac:dyDescent="0.25">
      <c r="A109" s="13">
        <v>44228</v>
      </c>
      <c r="B109" s="90">
        <v>28</v>
      </c>
      <c r="C109" s="76">
        <f>122.58</f>
        <v>122.58</v>
      </c>
      <c r="D109" s="76">
        <f>297.941</f>
        <v>297.94099999999997</v>
      </c>
      <c r="E109" s="85">
        <f>89.177</f>
        <v>89.177000000000007</v>
      </c>
      <c r="F109" s="76">
        <f>240.302-40-60-100</f>
        <v>40.301999999999992</v>
      </c>
      <c r="G109" s="79">
        <v>40</v>
      </c>
      <c r="H109" s="76">
        <f>60+100</f>
        <v>160</v>
      </c>
      <c r="I109" s="76">
        <f t="shared" si="8"/>
        <v>0</v>
      </c>
      <c r="J109" s="79">
        <v>100</v>
      </c>
      <c r="K109" s="79">
        <v>300</v>
      </c>
      <c r="L109" s="76">
        <f t="shared" si="11"/>
        <v>1150</v>
      </c>
      <c r="M109" s="87">
        <v>600</v>
      </c>
      <c r="N109" s="76">
        <f>100</f>
        <v>100</v>
      </c>
      <c r="O109" s="79">
        <v>240</v>
      </c>
      <c r="P109" s="79">
        <v>40</v>
      </c>
      <c r="Q109" s="79">
        <f t="shared" si="12"/>
        <v>315</v>
      </c>
      <c r="R109" s="79">
        <f t="shared" si="13"/>
        <v>100</v>
      </c>
      <c r="S109" s="76">
        <f t="shared" si="14"/>
        <v>695</v>
      </c>
      <c r="T109" s="76">
        <f>50</f>
        <v>50</v>
      </c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 ht="15.75" x14ac:dyDescent="0.25">
      <c r="A110" s="13">
        <v>44256</v>
      </c>
      <c r="B110" s="90">
        <v>31</v>
      </c>
      <c r="C110" s="76">
        <f>122.58</f>
        <v>122.58</v>
      </c>
      <c r="D110" s="76">
        <f>297.941</f>
        <v>297.94099999999997</v>
      </c>
      <c r="E110" s="85">
        <f>89.177</f>
        <v>89.177000000000007</v>
      </c>
      <c r="F110" s="76">
        <f>240.302-40-60-100</f>
        <v>40.301999999999992</v>
      </c>
      <c r="G110" s="79">
        <v>40</v>
      </c>
      <c r="H110" s="76">
        <f>60+100</f>
        <v>160</v>
      </c>
      <c r="I110" s="76">
        <f t="shared" si="8"/>
        <v>0</v>
      </c>
      <c r="J110" s="79">
        <v>100</v>
      </c>
      <c r="K110" s="79">
        <v>300</v>
      </c>
      <c r="L110" s="76">
        <f t="shared" si="11"/>
        <v>1150</v>
      </c>
      <c r="M110" s="87">
        <v>600</v>
      </c>
      <c r="N110" s="76">
        <f>100</f>
        <v>100</v>
      </c>
      <c r="O110" s="79">
        <v>240</v>
      </c>
      <c r="P110" s="79">
        <v>40</v>
      </c>
      <c r="Q110" s="79">
        <f t="shared" si="12"/>
        <v>315</v>
      </c>
      <c r="R110" s="79">
        <f t="shared" si="13"/>
        <v>100</v>
      </c>
      <c r="S110" s="76">
        <f t="shared" si="14"/>
        <v>695</v>
      </c>
      <c r="T110" s="76">
        <f>50</f>
        <v>50</v>
      </c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 ht="15.75" x14ac:dyDescent="0.25">
      <c r="A111" s="13">
        <v>44287</v>
      </c>
      <c r="B111" s="90">
        <v>30</v>
      </c>
      <c r="C111" s="76">
        <f>141.293</f>
        <v>141.29300000000001</v>
      </c>
      <c r="D111" s="76">
        <f>267.993</f>
        <v>267.99299999999999</v>
      </c>
      <c r="E111" s="85">
        <f>115.016</f>
        <v>115.01600000000001</v>
      </c>
      <c r="F111" s="76">
        <f>314.698-40-25-60-100</f>
        <v>89.697999999999979</v>
      </c>
      <c r="G111" s="79">
        <v>40</v>
      </c>
      <c r="H111" s="76">
        <f t="shared" ref="H111:H117" si="17">25+60+100</f>
        <v>185</v>
      </c>
      <c r="I111" s="76">
        <f t="shared" si="8"/>
        <v>0</v>
      </c>
      <c r="J111" s="79">
        <v>100</v>
      </c>
      <c r="K111" s="79">
        <v>300</v>
      </c>
      <c r="L111" s="76">
        <f t="shared" si="11"/>
        <v>1239</v>
      </c>
      <c r="M111" s="87">
        <v>600</v>
      </c>
      <c r="N111" s="76">
        <f>100</f>
        <v>100</v>
      </c>
      <c r="O111" s="79">
        <v>240</v>
      </c>
      <c r="P111" s="79">
        <v>160</v>
      </c>
      <c r="Q111" s="79">
        <f t="shared" si="12"/>
        <v>195</v>
      </c>
      <c r="R111" s="79">
        <f t="shared" si="13"/>
        <v>100</v>
      </c>
      <c r="S111" s="76">
        <f t="shared" si="14"/>
        <v>695</v>
      </c>
      <c r="T111" s="76">
        <f>50</f>
        <v>50</v>
      </c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 ht="15.75" x14ac:dyDescent="0.25">
      <c r="A112" s="13">
        <v>44317</v>
      </c>
      <c r="B112" s="90">
        <v>31</v>
      </c>
      <c r="C112" s="76">
        <f>194.205</f>
        <v>194.20500000000001</v>
      </c>
      <c r="D112" s="76">
        <f>267.466</f>
        <v>267.46600000000001</v>
      </c>
      <c r="E112" s="85">
        <f>133.845</f>
        <v>133.845</v>
      </c>
      <c r="F112" s="76">
        <f>278.484-40-25-60-100</f>
        <v>53.48399999999998</v>
      </c>
      <c r="G112" s="79">
        <v>40</v>
      </c>
      <c r="H112" s="76">
        <f t="shared" si="17"/>
        <v>185</v>
      </c>
      <c r="I112" s="76">
        <f t="shared" si="8"/>
        <v>0</v>
      </c>
      <c r="J112" s="79">
        <v>100</v>
      </c>
      <c r="K112" s="79">
        <v>300</v>
      </c>
      <c r="L112" s="76">
        <f t="shared" si="11"/>
        <v>1274</v>
      </c>
      <c r="M112" s="87">
        <v>600</v>
      </c>
      <c r="N112" s="76">
        <f>75</f>
        <v>75</v>
      </c>
      <c r="O112" s="79">
        <v>240</v>
      </c>
      <c r="P112" s="79">
        <v>160</v>
      </c>
      <c r="Q112" s="79">
        <f t="shared" si="12"/>
        <v>195</v>
      </c>
      <c r="R112" s="79">
        <f t="shared" si="13"/>
        <v>100</v>
      </c>
      <c r="S112" s="76">
        <f t="shared" si="14"/>
        <v>695</v>
      </c>
      <c r="T112" s="76">
        <f>50</f>
        <v>50</v>
      </c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 ht="15.75" x14ac:dyDescent="0.25">
      <c r="A113" s="13">
        <v>44348</v>
      </c>
      <c r="B113" s="90">
        <v>30</v>
      </c>
      <c r="C113" s="76">
        <f>194.205</f>
        <v>194.20500000000001</v>
      </c>
      <c r="D113" s="76">
        <f>267.466</f>
        <v>267.46600000000001</v>
      </c>
      <c r="E113" s="85">
        <f>133.845</f>
        <v>133.845</v>
      </c>
      <c r="F113" s="76">
        <f>278.484-40-25-60-100</f>
        <v>53.48399999999998</v>
      </c>
      <c r="G113" s="79">
        <v>40</v>
      </c>
      <c r="H113" s="76">
        <f t="shared" si="17"/>
        <v>185</v>
      </c>
      <c r="I113" s="76">
        <f t="shared" si="8"/>
        <v>0</v>
      </c>
      <c r="J113" s="79">
        <v>100</v>
      </c>
      <c r="K113" s="79">
        <v>300</v>
      </c>
      <c r="L113" s="76">
        <f t="shared" si="11"/>
        <v>1274</v>
      </c>
      <c r="M113" s="87">
        <v>600</v>
      </c>
      <c r="N113" s="76">
        <f>30</f>
        <v>30</v>
      </c>
      <c r="O113" s="79">
        <v>240</v>
      </c>
      <c r="P113" s="79">
        <v>160</v>
      </c>
      <c r="Q113" s="79">
        <f t="shared" si="12"/>
        <v>195</v>
      </c>
      <c r="R113" s="79">
        <f t="shared" si="13"/>
        <v>100</v>
      </c>
      <c r="S113" s="76">
        <f t="shared" si="14"/>
        <v>695</v>
      </c>
      <c r="T113" s="76">
        <f>50</f>
        <v>50</v>
      </c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 ht="15.75" x14ac:dyDescent="0.25">
      <c r="A114" s="13">
        <v>44378</v>
      </c>
      <c r="B114" s="90">
        <v>31</v>
      </c>
      <c r="C114" s="76">
        <f>194.205</f>
        <v>194.20500000000001</v>
      </c>
      <c r="D114" s="76">
        <f>267.466</f>
        <v>267.46600000000001</v>
      </c>
      <c r="E114" s="85">
        <f>133.845</f>
        <v>133.845</v>
      </c>
      <c r="F114" s="76">
        <f>278.484-40-25-60-100</f>
        <v>53.48399999999998</v>
      </c>
      <c r="G114" s="79">
        <v>40</v>
      </c>
      <c r="H114" s="76">
        <f t="shared" si="17"/>
        <v>185</v>
      </c>
      <c r="I114" s="76">
        <f t="shared" si="8"/>
        <v>0</v>
      </c>
      <c r="J114" s="79">
        <v>100</v>
      </c>
      <c r="K114" s="79">
        <v>300</v>
      </c>
      <c r="L114" s="76">
        <f t="shared" si="11"/>
        <v>1274</v>
      </c>
      <c r="M114" s="87">
        <v>600</v>
      </c>
      <c r="N114" s="76">
        <f>30</f>
        <v>30</v>
      </c>
      <c r="O114" s="79">
        <v>240</v>
      </c>
      <c r="P114" s="79">
        <v>160</v>
      </c>
      <c r="Q114" s="79">
        <f t="shared" si="12"/>
        <v>195</v>
      </c>
      <c r="R114" s="79">
        <f t="shared" si="13"/>
        <v>100</v>
      </c>
      <c r="S114" s="76">
        <f t="shared" si="14"/>
        <v>695</v>
      </c>
      <c r="T114" s="76">
        <f>0</f>
        <v>0</v>
      </c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 ht="15.75" x14ac:dyDescent="0.25">
      <c r="A115" s="13">
        <v>44409</v>
      </c>
      <c r="B115" s="90">
        <v>31</v>
      </c>
      <c r="C115" s="76">
        <f>194.205</f>
        <v>194.20500000000001</v>
      </c>
      <c r="D115" s="76">
        <f>267.466</f>
        <v>267.46600000000001</v>
      </c>
      <c r="E115" s="85">
        <f>133.845</f>
        <v>133.845</v>
      </c>
      <c r="F115" s="76">
        <f>278.484-40-25-60-100</f>
        <v>53.48399999999998</v>
      </c>
      <c r="G115" s="79">
        <v>40</v>
      </c>
      <c r="H115" s="76">
        <f t="shared" si="17"/>
        <v>185</v>
      </c>
      <c r="I115" s="76">
        <f t="shared" si="8"/>
        <v>0</v>
      </c>
      <c r="J115" s="79">
        <v>100</v>
      </c>
      <c r="K115" s="79">
        <v>300</v>
      </c>
      <c r="L115" s="76">
        <f t="shared" si="11"/>
        <v>1274</v>
      </c>
      <c r="M115" s="87">
        <v>600</v>
      </c>
      <c r="N115" s="76">
        <f>30</f>
        <v>30</v>
      </c>
      <c r="O115" s="79">
        <v>240</v>
      </c>
      <c r="P115" s="79">
        <v>160</v>
      </c>
      <c r="Q115" s="79">
        <f t="shared" si="12"/>
        <v>195</v>
      </c>
      <c r="R115" s="79">
        <f t="shared" si="13"/>
        <v>100</v>
      </c>
      <c r="S115" s="76">
        <f t="shared" si="14"/>
        <v>695</v>
      </c>
      <c r="T115" s="76">
        <f>0</f>
        <v>0</v>
      </c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 ht="15.75" x14ac:dyDescent="0.25">
      <c r="A116" s="13">
        <v>44440</v>
      </c>
      <c r="B116" s="90">
        <v>30</v>
      </c>
      <c r="C116" s="76">
        <f>194.205</f>
        <v>194.20500000000001</v>
      </c>
      <c r="D116" s="76">
        <f>267.466</f>
        <v>267.46600000000001</v>
      </c>
      <c r="E116" s="85">
        <f>133.845</f>
        <v>133.845</v>
      </c>
      <c r="F116" s="76">
        <f>278.484-40-25-60-100</f>
        <v>53.48399999999998</v>
      </c>
      <c r="G116" s="79">
        <v>40</v>
      </c>
      <c r="H116" s="76">
        <f t="shared" si="17"/>
        <v>185</v>
      </c>
      <c r="I116" s="76">
        <f t="shared" ref="I116:I179" si="18">400-J116-K116</f>
        <v>0</v>
      </c>
      <c r="J116" s="79">
        <v>100</v>
      </c>
      <c r="K116" s="79">
        <v>300</v>
      </c>
      <c r="L116" s="76">
        <f t="shared" si="11"/>
        <v>1274</v>
      </c>
      <c r="M116" s="87">
        <v>600</v>
      </c>
      <c r="N116" s="76">
        <f>30</f>
        <v>30</v>
      </c>
      <c r="O116" s="79">
        <v>240</v>
      </c>
      <c r="P116" s="79">
        <v>160</v>
      </c>
      <c r="Q116" s="79">
        <f t="shared" si="12"/>
        <v>195</v>
      </c>
      <c r="R116" s="79">
        <f t="shared" si="13"/>
        <v>100</v>
      </c>
      <c r="S116" s="76">
        <f t="shared" si="14"/>
        <v>695</v>
      </c>
      <c r="T116" s="76">
        <f>0</f>
        <v>0</v>
      </c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 ht="15.75" x14ac:dyDescent="0.25">
      <c r="A117" s="13">
        <v>44470</v>
      </c>
      <c r="B117" s="90">
        <v>31</v>
      </c>
      <c r="C117" s="76">
        <f>131.881</f>
        <v>131.881</v>
      </c>
      <c r="D117" s="76">
        <f>277.167</f>
        <v>277.16699999999997</v>
      </c>
      <c r="E117" s="85">
        <f>79.08</f>
        <v>79.08</v>
      </c>
      <c r="F117" s="76">
        <f>350.872-40-25-60-100</f>
        <v>125.87200000000001</v>
      </c>
      <c r="G117" s="79">
        <v>40</v>
      </c>
      <c r="H117" s="76">
        <f t="shared" si="17"/>
        <v>185</v>
      </c>
      <c r="I117" s="76">
        <f t="shared" si="18"/>
        <v>0</v>
      </c>
      <c r="J117" s="79">
        <v>100</v>
      </c>
      <c r="K117" s="79">
        <v>300</v>
      </c>
      <c r="L117" s="76">
        <f t="shared" si="11"/>
        <v>1239</v>
      </c>
      <c r="M117" s="87">
        <v>600</v>
      </c>
      <c r="N117" s="76">
        <f>75</f>
        <v>75</v>
      </c>
      <c r="O117" s="79">
        <v>240</v>
      </c>
      <c r="P117" s="79">
        <v>160</v>
      </c>
      <c r="Q117" s="79">
        <f t="shared" si="12"/>
        <v>195</v>
      </c>
      <c r="R117" s="79">
        <f t="shared" si="13"/>
        <v>100</v>
      </c>
      <c r="S117" s="76">
        <f t="shared" si="14"/>
        <v>695</v>
      </c>
      <c r="T117" s="76">
        <f>0</f>
        <v>0</v>
      </c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</row>
    <row r="118" spans="1:30" ht="15.75" x14ac:dyDescent="0.25">
      <c r="A118" s="13">
        <v>44501</v>
      </c>
      <c r="B118" s="90">
        <v>30</v>
      </c>
      <c r="C118" s="76">
        <f>122.58</f>
        <v>122.58</v>
      </c>
      <c r="D118" s="76">
        <f>297.941</f>
        <v>297.94099999999997</v>
      </c>
      <c r="E118" s="85">
        <f>89.177</f>
        <v>89.177000000000007</v>
      </c>
      <c r="F118" s="76">
        <f>240.302-40-60-100</f>
        <v>40.301999999999992</v>
      </c>
      <c r="G118" s="79">
        <v>40</v>
      </c>
      <c r="H118" s="76">
        <f>60+100</f>
        <v>160</v>
      </c>
      <c r="I118" s="76">
        <f t="shared" si="18"/>
        <v>0</v>
      </c>
      <c r="J118" s="79">
        <v>100</v>
      </c>
      <c r="K118" s="79">
        <v>300</v>
      </c>
      <c r="L118" s="76">
        <f t="shared" si="11"/>
        <v>1150</v>
      </c>
      <c r="M118" s="87">
        <v>600</v>
      </c>
      <c r="N118" s="76">
        <f>100</f>
        <v>100</v>
      </c>
      <c r="O118" s="79">
        <v>240</v>
      </c>
      <c r="P118" s="79">
        <v>40</v>
      </c>
      <c r="Q118" s="79">
        <f t="shared" si="12"/>
        <v>315</v>
      </c>
      <c r="R118" s="79">
        <f t="shared" si="13"/>
        <v>100</v>
      </c>
      <c r="S118" s="76">
        <f t="shared" si="14"/>
        <v>695</v>
      </c>
      <c r="T118" s="76">
        <f>50</f>
        <v>50</v>
      </c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</row>
    <row r="119" spans="1:30" ht="15.75" x14ac:dyDescent="0.25">
      <c r="A119" s="13">
        <v>44531</v>
      </c>
      <c r="B119" s="90">
        <v>31</v>
      </c>
      <c r="C119" s="76">
        <f>122.58</f>
        <v>122.58</v>
      </c>
      <c r="D119" s="76">
        <f>297.941</f>
        <v>297.94099999999997</v>
      </c>
      <c r="E119" s="85">
        <f>89.177</f>
        <v>89.177000000000007</v>
      </c>
      <c r="F119" s="76">
        <f>240.302-40-60-100</f>
        <v>40.301999999999992</v>
      </c>
      <c r="G119" s="79">
        <v>40</v>
      </c>
      <c r="H119" s="76">
        <f>60+100</f>
        <v>160</v>
      </c>
      <c r="I119" s="76">
        <f t="shared" si="18"/>
        <v>0</v>
      </c>
      <c r="J119" s="79">
        <v>100</v>
      </c>
      <c r="K119" s="79">
        <v>300</v>
      </c>
      <c r="L119" s="76">
        <f t="shared" si="11"/>
        <v>1150</v>
      </c>
      <c r="M119" s="87">
        <v>600</v>
      </c>
      <c r="N119" s="76">
        <f>100</f>
        <v>100</v>
      </c>
      <c r="O119" s="79">
        <v>240</v>
      </c>
      <c r="P119" s="79">
        <v>40</v>
      </c>
      <c r="Q119" s="79">
        <f t="shared" si="12"/>
        <v>315</v>
      </c>
      <c r="R119" s="79">
        <f t="shared" si="13"/>
        <v>100</v>
      </c>
      <c r="S119" s="76">
        <f t="shared" si="14"/>
        <v>695</v>
      </c>
      <c r="T119" s="76">
        <f>50</f>
        <v>50</v>
      </c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</row>
    <row r="120" spans="1:30" ht="15.75" x14ac:dyDescent="0.25">
      <c r="A120" s="13">
        <v>44562</v>
      </c>
      <c r="B120" s="90">
        <v>31</v>
      </c>
      <c r="C120" s="76">
        <f>122.58</f>
        <v>122.58</v>
      </c>
      <c r="D120" s="76">
        <f>297.941</f>
        <v>297.94099999999997</v>
      </c>
      <c r="E120" s="85">
        <f>89.177</f>
        <v>89.177000000000007</v>
      </c>
      <c r="F120" s="76">
        <f>240.302-40-60-100</f>
        <v>40.301999999999992</v>
      </c>
      <c r="G120" s="79">
        <v>40</v>
      </c>
      <c r="H120" s="76">
        <f>60+100</f>
        <v>160</v>
      </c>
      <c r="I120" s="76">
        <f t="shared" si="18"/>
        <v>0</v>
      </c>
      <c r="J120" s="79">
        <v>100</v>
      </c>
      <c r="K120" s="79">
        <v>300</v>
      </c>
      <c r="L120" s="76">
        <f t="shared" si="11"/>
        <v>1150</v>
      </c>
      <c r="M120" s="87">
        <v>600</v>
      </c>
      <c r="N120" s="76">
        <f>100</f>
        <v>100</v>
      </c>
      <c r="O120" s="79">
        <v>240</v>
      </c>
      <c r="P120" s="79">
        <v>40</v>
      </c>
      <c r="Q120" s="79">
        <f t="shared" si="12"/>
        <v>315</v>
      </c>
      <c r="R120" s="79">
        <f t="shared" si="13"/>
        <v>100</v>
      </c>
      <c r="S120" s="76">
        <f t="shared" si="14"/>
        <v>695</v>
      </c>
      <c r="T120" s="76">
        <f>50</f>
        <v>50</v>
      </c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</row>
    <row r="121" spans="1:30" ht="15.75" x14ac:dyDescent="0.25">
      <c r="A121" s="13">
        <v>44593</v>
      </c>
      <c r="B121" s="90">
        <v>28</v>
      </c>
      <c r="C121" s="76">
        <f>122.58</f>
        <v>122.58</v>
      </c>
      <c r="D121" s="76">
        <f>297.941</f>
        <v>297.94099999999997</v>
      </c>
      <c r="E121" s="85">
        <f>89.177</f>
        <v>89.177000000000007</v>
      </c>
      <c r="F121" s="76">
        <f>240.302-40-60-100</f>
        <v>40.301999999999992</v>
      </c>
      <c r="G121" s="79">
        <v>40</v>
      </c>
      <c r="H121" s="76">
        <f>60+100</f>
        <v>160</v>
      </c>
      <c r="I121" s="76">
        <f t="shared" si="18"/>
        <v>0</v>
      </c>
      <c r="J121" s="79">
        <v>100</v>
      </c>
      <c r="K121" s="79">
        <v>300</v>
      </c>
      <c r="L121" s="76">
        <f t="shared" si="11"/>
        <v>1150</v>
      </c>
      <c r="M121" s="87">
        <v>600</v>
      </c>
      <c r="N121" s="76">
        <f>100</f>
        <v>100</v>
      </c>
      <c r="O121" s="79">
        <v>240</v>
      </c>
      <c r="P121" s="79">
        <v>40</v>
      </c>
      <c r="Q121" s="79">
        <f t="shared" si="12"/>
        <v>315</v>
      </c>
      <c r="R121" s="79">
        <f t="shared" si="13"/>
        <v>100</v>
      </c>
      <c r="S121" s="76">
        <f t="shared" si="14"/>
        <v>695</v>
      </c>
      <c r="T121" s="76">
        <f>50</f>
        <v>50</v>
      </c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</row>
    <row r="122" spans="1:30" ht="15.75" x14ac:dyDescent="0.25">
      <c r="A122" s="13">
        <v>44621</v>
      </c>
      <c r="B122" s="90">
        <v>31</v>
      </c>
      <c r="C122" s="76">
        <f>122.58</f>
        <v>122.58</v>
      </c>
      <c r="D122" s="76">
        <f>297.941</f>
        <v>297.94099999999997</v>
      </c>
      <c r="E122" s="85">
        <f>89.177</f>
        <v>89.177000000000007</v>
      </c>
      <c r="F122" s="76">
        <f>240.302-40-60-100</f>
        <v>40.301999999999992</v>
      </c>
      <c r="G122" s="79">
        <v>40</v>
      </c>
      <c r="H122" s="76">
        <f>60+100</f>
        <v>160</v>
      </c>
      <c r="I122" s="76">
        <f t="shared" si="18"/>
        <v>0</v>
      </c>
      <c r="J122" s="79">
        <v>100</v>
      </c>
      <c r="K122" s="79">
        <v>300</v>
      </c>
      <c r="L122" s="76">
        <f t="shared" si="11"/>
        <v>1150</v>
      </c>
      <c r="M122" s="87">
        <v>600</v>
      </c>
      <c r="N122" s="76">
        <f>100</f>
        <v>100</v>
      </c>
      <c r="O122" s="79">
        <v>240</v>
      </c>
      <c r="P122" s="79">
        <v>40</v>
      </c>
      <c r="Q122" s="79">
        <f t="shared" si="12"/>
        <v>315</v>
      </c>
      <c r="R122" s="79">
        <f t="shared" si="13"/>
        <v>100</v>
      </c>
      <c r="S122" s="76">
        <f t="shared" si="14"/>
        <v>695</v>
      </c>
      <c r="T122" s="76">
        <f>50</f>
        <v>50</v>
      </c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</row>
    <row r="123" spans="1:30" ht="15.75" x14ac:dyDescent="0.25">
      <c r="A123" s="13">
        <v>44652</v>
      </c>
      <c r="B123" s="90">
        <v>30</v>
      </c>
      <c r="C123" s="76">
        <f>141.293</f>
        <v>141.29300000000001</v>
      </c>
      <c r="D123" s="76">
        <f>267.993</f>
        <v>267.99299999999999</v>
      </c>
      <c r="E123" s="85">
        <f>115.016</f>
        <v>115.01600000000001</v>
      </c>
      <c r="F123" s="76">
        <f>314.698-40-25-60-100</f>
        <v>89.697999999999979</v>
      </c>
      <c r="G123" s="79">
        <v>40</v>
      </c>
      <c r="H123" s="76">
        <f t="shared" ref="H123:H129" si="19">25+60+100</f>
        <v>185</v>
      </c>
      <c r="I123" s="76">
        <f t="shared" si="18"/>
        <v>0</v>
      </c>
      <c r="J123" s="79">
        <v>100</v>
      </c>
      <c r="K123" s="79">
        <v>300</v>
      </c>
      <c r="L123" s="76">
        <f t="shared" si="11"/>
        <v>1239</v>
      </c>
      <c r="M123" s="87">
        <v>600</v>
      </c>
      <c r="N123" s="76">
        <f>100</f>
        <v>100</v>
      </c>
      <c r="O123" s="79">
        <v>240</v>
      </c>
      <c r="P123" s="79">
        <v>160</v>
      </c>
      <c r="Q123" s="79">
        <f t="shared" si="12"/>
        <v>195</v>
      </c>
      <c r="R123" s="79">
        <f t="shared" si="13"/>
        <v>100</v>
      </c>
      <c r="S123" s="76">
        <f t="shared" si="14"/>
        <v>695</v>
      </c>
      <c r="T123" s="76">
        <f>50</f>
        <v>50</v>
      </c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</row>
    <row r="124" spans="1:30" ht="15.75" x14ac:dyDescent="0.25">
      <c r="A124" s="13">
        <v>44682</v>
      </c>
      <c r="B124" s="90">
        <v>31</v>
      </c>
      <c r="C124" s="76">
        <f>194.205</f>
        <v>194.20500000000001</v>
      </c>
      <c r="D124" s="76">
        <f>267.466</f>
        <v>267.46600000000001</v>
      </c>
      <c r="E124" s="85">
        <f>133.845</f>
        <v>133.845</v>
      </c>
      <c r="F124" s="76">
        <f>278.484-40-25-60-100</f>
        <v>53.48399999999998</v>
      </c>
      <c r="G124" s="79">
        <v>40</v>
      </c>
      <c r="H124" s="76">
        <f t="shared" si="19"/>
        <v>185</v>
      </c>
      <c r="I124" s="76">
        <f t="shared" si="18"/>
        <v>0</v>
      </c>
      <c r="J124" s="79">
        <v>100</v>
      </c>
      <c r="K124" s="79">
        <v>300</v>
      </c>
      <c r="L124" s="76">
        <f t="shared" si="11"/>
        <v>1274</v>
      </c>
      <c r="M124" s="87">
        <v>600</v>
      </c>
      <c r="N124" s="76">
        <f>75</f>
        <v>75</v>
      </c>
      <c r="O124" s="79">
        <v>240</v>
      </c>
      <c r="P124" s="79">
        <v>160</v>
      </c>
      <c r="Q124" s="79">
        <f t="shared" si="12"/>
        <v>195</v>
      </c>
      <c r="R124" s="79">
        <f t="shared" si="13"/>
        <v>100</v>
      </c>
      <c r="S124" s="76">
        <f t="shared" si="14"/>
        <v>695</v>
      </c>
      <c r="T124" s="76">
        <f>50</f>
        <v>50</v>
      </c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</row>
    <row r="125" spans="1:30" ht="15.75" x14ac:dyDescent="0.25">
      <c r="A125" s="13">
        <v>44713</v>
      </c>
      <c r="B125" s="90">
        <v>30</v>
      </c>
      <c r="C125" s="76">
        <f>194.205</f>
        <v>194.20500000000001</v>
      </c>
      <c r="D125" s="76">
        <f>267.466</f>
        <v>267.46600000000001</v>
      </c>
      <c r="E125" s="85">
        <f>133.845</f>
        <v>133.845</v>
      </c>
      <c r="F125" s="76">
        <f>278.484-40-25-60-100</f>
        <v>53.48399999999998</v>
      </c>
      <c r="G125" s="79">
        <v>40</v>
      </c>
      <c r="H125" s="76">
        <f t="shared" si="19"/>
        <v>185</v>
      </c>
      <c r="I125" s="76">
        <f t="shared" si="18"/>
        <v>0</v>
      </c>
      <c r="J125" s="79">
        <v>100</v>
      </c>
      <c r="K125" s="79">
        <v>300</v>
      </c>
      <c r="L125" s="76">
        <f t="shared" si="11"/>
        <v>1274</v>
      </c>
      <c r="M125" s="87">
        <v>600</v>
      </c>
      <c r="N125" s="76">
        <f>30</f>
        <v>30</v>
      </c>
      <c r="O125" s="79">
        <v>240</v>
      </c>
      <c r="P125" s="79">
        <v>160</v>
      </c>
      <c r="Q125" s="79">
        <f t="shared" si="12"/>
        <v>195</v>
      </c>
      <c r="R125" s="79">
        <f t="shared" si="13"/>
        <v>100</v>
      </c>
      <c r="S125" s="76">
        <f t="shared" si="14"/>
        <v>695</v>
      </c>
      <c r="T125" s="76">
        <f>50</f>
        <v>50</v>
      </c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</row>
    <row r="126" spans="1:30" ht="15.75" x14ac:dyDescent="0.25">
      <c r="A126" s="13">
        <v>44743</v>
      </c>
      <c r="B126" s="90">
        <v>31</v>
      </c>
      <c r="C126" s="76">
        <f>194.205</f>
        <v>194.20500000000001</v>
      </c>
      <c r="D126" s="76">
        <f>267.466</f>
        <v>267.46600000000001</v>
      </c>
      <c r="E126" s="85">
        <f>133.845</f>
        <v>133.845</v>
      </c>
      <c r="F126" s="76">
        <f>278.484-40-25-60-100</f>
        <v>53.48399999999998</v>
      </c>
      <c r="G126" s="79">
        <v>40</v>
      </c>
      <c r="H126" s="76">
        <f t="shared" si="19"/>
        <v>185</v>
      </c>
      <c r="I126" s="76">
        <f t="shared" si="18"/>
        <v>0</v>
      </c>
      <c r="J126" s="79">
        <v>100</v>
      </c>
      <c r="K126" s="79">
        <v>300</v>
      </c>
      <c r="L126" s="76">
        <f t="shared" si="11"/>
        <v>1274</v>
      </c>
      <c r="M126" s="87">
        <v>600</v>
      </c>
      <c r="N126" s="76">
        <f>30</f>
        <v>30</v>
      </c>
      <c r="O126" s="79">
        <v>240</v>
      </c>
      <c r="P126" s="79">
        <v>160</v>
      </c>
      <c r="Q126" s="79">
        <f t="shared" si="12"/>
        <v>195</v>
      </c>
      <c r="R126" s="79">
        <f t="shared" si="13"/>
        <v>100</v>
      </c>
      <c r="S126" s="76">
        <f t="shared" si="14"/>
        <v>695</v>
      </c>
      <c r="T126" s="76">
        <f>0</f>
        <v>0</v>
      </c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</row>
    <row r="127" spans="1:30" ht="15.75" x14ac:dyDescent="0.25">
      <c r="A127" s="13">
        <v>44774</v>
      </c>
      <c r="B127" s="90">
        <v>31</v>
      </c>
      <c r="C127" s="76">
        <f>194.205</f>
        <v>194.20500000000001</v>
      </c>
      <c r="D127" s="76">
        <f>267.466</f>
        <v>267.46600000000001</v>
      </c>
      <c r="E127" s="85">
        <f>133.845</f>
        <v>133.845</v>
      </c>
      <c r="F127" s="76">
        <f>278.484-40-25-60-100</f>
        <v>53.48399999999998</v>
      </c>
      <c r="G127" s="79">
        <v>40</v>
      </c>
      <c r="H127" s="76">
        <f t="shared" si="19"/>
        <v>185</v>
      </c>
      <c r="I127" s="76">
        <f t="shared" si="18"/>
        <v>0</v>
      </c>
      <c r="J127" s="79">
        <v>100</v>
      </c>
      <c r="K127" s="79">
        <v>300</v>
      </c>
      <c r="L127" s="76">
        <f t="shared" si="11"/>
        <v>1274</v>
      </c>
      <c r="M127" s="87">
        <v>600</v>
      </c>
      <c r="N127" s="76">
        <f>30</f>
        <v>30</v>
      </c>
      <c r="O127" s="79">
        <v>240</v>
      </c>
      <c r="P127" s="79">
        <v>160</v>
      </c>
      <c r="Q127" s="79">
        <f t="shared" si="12"/>
        <v>195</v>
      </c>
      <c r="R127" s="79">
        <f t="shared" si="13"/>
        <v>100</v>
      </c>
      <c r="S127" s="76">
        <f t="shared" si="14"/>
        <v>695</v>
      </c>
      <c r="T127" s="76">
        <f>0</f>
        <v>0</v>
      </c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pans="1:30" ht="15.75" x14ac:dyDescent="0.25">
      <c r="A128" s="13">
        <v>44805</v>
      </c>
      <c r="B128" s="90">
        <v>30</v>
      </c>
      <c r="C128" s="76">
        <f>194.205</f>
        <v>194.20500000000001</v>
      </c>
      <c r="D128" s="76">
        <f>267.466</f>
        <v>267.46600000000001</v>
      </c>
      <c r="E128" s="85">
        <f>133.845</f>
        <v>133.845</v>
      </c>
      <c r="F128" s="76">
        <f>278.484-40-25-60-100</f>
        <v>53.48399999999998</v>
      </c>
      <c r="G128" s="79">
        <v>40</v>
      </c>
      <c r="H128" s="76">
        <f t="shared" si="19"/>
        <v>185</v>
      </c>
      <c r="I128" s="76">
        <f t="shared" si="18"/>
        <v>0</v>
      </c>
      <c r="J128" s="79">
        <v>100</v>
      </c>
      <c r="K128" s="79">
        <v>300</v>
      </c>
      <c r="L128" s="76">
        <f t="shared" si="11"/>
        <v>1274</v>
      </c>
      <c r="M128" s="87">
        <v>600</v>
      </c>
      <c r="N128" s="76">
        <f>30</f>
        <v>30</v>
      </c>
      <c r="O128" s="79">
        <v>240</v>
      </c>
      <c r="P128" s="79">
        <v>160</v>
      </c>
      <c r="Q128" s="79">
        <f t="shared" si="12"/>
        <v>195</v>
      </c>
      <c r="R128" s="79">
        <f t="shared" si="13"/>
        <v>100</v>
      </c>
      <c r="S128" s="76">
        <f t="shared" si="14"/>
        <v>695</v>
      </c>
      <c r="T128" s="76">
        <f>0</f>
        <v>0</v>
      </c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pans="1:30" ht="15.75" x14ac:dyDescent="0.25">
      <c r="A129" s="13">
        <v>44835</v>
      </c>
      <c r="B129" s="90">
        <v>31</v>
      </c>
      <c r="C129" s="76">
        <f>131.881</f>
        <v>131.881</v>
      </c>
      <c r="D129" s="76">
        <f>277.167</f>
        <v>277.16699999999997</v>
      </c>
      <c r="E129" s="85">
        <f>79.08</f>
        <v>79.08</v>
      </c>
      <c r="F129" s="76">
        <f>350.872-40-25-60-100</f>
        <v>125.87200000000001</v>
      </c>
      <c r="G129" s="79">
        <v>40</v>
      </c>
      <c r="H129" s="76">
        <f t="shared" si="19"/>
        <v>185</v>
      </c>
      <c r="I129" s="76">
        <f t="shared" si="18"/>
        <v>0</v>
      </c>
      <c r="J129" s="79">
        <v>100</v>
      </c>
      <c r="K129" s="79">
        <v>300</v>
      </c>
      <c r="L129" s="76">
        <f t="shared" si="11"/>
        <v>1239</v>
      </c>
      <c r="M129" s="87">
        <v>600</v>
      </c>
      <c r="N129" s="76">
        <f>75</f>
        <v>75</v>
      </c>
      <c r="O129" s="79">
        <v>240</v>
      </c>
      <c r="P129" s="79">
        <v>160</v>
      </c>
      <c r="Q129" s="79">
        <f t="shared" si="12"/>
        <v>195</v>
      </c>
      <c r="R129" s="79">
        <f t="shared" si="13"/>
        <v>100</v>
      </c>
      <c r="S129" s="76">
        <f t="shared" si="14"/>
        <v>695</v>
      </c>
      <c r="T129" s="76">
        <f>0</f>
        <v>0</v>
      </c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pans="1:30" ht="15.75" x14ac:dyDescent="0.25">
      <c r="A130" s="13">
        <v>44866</v>
      </c>
      <c r="B130" s="90">
        <v>30</v>
      </c>
      <c r="C130" s="76">
        <f>122.58</f>
        <v>122.58</v>
      </c>
      <c r="D130" s="76">
        <f>297.941</f>
        <v>297.94099999999997</v>
      </c>
      <c r="E130" s="85">
        <f>89.177</f>
        <v>89.177000000000007</v>
      </c>
      <c r="F130" s="76">
        <f>240.302-40-60-100</f>
        <v>40.301999999999992</v>
      </c>
      <c r="G130" s="79">
        <v>40</v>
      </c>
      <c r="H130" s="76">
        <f>60+100</f>
        <v>160</v>
      </c>
      <c r="I130" s="76">
        <f t="shared" si="18"/>
        <v>0</v>
      </c>
      <c r="J130" s="79">
        <v>100</v>
      </c>
      <c r="K130" s="79">
        <v>300</v>
      </c>
      <c r="L130" s="76">
        <f t="shared" si="11"/>
        <v>1150</v>
      </c>
      <c r="M130" s="87">
        <v>600</v>
      </c>
      <c r="N130" s="76">
        <f>100</f>
        <v>100</v>
      </c>
      <c r="O130" s="79">
        <v>240</v>
      </c>
      <c r="P130" s="79">
        <v>40</v>
      </c>
      <c r="Q130" s="79">
        <f t="shared" si="12"/>
        <v>315</v>
      </c>
      <c r="R130" s="79">
        <f t="shared" si="13"/>
        <v>100</v>
      </c>
      <c r="S130" s="76">
        <f t="shared" si="14"/>
        <v>695</v>
      </c>
      <c r="T130" s="76">
        <f>50</f>
        <v>50</v>
      </c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pans="1:30" ht="15.75" x14ac:dyDescent="0.25">
      <c r="A131" s="13">
        <v>44896</v>
      </c>
      <c r="B131" s="90">
        <v>31</v>
      </c>
      <c r="C131" s="76">
        <f>122.58</f>
        <v>122.58</v>
      </c>
      <c r="D131" s="76">
        <f>297.941</f>
        <v>297.94099999999997</v>
      </c>
      <c r="E131" s="85">
        <f>89.177</f>
        <v>89.177000000000007</v>
      </c>
      <c r="F131" s="76">
        <f>240.302-40-60-100</f>
        <v>40.301999999999992</v>
      </c>
      <c r="G131" s="79">
        <v>40</v>
      </c>
      <c r="H131" s="76">
        <f>60+100</f>
        <v>160</v>
      </c>
      <c r="I131" s="76">
        <f t="shared" si="18"/>
        <v>0</v>
      </c>
      <c r="J131" s="79">
        <v>100</v>
      </c>
      <c r="K131" s="79">
        <v>300</v>
      </c>
      <c r="L131" s="76">
        <f t="shared" si="11"/>
        <v>1150</v>
      </c>
      <c r="M131" s="87">
        <v>600</v>
      </c>
      <c r="N131" s="76">
        <f>100</f>
        <v>100</v>
      </c>
      <c r="O131" s="79">
        <v>240</v>
      </c>
      <c r="P131" s="79">
        <v>40</v>
      </c>
      <c r="Q131" s="79">
        <f t="shared" si="12"/>
        <v>315</v>
      </c>
      <c r="R131" s="79">
        <f t="shared" si="13"/>
        <v>100</v>
      </c>
      <c r="S131" s="76">
        <f t="shared" si="14"/>
        <v>695</v>
      </c>
      <c r="T131" s="76">
        <f>50</f>
        <v>50</v>
      </c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pans="1:30" ht="15.75" x14ac:dyDescent="0.25">
      <c r="A132" s="13">
        <v>44927</v>
      </c>
      <c r="B132" s="90">
        <v>31</v>
      </c>
      <c r="C132" s="76">
        <f>122.58</f>
        <v>122.58</v>
      </c>
      <c r="D132" s="76">
        <f>297.941</f>
        <v>297.94099999999997</v>
      </c>
      <c r="E132" s="85">
        <f>89.177</f>
        <v>89.177000000000007</v>
      </c>
      <c r="F132" s="76">
        <f>240.302-40-60-100</f>
        <v>40.301999999999992</v>
      </c>
      <c r="G132" s="79">
        <v>40</v>
      </c>
      <c r="H132" s="76">
        <f>60+100</f>
        <v>160</v>
      </c>
      <c r="I132" s="76">
        <f t="shared" si="18"/>
        <v>0</v>
      </c>
      <c r="J132" s="79">
        <v>100</v>
      </c>
      <c r="K132" s="79">
        <v>300</v>
      </c>
      <c r="L132" s="76">
        <f t="shared" si="11"/>
        <v>1150</v>
      </c>
      <c r="M132" s="87">
        <v>600</v>
      </c>
      <c r="N132" s="76">
        <f>100</f>
        <v>100</v>
      </c>
      <c r="O132" s="79">
        <v>240</v>
      </c>
      <c r="P132" s="79">
        <v>40</v>
      </c>
      <c r="Q132" s="79">
        <f t="shared" si="12"/>
        <v>315</v>
      </c>
      <c r="R132" s="79">
        <f t="shared" si="13"/>
        <v>100</v>
      </c>
      <c r="S132" s="76">
        <f t="shared" si="14"/>
        <v>695</v>
      </c>
      <c r="T132" s="76">
        <f>50</f>
        <v>50</v>
      </c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pans="1:30" ht="15.75" x14ac:dyDescent="0.25">
      <c r="A133" s="13">
        <v>44958</v>
      </c>
      <c r="B133" s="90">
        <v>28</v>
      </c>
      <c r="C133" s="76">
        <f>122.58</f>
        <v>122.58</v>
      </c>
      <c r="D133" s="76">
        <f>297.941</f>
        <v>297.94099999999997</v>
      </c>
      <c r="E133" s="85">
        <f>89.177</f>
        <v>89.177000000000007</v>
      </c>
      <c r="F133" s="76">
        <f>240.302-40-60-100</f>
        <v>40.301999999999992</v>
      </c>
      <c r="G133" s="79">
        <v>40</v>
      </c>
      <c r="H133" s="76">
        <f>60+100</f>
        <v>160</v>
      </c>
      <c r="I133" s="76">
        <f t="shared" si="18"/>
        <v>0</v>
      </c>
      <c r="J133" s="79">
        <v>100</v>
      </c>
      <c r="K133" s="79">
        <v>300</v>
      </c>
      <c r="L133" s="76">
        <f t="shared" si="11"/>
        <v>1150</v>
      </c>
      <c r="M133" s="87">
        <v>600</v>
      </c>
      <c r="N133" s="76">
        <f>100</f>
        <v>100</v>
      </c>
      <c r="O133" s="79">
        <v>240</v>
      </c>
      <c r="P133" s="79">
        <v>40</v>
      </c>
      <c r="Q133" s="79">
        <f t="shared" si="12"/>
        <v>315</v>
      </c>
      <c r="R133" s="79">
        <f t="shared" si="13"/>
        <v>100</v>
      </c>
      <c r="S133" s="76">
        <f t="shared" si="14"/>
        <v>695</v>
      </c>
      <c r="T133" s="76">
        <f>50</f>
        <v>50</v>
      </c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pans="1:30" ht="15.75" x14ac:dyDescent="0.25">
      <c r="A134" s="13">
        <v>44986</v>
      </c>
      <c r="B134" s="90">
        <v>31</v>
      </c>
      <c r="C134" s="76">
        <f>122.58</f>
        <v>122.58</v>
      </c>
      <c r="D134" s="76">
        <f>297.941</f>
        <v>297.94099999999997</v>
      </c>
      <c r="E134" s="85">
        <f>89.177</f>
        <v>89.177000000000007</v>
      </c>
      <c r="F134" s="76">
        <f>240.302-40-60-100</f>
        <v>40.301999999999992</v>
      </c>
      <c r="G134" s="79">
        <v>40</v>
      </c>
      <c r="H134" s="76">
        <f>60+100</f>
        <v>160</v>
      </c>
      <c r="I134" s="76">
        <f t="shared" si="18"/>
        <v>0</v>
      </c>
      <c r="J134" s="79">
        <v>100</v>
      </c>
      <c r="K134" s="79">
        <v>300</v>
      </c>
      <c r="L134" s="76">
        <f t="shared" si="11"/>
        <v>1150</v>
      </c>
      <c r="M134" s="87">
        <v>600</v>
      </c>
      <c r="N134" s="76">
        <f>100</f>
        <v>100</v>
      </c>
      <c r="O134" s="79">
        <v>240</v>
      </c>
      <c r="P134" s="79">
        <v>40</v>
      </c>
      <c r="Q134" s="79">
        <f t="shared" si="12"/>
        <v>315</v>
      </c>
      <c r="R134" s="79">
        <f t="shared" si="13"/>
        <v>100</v>
      </c>
      <c r="S134" s="76">
        <f t="shared" si="14"/>
        <v>695</v>
      </c>
      <c r="T134" s="76">
        <f>50</f>
        <v>50</v>
      </c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pans="1:30" ht="15.75" x14ac:dyDescent="0.25">
      <c r="A135" s="13">
        <v>45017</v>
      </c>
      <c r="B135" s="90">
        <v>30</v>
      </c>
      <c r="C135" s="76">
        <f>141.293</f>
        <v>141.29300000000001</v>
      </c>
      <c r="D135" s="76">
        <f>267.993</f>
        <v>267.99299999999999</v>
      </c>
      <c r="E135" s="85">
        <f>115.016</f>
        <v>115.01600000000001</v>
      </c>
      <c r="F135" s="76">
        <f>314.698-40-25-60-100</f>
        <v>89.697999999999979</v>
      </c>
      <c r="G135" s="79">
        <v>40</v>
      </c>
      <c r="H135" s="76">
        <f t="shared" ref="H135:H141" si="20">25+60+100</f>
        <v>185</v>
      </c>
      <c r="I135" s="76">
        <f t="shared" si="18"/>
        <v>0</v>
      </c>
      <c r="J135" s="79">
        <v>100</v>
      </c>
      <c r="K135" s="79">
        <v>300</v>
      </c>
      <c r="L135" s="76">
        <f t="shared" si="11"/>
        <v>1239</v>
      </c>
      <c r="M135" s="87">
        <v>600</v>
      </c>
      <c r="N135" s="76">
        <f>100</f>
        <v>100</v>
      </c>
      <c r="O135" s="79">
        <v>240</v>
      </c>
      <c r="P135" s="79">
        <v>160</v>
      </c>
      <c r="Q135" s="79">
        <f t="shared" si="12"/>
        <v>195</v>
      </c>
      <c r="R135" s="79">
        <f t="shared" si="13"/>
        <v>100</v>
      </c>
      <c r="S135" s="76">
        <f t="shared" si="14"/>
        <v>695</v>
      </c>
      <c r="T135" s="76">
        <f>50</f>
        <v>50</v>
      </c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pans="1:30" ht="15.75" x14ac:dyDescent="0.25">
      <c r="A136" s="13">
        <v>45047</v>
      </c>
      <c r="B136" s="90">
        <v>31</v>
      </c>
      <c r="C136" s="76">
        <f>194.205</f>
        <v>194.20500000000001</v>
      </c>
      <c r="D136" s="76">
        <f>267.466</f>
        <v>267.46600000000001</v>
      </c>
      <c r="E136" s="85">
        <f>133.845</f>
        <v>133.845</v>
      </c>
      <c r="F136" s="76">
        <f>278.484-40-25-60-100</f>
        <v>53.48399999999998</v>
      </c>
      <c r="G136" s="79">
        <v>40</v>
      </c>
      <c r="H136" s="76">
        <f t="shared" si="20"/>
        <v>185</v>
      </c>
      <c r="I136" s="76">
        <f t="shared" si="18"/>
        <v>0</v>
      </c>
      <c r="J136" s="79">
        <v>100</v>
      </c>
      <c r="K136" s="79">
        <v>300</v>
      </c>
      <c r="L136" s="76">
        <f t="shared" si="11"/>
        <v>1274</v>
      </c>
      <c r="M136" s="87">
        <v>600</v>
      </c>
      <c r="N136" s="76">
        <f>75</f>
        <v>75</v>
      </c>
      <c r="O136" s="79">
        <v>240</v>
      </c>
      <c r="P136" s="79">
        <v>160</v>
      </c>
      <c r="Q136" s="79">
        <f t="shared" si="12"/>
        <v>195</v>
      </c>
      <c r="R136" s="79">
        <f t="shared" si="13"/>
        <v>100</v>
      </c>
      <c r="S136" s="76">
        <f t="shared" si="14"/>
        <v>695</v>
      </c>
      <c r="T136" s="76">
        <f>50</f>
        <v>50</v>
      </c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pans="1:30" ht="15.75" x14ac:dyDescent="0.25">
      <c r="A137" s="13">
        <v>45078</v>
      </c>
      <c r="B137" s="90">
        <v>30</v>
      </c>
      <c r="C137" s="76">
        <f>194.205</f>
        <v>194.20500000000001</v>
      </c>
      <c r="D137" s="76">
        <f>267.466</f>
        <v>267.46600000000001</v>
      </c>
      <c r="E137" s="85">
        <f>133.845</f>
        <v>133.845</v>
      </c>
      <c r="F137" s="76">
        <f>278.484-40-25-60-100</f>
        <v>53.48399999999998</v>
      </c>
      <c r="G137" s="79">
        <v>40</v>
      </c>
      <c r="H137" s="76">
        <f t="shared" si="20"/>
        <v>185</v>
      </c>
      <c r="I137" s="76">
        <f t="shared" si="18"/>
        <v>0</v>
      </c>
      <c r="J137" s="79">
        <v>100</v>
      </c>
      <c r="K137" s="79">
        <v>300</v>
      </c>
      <c r="L137" s="76">
        <f t="shared" si="11"/>
        <v>1274</v>
      </c>
      <c r="M137" s="87">
        <v>600</v>
      </c>
      <c r="N137" s="76">
        <f>30</f>
        <v>30</v>
      </c>
      <c r="O137" s="79">
        <v>240</v>
      </c>
      <c r="P137" s="79">
        <v>160</v>
      </c>
      <c r="Q137" s="79">
        <f t="shared" si="12"/>
        <v>195</v>
      </c>
      <c r="R137" s="79">
        <f t="shared" si="13"/>
        <v>100</v>
      </c>
      <c r="S137" s="76">
        <f t="shared" si="14"/>
        <v>695</v>
      </c>
      <c r="T137" s="76">
        <f>50</f>
        <v>50</v>
      </c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pans="1:30" ht="15.75" x14ac:dyDescent="0.25">
      <c r="A138" s="13">
        <v>45108</v>
      </c>
      <c r="B138" s="90">
        <v>31</v>
      </c>
      <c r="C138" s="76">
        <f>194.205</f>
        <v>194.20500000000001</v>
      </c>
      <c r="D138" s="76">
        <f>267.466</f>
        <v>267.46600000000001</v>
      </c>
      <c r="E138" s="85">
        <f>133.845</f>
        <v>133.845</v>
      </c>
      <c r="F138" s="76">
        <f>278.484-40-25-60-100</f>
        <v>53.48399999999998</v>
      </c>
      <c r="G138" s="79">
        <v>40</v>
      </c>
      <c r="H138" s="76">
        <f t="shared" si="20"/>
        <v>185</v>
      </c>
      <c r="I138" s="76">
        <f t="shared" si="18"/>
        <v>0</v>
      </c>
      <c r="J138" s="79">
        <v>100</v>
      </c>
      <c r="K138" s="79">
        <v>300</v>
      </c>
      <c r="L138" s="76">
        <f t="shared" si="11"/>
        <v>1274</v>
      </c>
      <c r="M138" s="87">
        <v>600</v>
      </c>
      <c r="N138" s="76">
        <f>30</f>
        <v>30</v>
      </c>
      <c r="O138" s="79">
        <v>240</v>
      </c>
      <c r="P138" s="79">
        <v>160</v>
      </c>
      <c r="Q138" s="79">
        <f t="shared" si="12"/>
        <v>195</v>
      </c>
      <c r="R138" s="79">
        <f t="shared" si="13"/>
        <v>100</v>
      </c>
      <c r="S138" s="76">
        <f t="shared" si="14"/>
        <v>695</v>
      </c>
      <c r="T138" s="76">
        <f>0</f>
        <v>0</v>
      </c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pans="1:30" ht="15.75" x14ac:dyDescent="0.25">
      <c r="A139" s="13">
        <v>45139</v>
      </c>
      <c r="B139" s="90">
        <v>31</v>
      </c>
      <c r="C139" s="76">
        <f>194.205</f>
        <v>194.20500000000001</v>
      </c>
      <c r="D139" s="76">
        <f>267.466</f>
        <v>267.46600000000001</v>
      </c>
      <c r="E139" s="85">
        <f>133.845</f>
        <v>133.845</v>
      </c>
      <c r="F139" s="76">
        <f>278.484-40-25-60-100</f>
        <v>53.48399999999998</v>
      </c>
      <c r="G139" s="79">
        <v>40</v>
      </c>
      <c r="H139" s="76">
        <f t="shared" si="20"/>
        <v>185</v>
      </c>
      <c r="I139" s="76">
        <f t="shared" si="18"/>
        <v>0</v>
      </c>
      <c r="J139" s="79">
        <v>100</v>
      </c>
      <c r="K139" s="79">
        <v>300</v>
      </c>
      <c r="L139" s="76">
        <f t="shared" si="11"/>
        <v>1274</v>
      </c>
      <c r="M139" s="87">
        <v>600</v>
      </c>
      <c r="N139" s="76">
        <f>30</f>
        <v>30</v>
      </c>
      <c r="O139" s="79">
        <v>240</v>
      </c>
      <c r="P139" s="79">
        <v>160</v>
      </c>
      <c r="Q139" s="79">
        <f t="shared" si="12"/>
        <v>195</v>
      </c>
      <c r="R139" s="79">
        <f t="shared" si="13"/>
        <v>100</v>
      </c>
      <c r="S139" s="76">
        <f t="shared" si="14"/>
        <v>695</v>
      </c>
      <c r="T139" s="76">
        <f>0</f>
        <v>0</v>
      </c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pans="1:30" ht="15.75" x14ac:dyDescent="0.25">
      <c r="A140" s="13">
        <v>45170</v>
      </c>
      <c r="B140" s="90">
        <v>30</v>
      </c>
      <c r="C140" s="76">
        <f>194.205</f>
        <v>194.20500000000001</v>
      </c>
      <c r="D140" s="76">
        <f>267.466</f>
        <v>267.46600000000001</v>
      </c>
      <c r="E140" s="85">
        <f>133.845</f>
        <v>133.845</v>
      </c>
      <c r="F140" s="76">
        <f>278.484-40-25-60-100</f>
        <v>53.48399999999998</v>
      </c>
      <c r="G140" s="79">
        <v>40</v>
      </c>
      <c r="H140" s="76">
        <f t="shared" si="20"/>
        <v>185</v>
      </c>
      <c r="I140" s="76">
        <f t="shared" si="18"/>
        <v>0</v>
      </c>
      <c r="J140" s="79">
        <v>100</v>
      </c>
      <c r="K140" s="79">
        <v>300</v>
      </c>
      <c r="L140" s="76">
        <f t="shared" si="11"/>
        <v>1274</v>
      </c>
      <c r="M140" s="87">
        <v>600</v>
      </c>
      <c r="N140" s="76">
        <f>30</f>
        <v>30</v>
      </c>
      <c r="O140" s="79">
        <v>240</v>
      </c>
      <c r="P140" s="79">
        <v>160</v>
      </c>
      <c r="Q140" s="79">
        <f t="shared" si="12"/>
        <v>195</v>
      </c>
      <c r="R140" s="79">
        <f t="shared" si="13"/>
        <v>100</v>
      </c>
      <c r="S140" s="76">
        <f t="shared" si="14"/>
        <v>695</v>
      </c>
      <c r="T140" s="76">
        <f>0</f>
        <v>0</v>
      </c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pans="1:30" ht="15.75" x14ac:dyDescent="0.25">
      <c r="A141" s="13">
        <v>45200</v>
      </c>
      <c r="B141" s="90">
        <v>31</v>
      </c>
      <c r="C141" s="76">
        <f>131.881</f>
        <v>131.881</v>
      </c>
      <c r="D141" s="76">
        <f>277.167</f>
        <v>277.16699999999997</v>
      </c>
      <c r="E141" s="85">
        <f>79.08</f>
        <v>79.08</v>
      </c>
      <c r="F141" s="76">
        <f>350.872-40-25-60-100</f>
        <v>125.87200000000001</v>
      </c>
      <c r="G141" s="79">
        <v>40</v>
      </c>
      <c r="H141" s="76">
        <f t="shared" si="20"/>
        <v>185</v>
      </c>
      <c r="I141" s="76">
        <f t="shared" si="18"/>
        <v>0</v>
      </c>
      <c r="J141" s="79">
        <v>100</v>
      </c>
      <c r="K141" s="79">
        <v>300</v>
      </c>
      <c r="L141" s="76">
        <f t="shared" si="11"/>
        <v>1239</v>
      </c>
      <c r="M141" s="87">
        <v>600</v>
      </c>
      <c r="N141" s="76">
        <f>75</f>
        <v>75</v>
      </c>
      <c r="O141" s="79">
        <v>240</v>
      </c>
      <c r="P141" s="79">
        <v>160</v>
      </c>
      <c r="Q141" s="79">
        <f t="shared" si="12"/>
        <v>195</v>
      </c>
      <c r="R141" s="79">
        <f t="shared" si="13"/>
        <v>100</v>
      </c>
      <c r="S141" s="76">
        <f t="shared" si="14"/>
        <v>695</v>
      </c>
      <c r="T141" s="76">
        <f>0</f>
        <v>0</v>
      </c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pans="1:30" ht="15.75" x14ac:dyDescent="0.25">
      <c r="A142" s="13">
        <v>45231</v>
      </c>
      <c r="B142" s="90">
        <v>30</v>
      </c>
      <c r="C142" s="76">
        <f>122.58</f>
        <v>122.58</v>
      </c>
      <c r="D142" s="76">
        <f>297.941</f>
        <v>297.94099999999997</v>
      </c>
      <c r="E142" s="85">
        <f>89.177</f>
        <v>89.177000000000007</v>
      </c>
      <c r="F142" s="76">
        <f>240.302-40-60-100</f>
        <v>40.301999999999992</v>
      </c>
      <c r="G142" s="79">
        <v>40</v>
      </c>
      <c r="H142" s="76">
        <f>60+100</f>
        <v>160</v>
      </c>
      <c r="I142" s="76">
        <f t="shared" si="18"/>
        <v>0</v>
      </c>
      <c r="J142" s="79">
        <v>100</v>
      </c>
      <c r="K142" s="79">
        <v>300</v>
      </c>
      <c r="L142" s="76">
        <f t="shared" si="11"/>
        <v>1150</v>
      </c>
      <c r="M142" s="87">
        <v>600</v>
      </c>
      <c r="N142" s="76">
        <f>100</f>
        <v>100</v>
      </c>
      <c r="O142" s="79">
        <v>240</v>
      </c>
      <c r="P142" s="79">
        <v>40</v>
      </c>
      <c r="Q142" s="79">
        <f t="shared" si="12"/>
        <v>315</v>
      </c>
      <c r="R142" s="79">
        <f t="shared" si="13"/>
        <v>100</v>
      </c>
      <c r="S142" s="76">
        <f t="shared" si="14"/>
        <v>695</v>
      </c>
      <c r="T142" s="76">
        <f>50</f>
        <v>50</v>
      </c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pans="1:30" ht="15.75" x14ac:dyDescent="0.25">
      <c r="A143" s="13">
        <v>45261</v>
      </c>
      <c r="B143" s="90">
        <v>31</v>
      </c>
      <c r="C143" s="76">
        <f>122.58</f>
        <v>122.58</v>
      </c>
      <c r="D143" s="76">
        <f>297.941</f>
        <v>297.94099999999997</v>
      </c>
      <c r="E143" s="85">
        <f>89.177</f>
        <v>89.177000000000007</v>
      </c>
      <c r="F143" s="76">
        <f>240.302-40-60-100</f>
        <v>40.301999999999992</v>
      </c>
      <c r="G143" s="79">
        <v>40</v>
      </c>
      <c r="H143" s="76">
        <f>60+100</f>
        <v>160</v>
      </c>
      <c r="I143" s="76">
        <f t="shared" si="18"/>
        <v>0</v>
      </c>
      <c r="J143" s="79">
        <v>100</v>
      </c>
      <c r="K143" s="79">
        <v>300</v>
      </c>
      <c r="L143" s="76">
        <f t="shared" si="11"/>
        <v>1150</v>
      </c>
      <c r="M143" s="87">
        <v>600</v>
      </c>
      <c r="N143" s="76">
        <f>100</f>
        <v>100</v>
      </c>
      <c r="O143" s="79">
        <v>240</v>
      </c>
      <c r="P143" s="79">
        <v>40</v>
      </c>
      <c r="Q143" s="79">
        <f t="shared" si="12"/>
        <v>315</v>
      </c>
      <c r="R143" s="79">
        <f t="shared" si="13"/>
        <v>100</v>
      </c>
      <c r="S143" s="76">
        <f t="shared" si="14"/>
        <v>695</v>
      </c>
      <c r="T143" s="76">
        <f>50</f>
        <v>50</v>
      </c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pans="1:30" ht="15.75" x14ac:dyDescent="0.25">
      <c r="A144" s="13">
        <v>45292</v>
      </c>
      <c r="B144" s="90">
        <v>31</v>
      </c>
      <c r="C144" s="76">
        <f>122.58</f>
        <v>122.58</v>
      </c>
      <c r="D144" s="76">
        <f>297.941</f>
        <v>297.94099999999997</v>
      </c>
      <c r="E144" s="85">
        <f>89.177</f>
        <v>89.177000000000007</v>
      </c>
      <c r="F144" s="76">
        <f>240.302-40-60-100</f>
        <v>40.301999999999992</v>
      </c>
      <c r="G144" s="79">
        <v>40</v>
      </c>
      <c r="H144" s="76">
        <f>60+100</f>
        <v>160</v>
      </c>
      <c r="I144" s="76">
        <f t="shared" si="18"/>
        <v>0</v>
      </c>
      <c r="J144" s="79">
        <v>100</v>
      </c>
      <c r="K144" s="79">
        <v>300</v>
      </c>
      <c r="L144" s="76">
        <f t="shared" si="11"/>
        <v>1150</v>
      </c>
      <c r="M144" s="87">
        <v>600</v>
      </c>
      <c r="N144" s="76">
        <f>100</f>
        <v>100</v>
      </c>
      <c r="O144" s="79">
        <v>240</v>
      </c>
      <c r="P144" s="79">
        <v>40</v>
      </c>
      <c r="Q144" s="79">
        <f t="shared" si="12"/>
        <v>315</v>
      </c>
      <c r="R144" s="79">
        <f t="shared" si="13"/>
        <v>100</v>
      </c>
      <c r="S144" s="76">
        <f t="shared" si="14"/>
        <v>695</v>
      </c>
      <c r="T144" s="76">
        <f>50</f>
        <v>50</v>
      </c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pans="1:30" ht="15.75" x14ac:dyDescent="0.25">
      <c r="A145" s="13">
        <v>45323</v>
      </c>
      <c r="B145" s="90">
        <v>29</v>
      </c>
      <c r="C145" s="76">
        <f>122.58</f>
        <v>122.58</v>
      </c>
      <c r="D145" s="76">
        <f>297.941</f>
        <v>297.94099999999997</v>
      </c>
      <c r="E145" s="85">
        <f>89.177</f>
        <v>89.177000000000007</v>
      </c>
      <c r="F145" s="76">
        <f>240.302-40-60-100</f>
        <v>40.301999999999992</v>
      </c>
      <c r="G145" s="79">
        <v>40</v>
      </c>
      <c r="H145" s="76">
        <f>60+100</f>
        <v>160</v>
      </c>
      <c r="I145" s="76">
        <f t="shared" si="18"/>
        <v>0</v>
      </c>
      <c r="J145" s="79">
        <v>100</v>
      </c>
      <c r="K145" s="79">
        <v>300</v>
      </c>
      <c r="L145" s="76">
        <f t="shared" si="11"/>
        <v>1150</v>
      </c>
      <c r="M145" s="87">
        <v>600</v>
      </c>
      <c r="N145" s="76">
        <f>100</f>
        <v>100</v>
      </c>
      <c r="O145" s="79">
        <v>240</v>
      </c>
      <c r="P145" s="79">
        <v>40</v>
      </c>
      <c r="Q145" s="79">
        <f t="shared" si="12"/>
        <v>315</v>
      </c>
      <c r="R145" s="79">
        <f t="shared" si="13"/>
        <v>100</v>
      </c>
      <c r="S145" s="76">
        <f t="shared" si="14"/>
        <v>695</v>
      </c>
      <c r="T145" s="76">
        <f>50</f>
        <v>50</v>
      </c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pans="1:30" ht="15.75" x14ac:dyDescent="0.25">
      <c r="A146" s="13">
        <v>45352</v>
      </c>
      <c r="B146" s="90">
        <v>31</v>
      </c>
      <c r="C146" s="76">
        <f>122.58</f>
        <v>122.58</v>
      </c>
      <c r="D146" s="76">
        <f>297.941</f>
        <v>297.94099999999997</v>
      </c>
      <c r="E146" s="85">
        <f>89.177</f>
        <v>89.177000000000007</v>
      </c>
      <c r="F146" s="76">
        <f>240.302-40-60-100</f>
        <v>40.301999999999992</v>
      </c>
      <c r="G146" s="79">
        <v>40</v>
      </c>
      <c r="H146" s="76">
        <f>60+100</f>
        <v>160</v>
      </c>
      <c r="I146" s="76">
        <f t="shared" si="18"/>
        <v>0</v>
      </c>
      <c r="J146" s="79">
        <v>100</v>
      </c>
      <c r="K146" s="79">
        <v>300</v>
      </c>
      <c r="L146" s="76">
        <f t="shared" ref="L146:L209" si="21">SUM(C146:K146)</f>
        <v>1150</v>
      </c>
      <c r="M146" s="87">
        <v>600</v>
      </c>
      <c r="N146" s="76">
        <f>100</f>
        <v>100</v>
      </c>
      <c r="O146" s="79">
        <v>240</v>
      </c>
      <c r="P146" s="79">
        <v>40</v>
      </c>
      <c r="Q146" s="79">
        <f t="shared" ref="Q146:Q209" si="22">695-R146-O146-P146</f>
        <v>315</v>
      </c>
      <c r="R146" s="79">
        <f t="shared" ref="R146:R209" si="23">200-J146</f>
        <v>100</v>
      </c>
      <c r="S146" s="76">
        <f t="shared" ref="S146:S209" si="24">SUM(O146:R146)</f>
        <v>695</v>
      </c>
      <c r="T146" s="76">
        <f>50</f>
        <v>50</v>
      </c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pans="1:30" ht="15.75" x14ac:dyDescent="0.25">
      <c r="A147" s="13">
        <v>45383</v>
      </c>
      <c r="B147" s="90">
        <v>30</v>
      </c>
      <c r="C147" s="76">
        <f>141.293</f>
        <v>141.29300000000001</v>
      </c>
      <c r="D147" s="76">
        <f>267.993</f>
        <v>267.99299999999999</v>
      </c>
      <c r="E147" s="85">
        <f>115.016</f>
        <v>115.01600000000001</v>
      </c>
      <c r="F147" s="76">
        <f>314.698-40-25-60-100</f>
        <v>89.697999999999979</v>
      </c>
      <c r="G147" s="79">
        <v>40</v>
      </c>
      <c r="H147" s="76">
        <f t="shared" ref="H147:H153" si="25">25+60+100</f>
        <v>185</v>
      </c>
      <c r="I147" s="76">
        <f t="shared" si="18"/>
        <v>0</v>
      </c>
      <c r="J147" s="79">
        <v>100</v>
      </c>
      <c r="K147" s="79">
        <v>300</v>
      </c>
      <c r="L147" s="76">
        <f t="shared" si="21"/>
        <v>1239</v>
      </c>
      <c r="M147" s="87">
        <v>600</v>
      </c>
      <c r="N147" s="76">
        <f>100</f>
        <v>100</v>
      </c>
      <c r="O147" s="79">
        <v>240</v>
      </c>
      <c r="P147" s="79">
        <v>160</v>
      </c>
      <c r="Q147" s="79">
        <f t="shared" si="22"/>
        <v>195</v>
      </c>
      <c r="R147" s="79">
        <f t="shared" si="23"/>
        <v>100</v>
      </c>
      <c r="S147" s="76">
        <f t="shared" si="24"/>
        <v>695</v>
      </c>
      <c r="T147" s="76">
        <f>50</f>
        <v>50</v>
      </c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pans="1:30" ht="15.75" x14ac:dyDescent="0.25">
      <c r="A148" s="13">
        <v>45413</v>
      </c>
      <c r="B148" s="90">
        <v>31</v>
      </c>
      <c r="C148" s="76">
        <f>194.205</f>
        <v>194.20500000000001</v>
      </c>
      <c r="D148" s="76">
        <f>267.466</f>
        <v>267.46600000000001</v>
      </c>
      <c r="E148" s="85">
        <f>133.845</f>
        <v>133.845</v>
      </c>
      <c r="F148" s="76">
        <f>278.484-40-25-60-100</f>
        <v>53.48399999999998</v>
      </c>
      <c r="G148" s="79">
        <v>40</v>
      </c>
      <c r="H148" s="76">
        <f t="shared" si="25"/>
        <v>185</v>
      </c>
      <c r="I148" s="76">
        <f t="shared" si="18"/>
        <v>0</v>
      </c>
      <c r="J148" s="79">
        <v>100</v>
      </c>
      <c r="K148" s="79">
        <v>300</v>
      </c>
      <c r="L148" s="76">
        <f t="shared" si="21"/>
        <v>1274</v>
      </c>
      <c r="M148" s="87">
        <v>600</v>
      </c>
      <c r="N148" s="76">
        <f>75</f>
        <v>75</v>
      </c>
      <c r="O148" s="79">
        <v>240</v>
      </c>
      <c r="P148" s="79">
        <v>160</v>
      </c>
      <c r="Q148" s="79">
        <f t="shared" si="22"/>
        <v>195</v>
      </c>
      <c r="R148" s="79">
        <f t="shared" si="23"/>
        <v>100</v>
      </c>
      <c r="S148" s="76">
        <f t="shared" si="24"/>
        <v>695</v>
      </c>
      <c r="T148" s="76">
        <f>50</f>
        <v>50</v>
      </c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pans="1:30" ht="15.75" x14ac:dyDescent="0.25">
      <c r="A149" s="13">
        <v>45444</v>
      </c>
      <c r="B149" s="90">
        <v>30</v>
      </c>
      <c r="C149" s="76">
        <f>194.205</f>
        <v>194.20500000000001</v>
      </c>
      <c r="D149" s="76">
        <f>267.466</f>
        <v>267.46600000000001</v>
      </c>
      <c r="E149" s="85">
        <f>133.845</f>
        <v>133.845</v>
      </c>
      <c r="F149" s="76">
        <f>278.484-40-25-60-100</f>
        <v>53.48399999999998</v>
      </c>
      <c r="G149" s="79">
        <v>40</v>
      </c>
      <c r="H149" s="76">
        <f t="shared" si="25"/>
        <v>185</v>
      </c>
      <c r="I149" s="76">
        <f t="shared" si="18"/>
        <v>0</v>
      </c>
      <c r="J149" s="79">
        <v>100</v>
      </c>
      <c r="K149" s="79">
        <v>300</v>
      </c>
      <c r="L149" s="76">
        <f t="shared" si="21"/>
        <v>1274</v>
      </c>
      <c r="M149" s="87">
        <v>600</v>
      </c>
      <c r="N149" s="76">
        <f>30</f>
        <v>30</v>
      </c>
      <c r="O149" s="79">
        <v>240</v>
      </c>
      <c r="P149" s="79">
        <v>160</v>
      </c>
      <c r="Q149" s="79">
        <f t="shared" si="22"/>
        <v>195</v>
      </c>
      <c r="R149" s="79">
        <f t="shared" si="23"/>
        <v>100</v>
      </c>
      <c r="S149" s="76">
        <f t="shared" si="24"/>
        <v>695</v>
      </c>
      <c r="T149" s="76">
        <f>50</f>
        <v>50</v>
      </c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pans="1:30" ht="15.75" x14ac:dyDescent="0.25">
      <c r="A150" s="13">
        <v>45474</v>
      </c>
      <c r="B150" s="90">
        <v>31</v>
      </c>
      <c r="C150" s="76">
        <f>194.205</f>
        <v>194.20500000000001</v>
      </c>
      <c r="D150" s="76">
        <f>267.466</f>
        <v>267.46600000000001</v>
      </c>
      <c r="E150" s="85">
        <f>133.845</f>
        <v>133.845</v>
      </c>
      <c r="F150" s="76">
        <f>278.484-40-25-60-100</f>
        <v>53.48399999999998</v>
      </c>
      <c r="G150" s="79">
        <v>40</v>
      </c>
      <c r="H150" s="76">
        <f t="shared" si="25"/>
        <v>185</v>
      </c>
      <c r="I150" s="76">
        <f t="shared" si="18"/>
        <v>0</v>
      </c>
      <c r="J150" s="79">
        <v>100</v>
      </c>
      <c r="K150" s="79">
        <v>300</v>
      </c>
      <c r="L150" s="76">
        <f t="shared" si="21"/>
        <v>1274</v>
      </c>
      <c r="M150" s="87">
        <v>600</v>
      </c>
      <c r="N150" s="76">
        <f>30</f>
        <v>30</v>
      </c>
      <c r="O150" s="79">
        <v>240</v>
      </c>
      <c r="P150" s="79">
        <v>160</v>
      </c>
      <c r="Q150" s="79">
        <f t="shared" si="22"/>
        <v>195</v>
      </c>
      <c r="R150" s="79">
        <f t="shared" si="23"/>
        <v>100</v>
      </c>
      <c r="S150" s="76">
        <f t="shared" si="24"/>
        <v>695</v>
      </c>
      <c r="T150" s="76">
        <f>0</f>
        <v>0</v>
      </c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</row>
    <row r="151" spans="1:30" ht="15.75" x14ac:dyDescent="0.25">
      <c r="A151" s="13">
        <v>45505</v>
      </c>
      <c r="B151" s="90">
        <v>31</v>
      </c>
      <c r="C151" s="76">
        <f>194.205</f>
        <v>194.20500000000001</v>
      </c>
      <c r="D151" s="76">
        <f>267.466</f>
        <v>267.46600000000001</v>
      </c>
      <c r="E151" s="85">
        <f>133.845</f>
        <v>133.845</v>
      </c>
      <c r="F151" s="76">
        <f>278.484-40-25-60-100</f>
        <v>53.48399999999998</v>
      </c>
      <c r="G151" s="79">
        <v>40</v>
      </c>
      <c r="H151" s="76">
        <f t="shared" si="25"/>
        <v>185</v>
      </c>
      <c r="I151" s="76">
        <f t="shared" si="18"/>
        <v>0</v>
      </c>
      <c r="J151" s="79">
        <v>100</v>
      </c>
      <c r="K151" s="79">
        <v>300</v>
      </c>
      <c r="L151" s="76">
        <f t="shared" si="21"/>
        <v>1274</v>
      </c>
      <c r="M151" s="87">
        <v>600</v>
      </c>
      <c r="N151" s="76">
        <f>30</f>
        <v>30</v>
      </c>
      <c r="O151" s="79">
        <v>240</v>
      </c>
      <c r="P151" s="79">
        <v>160</v>
      </c>
      <c r="Q151" s="79">
        <f t="shared" si="22"/>
        <v>195</v>
      </c>
      <c r="R151" s="79">
        <f t="shared" si="23"/>
        <v>100</v>
      </c>
      <c r="S151" s="76">
        <f t="shared" si="24"/>
        <v>695</v>
      </c>
      <c r="T151" s="76">
        <f>0</f>
        <v>0</v>
      </c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</row>
    <row r="152" spans="1:30" ht="15.75" x14ac:dyDescent="0.25">
      <c r="A152" s="13">
        <v>45536</v>
      </c>
      <c r="B152" s="90">
        <v>30</v>
      </c>
      <c r="C152" s="76">
        <f>194.205</f>
        <v>194.20500000000001</v>
      </c>
      <c r="D152" s="76">
        <f>267.466</f>
        <v>267.46600000000001</v>
      </c>
      <c r="E152" s="85">
        <f>133.845</f>
        <v>133.845</v>
      </c>
      <c r="F152" s="76">
        <f>278.484-40-25-60-100</f>
        <v>53.48399999999998</v>
      </c>
      <c r="G152" s="79">
        <v>40</v>
      </c>
      <c r="H152" s="76">
        <f t="shared" si="25"/>
        <v>185</v>
      </c>
      <c r="I152" s="76">
        <f t="shared" si="18"/>
        <v>0</v>
      </c>
      <c r="J152" s="79">
        <v>100</v>
      </c>
      <c r="K152" s="79">
        <v>300</v>
      </c>
      <c r="L152" s="76">
        <f t="shared" si="21"/>
        <v>1274</v>
      </c>
      <c r="M152" s="87">
        <v>600</v>
      </c>
      <c r="N152" s="76">
        <f>30</f>
        <v>30</v>
      </c>
      <c r="O152" s="79">
        <v>240</v>
      </c>
      <c r="P152" s="79">
        <v>160</v>
      </c>
      <c r="Q152" s="79">
        <f t="shared" si="22"/>
        <v>195</v>
      </c>
      <c r="R152" s="79">
        <f t="shared" si="23"/>
        <v>100</v>
      </c>
      <c r="S152" s="76">
        <f t="shared" si="24"/>
        <v>695</v>
      </c>
      <c r="T152" s="76">
        <f>0</f>
        <v>0</v>
      </c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</row>
    <row r="153" spans="1:30" ht="15.75" x14ac:dyDescent="0.25">
      <c r="A153" s="13">
        <v>45566</v>
      </c>
      <c r="B153" s="90">
        <v>31</v>
      </c>
      <c r="C153" s="76">
        <f>131.881</f>
        <v>131.881</v>
      </c>
      <c r="D153" s="76">
        <f>277.167</f>
        <v>277.16699999999997</v>
      </c>
      <c r="E153" s="85">
        <f>79.08</f>
        <v>79.08</v>
      </c>
      <c r="F153" s="76">
        <f>350.872-40-25-60-100</f>
        <v>125.87200000000001</v>
      </c>
      <c r="G153" s="79">
        <v>40</v>
      </c>
      <c r="H153" s="76">
        <f t="shared" si="25"/>
        <v>185</v>
      </c>
      <c r="I153" s="76">
        <f t="shared" si="18"/>
        <v>0</v>
      </c>
      <c r="J153" s="79">
        <v>100</v>
      </c>
      <c r="K153" s="79">
        <v>300</v>
      </c>
      <c r="L153" s="76">
        <f t="shared" si="21"/>
        <v>1239</v>
      </c>
      <c r="M153" s="87">
        <v>600</v>
      </c>
      <c r="N153" s="76">
        <f>75</f>
        <v>75</v>
      </c>
      <c r="O153" s="79">
        <v>240</v>
      </c>
      <c r="P153" s="79">
        <v>160</v>
      </c>
      <c r="Q153" s="79">
        <f t="shared" si="22"/>
        <v>195</v>
      </c>
      <c r="R153" s="79">
        <f t="shared" si="23"/>
        <v>100</v>
      </c>
      <c r="S153" s="76">
        <f t="shared" si="24"/>
        <v>695</v>
      </c>
      <c r="T153" s="76">
        <f>0</f>
        <v>0</v>
      </c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</row>
    <row r="154" spans="1:30" ht="15.75" x14ac:dyDescent="0.25">
      <c r="A154" s="13">
        <v>45597</v>
      </c>
      <c r="B154" s="90">
        <v>30</v>
      </c>
      <c r="C154" s="76">
        <f>122.58</f>
        <v>122.58</v>
      </c>
      <c r="D154" s="76">
        <f>297.941</f>
        <v>297.94099999999997</v>
      </c>
      <c r="E154" s="85">
        <f>89.177</f>
        <v>89.177000000000007</v>
      </c>
      <c r="F154" s="76">
        <f>240.302-40-60-100</f>
        <v>40.301999999999992</v>
      </c>
      <c r="G154" s="79">
        <v>40</v>
      </c>
      <c r="H154" s="76">
        <f>60+100</f>
        <v>160</v>
      </c>
      <c r="I154" s="76">
        <f t="shared" si="18"/>
        <v>0</v>
      </c>
      <c r="J154" s="79">
        <v>100</v>
      </c>
      <c r="K154" s="79">
        <v>300</v>
      </c>
      <c r="L154" s="76">
        <f t="shared" si="21"/>
        <v>1150</v>
      </c>
      <c r="M154" s="87">
        <v>600</v>
      </c>
      <c r="N154" s="76">
        <f>100</f>
        <v>100</v>
      </c>
      <c r="O154" s="79">
        <v>240</v>
      </c>
      <c r="P154" s="79">
        <v>40</v>
      </c>
      <c r="Q154" s="79">
        <f t="shared" si="22"/>
        <v>315</v>
      </c>
      <c r="R154" s="79">
        <f t="shared" si="23"/>
        <v>100</v>
      </c>
      <c r="S154" s="76">
        <f t="shared" si="24"/>
        <v>695</v>
      </c>
      <c r="T154" s="76">
        <f>50</f>
        <v>50</v>
      </c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</row>
    <row r="155" spans="1:30" ht="15.75" x14ac:dyDescent="0.25">
      <c r="A155" s="13">
        <v>45627</v>
      </c>
      <c r="B155" s="90">
        <v>31</v>
      </c>
      <c r="C155" s="76">
        <f>122.58</f>
        <v>122.58</v>
      </c>
      <c r="D155" s="76">
        <f>297.941</f>
        <v>297.94099999999997</v>
      </c>
      <c r="E155" s="85">
        <f>89.177</f>
        <v>89.177000000000007</v>
      </c>
      <c r="F155" s="76">
        <f>240.302-40-60-100</f>
        <v>40.301999999999992</v>
      </c>
      <c r="G155" s="79">
        <v>40</v>
      </c>
      <c r="H155" s="76">
        <f>60+100</f>
        <v>160</v>
      </c>
      <c r="I155" s="76">
        <f t="shared" si="18"/>
        <v>0</v>
      </c>
      <c r="J155" s="79">
        <v>100</v>
      </c>
      <c r="K155" s="79">
        <v>300</v>
      </c>
      <c r="L155" s="76">
        <f t="shared" si="21"/>
        <v>1150</v>
      </c>
      <c r="M155" s="87">
        <v>600</v>
      </c>
      <c r="N155" s="76">
        <f>100</f>
        <v>100</v>
      </c>
      <c r="O155" s="79">
        <v>240</v>
      </c>
      <c r="P155" s="79">
        <v>40</v>
      </c>
      <c r="Q155" s="79">
        <f t="shared" si="22"/>
        <v>315</v>
      </c>
      <c r="R155" s="79">
        <f t="shared" si="23"/>
        <v>100</v>
      </c>
      <c r="S155" s="76">
        <f t="shared" si="24"/>
        <v>695</v>
      </c>
      <c r="T155" s="76">
        <f>50</f>
        <v>50</v>
      </c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pans="1:30" ht="15.75" x14ac:dyDescent="0.25">
      <c r="A156" s="13">
        <v>45658</v>
      </c>
      <c r="B156" s="90">
        <v>31</v>
      </c>
      <c r="C156" s="76">
        <f>122.58</f>
        <v>122.58</v>
      </c>
      <c r="D156" s="76">
        <f>297.941</f>
        <v>297.94099999999997</v>
      </c>
      <c r="E156" s="85">
        <f>89.177</f>
        <v>89.177000000000007</v>
      </c>
      <c r="F156" s="76">
        <f>240.302-40-60-100</f>
        <v>40.301999999999992</v>
      </c>
      <c r="G156" s="79">
        <v>40</v>
      </c>
      <c r="H156" s="76">
        <f>60+100</f>
        <v>160</v>
      </c>
      <c r="I156" s="76">
        <f t="shared" si="18"/>
        <v>0</v>
      </c>
      <c r="J156" s="79">
        <v>100</v>
      </c>
      <c r="K156" s="79">
        <v>300</v>
      </c>
      <c r="L156" s="76">
        <f t="shared" si="21"/>
        <v>1150</v>
      </c>
      <c r="M156" s="87">
        <v>600</v>
      </c>
      <c r="N156" s="76">
        <f>100</f>
        <v>100</v>
      </c>
      <c r="O156" s="79">
        <v>240</v>
      </c>
      <c r="P156" s="79">
        <v>40</v>
      </c>
      <c r="Q156" s="79">
        <f t="shared" si="22"/>
        <v>315</v>
      </c>
      <c r="R156" s="79">
        <f t="shared" si="23"/>
        <v>100</v>
      </c>
      <c r="S156" s="76">
        <f t="shared" si="24"/>
        <v>695</v>
      </c>
      <c r="T156" s="76">
        <f>50</f>
        <v>50</v>
      </c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</row>
    <row r="157" spans="1:30" ht="15.75" x14ac:dyDescent="0.25">
      <c r="A157" s="13">
        <v>45689</v>
      </c>
      <c r="B157" s="90">
        <v>28</v>
      </c>
      <c r="C157" s="76">
        <f>122.58</f>
        <v>122.58</v>
      </c>
      <c r="D157" s="76">
        <f>297.941</f>
        <v>297.94099999999997</v>
      </c>
      <c r="E157" s="85">
        <f>89.177</f>
        <v>89.177000000000007</v>
      </c>
      <c r="F157" s="76">
        <f>240.302-40-60-100</f>
        <v>40.301999999999992</v>
      </c>
      <c r="G157" s="79">
        <v>40</v>
      </c>
      <c r="H157" s="76">
        <f>60+100</f>
        <v>160</v>
      </c>
      <c r="I157" s="76">
        <f t="shared" si="18"/>
        <v>0</v>
      </c>
      <c r="J157" s="79">
        <v>100</v>
      </c>
      <c r="K157" s="79">
        <v>300</v>
      </c>
      <c r="L157" s="76">
        <f t="shared" si="21"/>
        <v>1150</v>
      </c>
      <c r="M157" s="87">
        <v>600</v>
      </c>
      <c r="N157" s="76">
        <f>100</f>
        <v>100</v>
      </c>
      <c r="O157" s="79">
        <v>240</v>
      </c>
      <c r="P157" s="79">
        <v>40</v>
      </c>
      <c r="Q157" s="79">
        <f t="shared" si="22"/>
        <v>315</v>
      </c>
      <c r="R157" s="79">
        <f t="shared" si="23"/>
        <v>100</v>
      </c>
      <c r="S157" s="76">
        <f t="shared" si="24"/>
        <v>695</v>
      </c>
      <c r="T157" s="76">
        <f>50</f>
        <v>50</v>
      </c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pans="1:30" ht="15.75" x14ac:dyDescent="0.25">
      <c r="A158" s="13">
        <v>45717</v>
      </c>
      <c r="B158" s="90">
        <v>31</v>
      </c>
      <c r="C158" s="76">
        <f>122.58</f>
        <v>122.58</v>
      </c>
      <c r="D158" s="76">
        <f>297.941</f>
        <v>297.94099999999997</v>
      </c>
      <c r="E158" s="85">
        <f>89.177</f>
        <v>89.177000000000007</v>
      </c>
      <c r="F158" s="76">
        <f>240.302-40-60-100</f>
        <v>40.301999999999992</v>
      </c>
      <c r="G158" s="79">
        <v>40</v>
      </c>
      <c r="H158" s="76">
        <f>60+100</f>
        <v>160</v>
      </c>
      <c r="I158" s="76">
        <f t="shared" si="18"/>
        <v>0</v>
      </c>
      <c r="J158" s="79">
        <v>100</v>
      </c>
      <c r="K158" s="79">
        <v>300</v>
      </c>
      <c r="L158" s="76">
        <f t="shared" si="21"/>
        <v>1150</v>
      </c>
      <c r="M158" s="87">
        <v>600</v>
      </c>
      <c r="N158" s="76">
        <f>100</f>
        <v>100</v>
      </c>
      <c r="O158" s="79">
        <v>240</v>
      </c>
      <c r="P158" s="79">
        <v>40</v>
      </c>
      <c r="Q158" s="79">
        <f t="shared" si="22"/>
        <v>315</v>
      </c>
      <c r="R158" s="79">
        <f t="shared" si="23"/>
        <v>100</v>
      </c>
      <c r="S158" s="76">
        <f t="shared" si="24"/>
        <v>695</v>
      </c>
      <c r="T158" s="76">
        <f>50</f>
        <v>50</v>
      </c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pans="1:30" ht="15.75" x14ac:dyDescent="0.25">
      <c r="A159" s="13">
        <v>45748</v>
      </c>
      <c r="B159" s="90">
        <v>30</v>
      </c>
      <c r="C159" s="76">
        <f>141.293</f>
        <v>141.29300000000001</v>
      </c>
      <c r="D159" s="76">
        <f>267.993</f>
        <v>267.99299999999999</v>
      </c>
      <c r="E159" s="85">
        <f>115.016</f>
        <v>115.01600000000001</v>
      </c>
      <c r="F159" s="76">
        <f>314.698-40-25-60-100</f>
        <v>89.697999999999979</v>
      </c>
      <c r="G159" s="79">
        <v>40</v>
      </c>
      <c r="H159" s="76">
        <f t="shared" ref="H159:H165" si="26">25+60+100</f>
        <v>185</v>
      </c>
      <c r="I159" s="76">
        <f t="shared" si="18"/>
        <v>0</v>
      </c>
      <c r="J159" s="79">
        <v>100</v>
      </c>
      <c r="K159" s="79">
        <v>300</v>
      </c>
      <c r="L159" s="76">
        <f t="shared" si="21"/>
        <v>1239</v>
      </c>
      <c r="M159" s="87">
        <v>600</v>
      </c>
      <c r="N159" s="76">
        <f>100</f>
        <v>100</v>
      </c>
      <c r="O159" s="79">
        <v>240</v>
      </c>
      <c r="P159" s="79">
        <v>160</v>
      </c>
      <c r="Q159" s="79">
        <f t="shared" si="22"/>
        <v>195</v>
      </c>
      <c r="R159" s="79">
        <f t="shared" si="23"/>
        <v>100</v>
      </c>
      <c r="S159" s="76">
        <f t="shared" si="24"/>
        <v>695</v>
      </c>
      <c r="T159" s="76">
        <f>50</f>
        <v>50</v>
      </c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pans="1:30" ht="15.75" x14ac:dyDescent="0.25">
      <c r="A160" s="13">
        <v>45778</v>
      </c>
      <c r="B160" s="90">
        <v>31</v>
      </c>
      <c r="C160" s="76">
        <f>194.205</f>
        <v>194.20500000000001</v>
      </c>
      <c r="D160" s="76">
        <f>267.466</f>
        <v>267.46600000000001</v>
      </c>
      <c r="E160" s="85">
        <f>133.845</f>
        <v>133.845</v>
      </c>
      <c r="F160" s="76">
        <f>278.484-40-25-60-100</f>
        <v>53.48399999999998</v>
      </c>
      <c r="G160" s="79">
        <v>40</v>
      </c>
      <c r="H160" s="76">
        <f t="shared" si="26"/>
        <v>185</v>
      </c>
      <c r="I160" s="76">
        <f t="shared" si="18"/>
        <v>0</v>
      </c>
      <c r="J160" s="79">
        <v>100</v>
      </c>
      <c r="K160" s="79">
        <v>300</v>
      </c>
      <c r="L160" s="76">
        <f t="shared" si="21"/>
        <v>1274</v>
      </c>
      <c r="M160" s="87">
        <v>600</v>
      </c>
      <c r="N160" s="76">
        <f>75</f>
        <v>75</v>
      </c>
      <c r="O160" s="79">
        <v>240</v>
      </c>
      <c r="P160" s="79">
        <v>160</v>
      </c>
      <c r="Q160" s="79">
        <f t="shared" si="22"/>
        <v>195</v>
      </c>
      <c r="R160" s="79">
        <f t="shared" si="23"/>
        <v>100</v>
      </c>
      <c r="S160" s="76">
        <f t="shared" si="24"/>
        <v>695</v>
      </c>
      <c r="T160" s="76">
        <f>50</f>
        <v>50</v>
      </c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pans="1:30" ht="15.75" x14ac:dyDescent="0.25">
      <c r="A161" s="13">
        <v>45809</v>
      </c>
      <c r="B161" s="90">
        <v>30</v>
      </c>
      <c r="C161" s="76">
        <f>194.205</f>
        <v>194.20500000000001</v>
      </c>
      <c r="D161" s="76">
        <f>267.466</f>
        <v>267.46600000000001</v>
      </c>
      <c r="E161" s="85">
        <f>133.845</f>
        <v>133.845</v>
      </c>
      <c r="F161" s="76">
        <f>278.484-40-25-60-100</f>
        <v>53.48399999999998</v>
      </c>
      <c r="G161" s="79">
        <v>40</v>
      </c>
      <c r="H161" s="76">
        <f t="shared" si="26"/>
        <v>185</v>
      </c>
      <c r="I161" s="76">
        <f t="shared" si="18"/>
        <v>0</v>
      </c>
      <c r="J161" s="79">
        <v>100</v>
      </c>
      <c r="K161" s="79">
        <v>300</v>
      </c>
      <c r="L161" s="76">
        <f t="shared" si="21"/>
        <v>1274</v>
      </c>
      <c r="M161" s="87">
        <v>600</v>
      </c>
      <c r="N161" s="76">
        <f>30</f>
        <v>30</v>
      </c>
      <c r="O161" s="79">
        <v>240</v>
      </c>
      <c r="P161" s="79">
        <v>160</v>
      </c>
      <c r="Q161" s="79">
        <f t="shared" si="22"/>
        <v>195</v>
      </c>
      <c r="R161" s="79">
        <f t="shared" si="23"/>
        <v>100</v>
      </c>
      <c r="S161" s="76">
        <f t="shared" si="24"/>
        <v>695</v>
      </c>
      <c r="T161" s="76">
        <f>50</f>
        <v>50</v>
      </c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pans="1:30" ht="15.75" x14ac:dyDescent="0.25">
      <c r="A162" s="13">
        <v>45839</v>
      </c>
      <c r="B162" s="90">
        <v>31</v>
      </c>
      <c r="C162" s="76">
        <f>194.205</f>
        <v>194.20500000000001</v>
      </c>
      <c r="D162" s="76">
        <f>267.466</f>
        <v>267.46600000000001</v>
      </c>
      <c r="E162" s="85">
        <f>133.845</f>
        <v>133.845</v>
      </c>
      <c r="F162" s="76">
        <f>278.484-40-25-60-100</f>
        <v>53.48399999999998</v>
      </c>
      <c r="G162" s="79">
        <v>40</v>
      </c>
      <c r="H162" s="76">
        <f t="shared" si="26"/>
        <v>185</v>
      </c>
      <c r="I162" s="76">
        <f t="shared" si="18"/>
        <v>0</v>
      </c>
      <c r="J162" s="79">
        <v>100</v>
      </c>
      <c r="K162" s="79">
        <v>300</v>
      </c>
      <c r="L162" s="76">
        <f t="shared" si="21"/>
        <v>1274</v>
      </c>
      <c r="M162" s="87">
        <v>600</v>
      </c>
      <c r="N162" s="76">
        <f>30</f>
        <v>30</v>
      </c>
      <c r="O162" s="79">
        <v>240</v>
      </c>
      <c r="P162" s="79">
        <v>160</v>
      </c>
      <c r="Q162" s="79">
        <f t="shared" si="22"/>
        <v>195</v>
      </c>
      <c r="R162" s="79">
        <f t="shared" si="23"/>
        <v>100</v>
      </c>
      <c r="S162" s="76">
        <f t="shared" si="24"/>
        <v>695</v>
      </c>
      <c r="T162" s="76">
        <f>0</f>
        <v>0</v>
      </c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pans="1:30" ht="15.75" x14ac:dyDescent="0.25">
      <c r="A163" s="13">
        <v>45870</v>
      </c>
      <c r="B163" s="90">
        <v>31</v>
      </c>
      <c r="C163" s="76">
        <f>194.205</f>
        <v>194.20500000000001</v>
      </c>
      <c r="D163" s="76">
        <f>267.466</f>
        <v>267.46600000000001</v>
      </c>
      <c r="E163" s="85">
        <f>133.845</f>
        <v>133.845</v>
      </c>
      <c r="F163" s="76">
        <f>278.484-40-25-60-100</f>
        <v>53.48399999999998</v>
      </c>
      <c r="G163" s="79">
        <v>40</v>
      </c>
      <c r="H163" s="76">
        <f t="shared" si="26"/>
        <v>185</v>
      </c>
      <c r="I163" s="76">
        <f t="shared" si="18"/>
        <v>0</v>
      </c>
      <c r="J163" s="79">
        <v>100</v>
      </c>
      <c r="K163" s="79">
        <v>300</v>
      </c>
      <c r="L163" s="76">
        <f t="shared" si="21"/>
        <v>1274</v>
      </c>
      <c r="M163" s="87">
        <v>600</v>
      </c>
      <c r="N163" s="76">
        <f>30</f>
        <v>30</v>
      </c>
      <c r="O163" s="79">
        <v>240</v>
      </c>
      <c r="P163" s="79">
        <v>160</v>
      </c>
      <c r="Q163" s="79">
        <f t="shared" si="22"/>
        <v>195</v>
      </c>
      <c r="R163" s="79">
        <f t="shared" si="23"/>
        <v>100</v>
      </c>
      <c r="S163" s="76">
        <f t="shared" si="24"/>
        <v>695</v>
      </c>
      <c r="T163" s="76">
        <f>0</f>
        <v>0</v>
      </c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pans="1:30" ht="15.75" x14ac:dyDescent="0.25">
      <c r="A164" s="13">
        <v>45901</v>
      </c>
      <c r="B164" s="90">
        <v>30</v>
      </c>
      <c r="C164" s="76">
        <f>194.205</f>
        <v>194.20500000000001</v>
      </c>
      <c r="D164" s="76">
        <f>267.466</f>
        <v>267.46600000000001</v>
      </c>
      <c r="E164" s="85">
        <f>133.845</f>
        <v>133.845</v>
      </c>
      <c r="F164" s="76">
        <f>278.484-40-25-60-100</f>
        <v>53.48399999999998</v>
      </c>
      <c r="G164" s="79">
        <v>40</v>
      </c>
      <c r="H164" s="76">
        <f t="shared" si="26"/>
        <v>185</v>
      </c>
      <c r="I164" s="76">
        <f t="shared" si="18"/>
        <v>0</v>
      </c>
      <c r="J164" s="79">
        <v>100</v>
      </c>
      <c r="K164" s="79">
        <v>300</v>
      </c>
      <c r="L164" s="76">
        <f t="shared" si="21"/>
        <v>1274</v>
      </c>
      <c r="M164" s="87">
        <v>600</v>
      </c>
      <c r="N164" s="76">
        <f>30</f>
        <v>30</v>
      </c>
      <c r="O164" s="79">
        <v>240</v>
      </c>
      <c r="P164" s="79">
        <v>160</v>
      </c>
      <c r="Q164" s="79">
        <f t="shared" si="22"/>
        <v>195</v>
      </c>
      <c r="R164" s="79">
        <f t="shared" si="23"/>
        <v>100</v>
      </c>
      <c r="S164" s="76">
        <f t="shared" si="24"/>
        <v>695</v>
      </c>
      <c r="T164" s="76">
        <f>0</f>
        <v>0</v>
      </c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pans="1:30" ht="15.75" x14ac:dyDescent="0.25">
      <c r="A165" s="13">
        <v>45931</v>
      </c>
      <c r="B165" s="90">
        <v>31</v>
      </c>
      <c r="C165" s="76">
        <f>131.881</f>
        <v>131.881</v>
      </c>
      <c r="D165" s="76">
        <f>277.167</f>
        <v>277.16699999999997</v>
      </c>
      <c r="E165" s="85">
        <f>79.08</f>
        <v>79.08</v>
      </c>
      <c r="F165" s="76">
        <f>350.872-40-25-60-100</f>
        <v>125.87200000000001</v>
      </c>
      <c r="G165" s="79">
        <v>40</v>
      </c>
      <c r="H165" s="76">
        <f t="shared" si="26"/>
        <v>185</v>
      </c>
      <c r="I165" s="76">
        <f t="shared" si="18"/>
        <v>0</v>
      </c>
      <c r="J165" s="79">
        <v>100</v>
      </c>
      <c r="K165" s="79">
        <v>300</v>
      </c>
      <c r="L165" s="76">
        <f t="shared" si="21"/>
        <v>1239</v>
      </c>
      <c r="M165" s="87">
        <v>600</v>
      </c>
      <c r="N165" s="76">
        <f>75</f>
        <v>75</v>
      </c>
      <c r="O165" s="79">
        <v>240</v>
      </c>
      <c r="P165" s="79">
        <v>160</v>
      </c>
      <c r="Q165" s="79">
        <f t="shared" si="22"/>
        <v>195</v>
      </c>
      <c r="R165" s="79">
        <f t="shared" si="23"/>
        <v>100</v>
      </c>
      <c r="S165" s="76">
        <f t="shared" si="24"/>
        <v>695</v>
      </c>
      <c r="T165" s="76">
        <f>0</f>
        <v>0</v>
      </c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pans="1:30" ht="15.75" x14ac:dyDescent="0.25">
      <c r="A166" s="13">
        <v>45962</v>
      </c>
      <c r="B166" s="90">
        <v>30</v>
      </c>
      <c r="C166" s="76">
        <f>122.58</f>
        <v>122.58</v>
      </c>
      <c r="D166" s="76">
        <f>297.941</f>
        <v>297.94099999999997</v>
      </c>
      <c r="E166" s="85">
        <f>89.177</f>
        <v>89.177000000000007</v>
      </c>
      <c r="F166" s="76">
        <f>240.302-40-60-100</f>
        <v>40.301999999999992</v>
      </c>
      <c r="G166" s="79">
        <v>40</v>
      </c>
      <c r="H166" s="76">
        <f>60+100</f>
        <v>160</v>
      </c>
      <c r="I166" s="76">
        <f t="shared" si="18"/>
        <v>0</v>
      </c>
      <c r="J166" s="79">
        <v>100</v>
      </c>
      <c r="K166" s="79">
        <v>300</v>
      </c>
      <c r="L166" s="76">
        <f t="shared" si="21"/>
        <v>1150</v>
      </c>
      <c r="M166" s="87">
        <v>600</v>
      </c>
      <c r="N166" s="76">
        <f>100</f>
        <v>100</v>
      </c>
      <c r="O166" s="79">
        <v>240</v>
      </c>
      <c r="P166" s="79">
        <v>40</v>
      </c>
      <c r="Q166" s="79">
        <f t="shared" si="22"/>
        <v>315</v>
      </c>
      <c r="R166" s="79">
        <f t="shared" si="23"/>
        <v>100</v>
      </c>
      <c r="S166" s="76">
        <f t="shared" si="24"/>
        <v>695</v>
      </c>
      <c r="T166" s="76">
        <f>50</f>
        <v>50</v>
      </c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pans="1:30" ht="15.75" x14ac:dyDescent="0.25">
      <c r="A167" s="13">
        <v>45992</v>
      </c>
      <c r="B167" s="90">
        <v>31</v>
      </c>
      <c r="C167" s="76">
        <f>122.58</f>
        <v>122.58</v>
      </c>
      <c r="D167" s="76">
        <f>297.941</f>
        <v>297.94099999999997</v>
      </c>
      <c r="E167" s="85">
        <f>89.177</f>
        <v>89.177000000000007</v>
      </c>
      <c r="F167" s="76">
        <f>240.302-40-60-100</f>
        <v>40.301999999999992</v>
      </c>
      <c r="G167" s="79">
        <v>40</v>
      </c>
      <c r="H167" s="76">
        <f>60+100</f>
        <v>160</v>
      </c>
      <c r="I167" s="76">
        <f t="shared" si="18"/>
        <v>0</v>
      </c>
      <c r="J167" s="79">
        <v>100</v>
      </c>
      <c r="K167" s="79">
        <v>300</v>
      </c>
      <c r="L167" s="76">
        <f t="shared" si="21"/>
        <v>1150</v>
      </c>
      <c r="M167" s="87">
        <v>600</v>
      </c>
      <c r="N167" s="76">
        <f>100</f>
        <v>100</v>
      </c>
      <c r="O167" s="79">
        <v>240</v>
      </c>
      <c r="P167" s="79">
        <v>40</v>
      </c>
      <c r="Q167" s="79">
        <f t="shared" si="22"/>
        <v>315</v>
      </c>
      <c r="R167" s="79">
        <f t="shared" si="23"/>
        <v>100</v>
      </c>
      <c r="S167" s="76">
        <f t="shared" si="24"/>
        <v>695</v>
      </c>
      <c r="T167" s="76">
        <f>50</f>
        <v>50</v>
      </c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</row>
    <row r="168" spans="1:30" ht="15.75" x14ac:dyDescent="0.25">
      <c r="A168" s="13">
        <v>46023</v>
      </c>
      <c r="B168" s="90">
        <v>31</v>
      </c>
      <c r="C168" s="76">
        <f>122.58</f>
        <v>122.58</v>
      </c>
      <c r="D168" s="76">
        <f>297.941</f>
        <v>297.94099999999997</v>
      </c>
      <c r="E168" s="85">
        <f>89.177</f>
        <v>89.177000000000007</v>
      </c>
      <c r="F168" s="76">
        <f>240.302-40-60-100</f>
        <v>40.301999999999992</v>
      </c>
      <c r="G168" s="79">
        <v>40</v>
      </c>
      <c r="H168" s="76">
        <f>60+100</f>
        <v>160</v>
      </c>
      <c r="I168" s="76">
        <f t="shared" si="18"/>
        <v>0</v>
      </c>
      <c r="J168" s="79">
        <v>100</v>
      </c>
      <c r="K168" s="79">
        <v>300</v>
      </c>
      <c r="L168" s="76">
        <f t="shared" si="21"/>
        <v>1150</v>
      </c>
      <c r="M168" s="87">
        <v>600</v>
      </c>
      <c r="N168" s="76">
        <f>100</f>
        <v>100</v>
      </c>
      <c r="O168" s="79">
        <v>240</v>
      </c>
      <c r="P168" s="79">
        <v>40</v>
      </c>
      <c r="Q168" s="79">
        <f t="shared" si="22"/>
        <v>315</v>
      </c>
      <c r="R168" s="79">
        <f t="shared" si="23"/>
        <v>100</v>
      </c>
      <c r="S168" s="76">
        <f t="shared" si="24"/>
        <v>695</v>
      </c>
      <c r="T168" s="76">
        <f>50</f>
        <v>50</v>
      </c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</row>
    <row r="169" spans="1:30" ht="15.75" x14ac:dyDescent="0.25">
      <c r="A169" s="13">
        <v>46054</v>
      </c>
      <c r="B169" s="90">
        <v>28</v>
      </c>
      <c r="C169" s="76">
        <f>122.58</f>
        <v>122.58</v>
      </c>
      <c r="D169" s="76">
        <f>297.941</f>
        <v>297.94099999999997</v>
      </c>
      <c r="E169" s="85">
        <f>89.177</f>
        <v>89.177000000000007</v>
      </c>
      <c r="F169" s="76">
        <f>240.302-40-60-100</f>
        <v>40.301999999999992</v>
      </c>
      <c r="G169" s="79">
        <v>40</v>
      </c>
      <c r="H169" s="76">
        <f>60+100</f>
        <v>160</v>
      </c>
      <c r="I169" s="76">
        <f t="shared" si="18"/>
        <v>0</v>
      </c>
      <c r="J169" s="79">
        <v>100</v>
      </c>
      <c r="K169" s="79">
        <v>300</v>
      </c>
      <c r="L169" s="76">
        <f t="shared" si="21"/>
        <v>1150</v>
      </c>
      <c r="M169" s="87">
        <v>600</v>
      </c>
      <c r="N169" s="76">
        <f>100</f>
        <v>100</v>
      </c>
      <c r="O169" s="79">
        <v>240</v>
      </c>
      <c r="P169" s="79">
        <v>40</v>
      </c>
      <c r="Q169" s="79">
        <f t="shared" si="22"/>
        <v>315</v>
      </c>
      <c r="R169" s="79">
        <f t="shared" si="23"/>
        <v>100</v>
      </c>
      <c r="S169" s="76">
        <f t="shared" si="24"/>
        <v>695</v>
      </c>
      <c r="T169" s="76">
        <f>50</f>
        <v>50</v>
      </c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</row>
    <row r="170" spans="1:30" ht="15.75" x14ac:dyDescent="0.25">
      <c r="A170" s="13">
        <v>46082</v>
      </c>
      <c r="B170" s="90">
        <v>31</v>
      </c>
      <c r="C170" s="76">
        <f>122.58</f>
        <v>122.58</v>
      </c>
      <c r="D170" s="76">
        <f>297.941</f>
        <v>297.94099999999997</v>
      </c>
      <c r="E170" s="85">
        <f>89.177</f>
        <v>89.177000000000007</v>
      </c>
      <c r="F170" s="76">
        <f>240.302-40-60-100</f>
        <v>40.301999999999992</v>
      </c>
      <c r="G170" s="79">
        <v>40</v>
      </c>
      <c r="H170" s="76">
        <f>60+100</f>
        <v>160</v>
      </c>
      <c r="I170" s="76">
        <f t="shared" si="18"/>
        <v>0</v>
      </c>
      <c r="J170" s="79">
        <v>100</v>
      </c>
      <c r="K170" s="79">
        <v>300</v>
      </c>
      <c r="L170" s="76">
        <f t="shared" si="21"/>
        <v>1150</v>
      </c>
      <c r="M170" s="87">
        <v>600</v>
      </c>
      <c r="N170" s="76">
        <f>100</f>
        <v>100</v>
      </c>
      <c r="O170" s="79">
        <v>240</v>
      </c>
      <c r="P170" s="79">
        <v>40</v>
      </c>
      <c r="Q170" s="79">
        <f t="shared" si="22"/>
        <v>315</v>
      </c>
      <c r="R170" s="79">
        <f t="shared" si="23"/>
        <v>100</v>
      </c>
      <c r="S170" s="76">
        <f t="shared" si="24"/>
        <v>695</v>
      </c>
      <c r="T170" s="76">
        <f>50</f>
        <v>50</v>
      </c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</row>
    <row r="171" spans="1:30" ht="15.75" x14ac:dyDescent="0.25">
      <c r="A171" s="13">
        <v>46113</v>
      </c>
      <c r="B171" s="90">
        <v>30</v>
      </c>
      <c r="C171" s="76">
        <f>141.293</f>
        <v>141.29300000000001</v>
      </c>
      <c r="D171" s="76">
        <f>267.993</f>
        <v>267.99299999999999</v>
      </c>
      <c r="E171" s="85">
        <f>115.016</f>
        <v>115.01600000000001</v>
      </c>
      <c r="F171" s="76">
        <f>314.698-40-25-60-100</f>
        <v>89.697999999999979</v>
      </c>
      <c r="G171" s="79">
        <v>40</v>
      </c>
      <c r="H171" s="76">
        <f t="shared" ref="H171:H177" si="27">25+60+100</f>
        <v>185</v>
      </c>
      <c r="I171" s="76">
        <f t="shared" si="18"/>
        <v>0</v>
      </c>
      <c r="J171" s="79">
        <v>100</v>
      </c>
      <c r="K171" s="79">
        <v>300</v>
      </c>
      <c r="L171" s="76">
        <f t="shared" si="21"/>
        <v>1239</v>
      </c>
      <c r="M171" s="87">
        <v>600</v>
      </c>
      <c r="N171" s="76">
        <f>100</f>
        <v>100</v>
      </c>
      <c r="O171" s="79">
        <v>240</v>
      </c>
      <c r="P171" s="79">
        <v>160</v>
      </c>
      <c r="Q171" s="79">
        <f t="shared" si="22"/>
        <v>195</v>
      </c>
      <c r="R171" s="79">
        <f t="shared" si="23"/>
        <v>100</v>
      </c>
      <c r="S171" s="76">
        <f t="shared" si="24"/>
        <v>695</v>
      </c>
      <c r="T171" s="76">
        <f>50</f>
        <v>50</v>
      </c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</row>
    <row r="172" spans="1:30" ht="15.75" x14ac:dyDescent="0.25">
      <c r="A172" s="13">
        <v>46143</v>
      </c>
      <c r="B172" s="90">
        <v>31</v>
      </c>
      <c r="C172" s="76">
        <f>194.205</f>
        <v>194.20500000000001</v>
      </c>
      <c r="D172" s="76">
        <f>267.466</f>
        <v>267.46600000000001</v>
      </c>
      <c r="E172" s="85">
        <f>133.845</f>
        <v>133.845</v>
      </c>
      <c r="F172" s="76">
        <f>278.484-40-25-60-100</f>
        <v>53.48399999999998</v>
      </c>
      <c r="G172" s="79">
        <v>40</v>
      </c>
      <c r="H172" s="76">
        <f t="shared" si="27"/>
        <v>185</v>
      </c>
      <c r="I172" s="76">
        <f t="shared" si="18"/>
        <v>0</v>
      </c>
      <c r="J172" s="79">
        <v>100</v>
      </c>
      <c r="K172" s="79">
        <v>300</v>
      </c>
      <c r="L172" s="76">
        <f t="shared" si="21"/>
        <v>1274</v>
      </c>
      <c r="M172" s="87">
        <v>600</v>
      </c>
      <c r="N172" s="76">
        <f>75</f>
        <v>75</v>
      </c>
      <c r="O172" s="79">
        <v>240</v>
      </c>
      <c r="P172" s="79">
        <v>160</v>
      </c>
      <c r="Q172" s="79">
        <f t="shared" si="22"/>
        <v>195</v>
      </c>
      <c r="R172" s="79">
        <f t="shared" si="23"/>
        <v>100</v>
      </c>
      <c r="S172" s="76">
        <f t="shared" si="24"/>
        <v>695</v>
      </c>
      <c r="T172" s="76">
        <f>50</f>
        <v>50</v>
      </c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</row>
    <row r="173" spans="1:30" ht="15.75" x14ac:dyDescent="0.25">
      <c r="A173" s="13">
        <v>46174</v>
      </c>
      <c r="B173" s="90">
        <v>30</v>
      </c>
      <c r="C173" s="76">
        <f>194.205</f>
        <v>194.20500000000001</v>
      </c>
      <c r="D173" s="76">
        <f>267.466</f>
        <v>267.46600000000001</v>
      </c>
      <c r="E173" s="85">
        <f>133.845</f>
        <v>133.845</v>
      </c>
      <c r="F173" s="76">
        <f>278.484-40-25-60-100</f>
        <v>53.48399999999998</v>
      </c>
      <c r="G173" s="79">
        <v>40</v>
      </c>
      <c r="H173" s="76">
        <f t="shared" si="27"/>
        <v>185</v>
      </c>
      <c r="I173" s="76">
        <f t="shared" si="18"/>
        <v>0</v>
      </c>
      <c r="J173" s="79">
        <v>100</v>
      </c>
      <c r="K173" s="79">
        <v>300</v>
      </c>
      <c r="L173" s="76">
        <f t="shared" si="21"/>
        <v>1274</v>
      </c>
      <c r="M173" s="87">
        <v>600</v>
      </c>
      <c r="N173" s="76">
        <f>30</f>
        <v>30</v>
      </c>
      <c r="O173" s="79">
        <v>240</v>
      </c>
      <c r="P173" s="79">
        <v>160</v>
      </c>
      <c r="Q173" s="79">
        <f t="shared" si="22"/>
        <v>195</v>
      </c>
      <c r="R173" s="79">
        <f t="shared" si="23"/>
        <v>100</v>
      </c>
      <c r="S173" s="76">
        <f t="shared" si="24"/>
        <v>695</v>
      </c>
      <c r="T173" s="76">
        <f>50</f>
        <v>50</v>
      </c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</row>
    <row r="174" spans="1:30" ht="15.75" x14ac:dyDescent="0.25">
      <c r="A174" s="13">
        <v>46204</v>
      </c>
      <c r="B174" s="90">
        <v>31</v>
      </c>
      <c r="C174" s="76">
        <f>194.205</f>
        <v>194.20500000000001</v>
      </c>
      <c r="D174" s="76">
        <f>267.466</f>
        <v>267.46600000000001</v>
      </c>
      <c r="E174" s="85">
        <f>133.845</f>
        <v>133.845</v>
      </c>
      <c r="F174" s="76">
        <f>278.484-40-25-60-100</f>
        <v>53.48399999999998</v>
      </c>
      <c r="G174" s="79">
        <v>40</v>
      </c>
      <c r="H174" s="76">
        <f t="shared" si="27"/>
        <v>185</v>
      </c>
      <c r="I174" s="76">
        <f t="shared" si="18"/>
        <v>0</v>
      </c>
      <c r="J174" s="79">
        <v>100</v>
      </c>
      <c r="K174" s="79">
        <v>300</v>
      </c>
      <c r="L174" s="76">
        <f t="shared" si="21"/>
        <v>1274</v>
      </c>
      <c r="M174" s="87">
        <v>600</v>
      </c>
      <c r="N174" s="76">
        <f>30</f>
        <v>30</v>
      </c>
      <c r="O174" s="79">
        <v>240</v>
      </c>
      <c r="P174" s="79">
        <v>160</v>
      </c>
      <c r="Q174" s="79">
        <f t="shared" si="22"/>
        <v>195</v>
      </c>
      <c r="R174" s="79">
        <f t="shared" si="23"/>
        <v>100</v>
      </c>
      <c r="S174" s="76">
        <f t="shared" si="24"/>
        <v>695</v>
      </c>
      <c r="T174" s="76">
        <f>0</f>
        <v>0</v>
      </c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</row>
    <row r="175" spans="1:30" ht="15.75" x14ac:dyDescent="0.25">
      <c r="A175" s="13">
        <v>46235</v>
      </c>
      <c r="B175" s="90">
        <v>31</v>
      </c>
      <c r="C175" s="76">
        <f>194.205</f>
        <v>194.20500000000001</v>
      </c>
      <c r="D175" s="76">
        <f>267.466</f>
        <v>267.46600000000001</v>
      </c>
      <c r="E175" s="85">
        <f>133.845</f>
        <v>133.845</v>
      </c>
      <c r="F175" s="76">
        <f>278.484-40-25-60-100</f>
        <v>53.48399999999998</v>
      </c>
      <c r="G175" s="79">
        <v>40</v>
      </c>
      <c r="H175" s="76">
        <f t="shared" si="27"/>
        <v>185</v>
      </c>
      <c r="I175" s="76">
        <f t="shared" si="18"/>
        <v>0</v>
      </c>
      <c r="J175" s="79">
        <v>100</v>
      </c>
      <c r="K175" s="79">
        <v>300</v>
      </c>
      <c r="L175" s="76">
        <f t="shared" si="21"/>
        <v>1274</v>
      </c>
      <c r="M175" s="87">
        <v>600</v>
      </c>
      <c r="N175" s="76">
        <f>30</f>
        <v>30</v>
      </c>
      <c r="O175" s="79">
        <v>240</v>
      </c>
      <c r="P175" s="79">
        <v>160</v>
      </c>
      <c r="Q175" s="79">
        <f t="shared" si="22"/>
        <v>195</v>
      </c>
      <c r="R175" s="79">
        <f t="shared" si="23"/>
        <v>100</v>
      </c>
      <c r="S175" s="76">
        <f t="shared" si="24"/>
        <v>695</v>
      </c>
      <c r="T175" s="76">
        <f>0</f>
        <v>0</v>
      </c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</row>
    <row r="176" spans="1:30" ht="15.75" x14ac:dyDescent="0.25">
      <c r="A176" s="13">
        <v>46266</v>
      </c>
      <c r="B176" s="90">
        <v>30</v>
      </c>
      <c r="C176" s="76">
        <f>194.205</f>
        <v>194.20500000000001</v>
      </c>
      <c r="D176" s="76">
        <f>267.466</f>
        <v>267.46600000000001</v>
      </c>
      <c r="E176" s="85">
        <f>133.845</f>
        <v>133.845</v>
      </c>
      <c r="F176" s="76">
        <f>278.484-40-25-60-100</f>
        <v>53.48399999999998</v>
      </c>
      <c r="G176" s="79">
        <v>40</v>
      </c>
      <c r="H176" s="76">
        <f t="shared" si="27"/>
        <v>185</v>
      </c>
      <c r="I176" s="76">
        <f t="shared" si="18"/>
        <v>0</v>
      </c>
      <c r="J176" s="79">
        <v>100</v>
      </c>
      <c r="K176" s="79">
        <v>300</v>
      </c>
      <c r="L176" s="76">
        <f t="shared" si="21"/>
        <v>1274</v>
      </c>
      <c r="M176" s="87">
        <v>600</v>
      </c>
      <c r="N176" s="76">
        <f>30</f>
        <v>30</v>
      </c>
      <c r="O176" s="79">
        <v>240</v>
      </c>
      <c r="P176" s="79">
        <v>160</v>
      </c>
      <c r="Q176" s="79">
        <f t="shared" si="22"/>
        <v>195</v>
      </c>
      <c r="R176" s="79">
        <f t="shared" si="23"/>
        <v>100</v>
      </c>
      <c r="S176" s="76">
        <f t="shared" si="24"/>
        <v>695</v>
      </c>
      <c r="T176" s="76">
        <f>0</f>
        <v>0</v>
      </c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</row>
    <row r="177" spans="1:30" ht="15.75" x14ac:dyDescent="0.25">
      <c r="A177" s="13">
        <v>46296</v>
      </c>
      <c r="B177" s="90">
        <v>31</v>
      </c>
      <c r="C177" s="76">
        <f>131.881</f>
        <v>131.881</v>
      </c>
      <c r="D177" s="76">
        <f>277.167</f>
        <v>277.16699999999997</v>
      </c>
      <c r="E177" s="85">
        <f>79.08</f>
        <v>79.08</v>
      </c>
      <c r="F177" s="76">
        <f>350.872-40-25-60-100</f>
        <v>125.87200000000001</v>
      </c>
      <c r="G177" s="79">
        <v>40</v>
      </c>
      <c r="H177" s="76">
        <f t="shared" si="27"/>
        <v>185</v>
      </c>
      <c r="I177" s="76">
        <f t="shared" si="18"/>
        <v>0</v>
      </c>
      <c r="J177" s="79">
        <v>100</v>
      </c>
      <c r="K177" s="79">
        <v>300</v>
      </c>
      <c r="L177" s="76">
        <f t="shared" si="21"/>
        <v>1239</v>
      </c>
      <c r="M177" s="87">
        <v>600</v>
      </c>
      <c r="N177" s="76">
        <f>75</f>
        <v>75</v>
      </c>
      <c r="O177" s="79">
        <v>240</v>
      </c>
      <c r="P177" s="79">
        <v>160</v>
      </c>
      <c r="Q177" s="79">
        <f t="shared" si="22"/>
        <v>195</v>
      </c>
      <c r="R177" s="79">
        <f t="shared" si="23"/>
        <v>100</v>
      </c>
      <c r="S177" s="76">
        <f t="shared" si="24"/>
        <v>695</v>
      </c>
      <c r="T177" s="76">
        <f>0</f>
        <v>0</v>
      </c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</row>
    <row r="178" spans="1:30" ht="15.75" x14ac:dyDescent="0.25">
      <c r="A178" s="13">
        <v>46327</v>
      </c>
      <c r="B178" s="90">
        <v>30</v>
      </c>
      <c r="C178" s="76">
        <f>122.58</f>
        <v>122.58</v>
      </c>
      <c r="D178" s="76">
        <f>297.941</f>
        <v>297.94099999999997</v>
      </c>
      <c r="E178" s="85">
        <f>89.177</f>
        <v>89.177000000000007</v>
      </c>
      <c r="F178" s="76">
        <f>240.302-40-60-100</f>
        <v>40.301999999999992</v>
      </c>
      <c r="G178" s="79">
        <v>40</v>
      </c>
      <c r="H178" s="76">
        <f>60+100</f>
        <v>160</v>
      </c>
      <c r="I178" s="76">
        <f t="shared" si="18"/>
        <v>0</v>
      </c>
      <c r="J178" s="79">
        <v>100</v>
      </c>
      <c r="K178" s="79">
        <v>300</v>
      </c>
      <c r="L178" s="76">
        <f t="shared" si="21"/>
        <v>1150</v>
      </c>
      <c r="M178" s="87">
        <v>600</v>
      </c>
      <c r="N178" s="76">
        <f>100</f>
        <v>100</v>
      </c>
      <c r="O178" s="79">
        <v>240</v>
      </c>
      <c r="P178" s="79">
        <v>40</v>
      </c>
      <c r="Q178" s="79">
        <f t="shared" si="22"/>
        <v>315</v>
      </c>
      <c r="R178" s="79">
        <f t="shared" si="23"/>
        <v>100</v>
      </c>
      <c r="S178" s="76">
        <f t="shared" si="24"/>
        <v>695</v>
      </c>
      <c r="T178" s="76">
        <f>50</f>
        <v>50</v>
      </c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</row>
    <row r="179" spans="1:30" ht="15.75" x14ac:dyDescent="0.25">
      <c r="A179" s="13">
        <v>46357</v>
      </c>
      <c r="B179" s="90">
        <v>31</v>
      </c>
      <c r="C179" s="76">
        <f>122.58</f>
        <v>122.58</v>
      </c>
      <c r="D179" s="76">
        <f>297.941</f>
        <v>297.94099999999997</v>
      </c>
      <c r="E179" s="85">
        <f>89.177</f>
        <v>89.177000000000007</v>
      </c>
      <c r="F179" s="76">
        <f>240.302-40-60-100</f>
        <v>40.301999999999992</v>
      </c>
      <c r="G179" s="79">
        <v>40</v>
      </c>
      <c r="H179" s="76">
        <f>60+100</f>
        <v>160</v>
      </c>
      <c r="I179" s="76">
        <f t="shared" si="18"/>
        <v>0</v>
      </c>
      <c r="J179" s="79">
        <v>100</v>
      </c>
      <c r="K179" s="79">
        <v>300</v>
      </c>
      <c r="L179" s="76">
        <f t="shared" si="21"/>
        <v>1150</v>
      </c>
      <c r="M179" s="87">
        <v>600</v>
      </c>
      <c r="N179" s="76">
        <f>100</f>
        <v>100</v>
      </c>
      <c r="O179" s="79">
        <v>240</v>
      </c>
      <c r="P179" s="79">
        <v>40</v>
      </c>
      <c r="Q179" s="79">
        <f t="shared" si="22"/>
        <v>315</v>
      </c>
      <c r="R179" s="79">
        <f t="shared" si="23"/>
        <v>100</v>
      </c>
      <c r="S179" s="76">
        <f t="shared" si="24"/>
        <v>695</v>
      </c>
      <c r="T179" s="76">
        <f>50</f>
        <v>50</v>
      </c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</row>
    <row r="180" spans="1:30" ht="15.75" x14ac:dyDescent="0.25">
      <c r="A180" s="13">
        <v>46388</v>
      </c>
      <c r="B180" s="90">
        <v>31</v>
      </c>
      <c r="C180" s="76">
        <f>122.58</f>
        <v>122.58</v>
      </c>
      <c r="D180" s="76">
        <f>297.941</f>
        <v>297.94099999999997</v>
      </c>
      <c r="E180" s="85">
        <f>89.177</f>
        <v>89.177000000000007</v>
      </c>
      <c r="F180" s="76">
        <f>240.302-40-60-100</f>
        <v>40.301999999999992</v>
      </c>
      <c r="G180" s="79">
        <v>40</v>
      </c>
      <c r="H180" s="76">
        <f>60+100</f>
        <v>160</v>
      </c>
      <c r="I180" s="76">
        <f t="shared" ref="I180:I243" si="28">400-J180-K180</f>
        <v>0</v>
      </c>
      <c r="J180" s="79">
        <v>100</v>
      </c>
      <c r="K180" s="79">
        <v>300</v>
      </c>
      <c r="L180" s="76">
        <f t="shared" si="21"/>
        <v>1150</v>
      </c>
      <c r="M180" s="87">
        <v>600</v>
      </c>
      <c r="N180" s="76">
        <f>100</f>
        <v>100</v>
      </c>
      <c r="O180" s="79">
        <v>240</v>
      </c>
      <c r="P180" s="79">
        <v>40</v>
      </c>
      <c r="Q180" s="79">
        <f t="shared" si="22"/>
        <v>315</v>
      </c>
      <c r="R180" s="79">
        <f t="shared" si="23"/>
        <v>100</v>
      </c>
      <c r="S180" s="76">
        <f t="shared" si="24"/>
        <v>695</v>
      </c>
      <c r="T180" s="76">
        <f>50</f>
        <v>50</v>
      </c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</row>
    <row r="181" spans="1:30" ht="15.75" x14ac:dyDescent="0.25">
      <c r="A181" s="13">
        <v>46419</v>
      </c>
      <c r="B181" s="90">
        <v>28</v>
      </c>
      <c r="C181" s="76">
        <f>122.58</f>
        <v>122.58</v>
      </c>
      <c r="D181" s="76">
        <f>297.941</f>
        <v>297.94099999999997</v>
      </c>
      <c r="E181" s="85">
        <f>89.177</f>
        <v>89.177000000000007</v>
      </c>
      <c r="F181" s="76">
        <f>240.302-40-60-100</f>
        <v>40.301999999999992</v>
      </c>
      <c r="G181" s="79">
        <v>40</v>
      </c>
      <c r="H181" s="76">
        <f>60+100</f>
        <v>160</v>
      </c>
      <c r="I181" s="76">
        <f t="shared" si="28"/>
        <v>0</v>
      </c>
      <c r="J181" s="79">
        <v>100</v>
      </c>
      <c r="K181" s="79">
        <v>300</v>
      </c>
      <c r="L181" s="76">
        <f t="shared" si="21"/>
        <v>1150</v>
      </c>
      <c r="M181" s="87">
        <v>600</v>
      </c>
      <c r="N181" s="76">
        <f>100</f>
        <v>100</v>
      </c>
      <c r="O181" s="79">
        <v>240</v>
      </c>
      <c r="P181" s="79">
        <v>40</v>
      </c>
      <c r="Q181" s="79">
        <f t="shared" si="22"/>
        <v>315</v>
      </c>
      <c r="R181" s="79">
        <f t="shared" si="23"/>
        <v>100</v>
      </c>
      <c r="S181" s="76">
        <f t="shared" si="24"/>
        <v>695</v>
      </c>
      <c r="T181" s="76">
        <f>50</f>
        <v>50</v>
      </c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</row>
    <row r="182" spans="1:30" ht="15.75" x14ac:dyDescent="0.25">
      <c r="A182" s="13">
        <v>46447</v>
      </c>
      <c r="B182" s="90">
        <v>31</v>
      </c>
      <c r="C182" s="76">
        <f>122.58</f>
        <v>122.58</v>
      </c>
      <c r="D182" s="76">
        <f>297.941</f>
        <v>297.94099999999997</v>
      </c>
      <c r="E182" s="85">
        <f>89.177</f>
        <v>89.177000000000007</v>
      </c>
      <c r="F182" s="76">
        <f>240.302-40-60-100</f>
        <v>40.301999999999992</v>
      </c>
      <c r="G182" s="79">
        <v>40</v>
      </c>
      <c r="H182" s="76">
        <f>60+100</f>
        <v>160</v>
      </c>
      <c r="I182" s="76">
        <f t="shared" si="28"/>
        <v>0</v>
      </c>
      <c r="J182" s="79">
        <v>100</v>
      </c>
      <c r="K182" s="79">
        <v>300</v>
      </c>
      <c r="L182" s="76">
        <f t="shared" si="21"/>
        <v>1150</v>
      </c>
      <c r="M182" s="87">
        <v>600</v>
      </c>
      <c r="N182" s="76">
        <f>100</f>
        <v>100</v>
      </c>
      <c r="O182" s="79">
        <v>240</v>
      </c>
      <c r="P182" s="79">
        <v>40</v>
      </c>
      <c r="Q182" s="79">
        <f t="shared" si="22"/>
        <v>315</v>
      </c>
      <c r="R182" s="79">
        <f t="shared" si="23"/>
        <v>100</v>
      </c>
      <c r="S182" s="76">
        <f t="shared" si="24"/>
        <v>695</v>
      </c>
      <c r="T182" s="76">
        <f>50</f>
        <v>50</v>
      </c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</row>
    <row r="183" spans="1:30" ht="15.75" x14ac:dyDescent="0.25">
      <c r="A183" s="13">
        <v>46478</v>
      </c>
      <c r="B183" s="90">
        <v>30</v>
      </c>
      <c r="C183" s="76">
        <f>141.293</f>
        <v>141.29300000000001</v>
      </c>
      <c r="D183" s="76">
        <f>267.993</f>
        <v>267.99299999999999</v>
      </c>
      <c r="E183" s="85">
        <f>115.016</f>
        <v>115.01600000000001</v>
      </c>
      <c r="F183" s="76">
        <f>314.698-40-25-60-100</f>
        <v>89.697999999999979</v>
      </c>
      <c r="G183" s="79">
        <v>40</v>
      </c>
      <c r="H183" s="76">
        <f t="shared" ref="H183:H189" si="29">25+60+100</f>
        <v>185</v>
      </c>
      <c r="I183" s="76">
        <f t="shared" si="28"/>
        <v>0</v>
      </c>
      <c r="J183" s="79">
        <v>100</v>
      </c>
      <c r="K183" s="79">
        <v>300</v>
      </c>
      <c r="L183" s="76">
        <f t="shared" si="21"/>
        <v>1239</v>
      </c>
      <c r="M183" s="87">
        <v>600</v>
      </c>
      <c r="N183" s="76">
        <f>100</f>
        <v>100</v>
      </c>
      <c r="O183" s="79">
        <v>240</v>
      </c>
      <c r="P183" s="79">
        <v>160</v>
      </c>
      <c r="Q183" s="79">
        <f t="shared" si="22"/>
        <v>195</v>
      </c>
      <c r="R183" s="79">
        <f t="shared" si="23"/>
        <v>100</v>
      </c>
      <c r="S183" s="76">
        <f t="shared" si="24"/>
        <v>695</v>
      </c>
      <c r="T183" s="76">
        <f>50</f>
        <v>50</v>
      </c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</row>
    <row r="184" spans="1:30" ht="15.75" x14ac:dyDescent="0.25">
      <c r="A184" s="13">
        <v>46508</v>
      </c>
      <c r="B184" s="90">
        <v>31</v>
      </c>
      <c r="C184" s="76">
        <f>194.205</f>
        <v>194.20500000000001</v>
      </c>
      <c r="D184" s="76">
        <f>267.466</f>
        <v>267.46600000000001</v>
      </c>
      <c r="E184" s="85">
        <f>133.845</f>
        <v>133.845</v>
      </c>
      <c r="F184" s="76">
        <f>278.484-40-25-60-100</f>
        <v>53.48399999999998</v>
      </c>
      <c r="G184" s="79">
        <v>40</v>
      </c>
      <c r="H184" s="76">
        <f t="shared" si="29"/>
        <v>185</v>
      </c>
      <c r="I184" s="76">
        <f t="shared" si="28"/>
        <v>0</v>
      </c>
      <c r="J184" s="79">
        <v>100</v>
      </c>
      <c r="K184" s="79">
        <v>300</v>
      </c>
      <c r="L184" s="76">
        <f t="shared" si="21"/>
        <v>1274</v>
      </c>
      <c r="M184" s="87">
        <v>600</v>
      </c>
      <c r="N184" s="76">
        <f>75</f>
        <v>75</v>
      </c>
      <c r="O184" s="79">
        <v>240</v>
      </c>
      <c r="P184" s="79">
        <v>160</v>
      </c>
      <c r="Q184" s="79">
        <f t="shared" si="22"/>
        <v>195</v>
      </c>
      <c r="R184" s="79">
        <f t="shared" si="23"/>
        <v>100</v>
      </c>
      <c r="S184" s="76">
        <f t="shared" si="24"/>
        <v>695</v>
      </c>
      <c r="T184" s="76">
        <f>50</f>
        <v>50</v>
      </c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</row>
    <row r="185" spans="1:30" ht="15.75" x14ac:dyDescent="0.25">
      <c r="A185" s="13">
        <v>46539</v>
      </c>
      <c r="B185" s="90">
        <v>30</v>
      </c>
      <c r="C185" s="76">
        <f>194.205</f>
        <v>194.20500000000001</v>
      </c>
      <c r="D185" s="76">
        <f>267.466</f>
        <v>267.46600000000001</v>
      </c>
      <c r="E185" s="85">
        <f>133.845</f>
        <v>133.845</v>
      </c>
      <c r="F185" s="76">
        <f>278.484-40-25-60-100</f>
        <v>53.48399999999998</v>
      </c>
      <c r="G185" s="79">
        <v>40</v>
      </c>
      <c r="H185" s="76">
        <f t="shared" si="29"/>
        <v>185</v>
      </c>
      <c r="I185" s="76">
        <f t="shared" si="28"/>
        <v>0</v>
      </c>
      <c r="J185" s="79">
        <v>100</v>
      </c>
      <c r="K185" s="79">
        <v>300</v>
      </c>
      <c r="L185" s="76">
        <f t="shared" si="21"/>
        <v>1274</v>
      </c>
      <c r="M185" s="87">
        <v>600</v>
      </c>
      <c r="N185" s="76">
        <f>30</f>
        <v>30</v>
      </c>
      <c r="O185" s="79">
        <v>240</v>
      </c>
      <c r="P185" s="79">
        <v>160</v>
      </c>
      <c r="Q185" s="79">
        <f t="shared" si="22"/>
        <v>195</v>
      </c>
      <c r="R185" s="79">
        <f t="shared" si="23"/>
        <v>100</v>
      </c>
      <c r="S185" s="76">
        <f t="shared" si="24"/>
        <v>695</v>
      </c>
      <c r="T185" s="76">
        <f>50</f>
        <v>50</v>
      </c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</row>
    <row r="186" spans="1:30" ht="15.75" x14ac:dyDescent="0.25">
      <c r="A186" s="13">
        <v>46569</v>
      </c>
      <c r="B186" s="90">
        <v>31</v>
      </c>
      <c r="C186" s="76">
        <f>194.205</f>
        <v>194.20500000000001</v>
      </c>
      <c r="D186" s="76">
        <f>267.466</f>
        <v>267.46600000000001</v>
      </c>
      <c r="E186" s="85">
        <f>133.845</f>
        <v>133.845</v>
      </c>
      <c r="F186" s="76">
        <f>278.484-40-25-60-100</f>
        <v>53.48399999999998</v>
      </c>
      <c r="G186" s="79">
        <v>40</v>
      </c>
      <c r="H186" s="76">
        <f t="shared" si="29"/>
        <v>185</v>
      </c>
      <c r="I186" s="76">
        <f t="shared" si="28"/>
        <v>0</v>
      </c>
      <c r="J186" s="79">
        <v>100</v>
      </c>
      <c r="K186" s="79">
        <v>300</v>
      </c>
      <c r="L186" s="76">
        <f t="shared" si="21"/>
        <v>1274</v>
      </c>
      <c r="M186" s="87">
        <v>600</v>
      </c>
      <c r="N186" s="76">
        <f>30</f>
        <v>30</v>
      </c>
      <c r="O186" s="79">
        <v>240</v>
      </c>
      <c r="P186" s="79">
        <v>160</v>
      </c>
      <c r="Q186" s="79">
        <f t="shared" si="22"/>
        <v>195</v>
      </c>
      <c r="R186" s="79">
        <f t="shared" si="23"/>
        <v>100</v>
      </c>
      <c r="S186" s="76">
        <f t="shared" si="24"/>
        <v>695</v>
      </c>
      <c r="T186" s="76">
        <f>0</f>
        <v>0</v>
      </c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</row>
    <row r="187" spans="1:30" ht="15.75" x14ac:dyDescent="0.25">
      <c r="A187" s="13">
        <v>46600</v>
      </c>
      <c r="B187" s="90">
        <v>31</v>
      </c>
      <c r="C187" s="76">
        <f>194.205</f>
        <v>194.20500000000001</v>
      </c>
      <c r="D187" s="76">
        <f>267.466</f>
        <v>267.46600000000001</v>
      </c>
      <c r="E187" s="85">
        <f>133.845</f>
        <v>133.845</v>
      </c>
      <c r="F187" s="76">
        <f>278.484-40-25-60-100</f>
        <v>53.48399999999998</v>
      </c>
      <c r="G187" s="79">
        <v>40</v>
      </c>
      <c r="H187" s="76">
        <f t="shared" si="29"/>
        <v>185</v>
      </c>
      <c r="I187" s="76">
        <f t="shared" si="28"/>
        <v>0</v>
      </c>
      <c r="J187" s="79">
        <v>100</v>
      </c>
      <c r="K187" s="79">
        <v>300</v>
      </c>
      <c r="L187" s="76">
        <f t="shared" si="21"/>
        <v>1274</v>
      </c>
      <c r="M187" s="87">
        <v>600</v>
      </c>
      <c r="N187" s="76">
        <f>30</f>
        <v>30</v>
      </c>
      <c r="O187" s="79">
        <v>240</v>
      </c>
      <c r="P187" s="79">
        <v>160</v>
      </c>
      <c r="Q187" s="79">
        <f t="shared" si="22"/>
        <v>195</v>
      </c>
      <c r="R187" s="79">
        <f t="shared" si="23"/>
        <v>100</v>
      </c>
      <c r="S187" s="76">
        <f t="shared" si="24"/>
        <v>695</v>
      </c>
      <c r="T187" s="76">
        <f>0</f>
        <v>0</v>
      </c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</row>
    <row r="188" spans="1:30" ht="15.75" x14ac:dyDescent="0.25">
      <c r="A188" s="13">
        <v>46631</v>
      </c>
      <c r="B188" s="90">
        <v>30</v>
      </c>
      <c r="C188" s="76">
        <f>194.205</f>
        <v>194.20500000000001</v>
      </c>
      <c r="D188" s="76">
        <f>267.466</f>
        <v>267.46600000000001</v>
      </c>
      <c r="E188" s="85">
        <f>133.845</f>
        <v>133.845</v>
      </c>
      <c r="F188" s="76">
        <f>278.484-40-25-60-100</f>
        <v>53.48399999999998</v>
      </c>
      <c r="G188" s="79">
        <v>40</v>
      </c>
      <c r="H188" s="76">
        <f t="shared" si="29"/>
        <v>185</v>
      </c>
      <c r="I188" s="76">
        <f t="shared" si="28"/>
        <v>0</v>
      </c>
      <c r="J188" s="79">
        <v>100</v>
      </c>
      <c r="K188" s="79">
        <v>300</v>
      </c>
      <c r="L188" s="76">
        <f t="shared" si="21"/>
        <v>1274</v>
      </c>
      <c r="M188" s="87">
        <v>600</v>
      </c>
      <c r="N188" s="76">
        <f>30</f>
        <v>30</v>
      </c>
      <c r="O188" s="79">
        <v>240</v>
      </c>
      <c r="P188" s="79">
        <v>160</v>
      </c>
      <c r="Q188" s="79">
        <f t="shared" si="22"/>
        <v>195</v>
      </c>
      <c r="R188" s="79">
        <f t="shared" si="23"/>
        <v>100</v>
      </c>
      <c r="S188" s="76">
        <f t="shared" si="24"/>
        <v>695</v>
      </c>
      <c r="T188" s="76">
        <f>0</f>
        <v>0</v>
      </c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</row>
    <row r="189" spans="1:30" ht="15.75" x14ac:dyDescent="0.25">
      <c r="A189" s="13">
        <v>46661</v>
      </c>
      <c r="B189" s="90">
        <v>31</v>
      </c>
      <c r="C189" s="76">
        <f>131.881</f>
        <v>131.881</v>
      </c>
      <c r="D189" s="76">
        <f>277.167</f>
        <v>277.16699999999997</v>
      </c>
      <c r="E189" s="85">
        <f>79.08</f>
        <v>79.08</v>
      </c>
      <c r="F189" s="76">
        <f>350.872-40-25-60-100</f>
        <v>125.87200000000001</v>
      </c>
      <c r="G189" s="79">
        <v>40</v>
      </c>
      <c r="H189" s="76">
        <f t="shared" si="29"/>
        <v>185</v>
      </c>
      <c r="I189" s="76">
        <f t="shared" si="28"/>
        <v>0</v>
      </c>
      <c r="J189" s="79">
        <v>100</v>
      </c>
      <c r="K189" s="79">
        <v>300</v>
      </c>
      <c r="L189" s="76">
        <f t="shared" si="21"/>
        <v>1239</v>
      </c>
      <c r="M189" s="87">
        <v>600</v>
      </c>
      <c r="N189" s="76">
        <f>75</f>
        <v>75</v>
      </c>
      <c r="O189" s="79">
        <v>240</v>
      </c>
      <c r="P189" s="79">
        <v>160</v>
      </c>
      <c r="Q189" s="79">
        <f t="shared" si="22"/>
        <v>195</v>
      </c>
      <c r="R189" s="79">
        <f t="shared" si="23"/>
        <v>100</v>
      </c>
      <c r="S189" s="76">
        <f t="shared" si="24"/>
        <v>695</v>
      </c>
      <c r="T189" s="76">
        <f>0</f>
        <v>0</v>
      </c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</row>
    <row r="190" spans="1:30" ht="15.75" x14ac:dyDescent="0.25">
      <c r="A190" s="13">
        <v>46692</v>
      </c>
      <c r="B190" s="90">
        <v>30</v>
      </c>
      <c r="C190" s="76">
        <f>122.58</f>
        <v>122.58</v>
      </c>
      <c r="D190" s="76">
        <f>297.941</f>
        <v>297.94099999999997</v>
      </c>
      <c r="E190" s="85">
        <f>89.177</f>
        <v>89.177000000000007</v>
      </c>
      <c r="F190" s="76">
        <f>240.302-40-60-100</f>
        <v>40.301999999999992</v>
      </c>
      <c r="G190" s="79">
        <v>40</v>
      </c>
      <c r="H190" s="76">
        <f>60+100</f>
        <v>160</v>
      </c>
      <c r="I190" s="76">
        <f t="shared" si="28"/>
        <v>0</v>
      </c>
      <c r="J190" s="79">
        <v>100</v>
      </c>
      <c r="K190" s="79">
        <v>300</v>
      </c>
      <c r="L190" s="76">
        <f t="shared" si="21"/>
        <v>1150</v>
      </c>
      <c r="M190" s="87">
        <v>600</v>
      </c>
      <c r="N190" s="76">
        <f>100</f>
        <v>100</v>
      </c>
      <c r="O190" s="79">
        <v>240</v>
      </c>
      <c r="P190" s="79">
        <v>40</v>
      </c>
      <c r="Q190" s="79">
        <f t="shared" si="22"/>
        <v>315</v>
      </c>
      <c r="R190" s="79">
        <f t="shared" si="23"/>
        <v>100</v>
      </c>
      <c r="S190" s="76">
        <f t="shared" si="24"/>
        <v>695</v>
      </c>
      <c r="T190" s="76">
        <f>50</f>
        <v>50</v>
      </c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</row>
    <row r="191" spans="1:30" ht="15.75" x14ac:dyDescent="0.25">
      <c r="A191" s="13">
        <v>46722</v>
      </c>
      <c r="B191" s="90">
        <v>31</v>
      </c>
      <c r="C191" s="76">
        <f>122.58</f>
        <v>122.58</v>
      </c>
      <c r="D191" s="76">
        <f>297.941</f>
        <v>297.94099999999997</v>
      </c>
      <c r="E191" s="85">
        <f>89.177</f>
        <v>89.177000000000007</v>
      </c>
      <c r="F191" s="76">
        <f>240.302-40-60-100</f>
        <v>40.301999999999992</v>
      </c>
      <c r="G191" s="79">
        <v>40</v>
      </c>
      <c r="H191" s="76">
        <f>60+100</f>
        <v>160</v>
      </c>
      <c r="I191" s="76">
        <f t="shared" si="28"/>
        <v>0</v>
      </c>
      <c r="J191" s="79">
        <v>100</v>
      </c>
      <c r="K191" s="79">
        <v>300</v>
      </c>
      <c r="L191" s="76">
        <f t="shared" si="21"/>
        <v>1150</v>
      </c>
      <c r="M191" s="87">
        <v>600</v>
      </c>
      <c r="N191" s="76">
        <f>100</f>
        <v>100</v>
      </c>
      <c r="O191" s="79">
        <v>240</v>
      </c>
      <c r="P191" s="79">
        <v>40</v>
      </c>
      <c r="Q191" s="79">
        <f t="shared" si="22"/>
        <v>315</v>
      </c>
      <c r="R191" s="79">
        <f t="shared" si="23"/>
        <v>100</v>
      </c>
      <c r="S191" s="76">
        <f t="shared" si="24"/>
        <v>695</v>
      </c>
      <c r="T191" s="76">
        <f>50</f>
        <v>50</v>
      </c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</row>
    <row r="192" spans="1:30" ht="15.75" x14ac:dyDescent="0.25">
      <c r="A192" s="13">
        <v>46753</v>
      </c>
      <c r="B192" s="90">
        <v>31</v>
      </c>
      <c r="C192" s="76">
        <f>122.58</f>
        <v>122.58</v>
      </c>
      <c r="D192" s="76">
        <f>297.941</f>
        <v>297.94099999999997</v>
      </c>
      <c r="E192" s="85">
        <f>89.177</f>
        <v>89.177000000000007</v>
      </c>
      <c r="F192" s="76">
        <f>240.302-40-60-100</f>
        <v>40.301999999999992</v>
      </c>
      <c r="G192" s="79">
        <v>40</v>
      </c>
      <c r="H192" s="76">
        <f>60+100</f>
        <v>160</v>
      </c>
      <c r="I192" s="76">
        <f t="shared" si="28"/>
        <v>0</v>
      </c>
      <c r="J192" s="79">
        <v>100</v>
      </c>
      <c r="K192" s="79">
        <v>300</v>
      </c>
      <c r="L192" s="76">
        <f t="shared" si="21"/>
        <v>1150</v>
      </c>
      <c r="M192" s="87">
        <v>600</v>
      </c>
      <c r="N192" s="76">
        <f>100</f>
        <v>100</v>
      </c>
      <c r="O192" s="79">
        <v>240</v>
      </c>
      <c r="P192" s="79">
        <v>40</v>
      </c>
      <c r="Q192" s="79">
        <f t="shared" si="22"/>
        <v>315</v>
      </c>
      <c r="R192" s="79">
        <f t="shared" si="23"/>
        <v>100</v>
      </c>
      <c r="S192" s="76">
        <f t="shared" si="24"/>
        <v>695</v>
      </c>
      <c r="T192" s="76">
        <f>50</f>
        <v>50</v>
      </c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</row>
    <row r="193" spans="1:30" ht="15.75" x14ac:dyDescent="0.25">
      <c r="A193" s="13">
        <v>46784</v>
      </c>
      <c r="B193" s="90">
        <v>29</v>
      </c>
      <c r="C193" s="76">
        <f>122.58</f>
        <v>122.58</v>
      </c>
      <c r="D193" s="76">
        <f>297.941</f>
        <v>297.94099999999997</v>
      </c>
      <c r="E193" s="85">
        <f>89.177</f>
        <v>89.177000000000007</v>
      </c>
      <c r="F193" s="76">
        <f>240.302-40-60-100</f>
        <v>40.301999999999992</v>
      </c>
      <c r="G193" s="79">
        <v>40</v>
      </c>
      <c r="H193" s="76">
        <f>60+100</f>
        <v>160</v>
      </c>
      <c r="I193" s="76">
        <f t="shared" si="28"/>
        <v>0</v>
      </c>
      <c r="J193" s="79">
        <v>100</v>
      </c>
      <c r="K193" s="79">
        <v>300</v>
      </c>
      <c r="L193" s="76">
        <f t="shared" si="21"/>
        <v>1150</v>
      </c>
      <c r="M193" s="87">
        <v>600</v>
      </c>
      <c r="N193" s="76">
        <f>100</f>
        <v>100</v>
      </c>
      <c r="O193" s="79">
        <v>240</v>
      </c>
      <c r="P193" s="79">
        <v>40</v>
      </c>
      <c r="Q193" s="79">
        <f t="shared" si="22"/>
        <v>315</v>
      </c>
      <c r="R193" s="79">
        <f t="shared" si="23"/>
        <v>100</v>
      </c>
      <c r="S193" s="76">
        <f t="shared" si="24"/>
        <v>695</v>
      </c>
      <c r="T193" s="76">
        <f>50</f>
        <v>50</v>
      </c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</row>
    <row r="194" spans="1:30" ht="15.75" x14ac:dyDescent="0.25">
      <c r="A194" s="13">
        <v>46813</v>
      </c>
      <c r="B194" s="90">
        <v>31</v>
      </c>
      <c r="C194" s="76">
        <f>122.58</f>
        <v>122.58</v>
      </c>
      <c r="D194" s="76">
        <f>297.941</f>
        <v>297.94099999999997</v>
      </c>
      <c r="E194" s="85">
        <f>89.177</f>
        <v>89.177000000000007</v>
      </c>
      <c r="F194" s="76">
        <f>240.302-40-60-100</f>
        <v>40.301999999999992</v>
      </c>
      <c r="G194" s="79">
        <v>40</v>
      </c>
      <c r="H194" s="76">
        <f>60+100</f>
        <v>160</v>
      </c>
      <c r="I194" s="76">
        <f t="shared" si="28"/>
        <v>0</v>
      </c>
      <c r="J194" s="79">
        <v>100</v>
      </c>
      <c r="K194" s="79">
        <v>300</v>
      </c>
      <c r="L194" s="76">
        <f t="shared" si="21"/>
        <v>1150</v>
      </c>
      <c r="M194" s="87">
        <v>600</v>
      </c>
      <c r="N194" s="76">
        <f>100</f>
        <v>100</v>
      </c>
      <c r="O194" s="79">
        <v>240</v>
      </c>
      <c r="P194" s="79">
        <v>40</v>
      </c>
      <c r="Q194" s="79">
        <f t="shared" si="22"/>
        <v>315</v>
      </c>
      <c r="R194" s="79">
        <f t="shared" si="23"/>
        <v>100</v>
      </c>
      <c r="S194" s="76">
        <f t="shared" si="24"/>
        <v>695</v>
      </c>
      <c r="T194" s="76">
        <f>50</f>
        <v>50</v>
      </c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</row>
    <row r="195" spans="1:30" ht="15.75" x14ac:dyDescent="0.25">
      <c r="A195" s="13">
        <v>46844</v>
      </c>
      <c r="B195" s="90">
        <v>30</v>
      </c>
      <c r="C195" s="76">
        <f>141.293</f>
        <v>141.29300000000001</v>
      </c>
      <c r="D195" s="76">
        <f>267.993</f>
        <v>267.99299999999999</v>
      </c>
      <c r="E195" s="85">
        <f>115.016</f>
        <v>115.01600000000001</v>
      </c>
      <c r="F195" s="76">
        <f>314.698-40-25-60-100</f>
        <v>89.697999999999979</v>
      </c>
      <c r="G195" s="79">
        <v>40</v>
      </c>
      <c r="H195" s="76">
        <f t="shared" ref="H195:H201" si="30">25+60+100</f>
        <v>185</v>
      </c>
      <c r="I195" s="76">
        <f t="shared" si="28"/>
        <v>0</v>
      </c>
      <c r="J195" s="79">
        <v>100</v>
      </c>
      <c r="K195" s="79">
        <v>300</v>
      </c>
      <c r="L195" s="76">
        <f t="shared" si="21"/>
        <v>1239</v>
      </c>
      <c r="M195" s="87">
        <v>600</v>
      </c>
      <c r="N195" s="76">
        <f>100</f>
        <v>100</v>
      </c>
      <c r="O195" s="79">
        <v>240</v>
      </c>
      <c r="P195" s="79">
        <v>160</v>
      </c>
      <c r="Q195" s="79">
        <f t="shared" si="22"/>
        <v>195</v>
      </c>
      <c r="R195" s="79">
        <f t="shared" si="23"/>
        <v>100</v>
      </c>
      <c r="S195" s="76">
        <f t="shared" si="24"/>
        <v>695</v>
      </c>
      <c r="T195" s="76">
        <f>50</f>
        <v>50</v>
      </c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</row>
    <row r="196" spans="1:30" ht="15.75" x14ac:dyDescent="0.25">
      <c r="A196" s="13">
        <v>46874</v>
      </c>
      <c r="B196" s="90">
        <v>31</v>
      </c>
      <c r="C196" s="76">
        <f>194.205</f>
        <v>194.20500000000001</v>
      </c>
      <c r="D196" s="76">
        <f>267.466</f>
        <v>267.46600000000001</v>
      </c>
      <c r="E196" s="85">
        <f>133.845</f>
        <v>133.845</v>
      </c>
      <c r="F196" s="76">
        <f>278.484-40-25-60-100</f>
        <v>53.48399999999998</v>
      </c>
      <c r="G196" s="79">
        <v>40</v>
      </c>
      <c r="H196" s="76">
        <f t="shared" si="30"/>
        <v>185</v>
      </c>
      <c r="I196" s="76">
        <f t="shared" si="28"/>
        <v>0</v>
      </c>
      <c r="J196" s="79">
        <v>100</v>
      </c>
      <c r="K196" s="79">
        <v>300</v>
      </c>
      <c r="L196" s="76">
        <f t="shared" si="21"/>
        <v>1274</v>
      </c>
      <c r="M196" s="87">
        <v>600</v>
      </c>
      <c r="N196" s="76">
        <f>75</f>
        <v>75</v>
      </c>
      <c r="O196" s="79">
        <v>240</v>
      </c>
      <c r="P196" s="79">
        <v>160</v>
      </c>
      <c r="Q196" s="79">
        <f t="shared" si="22"/>
        <v>195</v>
      </c>
      <c r="R196" s="79">
        <f t="shared" si="23"/>
        <v>100</v>
      </c>
      <c r="S196" s="76">
        <f t="shared" si="24"/>
        <v>695</v>
      </c>
      <c r="T196" s="76">
        <f>50</f>
        <v>50</v>
      </c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</row>
    <row r="197" spans="1:30" ht="15.75" x14ac:dyDescent="0.25">
      <c r="A197" s="13">
        <v>46905</v>
      </c>
      <c r="B197" s="90">
        <v>30</v>
      </c>
      <c r="C197" s="76">
        <f>194.205</f>
        <v>194.20500000000001</v>
      </c>
      <c r="D197" s="76">
        <f>267.466</f>
        <v>267.46600000000001</v>
      </c>
      <c r="E197" s="85">
        <f>133.845</f>
        <v>133.845</v>
      </c>
      <c r="F197" s="76">
        <f>278.484-40-25-60-100</f>
        <v>53.48399999999998</v>
      </c>
      <c r="G197" s="79">
        <v>40</v>
      </c>
      <c r="H197" s="76">
        <f t="shared" si="30"/>
        <v>185</v>
      </c>
      <c r="I197" s="76">
        <f t="shared" si="28"/>
        <v>0</v>
      </c>
      <c r="J197" s="79">
        <v>100</v>
      </c>
      <c r="K197" s="79">
        <v>300</v>
      </c>
      <c r="L197" s="76">
        <f t="shared" si="21"/>
        <v>1274</v>
      </c>
      <c r="M197" s="87">
        <v>600</v>
      </c>
      <c r="N197" s="76">
        <f>30</f>
        <v>30</v>
      </c>
      <c r="O197" s="79">
        <v>240</v>
      </c>
      <c r="P197" s="79">
        <v>160</v>
      </c>
      <c r="Q197" s="79">
        <f t="shared" si="22"/>
        <v>195</v>
      </c>
      <c r="R197" s="79">
        <f t="shared" si="23"/>
        <v>100</v>
      </c>
      <c r="S197" s="76">
        <f t="shared" si="24"/>
        <v>695</v>
      </c>
      <c r="T197" s="76">
        <f>50</f>
        <v>50</v>
      </c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</row>
    <row r="198" spans="1:30" ht="15.75" x14ac:dyDescent="0.25">
      <c r="A198" s="13">
        <v>46935</v>
      </c>
      <c r="B198" s="90">
        <v>31</v>
      </c>
      <c r="C198" s="76">
        <f>194.205</f>
        <v>194.20500000000001</v>
      </c>
      <c r="D198" s="76">
        <f>267.466</f>
        <v>267.46600000000001</v>
      </c>
      <c r="E198" s="85">
        <f>133.845</f>
        <v>133.845</v>
      </c>
      <c r="F198" s="76">
        <f>278.484-40-25-60-100</f>
        <v>53.48399999999998</v>
      </c>
      <c r="G198" s="79">
        <v>40</v>
      </c>
      <c r="H198" s="76">
        <f t="shared" si="30"/>
        <v>185</v>
      </c>
      <c r="I198" s="76">
        <f t="shared" si="28"/>
        <v>0</v>
      </c>
      <c r="J198" s="79">
        <v>100</v>
      </c>
      <c r="K198" s="79">
        <v>300</v>
      </c>
      <c r="L198" s="76">
        <f t="shared" si="21"/>
        <v>1274</v>
      </c>
      <c r="M198" s="87">
        <v>600</v>
      </c>
      <c r="N198" s="76">
        <f>30</f>
        <v>30</v>
      </c>
      <c r="O198" s="79">
        <v>240</v>
      </c>
      <c r="P198" s="79">
        <v>160</v>
      </c>
      <c r="Q198" s="79">
        <f t="shared" si="22"/>
        <v>195</v>
      </c>
      <c r="R198" s="79">
        <f t="shared" si="23"/>
        <v>100</v>
      </c>
      <c r="S198" s="76">
        <f t="shared" si="24"/>
        <v>695</v>
      </c>
      <c r="T198" s="76">
        <f>0</f>
        <v>0</v>
      </c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</row>
    <row r="199" spans="1:30" ht="15.75" x14ac:dyDescent="0.25">
      <c r="A199" s="13">
        <v>46966</v>
      </c>
      <c r="B199" s="90">
        <v>31</v>
      </c>
      <c r="C199" s="76">
        <f>194.205</f>
        <v>194.20500000000001</v>
      </c>
      <c r="D199" s="76">
        <f>267.466</f>
        <v>267.46600000000001</v>
      </c>
      <c r="E199" s="85">
        <f>133.845</f>
        <v>133.845</v>
      </c>
      <c r="F199" s="76">
        <f>278.484-40-25-60-100</f>
        <v>53.48399999999998</v>
      </c>
      <c r="G199" s="79">
        <v>40</v>
      </c>
      <c r="H199" s="76">
        <f t="shared" si="30"/>
        <v>185</v>
      </c>
      <c r="I199" s="76">
        <f t="shared" si="28"/>
        <v>0</v>
      </c>
      <c r="J199" s="79">
        <v>100</v>
      </c>
      <c r="K199" s="79">
        <v>300</v>
      </c>
      <c r="L199" s="76">
        <f t="shared" si="21"/>
        <v>1274</v>
      </c>
      <c r="M199" s="87">
        <v>600</v>
      </c>
      <c r="N199" s="76">
        <f>30</f>
        <v>30</v>
      </c>
      <c r="O199" s="79">
        <v>240</v>
      </c>
      <c r="P199" s="79">
        <v>160</v>
      </c>
      <c r="Q199" s="79">
        <f t="shared" si="22"/>
        <v>195</v>
      </c>
      <c r="R199" s="79">
        <f t="shared" si="23"/>
        <v>100</v>
      </c>
      <c r="S199" s="76">
        <f t="shared" si="24"/>
        <v>695</v>
      </c>
      <c r="T199" s="76">
        <f>0</f>
        <v>0</v>
      </c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</row>
    <row r="200" spans="1:30" ht="15.75" x14ac:dyDescent="0.25">
      <c r="A200" s="13">
        <v>46997</v>
      </c>
      <c r="B200" s="90">
        <v>30</v>
      </c>
      <c r="C200" s="76">
        <f>194.205</f>
        <v>194.20500000000001</v>
      </c>
      <c r="D200" s="76">
        <f>267.466</f>
        <v>267.46600000000001</v>
      </c>
      <c r="E200" s="85">
        <f>133.845</f>
        <v>133.845</v>
      </c>
      <c r="F200" s="76">
        <f>278.484-40-25-60-100</f>
        <v>53.48399999999998</v>
      </c>
      <c r="G200" s="79">
        <v>40</v>
      </c>
      <c r="H200" s="76">
        <f t="shared" si="30"/>
        <v>185</v>
      </c>
      <c r="I200" s="76">
        <f t="shared" si="28"/>
        <v>0</v>
      </c>
      <c r="J200" s="79">
        <v>100</v>
      </c>
      <c r="K200" s="79">
        <v>300</v>
      </c>
      <c r="L200" s="76">
        <f t="shared" si="21"/>
        <v>1274</v>
      </c>
      <c r="M200" s="87">
        <v>600</v>
      </c>
      <c r="N200" s="76">
        <f>30</f>
        <v>30</v>
      </c>
      <c r="O200" s="79">
        <v>240</v>
      </c>
      <c r="P200" s="79">
        <v>160</v>
      </c>
      <c r="Q200" s="79">
        <f t="shared" si="22"/>
        <v>195</v>
      </c>
      <c r="R200" s="79">
        <f t="shared" si="23"/>
        <v>100</v>
      </c>
      <c r="S200" s="76">
        <f t="shared" si="24"/>
        <v>695</v>
      </c>
      <c r="T200" s="76">
        <f>0</f>
        <v>0</v>
      </c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</row>
    <row r="201" spans="1:30" ht="15.75" x14ac:dyDescent="0.25">
      <c r="A201" s="13">
        <v>47027</v>
      </c>
      <c r="B201" s="90">
        <v>31</v>
      </c>
      <c r="C201" s="76">
        <f>131.881</f>
        <v>131.881</v>
      </c>
      <c r="D201" s="76">
        <f>277.167</f>
        <v>277.16699999999997</v>
      </c>
      <c r="E201" s="85">
        <f>79.08</f>
        <v>79.08</v>
      </c>
      <c r="F201" s="76">
        <f>350.872-40-25-60-100</f>
        <v>125.87200000000001</v>
      </c>
      <c r="G201" s="79">
        <v>40</v>
      </c>
      <c r="H201" s="76">
        <f t="shared" si="30"/>
        <v>185</v>
      </c>
      <c r="I201" s="76">
        <f t="shared" si="28"/>
        <v>0</v>
      </c>
      <c r="J201" s="79">
        <v>100</v>
      </c>
      <c r="K201" s="79">
        <v>300</v>
      </c>
      <c r="L201" s="76">
        <f t="shared" si="21"/>
        <v>1239</v>
      </c>
      <c r="M201" s="87">
        <v>600</v>
      </c>
      <c r="N201" s="76">
        <f>75</f>
        <v>75</v>
      </c>
      <c r="O201" s="79">
        <v>240</v>
      </c>
      <c r="P201" s="79">
        <v>160</v>
      </c>
      <c r="Q201" s="79">
        <f t="shared" si="22"/>
        <v>195</v>
      </c>
      <c r="R201" s="79">
        <f t="shared" si="23"/>
        <v>100</v>
      </c>
      <c r="S201" s="76">
        <f t="shared" si="24"/>
        <v>695</v>
      </c>
      <c r="T201" s="76">
        <f>0</f>
        <v>0</v>
      </c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</row>
    <row r="202" spans="1:30" ht="15.75" x14ac:dyDescent="0.25">
      <c r="A202" s="13">
        <v>47058</v>
      </c>
      <c r="B202" s="90">
        <v>30</v>
      </c>
      <c r="C202" s="76">
        <f>122.58</f>
        <v>122.58</v>
      </c>
      <c r="D202" s="76">
        <f>297.941</f>
        <v>297.94099999999997</v>
      </c>
      <c r="E202" s="85">
        <f>89.177</f>
        <v>89.177000000000007</v>
      </c>
      <c r="F202" s="76">
        <f>240.302-40-60-100</f>
        <v>40.301999999999992</v>
      </c>
      <c r="G202" s="79">
        <v>40</v>
      </c>
      <c r="H202" s="76">
        <f>60+100</f>
        <v>160</v>
      </c>
      <c r="I202" s="76">
        <f t="shared" si="28"/>
        <v>0</v>
      </c>
      <c r="J202" s="79">
        <v>100</v>
      </c>
      <c r="K202" s="79">
        <v>300</v>
      </c>
      <c r="L202" s="76">
        <f t="shared" si="21"/>
        <v>1150</v>
      </c>
      <c r="M202" s="87">
        <v>600</v>
      </c>
      <c r="N202" s="76">
        <f>100</f>
        <v>100</v>
      </c>
      <c r="O202" s="79">
        <v>240</v>
      </c>
      <c r="P202" s="79">
        <v>40</v>
      </c>
      <c r="Q202" s="79">
        <f t="shared" si="22"/>
        <v>315</v>
      </c>
      <c r="R202" s="79">
        <f t="shared" si="23"/>
        <v>100</v>
      </c>
      <c r="S202" s="76">
        <f t="shared" si="24"/>
        <v>695</v>
      </c>
      <c r="T202" s="76">
        <f>50</f>
        <v>50</v>
      </c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</row>
    <row r="203" spans="1:30" ht="15.75" x14ac:dyDescent="0.25">
      <c r="A203" s="13">
        <v>47088</v>
      </c>
      <c r="B203" s="90">
        <v>31</v>
      </c>
      <c r="C203" s="76">
        <f>122.58</f>
        <v>122.58</v>
      </c>
      <c r="D203" s="76">
        <f>297.941</f>
        <v>297.94099999999997</v>
      </c>
      <c r="E203" s="85">
        <f>89.177</f>
        <v>89.177000000000007</v>
      </c>
      <c r="F203" s="76">
        <f>240.302-40-60-100</f>
        <v>40.301999999999992</v>
      </c>
      <c r="G203" s="79">
        <v>40</v>
      </c>
      <c r="H203" s="76">
        <f>60+100</f>
        <v>160</v>
      </c>
      <c r="I203" s="76">
        <f t="shared" si="28"/>
        <v>0</v>
      </c>
      <c r="J203" s="79">
        <v>100</v>
      </c>
      <c r="K203" s="79">
        <v>300</v>
      </c>
      <c r="L203" s="76">
        <f t="shared" si="21"/>
        <v>1150</v>
      </c>
      <c r="M203" s="87">
        <v>600</v>
      </c>
      <c r="N203" s="76">
        <f>100</f>
        <v>100</v>
      </c>
      <c r="O203" s="79">
        <v>240</v>
      </c>
      <c r="P203" s="79">
        <v>40</v>
      </c>
      <c r="Q203" s="79">
        <f t="shared" si="22"/>
        <v>315</v>
      </c>
      <c r="R203" s="79">
        <f t="shared" si="23"/>
        <v>100</v>
      </c>
      <c r="S203" s="76">
        <f t="shared" si="24"/>
        <v>695</v>
      </c>
      <c r="T203" s="76">
        <f>50</f>
        <v>50</v>
      </c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</row>
    <row r="204" spans="1:30" ht="15.75" x14ac:dyDescent="0.25">
      <c r="A204" s="13">
        <v>47119</v>
      </c>
      <c r="B204" s="90">
        <v>31</v>
      </c>
      <c r="C204" s="76">
        <f>122.58</f>
        <v>122.58</v>
      </c>
      <c r="D204" s="76">
        <f>297.941</f>
        <v>297.94099999999997</v>
      </c>
      <c r="E204" s="85">
        <f>89.177</f>
        <v>89.177000000000007</v>
      </c>
      <c r="F204" s="76">
        <f>240.302-40-60-100</f>
        <v>40.301999999999992</v>
      </c>
      <c r="G204" s="79">
        <v>40</v>
      </c>
      <c r="H204" s="76">
        <f>60+100</f>
        <v>160</v>
      </c>
      <c r="I204" s="76">
        <f t="shared" si="28"/>
        <v>0</v>
      </c>
      <c r="J204" s="79">
        <v>100</v>
      </c>
      <c r="K204" s="79">
        <v>300</v>
      </c>
      <c r="L204" s="76">
        <f t="shared" si="21"/>
        <v>1150</v>
      </c>
      <c r="M204" s="87">
        <v>600</v>
      </c>
      <c r="N204" s="76">
        <f>100</f>
        <v>100</v>
      </c>
      <c r="O204" s="79">
        <v>240</v>
      </c>
      <c r="P204" s="79">
        <v>40</v>
      </c>
      <c r="Q204" s="79">
        <f t="shared" si="22"/>
        <v>315</v>
      </c>
      <c r="R204" s="79">
        <f t="shared" si="23"/>
        <v>100</v>
      </c>
      <c r="S204" s="76">
        <f t="shared" si="24"/>
        <v>695</v>
      </c>
      <c r="T204" s="76">
        <f>50</f>
        <v>50</v>
      </c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</row>
    <row r="205" spans="1:30" ht="15.75" x14ac:dyDescent="0.25">
      <c r="A205" s="13">
        <v>47150</v>
      </c>
      <c r="B205" s="90">
        <v>28</v>
      </c>
      <c r="C205" s="76">
        <f>122.58</f>
        <v>122.58</v>
      </c>
      <c r="D205" s="76">
        <f>297.941</f>
        <v>297.94099999999997</v>
      </c>
      <c r="E205" s="85">
        <f>89.177</f>
        <v>89.177000000000007</v>
      </c>
      <c r="F205" s="76">
        <f>240.302-40-60-100</f>
        <v>40.301999999999992</v>
      </c>
      <c r="G205" s="79">
        <v>40</v>
      </c>
      <c r="H205" s="76">
        <f>60+100</f>
        <v>160</v>
      </c>
      <c r="I205" s="76">
        <f t="shared" si="28"/>
        <v>0</v>
      </c>
      <c r="J205" s="79">
        <v>100</v>
      </c>
      <c r="K205" s="79">
        <v>300</v>
      </c>
      <c r="L205" s="76">
        <f t="shared" si="21"/>
        <v>1150</v>
      </c>
      <c r="M205" s="87">
        <v>600</v>
      </c>
      <c r="N205" s="76">
        <f>100</f>
        <v>100</v>
      </c>
      <c r="O205" s="79">
        <v>240</v>
      </c>
      <c r="P205" s="79">
        <v>40</v>
      </c>
      <c r="Q205" s="79">
        <f t="shared" si="22"/>
        <v>315</v>
      </c>
      <c r="R205" s="79">
        <f t="shared" si="23"/>
        <v>100</v>
      </c>
      <c r="S205" s="76">
        <f t="shared" si="24"/>
        <v>695</v>
      </c>
      <c r="T205" s="76">
        <f>50</f>
        <v>50</v>
      </c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</row>
    <row r="206" spans="1:30" ht="15.75" x14ac:dyDescent="0.25">
      <c r="A206" s="13">
        <v>47178</v>
      </c>
      <c r="B206" s="90">
        <v>31</v>
      </c>
      <c r="C206" s="76">
        <f>122.58</f>
        <v>122.58</v>
      </c>
      <c r="D206" s="76">
        <f>297.941</f>
        <v>297.94099999999997</v>
      </c>
      <c r="E206" s="85">
        <f>89.177</f>
        <v>89.177000000000007</v>
      </c>
      <c r="F206" s="76">
        <f>240.302-40-60-100</f>
        <v>40.301999999999992</v>
      </c>
      <c r="G206" s="79">
        <v>40</v>
      </c>
      <c r="H206" s="76">
        <f>60+100</f>
        <v>160</v>
      </c>
      <c r="I206" s="76">
        <f t="shared" si="28"/>
        <v>0</v>
      </c>
      <c r="J206" s="79">
        <v>100</v>
      </c>
      <c r="K206" s="79">
        <v>300</v>
      </c>
      <c r="L206" s="76">
        <f t="shared" si="21"/>
        <v>1150</v>
      </c>
      <c r="M206" s="87">
        <v>600</v>
      </c>
      <c r="N206" s="76">
        <f>100</f>
        <v>100</v>
      </c>
      <c r="O206" s="79">
        <v>240</v>
      </c>
      <c r="P206" s="79">
        <v>40</v>
      </c>
      <c r="Q206" s="79">
        <f t="shared" si="22"/>
        <v>315</v>
      </c>
      <c r="R206" s="79">
        <f t="shared" si="23"/>
        <v>100</v>
      </c>
      <c r="S206" s="76">
        <f t="shared" si="24"/>
        <v>695</v>
      </c>
      <c r="T206" s="76">
        <f>50</f>
        <v>50</v>
      </c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</row>
    <row r="207" spans="1:30" ht="15.75" x14ac:dyDescent="0.25">
      <c r="A207" s="13">
        <v>47209</v>
      </c>
      <c r="B207" s="90">
        <v>30</v>
      </c>
      <c r="C207" s="76">
        <f>141.293</f>
        <v>141.29300000000001</v>
      </c>
      <c r="D207" s="76">
        <f>267.993</f>
        <v>267.99299999999999</v>
      </c>
      <c r="E207" s="85">
        <f>115.016</f>
        <v>115.01600000000001</v>
      </c>
      <c r="F207" s="76">
        <f>314.698-40-25-60-100</f>
        <v>89.697999999999979</v>
      </c>
      <c r="G207" s="79">
        <v>40</v>
      </c>
      <c r="H207" s="76">
        <f t="shared" ref="H207:H213" si="31">25+60+100</f>
        <v>185</v>
      </c>
      <c r="I207" s="76">
        <f t="shared" si="28"/>
        <v>0</v>
      </c>
      <c r="J207" s="79">
        <v>100</v>
      </c>
      <c r="K207" s="79">
        <v>300</v>
      </c>
      <c r="L207" s="76">
        <f t="shared" si="21"/>
        <v>1239</v>
      </c>
      <c r="M207" s="87">
        <v>600</v>
      </c>
      <c r="N207" s="76">
        <f>100</f>
        <v>100</v>
      </c>
      <c r="O207" s="79">
        <v>240</v>
      </c>
      <c r="P207" s="79">
        <v>160</v>
      </c>
      <c r="Q207" s="79">
        <f t="shared" si="22"/>
        <v>195</v>
      </c>
      <c r="R207" s="79">
        <f t="shared" si="23"/>
        <v>100</v>
      </c>
      <c r="S207" s="76">
        <f t="shared" si="24"/>
        <v>695</v>
      </c>
      <c r="T207" s="76">
        <f>50</f>
        <v>50</v>
      </c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</row>
    <row r="208" spans="1:30" ht="15.75" x14ac:dyDescent="0.25">
      <c r="A208" s="13">
        <v>47239</v>
      </c>
      <c r="B208" s="90">
        <v>31</v>
      </c>
      <c r="C208" s="76">
        <f>194.205</f>
        <v>194.20500000000001</v>
      </c>
      <c r="D208" s="76">
        <f>267.466</f>
        <v>267.46600000000001</v>
      </c>
      <c r="E208" s="85">
        <f>133.845</f>
        <v>133.845</v>
      </c>
      <c r="F208" s="76">
        <f>278.484-40-25-60-100</f>
        <v>53.48399999999998</v>
      </c>
      <c r="G208" s="79">
        <v>40</v>
      </c>
      <c r="H208" s="76">
        <f t="shared" si="31"/>
        <v>185</v>
      </c>
      <c r="I208" s="76">
        <f t="shared" si="28"/>
        <v>0</v>
      </c>
      <c r="J208" s="79">
        <v>100</v>
      </c>
      <c r="K208" s="79">
        <v>300</v>
      </c>
      <c r="L208" s="76">
        <f t="shared" si="21"/>
        <v>1274</v>
      </c>
      <c r="M208" s="87">
        <v>600</v>
      </c>
      <c r="N208" s="76">
        <f>75</f>
        <v>75</v>
      </c>
      <c r="O208" s="79">
        <v>240</v>
      </c>
      <c r="P208" s="79">
        <v>160</v>
      </c>
      <c r="Q208" s="79">
        <f t="shared" si="22"/>
        <v>195</v>
      </c>
      <c r="R208" s="79">
        <f t="shared" si="23"/>
        <v>100</v>
      </c>
      <c r="S208" s="76">
        <f t="shared" si="24"/>
        <v>695</v>
      </c>
      <c r="T208" s="76">
        <f>50</f>
        <v>50</v>
      </c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</row>
    <row r="209" spans="1:30" ht="15.75" x14ac:dyDescent="0.25">
      <c r="A209" s="13">
        <v>47270</v>
      </c>
      <c r="B209" s="90">
        <v>30</v>
      </c>
      <c r="C209" s="76">
        <f>194.205</f>
        <v>194.20500000000001</v>
      </c>
      <c r="D209" s="76">
        <f>267.466</f>
        <v>267.46600000000001</v>
      </c>
      <c r="E209" s="85">
        <f>133.845</f>
        <v>133.845</v>
      </c>
      <c r="F209" s="76">
        <f>278.484-40-25-60-100</f>
        <v>53.48399999999998</v>
      </c>
      <c r="G209" s="79">
        <v>40</v>
      </c>
      <c r="H209" s="76">
        <f t="shared" si="31"/>
        <v>185</v>
      </c>
      <c r="I209" s="76">
        <f t="shared" si="28"/>
        <v>0</v>
      </c>
      <c r="J209" s="79">
        <v>100</v>
      </c>
      <c r="K209" s="79">
        <v>300</v>
      </c>
      <c r="L209" s="76">
        <f t="shared" si="21"/>
        <v>1274</v>
      </c>
      <c r="M209" s="87">
        <v>600</v>
      </c>
      <c r="N209" s="76">
        <f>30</f>
        <v>30</v>
      </c>
      <c r="O209" s="79">
        <v>240</v>
      </c>
      <c r="P209" s="79">
        <v>160</v>
      </c>
      <c r="Q209" s="79">
        <f t="shared" si="22"/>
        <v>195</v>
      </c>
      <c r="R209" s="79">
        <f t="shared" si="23"/>
        <v>100</v>
      </c>
      <c r="S209" s="76">
        <f t="shared" si="24"/>
        <v>695</v>
      </c>
      <c r="T209" s="76">
        <f>50</f>
        <v>50</v>
      </c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</row>
    <row r="210" spans="1:30" ht="15.75" x14ac:dyDescent="0.25">
      <c r="A210" s="13">
        <v>47300</v>
      </c>
      <c r="B210" s="90">
        <v>31</v>
      </c>
      <c r="C210" s="76">
        <f>194.205</f>
        <v>194.20500000000001</v>
      </c>
      <c r="D210" s="76">
        <f>267.466</f>
        <v>267.46600000000001</v>
      </c>
      <c r="E210" s="85">
        <f>133.845</f>
        <v>133.845</v>
      </c>
      <c r="F210" s="76">
        <f>278.484-40-25-60-100</f>
        <v>53.48399999999998</v>
      </c>
      <c r="G210" s="79">
        <v>40</v>
      </c>
      <c r="H210" s="76">
        <f t="shared" si="31"/>
        <v>185</v>
      </c>
      <c r="I210" s="76">
        <f t="shared" si="28"/>
        <v>0</v>
      </c>
      <c r="J210" s="79">
        <v>100</v>
      </c>
      <c r="K210" s="79">
        <v>300</v>
      </c>
      <c r="L210" s="76">
        <f t="shared" ref="L210:L273" si="32">SUM(C210:K210)</f>
        <v>1274</v>
      </c>
      <c r="M210" s="87">
        <v>600</v>
      </c>
      <c r="N210" s="76">
        <f>30</f>
        <v>30</v>
      </c>
      <c r="O210" s="79">
        <v>240</v>
      </c>
      <c r="P210" s="79">
        <v>160</v>
      </c>
      <c r="Q210" s="79">
        <f t="shared" ref="Q210:Q273" si="33">695-R210-O210-P210</f>
        <v>195</v>
      </c>
      <c r="R210" s="79">
        <f t="shared" ref="R210:R273" si="34">200-J210</f>
        <v>100</v>
      </c>
      <c r="S210" s="76">
        <f t="shared" ref="S210:S273" si="35">SUM(O210:R210)</f>
        <v>695</v>
      </c>
      <c r="T210" s="76">
        <f>0</f>
        <v>0</v>
      </c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</row>
    <row r="211" spans="1:30" ht="15.75" x14ac:dyDescent="0.25">
      <c r="A211" s="13">
        <v>47331</v>
      </c>
      <c r="B211" s="90">
        <v>31</v>
      </c>
      <c r="C211" s="76">
        <f>194.205</f>
        <v>194.20500000000001</v>
      </c>
      <c r="D211" s="76">
        <f>267.466</f>
        <v>267.46600000000001</v>
      </c>
      <c r="E211" s="85">
        <f>133.845</f>
        <v>133.845</v>
      </c>
      <c r="F211" s="76">
        <f>278.484-40-25-60-100</f>
        <v>53.48399999999998</v>
      </c>
      <c r="G211" s="79">
        <v>40</v>
      </c>
      <c r="H211" s="76">
        <f t="shared" si="31"/>
        <v>185</v>
      </c>
      <c r="I211" s="76">
        <f t="shared" si="28"/>
        <v>0</v>
      </c>
      <c r="J211" s="79">
        <v>100</v>
      </c>
      <c r="K211" s="79">
        <v>300</v>
      </c>
      <c r="L211" s="76">
        <f t="shared" si="32"/>
        <v>1274</v>
      </c>
      <c r="M211" s="87">
        <v>600</v>
      </c>
      <c r="N211" s="76">
        <f>30</f>
        <v>30</v>
      </c>
      <c r="O211" s="79">
        <v>240</v>
      </c>
      <c r="P211" s="79">
        <v>160</v>
      </c>
      <c r="Q211" s="79">
        <f t="shared" si="33"/>
        <v>195</v>
      </c>
      <c r="R211" s="79">
        <f t="shared" si="34"/>
        <v>100</v>
      </c>
      <c r="S211" s="76">
        <f t="shared" si="35"/>
        <v>695</v>
      </c>
      <c r="T211" s="76">
        <f>0</f>
        <v>0</v>
      </c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</row>
    <row r="212" spans="1:30" ht="15.75" x14ac:dyDescent="0.25">
      <c r="A212" s="13">
        <v>47362</v>
      </c>
      <c r="B212" s="90">
        <v>30</v>
      </c>
      <c r="C212" s="76">
        <f>194.205</f>
        <v>194.20500000000001</v>
      </c>
      <c r="D212" s="76">
        <f>267.466</f>
        <v>267.46600000000001</v>
      </c>
      <c r="E212" s="85">
        <f>133.845</f>
        <v>133.845</v>
      </c>
      <c r="F212" s="76">
        <f>278.484-40-25-60-100</f>
        <v>53.48399999999998</v>
      </c>
      <c r="G212" s="79">
        <v>40</v>
      </c>
      <c r="H212" s="76">
        <f t="shared" si="31"/>
        <v>185</v>
      </c>
      <c r="I212" s="76">
        <f t="shared" si="28"/>
        <v>0</v>
      </c>
      <c r="J212" s="79">
        <v>100</v>
      </c>
      <c r="K212" s="79">
        <v>300</v>
      </c>
      <c r="L212" s="76">
        <f t="shared" si="32"/>
        <v>1274</v>
      </c>
      <c r="M212" s="87">
        <v>600</v>
      </c>
      <c r="N212" s="76">
        <f>30</f>
        <v>30</v>
      </c>
      <c r="O212" s="79">
        <v>240</v>
      </c>
      <c r="P212" s="79">
        <v>160</v>
      </c>
      <c r="Q212" s="79">
        <f t="shared" si="33"/>
        <v>195</v>
      </c>
      <c r="R212" s="79">
        <f t="shared" si="34"/>
        <v>100</v>
      </c>
      <c r="S212" s="76">
        <f t="shared" si="35"/>
        <v>695</v>
      </c>
      <c r="T212" s="76">
        <f>0</f>
        <v>0</v>
      </c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</row>
    <row r="213" spans="1:30" ht="15.75" x14ac:dyDescent="0.25">
      <c r="A213" s="13">
        <v>47392</v>
      </c>
      <c r="B213" s="90">
        <v>31</v>
      </c>
      <c r="C213" s="76">
        <f>131.881</f>
        <v>131.881</v>
      </c>
      <c r="D213" s="76">
        <f>277.167</f>
        <v>277.16699999999997</v>
      </c>
      <c r="E213" s="85">
        <f>79.08</f>
        <v>79.08</v>
      </c>
      <c r="F213" s="76">
        <f>350.872-40-25-60-100</f>
        <v>125.87200000000001</v>
      </c>
      <c r="G213" s="79">
        <v>40</v>
      </c>
      <c r="H213" s="76">
        <f t="shared" si="31"/>
        <v>185</v>
      </c>
      <c r="I213" s="76">
        <f t="shared" si="28"/>
        <v>0</v>
      </c>
      <c r="J213" s="79">
        <v>100</v>
      </c>
      <c r="K213" s="79">
        <v>300</v>
      </c>
      <c r="L213" s="76">
        <f t="shared" si="32"/>
        <v>1239</v>
      </c>
      <c r="M213" s="87">
        <v>600</v>
      </c>
      <c r="N213" s="76">
        <f>75</f>
        <v>75</v>
      </c>
      <c r="O213" s="79">
        <v>240</v>
      </c>
      <c r="P213" s="79">
        <v>160</v>
      </c>
      <c r="Q213" s="79">
        <f t="shared" si="33"/>
        <v>195</v>
      </c>
      <c r="R213" s="79">
        <f t="shared" si="34"/>
        <v>100</v>
      </c>
      <c r="S213" s="76">
        <f t="shared" si="35"/>
        <v>695</v>
      </c>
      <c r="T213" s="76">
        <f>0</f>
        <v>0</v>
      </c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</row>
    <row r="214" spans="1:30" ht="15.75" x14ac:dyDescent="0.25">
      <c r="A214" s="13">
        <v>47423</v>
      </c>
      <c r="B214" s="90">
        <v>30</v>
      </c>
      <c r="C214" s="76">
        <f>122.58</f>
        <v>122.58</v>
      </c>
      <c r="D214" s="76">
        <f>297.941</f>
        <v>297.94099999999997</v>
      </c>
      <c r="E214" s="85">
        <f>89.177</f>
        <v>89.177000000000007</v>
      </c>
      <c r="F214" s="76">
        <f>240.302-40-60-100</f>
        <v>40.301999999999992</v>
      </c>
      <c r="G214" s="79">
        <v>40</v>
      </c>
      <c r="H214" s="76">
        <f>60+100</f>
        <v>160</v>
      </c>
      <c r="I214" s="76">
        <f t="shared" si="28"/>
        <v>0</v>
      </c>
      <c r="J214" s="79">
        <v>100</v>
      </c>
      <c r="K214" s="79">
        <v>300</v>
      </c>
      <c r="L214" s="76">
        <f t="shared" si="32"/>
        <v>1150</v>
      </c>
      <c r="M214" s="87">
        <v>600</v>
      </c>
      <c r="N214" s="76">
        <f>100</f>
        <v>100</v>
      </c>
      <c r="O214" s="79">
        <v>240</v>
      </c>
      <c r="P214" s="79">
        <v>40</v>
      </c>
      <c r="Q214" s="79">
        <f t="shared" si="33"/>
        <v>315</v>
      </c>
      <c r="R214" s="79">
        <f t="shared" si="34"/>
        <v>100</v>
      </c>
      <c r="S214" s="76">
        <f t="shared" si="35"/>
        <v>695</v>
      </c>
      <c r="T214" s="76">
        <f>50</f>
        <v>50</v>
      </c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</row>
    <row r="215" spans="1:30" ht="15.75" x14ac:dyDescent="0.25">
      <c r="A215" s="13">
        <v>47453</v>
      </c>
      <c r="B215" s="90">
        <v>31</v>
      </c>
      <c r="C215" s="76">
        <f>122.58</f>
        <v>122.58</v>
      </c>
      <c r="D215" s="76">
        <f>297.941</f>
        <v>297.94099999999997</v>
      </c>
      <c r="E215" s="85">
        <f>89.177</f>
        <v>89.177000000000007</v>
      </c>
      <c r="F215" s="76">
        <f>240.302-40-60-100</f>
        <v>40.301999999999992</v>
      </c>
      <c r="G215" s="79">
        <v>40</v>
      </c>
      <c r="H215" s="76">
        <f>60+100</f>
        <v>160</v>
      </c>
      <c r="I215" s="76">
        <f t="shared" si="28"/>
        <v>0</v>
      </c>
      <c r="J215" s="79">
        <v>100</v>
      </c>
      <c r="K215" s="79">
        <v>300</v>
      </c>
      <c r="L215" s="76">
        <f t="shared" si="32"/>
        <v>1150</v>
      </c>
      <c r="M215" s="87">
        <v>600</v>
      </c>
      <c r="N215" s="76">
        <f>100</f>
        <v>100</v>
      </c>
      <c r="O215" s="79">
        <v>240</v>
      </c>
      <c r="P215" s="79">
        <v>40</v>
      </c>
      <c r="Q215" s="79">
        <f t="shared" si="33"/>
        <v>315</v>
      </c>
      <c r="R215" s="79">
        <f t="shared" si="34"/>
        <v>100</v>
      </c>
      <c r="S215" s="76">
        <f t="shared" si="35"/>
        <v>695</v>
      </c>
      <c r="T215" s="76">
        <f>50</f>
        <v>50</v>
      </c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</row>
    <row r="216" spans="1:30" ht="15.75" x14ac:dyDescent="0.25">
      <c r="A216" s="13">
        <v>47484</v>
      </c>
      <c r="B216" s="90">
        <v>31</v>
      </c>
      <c r="C216" s="76">
        <f>122.58</f>
        <v>122.58</v>
      </c>
      <c r="D216" s="76">
        <f>297.941</f>
        <v>297.94099999999997</v>
      </c>
      <c r="E216" s="85">
        <f>89.177</f>
        <v>89.177000000000007</v>
      </c>
      <c r="F216" s="76">
        <f>240.302-40-60-100</f>
        <v>40.301999999999992</v>
      </c>
      <c r="G216" s="79">
        <v>40</v>
      </c>
      <c r="H216" s="76">
        <f>60+100</f>
        <v>160</v>
      </c>
      <c r="I216" s="76">
        <f t="shared" si="28"/>
        <v>0</v>
      </c>
      <c r="J216" s="79">
        <v>100</v>
      </c>
      <c r="K216" s="79">
        <v>300</v>
      </c>
      <c r="L216" s="76">
        <f t="shared" si="32"/>
        <v>1150</v>
      </c>
      <c r="M216" s="87">
        <v>600</v>
      </c>
      <c r="N216" s="76">
        <f>100</f>
        <v>100</v>
      </c>
      <c r="O216" s="79">
        <v>240</v>
      </c>
      <c r="P216" s="79">
        <v>40</v>
      </c>
      <c r="Q216" s="79">
        <f t="shared" si="33"/>
        <v>315</v>
      </c>
      <c r="R216" s="79">
        <f t="shared" si="34"/>
        <v>100</v>
      </c>
      <c r="S216" s="76">
        <f t="shared" si="35"/>
        <v>695</v>
      </c>
      <c r="T216" s="76">
        <f>50</f>
        <v>50</v>
      </c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</row>
    <row r="217" spans="1:30" ht="15.75" x14ac:dyDescent="0.25">
      <c r="A217" s="13">
        <v>47515</v>
      </c>
      <c r="B217" s="90">
        <v>28</v>
      </c>
      <c r="C217" s="76">
        <f>122.58</f>
        <v>122.58</v>
      </c>
      <c r="D217" s="76">
        <f>297.941</f>
        <v>297.94099999999997</v>
      </c>
      <c r="E217" s="85">
        <f>89.177</f>
        <v>89.177000000000007</v>
      </c>
      <c r="F217" s="76">
        <f>240.302-40-60-100</f>
        <v>40.301999999999992</v>
      </c>
      <c r="G217" s="79">
        <v>40</v>
      </c>
      <c r="H217" s="76">
        <f>60+100</f>
        <v>160</v>
      </c>
      <c r="I217" s="76">
        <f t="shared" si="28"/>
        <v>0</v>
      </c>
      <c r="J217" s="79">
        <v>100</v>
      </c>
      <c r="K217" s="79">
        <v>300</v>
      </c>
      <c r="L217" s="76">
        <f t="shared" si="32"/>
        <v>1150</v>
      </c>
      <c r="M217" s="87">
        <v>600</v>
      </c>
      <c r="N217" s="76">
        <f>100</f>
        <v>100</v>
      </c>
      <c r="O217" s="79">
        <v>240</v>
      </c>
      <c r="P217" s="79">
        <v>40</v>
      </c>
      <c r="Q217" s="79">
        <f t="shared" si="33"/>
        <v>315</v>
      </c>
      <c r="R217" s="79">
        <f t="shared" si="34"/>
        <v>100</v>
      </c>
      <c r="S217" s="76">
        <f t="shared" si="35"/>
        <v>695</v>
      </c>
      <c r="T217" s="76">
        <f>50</f>
        <v>50</v>
      </c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</row>
    <row r="218" spans="1:30" ht="15.75" x14ac:dyDescent="0.25">
      <c r="A218" s="13">
        <v>47543</v>
      </c>
      <c r="B218" s="90">
        <v>31</v>
      </c>
      <c r="C218" s="76">
        <f>122.58</f>
        <v>122.58</v>
      </c>
      <c r="D218" s="76">
        <f>297.941</f>
        <v>297.94099999999997</v>
      </c>
      <c r="E218" s="85">
        <f>89.177</f>
        <v>89.177000000000007</v>
      </c>
      <c r="F218" s="76">
        <f>240.302-40-60-100</f>
        <v>40.301999999999992</v>
      </c>
      <c r="G218" s="79">
        <v>40</v>
      </c>
      <c r="H218" s="76">
        <f>60+100</f>
        <v>160</v>
      </c>
      <c r="I218" s="76">
        <f t="shared" si="28"/>
        <v>0</v>
      </c>
      <c r="J218" s="79">
        <v>100</v>
      </c>
      <c r="K218" s="79">
        <v>300</v>
      </c>
      <c r="L218" s="76">
        <f t="shared" si="32"/>
        <v>1150</v>
      </c>
      <c r="M218" s="87">
        <v>600</v>
      </c>
      <c r="N218" s="76">
        <f>100</f>
        <v>100</v>
      </c>
      <c r="O218" s="79">
        <v>240</v>
      </c>
      <c r="P218" s="79">
        <v>40</v>
      </c>
      <c r="Q218" s="79">
        <f t="shared" si="33"/>
        <v>315</v>
      </c>
      <c r="R218" s="79">
        <f t="shared" si="34"/>
        <v>100</v>
      </c>
      <c r="S218" s="76">
        <f t="shared" si="35"/>
        <v>695</v>
      </c>
      <c r="T218" s="76">
        <f>50</f>
        <v>50</v>
      </c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</row>
    <row r="219" spans="1:30" ht="15.75" x14ac:dyDescent="0.25">
      <c r="A219" s="13">
        <v>47574</v>
      </c>
      <c r="B219" s="90">
        <v>30</v>
      </c>
      <c r="C219" s="76">
        <f>141.293</f>
        <v>141.29300000000001</v>
      </c>
      <c r="D219" s="76">
        <f>267.993</f>
        <v>267.99299999999999</v>
      </c>
      <c r="E219" s="85">
        <f>115.016</f>
        <v>115.01600000000001</v>
      </c>
      <c r="F219" s="76">
        <f>314.698-40-25-60-100</f>
        <v>89.697999999999979</v>
      </c>
      <c r="G219" s="79">
        <v>40</v>
      </c>
      <c r="H219" s="76">
        <f t="shared" ref="H219:H225" si="36">25+60+100</f>
        <v>185</v>
      </c>
      <c r="I219" s="76">
        <f t="shared" si="28"/>
        <v>0</v>
      </c>
      <c r="J219" s="79">
        <v>100</v>
      </c>
      <c r="K219" s="79">
        <v>300</v>
      </c>
      <c r="L219" s="76">
        <f t="shared" si="32"/>
        <v>1239</v>
      </c>
      <c r="M219" s="87">
        <v>600</v>
      </c>
      <c r="N219" s="76">
        <f>100</f>
        <v>100</v>
      </c>
      <c r="O219" s="79">
        <v>240</v>
      </c>
      <c r="P219" s="79">
        <v>160</v>
      </c>
      <c r="Q219" s="79">
        <f t="shared" si="33"/>
        <v>195</v>
      </c>
      <c r="R219" s="79">
        <f t="shared" si="34"/>
        <v>100</v>
      </c>
      <c r="S219" s="76">
        <f t="shared" si="35"/>
        <v>695</v>
      </c>
      <c r="T219" s="76">
        <f>50</f>
        <v>50</v>
      </c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</row>
    <row r="220" spans="1:30" ht="15.75" x14ac:dyDescent="0.25">
      <c r="A220" s="13">
        <v>47604</v>
      </c>
      <c r="B220" s="90">
        <v>31</v>
      </c>
      <c r="C220" s="76">
        <f>194.205</f>
        <v>194.20500000000001</v>
      </c>
      <c r="D220" s="76">
        <f>267.466</f>
        <v>267.46600000000001</v>
      </c>
      <c r="E220" s="85">
        <f>133.845</f>
        <v>133.845</v>
      </c>
      <c r="F220" s="76">
        <f>278.484-40-25-60-100</f>
        <v>53.48399999999998</v>
      </c>
      <c r="G220" s="79">
        <v>40</v>
      </c>
      <c r="H220" s="76">
        <f t="shared" si="36"/>
        <v>185</v>
      </c>
      <c r="I220" s="76">
        <f t="shared" si="28"/>
        <v>0</v>
      </c>
      <c r="J220" s="79">
        <v>100</v>
      </c>
      <c r="K220" s="79">
        <v>300</v>
      </c>
      <c r="L220" s="76">
        <f t="shared" si="32"/>
        <v>1274</v>
      </c>
      <c r="M220" s="87">
        <v>600</v>
      </c>
      <c r="N220" s="76">
        <f>75</f>
        <v>75</v>
      </c>
      <c r="O220" s="79">
        <v>240</v>
      </c>
      <c r="P220" s="79">
        <v>160</v>
      </c>
      <c r="Q220" s="79">
        <f t="shared" si="33"/>
        <v>195</v>
      </c>
      <c r="R220" s="79">
        <f t="shared" si="34"/>
        <v>100</v>
      </c>
      <c r="S220" s="76">
        <f t="shared" si="35"/>
        <v>695</v>
      </c>
      <c r="T220" s="76">
        <f>50</f>
        <v>50</v>
      </c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</row>
    <row r="221" spans="1:30" ht="15.75" x14ac:dyDescent="0.25">
      <c r="A221" s="13">
        <v>47635</v>
      </c>
      <c r="B221" s="90">
        <v>30</v>
      </c>
      <c r="C221" s="76">
        <f>194.205</f>
        <v>194.20500000000001</v>
      </c>
      <c r="D221" s="76">
        <f>267.466</f>
        <v>267.46600000000001</v>
      </c>
      <c r="E221" s="85">
        <f>133.845</f>
        <v>133.845</v>
      </c>
      <c r="F221" s="76">
        <f>278.484-40-25-60-100</f>
        <v>53.48399999999998</v>
      </c>
      <c r="G221" s="79">
        <v>40</v>
      </c>
      <c r="H221" s="76">
        <f t="shared" si="36"/>
        <v>185</v>
      </c>
      <c r="I221" s="76">
        <f t="shared" si="28"/>
        <v>0</v>
      </c>
      <c r="J221" s="79">
        <v>100</v>
      </c>
      <c r="K221" s="79">
        <v>300</v>
      </c>
      <c r="L221" s="76">
        <f t="shared" si="32"/>
        <v>1274</v>
      </c>
      <c r="M221" s="87">
        <v>600</v>
      </c>
      <c r="N221" s="76">
        <f>30</f>
        <v>30</v>
      </c>
      <c r="O221" s="79">
        <v>240</v>
      </c>
      <c r="P221" s="79">
        <v>160</v>
      </c>
      <c r="Q221" s="79">
        <f t="shared" si="33"/>
        <v>195</v>
      </c>
      <c r="R221" s="79">
        <f t="shared" si="34"/>
        <v>100</v>
      </c>
      <c r="S221" s="76">
        <f t="shared" si="35"/>
        <v>695</v>
      </c>
      <c r="T221" s="76">
        <f>50</f>
        <v>50</v>
      </c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</row>
    <row r="222" spans="1:30" ht="15.75" x14ac:dyDescent="0.25">
      <c r="A222" s="13">
        <v>47665</v>
      </c>
      <c r="B222" s="90">
        <v>31</v>
      </c>
      <c r="C222" s="76">
        <f>194.205</f>
        <v>194.20500000000001</v>
      </c>
      <c r="D222" s="76">
        <f>267.466</f>
        <v>267.46600000000001</v>
      </c>
      <c r="E222" s="85">
        <f>133.845</f>
        <v>133.845</v>
      </c>
      <c r="F222" s="76">
        <f>278.484-40-25-60-100</f>
        <v>53.48399999999998</v>
      </c>
      <c r="G222" s="79">
        <v>40</v>
      </c>
      <c r="H222" s="76">
        <f t="shared" si="36"/>
        <v>185</v>
      </c>
      <c r="I222" s="76">
        <f t="shared" si="28"/>
        <v>0</v>
      </c>
      <c r="J222" s="79">
        <v>100</v>
      </c>
      <c r="K222" s="79">
        <v>300</v>
      </c>
      <c r="L222" s="76">
        <f t="shared" si="32"/>
        <v>1274</v>
      </c>
      <c r="M222" s="87">
        <v>600</v>
      </c>
      <c r="N222" s="76">
        <f>30</f>
        <v>30</v>
      </c>
      <c r="O222" s="79">
        <v>240</v>
      </c>
      <c r="P222" s="79">
        <v>160</v>
      </c>
      <c r="Q222" s="79">
        <f t="shared" si="33"/>
        <v>195</v>
      </c>
      <c r="R222" s="79">
        <f t="shared" si="34"/>
        <v>100</v>
      </c>
      <c r="S222" s="76">
        <f t="shared" si="35"/>
        <v>695</v>
      </c>
      <c r="T222" s="76">
        <f>0</f>
        <v>0</v>
      </c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</row>
    <row r="223" spans="1:30" ht="15.75" x14ac:dyDescent="0.25">
      <c r="A223" s="13">
        <v>47696</v>
      </c>
      <c r="B223" s="90">
        <v>31</v>
      </c>
      <c r="C223" s="76">
        <f>194.205</f>
        <v>194.20500000000001</v>
      </c>
      <c r="D223" s="76">
        <f>267.466</f>
        <v>267.46600000000001</v>
      </c>
      <c r="E223" s="85">
        <f>133.845</f>
        <v>133.845</v>
      </c>
      <c r="F223" s="76">
        <f>278.484-40-25-60-100</f>
        <v>53.48399999999998</v>
      </c>
      <c r="G223" s="79">
        <v>40</v>
      </c>
      <c r="H223" s="76">
        <f t="shared" si="36"/>
        <v>185</v>
      </c>
      <c r="I223" s="76">
        <f t="shared" si="28"/>
        <v>0</v>
      </c>
      <c r="J223" s="79">
        <v>100</v>
      </c>
      <c r="K223" s="79">
        <v>300</v>
      </c>
      <c r="L223" s="76">
        <f t="shared" si="32"/>
        <v>1274</v>
      </c>
      <c r="M223" s="87">
        <v>600</v>
      </c>
      <c r="N223" s="76">
        <f>30</f>
        <v>30</v>
      </c>
      <c r="O223" s="79">
        <v>240</v>
      </c>
      <c r="P223" s="79">
        <v>160</v>
      </c>
      <c r="Q223" s="79">
        <f t="shared" si="33"/>
        <v>195</v>
      </c>
      <c r="R223" s="79">
        <f t="shared" si="34"/>
        <v>100</v>
      </c>
      <c r="S223" s="76">
        <f t="shared" si="35"/>
        <v>695</v>
      </c>
      <c r="T223" s="76">
        <f>0</f>
        <v>0</v>
      </c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</row>
    <row r="224" spans="1:30" ht="15.75" x14ac:dyDescent="0.25">
      <c r="A224" s="13">
        <v>47727</v>
      </c>
      <c r="B224" s="90">
        <v>30</v>
      </c>
      <c r="C224" s="76">
        <f>194.205</f>
        <v>194.20500000000001</v>
      </c>
      <c r="D224" s="76">
        <f>267.466</f>
        <v>267.46600000000001</v>
      </c>
      <c r="E224" s="85">
        <f>133.845</f>
        <v>133.845</v>
      </c>
      <c r="F224" s="76">
        <f>278.484-40-25-60-100</f>
        <v>53.48399999999998</v>
      </c>
      <c r="G224" s="79">
        <v>40</v>
      </c>
      <c r="H224" s="76">
        <f t="shared" si="36"/>
        <v>185</v>
      </c>
      <c r="I224" s="76">
        <f t="shared" si="28"/>
        <v>0</v>
      </c>
      <c r="J224" s="79">
        <v>100</v>
      </c>
      <c r="K224" s="79">
        <v>300</v>
      </c>
      <c r="L224" s="76">
        <f t="shared" si="32"/>
        <v>1274</v>
      </c>
      <c r="M224" s="87">
        <v>600</v>
      </c>
      <c r="N224" s="76">
        <f>30</f>
        <v>30</v>
      </c>
      <c r="O224" s="79">
        <v>240</v>
      </c>
      <c r="P224" s="79">
        <v>160</v>
      </c>
      <c r="Q224" s="79">
        <f t="shared" si="33"/>
        <v>195</v>
      </c>
      <c r="R224" s="79">
        <f t="shared" si="34"/>
        <v>100</v>
      </c>
      <c r="S224" s="76">
        <f t="shared" si="35"/>
        <v>695</v>
      </c>
      <c r="T224" s="76">
        <f>0</f>
        <v>0</v>
      </c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</row>
    <row r="225" spans="1:30" ht="15.75" x14ac:dyDescent="0.25">
      <c r="A225" s="13">
        <v>47757</v>
      </c>
      <c r="B225" s="90">
        <v>31</v>
      </c>
      <c r="C225" s="76">
        <f>131.881</f>
        <v>131.881</v>
      </c>
      <c r="D225" s="76">
        <f>277.167</f>
        <v>277.16699999999997</v>
      </c>
      <c r="E225" s="85">
        <f>79.08</f>
        <v>79.08</v>
      </c>
      <c r="F225" s="76">
        <f>350.872-40-25-60-100</f>
        <v>125.87200000000001</v>
      </c>
      <c r="G225" s="79">
        <v>40</v>
      </c>
      <c r="H225" s="76">
        <f t="shared" si="36"/>
        <v>185</v>
      </c>
      <c r="I225" s="76">
        <f t="shared" si="28"/>
        <v>0</v>
      </c>
      <c r="J225" s="79">
        <v>100</v>
      </c>
      <c r="K225" s="79">
        <v>300</v>
      </c>
      <c r="L225" s="76">
        <f t="shared" si="32"/>
        <v>1239</v>
      </c>
      <c r="M225" s="87">
        <v>600</v>
      </c>
      <c r="N225" s="76">
        <f>75</f>
        <v>75</v>
      </c>
      <c r="O225" s="79">
        <v>240</v>
      </c>
      <c r="P225" s="79">
        <v>160</v>
      </c>
      <c r="Q225" s="79">
        <f t="shared" si="33"/>
        <v>195</v>
      </c>
      <c r="R225" s="79">
        <f t="shared" si="34"/>
        <v>100</v>
      </c>
      <c r="S225" s="76">
        <f t="shared" si="35"/>
        <v>695</v>
      </c>
      <c r="T225" s="76">
        <f>0</f>
        <v>0</v>
      </c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</row>
    <row r="226" spans="1:30" ht="15.75" x14ac:dyDescent="0.25">
      <c r="A226" s="13">
        <v>47788</v>
      </c>
      <c r="B226" s="90">
        <v>30</v>
      </c>
      <c r="C226" s="76">
        <f>122.58</f>
        <v>122.58</v>
      </c>
      <c r="D226" s="76">
        <f>297.941</f>
        <v>297.94099999999997</v>
      </c>
      <c r="E226" s="85">
        <f>89.177</f>
        <v>89.177000000000007</v>
      </c>
      <c r="F226" s="76">
        <f>240.302-40-60-100</f>
        <v>40.301999999999992</v>
      </c>
      <c r="G226" s="79">
        <v>40</v>
      </c>
      <c r="H226" s="76">
        <f>60+100</f>
        <v>160</v>
      </c>
      <c r="I226" s="76">
        <f t="shared" si="28"/>
        <v>0</v>
      </c>
      <c r="J226" s="79">
        <v>100</v>
      </c>
      <c r="K226" s="79">
        <v>300</v>
      </c>
      <c r="L226" s="76">
        <f t="shared" si="32"/>
        <v>1150</v>
      </c>
      <c r="M226" s="87">
        <v>600</v>
      </c>
      <c r="N226" s="76">
        <f>100</f>
        <v>100</v>
      </c>
      <c r="O226" s="79">
        <v>240</v>
      </c>
      <c r="P226" s="79">
        <v>40</v>
      </c>
      <c r="Q226" s="79">
        <f t="shared" si="33"/>
        <v>315</v>
      </c>
      <c r="R226" s="79">
        <f t="shared" si="34"/>
        <v>100</v>
      </c>
      <c r="S226" s="76">
        <f t="shared" si="35"/>
        <v>695</v>
      </c>
      <c r="T226" s="76">
        <f>50</f>
        <v>50</v>
      </c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</row>
    <row r="227" spans="1:30" ht="15.75" x14ac:dyDescent="0.25">
      <c r="A227" s="13">
        <v>47818</v>
      </c>
      <c r="B227" s="90">
        <v>31</v>
      </c>
      <c r="C227" s="76">
        <f>122.58</f>
        <v>122.58</v>
      </c>
      <c r="D227" s="76">
        <f>297.941</f>
        <v>297.94099999999997</v>
      </c>
      <c r="E227" s="85">
        <f>89.177</f>
        <v>89.177000000000007</v>
      </c>
      <c r="F227" s="76">
        <f>240.302-40-60-100</f>
        <v>40.301999999999992</v>
      </c>
      <c r="G227" s="79">
        <v>40</v>
      </c>
      <c r="H227" s="76">
        <f>60+100</f>
        <v>160</v>
      </c>
      <c r="I227" s="76">
        <f t="shared" si="28"/>
        <v>0</v>
      </c>
      <c r="J227" s="79">
        <v>100</v>
      </c>
      <c r="K227" s="79">
        <v>300</v>
      </c>
      <c r="L227" s="76">
        <f t="shared" si="32"/>
        <v>1150</v>
      </c>
      <c r="M227" s="87">
        <v>600</v>
      </c>
      <c r="N227" s="76">
        <f>100</f>
        <v>100</v>
      </c>
      <c r="O227" s="79">
        <v>240</v>
      </c>
      <c r="P227" s="79">
        <v>40</v>
      </c>
      <c r="Q227" s="79">
        <f t="shared" si="33"/>
        <v>315</v>
      </c>
      <c r="R227" s="79">
        <f t="shared" si="34"/>
        <v>100</v>
      </c>
      <c r="S227" s="76">
        <f t="shared" si="35"/>
        <v>695</v>
      </c>
      <c r="T227" s="76">
        <f>50</f>
        <v>50</v>
      </c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</row>
    <row r="228" spans="1:30" ht="15.75" x14ac:dyDescent="0.25">
      <c r="A228" s="13">
        <v>47849</v>
      </c>
      <c r="B228" s="90">
        <v>31</v>
      </c>
      <c r="C228" s="76">
        <f>122.58</f>
        <v>122.58</v>
      </c>
      <c r="D228" s="76">
        <f>297.941</f>
        <v>297.94099999999997</v>
      </c>
      <c r="E228" s="85">
        <f>89.177</f>
        <v>89.177000000000007</v>
      </c>
      <c r="F228" s="76">
        <f>240.302-40-60-100</f>
        <v>40.301999999999992</v>
      </c>
      <c r="G228" s="79">
        <v>40</v>
      </c>
      <c r="H228" s="76">
        <f>60+100</f>
        <v>160</v>
      </c>
      <c r="I228" s="76">
        <f t="shared" si="28"/>
        <v>0</v>
      </c>
      <c r="J228" s="79">
        <v>100</v>
      </c>
      <c r="K228" s="79">
        <v>300</v>
      </c>
      <c r="L228" s="76">
        <f t="shared" si="32"/>
        <v>1150</v>
      </c>
      <c r="M228" s="87">
        <v>600</v>
      </c>
      <c r="N228" s="76">
        <f>100</f>
        <v>100</v>
      </c>
      <c r="O228" s="79">
        <v>240</v>
      </c>
      <c r="P228" s="79">
        <v>40</v>
      </c>
      <c r="Q228" s="79">
        <f t="shared" si="33"/>
        <v>315</v>
      </c>
      <c r="R228" s="79">
        <f t="shared" si="34"/>
        <v>100</v>
      </c>
      <c r="S228" s="76">
        <f t="shared" si="35"/>
        <v>695</v>
      </c>
      <c r="T228" s="76">
        <f>50</f>
        <v>50</v>
      </c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</row>
    <row r="229" spans="1:30" ht="15.75" x14ac:dyDescent="0.25">
      <c r="A229" s="13">
        <v>47880</v>
      </c>
      <c r="B229" s="90">
        <v>28</v>
      </c>
      <c r="C229" s="76">
        <f>122.58</f>
        <v>122.58</v>
      </c>
      <c r="D229" s="76">
        <f>297.941</f>
        <v>297.94099999999997</v>
      </c>
      <c r="E229" s="85">
        <f>89.177</f>
        <v>89.177000000000007</v>
      </c>
      <c r="F229" s="76">
        <f>240.302-40-60-100</f>
        <v>40.301999999999992</v>
      </c>
      <c r="G229" s="79">
        <v>40</v>
      </c>
      <c r="H229" s="76">
        <f>60+100</f>
        <v>160</v>
      </c>
      <c r="I229" s="76">
        <f t="shared" si="28"/>
        <v>0</v>
      </c>
      <c r="J229" s="79">
        <v>100</v>
      </c>
      <c r="K229" s="79">
        <v>300</v>
      </c>
      <c r="L229" s="76">
        <f t="shared" si="32"/>
        <v>1150</v>
      </c>
      <c r="M229" s="87">
        <v>600</v>
      </c>
      <c r="N229" s="76">
        <f>100</f>
        <v>100</v>
      </c>
      <c r="O229" s="79">
        <v>240</v>
      </c>
      <c r="P229" s="79">
        <v>40</v>
      </c>
      <c r="Q229" s="79">
        <f t="shared" si="33"/>
        <v>315</v>
      </c>
      <c r="R229" s="79">
        <f t="shared" si="34"/>
        <v>100</v>
      </c>
      <c r="S229" s="76">
        <f t="shared" si="35"/>
        <v>695</v>
      </c>
      <c r="T229" s="76">
        <f>50</f>
        <v>50</v>
      </c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</row>
    <row r="230" spans="1:30" ht="15.75" x14ac:dyDescent="0.25">
      <c r="A230" s="13">
        <v>47908</v>
      </c>
      <c r="B230" s="90">
        <v>31</v>
      </c>
      <c r="C230" s="76">
        <f>122.58</f>
        <v>122.58</v>
      </c>
      <c r="D230" s="76">
        <f>297.941</f>
        <v>297.94099999999997</v>
      </c>
      <c r="E230" s="85">
        <f>89.177</f>
        <v>89.177000000000007</v>
      </c>
      <c r="F230" s="76">
        <f>240.302-40-60-100</f>
        <v>40.301999999999992</v>
      </c>
      <c r="G230" s="79">
        <v>40</v>
      </c>
      <c r="H230" s="76">
        <f>60+100</f>
        <v>160</v>
      </c>
      <c r="I230" s="76">
        <f t="shared" si="28"/>
        <v>0</v>
      </c>
      <c r="J230" s="79">
        <v>100</v>
      </c>
      <c r="K230" s="79">
        <v>300</v>
      </c>
      <c r="L230" s="76">
        <f t="shared" si="32"/>
        <v>1150</v>
      </c>
      <c r="M230" s="87">
        <v>600</v>
      </c>
      <c r="N230" s="76">
        <f>100</f>
        <v>100</v>
      </c>
      <c r="O230" s="79">
        <v>240</v>
      </c>
      <c r="P230" s="79">
        <v>40</v>
      </c>
      <c r="Q230" s="79">
        <f t="shared" si="33"/>
        <v>315</v>
      </c>
      <c r="R230" s="79">
        <f t="shared" si="34"/>
        <v>100</v>
      </c>
      <c r="S230" s="76">
        <f t="shared" si="35"/>
        <v>695</v>
      </c>
      <c r="T230" s="76">
        <f>50</f>
        <v>50</v>
      </c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</row>
    <row r="231" spans="1:30" ht="15.75" x14ac:dyDescent="0.25">
      <c r="A231" s="13">
        <v>47939</v>
      </c>
      <c r="B231" s="90">
        <v>30</v>
      </c>
      <c r="C231" s="76">
        <f>141.293</f>
        <v>141.29300000000001</v>
      </c>
      <c r="D231" s="76">
        <f>267.993</f>
        <v>267.99299999999999</v>
      </c>
      <c r="E231" s="85">
        <f>115.016</f>
        <v>115.01600000000001</v>
      </c>
      <c r="F231" s="76">
        <f>314.698-40-25-60-100</f>
        <v>89.697999999999979</v>
      </c>
      <c r="G231" s="79">
        <v>40</v>
      </c>
      <c r="H231" s="76">
        <f t="shared" ref="H231:H237" si="37">25+60+100</f>
        <v>185</v>
      </c>
      <c r="I231" s="76">
        <f t="shared" si="28"/>
        <v>0</v>
      </c>
      <c r="J231" s="79">
        <v>100</v>
      </c>
      <c r="K231" s="79">
        <v>300</v>
      </c>
      <c r="L231" s="76">
        <f t="shared" si="32"/>
        <v>1239</v>
      </c>
      <c r="M231" s="87">
        <v>600</v>
      </c>
      <c r="N231" s="76">
        <f>100</f>
        <v>100</v>
      </c>
      <c r="O231" s="79">
        <v>240</v>
      </c>
      <c r="P231" s="79">
        <v>160</v>
      </c>
      <c r="Q231" s="79">
        <f t="shared" si="33"/>
        <v>195</v>
      </c>
      <c r="R231" s="79">
        <f t="shared" si="34"/>
        <v>100</v>
      </c>
      <c r="S231" s="76">
        <f t="shared" si="35"/>
        <v>695</v>
      </c>
      <c r="T231" s="76">
        <f>50</f>
        <v>50</v>
      </c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</row>
    <row r="232" spans="1:30" ht="15.75" x14ac:dyDescent="0.25">
      <c r="A232" s="13">
        <v>47969</v>
      </c>
      <c r="B232" s="90">
        <v>31</v>
      </c>
      <c r="C232" s="76">
        <f>194.205</f>
        <v>194.20500000000001</v>
      </c>
      <c r="D232" s="76">
        <f>267.466</f>
        <v>267.46600000000001</v>
      </c>
      <c r="E232" s="85">
        <f>133.845</f>
        <v>133.845</v>
      </c>
      <c r="F232" s="76">
        <f>278.484-40-25-60-100</f>
        <v>53.48399999999998</v>
      </c>
      <c r="G232" s="79">
        <v>40</v>
      </c>
      <c r="H232" s="76">
        <f t="shared" si="37"/>
        <v>185</v>
      </c>
      <c r="I232" s="76">
        <f t="shared" si="28"/>
        <v>0</v>
      </c>
      <c r="J232" s="79">
        <v>100</v>
      </c>
      <c r="K232" s="79">
        <v>300</v>
      </c>
      <c r="L232" s="76">
        <f t="shared" si="32"/>
        <v>1274</v>
      </c>
      <c r="M232" s="87">
        <v>600</v>
      </c>
      <c r="N232" s="76">
        <f>75</f>
        <v>75</v>
      </c>
      <c r="O232" s="79">
        <v>240</v>
      </c>
      <c r="P232" s="79">
        <v>160</v>
      </c>
      <c r="Q232" s="79">
        <f t="shared" si="33"/>
        <v>195</v>
      </c>
      <c r="R232" s="79">
        <f t="shared" si="34"/>
        <v>100</v>
      </c>
      <c r="S232" s="76">
        <f t="shared" si="35"/>
        <v>695</v>
      </c>
      <c r="T232" s="76">
        <f>50</f>
        <v>50</v>
      </c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</row>
    <row r="233" spans="1:30" ht="15.75" x14ac:dyDescent="0.25">
      <c r="A233" s="13">
        <v>48000</v>
      </c>
      <c r="B233" s="90">
        <v>30</v>
      </c>
      <c r="C233" s="76">
        <f>194.205</f>
        <v>194.20500000000001</v>
      </c>
      <c r="D233" s="76">
        <f>267.466</f>
        <v>267.46600000000001</v>
      </c>
      <c r="E233" s="85">
        <f>133.845</f>
        <v>133.845</v>
      </c>
      <c r="F233" s="76">
        <f>278.484-40-25-60-100</f>
        <v>53.48399999999998</v>
      </c>
      <c r="G233" s="79">
        <v>40</v>
      </c>
      <c r="H233" s="76">
        <f t="shared" si="37"/>
        <v>185</v>
      </c>
      <c r="I233" s="76">
        <f t="shared" si="28"/>
        <v>0</v>
      </c>
      <c r="J233" s="79">
        <v>100</v>
      </c>
      <c r="K233" s="79">
        <v>300</v>
      </c>
      <c r="L233" s="76">
        <f t="shared" si="32"/>
        <v>1274</v>
      </c>
      <c r="M233" s="87">
        <v>600</v>
      </c>
      <c r="N233" s="76">
        <f>30</f>
        <v>30</v>
      </c>
      <c r="O233" s="79">
        <v>240</v>
      </c>
      <c r="P233" s="79">
        <v>160</v>
      </c>
      <c r="Q233" s="79">
        <f t="shared" si="33"/>
        <v>195</v>
      </c>
      <c r="R233" s="79">
        <f t="shared" si="34"/>
        <v>100</v>
      </c>
      <c r="S233" s="76">
        <f t="shared" si="35"/>
        <v>695</v>
      </c>
      <c r="T233" s="76">
        <f>50</f>
        <v>50</v>
      </c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</row>
    <row r="234" spans="1:30" ht="15.75" x14ac:dyDescent="0.25">
      <c r="A234" s="13">
        <v>48030</v>
      </c>
      <c r="B234" s="90">
        <v>31</v>
      </c>
      <c r="C234" s="76">
        <f>194.205</f>
        <v>194.20500000000001</v>
      </c>
      <c r="D234" s="76">
        <f>267.466</f>
        <v>267.46600000000001</v>
      </c>
      <c r="E234" s="85">
        <f>133.845</f>
        <v>133.845</v>
      </c>
      <c r="F234" s="76">
        <f>278.484-40-25-60-100</f>
        <v>53.48399999999998</v>
      </c>
      <c r="G234" s="79">
        <v>40</v>
      </c>
      <c r="H234" s="76">
        <f t="shared" si="37"/>
        <v>185</v>
      </c>
      <c r="I234" s="76">
        <f t="shared" si="28"/>
        <v>0</v>
      </c>
      <c r="J234" s="79">
        <v>100</v>
      </c>
      <c r="K234" s="79">
        <v>300</v>
      </c>
      <c r="L234" s="76">
        <f t="shared" si="32"/>
        <v>1274</v>
      </c>
      <c r="M234" s="87">
        <v>600</v>
      </c>
      <c r="N234" s="76">
        <f>30</f>
        <v>30</v>
      </c>
      <c r="O234" s="79">
        <v>240</v>
      </c>
      <c r="P234" s="79">
        <v>160</v>
      </c>
      <c r="Q234" s="79">
        <f t="shared" si="33"/>
        <v>195</v>
      </c>
      <c r="R234" s="79">
        <f t="shared" si="34"/>
        <v>100</v>
      </c>
      <c r="S234" s="76">
        <f t="shared" si="35"/>
        <v>695</v>
      </c>
      <c r="T234" s="76">
        <f>0</f>
        <v>0</v>
      </c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</row>
    <row r="235" spans="1:30" ht="15.75" x14ac:dyDescent="0.25">
      <c r="A235" s="13">
        <v>48061</v>
      </c>
      <c r="B235" s="90">
        <v>31</v>
      </c>
      <c r="C235" s="76">
        <f>194.205</f>
        <v>194.20500000000001</v>
      </c>
      <c r="D235" s="76">
        <f>267.466</f>
        <v>267.46600000000001</v>
      </c>
      <c r="E235" s="85">
        <f>133.845</f>
        <v>133.845</v>
      </c>
      <c r="F235" s="76">
        <f>278.484-40-25-60-100</f>
        <v>53.48399999999998</v>
      </c>
      <c r="G235" s="79">
        <v>40</v>
      </c>
      <c r="H235" s="76">
        <f t="shared" si="37"/>
        <v>185</v>
      </c>
      <c r="I235" s="76">
        <f t="shared" si="28"/>
        <v>0</v>
      </c>
      <c r="J235" s="79">
        <v>100</v>
      </c>
      <c r="K235" s="79">
        <v>300</v>
      </c>
      <c r="L235" s="76">
        <f t="shared" si="32"/>
        <v>1274</v>
      </c>
      <c r="M235" s="87">
        <v>600</v>
      </c>
      <c r="N235" s="76">
        <f>30</f>
        <v>30</v>
      </c>
      <c r="O235" s="79">
        <v>240</v>
      </c>
      <c r="P235" s="79">
        <v>160</v>
      </c>
      <c r="Q235" s="79">
        <f t="shared" si="33"/>
        <v>195</v>
      </c>
      <c r="R235" s="79">
        <f t="shared" si="34"/>
        <v>100</v>
      </c>
      <c r="S235" s="76">
        <f t="shared" si="35"/>
        <v>695</v>
      </c>
      <c r="T235" s="76">
        <f>0</f>
        <v>0</v>
      </c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</row>
    <row r="236" spans="1:30" ht="15.75" x14ac:dyDescent="0.25">
      <c r="A236" s="13">
        <v>48092</v>
      </c>
      <c r="B236" s="90">
        <v>30</v>
      </c>
      <c r="C236" s="76">
        <f>194.205</f>
        <v>194.20500000000001</v>
      </c>
      <c r="D236" s="76">
        <f>267.466</f>
        <v>267.46600000000001</v>
      </c>
      <c r="E236" s="85">
        <f>133.845</f>
        <v>133.845</v>
      </c>
      <c r="F236" s="76">
        <f>278.484-40-25-60-100</f>
        <v>53.48399999999998</v>
      </c>
      <c r="G236" s="79">
        <v>40</v>
      </c>
      <c r="H236" s="76">
        <f t="shared" si="37"/>
        <v>185</v>
      </c>
      <c r="I236" s="76">
        <f t="shared" si="28"/>
        <v>0</v>
      </c>
      <c r="J236" s="79">
        <v>100</v>
      </c>
      <c r="K236" s="79">
        <v>300</v>
      </c>
      <c r="L236" s="76">
        <f t="shared" si="32"/>
        <v>1274</v>
      </c>
      <c r="M236" s="87">
        <v>600</v>
      </c>
      <c r="N236" s="76">
        <f>30</f>
        <v>30</v>
      </c>
      <c r="O236" s="79">
        <v>240</v>
      </c>
      <c r="P236" s="79">
        <v>160</v>
      </c>
      <c r="Q236" s="79">
        <f t="shared" si="33"/>
        <v>195</v>
      </c>
      <c r="R236" s="79">
        <f t="shared" si="34"/>
        <v>100</v>
      </c>
      <c r="S236" s="76">
        <f t="shared" si="35"/>
        <v>695</v>
      </c>
      <c r="T236" s="76">
        <f>0</f>
        <v>0</v>
      </c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</row>
    <row r="237" spans="1:30" ht="15.75" x14ac:dyDescent="0.25">
      <c r="A237" s="13">
        <v>48122</v>
      </c>
      <c r="B237" s="90">
        <v>31</v>
      </c>
      <c r="C237" s="76">
        <f>131.881</f>
        <v>131.881</v>
      </c>
      <c r="D237" s="76">
        <f>277.167</f>
        <v>277.16699999999997</v>
      </c>
      <c r="E237" s="85">
        <f>79.08</f>
        <v>79.08</v>
      </c>
      <c r="F237" s="76">
        <f>350.872-40-25-60-100</f>
        <v>125.87200000000001</v>
      </c>
      <c r="G237" s="79">
        <v>40</v>
      </c>
      <c r="H237" s="76">
        <f t="shared" si="37"/>
        <v>185</v>
      </c>
      <c r="I237" s="76">
        <f t="shared" si="28"/>
        <v>0</v>
      </c>
      <c r="J237" s="79">
        <v>100</v>
      </c>
      <c r="K237" s="79">
        <v>300</v>
      </c>
      <c r="L237" s="76">
        <f t="shared" si="32"/>
        <v>1239</v>
      </c>
      <c r="M237" s="87">
        <v>600</v>
      </c>
      <c r="N237" s="76">
        <f>75</f>
        <v>75</v>
      </c>
      <c r="O237" s="79">
        <v>240</v>
      </c>
      <c r="P237" s="79">
        <v>160</v>
      </c>
      <c r="Q237" s="79">
        <f t="shared" si="33"/>
        <v>195</v>
      </c>
      <c r="R237" s="79">
        <f t="shared" si="34"/>
        <v>100</v>
      </c>
      <c r="S237" s="76">
        <f t="shared" si="35"/>
        <v>695</v>
      </c>
      <c r="T237" s="76">
        <f>0</f>
        <v>0</v>
      </c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</row>
    <row r="238" spans="1:30" ht="15.75" x14ac:dyDescent="0.25">
      <c r="A238" s="13">
        <v>48153</v>
      </c>
      <c r="B238" s="90">
        <v>30</v>
      </c>
      <c r="C238" s="76">
        <f>122.58</f>
        <v>122.58</v>
      </c>
      <c r="D238" s="76">
        <f>297.941</f>
        <v>297.94099999999997</v>
      </c>
      <c r="E238" s="85">
        <f>89.177</f>
        <v>89.177000000000007</v>
      </c>
      <c r="F238" s="76">
        <f>240.302-40-60-100</f>
        <v>40.301999999999992</v>
      </c>
      <c r="G238" s="79">
        <v>40</v>
      </c>
      <c r="H238" s="76">
        <f>60+100</f>
        <v>160</v>
      </c>
      <c r="I238" s="76">
        <f t="shared" si="28"/>
        <v>0</v>
      </c>
      <c r="J238" s="79">
        <v>100</v>
      </c>
      <c r="K238" s="79">
        <v>300</v>
      </c>
      <c r="L238" s="76">
        <f t="shared" si="32"/>
        <v>1150</v>
      </c>
      <c r="M238" s="87">
        <v>600</v>
      </c>
      <c r="N238" s="76">
        <f>100</f>
        <v>100</v>
      </c>
      <c r="O238" s="79">
        <v>240</v>
      </c>
      <c r="P238" s="79">
        <v>40</v>
      </c>
      <c r="Q238" s="79">
        <f t="shared" si="33"/>
        <v>315</v>
      </c>
      <c r="R238" s="79">
        <f t="shared" si="34"/>
        <v>100</v>
      </c>
      <c r="S238" s="76">
        <f t="shared" si="35"/>
        <v>695</v>
      </c>
      <c r="T238" s="76">
        <f>50</f>
        <v>50</v>
      </c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</row>
    <row r="239" spans="1:30" ht="15.75" x14ac:dyDescent="0.25">
      <c r="A239" s="13">
        <v>48183</v>
      </c>
      <c r="B239" s="90">
        <v>31</v>
      </c>
      <c r="C239" s="76">
        <f>122.58</f>
        <v>122.58</v>
      </c>
      <c r="D239" s="76">
        <f>297.941</f>
        <v>297.94099999999997</v>
      </c>
      <c r="E239" s="85">
        <f>89.177</f>
        <v>89.177000000000007</v>
      </c>
      <c r="F239" s="76">
        <f>240.302-40-60-100</f>
        <v>40.301999999999992</v>
      </c>
      <c r="G239" s="79">
        <v>40</v>
      </c>
      <c r="H239" s="76">
        <f>60+100</f>
        <v>160</v>
      </c>
      <c r="I239" s="76">
        <f t="shared" si="28"/>
        <v>0</v>
      </c>
      <c r="J239" s="79">
        <v>100</v>
      </c>
      <c r="K239" s="79">
        <v>300</v>
      </c>
      <c r="L239" s="76">
        <f t="shared" si="32"/>
        <v>1150</v>
      </c>
      <c r="M239" s="87">
        <v>600</v>
      </c>
      <c r="N239" s="76">
        <f>100</f>
        <v>100</v>
      </c>
      <c r="O239" s="79">
        <v>240</v>
      </c>
      <c r="P239" s="79">
        <v>40</v>
      </c>
      <c r="Q239" s="79">
        <f t="shared" si="33"/>
        <v>315</v>
      </c>
      <c r="R239" s="79">
        <f t="shared" si="34"/>
        <v>100</v>
      </c>
      <c r="S239" s="76">
        <f t="shared" si="35"/>
        <v>695</v>
      </c>
      <c r="T239" s="76">
        <f>50</f>
        <v>50</v>
      </c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</row>
    <row r="240" spans="1:30" ht="15.75" x14ac:dyDescent="0.25">
      <c r="A240" s="13">
        <v>48214</v>
      </c>
      <c r="B240" s="90">
        <v>31</v>
      </c>
      <c r="C240" s="76">
        <f>122.58</f>
        <v>122.58</v>
      </c>
      <c r="D240" s="76">
        <f>297.941</f>
        <v>297.94099999999997</v>
      </c>
      <c r="E240" s="85">
        <f>89.177</f>
        <v>89.177000000000007</v>
      </c>
      <c r="F240" s="76">
        <f>240.302-40-60-100</f>
        <v>40.301999999999992</v>
      </c>
      <c r="G240" s="79">
        <v>40</v>
      </c>
      <c r="H240" s="76">
        <f>60+100</f>
        <v>160</v>
      </c>
      <c r="I240" s="76">
        <f t="shared" si="28"/>
        <v>0</v>
      </c>
      <c r="J240" s="79">
        <v>100</v>
      </c>
      <c r="K240" s="79">
        <v>300</v>
      </c>
      <c r="L240" s="76">
        <f t="shared" si="32"/>
        <v>1150</v>
      </c>
      <c r="M240" s="87">
        <v>600</v>
      </c>
      <c r="N240" s="76">
        <f>100</f>
        <v>100</v>
      </c>
      <c r="O240" s="79">
        <v>240</v>
      </c>
      <c r="P240" s="79">
        <v>40</v>
      </c>
      <c r="Q240" s="79">
        <f t="shared" si="33"/>
        <v>315</v>
      </c>
      <c r="R240" s="79">
        <f t="shared" si="34"/>
        <v>100</v>
      </c>
      <c r="S240" s="76">
        <f t="shared" si="35"/>
        <v>695</v>
      </c>
      <c r="T240" s="76">
        <f>50</f>
        <v>50</v>
      </c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</row>
    <row r="241" spans="1:30" ht="15.75" x14ac:dyDescent="0.25">
      <c r="A241" s="13">
        <v>48245</v>
      </c>
      <c r="B241" s="90">
        <v>29</v>
      </c>
      <c r="C241" s="76">
        <f>122.58</f>
        <v>122.58</v>
      </c>
      <c r="D241" s="76">
        <f>297.941</f>
        <v>297.94099999999997</v>
      </c>
      <c r="E241" s="85">
        <f>89.177</f>
        <v>89.177000000000007</v>
      </c>
      <c r="F241" s="76">
        <f>240.302-40-60-100</f>
        <v>40.301999999999992</v>
      </c>
      <c r="G241" s="79">
        <v>40</v>
      </c>
      <c r="H241" s="76">
        <f>60+100</f>
        <v>160</v>
      </c>
      <c r="I241" s="76">
        <f t="shared" si="28"/>
        <v>0</v>
      </c>
      <c r="J241" s="79">
        <v>100</v>
      </c>
      <c r="K241" s="79">
        <v>300</v>
      </c>
      <c r="L241" s="76">
        <f t="shared" si="32"/>
        <v>1150</v>
      </c>
      <c r="M241" s="87">
        <v>600</v>
      </c>
      <c r="N241" s="76">
        <f>100</f>
        <v>100</v>
      </c>
      <c r="O241" s="79">
        <v>240</v>
      </c>
      <c r="P241" s="79">
        <v>40</v>
      </c>
      <c r="Q241" s="79">
        <f t="shared" si="33"/>
        <v>315</v>
      </c>
      <c r="R241" s="79">
        <f t="shared" si="34"/>
        <v>100</v>
      </c>
      <c r="S241" s="76">
        <f t="shared" si="35"/>
        <v>695</v>
      </c>
      <c r="T241" s="76">
        <f>50</f>
        <v>50</v>
      </c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</row>
    <row r="242" spans="1:30" ht="15.75" x14ac:dyDescent="0.25">
      <c r="A242" s="13">
        <v>48274</v>
      </c>
      <c r="B242" s="90">
        <v>31</v>
      </c>
      <c r="C242" s="76">
        <f>122.58</f>
        <v>122.58</v>
      </c>
      <c r="D242" s="76">
        <f>297.941</f>
        <v>297.94099999999997</v>
      </c>
      <c r="E242" s="85">
        <f>89.177</f>
        <v>89.177000000000007</v>
      </c>
      <c r="F242" s="76">
        <f>240.302-40-60-100</f>
        <v>40.301999999999992</v>
      </c>
      <c r="G242" s="79">
        <v>40</v>
      </c>
      <c r="H242" s="76">
        <f>60+100</f>
        <v>160</v>
      </c>
      <c r="I242" s="76">
        <f t="shared" si="28"/>
        <v>0</v>
      </c>
      <c r="J242" s="79">
        <v>100</v>
      </c>
      <c r="K242" s="79">
        <v>300</v>
      </c>
      <c r="L242" s="76">
        <f t="shared" si="32"/>
        <v>1150</v>
      </c>
      <c r="M242" s="87">
        <v>600</v>
      </c>
      <c r="N242" s="76">
        <f>100</f>
        <v>100</v>
      </c>
      <c r="O242" s="79">
        <v>240</v>
      </c>
      <c r="P242" s="79">
        <v>40</v>
      </c>
      <c r="Q242" s="79">
        <f t="shared" si="33"/>
        <v>315</v>
      </c>
      <c r="R242" s="79">
        <f t="shared" si="34"/>
        <v>100</v>
      </c>
      <c r="S242" s="76">
        <f t="shared" si="35"/>
        <v>695</v>
      </c>
      <c r="T242" s="76">
        <f>50</f>
        <v>50</v>
      </c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</row>
    <row r="243" spans="1:30" ht="15.75" x14ac:dyDescent="0.25">
      <c r="A243" s="13">
        <v>48305</v>
      </c>
      <c r="B243" s="90">
        <v>30</v>
      </c>
      <c r="C243" s="76">
        <f>141.293</f>
        <v>141.29300000000001</v>
      </c>
      <c r="D243" s="76">
        <f>267.993</f>
        <v>267.99299999999999</v>
      </c>
      <c r="E243" s="85">
        <f>115.016</f>
        <v>115.01600000000001</v>
      </c>
      <c r="F243" s="76">
        <f>314.698-40-25-60-100</f>
        <v>89.697999999999979</v>
      </c>
      <c r="G243" s="79">
        <v>40</v>
      </c>
      <c r="H243" s="76">
        <f t="shared" ref="H243:H249" si="38">25+60+100</f>
        <v>185</v>
      </c>
      <c r="I243" s="76">
        <f t="shared" si="28"/>
        <v>0</v>
      </c>
      <c r="J243" s="79">
        <v>100</v>
      </c>
      <c r="K243" s="79">
        <v>300</v>
      </c>
      <c r="L243" s="76">
        <f t="shared" si="32"/>
        <v>1239</v>
      </c>
      <c r="M243" s="87">
        <v>600</v>
      </c>
      <c r="N243" s="76">
        <f>100</f>
        <v>100</v>
      </c>
      <c r="O243" s="79">
        <v>240</v>
      </c>
      <c r="P243" s="79">
        <v>160</v>
      </c>
      <c r="Q243" s="79">
        <f t="shared" si="33"/>
        <v>195</v>
      </c>
      <c r="R243" s="79">
        <f t="shared" si="34"/>
        <v>100</v>
      </c>
      <c r="S243" s="76">
        <f t="shared" si="35"/>
        <v>695</v>
      </c>
      <c r="T243" s="76">
        <f>50</f>
        <v>50</v>
      </c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</row>
    <row r="244" spans="1:30" ht="15.75" x14ac:dyDescent="0.25">
      <c r="A244" s="13">
        <v>48335</v>
      </c>
      <c r="B244" s="90">
        <v>31</v>
      </c>
      <c r="C244" s="76">
        <f>194.205</f>
        <v>194.20500000000001</v>
      </c>
      <c r="D244" s="76">
        <f>267.466</f>
        <v>267.46600000000001</v>
      </c>
      <c r="E244" s="85">
        <f>133.845</f>
        <v>133.845</v>
      </c>
      <c r="F244" s="76">
        <f>278.484-40-25-60-100</f>
        <v>53.48399999999998</v>
      </c>
      <c r="G244" s="79">
        <v>40</v>
      </c>
      <c r="H244" s="76">
        <f t="shared" si="38"/>
        <v>185</v>
      </c>
      <c r="I244" s="76">
        <f t="shared" ref="I244:I307" si="39">400-J244-K244</f>
        <v>0</v>
      </c>
      <c r="J244" s="79">
        <v>100</v>
      </c>
      <c r="K244" s="79">
        <v>300</v>
      </c>
      <c r="L244" s="76">
        <f t="shared" si="32"/>
        <v>1274</v>
      </c>
      <c r="M244" s="87">
        <v>600</v>
      </c>
      <c r="N244" s="76">
        <f>75</f>
        <v>75</v>
      </c>
      <c r="O244" s="79">
        <v>240</v>
      </c>
      <c r="P244" s="79">
        <v>160</v>
      </c>
      <c r="Q244" s="79">
        <f t="shared" si="33"/>
        <v>195</v>
      </c>
      <c r="R244" s="79">
        <f t="shared" si="34"/>
        <v>100</v>
      </c>
      <c r="S244" s="76">
        <f t="shared" si="35"/>
        <v>695</v>
      </c>
      <c r="T244" s="76">
        <f>50</f>
        <v>50</v>
      </c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</row>
    <row r="245" spans="1:30" ht="15.75" x14ac:dyDescent="0.25">
      <c r="A245" s="13">
        <v>48366</v>
      </c>
      <c r="B245" s="90">
        <v>30</v>
      </c>
      <c r="C245" s="76">
        <f>194.205</f>
        <v>194.20500000000001</v>
      </c>
      <c r="D245" s="76">
        <f>267.466</f>
        <v>267.46600000000001</v>
      </c>
      <c r="E245" s="85">
        <f>133.845</f>
        <v>133.845</v>
      </c>
      <c r="F245" s="76">
        <f>278.484-40-25-60-100</f>
        <v>53.48399999999998</v>
      </c>
      <c r="G245" s="79">
        <v>40</v>
      </c>
      <c r="H245" s="76">
        <f t="shared" si="38"/>
        <v>185</v>
      </c>
      <c r="I245" s="76">
        <f t="shared" si="39"/>
        <v>0</v>
      </c>
      <c r="J245" s="79">
        <v>100</v>
      </c>
      <c r="K245" s="79">
        <v>300</v>
      </c>
      <c r="L245" s="76">
        <f t="shared" si="32"/>
        <v>1274</v>
      </c>
      <c r="M245" s="87">
        <v>600</v>
      </c>
      <c r="N245" s="76">
        <f>30</f>
        <v>30</v>
      </c>
      <c r="O245" s="79">
        <v>240</v>
      </c>
      <c r="P245" s="79">
        <v>160</v>
      </c>
      <c r="Q245" s="79">
        <f t="shared" si="33"/>
        <v>195</v>
      </c>
      <c r="R245" s="79">
        <f t="shared" si="34"/>
        <v>100</v>
      </c>
      <c r="S245" s="76">
        <f t="shared" si="35"/>
        <v>695</v>
      </c>
      <c r="T245" s="76">
        <f>50</f>
        <v>50</v>
      </c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</row>
    <row r="246" spans="1:30" ht="15.75" x14ac:dyDescent="0.25">
      <c r="A246" s="13">
        <v>48396</v>
      </c>
      <c r="B246" s="90">
        <v>31</v>
      </c>
      <c r="C246" s="76">
        <f>194.205</f>
        <v>194.20500000000001</v>
      </c>
      <c r="D246" s="76">
        <f>267.466</f>
        <v>267.46600000000001</v>
      </c>
      <c r="E246" s="85">
        <f>133.845</f>
        <v>133.845</v>
      </c>
      <c r="F246" s="76">
        <f>278.484-40-25-60-100</f>
        <v>53.48399999999998</v>
      </c>
      <c r="G246" s="79">
        <v>40</v>
      </c>
      <c r="H246" s="76">
        <f t="shared" si="38"/>
        <v>185</v>
      </c>
      <c r="I246" s="76">
        <f t="shared" si="39"/>
        <v>0</v>
      </c>
      <c r="J246" s="79">
        <v>100</v>
      </c>
      <c r="K246" s="79">
        <v>300</v>
      </c>
      <c r="L246" s="76">
        <f t="shared" si="32"/>
        <v>1274</v>
      </c>
      <c r="M246" s="87">
        <v>600</v>
      </c>
      <c r="N246" s="76">
        <f>30</f>
        <v>30</v>
      </c>
      <c r="O246" s="79">
        <v>240</v>
      </c>
      <c r="P246" s="79">
        <v>160</v>
      </c>
      <c r="Q246" s="79">
        <f t="shared" si="33"/>
        <v>195</v>
      </c>
      <c r="R246" s="79">
        <f t="shared" si="34"/>
        <v>100</v>
      </c>
      <c r="S246" s="76">
        <f t="shared" si="35"/>
        <v>695</v>
      </c>
      <c r="T246" s="76">
        <f>0</f>
        <v>0</v>
      </c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</row>
    <row r="247" spans="1:30" ht="15.75" x14ac:dyDescent="0.25">
      <c r="A247" s="13">
        <v>48427</v>
      </c>
      <c r="B247" s="90">
        <v>31</v>
      </c>
      <c r="C247" s="76">
        <f>194.205</f>
        <v>194.20500000000001</v>
      </c>
      <c r="D247" s="76">
        <f>267.466</f>
        <v>267.46600000000001</v>
      </c>
      <c r="E247" s="85">
        <f>133.845</f>
        <v>133.845</v>
      </c>
      <c r="F247" s="76">
        <f>278.484-40-25-60-100</f>
        <v>53.48399999999998</v>
      </c>
      <c r="G247" s="79">
        <v>40</v>
      </c>
      <c r="H247" s="76">
        <f t="shared" si="38"/>
        <v>185</v>
      </c>
      <c r="I247" s="76">
        <f t="shared" si="39"/>
        <v>0</v>
      </c>
      <c r="J247" s="79">
        <v>100</v>
      </c>
      <c r="K247" s="79">
        <v>300</v>
      </c>
      <c r="L247" s="76">
        <f t="shared" si="32"/>
        <v>1274</v>
      </c>
      <c r="M247" s="87">
        <v>600</v>
      </c>
      <c r="N247" s="76">
        <f>30</f>
        <v>30</v>
      </c>
      <c r="O247" s="79">
        <v>240</v>
      </c>
      <c r="P247" s="79">
        <v>160</v>
      </c>
      <c r="Q247" s="79">
        <f t="shared" si="33"/>
        <v>195</v>
      </c>
      <c r="R247" s="79">
        <f t="shared" si="34"/>
        <v>100</v>
      </c>
      <c r="S247" s="76">
        <f t="shared" si="35"/>
        <v>695</v>
      </c>
      <c r="T247" s="76">
        <f>0</f>
        <v>0</v>
      </c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</row>
    <row r="248" spans="1:30" ht="15.75" x14ac:dyDescent="0.25">
      <c r="A248" s="13">
        <v>48458</v>
      </c>
      <c r="B248" s="90">
        <v>30</v>
      </c>
      <c r="C248" s="76">
        <f>194.205</f>
        <v>194.20500000000001</v>
      </c>
      <c r="D248" s="76">
        <f>267.466</f>
        <v>267.46600000000001</v>
      </c>
      <c r="E248" s="85">
        <f>133.845</f>
        <v>133.845</v>
      </c>
      <c r="F248" s="76">
        <f>278.484-40-25-60-100</f>
        <v>53.48399999999998</v>
      </c>
      <c r="G248" s="79">
        <v>40</v>
      </c>
      <c r="H248" s="76">
        <f t="shared" si="38"/>
        <v>185</v>
      </c>
      <c r="I248" s="76">
        <f t="shared" si="39"/>
        <v>0</v>
      </c>
      <c r="J248" s="79">
        <v>100</v>
      </c>
      <c r="K248" s="79">
        <v>300</v>
      </c>
      <c r="L248" s="76">
        <f t="shared" si="32"/>
        <v>1274</v>
      </c>
      <c r="M248" s="87">
        <v>600</v>
      </c>
      <c r="N248" s="76">
        <f>30</f>
        <v>30</v>
      </c>
      <c r="O248" s="79">
        <v>240</v>
      </c>
      <c r="P248" s="79">
        <v>160</v>
      </c>
      <c r="Q248" s="79">
        <f t="shared" si="33"/>
        <v>195</v>
      </c>
      <c r="R248" s="79">
        <f t="shared" si="34"/>
        <v>100</v>
      </c>
      <c r="S248" s="76">
        <f t="shared" si="35"/>
        <v>695</v>
      </c>
      <c r="T248" s="76">
        <f>0</f>
        <v>0</v>
      </c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</row>
    <row r="249" spans="1:30" ht="15.75" x14ac:dyDescent="0.25">
      <c r="A249" s="13">
        <v>48488</v>
      </c>
      <c r="B249" s="90">
        <v>31</v>
      </c>
      <c r="C249" s="76">
        <f>131.881</f>
        <v>131.881</v>
      </c>
      <c r="D249" s="76">
        <f>277.167</f>
        <v>277.16699999999997</v>
      </c>
      <c r="E249" s="85">
        <f>79.08</f>
        <v>79.08</v>
      </c>
      <c r="F249" s="76">
        <f>350.872-40-25-60-100</f>
        <v>125.87200000000001</v>
      </c>
      <c r="G249" s="79">
        <v>40</v>
      </c>
      <c r="H249" s="76">
        <f t="shared" si="38"/>
        <v>185</v>
      </c>
      <c r="I249" s="76">
        <f t="shared" si="39"/>
        <v>0</v>
      </c>
      <c r="J249" s="79">
        <v>100</v>
      </c>
      <c r="K249" s="79">
        <v>300</v>
      </c>
      <c r="L249" s="76">
        <f t="shared" si="32"/>
        <v>1239</v>
      </c>
      <c r="M249" s="87">
        <v>600</v>
      </c>
      <c r="N249" s="76">
        <f>75</f>
        <v>75</v>
      </c>
      <c r="O249" s="79">
        <v>240</v>
      </c>
      <c r="P249" s="79">
        <v>160</v>
      </c>
      <c r="Q249" s="79">
        <f t="shared" si="33"/>
        <v>195</v>
      </c>
      <c r="R249" s="79">
        <f t="shared" si="34"/>
        <v>100</v>
      </c>
      <c r="S249" s="76">
        <f t="shared" si="35"/>
        <v>695</v>
      </c>
      <c r="T249" s="76">
        <f>0</f>
        <v>0</v>
      </c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</row>
    <row r="250" spans="1:30" ht="15.75" x14ac:dyDescent="0.25">
      <c r="A250" s="13">
        <v>48519</v>
      </c>
      <c r="B250" s="90">
        <v>30</v>
      </c>
      <c r="C250" s="76">
        <f>122.58</f>
        <v>122.58</v>
      </c>
      <c r="D250" s="76">
        <f>297.941</f>
        <v>297.94099999999997</v>
      </c>
      <c r="E250" s="85">
        <f>89.177</f>
        <v>89.177000000000007</v>
      </c>
      <c r="F250" s="76">
        <f>240.302-40-60-100</f>
        <v>40.301999999999992</v>
      </c>
      <c r="G250" s="79">
        <v>40</v>
      </c>
      <c r="H250" s="76">
        <f>60+100</f>
        <v>160</v>
      </c>
      <c r="I250" s="76">
        <f t="shared" si="39"/>
        <v>0</v>
      </c>
      <c r="J250" s="79">
        <v>100</v>
      </c>
      <c r="K250" s="79">
        <v>300</v>
      </c>
      <c r="L250" s="76">
        <f t="shared" si="32"/>
        <v>1150</v>
      </c>
      <c r="M250" s="87">
        <v>600</v>
      </c>
      <c r="N250" s="76">
        <f>100</f>
        <v>100</v>
      </c>
      <c r="O250" s="79">
        <v>240</v>
      </c>
      <c r="P250" s="79">
        <v>40</v>
      </c>
      <c r="Q250" s="79">
        <f t="shared" si="33"/>
        <v>315</v>
      </c>
      <c r="R250" s="79">
        <f t="shared" si="34"/>
        <v>100</v>
      </c>
      <c r="S250" s="76">
        <f t="shared" si="35"/>
        <v>695</v>
      </c>
      <c r="T250" s="76">
        <f>50</f>
        <v>50</v>
      </c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</row>
    <row r="251" spans="1:30" ht="15.75" x14ac:dyDescent="0.25">
      <c r="A251" s="13">
        <v>48549</v>
      </c>
      <c r="B251" s="90">
        <v>31</v>
      </c>
      <c r="C251" s="76">
        <f>122.58</f>
        <v>122.58</v>
      </c>
      <c r="D251" s="76">
        <f>297.941</f>
        <v>297.94099999999997</v>
      </c>
      <c r="E251" s="85">
        <f>89.177</f>
        <v>89.177000000000007</v>
      </c>
      <c r="F251" s="76">
        <f>240.302-40-60-100</f>
        <v>40.301999999999992</v>
      </c>
      <c r="G251" s="79">
        <v>40</v>
      </c>
      <c r="H251" s="76">
        <f>60+100</f>
        <v>160</v>
      </c>
      <c r="I251" s="76">
        <f t="shared" si="39"/>
        <v>0</v>
      </c>
      <c r="J251" s="79">
        <v>100</v>
      </c>
      <c r="K251" s="79">
        <v>300</v>
      </c>
      <c r="L251" s="76">
        <f t="shared" si="32"/>
        <v>1150</v>
      </c>
      <c r="M251" s="87">
        <v>600</v>
      </c>
      <c r="N251" s="76">
        <f>100</f>
        <v>100</v>
      </c>
      <c r="O251" s="79">
        <v>240</v>
      </c>
      <c r="P251" s="79">
        <v>40</v>
      </c>
      <c r="Q251" s="79">
        <f t="shared" si="33"/>
        <v>315</v>
      </c>
      <c r="R251" s="79">
        <f t="shared" si="34"/>
        <v>100</v>
      </c>
      <c r="S251" s="76">
        <f t="shared" si="35"/>
        <v>695</v>
      </c>
      <c r="T251" s="76">
        <f>50</f>
        <v>50</v>
      </c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</row>
    <row r="252" spans="1:30" ht="15.75" x14ac:dyDescent="0.25">
      <c r="A252" s="13">
        <v>48580</v>
      </c>
      <c r="B252" s="90">
        <v>31</v>
      </c>
      <c r="C252" s="76">
        <f>122.58</f>
        <v>122.58</v>
      </c>
      <c r="D252" s="76">
        <f>297.941</f>
        <v>297.94099999999997</v>
      </c>
      <c r="E252" s="85">
        <f>89.177</f>
        <v>89.177000000000007</v>
      </c>
      <c r="F252" s="76">
        <f>240.302-40-60-100</f>
        <v>40.301999999999992</v>
      </c>
      <c r="G252" s="79">
        <v>40</v>
      </c>
      <c r="H252" s="76">
        <f>60+100</f>
        <v>160</v>
      </c>
      <c r="I252" s="76">
        <f t="shared" si="39"/>
        <v>0</v>
      </c>
      <c r="J252" s="79">
        <v>100</v>
      </c>
      <c r="K252" s="79">
        <v>300</v>
      </c>
      <c r="L252" s="76">
        <f t="shared" si="32"/>
        <v>1150</v>
      </c>
      <c r="M252" s="87">
        <v>600</v>
      </c>
      <c r="N252" s="76">
        <f>100</f>
        <v>100</v>
      </c>
      <c r="O252" s="79">
        <v>240</v>
      </c>
      <c r="P252" s="79">
        <v>40</v>
      </c>
      <c r="Q252" s="79">
        <f t="shared" si="33"/>
        <v>315</v>
      </c>
      <c r="R252" s="79">
        <f t="shared" si="34"/>
        <v>100</v>
      </c>
      <c r="S252" s="76">
        <f t="shared" si="35"/>
        <v>695</v>
      </c>
      <c r="T252" s="76">
        <f>50</f>
        <v>50</v>
      </c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</row>
    <row r="253" spans="1:30" ht="15.75" x14ac:dyDescent="0.25">
      <c r="A253" s="13">
        <v>48611</v>
      </c>
      <c r="B253" s="90">
        <v>28</v>
      </c>
      <c r="C253" s="76">
        <f>122.58</f>
        <v>122.58</v>
      </c>
      <c r="D253" s="76">
        <f>297.941</f>
        <v>297.94099999999997</v>
      </c>
      <c r="E253" s="85">
        <f>89.177</f>
        <v>89.177000000000007</v>
      </c>
      <c r="F253" s="76">
        <f>240.302-40-60-100</f>
        <v>40.301999999999992</v>
      </c>
      <c r="G253" s="79">
        <v>40</v>
      </c>
      <c r="H253" s="76">
        <f>60+100</f>
        <v>160</v>
      </c>
      <c r="I253" s="76">
        <f t="shared" si="39"/>
        <v>0</v>
      </c>
      <c r="J253" s="79">
        <v>100</v>
      </c>
      <c r="K253" s="79">
        <v>300</v>
      </c>
      <c r="L253" s="76">
        <f t="shared" si="32"/>
        <v>1150</v>
      </c>
      <c r="M253" s="87">
        <v>600</v>
      </c>
      <c r="N253" s="76">
        <f>100</f>
        <v>100</v>
      </c>
      <c r="O253" s="79">
        <v>240</v>
      </c>
      <c r="P253" s="79">
        <v>40</v>
      </c>
      <c r="Q253" s="79">
        <f t="shared" si="33"/>
        <v>315</v>
      </c>
      <c r="R253" s="79">
        <f t="shared" si="34"/>
        <v>100</v>
      </c>
      <c r="S253" s="76">
        <f t="shared" si="35"/>
        <v>695</v>
      </c>
      <c r="T253" s="76">
        <f>50</f>
        <v>50</v>
      </c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</row>
    <row r="254" spans="1:30" ht="15.75" x14ac:dyDescent="0.25">
      <c r="A254" s="13">
        <v>48639</v>
      </c>
      <c r="B254" s="90">
        <v>31</v>
      </c>
      <c r="C254" s="76">
        <f>122.58</f>
        <v>122.58</v>
      </c>
      <c r="D254" s="76">
        <f>297.941</f>
        <v>297.94099999999997</v>
      </c>
      <c r="E254" s="85">
        <f>89.177</f>
        <v>89.177000000000007</v>
      </c>
      <c r="F254" s="76">
        <f>240.302-40-60-100</f>
        <v>40.301999999999992</v>
      </c>
      <c r="G254" s="79">
        <v>40</v>
      </c>
      <c r="H254" s="76">
        <f>60+100</f>
        <v>160</v>
      </c>
      <c r="I254" s="76">
        <f t="shared" si="39"/>
        <v>0</v>
      </c>
      <c r="J254" s="79">
        <v>100</v>
      </c>
      <c r="K254" s="79">
        <v>300</v>
      </c>
      <c r="L254" s="76">
        <f t="shared" si="32"/>
        <v>1150</v>
      </c>
      <c r="M254" s="87">
        <v>600</v>
      </c>
      <c r="N254" s="76">
        <f>100</f>
        <v>100</v>
      </c>
      <c r="O254" s="79">
        <v>240</v>
      </c>
      <c r="P254" s="79">
        <v>40</v>
      </c>
      <c r="Q254" s="79">
        <f t="shared" si="33"/>
        <v>315</v>
      </c>
      <c r="R254" s="79">
        <f t="shared" si="34"/>
        <v>100</v>
      </c>
      <c r="S254" s="76">
        <f t="shared" si="35"/>
        <v>695</v>
      </c>
      <c r="T254" s="76">
        <f>50</f>
        <v>50</v>
      </c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</row>
    <row r="255" spans="1:30" ht="15.75" x14ac:dyDescent="0.25">
      <c r="A255" s="13">
        <v>48670</v>
      </c>
      <c r="B255" s="90">
        <v>30</v>
      </c>
      <c r="C255" s="76">
        <f>141.293</f>
        <v>141.29300000000001</v>
      </c>
      <c r="D255" s="76">
        <f>267.993</f>
        <v>267.99299999999999</v>
      </c>
      <c r="E255" s="85">
        <f>115.016</f>
        <v>115.01600000000001</v>
      </c>
      <c r="F255" s="76">
        <f>314.698-40-25-60-100</f>
        <v>89.697999999999979</v>
      </c>
      <c r="G255" s="79">
        <v>40</v>
      </c>
      <c r="H255" s="76">
        <f t="shared" ref="H255:H261" si="40">25+60+100</f>
        <v>185</v>
      </c>
      <c r="I255" s="76">
        <f t="shared" si="39"/>
        <v>0</v>
      </c>
      <c r="J255" s="79">
        <v>100</v>
      </c>
      <c r="K255" s="79">
        <v>300</v>
      </c>
      <c r="L255" s="76">
        <f t="shared" si="32"/>
        <v>1239</v>
      </c>
      <c r="M255" s="87">
        <v>600</v>
      </c>
      <c r="N255" s="76">
        <f>100</f>
        <v>100</v>
      </c>
      <c r="O255" s="79">
        <v>240</v>
      </c>
      <c r="P255" s="79">
        <v>160</v>
      </c>
      <c r="Q255" s="79">
        <f t="shared" si="33"/>
        <v>195</v>
      </c>
      <c r="R255" s="79">
        <f t="shared" si="34"/>
        <v>100</v>
      </c>
      <c r="S255" s="76">
        <f t="shared" si="35"/>
        <v>695</v>
      </c>
      <c r="T255" s="76">
        <f>50</f>
        <v>50</v>
      </c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</row>
    <row r="256" spans="1:30" ht="15.75" x14ac:dyDescent="0.25">
      <c r="A256" s="13">
        <v>48700</v>
      </c>
      <c r="B256" s="90">
        <v>31</v>
      </c>
      <c r="C256" s="76">
        <f>194.205</f>
        <v>194.20500000000001</v>
      </c>
      <c r="D256" s="76">
        <f>267.466</f>
        <v>267.46600000000001</v>
      </c>
      <c r="E256" s="85">
        <f>133.845</f>
        <v>133.845</v>
      </c>
      <c r="F256" s="76">
        <f>278.484-40-25-60-100</f>
        <v>53.48399999999998</v>
      </c>
      <c r="G256" s="79">
        <v>40</v>
      </c>
      <c r="H256" s="76">
        <f t="shared" si="40"/>
        <v>185</v>
      </c>
      <c r="I256" s="76">
        <f t="shared" si="39"/>
        <v>0</v>
      </c>
      <c r="J256" s="79">
        <v>100</v>
      </c>
      <c r="K256" s="79">
        <v>300</v>
      </c>
      <c r="L256" s="76">
        <f t="shared" si="32"/>
        <v>1274</v>
      </c>
      <c r="M256" s="87">
        <v>600</v>
      </c>
      <c r="N256" s="76">
        <f>75</f>
        <v>75</v>
      </c>
      <c r="O256" s="79">
        <v>240</v>
      </c>
      <c r="P256" s="79">
        <v>160</v>
      </c>
      <c r="Q256" s="79">
        <f t="shared" si="33"/>
        <v>195</v>
      </c>
      <c r="R256" s="79">
        <f t="shared" si="34"/>
        <v>100</v>
      </c>
      <c r="S256" s="76">
        <f t="shared" si="35"/>
        <v>695</v>
      </c>
      <c r="T256" s="76">
        <f>50</f>
        <v>50</v>
      </c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</row>
    <row r="257" spans="1:30" ht="15.75" x14ac:dyDescent="0.25">
      <c r="A257" s="13">
        <v>48731</v>
      </c>
      <c r="B257" s="90">
        <v>30</v>
      </c>
      <c r="C257" s="76">
        <f>194.205</f>
        <v>194.20500000000001</v>
      </c>
      <c r="D257" s="76">
        <f>267.466</f>
        <v>267.46600000000001</v>
      </c>
      <c r="E257" s="85">
        <f>133.845</f>
        <v>133.845</v>
      </c>
      <c r="F257" s="76">
        <f>278.484-40-25-60-100</f>
        <v>53.48399999999998</v>
      </c>
      <c r="G257" s="79">
        <v>40</v>
      </c>
      <c r="H257" s="76">
        <f t="shared" si="40"/>
        <v>185</v>
      </c>
      <c r="I257" s="76">
        <f t="shared" si="39"/>
        <v>0</v>
      </c>
      <c r="J257" s="79">
        <v>100</v>
      </c>
      <c r="K257" s="79">
        <v>300</v>
      </c>
      <c r="L257" s="76">
        <f t="shared" si="32"/>
        <v>1274</v>
      </c>
      <c r="M257" s="87">
        <v>600</v>
      </c>
      <c r="N257" s="76">
        <f>30</f>
        <v>30</v>
      </c>
      <c r="O257" s="79">
        <v>240</v>
      </c>
      <c r="P257" s="79">
        <v>160</v>
      </c>
      <c r="Q257" s="79">
        <f t="shared" si="33"/>
        <v>195</v>
      </c>
      <c r="R257" s="79">
        <f t="shared" si="34"/>
        <v>100</v>
      </c>
      <c r="S257" s="76">
        <f t="shared" si="35"/>
        <v>695</v>
      </c>
      <c r="T257" s="76">
        <f>50</f>
        <v>50</v>
      </c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</row>
    <row r="258" spans="1:30" ht="15.75" x14ac:dyDescent="0.25">
      <c r="A258" s="13">
        <v>48761</v>
      </c>
      <c r="B258" s="90">
        <v>31</v>
      </c>
      <c r="C258" s="76">
        <f>194.205</f>
        <v>194.20500000000001</v>
      </c>
      <c r="D258" s="76">
        <f>267.466</f>
        <v>267.46600000000001</v>
      </c>
      <c r="E258" s="85">
        <f>133.845</f>
        <v>133.845</v>
      </c>
      <c r="F258" s="76">
        <f>278.484-40-25-60-100</f>
        <v>53.48399999999998</v>
      </c>
      <c r="G258" s="79">
        <v>40</v>
      </c>
      <c r="H258" s="76">
        <f t="shared" si="40"/>
        <v>185</v>
      </c>
      <c r="I258" s="76">
        <f t="shared" si="39"/>
        <v>0</v>
      </c>
      <c r="J258" s="79">
        <v>100</v>
      </c>
      <c r="K258" s="79">
        <v>300</v>
      </c>
      <c r="L258" s="76">
        <f t="shared" si="32"/>
        <v>1274</v>
      </c>
      <c r="M258" s="87">
        <v>600</v>
      </c>
      <c r="N258" s="76">
        <f>30</f>
        <v>30</v>
      </c>
      <c r="O258" s="79">
        <v>240</v>
      </c>
      <c r="P258" s="79">
        <v>160</v>
      </c>
      <c r="Q258" s="79">
        <f t="shared" si="33"/>
        <v>195</v>
      </c>
      <c r="R258" s="79">
        <f t="shared" si="34"/>
        <v>100</v>
      </c>
      <c r="S258" s="76">
        <f t="shared" si="35"/>
        <v>695</v>
      </c>
      <c r="T258" s="76">
        <f>0</f>
        <v>0</v>
      </c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</row>
    <row r="259" spans="1:30" ht="15.75" x14ac:dyDescent="0.25">
      <c r="A259" s="13">
        <v>48792</v>
      </c>
      <c r="B259" s="90">
        <v>31</v>
      </c>
      <c r="C259" s="76">
        <f>194.205</f>
        <v>194.20500000000001</v>
      </c>
      <c r="D259" s="76">
        <f>267.466</f>
        <v>267.46600000000001</v>
      </c>
      <c r="E259" s="85">
        <f>133.845</f>
        <v>133.845</v>
      </c>
      <c r="F259" s="76">
        <f>278.484-40-25-60-100</f>
        <v>53.48399999999998</v>
      </c>
      <c r="G259" s="79">
        <v>40</v>
      </c>
      <c r="H259" s="76">
        <f t="shared" si="40"/>
        <v>185</v>
      </c>
      <c r="I259" s="76">
        <f t="shared" si="39"/>
        <v>0</v>
      </c>
      <c r="J259" s="79">
        <v>100</v>
      </c>
      <c r="K259" s="79">
        <v>300</v>
      </c>
      <c r="L259" s="76">
        <f t="shared" si="32"/>
        <v>1274</v>
      </c>
      <c r="M259" s="87">
        <v>600</v>
      </c>
      <c r="N259" s="76">
        <f>30</f>
        <v>30</v>
      </c>
      <c r="O259" s="79">
        <v>240</v>
      </c>
      <c r="P259" s="79">
        <v>160</v>
      </c>
      <c r="Q259" s="79">
        <f t="shared" si="33"/>
        <v>195</v>
      </c>
      <c r="R259" s="79">
        <f t="shared" si="34"/>
        <v>100</v>
      </c>
      <c r="S259" s="76">
        <f t="shared" si="35"/>
        <v>695</v>
      </c>
      <c r="T259" s="76">
        <f>0</f>
        <v>0</v>
      </c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</row>
    <row r="260" spans="1:30" ht="15.75" x14ac:dyDescent="0.25">
      <c r="A260" s="13">
        <v>48823</v>
      </c>
      <c r="B260" s="90">
        <v>30</v>
      </c>
      <c r="C260" s="76">
        <f>194.205</f>
        <v>194.20500000000001</v>
      </c>
      <c r="D260" s="76">
        <f>267.466</f>
        <v>267.46600000000001</v>
      </c>
      <c r="E260" s="85">
        <f>133.845</f>
        <v>133.845</v>
      </c>
      <c r="F260" s="76">
        <f>278.484-40-25-60-100</f>
        <v>53.48399999999998</v>
      </c>
      <c r="G260" s="79">
        <v>40</v>
      </c>
      <c r="H260" s="76">
        <f t="shared" si="40"/>
        <v>185</v>
      </c>
      <c r="I260" s="76">
        <f t="shared" si="39"/>
        <v>0</v>
      </c>
      <c r="J260" s="79">
        <v>100</v>
      </c>
      <c r="K260" s="79">
        <v>300</v>
      </c>
      <c r="L260" s="76">
        <f t="shared" si="32"/>
        <v>1274</v>
      </c>
      <c r="M260" s="87">
        <v>600</v>
      </c>
      <c r="N260" s="76">
        <f>30</f>
        <v>30</v>
      </c>
      <c r="O260" s="79">
        <v>240</v>
      </c>
      <c r="P260" s="79">
        <v>160</v>
      </c>
      <c r="Q260" s="79">
        <f t="shared" si="33"/>
        <v>195</v>
      </c>
      <c r="R260" s="79">
        <f t="shared" si="34"/>
        <v>100</v>
      </c>
      <c r="S260" s="76">
        <f t="shared" si="35"/>
        <v>695</v>
      </c>
      <c r="T260" s="76">
        <f>0</f>
        <v>0</v>
      </c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</row>
    <row r="261" spans="1:30" ht="15.75" x14ac:dyDescent="0.25">
      <c r="A261" s="13">
        <v>48853</v>
      </c>
      <c r="B261" s="90">
        <v>31</v>
      </c>
      <c r="C261" s="76">
        <f>131.881</f>
        <v>131.881</v>
      </c>
      <c r="D261" s="76">
        <f>277.167</f>
        <v>277.16699999999997</v>
      </c>
      <c r="E261" s="85">
        <f>79.08</f>
        <v>79.08</v>
      </c>
      <c r="F261" s="76">
        <f>350.872-40-25-60-100</f>
        <v>125.87200000000001</v>
      </c>
      <c r="G261" s="79">
        <v>40</v>
      </c>
      <c r="H261" s="76">
        <f t="shared" si="40"/>
        <v>185</v>
      </c>
      <c r="I261" s="76">
        <f t="shared" si="39"/>
        <v>0</v>
      </c>
      <c r="J261" s="79">
        <v>100</v>
      </c>
      <c r="K261" s="79">
        <v>300</v>
      </c>
      <c r="L261" s="76">
        <f t="shared" si="32"/>
        <v>1239</v>
      </c>
      <c r="M261" s="87">
        <v>600</v>
      </c>
      <c r="N261" s="76">
        <f>75</f>
        <v>75</v>
      </c>
      <c r="O261" s="79">
        <v>240</v>
      </c>
      <c r="P261" s="79">
        <v>160</v>
      </c>
      <c r="Q261" s="79">
        <f t="shared" si="33"/>
        <v>195</v>
      </c>
      <c r="R261" s="79">
        <f t="shared" si="34"/>
        <v>100</v>
      </c>
      <c r="S261" s="76">
        <f t="shared" si="35"/>
        <v>695</v>
      </c>
      <c r="T261" s="76">
        <f>0</f>
        <v>0</v>
      </c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</row>
    <row r="262" spans="1:30" ht="15.75" x14ac:dyDescent="0.25">
      <c r="A262" s="13">
        <v>48884</v>
      </c>
      <c r="B262" s="90">
        <v>30</v>
      </c>
      <c r="C262" s="76">
        <f>122.58</f>
        <v>122.58</v>
      </c>
      <c r="D262" s="76">
        <f>297.941</f>
        <v>297.94099999999997</v>
      </c>
      <c r="E262" s="85">
        <f>89.177</f>
        <v>89.177000000000007</v>
      </c>
      <c r="F262" s="76">
        <f>240.302-40-60-100</f>
        <v>40.301999999999992</v>
      </c>
      <c r="G262" s="79">
        <v>40</v>
      </c>
      <c r="H262" s="76">
        <f>60+100</f>
        <v>160</v>
      </c>
      <c r="I262" s="76">
        <f t="shared" si="39"/>
        <v>0</v>
      </c>
      <c r="J262" s="79">
        <v>100</v>
      </c>
      <c r="K262" s="79">
        <v>300</v>
      </c>
      <c r="L262" s="76">
        <f t="shared" si="32"/>
        <v>1150</v>
      </c>
      <c r="M262" s="87">
        <v>600</v>
      </c>
      <c r="N262" s="76">
        <f>100</f>
        <v>100</v>
      </c>
      <c r="O262" s="79">
        <v>240</v>
      </c>
      <c r="P262" s="79">
        <v>40</v>
      </c>
      <c r="Q262" s="79">
        <f t="shared" si="33"/>
        <v>315</v>
      </c>
      <c r="R262" s="79">
        <f t="shared" si="34"/>
        <v>100</v>
      </c>
      <c r="S262" s="76">
        <f t="shared" si="35"/>
        <v>695</v>
      </c>
      <c r="T262" s="76">
        <f>50</f>
        <v>50</v>
      </c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</row>
    <row r="263" spans="1:30" ht="15.75" x14ac:dyDescent="0.25">
      <c r="A263" s="13">
        <v>48914</v>
      </c>
      <c r="B263" s="90">
        <v>31</v>
      </c>
      <c r="C263" s="76">
        <f>122.58</f>
        <v>122.58</v>
      </c>
      <c r="D263" s="76">
        <f>297.941</f>
        <v>297.94099999999997</v>
      </c>
      <c r="E263" s="85">
        <f>89.177</f>
        <v>89.177000000000007</v>
      </c>
      <c r="F263" s="76">
        <f>240.302-40-60-100</f>
        <v>40.301999999999992</v>
      </c>
      <c r="G263" s="79">
        <v>40</v>
      </c>
      <c r="H263" s="76">
        <f>60+100</f>
        <v>160</v>
      </c>
      <c r="I263" s="76">
        <f t="shared" si="39"/>
        <v>0</v>
      </c>
      <c r="J263" s="79">
        <v>100</v>
      </c>
      <c r="K263" s="79">
        <v>300</v>
      </c>
      <c r="L263" s="76">
        <f t="shared" si="32"/>
        <v>1150</v>
      </c>
      <c r="M263" s="87">
        <v>600</v>
      </c>
      <c r="N263" s="76">
        <f>100</f>
        <v>100</v>
      </c>
      <c r="O263" s="79">
        <v>240</v>
      </c>
      <c r="P263" s="79">
        <v>40</v>
      </c>
      <c r="Q263" s="79">
        <f t="shared" si="33"/>
        <v>315</v>
      </c>
      <c r="R263" s="79">
        <f t="shared" si="34"/>
        <v>100</v>
      </c>
      <c r="S263" s="76">
        <f t="shared" si="35"/>
        <v>695</v>
      </c>
      <c r="T263" s="76">
        <f>50</f>
        <v>50</v>
      </c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</row>
    <row r="264" spans="1:30" ht="15.75" x14ac:dyDescent="0.25">
      <c r="A264" s="13">
        <v>48945</v>
      </c>
      <c r="B264" s="90">
        <v>31</v>
      </c>
      <c r="C264" s="76">
        <f>122.58</f>
        <v>122.58</v>
      </c>
      <c r="D264" s="76">
        <f>297.941</f>
        <v>297.94099999999997</v>
      </c>
      <c r="E264" s="85">
        <f>89.177</f>
        <v>89.177000000000007</v>
      </c>
      <c r="F264" s="76">
        <f>240.302-40-60-100</f>
        <v>40.301999999999992</v>
      </c>
      <c r="G264" s="79">
        <v>40</v>
      </c>
      <c r="H264" s="76">
        <f>60+100</f>
        <v>160</v>
      </c>
      <c r="I264" s="76">
        <f t="shared" si="39"/>
        <v>0</v>
      </c>
      <c r="J264" s="79">
        <v>100</v>
      </c>
      <c r="K264" s="79">
        <v>300</v>
      </c>
      <c r="L264" s="76">
        <f t="shared" si="32"/>
        <v>1150</v>
      </c>
      <c r="M264" s="87">
        <v>600</v>
      </c>
      <c r="N264" s="76">
        <f>100</f>
        <v>100</v>
      </c>
      <c r="O264" s="79">
        <v>240</v>
      </c>
      <c r="P264" s="79">
        <v>40</v>
      </c>
      <c r="Q264" s="79">
        <f t="shared" si="33"/>
        <v>315</v>
      </c>
      <c r="R264" s="79">
        <f t="shared" si="34"/>
        <v>100</v>
      </c>
      <c r="S264" s="76">
        <f t="shared" si="35"/>
        <v>695</v>
      </c>
      <c r="T264" s="76">
        <f>50</f>
        <v>50</v>
      </c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</row>
    <row r="265" spans="1:30" ht="15.75" x14ac:dyDescent="0.25">
      <c r="A265" s="13">
        <v>48976</v>
      </c>
      <c r="B265" s="90">
        <v>28</v>
      </c>
      <c r="C265" s="76">
        <f>122.58</f>
        <v>122.58</v>
      </c>
      <c r="D265" s="76">
        <f>297.941</f>
        <v>297.94099999999997</v>
      </c>
      <c r="E265" s="85">
        <f>89.177</f>
        <v>89.177000000000007</v>
      </c>
      <c r="F265" s="76">
        <f>240.302-40-60-100</f>
        <v>40.301999999999992</v>
      </c>
      <c r="G265" s="79">
        <v>40</v>
      </c>
      <c r="H265" s="76">
        <f>60+100</f>
        <v>160</v>
      </c>
      <c r="I265" s="76">
        <f t="shared" si="39"/>
        <v>0</v>
      </c>
      <c r="J265" s="79">
        <v>100</v>
      </c>
      <c r="K265" s="79">
        <v>300</v>
      </c>
      <c r="L265" s="76">
        <f t="shared" si="32"/>
        <v>1150</v>
      </c>
      <c r="M265" s="87">
        <v>600</v>
      </c>
      <c r="N265" s="76">
        <f>100</f>
        <v>100</v>
      </c>
      <c r="O265" s="79">
        <v>240</v>
      </c>
      <c r="P265" s="79">
        <v>40</v>
      </c>
      <c r="Q265" s="79">
        <f t="shared" si="33"/>
        <v>315</v>
      </c>
      <c r="R265" s="79">
        <f t="shared" si="34"/>
        <v>100</v>
      </c>
      <c r="S265" s="76">
        <f t="shared" si="35"/>
        <v>695</v>
      </c>
      <c r="T265" s="76">
        <f>50</f>
        <v>50</v>
      </c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</row>
    <row r="266" spans="1:30" ht="15.75" x14ac:dyDescent="0.25">
      <c r="A266" s="13">
        <v>49004</v>
      </c>
      <c r="B266" s="90">
        <v>31</v>
      </c>
      <c r="C266" s="76">
        <f>122.58</f>
        <v>122.58</v>
      </c>
      <c r="D266" s="76">
        <f>297.941</f>
        <v>297.94099999999997</v>
      </c>
      <c r="E266" s="85">
        <f>89.177</f>
        <v>89.177000000000007</v>
      </c>
      <c r="F266" s="76">
        <f>240.302-40-60-100</f>
        <v>40.301999999999992</v>
      </c>
      <c r="G266" s="79">
        <v>40</v>
      </c>
      <c r="H266" s="76">
        <f>60+100</f>
        <v>160</v>
      </c>
      <c r="I266" s="76">
        <f t="shared" si="39"/>
        <v>0</v>
      </c>
      <c r="J266" s="79">
        <v>100</v>
      </c>
      <c r="K266" s="79">
        <v>300</v>
      </c>
      <c r="L266" s="76">
        <f t="shared" si="32"/>
        <v>1150</v>
      </c>
      <c r="M266" s="87">
        <v>600</v>
      </c>
      <c r="N266" s="76">
        <f>100</f>
        <v>100</v>
      </c>
      <c r="O266" s="79">
        <v>240</v>
      </c>
      <c r="P266" s="79">
        <v>40</v>
      </c>
      <c r="Q266" s="79">
        <f t="shared" si="33"/>
        <v>315</v>
      </c>
      <c r="R266" s="79">
        <f t="shared" si="34"/>
        <v>100</v>
      </c>
      <c r="S266" s="76">
        <f t="shared" si="35"/>
        <v>695</v>
      </c>
      <c r="T266" s="76">
        <f>50</f>
        <v>50</v>
      </c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</row>
    <row r="267" spans="1:30" ht="15.75" x14ac:dyDescent="0.25">
      <c r="A267" s="13">
        <v>49035</v>
      </c>
      <c r="B267" s="90">
        <v>30</v>
      </c>
      <c r="C267" s="76">
        <f>141.293</f>
        <v>141.29300000000001</v>
      </c>
      <c r="D267" s="76">
        <f>267.993</f>
        <v>267.99299999999999</v>
      </c>
      <c r="E267" s="85">
        <f>115.016</f>
        <v>115.01600000000001</v>
      </c>
      <c r="F267" s="76">
        <f>314.698-40-25-60-100</f>
        <v>89.697999999999979</v>
      </c>
      <c r="G267" s="79">
        <v>40</v>
      </c>
      <c r="H267" s="76">
        <f t="shared" ref="H267:H273" si="41">25+60+100</f>
        <v>185</v>
      </c>
      <c r="I267" s="76">
        <f t="shared" si="39"/>
        <v>0</v>
      </c>
      <c r="J267" s="79">
        <v>100</v>
      </c>
      <c r="K267" s="79">
        <v>300</v>
      </c>
      <c r="L267" s="76">
        <f t="shared" si="32"/>
        <v>1239</v>
      </c>
      <c r="M267" s="87">
        <v>600</v>
      </c>
      <c r="N267" s="76">
        <f>100</f>
        <v>100</v>
      </c>
      <c r="O267" s="79">
        <v>240</v>
      </c>
      <c r="P267" s="79">
        <v>160</v>
      </c>
      <c r="Q267" s="79">
        <f t="shared" si="33"/>
        <v>195</v>
      </c>
      <c r="R267" s="79">
        <f t="shared" si="34"/>
        <v>100</v>
      </c>
      <c r="S267" s="76">
        <f t="shared" si="35"/>
        <v>695</v>
      </c>
      <c r="T267" s="76">
        <f>50</f>
        <v>50</v>
      </c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</row>
    <row r="268" spans="1:30" ht="15.75" x14ac:dyDescent="0.25">
      <c r="A268" s="13">
        <v>49065</v>
      </c>
      <c r="B268" s="90">
        <v>31</v>
      </c>
      <c r="C268" s="76">
        <f>194.205</f>
        <v>194.20500000000001</v>
      </c>
      <c r="D268" s="76">
        <f>267.466</f>
        <v>267.46600000000001</v>
      </c>
      <c r="E268" s="85">
        <f>133.845</f>
        <v>133.845</v>
      </c>
      <c r="F268" s="76">
        <f>278.484-40-25-60-100</f>
        <v>53.48399999999998</v>
      </c>
      <c r="G268" s="79">
        <v>40</v>
      </c>
      <c r="H268" s="76">
        <f t="shared" si="41"/>
        <v>185</v>
      </c>
      <c r="I268" s="76">
        <f t="shared" si="39"/>
        <v>0</v>
      </c>
      <c r="J268" s="79">
        <v>100</v>
      </c>
      <c r="K268" s="79">
        <v>300</v>
      </c>
      <c r="L268" s="76">
        <f t="shared" si="32"/>
        <v>1274</v>
      </c>
      <c r="M268" s="87">
        <v>600</v>
      </c>
      <c r="N268" s="76">
        <f>75</f>
        <v>75</v>
      </c>
      <c r="O268" s="79">
        <v>240</v>
      </c>
      <c r="P268" s="79">
        <v>160</v>
      </c>
      <c r="Q268" s="79">
        <f t="shared" si="33"/>
        <v>195</v>
      </c>
      <c r="R268" s="79">
        <f t="shared" si="34"/>
        <v>100</v>
      </c>
      <c r="S268" s="76">
        <f t="shared" si="35"/>
        <v>695</v>
      </c>
      <c r="T268" s="76">
        <f>50</f>
        <v>50</v>
      </c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</row>
    <row r="269" spans="1:30" ht="15.75" x14ac:dyDescent="0.25">
      <c r="A269" s="13">
        <v>49096</v>
      </c>
      <c r="B269" s="90">
        <v>30</v>
      </c>
      <c r="C269" s="76">
        <f>194.205</f>
        <v>194.20500000000001</v>
      </c>
      <c r="D269" s="76">
        <f>267.466</f>
        <v>267.46600000000001</v>
      </c>
      <c r="E269" s="85">
        <f>133.845</f>
        <v>133.845</v>
      </c>
      <c r="F269" s="76">
        <f>278.484-40-25-60-100</f>
        <v>53.48399999999998</v>
      </c>
      <c r="G269" s="79">
        <v>40</v>
      </c>
      <c r="H269" s="76">
        <f t="shared" si="41"/>
        <v>185</v>
      </c>
      <c r="I269" s="76">
        <f t="shared" si="39"/>
        <v>0</v>
      </c>
      <c r="J269" s="79">
        <v>100</v>
      </c>
      <c r="K269" s="79">
        <v>300</v>
      </c>
      <c r="L269" s="76">
        <f t="shared" si="32"/>
        <v>1274</v>
      </c>
      <c r="M269" s="87">
        <v>600</v>
      </c>
      <c r="N269" s="76">
        <f>30</f>
        <v>30</v>
      </c>
      <c r="O269" s="79">
        <v>240</v>
      </c>
      <c r="P269" s="79">
        <v>160</v>
      </c>
      <c r="Q269" s="79">
        <f t="shared" si="33"/>
        <v>195</v>
      </c>
      <c r="R269" s="79">
        <f t="shared" si="34"/>
        <v>100</v>
      </c>
      <c r="S269" s="76">
        <f t="shared" si="35"/>
        <v>695</v>
      </c>
      <c r="T269" s="76">
        <f>50</f>
        <v>50</v>
      </c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</row>
    <row r="270" spans="1:30" ht="15.75" x14ac:dyDescent="0.25">
      <c r="A270" s="13">
        <v>49126</v>
      </c>
      <c r="B270" s="90">
        <v>31</v>
      </c>
      <c r="C270" s="76">
        <f>194.205</f>
        <v>194.20500000000001</v>
      </c>
      <c r="D270" s="76">
        <f>267.466</f>
        <v>267.46600000000001</v>
      </c>
      <c r="E270" s="85">
        <f>133.845</f>
        <v>133.845</v>
      </c>
      <c r="F270" s="76">
        <f>278.484-40-25-60-100</f>
        <v>53.48399999999998</v>
      </c>
      <c r="G270" s="79">
        <v>40</v>
      </c>
      <c r="H270" s="76">
        <f t="shared" si="41"/>
        <v>185</v>
      </c>
      <c r="I270" s="76">
        <f t="shared" si="39"/>
        <v>0</v>
      </c>
      <c r="J270" s="79">
        <v>100</v>
      </c>
      <c r="K270" s="79">
        <v>300</v>
      </c>
      <c r="L270" s="76">
        <f t="shared" si="32"/>
        <v>1274</v>
      </c>
      <c r="M270" s="87">
        <v>600</v>
      </c>
      <c r="N270" s="76">
        <f>30</f>
        <v>30</v>
      </c>
      <c r="O270" s="79">
        <v>240</v>
      </c>
      <c r="P270" s="79">
        <v>160</v>
      </c>
      <c r="Q270" s="79">
        <f t="shared" si="33"/>
        <v>195</v>
      </c>
      <c r="R270" s="79">
        <f t="shared" si="34"/>
        <v>100</v>
      </c>
      <c r="S270" s="76">
        <f t="shared" si="35"/>
        <v>695</v>
      </c>
      <c r="T270" s="76">
        <f>0</f>
        <v>0</v>
      </c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</row>
    <row r="271" spans="1:30" ht="15.75" x14ac:dyDescent="0.25">
      <c r="A271" s="13">
        <v>49157</v>
      </c>
      <c r="B271" s="90">
        <v>31</v>
      </c>
      <c r="C271" s="76">
        <f>194.205</f>
        <v>194.20500000000001</v>
      </c>
      <c r="D271" s="76">
        <f>267.466</f>
        <v>267.46600000000001</v>
      </c>
      <c r="E271" s="85">
        <f>133.845</f>
        <v>133.845</v>
      </c>
      <c r="F271" s="76">
        <f>278.484-40-25-60-100</f>
        <v>53.48399999999998</v>
      </c>
      <c r="G271" s="79">
        <v>40</v>
      </c>
      <c r="H271" s="76">
        <f t="shared" si="41"/>
        <v>185</v>
      </c>
      <c r="I271" s="76">
        <f t="shared" si="39"/>
        <v>0</v>
      </c>
      <c r="J271" s="79">
        <v>100</v>
      </c>
      <c r="K271" s="79">
        <v>300</v>
      </c>
      <c r="L271" s="76">
        <f t="shared" si="32"/>
        <v>1274</v>
      </c>
      <c r="M271" s="87">
        <v>600</v>
      </c>
      <c r="N271" s="76">
        <f>30</f>
        <v>30</v>
      </c>
      <c r="O271" s="79">
        <v>240</v>
      </c>
      <c r="P271" s="79">
        <v>160</v>
      </c>
      <c r="Q271" s="79">
        <f t="shared" si="33"/>
        <v>195</v>
      </c>
      <c r="R271" s="79">
        <f t="shared" si="34"/>
        <v>100</v>
      </c>
      <c r="S271" s="76">
        <f t="shared" si="35"/>
        <v>695</v>
      </c>
      <c r="T271" s="76">
        <f>0</f>
        <v>0</v>
      </c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</row>
    <row r="272" spans="1:30" ht="15.75" x14ac:dyDescent="0.25">
      <c r="A272" s="13">
        <v>49188</v>
      </c>
      <c r="B272" s="90">
        <v>30</v>
      </c>
      <c r="C272" s="76">
        <f>194.205</f>
        <v>194.20500000000001</v>
      </c>
      <c r="D272" s="76">
        <f>267.466</f>
        <v>267.46600000000001</v>
      </c>
      <c r="E272" s="85">
        <f>133.845</f>
        <v>133.845</v>
      </c>
      <c r="F272" s="76">
        <f>278.484-40-25-60-100</f>
        <v>53.48399999999998</v>
      </c>
      <c r="G272" s="79">
        <v>40</v>
      </c>
      <c r="H272" s="76">
        <f t="shared" si="41"/>
        <v>185</v>
      </c>
      <c r="I272" s="76">
        <f t="shared" si="39"/>
        <v>0</v>
      </c>
      <c r="J272" s="79">
        <v>100</v>
      </c>
      <c r="K272" s="79">
        <v>300</v>
      </c>
      <c r="L272" s="76">
        <f t="shared" si="32"/>
        <v>1274</v>
      </c>
      <c r="M272" s="87">
        <v>600</v>
      </c>
      <c r="N272" s="76">
        <f>30</f>
        <v>30</v>
      </c>
      <c r="O272" s="79">
        <v>240</v>
      </c>
      <c r="P272" s="79">
        <v>160</v>
      </c>
      <c r="Q272" s="79">
        <f t="shared" si="33"/>
        <v>195</v>
      </c>
      <c r="R272" s="79">
        <f t="shared" si="34"/>
        <v>100</v>
      </c>
      <c r="S272" s="76">
        <f t="shared" si="35"/>
        <v>695</v>
      </c>
      <c r="T272" s="76">
        <f>0</f>
        <v>0</v>
      </c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</row>
    <row r="273" spans="1:30" ht="15.75" x14ac:dyDescent="0.25">
      <c r="A273" s="13">
        <v>49218</v>
      </c>
      <c r="B273" s="90">
        <v>31</v>
      </c>
      <c r="C273" s="76">
        <f>131.881</f>
        <v>131.881</v>
      </c>
      <c r="D273" s="76">
        <f>277.167</f>
        <v>277.16699999999997</v>
      </c>
      <c r="E273" s="85">
        <f>79.08</f>
        <v>79.08</v>
      </c>
      <c r="F273" s="76">
        <f>350.872-40-25-60-100</f>
        <v>125.87200000000001</v>
      </c>
      <c r="G273" s="79">
        <v>40</v>
      </c>
      <c r="H273" s="76">
        <f t="shared" si="41"/>
        <v>185</v>
      </c>
      <c r="I273" s="76">
        <f t="shared" si="39"/>
        <v>0</v>
      </c>
      <c r="J273" s="79">
        <v>100</v>
      </c>
      <c r="K273" s="79">
        <v>300</v>
      </c>
      <c r="L273" s="76">
        <f t="shared" si="32"/>
        <v>1239</v>
      </c>
      <c r="M273" s="87">
        <v>600</v>
      </c>
      <c r="N273" s="76">
        <f>75</f>
        <v>75</v>
      </c>
      <c r="O273" s="79">
        <v>240</v>
      </c>
      <c r="P273" s="79">
        <v>160</v>
      </c>
      <c r="Q273" s="79">
        <f t="shared" si="33"/>
        <v>195</v>
      </c>
      <c r="R273" s="79">
        <f t="shared" si="34"/>
        <v>100</v>
      </c>
      <c r="S273" s="76">
        <f t="shared" si="35"/>
        <v>695</v>
      </c>
      <c r="T273" s="76">
        <f>0</f>
        <v>0</v>
      </c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</row>
    <row r="274" spans="1:30" ht="15.75" x14ac:dyDescent="0.25">
      <c r="A274" s="13">
        <v>49249</v>
      </c>
      <c r="B274" s="90">
        <v>30</v>
      </c>
      <c r="C274" s="76">
        <f>122.58</f>
        <v>122.58</v>
      </c>
      <c r="D274" s="76">
        <f>297.941</f>
        <v>297.94099999999997</v>
      </c>
      <c r="E274" s="85">
        <f>89.177</f>
        <v>89.177000000000007</v>
      </c>
      <c r="F274" s="76">
        <f>240.302-40-60-100</f>
        <v>40.301999999999992</v>
      </c>
      <c r="G274" s="79">
        <v>40</v>
      </c>
      <c r="H274" s="76">
        <f>60+100</f>
        <v>160</v>
      </c>
      <c r="I274" s="76">
        <f t="shared" si="39"/>
        <v>0</v>
      </c>
      <c r="J274" s="79">
        <v>100</v>
      </c>
      <c r="K274" s="79">
        <v>300</v>
      </c>
      <c r="L274" s="76">
        <f t="shared" ref="L274:L337" si="42">SUM(C274:K274)</f>
        <v>1150</v>
      </c>
      <c r="M274" s="87">
        <v>600</v>
      </c>
      <c r="N274" s="76">
        <f>100</f>
        <v>100</v>
      </c>
      <c r="O274" s="79">
        <v>240</v>
      </c>
      <c r="P274" s="79">
        <v>40</v>
      </c>
      <c r="Q274" s="79">
        <f t="shared" ref="Q274:Q337" si="43">695-R274-O274-P274</f>
        <v>315</v>
      </c>
      <c r="R274" s="79">
        <f t="shared" ref="R274:R337" si="44">200-J274</f>
        <v>100</v>
      </c>
      <c r="S274" s="76">
        <f t="shared" ref="S274:S337" si="45">SUM(O274:R274)</f>
        <v>695</v>
      </c>
      <c r="T274" s="76">
        <f>50</f>
        <v>50</v>
      </c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</row>
    <row r="275" spans="1:30" ht="15.75" x14ac:dyDescent="0.25">
      <c r="A275" s="13">
        <v>49279</v>
      </c>
      <c r="B275" s="90">
        <v>31</v>
      </c>
      <c r="C275" s="76">
        <f>122.58</f>
        <v>122.58</v>
      </c>
      <c r="D275" s="76">
        <f>297.941</f>
        <v>297.94099999999997</v>
      </c>
      <c r="E275" s="85">
        <f>89.177</f>
        <v>89.177000000000007</v>
      </c>
      <c r="F275" s="76">
        <f>240.302-40-60-100</f>
        <v>40.301999999999992</v>
      </c>
      <c r="G275" s="79">
        <v>40</v>
      </c>
      <c r="H275" s="76">
        <f>60+100</f>
        <v>160</v>
      </c>
      <c r="I275" s="76">
        <f t="shared" si="39"/>
        <v>0</v>
      </c>
      <c r="J275" s="79">
        <v>100</v>
      </c>
      <c r="K275" s="79">
        <v>300</v>
      </c>
      <c r="L275" s="76">
        <f t="shared" si="42"/>
        <v>1150</v>
      </c>
      <c r="M275" s="87">
        <v>600</v>
      </c>
      <c r="N275" s="76">
        <f>100</f>
        <v>100</v>
      </c>
      <c r="O275" s="79">
        <v>240</v>
      </c>
      <c r="P275" s="79">
        <v>40</v>
      </c>
      <c r="Q275" s="79">
        <f t="shared" si="43"/>
        <v>315</v>
      </c>
      <c r="R275" s="79">
        <f t="shared" si="44"/>
        <v>100</v>
      </c>
      <c r="S275" s="76">
        <f t="shared" si="45"/>
        <v>695</v>
      </c>
      <c r="T275" s="76">
        <f>50</f>
        <v>50</v>
      </c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</row>
    <row r="276" spans="1:30" ht="15.75" x14ac:dyDescent="0.25">
      <c r="A276" s="13">
        <v>49310</v>
      </c>
      <c r="B276" s="90">
        <v>31</v>
      </c>
      <c r="C276" s="76">
        <f>122.58</f>
        <v>122.58</v>
      </c>
      <c r="D276" s="76">
        <f>297.941</f>
        <v>297.94099999999997</v>
      </c>
      <c r="E276" s="85">
        <f>89.177</f>
        <v>89.177000000000007</v>
      </c>
      <c r="F276" s="76">
        <f>240.302-40-60-100</f>
        <v>40.301999999999992</v>
      </c>
      <c r="G276" s="79">
        <v>40</v>
      </c>
      <c r="H276" s="76">
        <f>60+100</f>
        <v>160</v>
      </c>
      <c r="I276" s="76">
        <f t="shared" si="39"/>
        <v>0</v>
      </c>
      <c r="J276" s="79">
        <v>100</v>
      </c>
      <c r="K276" s="79">
        <v>300</v>
      </c>
      <c r="L276" s="76">
        <f t="shared" si="42"/>
        <v>1150</v>
      </c>
      <c r="M276" s="87">
        <v>600</v>
      </c>
      <c r="N276" s="76">
        <f>100</f>
        <v>100</v>
      </c>
      <c r="O276" s="79">
        <v>240</v>
      </c>
      <c r="P276" s="79">
        <v>40</v>
      </c>
      <c r="Q276" s="79">
        <f t="shared" si="43"/>
        <v>315</v>
      </c>
      <c r="R276" s="79">
        <f t="shared" si="44"/>
        <v>100</v>
      </c>
      <c r="S276" s="76">
        <f t="shared" si="45"/>
        <v>695</v>
      </c>
      <c r="T276" s="76">
        <f>50</f>
        <v>50</v>
      </c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</row>
    <row r="277" spans="1:30" ht="15.75" x14ac:dyDescent="0.25">
      <c r="A277" s="13">
        <v>49341</v>
      </c>
      <c r="B277" s="90">
        <v>28</v>
      </c>
      <c r="C277" s="76">
        <f>122.58</f>
        <v>122.58</v>
      </c>
      <c r="D277" s="76">
        <f>297.941</f>
        <v>297.94099999999997</v>
      </c>
      <c r="E277" s="85">
        <f>89.177</f>
        <v>89.177000000000007</v>
      </c>
      <c r="F277" s="76">
        <f>240.302-40-60-100</f>
        <v>40.301999999999992</v>
      </c>
      <c r="G277" s="79">
        <v>40</v>
      </c>
      <c r="H277" s="76">
        <f>60+100</f>
        <v>160</v>
      </c>
      <c r="I277" s="76">
        <f t="shared" si="39"/>
        <v>0</v>
      </c>
      <c r="J277" s="79">
        <v>100</v>
      </c>
      <c r="K277" s="79">
        <v>300</v>
      </c>
      <c r="L277" s="76">
        <f t="shared" si="42"/>
        <v>1150</v>
      </c>
      <c r="M277" s="87">
        <v>600</v>
      </c>
      <c r="N277" s="76">
        <f>100</f>
        <v>100</v>
      </c>
      <c r="O277" s="79">
        <v>240</v>
      </c>
      <c r="P277" s="79">
        <v>40</v>
      </c>
      <c r="Q277" s="79">
        <f t="shared" si="43"/>
        <v>315</v>
      </c>
      <c r="R277" s="79">
        <f t="shared" si="44"/>
        <v>100</v>
      </c>
      <c r="S277" s="76">
        <f t="shared" si="45"/>
        <v>695</v>
      </c>
      <c r="T277" s="76">
        <f>50</f>
        <v>50</v>
      </c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</row>
    <row r="278" spans="1:30" ht="15.75" x14ac:dyDescent="0.25">
      <c r="A278" s="13">
        <v>49369</v>
      </c>
      <c r="B278" s="90">
        <v>31</v>
      </c>
      <c r="C278" s="76">
        <f>122.58</f>
        <v>122.58</v>
      </c>
      <c r="D278" s="76">
        <f>297.941</f>
        <v>297.94099999999997</v>
      </c>
      <c r="E278" s="85">
        <f>89.177</f>
        <v>89.177000000000007</v>
      </c>
      <c r="F278" s="76">
        <f>240.302-40-60-100</f>
        <v>40.301999999999992</v>
      </c>
      <c r="G278" s="79">
        <v>40</v>
      </c>
      <c r="H278" s="76">
        <f>60+100</f>
        <v>160</v>
      </c>
      <c r="I278" s="76">
        <f t="shared" si="39"/>
        <v>0</v>
      </c>
      <c r="J278" s="79">
        <v>100</v>
      </c>
      <c r="K278" s="79">
        <v>300</v>
      </c>
      <c r="L278" s="76">
        <f t="shared" si="42"/>
        <v>1150</v>
      </c>
      <c r="M278" s="87">
        <v>600</v>
      </c>
      <c r="N278" s="76">
        <f>100</f>
        <v>100</v>
      </c>
      <c r="O278" s="79">
        <v>240</v>
      </c>
      <c r="P278" s="79">
        <v>40</v>
      </c>
      <c r="Q278" s="79">
        <f t="shared" si="43"/>
        <v>315</v>
      </c>
      <c r="R278" s="79">
        <f t="shared" si="44"/>
        <v>100</v>
      </c>
      <c r="S278" s="76">
        <f t="shared" si="45"/>
        <v>695</v>
      </c>
      <c r="T278" s="76">
        <f>50</f>
        <v>50</v>
      </c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</row>
    <row r="279" spans="1:30" ht="15.75" x14ac:dyDescent="0.25">
      <c r="A279" s="13">
        <v>49400</v>
      </c>
      <c r="B279" s="90">
        <v>30</v>
      </c>
      <c r="C279" s="76">
        <f>141.293</f>
        <v>141.29300000000001</v>
      </c>
      <c r="D279" s="76">
        <f>267.993</f>
        <v>267.99299999999999</v>
      </c>
      <c r="E279" s="85">
        <f>115.016</f>
        <v>115.01600000000001</v>
      </c>
      <c r="F279" s="76">
        <f>314.698-40-25-60-100</f>
        <v>89.697999999999979</v>
      </c>
      <c r="G279" s="79">
        <v>40</v>
      </c>
      <c r="H279" s="76">
        <f t="shared" ref="H279:H285" si="46">25+60+100</f>
        <v>185</v>
      </c>
      <c r="I279" s="76">
        <f t="shared" si="39"/>
        <v>0</v>
      </c>
      <c r="J279" s="79">
        <v>100</v>
      </c>
      <c r="K279" s="79">
        <v>300</v>
      </c>
      <c r="L279" s="76">
        <f t="shared" si="42"/>
        <v>1239</v>
      </c>
      <c r="M279" s="87">
        <v>600</v>
      </c>
      <c r="N279" s="76">
        <f>100</f>
        <v>100</v>
      </c>
      <c r="O279" s="79">
        <v>240</v>
      </c>
      <c r="P279" s="79">
        <v>160</v>
      </c>
      <c r="Q279" s="79">
        <f t="shared" si="43"/>
        <v>195</v>
      </c>
      <c r="R279" s="79">
        <f t="shared" si="44"/>
        <v>100</v>
      </c>
      <c r="S279" s="76">
        <f t="shared" si="45"/>
        <v>695</v>
      </c>
      <c r="T279" s="76">
        <f>50</f>
        <v>50</v>
      </c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</row>
    <row r="280" spans="1:30" ht="15.75" x14ac:dyDescent="0.25">
      <c r="A280" s="13">
        <v>49430</v>
      </c>
      <c r="B280" s="90">
        <v>31</v>
      </c>
      <c r="C280" s="76">
        <f>194.205</f>
        <v>194.20500000000001</v>
      </c>
      <c r="D280" s="76">
        <f>267.466</f>
        <v>267.46600000000001</v>
      </c>
      <c r="E280" s="85">
        <f>133.845</f>
        <v>133.845</v>
      </c>
      <c r="F280" s="76">
        <f>278.484-40-25-60-100</f>
        <v>53.48399999999998</v>
      </c>
      <c r="G280" s="79">
        <v>40</v>
      </c>
      <c r="H280" s="76">
        <f t="shared" si="46"/>
        <v>185</v>
      </c>
      <c r="I280" s="76">
        <f t="shared" si="39"/>
        <v>0</v>
      </c>
      <c r="J280" s="79">
        <v>100</v>
      </c>
      <c r="K280" s="79">
        <v>300</v>
      </c>
      <c r="L280" s="76">
        <f t="shared" si="42"/>
        <v>1274</v>
      </c>
      <c r="M280" s="87">
        <v>600</v>
      </c>
      <c r="N280" s="76">
        <f>75</f>
        <v>75</v>
      </c>
      <c r="O280" s="79">
        <v>240</v>
      </c>
      <c r="P280" s="79">
        <v>160</v>
      </c>
      <c r="Q280" s="79">
        <f t="shared" si="43"/>
        <v>195</v>
      </c>
      <c r="R280" s="79">
        <f t="shared" si="44"/>
        <v>100</v>
      </c>
      <c r="S280" s="76">
        <f t="shared" si="45"/>
        <v>695</v>
      </c>
      <c r="T280" s="76">
        <f>50</f>
        <v>50</v>
      </c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</row>
    <row r="281" spans="1:30" ht="15.75" x14ac:dyDescent="0.25">
      <c r="A281" s="33">
        <v>49461</v>
      </c>
      <c r="B281" s="90">
        <v>30</v>
      </c>
      <c r="C281" s="76">
        <f>194.205</f>
        <v>194.20500000000001</v>
      </c>
      <c r="D281" s="76">
        <f>267.466</f>
        <v>267.46600000000001</v>
      </c>
      <c r="E281" s="85">
        <f>133.845</f>
        <v>133.845</v>
      </c>
      <c r="F281" s="76">
        <f>278.484-40-25-60-100</f>
        <v>53.48399999999998</v>
      </c>
      <c r="G281" s="79">
        <v>40</v>
      </c>
      <c r="H281" s="76">
        <f t="shared" si="46"/>
        <v>185</v>
      </c>
      <c r="I281" s="76">
        <f t="shared" si="39"/>
        <v>0</v>
      </c>
      <c r="J281" s="79">
        <v>100</v>
      </c>
      <c r="K281" s="79">
        <v>300</v>
      </c>
      <c r="L281" s="76">
        <f t="shared" si="42"/>
        <v>1274</v>
      </c>
      <c r="M281" s="87">
        <v>600</v>
      </c>
      <c r="N281" s="76">
        <f>30</f>
        <v>30</v>
      </c>
      <c r="O281" s="79">
        <v>240</v>
      </c>
      <c r="P281" s="79">
        <v>160</v>
      </c>
      <c r="Q281" s="79">
        <f t="shared" si="43"/>
        <v>195</v>
      </c>
      <c r="R281" s="79">
        <f t="shared" si="44"/>
        <v>100</v>
      </c>
      <c r="S281" s="76">
        <f t="shared" si="45"/>
        <v>695</v>
      </c>
      <c r="T281" s="76">
        <f>50</f>
        <v>50</v>
      </c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</row>
    <row r="282" spans="1:30" ht="15.75" x14ac:dyDescent="0.25">
      <c r="A282" s="33">
        <v>49491</v>
      </c>
      <c r="B282" s="90">
        <v>31</v>
      </c>
      <c r="C282" s="76">
        <f>194.205</f>
        <v>194.20500000000001</v>
      </c>
      <c r="D282" s="76">
        <f>267.466</f>
        <v>267.46600000000001</v>
      </c>
      <c r="E282" s="85">
        <f>133.845</f>
        <v>133.845</v>
      </c>
      <c r="F282" s="76">
        <f>278.484-40-25-60-100</f>
        <v>53.48399999999998</v>
      </c>
      <c r="G282" s="79">
        <v>40</v>
      </c>
      <c r="H282" s="76">
        <f t="shared" si="46"/>
        <v>185</v>
      </c>
      <c r="I282" s="76">
        <f t="shared" si="39"/>
        <v>0</v>
      </c>
      <c r="J282" s="79">
        <v>100</v>
      </c>
      <c r="K282" s="79">
        <v>300</v>
      </c>
      <c r="L282" s="76">
        <f t="shared" si="42"/>
        <v>1274</v>
      </c>
      <c r="M282" s="87">
        <v>600</v>
      </c>
      <c r="N282" s="76">
        <f>30</f>
        <v>30</v>
      </c>
      <c r="O282" s="79">
        <v>240</v>
      </c>
      <c r="P282" s="79">
        <v>160</v>
      </c>
      <c r="Q282" s="79">
        <f t="shared" si="43"/>
        <v>195</v>
      </c>
      <c r="R282" s="79">
        <f t="shared" si="44"/>
        <v>100</v>
      </c>
      <c r="S282" s="76">
        <f t="shared" si="45"/>
        <v>695</v>
      </c>
      <c r="T282" s="76">
        <f>0</f>
        <v>0</v>
      </c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</row>
    <row r="283" spans="1:30" ht="15.75" x14ac:dyDescent="0.25">
      <c r="A283" s="33">
        <v>49522</v>
      </c>
      <c r="B283" s="90">
        <v>31</v>
      </c>
      <c r="C283" s="76">
        <f>194.205</f>
        <v>194.20500000000001</v>
      </c>
      <c r="D283" s="76">
        <f>267.466</f>
        <v>267.46600000000001</v>
      </c>
      <c r="E283" s="85">
        <f>133.845</f>
        <v>133.845</v>
      </c>
      <c r="F283" s="76">
        <f>278.484-40-25-60-100</f>
        <v>53.48399999999998</v>
      </c>
      <c r="G283" s="79">
        <v>40</v>
      </c>
      <c r="H283" s="76">
        <f t="shared" si="46"/>
        <v>185</v>
      </c>
      <c r="I283" s="76">
        <f t="shared" si="39"/>
        <v>0</v>
      </c>
      <c r="J283" s="79">
        <v>100</v>
      </c>
      <c r="K283" s="79">
        <v>300</v>
      </c>
      <c r="L283" s="76">
        <f t="shared" si="42"/>
        <v>1274</v>
      </c>
      <c r="M283" s="87">
        <v>600</v>
      </c>
      <c r="N283" s="76">
        <f>30</f>
        <v>30</v>
      </c>
      <c r="O283" s="79">
        <v>240</v>
      </c>
      <c r="P283" s="79">
        <v>160</v>
      </c>
      <c r="Q283" s="79">
        <f t="shared" si="43"/>
        <v>195</v>
      </c>
      <c r="R283" s="79">
        <f t="shared" si="44"/>
        <v>100</v>
      </c>
      <c r="S283" s="76">
        <f t="shared" si="45"/>
        <v>695</v>
      </c>
      <c r="T283" s="76">
        <f>0</f>
        <v>0</v>
      </c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</row>
    <row r="284" spans="1:30" ht="15.75" x14ac:dyDescent="0.25">
      <c r="A284" s="33">
        <v>49553</v>
      </c>
      <c r="B284" s="90">
        <v>30</v>
      </c>
      <c r="C284" s="76">
        <f>194.205</f>
        <v>194.20500000000001</v>
      </c>
      <c r="D284" s="76">
        <f>267.466</f>
        <v>267.46600000000001</v>
      </c>
      <c r="E284" s="85">
        <f>133.845</f>
        <v>133.845</v>
      </c>
      <c r="F284" s="76">
        <f>278.484-40-25-60-100</f>
        <v>53.48399999999998</v>
      </c>
      <c r="G284" s="79">
        <v>40</v>
      </c>
      <c r="H284" s="76">
        <f t="shared" si="46"/>
        <v>185</v>
      </c>
      <c r="I284" s="76">
        <f t="shared" si="39"/>
        <v>0</v>
      </c>
      <c r="J284" s="79">
        <v>100</v>
      </c>
      <c r="K284" s="79">
        <v>300</v>
      </c>
      <c r="L284" s="76">
        <f t="shared" si="42"/>
        <v>1274</v>
      </c>
      <c r="M284" s="87">
        <v>600</v>
      </c>
      <c r="N284" s="76">
        <f>30</f>
        <v>30</v>
      </c>
      <c r="O284" s="79">
        <v>240</v>
      </c>
      <c r="P284" s="79">
        <v>160</v>
      </c>
      <c r="Q284" s="79">
        <f t="shared" si="43"/>
        <v>195</v>
      </c>
      <c r="R284" s="79">
        <f t="shared" si="44"/>
        <v>100</v>
      </c>
      <c r="S284" s="76">
        <f t="shared" si="45"/>
        <v>695</v>
      </c>
      <c r="T284" s="76">
        <f>0</f>
        <v>0</v>
      </c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</row>
    <row r="285" spans="1:30" ht="15.75" x14ac:dyDescent="0.25">
      <c r="A285" s="33">
        <v>49583</v>
      </c>
      <c r="B285" s="90">
        <v>31</v>
      </c>
      <c r="C285" s="76">
        <f>131.881</f>
        <v>131.881</v>
      </c>
      <c r="D285" s="76">
        <f>277.167</f>
        <v>277.16699999999997</v>
      </c>
      <c r="E285" s="85">
        <f>79.08</f>
        <v>79.08</v>
      </c>
      <c r="F285" s="76">
        <f>350.872-40-25-60-100</f>
        <v>125.87200000000001</v>
      </c>
      <c r="G285" s="79">
        <v>40</v>
      </c>
      <c r="H285" s="76">
        <f t="shared" si="46"/>
        <v>185</v>
      </c>
      <c r="I285" s="76">
        <f t="shared" si="39"/>
        <v>0</v>
      </c>
      <c r="J285" s="79">
        <v>100</v>
      </c>
      <c r="K285" s="79">
        <v>300</v>
      </c>
      <c r="L285" s="76">
        <f t="shared" si="42"/>
        <v>1239</v>
      </c>
      <c r="M285" s="87">
        <v>600</v>
      </c>
      <c r="N285" s="76">
        <f>75</f>
        <v>75</v>
      </c>
      <c r="O285" s="79">
        <v>240</v>
      </c>
      <c r="P285" s="79">
        <v>160</v>
      </c>
      <c r="Q285" s="79">
        <f t="shared" si="43"/>
        <v>195</v>
      </c>
      <c r="R285" s="79">
        <f t="shared" si="44"/>
        <v>100</v>
      </c>
      <c r="S285" s="76">
        <f t="shared" si="45"/>
        <v>695</v>
      </c>
      <c r="T285" s="76">
        <f>0</f>
        <v>0</v>
      </c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</row>
    <row r="286" spans="1:30" ht="15.75" x14ac:dyDescent="0.25">
      <c r="A286" s="33">
        <v>49614</v>
      </c>
      <c r="B286" s="90">
        <v>30</v>
      </c>
      <c r="C286" s="76">
        <f>122.58</f>
        <v>122.58</v>
      </c>
      <c r="D286" s="76">
        <f>297.941</f>
        <v>297.94099999999997</v>
      </c>
      <c r="E286" s="85">
        <f>89.177</f>
        <v>89.177000000000007</v>
      </c>
      <c r="F286" s="76">
        <f>240.302-40-60-100</f>
        <v>40.301999999999992</v>
      </c>
      <c r="G286" s="79">
        <v>40</v>
      </c>
      <c r="H286" s="76">
        <f>60+100</f>
        <v>160</v>
      </c>
      <c r="I286" s="76">
        <f t="shared" si="39"/>
        <v>0</v>
      </c>
      <c r="J286" s="79">
        <v>100</v>
      </c>
      <c r="K286" s="79">
        <v>300</v>
      </c>
      <c r="L286" s="76">
        <f t="shared" si="42"/>
        <v>1150</v>
      </c>
      <c r="M286" s="87">
        <v>600</v>
      </c>
      <c r="N286" s="76">
        <f>100</f>
        <v>100</v>
      </c>
      <c r="O286" s="79">
        <v>240</v>
      </c>
      <c r="P286" s="79">
        <v>40</v>
      </c>
      <c r="Q286" s="79">
        <f t="shared" si="43"/>
        <v>315</v>
      </c>
      <c r="R286" s="79">
        <f t="shared" si="44"/>
        <v>100</v>
      </c>
      <c r="S286" s="76">
        <f t="shared" si="45"/>
        <v>695</v>
      </c>
      <c r="T286" s="76">
        <f>50</f>
        <v>50</v>
      </c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</row>
    <row r="287" spans="1:30" ht="15.75" x14ac:dyDescent="0.25">
      <c r="A287" s="33">
        <v>49644</v>
      </c>
      <c r="B287" s="90">
        <v>31</v>
      </c>
      <c r="C287" s="76">
        <f>122.58</f>
        <v>122.58</v>
      </c>
      <c r="D287" s="76">
        <f>297.941</f>
        <v>297.94099999999997</v>
      </c>
      <c r="E287" s="85">
        <f>89.177</f>
        <v>89.177000000000007</v>
      </c>
      <c r="F287" s="76">
        <f>240.302-40-60-100</f>
        <v>40.301999999999992</v>
      </c>
      <c r="G287" s="79">
        <v>40</v>
      </c>
      <c r="H287" s="76">
        <f>60+100</f>
        <v>160</v>
      </c>
      <c r="I287" s="76">
        <f t="shared" si="39"/>
        <v>0</v>
      </c>
      <c r="J287" s="79">
        <v>100</v>
      </c>
      <c r="K287" s="79">
        <v>300</v>
      </c>
      <c r="L287" s="76">
        <f t="shared" si="42"/>
        <v>1150</v>
      </c>
      <c r="M287" s="87">
        <v>600</v>
      </c>
      <c r="N287" s="76">
        <f>100</f>
        <v>100</v>
      </c>
      <c r="O287" s="79">
        <v>240</v>
      </c>
      <c r="P287" s="79">
        <v>40</v>
      </c>
      <c r="Q287" s="79">
        <f t="shared" si="43"/>
        <v>315</v>
      </c>
      <c r="R287" s="79">
        <f t="shared" si="44"/>
        <v>100</v>
      </c>
      <c r="S287" s="76">
        <f t="shared" si="45"/>
        <v>695</v>
      </c>
      <c r="T287" s="76">
        <f>50</f>
        <v>50</v>
      </c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</row>
    <row r="288" spans="1:30" ht="15.75" x14ac:dyDescent="0.25">
      <c r="A288" s="33">
        <v>49675</v>
      </c>
      <c r="B288" s="90">
        <v>31</v>
      </c>
      <c r="C288" s="76">
        <f>122.58</f>
        <v>122.58</v>
      </c>
      <c r="D288" s="76">
        <f>297.941</f>
        <v>297.94099999999997</v>
      </c>
      <c r="E288" s="85">
        <f>89.177</f>
        <v>89.177000000000007</v>
      </c>
      <c r="F288" s="76">
        <f>240.302-40-60-100</f>
        <v>40.301999999999992</v>
      </c>
      <c r="G288" s="79">
        <v>40</v>
      </c>
      <c r="H288" s="76">
        <f>60+100</f>
        <v>160</v>
      </c>
      <c r="I288" s="76">
        <f t="shared" si="39"/>
        <v>0</v>
      </c>
      <c r="J288" s="79">
        <v>100</v>
      </c>
      <c r="K288" s="79">
        <v>300</v>
      </c>
      <c r="L288" s="76">
        <f t="shared" si="42"/>
        <v>1150</v>
      </c>
      <c r="M288" s="87">
        <v>600</v>
      </c>
      <c r="N288" s="76">
        <f>100</f>
        <v>100</v>
      </c>
      <c r="O288" s="79">
        <v>240</v>
      </c>
      <c r="P288" s="79">
        <v>40</v>
      </c>
      <c r="Q288" s="79">
        <f t="shared" si="43"/>
        <v>315</v>
      </c>
      <c r="R288" s="79">
        <f t="shared" si="44"/>
        <v>100</v>
      </c>
      <c r="S288" s="76">
        <f t="shared" si="45"/>
        <v>695</v>
      </c>
      <c r="T288" s="76">
        <f>50</f>
        <v>50</v>
      </c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</row>
    <row r="289" spans="1:30" ht="15.75" x14ac:dyDescent="0.25">
      <c r="A289" s="33">
        <v>49706</v>
      </c>
      <c r="B289" s="90">
        <v>29</v>
      </c>
      <c r="C289" s="76">
        <f>122.58</f>
        <v>122.58</v>
      </c>
      <c r="D289" s="76">
        <f>297.941</f>
        <v>297.94099999999997</v>
      </c>
      <c r="E289" s="85">
        <f>89.177</f>
        <v>89.177000000000007</v>
      </c>
      <c r="F289" s="76">
        <f>240.302-40-60-100</f>
        <v>40.301999999999992</v>
      </c>
      <c r="G289" s="79">
        <v>40</v>
      </c>
      <c r="H289" s="76">
        <f>60+100</f>
        <v>160</v>
      </c>
      <c r="I289" s="76">
        <f t="shared" si="39"/>
        <v>0</v>
      </c>
      <c r="J289" s="79">
        <v>100</v>
      </c>
      <c r="K289" s="79">
        <v>300</v>
      </c>
      <c r="L289" s="76">
        <f t="shared" si="42"/>
        <v>1150</v>
      </c>
      <c r="M289" s="87">
        <v>600</v>
      </c>
      <c r="N289" s="76">
        <f>100</f>
        <v>100</v>
      </c>
      <c r="O289" s="79">
        <v>240</v>
      </c>
      <c r="P289" s="79">
        <v>40</v>
      </c>
      <c r="Q289" s="79">
        <f t="shared" si="43"/>
        <v>315</v>
      </c>
      <c r="R289" s="79">
        <f t="shared" si="44"/>
        <v>100</v>
      </c>
      <c r="S289" s="76">
        <f t="shared" si="45"/>
        <v>695</v>
      </c>
      <c r="T289" s="76">
        <f>50</f>
        <v>50</v>
      </c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</row>
    <row r="290" spans="1:30" ht="15.75" x14ac:dyDescent="0.25">
      <c r="A290" s="33">
        <v>49735</v>
      </c>
      <c r="B290" s="90">
        <v>31</v>
      </c>
      <c r="C290" s="76">
        <f>122.58</f>
        <v>122.58</v>
      </c>
      <c r="D290" s="76">
        <f>297.941</f>
        <v>297.94099999999997</v>
      </c>
      <c r="E290" s="85">
        <f>89.177</f>
        <v>89.177000000000007</v>
      </c>
      <c r="F290" s="76">
        <f>240.302-40-60-100</f>
        <v>40.301999999999992</v>
      </c>
      <c r="G290" s="79">
        <v>40</v>
      </c>
      <c r="H290" s="76">
        <f>60+100</f>
        <v>160</v>
      </c>
      <c r="I290" s="76">
        <f t="shared" si="39"/>
        <v>0</v>
      </c>
      <c r="J290" s="79">
        <v>100</v>
      </c>
      <c r="K290" s="79">
        <v>300</v>
      </c>
      <c r="L290" s="76">
        <f t="shared" si="42"/>
        <v>1150</v>
      </c>
      <c r="M290" s="87">
        <v>600</v>
      </c>
      <c r="N290" s="76">
        <f>100</f>
        <v>100</v>
      </c>
      <c r="O290" s="79">
        <v>240</v>
      </c>
      <c r="P290" s="79">
        <v>40</v>
      </c>
      <c r="Q290" s="79">
        <f t="shared" si="43"/>
        <v>315</v>
      </c>
      <c r="R290" s="79">
        <f t="shared" si="44"/>
        <v>100</v>
      </c>
      <c r="S290" s="76">
        <f t="shared" si="45"/>
        <v>695</v>
      </c>
      <c r="T290" s="76">
        <f>50</f>
        <v>50</v>
      </c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</row>
    <row r="291" spans="1:30" ht="15.75" x14ac:dyDescent="0.25">
      <c r="A291" s="33">
        <v>49766</v>
      </c>
      <c r="B291" s="90">
        <v>30</v>
      </c>
      <c r="C291" s="76">
        <f>141.293</f>
        <v>141.29300000000001</v>
      </c>
      <c r="D291" s="76">
        <f>267.993</f>
        <v>267.99299999999999</v>
      </c>
      <c r="E291" s="85">
        <f>115.016</f>
        <v>115.01600000000001</v>
      </c>
      <c r="F291" s="76">
        <f>314.698-40-25-60-100</f>
        <v>89.697999999999979</v>
      </c>
      <c r="G291" s="79">
        <v>40</v>
      </c>
      <c r="H291" s="76">
        <f t="shared" ref="H291:H297" si="47">25+60+100</f>
        <v>185</v>
      </c>
      <c r="I291" s="76">
        <f t="shared" si="39"/>
        <v>0</v>
      </c>
      <c r="J291" s="79">
        <v>100</v>
      </c>
      <c r="K291" s="79">
        <v>300</v>
      </c>
      <c r="L291" s="76">
        <f t="shared" si="42"/>
        <v>1239</v>
      </c>
      <c r="M291" s="87">
        <v>600</v>
      </c>
      <c r="N291" s="76">
        <f>100</f>
        <v>100</v>
      </c>
      <c r="O291" s="79">
        <v>240</v>
      </c>
      <c r="P291" s="79">
        <v>160</v>
      </c>
      <c r="Q291" s="79">
        <f t="shared" si="43"/>
        <v>195</v>
      </c>
      <c r="R291" s="79">
        <f t="shared" si="44"/>
        <v>100</v>
      </c>
      <c r="S291" s="76">
        <f t="shared" si="45"/>
        <v>695</v>
      </c>
      <c r="T291" s="76">
        <f>50</f>
        <v>50</v>
      </c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</row>
    <row r="292" spans="1:30" ht="15.75" x14ac:dyDescent="0.25">
      <c r="A292" s="33">
        <v>49796</v>
      </c>
      <c r="B292" s="90">
        <v>31</v>
      </c>
      <c r="C292" s="76">
        <f>194.205</f>
        <v>194.20500000000001</v>
      </c>
      <c r="D292" s="76">
        <f>267.466</f>
        <v>267.46600000000001</v>
      </c>
      <c r="E292" s="85">
        <f>133.845</f>
        <v>133.845</v>
      </c>
      <c r="F292" s="76">
        <f>278.484-40-25-60-100</f>
        <v>53.48399999999998</v>
      </c>
      <c r="G292" s="79">
        <v>40</v>
      </c>
      <c r="H292" s="76">
        <f t="shared" si="47"/>
        <v>185</v>
      </c>
      <c r="I292" s="76">
        <f t="shared" si="39"/>
        <v>0</v>
      </c>
      <c r="J292" s="79">
        <v>100</v>
      </c>
      <c r="K292" s="79">
        <v>300</v>
      </c>
      <c r="L292" s="76">
        <f t="shared" si="42"/>
        <v>1274</v>
      </c>
      <c r="M292" s="87">
        <v>600</v>
      </c>
      <c r="N292" s="76">
        <f>75</f>
        <v>75</v>
      </c>
      <c r="O292" s="79">
        <v>240</v>
      </c>
      <c r="P292" s="79">
        <v>160</v>
      </c>
      <c r="Q292" s="79">
        <f t="shared" si="43"/>
        <v>195</v>
      </c>
      <c r="R292" s="79">
        <f t="shared" si="44"/>
        <v>100</v>
      </c>
      <c r="S292" s="76">
        <f t="shared" si="45"/>
        <v>695</v>
      </c>
      <c r="T292" s="76">
        <f>50</f>
        <v>50</v>
      </c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</row>
    <row r="293" spans="1:30" ht="15.75" x14ac:dyDescent="0.25">
      <c r="A293" s="33">
        <v>49827</v>
      </c>
      <c r="B293" s="90">
        <v>30</v>
      </c>
      <c r="C293" s="76">
        <f>194.205</f>
        <v>194.20500000000001</v>
      </c>
      <c r="D293" s="76">
        <f>267.466</f>
        <v>267.46600000000001</v>
      </c>
      <c r="E293" s="85">
        <f>133.845</f>
        <v>133.845</v>
      </c>
      <c r="F293" s="76">
        <f>278.484-40-25-60-100</f>
        <v>53.48399999999998</v>
      </c>
      <c r="G293" s="79">
        <v>40</v>
      </c>
      <c r="H293" s="76">
        <f t="shared" si="47"/>
        <v>185</v>
      </c>
      <c r="I293" s="76">
        <f t="shared" si="39"/>
        <v>0</v>
      </c>
      <c r="J293" s="79">
        <v>100</v>
      </c>
      <c r="K293" s="79">
        <v>300</v>
      </c>
      <c r="L293" s="76">
        <f t="shared" si="42"/>
        <v>1274</v>
      </c>
      <c r="M293" s="87">
        <v>600</v>
      </c>
      <c r="N293" s="76">
        <f>30</f>
        <v>30</v>
      </c>
      <c r="O293" s="79">
        <v>240</v>
      </c>
      <c r="P293" s="79">
        <v>160</v>
      </c>
      <c r="Q293" s="79">
        <f t="shared" si="43"/>
        <v>195</v>
      </c>
      <c r="R293" s="79">
        <f t="shared" si="44"/>
        <v>100</v>
      </c>
      <c r="S293" s="76">
        <f t="shared" si="45"/>
        <v>695</v>
      </c>
      <c r="T293" s="76">
        <f>50</f>
        <v>50</v>
      </c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</row>
    <row r="294" spans="1:30" ht="15.75" x14ac:dyDescent="0.25">
      <c r="A294" s="33">
        <v>49857</v>
      </c>
      <c r="B294" s="90">
        <v>31</v>
      </c>
      <c r="C294" s="76">
        <f>194.205</f>
        <v>194.20500000000001</v>
      </c>
      <c r="D294" s="76">
        <f>267.466</f>
        <v>267.46600000000001</v>
      </c>
      <c r="E294" s="85">
        <f>133.845</f>
        <v>133.845</v>
      </c>
      <c r="F294" s="76">
        <f>278.484-40-25-60-100</f>
        <v>53.48399999999998</v>
      </c>
      <c r="G294" s="79">
        <v>40</v>
      </c>
      <c r="H294" s="76">
        <f t="shared" si="47"/>
        <v>185</v>
      </c>
      <c r="I294" s="76">
        <f t="shared" si="39"/>
        <v>0</v>
      </c>
      <c r="J294" s="79">
        <v>100</v>
      </c>
      <c r="K294" s="79">
        <v>300</v>
      </c>
      <c r="L294" s="76">
        <f t="shared" si="42"/>
        <v>1274</v>
      </c>
      <c r="M294" s="87">
        <v>600</v>
      </c>
      <c r="N294" s="76">
        <f>30</f>
        <v>30</v>
      </c>
      <c r="O294" s="79">
        <v>240</v>
      </c>
      <c r="P294" s="79">
        <v>160</v>
      </c>
      <c r="Q294" s="79">
        <f t="shared" si="43"/>
        <v>195</v>
      </c>
      <c r="R294" s="79">
        <f t="shared" si="44"/>
        <v>100</v>
      </c>
      <c r="S294" s="76">
        <f t="shared" si="45"/>
        <v>695</v>
      </c>
      <c r="T294" s="76">
        <f>0</f>
        <v>0</v>
      </c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</row>
    <row r="295" spans="1:30" ht="15.75" x14ac:dyDescent="0.25">
      <c r="A295" s="33">
        <v>49888</v>
      </c>
      <c r="B295" s="90">
        <v>31</v>
      </c>
      <c r="C295" s="76">
        <f>194.205</f>
        <v>194.20500000000001</v>
      </c>
      <c r="D295" s="76">
        <f>267.466</f>
        <v>267.46600000000001</v>
      </c>
      <c r="E295" s="85">
        <f>133.845</f>
        <v>133.845</v>
      </c>
      <c r="F295" s="76">
        <f>278.484-40-25-60-100</f>
        <v>53.48399999999998</v>
      </c>
      <c r="G295" s="79">
        <v>40</v>
      </c>
      <c r="H295" s="76">
        <f t="shared" si="47"/>
        <v>185</v>
      </c>
      <c r="I295" s="76">
        <f t="shared" si="39"/>
        <v>0</v>
      </c>
      <c r="J295" s="79">
        <v>100</v>
      </c>
      <c r="K295" s="79">
        <v>300</v>
      </c>
      <c r="L295" s="76">
        <f t="shared" si="42"/>
        <v>1274</v>
      </c>
      <c r="M295" s="87">
        <v>600</v>
      </c>
      <c r="N295" s="76">
        <f>30</f>
        <v>30</v>
      </c>
      <c r="O295" s="79">
        <v>240</v>
      </c>
      <c r="P295" s="79">
        <v>160</v>
      </c>
      <c r="Q295" s="79">
        <f t="shared" si="43"/>
        <v>195</v>
      </c>
      <c r="R295" s="79">
        <f t="shared" si="44"/>
        <v>100</v>
      </c>
      <c r="S295" s="76">
        <f t="shared" si="45"/>
        <v>695</v>
      </c>
      <c r="T295" s="76">
        <f>0</f>
        <v>0</v>
      </c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</row>
    <row r="296" spans="1:30" ht="15.75" x14ac:dyDescent="0.25">
      <c r="A296" s="33">
        <v>49919</v>
      </c>
      <c r="B296" s="90">
        <v>30</v>
      </c>
      <c r="C296" s="76">
        <f>194.205</f>
        <v>194.20500000000001</v>
      </c>
      <c r="D296" s="76">
        <f>267.466</f>
        <v>267.46600000000001</v>
      </c>
      <c r="E296" s="85">
        <f>133.845</f>
        <v>133.845</v>
      </c>
      <c r="F296" s="76">
        <f>278.484-40-25-60-100</f>
        <v>53.48399999999998</v>
      </c>
      <c r="G296" s="79">
        <v>40</v>
      </c>
      <c r="H296" s="76">
        <f t="shared" si="47"/>
        <v>185</v>
      </c>
      <c r="I296" s="76">
        <f t="shared" si="39"/>
        <v>0</v>
      </c>
      <c r="J296" s="79">
        <v>100</v>
      </c>
      <c r="K296" s="79">
        <v>300</v>
      </c>
      <c r="L296" s="76">
        <f t="shared" si="42"/>
        <v>1274</v>
      </c>
      <c r="M296" s="87">
        <v>600</v>
      </c>
      <c r="N296" s="76">
        <f>30</f>
        <v>30</v>
      </c>
      <c r="O296" s="79">
        <v>240</v>
      </c>
      <c r="P296" s="79">
        <v>160</v>
      </c>
      <c r="Q296" s="79">
        <f t="shared" si="43"/>
        <v>195</v>
      </c>
      <c r="R296" s="79">
        <f t="shared" si="44"/>
        <v>100</v>
      </c>
      <c r="S296" s="76">
        <f t="shared" si="45"/>
        <v>695</v>
      </c>
      <c r="T296" s="76">
        <f>0</f>
        <v>0</v>
      </c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</row>
    <row r="297" spans="1:30" ht="15.75" x14ac:dyDescent="0.25">
      <c r="A297" s="33">
        <v>49949</v>
      </c>
      <c r="B297" s="90">
        <v>31</v>
      </c>
      <c r="C297" s="76">
        <f>131.881</f>
        <v>131.881</v>
      </c>
      <c r="D297" s="76">
        <f>277.167</f>
        <v>277.16699999999997</v>
      </c>
      <c r="E297" s="85">
        <f>79.08</f>
        <v>79.08</v>
      </c>
      <c r="F297" s="76">
        <f>350.872-40-25-60-100</f>
        <v>125.87200000000001</v>
      </c>
      <c r="G297" s="79">
        <v>40</v>
      </c>
      <c r="H297" s="76">
        <f t="shared" si="47"/>
        <v>185</v>
      </c>
      <c r="I297" s="76">
        <f t="shared" si="39"/>
        <v>0</v>
      </c>
      <c r="J297" s="79">
        <v>100</v>
      </c>
      <c r="K297" s="79">
        <v>300</v>
      </c>
      <c r="L297" s="76">
        <f t="shared" si="42"/>
        <v>1239</v>
      </c>
      <c r="M297" s="87">
        <v>600</v>
      </c>
      <c r="N297" s="76">
        <f>75</f>
        <v>75</v>
      </c>
      <c r="O297" s="79">
        <v>240</v>
      </c>
      <c r="P297" s="79">
        <v>160</v>
      </c>
      <c r="Q297" s="79">
        <f t="shared" si="43"/>
        <v>195</v>
      </c>
      <c r="R297" s="79">
        <f t="shared" si="44"/>
        <v>100</v>
      </c>
      <c r="S297" s="76">
        <f t="shared" si="45"/>
        <v>695</v>
      </c>
      <c r="T297" s="76">
        <f>0</f>
        <v>0</v>
      </c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</row>
    <row r="298" spans="1:30" ht="15.75" x14ac:dyDescent="0.25">
      <c r="A298" s="33">
        <v>49980</v>
      </c>
      <c r="B298" s="90">
        <v>30</v>
      </c>
      <c r="C298" s="76">
        <f>122.58</f>
        <v>122.58</v>
      </c>
      <c r="D298" s="76">
        <f>297.941</f>
        <v>297.94099999999997</v>
      </c>
      <c r="E298" s="85">
        <f>89.177</f>
        <v>89.177000000000007</v>
      </c>
      <c r="F298" s="76">
        <f>240.302-40-60-100</f>
        <v>40.301999999999992</v>
      </c>
      <c r="G298" s="79">
        <v>40</v>
      </c>
      <c r="H298" s="76">
        <f>60+100</f>
        <v>160</v>
      </c>
      <c r="I298" s="76">
        <f t="shared" si="39"/>
        <v>0</v>
      </c>
      <c r="J298" s="79">
        <v>100</v>
      </c>
      <c r="K298" s="79">
        <v>300</v>
      </c>
      <c r="L298" s="76">
        <f t="shared" si="42"/>
        <v>1150</v>
      </c>
      <c r="M298" s="87">
        <v>600</v>
      </c>
      <c r="N298" s="76">
        <f>100</f>
        <v>100</v>
      </c>
      <c r="O298" s="79">
        <v>240</v>
      </c>
      <c r="P298" s="79">
        <v>40</v>
      </c>
      <c r="Q298" s="79">
        <f t="shared" si="43"/>
        <v>315</v>
      </c>
      <c r="R298" s="79">
        <f t="shared" si="44"/>
        <v>100</v>
      </c>
      <c r="S298" s="76">
        <f t="shared" si="45"/>
        <v>695</v>
      </c>
      <c r="T298" s="76">
        <f>50</f>
        <v>50</v>
      </c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</row>
    <row r="299" spans="1:30" ht="15.75" x14ac:dyDescent="0.25">
      <c r="A299" s="33">
        <v>50010</v>
      </c>
      <c r="B299" s="90">
        <v>31</v>
      </c>
      <c r="C299" s="76">
        <f>122.58</f>
        <v>122.58</v>
      </c>
      <c r="D299" s="76">
        <f>297.941</f>
        <v>297.94099999999997</v>
      </c>
      <c r="E299" s="85">
        <f>89.177</f>
        <v>89.177000000000007</v>
      </c>
      <c r="F299" s="76">
        <f>240.302-40-60-100</f>
        <v>40.301999999999992</v>
      </c>
      <c r="G299" s="79">
        <v>40</v>
      </c>
      <c r="H299" s="76">
        <f>60+100</f>
        <v>160</v>
      </c>
      <c r="I299" s="76">
        <f t="shared" si="39"/>
        <v>0</v>
      </c>
      <c r="J299" s="79">
        <v>100</v>
      </c>
      <c r="K299" s="79">
        <v>300</v>
      </c>
      <c r="L299" s="76">
        <f t="shared" si="42"/>
        <v>1150</v>
      </c>
      <c r="M299" s="87">
        <v>600</v>
      </c>
      <c r="N299" s="76">
        <f>100</f>
        <v>100</v>
      </c>
      <c r="O299" s="79">
        <v>240</v>
      </c>
      <c r="P299" s="79">
        <v>40</v>
      </c>
      <c r="Q299" s="79">
        <f t="shared" si="43"/>
        <v>315</v>
      </c>
      <c r="R299" s="79">
        <f t="shared" si="44"/>
        <v>100</v>
      </c>
      <c r="S299" s="76">
        <f t="shared" si="45"/>
        <v>695</v>
      </c>
      <c r="T299" s="76">
        <f>50</f>
        <v>50</v>
      </c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</row>
    <row r="300" spans="1:30" ht="15.75" x14ac:dyDescent="0.25">
      <c r="A300" s="33">
        <v>50041</v>
      </c>
      <c r="B300" s="90">
        <v>31</v>
      </c>
      <c r="C300" s="76">
        <f>122.58</f>
        <v>122.58</v>
      </c>
      <c r="D300" s="76">
        <f>297.941</f>
        <v>297.94099999999997</v>
      </c>
      <c r="E300" s="85">
        <f>89.177</f>
        <v>89.177000000000007</v>
      </c>
      <c r="F300" s="76">
        <f>240.302-40-60-100</f>
        <v>40.301999999999992</v>
      </c>
      <c r="G300" s="79">
        <v>40</v>
      </c>
      <c r="H300" s="76">
        <f>60+100</f>
        <v>160</v>
      </c>
      <c r="I300" s="76">
        <f t="shared" si="39"/>
        <v>0</v>
      </c>
      <c r="J300" s="79">
        <v>100</v>
      </c>
      <c r="K300" s="79">
        <v>300</v>
      </c>
      <c r="L300" s="76">
        <f t="shared" si="42"/>
        <v>1150</v>
      </c>
      <c r="M300" s="87">
        <v>600</v>
      </c>
      <c r="N300" s="76">
        <f>100</f>
        <v>100</v>
      </c>
      <c r="O300" s="79">
        <v>240</v>
      </c>
      <c r="P300" s="79">
        <v>40</v>
      </c>
      <c r="Q300" s="79">
        <f t="shared" si="43"/>
        <v>315</v>
      </c>
      <c r="R300" s="79">
        <f t="shared" si="44"/>
        <v>100</v>
      </c>
      <c r="S300" s="76">
        <f t="shared" si="45"/>
        <v>695</v>
      </c>
      <c r="T300" s="76">
        <f>50</f>
        <v>50</v>
      </c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</row>
    <row r="301" spans="1:30" ht="15.75" x14ac:dyDescent="0.25">
      <c r="A301" s="33">
        <v>50072</v>
      </c>
      <c r="B301" s="90">
        <v>28</v>
      </c>
      <c r="C301" s="76">
        <f>122.58</f>
        <v>122.58</v>
      </c>
      <c r="D301" s="76">
        <f>297.941</f>
        <v>297.94099999999997</v>
      </c>
      <c r="E301" s="85">
        <f>89.177</f>
        <v>89.177000000000007</v>
      </c>
      <c r="F301" s="76">
        <f>240.302-40-60-100</f>
        <v>40.301999999999992</v>
      </c>
      <c r="G301" s="79">
        <v>40</v>
      </c>
      <c r="H301" s="76">
        <f>60+100</f>
        <v>160</v>
      </c>
      <c r="I301" s="76">
        <f t="shared" si="39"/>
        <v>0</v>
      </c>
      <c r="J301" s="79">
        <v>100</v>
      </c>
      <c r="K301" s="79">
        <v>300</v>
      </c>
      <c r="L301" s="76">
        <f t="shared" si="42"/>
        <v>1150</v>
      </c>
      <c r="M301" s="87">
        <v>600</v>
      </c>
      <c r="N301" s="76">
        <f>100</f>
        <v>100</v>
      </c>
      <c r="O301" s="79">
        <v>240</v>
      </c>
      <c r="P301" s="79">
        <v>40</v>
      </c>
      <c r="Q301" s="79">
        <f t="shared" si="43"/>
        <v>315</v>
      </c>
      <c r="R301" s="79">
        <f t="shared" si="44"/>
        <v>100</v>
      </c>
      <c r="S301" s="76">
        <f t="shared" si="45"/>
        <v>695</v>
      </c>
      <c r="T301" s="76">
        <f>50</f>
        <v>50</v>
      </c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</row>
    <row r="302" spans="1:30" ht="15.75" x14ac:dyDescent="0.25">
      <c r="A302" s="33">
        <v>50100</v>
      </c>
      <c r="B302" s="90">
        <v>31</v>
      </c>
      <c r="C302" s="76">
        <f>122.58</f>
        <v>122.58</v>
      </c>
      <c r="D302" s="76">
        <f>297.941</f>
        <v>297.94099999999997</v>
      </c>
      <c r="E302" s="85">
        <f>89.177</f>
        <v>89.177000000000007</v>
      </c>
      <c r="F302" s="76">
        <f>240.302-40-60-100</f>
        <v>40.301999999999992</v>
      </c>
      <c r="G302" s="79">
        <v>40</v>
      </c>
      <c r="H302" s="76">
        <f>60+100</f>
        <v>160</v>
      </c>
      <c r="I302" s="76">
        <f t="shared" si="39"/>
        <v>0</v>
      </c>
      <c r="J302" s="79">
        <v>100</v>
      </c>
      <c r="K302" s="79">
        <v>300</v>
      </c>
      <c r="L302" s="76">
        <f t="shared" si="42"/>
        <v>1150</v>
      </c>
      <c r="M302" s="87">
        <v>600</v>
      </c>
      <c r="N302" s="76">
        <f>100</f>
        <v>100</v>
      </c>
      <c r="O302" s="79">
        <v>240</v>
      </c>
      <c r="P302" s="79">
        <v>40</v>
      </c>
      <c r="Q302" s="79">
        <f t="shared" si="43"/>
        <v>315</v>
      </c>
      <c r="R302" s="79">
        <f t="shared" si="44"/>
        <v>100</v>
      </c>
      <c r="S302" s="76">
        <f t="shared" si="45"/>
        <v>695</v>
      </c>
      <c r="T302" s="76">
        <f>50</f>
        <v>50</v>
      </c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</row>
    <row r="303" spans="1:30" ht="15.75" x14ac:dyDescent="0.25">
      <c r="A303" s="33">
        <v>50131</v>
      </c>
      <c r="B303" s="90">
        <v>30</v>
      </c>
      <c r="C303" s="76">
        <f>141.293</f>
        <v>141.29300000000001</v>
      </c>
      <c r="D303" s="76">
        <f>267.993</f>
        <v>267.99299999999999</v>
      </c>
      <c r="E303" s="85">
        <f>115.016</f>
        <v>115.01600000000001</v>
      </c>
      <c r="F303" s="76">
        <f>314.698-40-25-60-100</f>
        <v>89.697999999999979</v>
      </c>
      <c r="G303" s="79">
        <v>40</v>
      </c>
      <c r="H303" s="76">
        <f t="shared" ref="H303:H309" si="48">25+60+100</f>
        <v>185</v>
      </c>
      <c r="I303" s="76">
        <f t="shared" si="39"/>
        <v>0</v>
      </c>
      <c r="J303" s="79">
        <v>100</v>
      </c>
      <c r="K303" s="79">
        <v>300</v>
      </c>
      <c r="L303" s="76">
        <f t="shared" si="42"/>
        <v>1239</v>
      </c>
      <c r="M303" s="87">
        <v>600</v>
      </c>
      <c r="N303" s="76">
        <f>100</f>
        <v>100</v>
      </c>
      <c r="O303" s="79">
        <v>240</v>
      </c>
      <c r="P303" s="79">
        <v>160</v>
      </c>
      <c r="Q303" s="79">
        <f t="shared" si="43"/>
        <v>195</v>
      </c>
      <c r="R303" s="79">
        <f t="shared" si="44"/>
        <v>100</v>
      </c>
      <c r="S303" s="76">
        <f t="shared" si="45"/>
        <v>695</v>
      </c>
      <c r="T303" s="76">
        <f>50</f>
        <v>50</v>
      </c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</row>
    <row r="304" spans="1:30" ht="15.75" x14ac:dyDescent="0.25">
      <c r="A304" s="33">
        <v>50161</v>
      </c>
      <c r="B304" s="90">
        <v>31</v>
      </c>
      <c r="C304" s="76">
        <f>194.205</f>
        <v>194.20500000000001</v>
      </c>
      <c r="D304" s="76">
        <f>267.466</f>
        <v>267.46600000000001</v>
      </c>
      <c r="E304" s="85">
        <f>133.845</f>
        <v>133.845</v>
      </c>
      <c r="F304" s="76">
        <f>278.484-40-25-60-100</f>
        <v>53.48399999999998</v>
      </c>
      <c r="G304" s="79">
        <v>40</v>
      </c>
      <c r="H304" s="76">
        <f t="shared" si="48"/>
        <v>185</v>
      </c>
      <c r="I304" s="76">
        <f t="shared" si="39"/>
        <v>0</v>
      </c>
      <c r="J304" s="79">
        <v>100</v>
      </c>
      <c r="K304" s="79">
        <v>300</v>
      </c>
      <c r="L304" s="76">
        <f t="shared" si="42"/>
        <v>1274</v>
      </c>
      <c r="M304" s="87">
        <v>600</v>
      </c>
      <c r="N304" s="76">
        <f>75</f>
        <v>75</v>
      </c>
      <c r="O304" s="79">
        <v>240</v>
      </c>
      <c r="P304" s="79">
        <v>160</v>
      </c>
      <c r="Q304" s="79">
        <f t="shared" si="43"/>
        <v>195</v>
      </c>
      <c r="R304" s="79">
        <f t="shared" si="44"/>
        <v>100</v>
      </c>
      <c r="S304" s="76">
        <f t="shared" si="45"/>
        <v>695</v>
      </c>
      <c r="T304" s="76">
        <f>50</f>
        <v>50</v>
      </c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</row>
    <row r="305" spans="1:30" ht="15.75" x14ac:dyDescent="0.25">
      <c r="A305" s="33">
        <v>50192</v>
      </c>
      <c r="B305" s="90">
        <v>30</v>
      </c>
      <c r="C305" s="76">
        <f>194.205</f>
        <v>194.20500000000001</v>
      </c>
      <c r="D305" s="76">
        <f>267.466</f>
        <v>267.46600000000001</v>
      </c>
      <c r="E305" s="85">
        <f>133.845</f>
        <v>133.845</v>
      </c>
      <c r="F305" s="76">
        <f>278.484-40-25-60-100</f>
        <v>53.48399999999998</v>
      </c>
      <c r="G305" s="79">
        <v>40</v>
      </c>
      <c r="H305" s="76">
        <f t="shared" si="48"/>
        <v>185</v>
      </c>
      <c r="I305" s="76">
        <f t="shared" si="39"/>
        <v>0</v>
      </c>
      <c r="J305" s="79">
        <v>100</v>
      </c>
      <c r="K305" s="79">
        <v>300</v>
      </c>
      <c r="L305" s="76">
        <f t="shared" si="42"/>
        <v>1274</v>
      </c>
      <c r="M305" s="87">
        <v>600</v>
      </c>
      <c r="N305" s="76">
        <f>30</f>
        <v>30</v>
      </c>
      <c r="O305" s="79">
        <v>240</v>
      </c>
      <c r="P305" s="79">
        <v>160</v>
      </c>
      <c r="Q305" s="79">
        <f t="shared" si="43"/>
        <v>195</v>
      </c>
      <c r="R305" s="79">
        <f t="shared" si="44"/>
        <v>100</v>
      </c>
      <c r="S305" s="76">
        <f t="shared" si="45"/>
        <v>695</v>
      </c>
      <c r="T305" s="76">
        <f>50</f>
        <v>50</v>
      </c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</row>
    <row r="306" spans="1:30" ht="15.75" x14ac:dyDescent="0.25">
      <c r="A306" s="33">
        <v>50222</v>
      </c>
      <c r="B306" s="90">
        <v>31</v>
      </c>
      <c r="C306" s="76">
        <f>194.205</f>
        <v>194.20500000000001</v>
      </c>
      <c r="D306" s="76">
        <f>267.466</f>
        <v>267.46600000000001</v>
      </c>
      <c r="E306" s="85">
        <f>133.845</f>
        <v>133.845</v>
      </c>
      <c r="F306" s="76">
        <f>278.484-40-25-60-100</f>
        <v>53.48399999999998</v>
      </c>
      <c r="G306" s="79">
        <v>40</v>
      </c>
      <c r="H306" s="76">
        <f t="shared" si="48"/>
        <v>185</v>
      </c>
      <c r="I306" s="76">
        <f t="shared" si="39"/>
        <v>0</v>
      </c>
      <c r="J306" s="79">
        <v>100</v>
      </c>
      <c r="K306" s="79">
        <v>300</v>
      </c>
      <c r="L306" s="76">
        <f t="shared" si="42"/>
        <v>1274</v>
      </c>
      <c r="M306" s="87">
        <v>600</v>
      </c>
      <c r="N306" s="76">
        <f>30</f>
        <v>30</v>
      </c>
      <c r="O306" s="79">
        <v>240</v>
      </c>
      <c r="P306" s="79">
        <v>160</v>
      </c>
      <c r="Q306" s="79">
        <f t="shared" si="43"/>
        <v>195</v>
      </c>
      <c r="R306" s="79">
        <f t="shared" si="44"/>
        <v>100</v>
      </c>
      <c r="S306" s="76">
        <f t="shared" si="45"/>
        <v>695</v>
      </c>
      <c r="T306" s="76">
        <f>0</f>
        <v>0</v>
      </c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</row>
    <row r="307" spans="1:30" ht="15.75" x14ac:dyDescent="0.25">
      <c r="A307" s="33">
        <v>50253</v>
      </c>
      <c r="B307" s="90">
        <v>31</v>
      </c>
      <c r="C307" s="76">
        <f>194.205</f>
        <v>194.20500000000001</v>
      </c>
      <c r="D307" s="76">
        <f>267.466</f>
        <v>267.46600000000001</v>
      </c>
      <c r="E307" s="85">
        <f>133.845</f>
        <v>133.845</v>
      </c>
      <c r="F307" s="76">
        <f>278.484-40-25-60-100</f>
        <v>53.48399999999998</v>
      </c>
      <c r="G307" s="79">
        <v>40</v>
      </c>
      <c r="H307" s="76">
        <f t="shared" si="48"/>
        <v>185</v>
      </c>
      <c r="I307" s="76">
        <f t="shared" si="39"/>
        <v>0</v>
      </c>
      <c r="J307" s="79">
        <v>100</v>
      </c>
      <c r="K307" s="79">
        <v>300</v>
      </c>
      <c r="L307" s="76">
        <f t="shared" si="42"/>
        <v>1274</v>
      </c>
      <c r="M307" s="87">
        <v>600</v>
      </c>
      <c r="N307" s="76">
        <f>30</f>
        <v>30</v>
      </c>
      <c r="O307" s="79">
        <v>240</v>
      </c>
      <c r="P307" s="79">
        <v>160</v>
      </c>
      <c r="Q307" s="79">
        <f t="shared" si="43"/>
        <v>195</v>
      </c>
      <c r="R307" s="79">
        <f t="shared" si="44"/>
        <v>100</v>
      </c>
      <c r="S307" s="76">
        <f t="shared" si="45"/>
        <v>695</v>
      </c>
      <c r="T307" s="76">
        <f>0</f>
        <v>0</v>
      </c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</row>
    <row r="308" spans="1:30" ht="15.75" x14ac:dyDescent="0.25">
      <c r="A308" s="33">
        <v>50284</v>
      </c>
      <c r="B308" s="90">
        <v>30</v>
      </c>
      <c r="C308" s="76">
        <f>194.205</f>
        <v>194.20500000000001</v>
      </c>
      <c r="D308" s="76">
        <f>267.466</f>
        <v>267.46600000000001</v>
      </c>
      <c r="E308" s="85">
        <f>133.845</f>
        <v>133.845</v>
      </c>
      <c r="F308" s="76">
        <f>278.484-40-25-60-100</f>
        <v>53.48399999999998</v>
      </c>
      <c r="G308" s="79">
        <v>40</v>
      </c>
      <c r="H308" s="76">
        <f t="shared" si="48"/>
        <v>185</v>
      </c>
      <c r="I308" s="76">
        <f t="shared" ref="I308:I371" si="49">400-J308-K308</f>
        <v>0</v>
      </c>
      <c r="J308" s="79">
        <v>100</v>
      </c>
      <c r="K308" s="79">
        <v>300</v>
      </c>
      <c r="L308" s="76">
        <f t="shared" si="42"/>
        <v>1274</v>
      </c>
      <c r="M308" s="87">
        <v>600</v>
      </c>
      <c r="N308" s="76">
        <f>30</f>
        <v>30</v>
      </c>
      <c r="O308" s="79">
        <v>240</v>
      </c>
      <c r="P308" s="79">
        <v>160</v>
      </c>
      <c r="Q308" s="79">
        <f t="shared" si="43"/>
        <v>195</v>
      </c>
      <c r="R308" s="79">
        <f t="shared" si="44"/>
        <v>100</v>
      </c>
      <c r="S308" s="76">
        <f t="shared" si="45"/>
        <v>695</v>
      </c>
      <c r="T308" s="76">
        <f>0</f>
        <v>0</v>
      </c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</row>
    <row r="309" spans="1:30" ht="15.75" x14ac:dyDescent="0.25">
      <c r="A309" s="33">
        <v>50314</v>
      </c>
      <c r="B309" s="90">
        <v>31</v>
      </c>
      <c r="C309" s="76">
        <f>131.881</f>
        <v>131.881</v>
      </c>
      <c r="D309" s="76">
        <f>277.167</f>
        <v>277.16699999999997</v>
      </c>
      <c r="E309" s="85">
        <f>79.08</f>
        <v>79.08</v>
      </c>
      <c r="F309" s="76">
        <f>350.872-40-25-60-100</f>
        <v>125.87200000000001</v>
      </c>
      <c r="G309" s="79">
        <v>40</v>
      </c>
      <c r="H309" s="76">
        <f t="shared" si="48"/>
        <v>185</v>
      </c>
      <c r="I309" s="76">
        <f t="shared" si="49"/>
        <v>0</v>
      </c>
      <c r="J309" s="79">
        <v>100</v>
      </c>
      <c r="K309" s="79">
        <v>300</v>
      </c>
      <c r="L309" s="76">
        <f t="shared" si="42"/>
        <v>1239</v>
      </c>
      <c r="M309" s="87">
        <v>600</v>
      </c>
      <c r="N309" s="76">
        <f>75</f>
        <v>75</v>
      </c>
      <c r="O309" s="79">
        <v>240</v>
      </c>
      <c r="P309" s="79">
        <v>160</v>
      </c>
      <c r="Q309" s="79">
        <f t="shared" si="43"/>
        <v>195</v>
      </c>
      <c r="R309" s="79">
        <f t="shared" si="44"/>
        <v>100</v>
      </c>
      <c r="S309" s="76">
        <f t="shared" si="45"/>
        <v>695</v>
      </c>
      <c r="T309" s="76">
        <f>0</f>
        <v>0</v>
      </c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</row>
    <row r="310" spans="1:30" ht="15.75" x14ac:dyDescent="0.25">
      <c r="A310" s="33">
        <v>50345</v>
      </c>
      <c r="B310" s="90">
        <v>30</v>
      </c>
      <c r="C310" s="76">
        <f>122.58</f>
        <v>122.58</v>
      </c>
      <c r="D310" s="76">
        <f>297.941</f>
        <v>297.94099999999997</v>
      </c>
      <c r="E310" s="85">
        <f>89.177</f>
        <v>89.177000000000007</v>
      </c>
      <c r="F310" s="76">
        <f>240.302-40-60-100</f>
        <v>40.301999999999992</v>
      </c>
      <c r="G310" s="79">
        <v>40</v>
      </c>
      <c r="H310" s="76">
        <f>60+100</f>
        <v>160</v>
      </c>
      <c r="I310" s="76">
        <f t="shared" si="49"/>
        <v>0</v>
      </c>
      <c r="J310" s="79">
        <v>100</v>
      </c>
      <c r="K310" s="79">
        <v>300</v>
      </c>
      <c r="L310" s="76">
        <f t="shared" si="42"/>
        <v>1150</v>
      </c>
      <c r="M310" s="87">
        <v>600</v>
      </c>
      <c r="N310" s="76">
        <f>100</f>
        <v>100</v>
      </c>
      <c r="O310" s="79">
        <v>240</v>
      </c>
      <c r="P310" s="79">
        <v>40</v>
      </c>
      <c r="Q310" s="79">
        <f t="shared" si="43"/>
        <v>315</v>
      </c>
      <c r="R310" s="79">
        <f t="shared" si="44"/>
        <v>100</v>
      </c>
      <c r="S310" s="76">
        <f t="shared" si="45"/>
        <v>695</v>
      </c>
      <c r="T310" s="76">
        <f>50</f>
        <v>50</v>
      </c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</row>
    <row r="311" spans="1:30" ht="15.75" x14ac:dyDescent="0.25">
      <c r="A311" s="33">
        <v>50375</v>
      </c>
      <c r="B311" s="90">
        <v>31</v>
      </c>
      <c r="C311" s="76">
        <f>122.58</f>
        <v>122.58</v>
      </c>
      <c r="D311" s="76">
        <f>297.941</f>
        <v>297.94099999999997</v>
      </c>
      <c r="E311" s="85">
        <f>89.177</f>
        <v>89.177000000000007</v>
      </c>
      <c r="F311" s="76">
        <f>240.302-40-60-100</f>
        <v>40.301999999999992</v>
      </c>
      <c r="G311" s="79">
        <v>40</v>
      </c>
      <c r="H311" s="76">
        <f>60+100</f>
        <v>160</v>
      </c>
      <c r="I311" s="76">
        <f t="shared" si="49"/>
        <v>0</v>
      </c>
      <c r="J311" s="79">
        <v>100</v>
      </c>
      <c r="K311" s="79">
        <v>300</v>
      </c>
      <c r="L311" s="76">
        <f t="shared" si="42"/>
        <v>1150</v>
      </c>
      <c r="M311" s="87">
        <v>600</v>
      </c>
      <c r="N311" s="76">
        <f>100</f>
        <v>100</v>
      </c>
      <c r="O311" s="79">
        <v>240</v>
      </c>
      <c r="P311" s="79">
        <v>40</v>
      </c>
      <c r="Q311" s="79">
        <f t="shared" si="43"/>
        <v>315</v>
      </c>
      <c r="R311" s="79">
        <f t="shared" si="44"/>
        <v>100</v>
      </c>
      <c r="S311" s="76">
        <f t="shared" si="45"/>
        <v>695</v>
      </c>
      <c r="T311" s="76">
        <f>50</f>
        <v>50</v>
      </c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</row>
    <row r="312" spans="1:30" ht="15.75" x14ac:dyDescent="0.25">
      <c r="A312" s="32">
        <v>50436</v>
      </c>
      <c r="B312" s="89">
        <v>31</v>
      </c>
      <c r="C312" s="76">
        <f>122.58</f>
        <v>122.58</v>
      </c>
      <c r="D312" s="76">
        <f>297.941</f>
        <v>297.94099999999997</v>
      </c>
      <c r="E312" s="85">
        <f>89.177</f>
        <v>89.177000000000007</v>
      </c>
      <c r="F312" s="76">
        <f>240.302-40-60-100</f>
        <v>40.301999999999992</v>
      </c>
      <c r="G312" s="79">
        <v>40</v>
      </c>
      <c r="H312" s="76">
        <f>60+100</f>
        <v>160</v>
      </c>
      <c r="I312" s="76">
        <f t="shared" si="49"/>
        <v>0</v>
      </c>
      <c r="J312" s="79">
        <v>100</v>
      </c>
      <c r="K312" s="79">
        <v>300</v>
      </c>
      <c r="L312" s="76">
        <f t="shared" si="42"/>
        <v>1150</v>
      </c>
      <c r="M312" s="87">
        <v>600</v>
      </c>
      <c r="N312" s="76">
        <f>100</f>
        <v>100</v>
      </c>
      <c r="O312" s="79">
        <v>240</v>
      </c>
      <c r="P312" s="79">
        <v>40</v>
      </c>
      <c r="Q312" s="79">
        <f t="shared" si="43"/>
        <v>315</v>
      </c>
      <c r="R312" s="79">
        <f t="shared" si="44"/>
        <v>100</v>
      </c>
      <c r="S312" s="76">
        <f t="shared" si="45"/>
        <v>695</v>
      </c>
      <c r="T312" s="76">
        <f>50</f>
        <v>50</v>
      </c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</row>
    <row r="313" spans="1:30" ht="15.75" x14ac:dyDescent="0.25">
      <c r="A313" s="32">
        <v>50464</v>
      </c>
      <c r="B313" s="89">
        <v>28</v>
      </c>
      <c r="C313" s="76">
        <f>122.58</f>
        <v>122.58</v>
      </c>
      <c r="D313" s="76">
        <f>297.941</f>
        <v>297.94099999999997</v>
      </c>
      <c r="E313" s="85">
        <f>89.177</f>
        <v>89.177000000000007</v>
      </c>
      <c r="F313" s="76">
        <f>240.302-40-60-100</f>
        <v>40.301999999999992</v>
      </c>
      <c r="G313" s="79">
        <v>40</v>
      </c>
      <c r="H313" s="76">
        <f>60+100</f>
        <v>160</v>
      </c>
      <c r="I313" s="76">
        <f t="shared" si="49"/>
        <v>0</v>
      </c>
      <c r="J313" s="79">
        <v>100</v>
      </c>
      <c r="K313" s="79">
        <v>300</v>
      </c>
      <c r="L313" s="76">
        <f t="shared" si="42"/>
        <v>1150</v>
      </c>
      <c r="M313" s="87">
        <v>600</v>
      </c>
      <c r="N313" s="76">
        <f>100</f>
        <v>100</v>
      </c>
      <c r="O313" s="79">
        <v>240</v>
      </c>
      <c r="P313" s="79">
        <v>40</v>
      </c>
      <c r="Q313" s="79">
        <f t="shared" si="43"/>
        <v>315</v>
      </c>
      <c r="R313" s="79">
        <f t="shared" si="44"/>
        <v>100</v>
      </c>
      <c r="S313" s="76">
        <f t="shared" si="45"/>
        <v>695</v>
      </c>
      <c r="T313" s="76">
        <f>50</f>
        <v>50</v>
      </c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</row>
    <row r="314" spans="1:30" ht="15.75" x14ac:dyDescent="0.25">
      <c r="A314" s="32">
        <v>50495</v>
      </c>
      <c r="B314" s="89">
        <v>31</v>
      </c>
      <c r="C314" s="76">
        <f>122.58</f>
        <v>122.58</v>
      </c>
      <c r="D314" s="76">
        <f>297.941</f>
        <v>297.94099999999997</v>
      </c>
      <c r="E314" s="85">
        <f>89.177</f>
        <v>89.177000000000007</v>
      </c>
      <c r="F314" s="76">
        <f>240.302-40-60-100</f>
        <v>40.301999999999992</v>
      </c>
      <c r="G314" s="79">
        <v>40</v>
      </c>
      <c r="H314" s="76">
        <f>60+100</f>
        <v>160</v>
      </c>
      <c r="I314" s="76">
        <f t="shared" si="49"/>
        <v>0</v>
      </c>
      <c r="J314" s="79">
        <v>100</v>
      </c>
      <c r="K314" s="79">
        <v>300</v>
      </c>
      <c r="L314" s="76">
        <f t="shared" si="42"/>
        <v>1150</v>
      </c>
      <c r="M314" s="87">
        <v>600</v>
      </c>
      <c r="N314" s="76">
        <f>100</f>
        <v>100</v>
      </c>
      <c r="O314" s="79">
        <v>240</v>
      </c>
      <c r="P314" s="79">
        <v>40</v>
      </c>
      <c r="Q314" s="79">
        <f t="shared" si="43"/>
        <v>315</v>
      </c>
      <c r="R314" s="79">
        <f t="shared" si="44"/>
        <v>100</v>
      </c>
      <c r="S314" s="76">
        <f t="shared" si="45"/>
        <v>695</v>
      </c>
      <c r="T314" s="76">
        <f>50</f>
        <v>50</v>
      </c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</row>
    <row r="315" spans="1:30" ht="15.75" x14ac:dyDescent="0.25">
      <c r="A315" s="32">
        <v>50525</v>
      </c>
      <c r="B315" s="89">
        <v>30</v>
      </c>
      <c r="C315" s="76">
        <f>141.293</f>
        <v>141.29300000000001</v>
      </c>
      <c r="D315" s="76">
        <f>267.993</f>
        <v>267.99299999999999</v>
      </c>
      <c r="E315" s="85">
        <f>115.016</f>
        <v>115.01600000000001</v>
      </c>
      <c r="F315" s="76">
        <f>314.698-40-25-60-100</f>
        <v>89.697999999999979</v>
      </c>
      <c r="G315" s="79">
        <v>40</v>
      </c>
      <c r="H315" s="76">
        <f t="shared" ref="H315:H321" si="50">25+60+100</f>
        <v>185</v>
      </c>
      <c r="I315" s="76">
        <f t="shared" si="49"/>
        <v>0</v>
      </c>
      <c r="J315" s="79">
        <v>100</v>
      </c>
      <c r="K315" s="79">
        <v>300</v>
      </c>
      <c r="L315" s="76">
        <f t="shared" si="42"/>
        <v>1239</v>
      </c>
      <c r="M315" s="87">
        <v>600</v>
      </c>
      <c r="N315" s="76">
        <f>100</f>
        <v>100</v>
      </c>
      <c r="O315" s="79">
        <v>240</v>
      </c>
      <c r="P315" s="79">
        <v>160</v>
      </c>
      <c r="Q315" s="79">
        <f t="shared" si="43"/>
        <v>195</v>
      </c>
      <c r="R315" s="79">
        <f t="shared" si="44"/>
        <v>100</v>
      </c>
      <c r="S315" s="76">
        <f t="shared" si="45"/>
        <v>695</v>
      </c>
      <c r="T315" s="76">
        <f>50</f>
        <v>50</v>
      </c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</row>
    <row r="316" spans="1:30" ht="15.75" x14ac:dyDescent="0.25">
      <c r="A316" s="32">
        <v>50556</v>
      </c>
      <c r="B316" s="89">
        <v>31</v>
      </c>
      <c r="C316" s="76">
        <f>194.205</f>
        <v>194.20500000000001</v>
      </c>
      <c r="D316" s="76">
        <f>267.466</f>
        <v>267.46600000000001</v>
      </c>
      <c r="E316" s="85">
        <f>133.845</f>
        <v>133.845</v>
      </c>
      <c r="F316" s="76">
        <f>278.484-40-25-60-100</f>
        <v>53.48399999999998</v>
      </c>
      <c r="G316" s="79">
        <v>40</v>
      </c>
      <c r="H316" s="76">
        <f t="shared" si="50"/>
        <v>185</v>
      </c>
      <c r="I316" s="76">
        <f t="shared" si="49"/>
        <v>0</v>
      </c>
      <c r="J316" s="79">
        <v>100</v>
      </c>
      <c r="K316" s="79">
        <v>300</v>
      </c>
      <c r="L316" s="76">
        <f t="shared" si="42"/>
        <v>1274</v>
      </c>
      <c r="M316" s="87">
        <v>600</v>
      </c>
      <c r="N316" s="76">
        <f>75</f>
        <v>75</v>
      </c>
      <c r="O316" s="79">
        <v>240</v>
      </c>
      <c r="P316" s="79">
        <v>160</v>
      </c>
      <c r="Q316" s="79">
        <f t="shared" si="43"/>
        <v>195</v>
      </c>
      <c r="R316" s="79">
        <f t="shared" si="44"/>
        <v>100</v>
      </c>
      <c r="S316" s="76">
        <f t="shared" si="45"/>
        <v>695</v>
      </c>
      <c r="T316" s="76">
        <f>50</f>
        <v>50</v>
      </c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</row>
    <row r="317" spans="1:30" ht="15.75" x14ac:dyDescent="0.25">
      <c r="A317" s="32">
        <v>50586</v>
      </c>
      <c r="B317" s="89">
        <v>30</v>
      </c>
      <c r="C317" s="76">
        <f>194.205</f>
        <v>194.20500000000001</v>
      </c>
      <c r="D317" s="76">
        <f>267.466</f>
        <v>267.46600000000001</v>
      </c>
      <c r="E317" s="85">
        <f>133.845</f>
        <v>133.845</v>
      </c>
      <c r="F317" s="76">
        <f>278.484-40-25-60-100</f>
        <v>53.48399999999998</v>
      </c>
      <c r="G317" s="79">
        <v>40</v>
      </c>
      <c r="H317" s="76">
        <f t="shared" si="50"/>
        <v>185</v>
      </c>
      <c r="I317" s="76">
        <f t="shared" si="49"/>
        <v>0</v>
      </c>
      <c r="J317" s="79">
        <v>100</v>
      </c>
      <c r="K317" s="79">
        <v>300</v>
      </c>
      <c r="L317" s="76">
        <f t="shared" si="42"/>
        <v>1274</v>
      </c>
      <c r="M317" s="87">
        <v>600</v>
      </c>
      <c r="N317" s="76">
        <f>30</f>
        <v>30</v>
      </c>
      <c r="O317" s="79">
        <v>240</v>
      </c>
      <c r="P317" s="79">
        <v>160</v>
      </c>
      <c r="Q317" s="79">
        <f t="shared" si="43"/>
        <v>195</v>
      </c>
      <c r="R317" s="79">
        <f t="shared" si="44"/>
        <v>100</v>
      </c>
      <c r="S317" s="76">
        <f t="shared" si="45"/>
        <v>695</v>
      </c>
      <c r="T317" s="76">
        <f>50</f>
        <v>50</v>
      </c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</row>
    <row r="318" spans="1:30" ht="15.75" x14ac:dyDescent="0.25">
      <c r="A318" s="32">
        <v>50617</v>
      </c>
      <c r="B318" s="89">
        <v>31</v>
      </c>
      <c r="C318" s="76">
        <f>194.205</f>
        <v>194.20500000000001</v>
      </c>
      <c r="D318" s="76">
        <f>267.466</f>
        <v>267.46600000000001</v>
      </c>
      <c r="E318" s="85">
        <f>133.845</f>
        <v>133.845</v>
      </c>
      <c r="F318" s="76">
        <f>278.484-40-25-60-100</f>
        <v>53.48399999999998</v>
      </c>
      <c r="G318" s="79">
        <v>40</v>
      </c>
      <c r="H318" s="76">
        <f t="shared" si="50"/>
        <v>185</v>
      </c>
      <c r="I318" s="76">
        <f t="shared" si="49"/>
        <v>0</v>
      </c>
      <c r="J318" s="79">
        <v>100</v>
      </c>
      <c r="K318" s="79">
        <v>300</v>
      </c>
      <c r="L318" s="76">
        <f t="shared" si="42"/>
        <v>1274</v>
      </c>
      <c r="M318" s="87">
        <v>600</v>
      </c>
      <c r="N318" s="76">
        <f>30</f>
        <v>30</v>
      </c>
      <c r="O318" s="79">
        <v>240</v>
      </c>
      <c r="P318" s="79">
        <v>160</v>
      </c>
      <c r="Q318" s="79">
        <f t="shared" si="43"/>
        <v>195</v>
      </c>
      <c r="R318" s="79">
        <f t="shared" si="44"/>
        <v>100</v>
      </c>
      <c r="S318" s="76">
        <f t="shared" si="45"/>
        <v>695</v>
      </c>
      <c r="T318" s="76">
        <f>0</f>
        <v>0</v>
      </c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</row>
    <row r="319" spans="1:30" ht="15.75" x14ac:dyDescent="0.25">
      <c r="A319" s="32">
        <v>50648</v>
      </c>
      <c r="B319" s="89">
        <v>31</v>
      </c>
      <c r="C319" s="76">
        <f>194.205</f>
        <v>194.20500000000001</v>
      </c>
      <c r="D319" s="76">
        <f>267.466</f>
        <v>267.46600000000001</v>
      </c>
      <c r="E319" s="85">
        <f>133.845</f>
        <v>133.845</v>
      </c>
      <c r="F319" s="76">
        <f>278.484-40-25-60-100</f>
        <v>53.48399999999998</v>
      </c>
      <c r="G319" s="79">
        <v>40</v>
      </c>
      <c r="H319" s="76">
        <f t="shared" si="50"/>
        <v>185</v>
      </c>
      <c r="I319" s="76">
        <f t="shared" si="49"/>
        <v>0</v>
      </c>
      <c r="J319" s="79">
        <v>100</v>
      </c>
      <c r="K319" s="79">
        <v>300</v>
      </c>
      <c r="L319" s="76">
        <f t="shared" si="42"/>
        <v>1274</v>
      </c>
      <c r="M319" s="87">
        <v>600</v>
      </c>
      <c r="N319" s="76">
        <f>30</f>
        <v>30</v>
      </c>
      <c r="O319" s="79">
        <v>240</v>
      </c>
      <c r="P319" s="79">
        <v>160</v>
      </c>
      <c r="Q319" s="79">
        <f t="shared" si="43"/>
        <v>195</v>
      </c>
      <c r="R319" s="79">
        <f t="shared" si="44"/>
        <v>100</v>
      </c>
      <c r="S319" s="76">
        <f t="shared" si="45"/>
        <v>695</v>
      </c>
      <c r="T319" s="76">
        <f>0</f>
        <v>0</v>
      </c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</row>
    <row r="320" spans="1:30" ht="15.75" x14ac:dyDescent="0.25">
      <c r="A320" s="32">
        <v>50678</v>
      </c>
      <c r="B320" s="89">
        <v>30</v>
      </c>
      <c r="C320" s="76">
        <f>194.205</f>
        <v>194.20500000000001</v>
      </c>
      <c r="D320" s="76">
        <f>267.466</f>
        <v>267.46600000000001</v>
      </c>
      <c r="E320" s="85">
        <f>133.845</f>
        <v>133.845</v>
      </c>
      <c r="F320" s="76">
        <f>278.484-40-25-60-100</f>
        <v>53.48399999999998</v>
      </c>
      <c r="G320" s="79">
        <v>40</v>
      </c>
      <c r="H320" s="76">
        <f t="shared" si="50"/>
        <v>185</v>
      </c>
      <c r="I320" s="76">
        <f t="shared" si="49"/>
        <v>0</v>
      </c>
      <c r="J320" s="79">
        <v>100</v>
      </c>
      <c r="K320" s="79">
        <v>300</v>
      </c>
      <c r="L320" s="76">
        <f t="shared" si="42"/>
        <v>1274</v>
      </c>
      <c r="M320" s="87">
        <v>600</v>
      </c>
      <c r="N320" s="76">
        <f>30</f>
        <v>30</v>
      </c>
      <c r="O320" s="79">
        <v>240</v>
      </c>
      <c r="P320" s="79">
        <v>160</v>
      </c>
      <c r="Q320" s="79">
        <f t="shared" si="43"/>
        <v>195</v>
      </c>
      <c r="R320" s="79">
        <f t="shared" si="44"/>
        <v>100</v>
      </c>
      <c r="S320" s="76">
        <f t="shared" si="45"/>
        <v>695</v>
      </c>
      <c r="T320" s="76">
        <f>0</f>
        <v>0</v>
      </c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</row>
    <row r="321" spans="1:30" ht="15.75" x14ac:dyDescent="0.25">
      <c r="A321" s="32">
        <v>50709</v>
      </c>
      <c r="B321" s="89">
        <v>31</v>
      </c>
      <c r="C321" s="76">
        <f>131.881</f>
        <v>131.881</v>
      </c>
      <c r="D321" s="76">
        <f>277.167</f>
        <v>277.16699999999997</v>
      </c>
      <c r="E321" s="85">
        <f>79.08</f>
        <v>79.08</v>
      </c>
      <c r="F321" s="76">
        <f>350.872-40-25-60-100</f>
        <v>125.87200000000001</v>
      </c>
      <c r="G321" s="79">
        <v>40</v>
      </c>
      <c r="H321" s="76">
        <f t="shared" si="50"/>
        <v>185</v>
      </c>
      <c r="I321" s="76">
        <f t="shared" si="49"/>
        <v>0</v>
      </c>
      <c r="J321" s="79">
        <v>100</v>
      </c>
      <c r="K321" s="79">
        <v>300</v>
      </c>
      <c r="L321" s="76">
        <f t="shared" si="42"/>
        <v>1239</v>
      </c>
      <c r="M321" s="87">
        <v>600</v>
      </c>
      <c r="N321" s="76">
        <f>75</f>
        <v>75</v>
      </c>
      <c r="O321" s="79">
        <v>240</v>
      </c>
      <c r="P321" s="79">
        <v>160</v>
      </c>
      <c r="Q321" s="79">
        <f t="shared" si="43"/>
        <v>195</v>
      </c>
      <c r="R321" s="79">
        <f t="shared" si="44"/>
        <v>100</v>
      </c>
      <c r="S321" s="76">
        <f t="shared" si="45"/>
        <v>695</v>
      </c>
      <c r="T321" s="76">
        <f>0</f>
        <v>0</v>
      </c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</row>
    <row r="322" spans="1:30" ht="15.75" x14ac:dyDescent="0.25">
      <c r="A322" s="32">
        <v>50739</v>
      </c>
      <c r="B322" s="89">
        <v>30</v>
      </c>
      <c r="C322" s="76">
        <f>122.58</f>
        <v>122.58</v>
      </c>
      <c r="D322" s="76">
        <f>297.941</f>
        <v>297.94099999999997</v>
      </c>
      <c r="E322" s="85">
        <f>89.177</f>
        <v>89.177000000000007</v>
      </c>
      <c r="F322" s="76">
        <f>240.302-40-60-100</f>
        <v>40.301999999999992</v>
      </c>
      <c r="G322" s="79">
        <v>40</v>
      </c>
      <c r="H322" s="76">
        <f>60+100</f>
        <v>160</v>
      </c>
      <c r="I322" s="76">
        <f t="shared" si="49"/>
        <v>0</v>
      </c>
      <c r="J322" s="79">
        <v>100</v>
      </c>
      <c r="K322" s="79">
        <v>300</v>
      </c>
      <c r="L322" s="76">
        <f t="shared" si="42"/>
        <v>1150</v>
      </c>
      <c r="M322" s="87">
        <v>600</v>
      </c>
      <c r="N322" s="76">
        <f>100</f>
        <v>100</v>
      </c>
      <c r="O322" s="79">
        <v>240</v>
      </c>
      <c r="P322" s="79">
        <v>40</v>
      </c>
      <c r="Q322" s="79">
        <f t="shared" si="43"/>
        <v>315</v>
      </c>
      <c r="R322" s="79">
        <f t="shared" si="44"/>
        <v>100</v>
      </c>
      <c r="S322" s="76">
        <f t="shared" si="45"/>
        <v>695</v>
      </c>
      <c r="T322" s="76">
        <f>50</f>
        <v>50</v>
      </c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</row>
    <row r="323" spans="1:30" ht="15.75" x14ac:dyDescent="0.25">
      <c r="A323" s="32">
        <v>50770</v>
      </c>
      <c r="B323" s="89">
        <v>31</v>
      </c>
      <c r="C323" s="76">
        <f>122.58</f>
        <v>122.58</v>
      </c>
      <c r="D323" s="76">
        <f>297.941</f>
        <v>297.94099999999997</v>
      </c>
      <c r="E323" s="85">
        <f>89.177</f>
        <v>89.177000000000007</v>
      </c>
      <c r="F323" s="76">
        <f>240.302-40-60-100</f>
        <v>40.301999999999992</v>
      </c>
      <c r="G323" s="79">
        <v>40</v>
      </c>
      <c r="H323" s="76">
        <f>60+100</f>
        <v>160</v>
      </c>
      <c r="I323" s="76">
        <f t="shared" si="49"/>
        <v>0</v>
      </c>
      <c r="J323" s="79">
        <v>100</v>
      </c>
      <c r="K323" s="79">
        <v>300</v>
      </c>
      <c r="L323" s="76">
        <f t="shared" si="42"/>
        <v>1150</v>
      </c>
      <c r="M323" s="87">
        <v>600</v>
      </c>
      <c r="N323" s="76">
        <f>100</f>
        <v>100</v>
      </c>
      <c r="O323" s="79">
        <v>240</v>
      </c>
      <c r="P323" s="79">
        <v>40</v>
      </c>
      <c r="Q323" s="79">
        <f t="shared" si="43"/>
        <v>315</v>
      </c>
      <c r="R323" s="79">
        <f t="shared" si="44"/>
        <v>100</v>
      </c>
      <c r="S323" s="76">
        <f t="shared" si="45"/>
        <v>695</v>
      </c>
      <c r="T323" s="76">
        <f>50</f>
        <v>50</v>
      </c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</row>
    <row r="324" spans="1:30" ht="15.75" x14ac:dyDescent="0.25">
      <c r="A324" s="32">
        <v>50801</v>
      </c>
      <c r="B324" s="89">
        <v>31</v>
      </c>
      <c r="C324" s="76">
        <f>122.58</f>
        <v>122.58</v>
      </c>
      <c r="D324" s="76">
        <f>297.941</f>
        <v>297.94099999999997</v>
      </c>
      <c r="E324" s="85">
        <f>89.177</f>
        <v>89.177000000000007</v>
      </c>
      <c r="F324" s="76">
        <f>240.302-40-60-100</f>
        <v>40.301999999999992</v>
      </c>
      <c r="G324" s="79">
        <v>40</v>
      </c>
      <c r="H324" s="76">
        <f>60+100</f>
        <v>160</v>
      </c>
      <c r="I324" s="76">
        <f t="shared" si="49"/>
        <v>0</v>
      </c>
      <c r="J324" s="79">
        <v>100</v>
      </c>
      <c r="K324" s="79">
        <v>300</v>
      </c>
      <c r="L324" s="76">
        <f t="shared" si="42"/>
        <v>1150</v>
      </c>
      <c r="M324" s="87">
        <v>600</v>
      </c>
      <c r="N324" s="76">
        <f>100</f>
        <v>100</v>
      </c>
      <c r="O324" s="79">
        <v>240</v>
      </c>
      <c r="P324" s="79">
        <v>40</v>
      </c>
      <c r="Q324" s="79">
        <f t="shared" si="43"/>
        <v>315</v>
      </c>
      <c r="R324" s="79">
        <f t="shared" si="44"/>
        <v>100</v>
      </c>
      <c r="S324" s="76">
        <f t="shared" si="45"/>
        <v>695</v>
      </c>
      <c r="T324" s="76">
        <f>50</f>
        <v>50</v>
      </c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</row>
    <row r="325" spans="1:30" ht="15.75" x14ac:dyDescent="0.25">
      <c r="A325" s="32">
        <v>50829</v>
      </c>
      <c r="B325" s="89">
        <v>28</v>
      </c>
      <c r="C325" s="76">
        <f>122.58</f>
        <v>122.58</v>
      </c>
      <c r="D325" s="76">
        <f>297.941</f>
        <v>297.94099999999997</v>
      </c>
      <c r="E325" s="85">
        <f>89.177</f>
        <v>89.177000000000007</v>
      </c>
      <c r="F325" s="76">
        <f>240.302-40-60-100</f>
        <v>40.301999999999992</v>
      </c>
      <c r="G325" s="79">
        <v>40</v>
      </c>
      <c r="H325" s="76">
        <f>60+100</f>
        <v>160</v>
      </c>
      <c r="I325" s="76">
        <f t="shared" si="49"/>
        <v>0</v>
      </c>
      <c r="J325" s="79">
        <v>100</v>
      </c>
      <c r="K325" s="79">
        <v>300</v>
      </c>
      <c r="L325" s="76">
        <f t="shared" si="42"/>
        <v>1150</v>
      </c>
      <c r="M325" s="87">
        <v>600</v>
      </c>
      <c r="N325" s="76">
        <f>100</f>
        <v>100</v>
      </c>
      <c r="O325" s="79">
        <v>240</v>
      </c>
      <c r="P325" s="79">
        <v>40</v>
      </c>
      <c r="Q325" s="79">
        <f t="shared" si="43"/>
        <v>315</v>
      </c>
      <c r="R325" s="79">
        <f t="shared" si="44"/>
        <v>100</v>
      </c>
      <c r="S325" s="76">
        <f t="shared" si="45"/>
        <v>695</v>
      </c>
      <c r="T325" s="76">
        <f>50</f>
        <v>50</v>
      </c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</row>
    <row r="326" spans="1:30" ht="15.75" x14ac:dyDescent="0.25">
      <c r="A326" s="32">
        <v>50860</v>
      </c>
      <c r="B326" s="89">
        <v>31</v>
      </c>
      <c r="C326" s="76">
        <f>122.58</f>
        <v>122.58</v>
      </c>
      <c r="D326" s="76">
        <f>297.941</f>
        <v>297.94099999999997</v>
      </c>
      <c r="E326" s="85">
        <f>89.177</f>
        <v>89.177000000000007</v>
      </c>
      <c r="F326" s="76">
        <f>240.302-40-60-100</f>
        <v>40.301999999999992</v>
      </c>
      <c r="G326" s="79">
        <v>40</v>
      </c>
      <c r="H326" s="76">
        <f>60+100</f>
        <v>160</v>
      </c>
      <c r="I326" s="76">
        <f t="shared" si="49"/>
        <v>0</v>
      </c>
      <c r="J326" s="79">
        <v>100</v>
      </c>
      <c r="K326" s="79">
        <v>300</v>
      </c>
      <c r="L326" s="76">
        <f t="shared" si="42"/>
        <v>1150</v>
      </c>
      <c r="M326" s="87">
        <v>600</v>
      </c>
      <c r="N326" s="76">
        <f>100</f>
        <v>100</v>
      </c>
      <c r="O326" s="79">
        <v>240</v>
      </c>
      <c r="P326" s="79">
        <v>40</v>
      </c>
      <c r="Q326" s="79">
        <f t="shared" si="43"/>
        <v>315</v>
      </c>
      <c r="R326" s="79">
        <f t="shared" si="44"/>
        <v>100</v>
      </c>
      <c r="S326" s="76">
        <f t="shared" si="45"/>
        <v>695</v>
      </c>
      <c r="T326" s="76">
        <f>50</f>
        <v>50</v>
      </c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</row>
    <row r="327" spans="1:30" ht="15.75" x14ac:dyDescent="0.25">
      <c r="A327" s="32">
        <v>50890</v>
      </c>
      <c r="B327" s="89">
        <v>30</v>
      </c>
      <c r="C327" s="76">
        <f>141.293</f>
        <v>141.29300000000001</v>
      </c>
      <c r="D327" s="76">
        <f>267.993</f>
        <v>267.99299999999999</v>
      </c>
      <c r="E327" s="85">
        <f>115.016</f>
        <v>115.01600000000001</v>
      </c>
      <c r="F327" s="76">
        <f>314.698-40-25-60-100</f>
        <v>89.697999999999979</v>
      </c>
      <c r="G327" s="79">
        <v>40</v>
      </c>
      <c r="H327" s="76">
        <f t="shared" ref="H327:H333" si="51">25+60+100</f>
        <v>185</v>
      </c>
      <c r="I327" s="76">
        <f t="shared" si="49"/>
        <v>0</v>
      </c>
      <c r="J327" s="79">
        <v>100</v>
      </c>
      <c r="K327" s="79">
        <v>300</v>
      </c>
      <c r="L327" s="76">
        <f t="shared" si="42"/>
        <v>1239</v>
      </c>
      <c r="M327" s="87">
        <v>600</v>
      </c>
      <c r="N327" s="76">
        <f>100</f>
        <v>100</v>
      </c>
      <c r="O327" s="79">
        <v>240</v>
      </c>
      <c r="P327" s="79">
        <v>160</v>
      </c>
      <c r="Q327" s="79">
        <f t="shared" si="43"/>
        <v>195</v>
      </c>
      <c r="R327" s="79">
        <f t="shared" si="44"/>
        <v>100</v>
      </c>
      <c r="S327" s="76">
        <f t="shared" si="45"/>
        <v>695</v>
      </c>
      <c r="T327" s="76">
        <f>50</f>
        <v>50</v>
      </c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</row>
    <row r="328" spans="1:30" ht="15.75" x14ac:dyDescent="0.25">
      <c r="A328" s="32">
        <v>50921</v>
      </c>
      <c r="B328" s="89">
        <v>31</v>
      </c>
      <c r="C328" s="76">
        <f>194.205</f>
        <v>194.20500000000001</v>
      </c>
      <c r="D328" s="76">
        <f>267.466</f>
        <v>267.46600000000001</v>
      </c>
      <c r="E328" s="85">
        <f>133.845</f>
        <v>133.845</v>
      </c>
      <c r="F328" s="76">
        <f>278.484-40-25-60-100</f>
        <v>53.48399999999998</v>
      </c>
      <c r="G328" s="79">
        <v>40</v>
      </c>
      <c r="H328" s="76">
        <f t="shared" si="51"/>
        <v>185</v>
      </c>
      <c r="I328" s="76">
        <f t="shared" si="49"/>
        <v>0</v>
      </c>
      <c r="J328" s="79">
        <v>100</v>
      </c>
      <c r="K328" s="79">
        <v>300</v>
      </c>
      <c r="L328" s="76">
        <f t="shared" si="42"/>
        <v>1274</v>
      </c>
      <c r="M328" s="87">
        <v>600</v>
      </c>
      <c r="N328" s="76">
        <f>75</f>
        <v>75</v>
      </c>
      <c r="O328" s="79">
        <v>240</v>
      </c>
      <c r="P328" s="79">
        <v>160</v>
      </c>
      <c r="Q328" s="79">
        <f t="shared" si="43"/>
        <v>195</v>
      </c>
      <c r="R328" s="79">
        <f t="shared" si="44"/>
        <v>100</v>
      </c>
      <c r="S328" s="76">
        <f t="shared" si="45"/>
        <v>695</v>
      </c>
      <c r="T328" s="76">
        <f>50</f>
        <v>50</v>
      </c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</row>
    <row r="329" spans="1:30" ht="15.75" x14ac:dyDescent="0.25">
      <c r="A329" s="32">
        <v>50951</v>
      </c>
      <c r="B329" s="89">
        <v>30</v>
      </c>
      <c r="C329" s="76">
        <f>194.205</f>
        <v>194.20500000000001</v>
      </c>
      <c r="D329" s="76">
        <f>267.466</f>
        <v>267.46600000000001</v>
      </c>
      <c r="E329" s="85">
        <f>133.845</f>
        <v>133.845</v>
      </c>
      <c r="F329" s="76">
        <f>278.484-40-25-60-100</f>
        <v>53.48399999999998</v>
      </c>
      <c r="G329" s="79">
        <v>40</v>
      </c>
      <c r="H329" s="76">
        <f t="shared" si="51"/>
        <v>185</v>
      </c>
      <c r="I329" s="76">
        <f t="shared" si="49"/>
        <v>0</v>
      </c>
      <c r="J329" s="79">
        <v>100</v>
      </c>
      <c r="K329" s="79">
        <v>300</v>
      </c>
      <c r="L329" s="76">
        <f t="shared" si="42"/>
        <v>1274</v>
      </c>
      <c r="M329" s="87">
        <v>600</v>
      </c>
      <c r="N329" s="76">
        <f>30</f>
        <v>30</v>
      </c>
      <c r="O329" s="79">
        <v>240</v>
      </c>
      <c r="P329" s="79">
        <v>160</v>
      </c>
      <c r="Q329" s="79">
        <f t="shared" si="43"/>
        <v>195</v>
      </c>
      <c r="R329" s="79">
        <f t="shared" si="44"/>
        <v>100</v>
      </c>
      <c r="S329" s="76">
        <f t="shared" si="45"/>
        <v>695</v>
      </c>
      <c r="T329" s="76">
        <f>50</f>
        <v>50</v>
      </c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</row>
    <row r="330" spans="1:30" ht="15.75" x14ac:dyDescent="0.25">
      <c r="A330" s="32">
        <v>50982</v>
      </c>
      <c r="B330" s="89">
        <v>31</v>
      </c>
      <c r="C330" s="76">
        <f>194.205</f>
        <v>194.20500000000001</v>
      </c>
      <c r="D330" s="76">
        <f>267.466</f>
        <v>267.46600000000001</v>
      </c>
      <c r="E330" s="85">
        <f>133.845</f>
        <v>133.845</v>
      </c>
      <c r="F330" s="76">
        <f>278.484-40-25-60-100</f>
        <v>53.48399999999998</v>
      </c>
      <c r="G330" s="79">
        <v>40</v>
      </c>
      <c r="H330" s="76">
        <f t="shared" si="51"/>
        <v>185</v>
      </c>
      <c r="I330" s="76">
        <f t="shared" si="49"/>
        <v>0</v>
      </c>
      <c r="J330" s="79">
        <v>100</v>
      </c>
      <c r="K330" s="79">
        <v>300</v>
      </c>
      <c r="L330" s="76">
        <f t="shared" si="42"/>
        <v>1274</v>
      </c>
      <c r="M330" s="87">
        <v>600</v>
      </c>
      <c r="N330" s="76">
        <f>30</f>
        <v>30</v>
      </c>
      <c r="O330" s="79">
        <v>240</v>
      </c>
      <c r="P330" s="79">
        <v>160</v>
      </c>
      <c r="Q330" s="79">
        <f t="shared" si="43"/>
        <v>195</v>
      </c>
      <c r="R330" s="79">
        <f t="shared" si="44"/>
        <v>100</v>
      </c>
      <c r="S330" s="76">
        <f t="shared" si="45"/>
        <v>695</v>
      </c>
      <c r="T330" s="76">
        <f>0</f>
        <v>0</v>
      </c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</row>
    <row r="331" spans="1:30" ht="15.75" x14ac:dyDescent="0.25">
      <c r="A331" s="32">
        <v>51013</v>
      </c>
      <c r="B331" s="89">
        <v>31</v>
      </c>
      <c r="C331" s="76">
        <f>194.205</f>
        <v>194.20500000000001</v>
      </c>
      <c r="D331" s="76">
        <f>267.466</f>
        <v>267.46600000000001</v>
      </c>
      <c r="E331" s="85">
        <f>133.845</f>
        <v>133.845</v>
      </c>
      <c r="F331" s="76">
        <f>278.484-40-25-60-100</f>
        <v>53.48399999999998</v>
      </c>
      <c r="G331" s="79">
        <v>40</v>
      </c>
      <c r="H331" s="76">
        <f t="shared" si="51"/>
        <v>185</v>
      </c>
      <c r="I331" s="76">
        <f t="shared" si="49"/>
        <v>0</v>
      </c>
      <c r="J331" s="79">
        <v>100</v>
      </c>
      <c r="K331" s="79">
        <v>300</v>
      </c>
      <c r="L331" s="76">
        <f t="shared" si="42"/>
        <v>1274</v>
      </c>
      <c r="M331" s="87">
        <v>600</v>
      </c>
      <c r="N331" s="76">
        <f>30</f>
        <v>30</v>
      </c>
      <c r="O331" s="79">
        <v>240</v>
      </c>
      <c r="P331" s="79">
        <v>160</v>
      </c>
      <c r="Q331" s="79">
        <f t="shared" si="43"/>
        <v>195</v>
      </c>
      <c r="R331" s="79">
        <f t="shared" si="44"/>
        <v>100</v>
      </c>
      <c r="S331" s="76">
        <f t="shared" si="45"/>
        <v>695</v>
      </c>
      <c r="T331" s="76">
        <f>0</f>
        <v>0</v>
      </c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</row>
    <row r="332" spans="1:30" ht="15.75" x14ac:dyDescent="0.25">
      <c r="A332" s="32">
        <v>51043</v>
      </c>
      <c r="B332" s="89">
        <v>30</v>
      </c>
      <c r="C332" s="76">
        <f>194.205</f>
        <v>194.20500000000001</v>
      </c>
      <c r="D332" s="76">
        <f>267.466</f>
        <v>267.46600000000001</v>
      </c>
      <c r="E332" s="85">
        <f>133.845</f>
        <v>133.845</v>
      </c>
      <c r="F332" s="76">
        <f>278.484-40-25-60-100</f>
        <v>53.48399999999998</v>
      </c>
      <c r="G332" s="79">
        <v>40</v>
      </c>
      <c r="H332" s="76">
        <f t="shared" si="51"/>
        <v>185</v>
      </c>
      <c r="I332" s="76">
        <f t="shared" si="49"/>
        <v>0</v>
      </c>
      <c r="J332" s="79">
        <v>100</v>
      </c>
      <c r="K332" s="79">
        <v>300</v>
      </c>
      <c r="L332" s="76">
        <f t="shared" si="42"/>
        <v>1274</v>
      </c>
      <c r="M332" s="87">
        <v>600</v>
      </c>
      <c r="N332" s="76">
        <f>30</f>
        <v>30</v>
      </c>
      <c r="O332" s="79">
        <v>240</v>
      </c>
      <c r="P332" s="79">
        <v>160</v>
      </c>
      <c r="Q332" s="79">
        <f t="shared" si="43"/>
        <v>195</v>
      </c>
      <c r="R332" s="79">
        <f t="shared" si="44"/>
        <v>100</v>
      </c>
      <c r="S332" s="76">
        <f t="shared" si="45"/>
        <v>695</v>
      </c>
      <c r="T332" s="76">
        <f>0</f>
        <v>0</v>
      </c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</row>
    <row r="333" spans="1:30" ht="15.75" x14ac:dyDescent="0.25">
      <c r="A333" s="32">
        <v>51074</v>
      </c>
      <c r="B333" s="89">
        <v>31</v>
      </c>
      <c r="C333" s="76">
        <f>131.881</f>
        <v>131.881</v>
      </c>
      <c r="D333" s="76">
        <f>277.167</f>
        <v>277.16699999999997</v>
      </c>
      <c r="E333" s="85">
        <f>79.08</f>
        <v>79.08</v>
      </c>
      <c r="F333" s="76">
        <f>350.872-40-25-60-100</f>
        <v>125.87200000000001</v>
      </c>
      <c r="G333" s="79">
        <v>40</v>
      </c>
      <c r="H333" s="76">
        <f t="shared" si="51"/>
        <v>185</v>
      </c>
      <c r="I333" s="76">
        <f t="shared" si="49"/>
        <v>0</v>
      </c>
      <c r="J333" s="79">
        <v>100</v>
      </c>
      <c r="K333" s="79">
        <v>300</v>
      </c>
      <c r="L333" s="76">
        <f t="shared" si="42"/>
        <v>1239</v>
      </c>
      <c r="M333" s="87">
        <v>600</v>
      </c>
      <c r="N333" s="76">
        <f>75</f>
        <v>75</v>
      </c>
      <c r="O333" s="79">
        <v>240</v>
      </c>
      <c r="P333" s="79">
        <v>160</v>
      </c>
      <c r="Q333" s="79">
        <f t="shared" si="43"/>
        <v>195</v>
      </c>
      <c r="R333" s="79">
        <f t="shared" si="44"/>
        <v>100</v>
      </c>
      <c r="S333" s="76">
        <f t="shared" si="45"/>
        <v>695</v>
      </c>
      <c r="T333" s="76">
        <f>0</f>
        <v>0</v>
      </c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</row>
    <row r="334" spans="1:30" ht="15.75" x14ac:dyDescent="0.25">
      <c r="A334" s="32">
        <v>51104</v>
      </c>
      <c r="B334" s="89">
        <v>30</v>
      </c>
      <c r="C334" s="76">
        <f>122.58</f>
        <v>122.58</v>
      </c>
      <c r="D334" s="76">
        <f>297.941</f>
        <v>297.94099999999997</v>
      </c>
      <c r="E334" s="85">
        <f>89.177</f>
        <v>89.177000000000007</v>
      </c>
      <c r="F334" s="76">
        <f>240.302-40-60-100</f>
        <v>40.301999999999992</v>
      </c>
      <c r="G334" s="79">
        <v>40</v>
      </c>
      <c r="H334" s="76">
        <f>60+100</f>
        <v>160</v>
      </c>
      <c r="I334" s="76">
        <f t="shared" si="49"/>
        <v>0</v>
      </c>
      <c r="J334" s="79">
        <v>100</v>
      </c>
      <c r="K334" s="79">
        <v>300</v>
      </c>
      <c r="L334" s="76">
        <f t="shared" si="42"/>
        <v>1150</v>
      </c>
      <c r="M334" s="87">
        <v>600</v>
      </c>
      <c r="N334" s="76">
        <f>100</f>
        <v>100</v>
      </c>
      <c r="O334" s="79">
        <v>240</v>
      </c>
      <c r="P334" s="79">
        <v>40</v>
      </c>
      <c r="Q334" s="79">
        <f t="shared" si="43"/>
        <v>315</v>
      </c>
      <c r="R334" s="79">
        <f t="shared" si="44"/>
        <v>100</v>
      </c>
      <c r="S334" s="76">
        <f t="shared" si="45"/>
        <v>695</v>
      </c>
      <c r="T334" s="76">
        <f>50</f>
        <v>50</v>
      </c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</row>
    <row r="335" spans="1:30" ht="15.75" x14ac:dyDescent="0.25">
      <c r="A335" s="32">
        <v>51135</v>
      </c>
      <c r="B335" s="89">
        <v>31</v>
      </c>
      <c r="C335" s="76">
        <f>122.58</f>
        <v>122.58</v>
      </c>
      <c r="D335" s="76">
        <f>297.941</f>
        <v>297.94099999999997</v>
      </c>
      <c r="E335" s="85">
        <f>89.177</f>
        <v>89.177000000000007</v>
      </c>
      <c r="F335" s="76">
        <f>240.302-40-60-100</f>
        <v>40.301999999999992</v>
      </c>
      <c r="G335" s="79">
        <v>40</v>
      </c>
      <c r="H335" s="76">
        <f>60+100</f>
        <v>160</v>
      </c>
      <c r="I335" s="76">
        <f t="shared" si="49"/>
        <v>0</v>
      </c>
      <c r="J335" s="79">
        <v>100</v>
      </c>
      <c r="K335" s="79">
        <v>300</v>
      </c>
      <c r="L335" s="76">
        <f t="shared" si="42"/>
        <v>1150</v>
      </c>
      <c r="M335" s="87">
        <v>600</v>
      </c>
      <c r="N335" s="76">
        <f>100</f>
        <v>100</v>
      </c>
      <c r="O335" s="79">
        <v>240</v>
      </c>
      <c r="P335" s="79">
        <v>40</v>
      </c>
      <c r="Q335" s="79">
        <f t="shared" si="43"/>
        <v>315</v>
      </c>
      <c r="R335" s="79">
        <f t="shared" si="44"/>
        <v>100</v>
      </c>
      <c r="S335" s="76">
        <f t="shared" si="45"/>
        <v>695</v>
      </c>
      <c r="T335" s="76">
        <f>50</f>
        <v>50</v>
      </c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</row>
    <row r="336" spans="1:30" ht="15.75" x14ac:dyDescent="0.25">
      <c r="A336" s="32">
        <v>51166</v>
      </c>
      <c r="B336" s="89">
        <v>31</v>
      </c>
      <c r="C336" s="76">
        <f>122.58</f>
        <v>122.58</v>
      </c>
      <c r="D336" s="76">
        <f>297.941</f>
        <v>297.94099999999997</v>
      </c>
      <c r="E336" s="85">
        <f>89.177</f>
        <v>89.177000000000007</v>
      </c>
      <c r="F336" s="76">
        <f>240.302-40-60-100</f>
        <v>40.301999999999992</v>
      </c>
      <c r="G336" s="79">
        <v>40</v>
      </c>
      <c r="H336" s="76">
        <f>60+100</f>
        <v>160</v>
      </c>
      <c r="I336" s="76">
        <f t="shared" si="49"/>
        <v>0</v>
      </c>
      <c r="J336" s="79">
        <v>100</v>
      </c>
      <c r="K336" s="79">
        <v>300</v>
      </c>
      <c r="L336" s="76">
        <f t="shared" si="42"/>
        <v>1150</v>
      </c>
      <c r="M336" s="87">
        <v>600</v>
      </c>
      <c r="N336" s="76">
        <f>100</f>
        <v>100</v>
      </c>
      <c r="O336" s="79">
        <v>240</v>
      </c>
      <c r="P336" s="79">
        <v>40</v>
      </c>
      <c r="Q336" s="79">
        <f t="shared" si="43"/>
        <v>315</v>
      </c>
      <c r="R336" s="79">
        <f t="shared" si="44"/>
        <v>100</v>
      </c>
      <c r="S336" s="76">
        <f t="shared" si="45"/>
        <v>695</v>
      </c>
      <c r="T336" s="76">
        <f>50</f>
        <v>50</v>
      </c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</row>
    <row r="337" spans="1:30" ht="15.75" x14ac:dyDescent="0.25">
      <c r="A337" s="32">
        <v>51194</v>
      </c>
      <c r="B337" s="89">
        <v>29</v>
      </c>
      <c r="C337" s="76">
        <f>122.58</f>
        <v>122.58</v>
      </c>
      <c r="D337" s="76">
        <f>297.941</f>
        <v>297.94099999999997</v>
      </c>
      <c r="E337" s="85">
        <f>89.177</f>
        <v>89.177000000000007</v>
      </c>
      <c r="F337" s="76">
        <f>240.302-40-60-100</f>
        <v>40.301999999999992</v>
      </c>
      <c r="G337" s="79">
        <v>40</v>
      </c>
      <c r="H337" s="76">
        <f>60+100</f>
        <v>160</v>
      </c>
      <c r="I337" s="76">
        <f t="shared" si="49"/>
        <v>0</v>
      </c>
      <c r="J337" s="79">
        <v>100</v>
      </c>
      <c r="K337" s="79">
        <v>300</v>
      </c>
      <c r="L337" s="76">
        <f t="shared" si="42"/>
        <v>1150</v>
      </c>
      <c r="M337" s="87">
        <v>600</v>
      </c>
      <c r="N337" s="76">
        <f>100</f>
        <v>100</v>
      </c>
      <c r="O337" s="79">
        <v>240</v>
      </c>
      <c r="P337" s="79">
        <v>40</v>
      </c>
      <c r="Q337" s="79">
        <f t="shared" si="43"/>
        <v>315</v>
      </c>
      <c r="R337" s="79">
        <f t="shared" si="44"/>
        <v>100</v>
      </c>
      <c r="S337" s="76">
        <f t="shared" si="45"/>
        <v>695</v>
      </c>
      <c r="T337" s="76">
        <f>50</f>
        <v>50</v>
      </c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</row>
    <row r="338" spans="1:30" ht="15.75" x14ac:dyDescent="0.25">
      <c r="A338" s="32">
        <v>51226</v>
      </c>
      <c r="B338" s="89">
        <v>31</v>
      </c>
      <c r="C338" s="76">
        <f>122.58</f>
        <v>122.58</v>
      </c>
      <c r="D338" s="76">
        <f>297.941</f>
        <v>297.94099999999997</v>
      </c>
      <c r="E338" s="85">
        <f>89.177</f>
        <v>89.177000000000007</v>
      </c>
      <c r="F338" s="76">
        <f>240.302-40-60-100</f>
        <v>40.301999999999992</v>
      </c>
      <c r="G338" s="79">
        <v>40</v>
      </c>
      <c r="H338" s="76">
        <f>60+100</f>
        <v>160</v>
      </c>
      <c r="I338" s="76">
        <f t="shared" si="49"/>
        <v>0</v>
      </c>
      <c r="J338" s="79">
        <v>100</v>
      </c>
      <c r="K338" s="79">
        <v>300</v>
      </c>
      <c r="L338" s="76">
        <f t="shared" ref="L338:L401" si="52">SUM(C338:K338)</f>
        <v>1150</v>
      </c>
      <c r="M338" s="87">
        <v>600</v>
      </c>
      <c r="N338" s="76">
        <f>100</f>
        <v>100</v>
      </c>
      <c r="O338" s="79">
        <v>240</v>
      </c>
      <c r="P338" s="79">
        <v>40</v>
      </c>
      <c r="Q338" s="79">
        <f t="shared" ref="Q338:Q401" si="53">695-R338-O338-P338</f>
        <v>315</v>
      </c>
      <c r="R338" s="79">
        <f t="shared" ref="R338:R401" si="54">200-J338</f>
        <v>100</v>
      </c>
      <c r="S338" s="76">
        <f t="shared" ref="S338:S401" si="55">SUM(O338:R338)</f>
        <v>695</v>
      </c>
      <c r="T338" s="76">
        <f>50</f>
        <v>50</v>
      </c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</row>
    <row r="339" spans="1:30" ht="15.75" x14ac:dyDescent="0.25">
      <c r="A339" s="32">
        <v>51256</v>
      </c>
      <c r="B339" s="89">
        <v>30</v>
      </c>
      <c r="C339" s="76">
        <f>141.293</f>
        <v>141.29300000000001</v>
      </c>
      <c r="D339" s="76">
        <f>267.993</f>
        <v>267.99299999999999</v>
      </c>
      <c r="E339" s="85">
        <f>115.016</f>
        <v>115.01600000000001</v>
      </c>
      <c r="F339" s="76">
        <f>314.698-40-25-60-100</f>
        <v>89.697999999999979</v>
      </c>
      <c r="G339" s="79">
        <v>40</v>
      </c>
      <c r="H339" s="76">
        <f t="shared" ref="H339:H345" si="56">25+60+100</f>
        <v>185</v>
      </c>
      <c r="I339" s="76">
        <f t="shared" si="49"/>
        <v>0</v>
      </c>
      <c r="J339" s="79">
        <v>100</v>
      </c>
      <c r="K339" s="79">
        <v>300</v>
      </c>
      <c r="L339" s="76">
        <f t="shared" si="52"/>
        <v>1239</v>
      </c>
      <c r="M339" s="87">
        <v>600</v>
      </c>
      <c r="N339" s="76">
        <f>100</f>
        <v>100</v>
      </c>
      <c r="O339" s="79">
        <v>240</v>
      </c>
      <c r="P339" s="79">
        <v>160</v>
      </c>
      <c r="Q339" s="79">
        <f t="shared" si="53"/>
        <v>195</v>
      </c>
      <c r="R339" s="79">
        <f t="shared" si="54"/>
        <v>100</v>
      </c>
      <c r="S339" s="76">
        <f t="shared" si="55"/>
        <v>695</v>
      </c>
      <c r="T339" s="76">
        <f>50</f>
        <v>50</v>
      </c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</row>
    <row r="340" spans="1:30" ht="15.75" x14ac:dyDescent="0.25">
      <c r="A340" s="32">
        <v>51287</v>
      </c>
      <c r="B340" s="89">
        <v>31</v>
      </c>
      <c r="C340" s="76">
        <f>194.205</f>
        <v>194.20500000000001</v>
      </c>
      <c r="D340" s="76">
        <f>267.466</f>
        <v>267.46600000000001</v>
      </c>
      <c r="E340" s="85">
        <f>133.845</f>
        <v>133.845</v>
      </c>
      <c r="F340" s="76">
        <f>278.484-40-25-60-100</f>
        <v>53.48399999999998</v>
      </c>
      <c r="G340" s="79">
        <v>40</v>
      </c>
      <c r="H340" s="76">
        <f t="shared" si="56"/>
        <v>185</v>
      </c>
      <c r="I340" s="76">
        <f t="shared" si="49"/>
        <v>0</v>
      </c>
      <c r="J340" s="79">
        <v>100</v>
      </c>
      <c r="K340" s="79">
        <v>300</v>
      </c>
      <c r="L340" s="76">
        <f t="shared" si="52"/>
        <v>1274</v>
      </c>
      <c r="M340" s="87">
        <v>600</v>
      </c>
      <c r="N340" s="76">
        <f>75</f>
        <v>75</v>
      </c>
      <c r="O340" s="79">
        <v>240</v>
      </c>
      <c r="P340" s="79">
        <v>160</v>
      </c>
      <c r="Q340" s="79">
        <f t="shared" si="53"/>
        <v>195</v>
      </c>
      <c r="R340" s="79">
        <f t="shared" si="54"/>
        <v>100</v>
      </c>
      <c r="S340" s="76">
        <f t="shared" si="55"/>
        <v>695</v>
      </c>
      <c r="T340" s="76">
        <f>50</f>
        <v>50</v>
      </c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</row>
    <row r="341" spans="1:30" ht="15.75" x14ac:dyDescent="0.25">
      <c r="A341" s="32">
        <v>51317</v>
      </c>
      <c r="B341" s="89">
        <v>30</v>
      </c>
      <c r="C341" s="76">
        <f>194.205</f>
        <v>194.20500000000001</v>
      </c>
      <c r="D341" s="76">
        <f>267.466</f>
        <v>267.46600000000001</v>
      </c>
      <c r="E341" s="85">
        <f>133.845</f>
        <v>133.845</v>
      </c>
      <c r="F341" s="76">
        <f>278.484-40-25-60-100</f>
        <v>53.48399999999998</v>
      </c>
      <c r="G341" s="79">
        <v>40</v>
      </c>
      <c r="H341" s="76">
        <f t="shared" si="56"/>
        <v>185</v>
      </c>
      <c r="I341" s="76">
        <f t="shared" si="49"/>
        <v>0</v>
      </c>
      <c r="J341" s="79">
        <v>100</v>
      </c>
      <c r="K341" s="79">
        <v>300</v>
      </c>
      <c r="L341" s="76">
        <f t="shared" si="52"/>
        <v>1274</v>
      </c>
      <c r="M341" s="87">
        <v>600</v>
      </c>
      <c r="N341" s="76">
        <f>30</f>
        <v>30</v>
      </c>
      <c r="O341" s="79">
        <v>240</v>
      </c>
      <c r="P341" s="79">
        <v>160</v>
      </c>
      <c r="Q341" s="79">
        <f t="shared" si="53"/>
        <v>195</v>
      </c>
      <c r="R341" s="79">
        <f t="shared" si="54"/>
        <v>100</v>
      </c>
      <c r="S341" s="76">
        <f t="shared" si="55"/>
        <v>695</v>
      </c>
      <c r="T341" s="76">
        <f>50</f>
        <v>50</v>
      </c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</row>
    <row r="342" spans="1:30" ht="15.75" x14ac:dyDescent="0.25">
      <c r="A342" s="32">
        <v>51348</v>
      </c>
      <c r="B342" s="89">
        <v>31</v>
      </c>
      <c r="C342" s="76">
        <f>194.205</f>
        <v>194.20500000000001</v>
      </c>
      <c r="D342" s="76">
        <f>267.466</f>
        <v>267.46600000000001</v>
      </c>
      <c r="E342" s="85">
        <f>133.845</f>
        <v>133.845</v>
      </c>
      <c r="F342" s="76">
        <f>278.484-40-25-60-100</f>
        <v>53.48399999999998</v>
      </c>
      <c r="G342" s="79">
        <v>40</v>
      </c>
      <c r="H342" s="76">
        <f t="shared" si="56"/>
        <v>185</v>
      </c>
      <c r="I342" s="76">
        <f t="shared" si="49"/>
        <v>0</v>
      </c>
      <c r="J342" s="79">
        <v>100</v>
      </c>
      <c r="K342" s="79">
        <v>300</v>
      </c>
      <c r="L342" s="76">
        <f t="shared" si="52"/>
        <v>1274</v>
      </c>
      <c r="M342" s="87">
        <v>600</v>
      </c>
      <c r="N342" s="76">
        <f>30</f>
        <v>30</v>
      </c>
      <c r="O342" s="79">
        <v>240</v>
      </c>
      <c r="P342" s="79">
        <v>160</v>
      </c>
      <c r="Q342" s="79">
        <f t="shared" si="53"/>
        <v>195</v>
      </c>
      <c r="R342" s="79">
        <f t="shared" si="54"/>
        <v>100</v>
      </c>
      <c r="S342" s="76">
        <f t="shared" si="55"/>
        <v>695</v>
      </c>
      <c r="T342" s="76">
        <f>0</f>
        <v>0</v>
      </c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</row>
    <row r="343" spans="1:30" ht="15.75" x14ac:dyDescent="0.25">
      <c r="A343" s="32">
        <v>51379</v>
      </c>
      <c r="B343" s="89">
        <v>31</v>
      </c>
      <c r="C343" s="76">
        <f>194.205</f>
        <v>194.20500000000001</v>
      </c>
      <c r="D343" s="76">
        <f>267.466</f>
        <v>267.46600000000001</v>
      </c>
      <c r="E343" s="85">
        <f>133.845</f>
        <v>133.845</v>
      </c>
      <c r="F343" s="76">
        <f>278.484-40-25-60-100</f>
        <v>53.48399999999998</v>
      </c>
      <c r="G343" s="79">
        <v>40</v>
      </c>
      <c r="H343" s="76">
        <f t="shared" si="56"/>
        <v>185</v>
      </c>
      <c r="I343" s="76">
        <f t="shared" si="49"/>
        <v>0</v>
      </c>
      <c r="J343" s="79">
        <v>100</v>
      </c>
      <c r="K343" s="79">
        <v>300</v>
      </c>
      <c r="L343" s="76">
        <f t="shared" si="52"/>
        <v>1274</v>
      </c>
      <c r="M343" s="87">
        <v>600</v>
      </c>
      <c r="N343" s="76">
        <f>30</f>
        <v>30</v>
      </c>
      <c r="O343" s="79">
        <v>240</v>
      </c>
      <c r="P343" s="79">
        <v>160</v>
      </c>
      <c r="Q343" s="79">
        <f t="shared" si="53"/>
        <v>195</v>
      </c>
      <c r="R343" s="79">
        <f t="shared" si="54"/>
        <v>100</v>
      </c>
      <c r="S343" s="76">
        <f t="shared" si="55"/>
        <v>695</v>
      </c>
      <c r="T343" s="76">
        <f>0</f>
        <v>0</v>
      </c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</row>
    <row r="344" spans="1:30" ht="15.75" x14ac:dyDescent="0.25">
      <c r="A344" s="32">
        <v>51409</v>
      </c>
      <c r="B344" s="89">
        <v>30</v>
      </c>
      <c r="C344" s="76">
        <f>194.205</f>
        <v>194.20500000000001</v>
      </c>
      <c r="D344" s="76">
        <f>267.466</f>
        <v>267.46600000000001</v>
      </c>
      <c r="E344" s="85">
        <f>133.845</f>
        <v>133.845</v>
      </c>
      <c r="F344" s="76">
        <f>278.484-40-25-60-100</f>
        <v>53.48399999999998</v>
      </c>
      <c r="G344" s="79">
        <v>40</v>
      </c>
      <c r="H344" s="76">
        <f t="shared" si="56"/>
        <v>185</v>
      </c>
      <c r="I344" s="76">
        <f t="shared" si="49"/>
        <v>0</v>
      </c>
      <c r="J344" s="79">
        <v>100</v>
      </c>
      <c r="K344" s="79">
        <v>300</v>
      </c>
      <c r="L344" s="76">
        <f t="shared" si="52"/>
        <v>1274</v>
      </c>
      <c r="M344" s="87">
        <v>600</v>
      </c>
      <c r="N344" s="76">
        <f>30</f>
        <v>30</v>
      </c>
      <c r="O344" s="79">
        <v>240</v>
      </c>
      <c r="P344" s="79">
        <v>160</v>
      </c>
      <c r="Q344" s="79">
        <f t="shared" si="53"/>
        <v>195</v>
      </c>
      <c r="R344" s="79">
        <f t="shared" si="54"/>
        <v>100</v>
      </c>
      <c r="S344" s="76">
        <f t="shared" si="55"/>
        <v>695</v>
      </c>
      <c r="T344" s="76">
        <f>0</f>
        <v>0</v>
      </c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</row>
    <row r="345" spans="1:30" ht="15.75" x14ac:dyDescent="0.25">
      <c r="A345" s="32">
        <v>51440</v>
      </c>
      <c r="B345" s="89">
        <v>31</v>
      </c>
      <c r="C345" s="76">
        <f>131.881</f>
        <v>131.881</v>
      </c>
      <c r="D345" s="76">
        <f>277.167</f>
        <v>277.16699999999997</v>
      </c>
      <c r="E345" s="85">
        <f>79.08</f>
        <v>79.08</v>
      </c>
      <c r="F345" s="76">
        <f>350.872-40-25-60-100</f>
        <v>125.87200000000001</v>
      </c>
      <c r="G345" s="79">
        <v>40</v>
      </c>
      <c r="H345" s="76">
        <f t="shared" si="56"/>
        <v>185</v>
      </c>
      <c r="I345" s="76">
        <f t="shared" si="49"/>
        <v>0</v>
      </c>
      <c r="J345" s="79">
        <v>100</v>
      </c>
      <c r="K345" s="79">
        <v>300</v>
      </c>
      <c r="L345" s="76">
        <f t="shared" si="52"/>
        <v>1239</v>
      </c>
      <c r="M345" s="87">
        <v>600</v>
      </c>
      <c r="N345" s="76">
        <f>75</f>
        <v>75</v>
      </c>
      <c r="O345" s="79">
        <v>240</v>
      </c>
      <c r="P345" s="79">
        <v>160</v>
      </c>
      <c r="Q345" s="79">
        <f t="shared" si="53"/>
        <v>195</v>
      </c>
      <c r="R345" s="79">
        <f t="shared" si="54"/>
        <v>100</v>
      </c>
      <c r="S345" s="76">
        <f t="shared" si="55"/>
        <v>695</v>
      </c>
      <c r="T345" s="76">
        <f>0</f>
        <v>0</v>
      </c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</row>
    <row r="346" spans="1:30" ht="15.75" x14ac:dyDescent="0.25">
      <c r="A346" s="32">
        <v>51470</v>
      </c>
      <c r="B346" s="89">
        <v>30</v>
      </c>
      <c r="C346" s="76">
        <f>122.58</f>
        <v>122.58</v>
      </c>
      <c r="D346" s="76">
        <f>297.941</f>
        <v>297.94099999999997</v>
      </c>
      <c r="E346" s="85">
        <f>89.177</f>
        <v>89.177000000000007</v>
      </c>
      <c r="F346" s="76">
        <f>240.302-40-60-100</f>
        <v>40.301999999999992</v>
      </c>
      <c r="G346" s="79">
        <v>40</v>
      </c>
      <c r="H346" s="76">
        <f>60+100</f>
        <v>160</v>
      </c>
      <c r="I346" s="76">
        <f t="shared" si="49"/>
        <v>0</v>
      </c>
      <c r="J346" s="79">
        <v>100</v>
      </c>
      <c r="K346" s="79">
        <v>300</v>
      </c>
      <c r="L346" s="76">
        <f t="shared" si="52"/>
        <v>1150</v>
      </c>
      <c r="M346" s="87">
        <v>600</v>
      </c>
      <c r="N346" s="76">
        <f>100</f>
        <v>100</v>
      </c>
      <c r="O346" s="79">
        <v>240</v>
      </c>
      <c r="P346" s="79">
        <v>40</v>
      </c>
      <c r="Q346" s="79">
        <f t="shared" si="53"/>
        <v>315</v>
      </c>
      <c r="R346" s="79">
        <f t="shared" si="54"/>
        <v>100</v>
      </c>
      <c r="S346" s="76">
        <f t="shared" si="55"/>
        <v>695</v>
      </c>
      <c r="T346" s="76">
        <f>50</f>
        <v>50</v>
      </c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</row>
    <row r="347" spans="1:30" ht="15.75" x14ac:dyDescent="0.25">
      <c r="A347" s="32">
        <v>51501</v>
      </c>
      <c r="B347" s="89">
        <v>31</v>
      </c>
      <c r="C347" s="76">
        <f>122.58</f>
        <v>122.58</v>
      </c>
      <c r="D347" s="76">
        <f>297.941</f>
        <v>297.94099999999997</v>
      </c>
      <c r="E347" s="85">
        <f>89.177</f>
        <v>89.177000000000007</v>
      </c>
      <c r="F347" s="76">
        <f>240.302-40-60-100</f>
        <v>40.301999999999992</v>
      </c>
      <c r="G347" s="79">
        <v>40</v>
      </c>
      <c r="H347" s="76">
        <f>60+100</f>
        <v>160</v>
      </c>
      <c r="I347" s="76">
        <f t="shared" si="49"/>
        <v>0</v>
      </c>
      <c r="J347" s="79">
        <v>100</v>
      </c>
      <c r="K347" s="79">
        <v>300</v>
      </c>
      <c r="L347" s="76">
        <f t="shared" si="52"/>
        <v>1150</v>
      </c>
      <c r="M347" s="87">
        <v>600</v>
      </c>
      <c r="N347" s="76">
        <f>100</f>
        <v>100</v>
      </c>
      <c r="O347" s="79">
        <v>240</v>
      </c>
      <c r="P347" s="79">
        <v>40</v>
      </c>
      <c r="Q347" s="79">
        <f t="shared" si="53"/>
        <v>315</v>
      </c>
      <c r="R347" s="79">
        <f t="shared" si="54"/>
        <v>100</v>
      </c>
      <c r="S347" s="76">
        <f t="shared" si="55"/>
        <v>695</v>
      </c>
      <c r="T347" s="76">
        <f>50</f>
        <v>50</v>
      </c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</row>
    <row r="348" spans="1:30" ht="15.75" x14ac:dyDescent="0.25">
      <c r="A348" s="32">
        <v>51532</v>
      </c>
      <c r="B348" s="89">
        <v>31</v>
      </c>
      <c r="C348" s="76">
        <f>122.58</f>
        <v>122.58</v>
      </c>
      <c r="D348" s="76">
        <f>297.941</f>
        <v>297.94099999999997</v>
      </c>
      <c r="E348" s="85">
        <f>89.177</f>
        <v>89.177000000000007</v>
      </c>
      <c r="F348" s="76">
        <f>240.302-40-60-100</f>
        <v>40.301999999999992</v>
      </c>
      <c r="G348" s="79">
        <v>40</v>
      </c>
      <c r="H348" s="76">
        <f>60+100</f>
        <v>160</v>
      </c>
      <c r="I348" s="76">
        <f t="shared" si="49"/>
        <v>0</v>
      </c>
      <c r="J348" s="79">
        <v>100</v>
      </c>
      <c r="K348" s="79">
        <v>300</v>
      </c>
      <c r="L348" s="76">
        <f t="shared" si="52"/>
        <v>1150</v>
      </c>
      <c r="M348" s="87">
        <v>600</v>
      </c>
      <c r="N348" s="76">
        <f>100</f>
        <v>100</v>
      </c>
      <c r="O348" s="79">
        <v>240</v>
      </c>
      <c r="P348" s="79">
        <v>40</v>
      </c>
      <c r="Q348" s="79">
        <f t="shared" si="53"/>
        <v>315</v>
      </c>
      <c r="R348" s="79">
        <f t="shared" si="54"/>
        <v>100</v>
      </c>
      <c r="S348" s="76">
        <f t="shared" si="55"/>
        <v>695</v>
      </c>
      <c r="T348" s="76">
        <f>50</f>
        <v>50</v>
      </c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</row>
    <row r="349" spans="1:30" ht="15.75" x14ac:dyDescent="0.25">
      <c r="A349" s="32">
        <v>51560</v>
      </c>
      <c r="B349" s="89">
        <v>28</v>
      </c>
      <c r="C349" s="76">
        <f>122.58</f>
        <v>122.58</v>
      </c>
      <c r="D349" s="76">
        <f>297.941</f>
        <v>297.94099999999997</v>
      </c>
      <c r="E349" s="85">
        <f>89.177</f>
        <v>89.177000000000007</v>
      </c>
      <c r="F349" s="76">
        <f>240.302-40-60-100</f>
        <v>40.301999999999992</v>
      </c>
      <c r="G349" s="79">
        <v>40</v>
      </c>
      <c r="H349" s="76">
        <f>60+100</f>
        <v>160</v>
      </c>
      <c r="I349" s="76">
        <f t="shared" si="49"/>
        <v>0</v>
      </c>
      <c r="J349" s="79">
        <v>100</v>
      </c>
      <c r="K349" s="79">
        <v>300</v>
      </c>
      <c r="L349" s="76">
        <f t="shared" si="52"/>
        <v>1150</v>
      </c>
      <c r="M349" s="87">
        <v>600</v>
      </c>
      <c r="N349" s="76">
        <f>100</f>
        <v>100</v>
      </c>
      <c r="O349" s="79">
        <v>240</v>
      </c>
      <c r="P349" s="79">
        <v>40</v>
      </c>
      <c r="Q349" s="79">
        <f t="shared" si="53"/>
        <v>315</v>
      </c>
      <c r="R349" s="79">
        <f t="shared" si="54"/>
        <v>100</v>
      </c>
      <c r="S349" s="76">
        <f t="shared" si="55"/>
        <v>695</v>
      </c>
      <c r="T349" s="76">
        <f>50</f>
        <v>50</v>
      </c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</row>
    <row r="350" spans="1:30" ht="15.75" x14ac:dyDescent="0.25">
      <c r="A350" s="32">
        <v>51591</v>
      </c>
      <c r="B350" s="89">
        <v>31</v>
      </c>
      <c r="C350" s="76">
        <f>122.58</f>
        <v>122.58</v>
      </c>
      <c r="D350" s="76">
        <f>297.941</f>
        <v>297.94099999999997</v>
      </c>
      <c r="E350" s="85">
        <f>89.177</f>
        <v>89.177000000000007</v>
      </c>
      <c r="F350" s="76">
        <f>240.302-40-60-100</f>
        <v>40.301999999999992</v>
      </c>
      <c r="G350" s="79">
        <v>40</v>
      </c>
      <c r="H350" s="76">
        <f>60+100</f>
        <v>160</v>
      </c>
      <c r="I350" s="76">
        <f t="shared" si="49"/>
        <v>0</v>
      </c>
      <c r="J350" s="79">
        <v>100</v>
      </c>
      <c r="K350" s="79">
        <v>300</v>
      </c>
      <c r="L350" s="76">
        <f t="shared" si="52"/>
        <v>1150</v>
      </c>
      <c r="M350" s="87">
        <v>600</v>
      </c>
      <c r="N350" s="76">
        <f>100</f>
        <v>100</v>
      </c>
      <c r="O350" s="79">
        <v>240</v>
      </c>
      <c r="P350" s="79">
        <v>40</v>
      </c>
      <c r="Q350" s="79">
        <f t="shared" si="53"/>
        <v>315</v>
      </c>
      <c r="R350" s="79">
        <f t="shared" si="54"/>
        <v>100</v>
      </c>
      <c r="S350" s="76">
        <f t="shared" si="55"/>
        <v>695</v>
      </c>
      <c r="T350" s="76">
        <f>50</f>
        <v>50</v>
      </c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</row>
    <row r="351" spans="1:30" ht="15.75" x14ac:dyDescent="0.25">
      <c r="A351" s="32">
        <v>51621</v>
      </c>
      <c r="B351" s="89">
        <v>30</v>
      </c>
      <c r="C351" s="76">
        <f>141.293</f>
        <v>141.29300000000001</v>
      </c>
      <c r="D351" s="76">
        <f>267.993</f>
        <v>267.99299999999999</v>
      </c>
      <c r="E351" s="85">
        <f>115.016</f>
        <v>115.01600000000001</v>
      </c>
      <c r="F351" s="76">
        <f>314.698-40-25-60-100</f>
        <v>89.697999999999979</v>
      </c>
      <c r="G351" s="79">
        <v>40</v>
      </c>
      <c r="H351" s="76">
        <f t="shared" ref="H351:H357" si="57">25+60+100</f>
        <v>185</v>
      </c>
      <c r="I351" s="76">
        <f t="shared" si="49"/>
        <v>0</v>
      </c>
      <c r="J351" s="79">
        <v>100</v>
      </c>
      <c r="K351" s="79">
        <v>300</v>
      </c>
      <c r="L351" s="76">
        <f t="shared" si="52"/>
        <v>1239</v>
      </c>
      <c r="M351" s="87">
        <v>600</v>
      </c>
      <c r="N351" s="76">
        <f>100</f>
        <v>100</v>
      </c>
      <c r="O351" s="79">
        <v>240</v>
      </c>
      <c r="P351" s="79">
        <v>160</v>
      </c>
      <c r="Q351" s="79">
        <f t="shared" si="53"/>
        <v>195</v>
      </c>
      <c r="R351" s="79">
        <f t="shared" si="54"/>
        <v>100</v>
      </c>
      <c r="S351" s="76">
        <f t="shared" si="55"/>
        <v>695</v>
      </c>
      <c r="T351" s="76">
        <f>50</f>
        <v>50</v>
      </c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</row>
    <row r="352" spans="1:30" ht="15.75" x14ac:dyDescent="0.25">
      <c r="A352" s="32">
        <v>51652</v>
      </c>
      <c r="B352" s="89">
        <v>31</v>
      </c>
      <c r="C352" s="76">
        <f>194.205</f>
        <v>194.20500000000001</v>
      </c>
      <c r="D352" s="76">
        <f>267.466</f>
        <v>267.46600000000001</v>
      </c>
      <c r="E352" s="85">
        <f>133.845</f>
        <v>133.845</v>
      </c>
      <c r="F352" s="76">
        <f>278.484-40-25-60-100</f>
        <v>53.48399999999998</v>
      </c>
      <c r="G352" s="79">
        <v>40</v>
      </c>
      <c r="H352" s="76">
        <f t="shared" si="57"/>
        <v>185</v>
      </c>
      <c r="I352" s="76">
        <f t="shared" si="49"/>
        <v>0</v>
      </c>
      <c r="J352" s="79">
        <v>100</v>
      </c>
      <c r="K352" s="79">
        <v>300</v>
      </c>
      <c r="L352" s="76">
        <f t="shared" si="52"/>
        <v>1274</v>
      </c>
      <c r="M352" s="87">
        <v>600</v>
      </c>
      <c r="N352" s="76">
        <f>75</f>
        <v>75</v>
      </c>
      <c r="O352" s="79">
        <v>240</v>
      </c>
      <c r="P352" s="79">
        <v>160</v>
      </c>
      <c r="Q352" s="79">
        <f t="shared" si="53"/>
        <v>195</v>
      </c>
      <c r="R352" s="79">
        <f t="shared" si="54"/>
        <v>100</v>
      </c>
      <c r="S352" s="76">
        <f t="shared" si="55"/>
        <v>695</v>
      </c>
      <c r="T352" s="76">
        <f>50</f>
        <v>50</v>
      </c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</row>
    <row r="353" spans="1:30" ht="15.75" x14ac:dyDescent="0.25">
      <c r="A353" s="32">
        <v>51682</v>
      </c>
      <c r="B353" s="89">
        <v>30</v>
      </c>
      <c r="C353" s="76">
        <f>194.205</f>
        <v>194.20500000000001</v>
      </c>
      <c r="D353" s="76">
        <f>267.466</f>
        <v>267.46600000000001</v>
      </c>
      <c r="E353" s="85">
        <f>133.845</f>
        <v>133.845</v>
      </c>
      <c r="F353" s="76">
        <f>278.484-40-25-60-100</f>
        <v>53.48399999999998</v>
      </c>
      <c r="G353" s="79">
        <v>40</v>
      </c>
      <c r="H353" s="76">
        <f t="shared" si="57"/>
        <v>185</v>
      </c>
      <c r="I353" s="76">
        <f t="shared" si="49"/>
        <v>0</v>
      </c>
      <c r="J353" s="79">
        <v>100</v>
      </c>
      <c r="K353" s="79">
        <v>300</v>
      </c>
      <c r="L353" s="76">
        <f t="shared" si="52"/>
        <v>1274</v>
      </c>
      <c r="M353" s="87">
        <v>600</v>
      </c>
      <c r="N353" s="76">
        <f>30</f>
        <v>30</v>
      </c>
      <c r="O353" s="79">
        <v>240</v>
      </c>
      <c r="P353" s="79">
        <v>160</v>
      </c>
      <c r="Q353" s="79">
        <f t="shared" si="53"/>
        <v>195</v>
      </c>
      <c r="R353" s="79">
        <f t="shared" si="54"/>
        <v>100</v>
      </c>
      <c r="S353" s="76">
        <f t="shared" si="55"/>
        <v>695</v>
      </c>
      <c r="T353" s="76">
        <f>50</f>
        <v>50</v>
      </c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</row>
    <row r="354" spans="1:30" ht="15.75" x14ac:dyDescent="0.25">
      <c r="A354" s="32">
        <v>51713</v>
      </c>
      <c r="B354" s="89">
        <v>31</v>
      </c>
      <c r="C354" s="76">
        <f>194.205</f>
        <v>194.20500000000001</v>
      </c>
      <c r="D354" s="76">
        <f>267.466</f>
        <v>267.46600000000001</v>
      </c>
      <c r="E354" s="85">
        <f>133.845</f>
        <v>133.845</v>
      </c>
      <c r="F354" s="76">
        <f>278.484-40-25-60-100</f>
        <v>53.48399999999998</v>
      </c>
      <c r="G354" s="79">
        <v>40</v>
      </c>
      <c r="H354" s="76">
        <f t="shared" si="57"/>
        <v>185</v>
      </c>
      <c r="I354" s="76">
        <f t="shared" si="49"/>
        <v>0</v>
      </c>
      <c r="J354" s="79">
        <v>100</v>
      </c>
      <c r="K354" s="79">
        <v>300</v>
      </c>
      <c r="L354" s="76">
        <f t="shared" si="52"/>
        <v>1274</v>
      </c>
      <c r="M354" s="87">
        <v>600</v>
      </c>
      <c r="N354" s="76">
        <f>30</f>
        <v>30</v>
      </c>
      <c r="O354" s="79">
        <v>240</v>
      </c>
      <c r="P354" s="79">
        <v>160</v>
      </c>
      <c r="Q354" s="79">
        <f t="shared" si="53"/>
        <v>195</v>
      </c>
      <c r="R354" s="79">
        <f t="shared" si="54"/>
        <v>100</v>
      </c>
      <c r="S354" s="76">
        <f t="shared" si="55"/>
        <v>695</v>
      </c>
      <c r="T354" s="76">
        <f>0</f>
        <v>0</v>
      </c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</row>
    <row r="355" spans="1:30" ht="15.75" x14ac:dyDescent="0.25">
      <c r="A355" s="32">
        <v>51744</v>
      </c>
      <c r="B355" s="89">
        <v>31</v>
      </c>
      <c r="C355" s="76">
        <f>194.205</f>
        <v>194.20500000000001</v>
      </c>
      <c r="D355" s="76">
        <f>267.466</f>
        <v>267.46600000000001</v>
      </c>
      <c r="E355" s="85">
        <f>133.845</f>
        <v>133.845</v>
      </c>
      <c r="F355" s="76">
        <f>278.484-40-25-60-100</f>
        <v>53.48399999999998</v>
      </c>
      <c r="G355" s="79">
        <v>40</v>
      </c>
      <c r="H355" s="76">
        <f t="shared" si="57"/>
        <v>185</v>
      </c>
      <c r="I355" s="76">
        <f t="shared" si="49"/>
        <v>0</v>
      </c>
      <c r="J355" s="79">
        <v>100</v>
      </c>
      <c r="K355" s="79">
        <v>300</v>
      </c>
      <c r="L355" s="76">
        <f t="shared" si="52"/>
        <v>1274</v>
      </c>
      <c r="M355" s="87">
        <v>600</v>
      </c>
      <c r="N355" s="76">
        <f>30</f>
        <v>30</v>
      </c>
      <c r="O355" s="79">
        <v>240</v>
      </c>
      <c r="P355" s="79">
        <v>160</v>
      </c>
      <c r="Q355" s="79">
        <f t="shared" si="53"/>
        <v>195</v>
      </c>
      <c r="R355" s="79">
        <f t="shared" si="54"/>
        <v>100</v>
      </c>
      <c r="S355" s="76">
        <f t="shared" si="55"/>
        <v>695</v>
      </c>
      <c r="T355" s="76">
        <f>0</f>
        <v>0</v>
      </c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</row>
    <row r="356" spans="1:30" ht="15.75" x14ac:dyDescent="0.25">
      <c r="A356" s="32">
        <v>51774</v>
      </c>
      <c r="B356" s="89">
        <v>30</v>
      </c>
      <c r="C356" s="76">
        <f>194.205</f>
        <v>194.20500000000001</v>
      </c>
      <c r="D356" s="76">
        <f>267.466</f>
        <v>267.46600000000001</v>
      </c>
      <c r="E356" s="85">
        <f>133.845</f>
        <v>133.845</v>
      </c>
      <c r="F356" s="76">
        <f>278.484-40-25-60-100</f>
        <v>53.48399999999998</v>
      </c>
      <c r="G356" s="79">
        <v>40</v>
      </c>
      <c r="H356" s="76">
        <f t="shared" si="57"/>
        <v>185</v>
      </c>
      <c r="I356" s="76">
        <f t="shared" si="49"/>
        <v>0</v>
      </c>
      <c r="J356" s="79">
        <v>100</v>
      </c>
      <c r="K356" s="79">
        <v>300</v>
      </c>
      <c r="L356" s="76">
        <f t="shared" si="52"/>
        <v>1274</v>
      </c>
      <c r="M356" s="87">
        <v>600</v>
      </c>
      <c r="N356" s="76">
        <f>30</f>
        <v>30</v>
      </c>
      <c r="O356" s="79">
        <v>240</v>
      </c>
      <c r="P356" s="79">
        <v>160</v>
      </c>
      <c r="Q356" s="79">
        <f t="shared" si="53"/>
        <v>195</v>
      </c>
      <c r="R356" s="79">
        <f t="shared" si="54"/>
        <v>100</v>
      </c>
      <c r="S356" s="76">
        <f t="shared" si="55"/>
        <v>695</v>
      </c>
      <c r="T356" s="76">
        <f>0</f>
        <v>0</v>
      </c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</row>
    <row r="357" spans="1:30" ht="15.75" x14ac:dyDescent="0.25">
      <c r="A357" s="32">
        <v>51805</v>
      </c>
      <c r="B357" s="89">
        <v>31</v>
      </c>
      <c r="C357" s="76">
        <f>131.881</f>
        <v>131.881</v>
      </c>
      <c r="D357" s="76">
        <f>277.167</f>
        <v>277.16699999999997</v>
      </c>
      <c r="E357" s="85">
        <f>79.08</f>
        <v>79.08</v>
      </c>
      <c r="F357" s="76">
        <f>350.872-40-25-60-100</f>
        <v>125.87200000000001</v>
      </c>
      <c r="G357" s="79">
        <v>40</v>
      </c>
      <c r="H357" s="76">
        <f t="shared" si="57"/>
        <v>185</v>
      </c>
      <c r="I357" s="76">
        <f t="shared" si="49"/>
        <v>0</v>
      </c>
      <c r="J357" s="79">
        <v>100</v>
      </c>
      <c r="K357" s="79">
        <v>300</v>
      </c>
      <c r="L357" s="76">
        <f t="shared" si="52"/>
        <v>1239</v>
      </c>
      <c r="M357" s="87">
        <v>600</v>
      </c>
      <c r="N357" s="76">
        <f>75</f>
        <v>75</v>
      </c>
      <c r="O357" s="79">
        <v>240</v>
      </c>
      <c r="P357" s="79">
        <v>160</v>
      </c>
      <c r="Q357" s="79">
        <f t="shared" si="53"/>
        <v>195</v>
      </c>
      <c r="R357" s="79">
        <f t="shared" si="54"/>
        <v>100</v>
      </c>
      <c r="S357" s="76">
        <f t="shared" si="55"/>
        <v>695</v>
      </c>
      <c r="T357" s="76">
        <f>0</f>
        <v>0</v>
      </c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</row>
    <row r="358" spans="1:30" ht="15.75" x14ac:dyDescent="0.25">
      <c r="A358" s="32">
        <v>51835</v>
      </c>
      <c r="B358" s="89">
        <v>30</v>
      </c>
      <c r="C358" s="76">
        <f>122.58</f>
        <v>122.58</v>
      </c>
      <c r="D358" s="76">
        <f>297.941</f>
        <v>297.94099999999997</v>
      </c>
      <c r="E358" s="85">
        <f>89.177</f>
        <v>89.177000000000007</v>
      </c>
      <c r="F358" s="76">
        <f>240.302-40-60-100</f>
        <v>40.301999999999992</v>
      </c>
      <c r="G358" s="79">
        <v>40</v>
      </c>
      <c r="H358" s="76">
        <f>60+100</f>
        <v>160</v>
      </c>
      <c r="I358" s="76">
        <f t="shared" si="49"/>
        <v>0</v>
      </c>
      <c r="J358" s="79">
        <v>100</v>
      </c>
      <c r="K358" s="79">
        <v>300</v>
      </c>
      <c r="L358" s="76">
        <f t="shared" si="52"/>
        <v>1150</v>
      </c>
      <c r="M358" s="87">
        <v>600</v>
      </c>
      <c r="N358" s="76">
        <f>100</f>
        <v>100</v>
      </c>
      <c r="O358" s="79">
        <v>240</v>
      </c>
      <c r="P358" s="79">
        <v>40</v>
      </c>
      <c r="Q358" s="79">
        <f t="shared" si="53"/>
        <v>315</v>
      </c>
      <c r="R358" s="79">
        <f t="shared" si="54"/>
        <v>100</v>
      </c>
      <c r="S358" s="76">
        <f t="shared" si="55"/>
        <v>695</v>
      </c>
      <c r="T358" s="76">
        <f>50</f>
        <v>50</v>
      </c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</row>
    <row r="359" spans="1:30" ht="15.75" x14ac:dyDescent="0.25">
      <c r="A359" s="32">
        <v>51866</v>
      </c>
      <c r="B359" s="89">
        <v>31</v>
      </c>
      <c r="C359" s="76">
        <f>122.58</f>
        <v>122.58</v>
      </c>
      <c r="D359" s="76">
        <f>297.941</f>
        <v>297.94099999999997</v>
      </c>
      <c r="E359" s="85">
        <f>89.177</f>
        <v>89.177000000000007</v>
      </c>
      <c r="F359" s="76">
        <f>240.302-40-60-100</f>
        <v>40.301999999999992</v>
      </c>
      <c r="G359" s="79">
        <v>40</v>
      </c>
      <c r="H359" s="76">
        <f>60+100</f>
        <v>160</v>
      </c>
      <c r="I359" s="76">
        <f t="shared" si="49"/>
        <v>0</v>
      </c>
      <c r="J359" s="79">
        <v>100</v>
      </c>
      <c r="K359" s="79">
        <v>300</v>
      </c>
      <c r="L359" s="76">
        <f t="shared" si="52"/>
        <v>1150</v>
      </c>
      <c r="M359" s="87">
        <v>600</v>
      </c>
      <c r="N359" s="76">
        <f>100</f>
        <v>100</v>
      </c>
      <c r="O359" s="79">
        <v>240</v>
      </c>
      <c r="P359" s="79">
        <v>40</v>
      </c>
      <c r="Q359" s="79">
        <f t="shared" si="53"/>
        <v>315</v>
      </c>
      <c r="R359" s="79">
        <f t="shared" si="54"/>
        <v>100</v>
      </c>
      <c r="S359" s="76">
        <f t="shared" si="55"/>
        <v>695</v>
      </c>
      <c r="T359" s="76">
        <f>50</f>
        <v>50</v>
      </c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</row>
    <row r="360" spans="1:30" ht="15.75" x14ac:dyDescent="0.25">
      <c r="A360" s="32">
        <v>51897</v>
      </c>
      <c r="B360" s="89">
        <v>31</v>
      </c>
      <c r="C360" s="76">
        <f>122.58</f>
        <v>122.58</v>
      </c>
      <c r="D360" s="76">
        <f>297.941</f>
        <v>297.94099999999997</v>
      </c>
      <c r="E360" s="85">
        <f>89.177</f>
        <v>89.177000000000007</v>
      </c>
      <c r="F360" s="76">
        <f>240.302-40-60-100</f>
        <v>40.301999999999992</v>
      </c>
      <c r="G360" s="79">
        <v>40</v>
      </c>
      <c r="H360" s="76">
        <f>60+100</f>
        <v>160</v>
      </c>
      <c r="I360" s="76">
        <f t="shared" si="49"/>
        <v>0</v>
      </c>
      <c r="J360" s="79">
        <v>100</v>
      </c>
      <c r="K360" s="79">
        <v>300</v>
      </c>
      <c r="L360" s="76">
        <f t="shared" si="52"/>
        <v>1150</v>
      </c>
      <c r="M360" s="87">
        <v>600</v>
      </c>
      <c r="N360" s="76">
        <f>100</f>
        <v>100</v>
      </c>
      <c r="O360" s="79">
        <v>240</v>
      </c>
      <c r="P360" s="79">
        <v>40</v>
      </c>
      <c r="Q360" s="79">
        <f t="shared" si="53"/>
        <v>315</v>
      </c>
      <c r="R360" s="79">
        <f t="shared" si="54"/>
        <v>100</v>
      </c>
      <c r="S360" s="76">
        <f t="shared" si="55"/>
        <v>695</v>
      </c>
      <c r="T360" s="76">
        <f>50</f>
        <v>50</v>
      </c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</row>
    <row r="361" spans="1:30" ht="15.75" x14ac:dyDescent="0.25">
      <c r="A361" s="32">
        <v>51925</v>
      </c>
      <c r="B361" s="89">
        <v>28</v>
      </c>
      <c r="C361" s="76">
        <f>122.58</f>
        <v>122.58</v>
      </c>
      <c r="D361" s="76">
        <f>297.941</f>
        <v>297.94099999999997</v>
      </c>
      <c r="E361" s="85">
        <f>89.177</f>
        <v>89.177000000000007</v>
      </c>
      <c r="F361" s="76">
        <f>240.302-40-60-100</f>
        <v>40.301999999999992</v>
      </c>
      <c r="G361" s="79">
        <v>40</v>
      </c>
      <c r="H361" s="76">
        <f>60+100</f>
        <v>160</v>
      </c>
      <c r="I361" s="76">
        <f t="shared" si="49"/>
        <v>0</v>
      </c>
      <c r="J361" s="79">
        <v>100</v>
      </c>
      <c r="K361" s="79">
        <v>300</v>
      </c>
      <c r="L361" s="76">
        <f t="shared" si="52"/>
        <v>1150</v>
      </c>
      <c r="M361" s="87">
        <v>600</v>
      </c>
      <c r="N361" s="76">
        <f>100</f>
        <v>100</v>
      </c>
      <c r="O361" s="79">
        <v>240</v>
      </c>
      <c r="P361" s="79">
        <v>40</v>
      </c>
      <c r="Q361" s="79">
        <f t="shared" si="53"/>
        <v>315</v>
      </c>
      <c r="R361" s="79">
        <f t="shared" si="54"/>
        <v>100</v>
      </c>
      <c r="S361" s="76">
        <f t="shared" si="55"/>
        <v>695</v>
      </c>
      <c r="T361" s="76">
        <f>50</f>
        <v>50</v>
      </c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</row>
    <row r="362" spans="1:30" ht="15.75" x14ac:dyDescent="0.25">
      <c r="A362" s="32">
        <v>51956</v>
      </c>
      <c r="B362" s="89">
        <v>31</v>
      </c>
      <c r="C362" s="76">
        <f>122.58</f>
        <v>122.58</v>
      </c>
      <c r="D362" s="76">
        <f>297.941</f>
        <v>297.94099999999997</v>
      </c>
      <c r="E362" s="85">
        <f>89.177</f>
        <v>89.177000000000007</v>
      </c>
      <c r="F362" s="76">
        <f>240.302-40-60-100</f>
        <v>40.301999999999992</v>
      </c>
      <c r="G362" s="79">
        <v>40</v>
      </c>
      <c r="H362" s="76">
        <f>60+100</f>
        <v>160</v>
      </c>
      <c r="I362" s="76">
        <f t="shared" si="49"/>
        <v>0</v>
      </c>
      <c r="J362" s="79">
        <v>100</v>
      </c>
      <c r="K362" s="79">
        <v>300</v>
      </c>
      <c r="L362" s="76">
        <f t="shared" si="52"/>
        <v>1150</v>
      </c>
      <c r="M362" s="87">
        <v>600</v>
      </c>
      <c r="N362" s="76">
        <f>100</f>
        <v>100</v>
      </c>
      <c r="O362" s="79">
        <v>240</v>
      </c>
      <c r="P362" s="79">
        <v>40</v>
      </c>
      <c r="Q362" s="79">
        <f t="shared" si="53"/>
        <v>315</v>
      </c>
      <c r="R362" s="79">
        <f t="shared" si="54"/>
        <v>100</v>
      </c>
      <c r="S362" s="76">
        <f t="shared" si="55"/>
        <v>695</v>
      </c>
      <c r="T362" s="76">
        <f>50</f>
        <v>50</v>
      </c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</row>
    <row r="363" spans="1:30" ht="15.75" x14ac:dyDescent="0.25">
      <c r="A363" s="32">
        <v>51986</v>
      </c>
      <c r="B363" s="89">
        <v>30</v>
      </c>
      <c r="C363" s="76">
        <f>141.293</f>
        <v>141.29300000000001</v>
      </c>
      <c r="D363" s="76">
        <f>267.993</f>
        <v>267.99299999999999</v>
      </c>
      <c r="E363" s="85">
        <f>115.016</f>
        <v>115.01600000000001</v>
      </c>
      <c r="F363" s="76">
        <f>314.698-40-25-60-100</f>
        <v>89.697999999999979</v>
      </c>
      <c r="G363" s="79">
        <v>40</v>
      </c>
      <c r="H363" s="76">
        <f t="shared" ref="H363:H369" si="58">25+60+100</f>
        <v>185</v>
      </c>
      <c r="I363" s="76">
        <f t="shared" si="49"/>
        <v>0</v>
      </c>
      <c r="J363" s="79">
        <v>100</v>
      </c>
      <c r="K363" s="79">
        <v>300</v>
      </c>
      <c r="L363" s="76">
        <f t="shared" si="52"/>
        <v>1239</v>
      </c>
      <c r="M363" s="87">
        <v>600</v>
      </c>
      <c r="N363" s="76">
        <f>100</f>
        <v>100</v>
      </c>
      <c r="O363" s="79">
        <v>240</v>
      </c>
      <c r="P363" s="79">
        <v>160</v>
      </c>
      <c r="Q363" s="79">
        <f t="shared" si="53"/>
        <v>195</v>
      </c>
      <c r="R363" s="79">
        <f t="shared" si="54"/>
        <v>100</v>
      </c>
      <c r="S363" s="76">
        <f t="shared" si="55"/>
        <v>695</v>
      </c>
      <c r="T363" s="76">
        <f>50</f>
        <v>50</v>
      </c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</row>
    <row r="364" spans="1:30" ht="15.75" x14ac:dyDescent="0.25">
      <c r="A364" s="32">
        <v>52017</v>
      </c>
      <c r="B364" s="89">
        <v>31</v>
      </c>
      <c r="C364" s="76">
        <f>194.205</f>
        <v>194.20500000000001</v>
      </c>
      <c r="D364" s="76">
        <f>267.466</f>
        <v>267.46600000000001</v>
      </c>
      <c r="E364" s="85">
        <f>133.845</f>
        <v>133.845</v>
      </c>
      <c r="F364" s="76">
        <f>278.484-40-25-60-100</f>
        <v>53.48399999999998</v>
      </c>
      <c r="G364" s="79">
        <v>40</v>
      </c>
      <c r="H364" s="76">
        <f t="shared" si="58"/>
        <v>185</v>
      </c>
      <c r="I364" s="76">
        <f t="shared" si="49"/>
        <v>0</v>
      </c>
      <c r="J364" s="79">
        <v>100</v>
      </c>
      <c r="K364" s="79">
        <v>300</v>
      </c>
      <c r="L364" s="76">
        <f t="shared" si="52"/>
        <v>1274</v>
      </c>
      <c r="M364" s="87">
        <v>600</v>
      </c>
      <c r="N364" s="76">
        <f>75</f>
        <v>75</v>
      </c>
      <c r="O364" s="79">
        <v>240</v>
      </c>
      <c r="P364" s="79">
        <v>160</v>
      </c>
      <c r="Q364" s="79">
        <f t="shared" si="53"/>
        <v>195</v>
      </c>
      <c r="R364" s="79">
        <f t="shared" si="54"/>
        <v>100</v>
      </c>
      <c r="S364" s="76">
        <f t="shared" si="55"/>
        <v>695</v>
      </c>
      <c r="T364" s="76">
        <f>50</f>
        <v>50</v>
      </c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</row>
    <row r="365" spans="1:30" ht="15.75" x14ac:dyDescent="0.25">
      <c r="A365" s="32">
        <v>52047</v>
      </c>
      <c r="B365" s="89">
        <v>30</v>
      </c>
      <c r="C365" s="76">
        <f>194.205</f>
        <v>194.20500000000001</v>
      </c>
      <c r="D365" s="76">
        <f>267.466</f>
        <v>267.46600000000001</v>
      </c>
      <c r="E365" s="85">
        <f>133.845</f>
        <v>133.845</v>
      </c>
      <c r="F365" s="76">
        <f>278.484-40-25-60-100</f>
        <v>53.48399999999998</v>
      </c>
      <c r="G365" s="79">
        <v>40</v>
      </c>
      <c r="H365" s="76">
        <f t="shared" si="58"/>
        <v>185</v>
      </c>
      <c r="I365" s="76">
        <f t="shared" si="49"/>
        <v>0</v>
      </c>
      <c r="J365" s="79">
        <v>100</v>
      </c>
      <c r="K365" s="79">
        <v>300</v>
      </c>
      <c r="L365" s="76">
        <f t="shared" si="52"/>
        <v>1274</v>
      </c>
      <c r="M365" s="87">
        <v>600</v>
      </c>
      <c r="N365" s="76">
        <f>30</f>
        <v>30</v>
      </c>
      <c r="O365" s="79">
        <v>240</v>
      </c>
      <c r="P365" s="79">
        <v>160</v>
      </c>
      <c r="Q365" s="79">
        <f t="shared" si="53"/>
        <v>195</v>
      </c>
      <c r="R365" s="79">
        <f t="shared" si="54"/>
        <v>100</v>
      </c>
      <c r="S365" s="76">
        <f t="shared" si="55"/>
        <v>695</v>
      </c>
      <c r="T365" s="76">
        <f>50</f>
        <v>50</v>
      </c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</row>
    <row r="366" spans="1:30" ht="15.75" x14ac:dyDescent="0.25">
      <c r="A366" s="32">
        <v>52078</v>
      </c>
      <c r="B366" s="89">
        <v>31</v>
      </c>
      <c r="C366" s="76">
        <f>194.205</f>
        <v>194.20500000000001</v>
      </c>
      <c r="D366" s="76">
        <f>267.466</f>
        <v>267.46600000000001</v>
      </c>
      <c r="E366" s="85">
        <f>133.845</f>
        <v>133.845</v>
      </c>
      <c r="F366" s="76">
        <f>278.484-40-25-60-100</f>
        <v>53.48399999999998</v>
      </c>
      <c r="G366" s="79">
        <v>40</v>
      </c>
      <c r="H366" s="76">
        <f t="shared" si="58"/>
        <v>185</v>
      </c>
      <c r="I366" s="76">
        <f t="shared" si="49"/>
        <v>0</v>
      </c>
      <c r="J366" s="79">
        <v>100</v>
      </c>
      <c r="K366" s="79">
        <v>300</v>
      </c>
      <c r="L366" s="76">
        <f t="shared" si="52"/>
        <v>1274</v>
      </c>
      <c r="M366" s="87">
        <v>600</v>
      </c>
      <c r="N366" s="76">
        <f>30</f>
        <v>30</v>
      </c>
      <c r="O366" s="79">
        <v>240</v>
      </c>
      <c r="P366" s="79">
        <v>160</v>
      </c>
      <c r="Q366" s="79">
        <f t="shared" si="53"/>
        <v>195</v>
      </c>
      <c r="R366" s="79">
        <f t="shared" si="54"/>
        <v>100</v>
      </c>
      <c r="S366" s="76">
        <f t="shared" si="55"/>
        <v>695</v>
      </c>
      <c r="T366" s="76">
        <f>0</f>
        <v>0</v>
      </c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</row>
    <row r="367" spans="1:30" ht="15.75" x14ac:dyDescent="0.25">
      <c r="A367" s="32">
        <v>52109</v>
      </c>
      <c r="B367" s="89">
        <v>31</v>
      </c>
      <c r="C367" s="76">
        <f>194.205</f>
        <v>194.20500000000001</v>
      </c>
      <c r="D367" s="76">
        <f>267.466</f>
        <v>267.46600000000001</v>
      </c>
      <c r="E367" s="85">
        <f>133.845</f>
        <v>133.845</v>
      </c>
      <c r="F367" s="76">
        <f>278.484-40-25-60-100</f>
        <v>53.48399999999998</v>
      </c>
      <c r="G367" s="79">
        <v>40</v>
      </c>
      <c r="H367" s="76">
        <f t="shared" si="58"/>
        <v>185</v>
      </c>
      <c r="I367" s="76">
        <f t="shared" si="49"/>
        <v>0</v>
      </c>
      <c r="J367" s="79">
        <v>100</v>
      </c>
      <c r="K367" s="79">
        <v>300</v>
      </c>
      <c r="L367" s="76">
        <f t="shared" si="52"/>
        <v>1274</v>
      </c>
      <c r="M367" s="87">
        <v>600</v>
      </c>
      <c r="N367" s="76">
        <f>30</f>
        <v>30</v>
      </c>
      <c r="O367" s="79">
        <v>240</v>
      </c>
      <c r="P367" s="79">
        <v>160</v>
      </c>
      <c r="Q367" s="79">
        <f t="shared" si="53"/>
        <v>195</v>
      </c>
      <c r="R367" s="79">
        <f t="shared" si="54"/>
        <v>100</v>
      </c>
      <c r="S367" s="76">
        <f t="shared" si="55"/>
        <v>695</v>
      </c>
      <c r="T367" s="76">
        <f>0</f>
        <v>0</v>
      </c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</row>
    <row r="368" spans="1:30" ht="15.75" x14ac:dyDescent="0.25">
      <c r="A368" s="32">
        <v>52139</v>
      </c>
      <c r="B368" s="89">
        <v>30</v>
      </c>
      <c r="C368" s="76">
        <f>194.205</f>
        <v>194.20500000000001</v>
      </c>
      <c r="D368" s="76">
        <f>267.466</f>
        <v>267.46600000000001</v>
      </c>
      <c r="E368" s="85">
        <f>133.845</f>
        <v>133.845</v>
      </c>
      <c r="F368" s="76">
        <f>278.484-40-25-60-100</f>
        <v>53.48399999999998</v>
      </c>
      <c r="G368" s="79">
        <v>40</v>
      </c>
      <c r="H368" s="76">
        <f t="shared" si="58"/>
        <v>185</v>
      </c>
      <c r="I368" s="76">
        <f t="shared" si="49"/>
        <v>0</v>
      </c>
      <c r="J368" s="79">
        <v>100</v>
      </c>
      <c r="K368" s="79">
        <v>300</v>
      </c>
      <c r="L368" s="76">
        <f t="shared" si="52"/>
        <v>1274</v>
      </c>
      <c r="M368" s="87">
        <v>600</v>
      </c>
      <c r="N368" s="76">
        <f>30</f>
        <v>30</v>
      </c>
      <c r="O368" s="79">
        <v>240</v>
      </c>
      <c r="P368" s="79">
        <v>160</v>
      </c>
      <c r="Q368" s="79">
        <f t="shared" si="53"/>
        <v>195</v>
      </c>
      <c r="R368" s="79">
        <f t="shared" si="54"/>
        <v>100</v>
      </c>
      <c r="S368" s="76">
        <f t="shared" si="55"/>
        <v>695</v>
      </c>
      <c r="T368" s="76">
        <f>0</f>
        <v>0</v>
      </c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</row>
    <row r="369" spans="1:30" ht="15.75" x14ac:dyDescent="0.25">
      <c r="A369" s="32">
        <v>52170</v>
      </c>
      <c r="B369" s="89">
        <v>31</v>
      </c>
      <c r="C369" s="76">
        <f>131.881</f>
        <v>131.881</v>
      </c>
      <c r="D369" s="76">
        <f>277.167</f>
        <v>277.16699999999997</v>
      </c>
      <c r="E369" s="85">
        <f>79.08</f>
        <v>79.08</v>
      </c>
      <c r="F369" s="76">
        <f>350.872-40-25-60-100</f>
        <v>125.87200000000001</v>
      </c>
      <c r="G369" s="79">
        <v>40</v>
      </c>
      <c r="H369" s="76">
        <f t="shared" si="58"/>
        <v>185</v>
      </c>
      <c r="I369" s="76">
        <f t="shared" si="49"/>
        <v>0</v>
      </c>
      <c r="J369" s="79">
        <v>100</v>
      </c>
      <c r="K369" s="79">
        <v>300</v>
      </c>
      <c r="L369" s="76">
        <f t="shared" si="52"/>
        <v>1239</v>
      </c>
      <c r="M369" s="87">
        <v>600</v>
      </c>
      <c r="N369" s="76">
        <f>75</f>
        <v>75</v>
      </c>
      <c r="O369" s="79">
        <v>240</v>
      </c>
      <c r="P369" s="79">
        <v>160</v>
      </c>
      <c r="Q369" s="79">
        <f t="shared" si="53"/>
        <v>195</v>
      </c>
      <c r="R369" s="79">
        <f t="shared" si="54"/>
        <v>100</v>
      </c>
      <c r="S369" s="76">
        <f t="shared" si="55"/>
        <v>695</v>
      </c>
      <c r="T369" s="76">
        <f>0</f>
        <v>0</v>
      </c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</row>
    <row r="370" spans="1:30" ht="15.75" x14ac:dyDescent="0.25">
      <c r="A370" s="32">
        <v>52200</v>
      </c>
      <c r="B370" s="89">
        <v>30</v>
      </c>
      <c r="C370" s="76">
        <f>122.58</f>
        <v>122.58</v>
      </c>
      <c r="D370" s="76">
        <f>297.941</f>
        <v>297.94099999999997</v>
      </c>
      <c r="E370" s="85">
        <f>89.177</f>
        <v>89.177000000000007</v>
      </c>
      <c r="F370" s="76">
        <f>240.302-40-60-100</f>
        <v>40.301999999999992</v>
      </c>
      <c r="G370" s="79">
        <v>40</v>
      </c>
      <c r="H370" s="76">
        <f>60+100</f>
        <v>160</v>
      </c>
      <c r="I370" s="76">
        <f t="shared" si="49"/>
        <v>0</v>
      </c>
      <c r="J370" s="79">
        <v>100</v>
      </c>
      <c r="K370" s="79">
        <v>300</v>
      </c>
      <c r="L370" s="76">
        <f t="shared" si="52"/>
        <v>1150</v>
      </c>
      <c r="M370" s="87">
        <v>600</v>
      </c>
      <c r="N370" s="76">
        <f>100</f>
        <v>100</v>
      </c>
      <c r="O370" s="79">
        <v>240</v>
      </c>
      <c r="P370" s="79">
        <v>40</v>
      </c>
      <c r="Q370" s="79">
        <f t="shared" si="53"/>
        <v>315</v>
      </c>
      <c r="R370" s="79">
        <f t="shared" si="54"/>
        <v>100</v>
      </c>
      <c r="S370" s="76">
        <f t="shared" si="55"/>
        <v>695</v>
      </c>
      <c r="T370" s="76">
        <f>50</f>
        <v>50</v>
      </c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</row>
    <row r="371" spans="1:30" ht="15.75" x14ac:dyDescent="0.25">
      <c r="A371" s="32">
        <v>52231</v>
      </c>
      <c r="B371" s="89">
        <v>31</v>
      </c>
      <c r="C371" s="76">
        <f>122.58</f>
        <v>122.58</v>
      </c>
      <c r="D371" s="76">
        <f>297.941</f>
        <v>297.94099999999997</v>
      </c>
      <c r="E371" s="85">
        <f>89.177</f>
        <v>89.177000000000007</v>
      </c>
      <c r="F371" s="76">
        <f>240.302-40-60-100</f>
        <v>40.301999999999992</v>
      </c>
      <c r="G371" s="79">
        <v>40</v>
      </c>
      <c r="H371" s="76">
        <f>60+100</f>
        <v>160</v>
      </c>
      <c r="I371" s="76">
        <f t="shared" si="49"/>
        <v>0</v>
      </c>
      <c r="J371" s="79">
        <v>100</v>
      </c>
      <c r="K371" s="79">
        <v>300</v>
      </c>
      <c r="L371" s="76">
        <f t="shared" si="52"/>
        <v>1150</v>
      </c>
      <c r="M371" s="87">
        <v>600</v>
      </c>
      <c r="N371" s="76">
        <f>100</f>
        <v>100</v>
      </c>
      <c r="O371" s="79">
        <v>240</v>
      </c>
      <c r="P371" s="79">
        <v>40</v>
      </c>
      <c r="Q371" s="79">
        <f t="shared" si="53"/>
        <v>315</v>
      </c>
      <c r="R371" s="79">
        <f t="shared" si="54"/>
        <v>100</v>
      </c>
      <c r="S371" s="76">
        <f t="shared" si="55"/>
        <v>695</v>
      </c>
      <c r="T371" s="76">
        <f>50</f>
        <v>50</v>
      </c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</row>
    <row r="372" spans="1:30" ht="15.75" x14ac:dyDescent="0.25">
      <c r="A372" s="32">
        <v>52262</v>
      </c>
      <c r="B372" s="89">
        <v>31</v>
      </c>
      <c r="C372" s="76">
        <f>122.58</f>
        <v>122.58</v>
      </c>
      <c r="D372" s="76">
        <f>297.941</f>
        <v>297.94099999999997</v>
      </c>
      <c r="E372" s="85">
        <f>89.177</f>
        <v>89.177000000000007</v>
      </c>
      <c r="F372" s="76">
        <f>240.302-40-60-100</f>
        <v>40.301999999999992</v>
      </c>
      <c r="G372" s="79">
        <v>40</v>
      </c>
      <c r="H372" s="76">
        <f>60+100</f>
        <v>160</v>
      </c>
      <c r="I372" s="76">
        <f t="shared" ref="I372:I435" si="59">400-J372-K372</f>
        <v>0</v>
      </c>
      <c r="J372" s="79">
        <v>100</v>
      </c>
      <c r="K372" s="79">
        <v>300</v>
      </c>
      <c r="L372" s="76">
        <f t="shared" si="52"/>
        <v>1150</v>
      </c>
      <c r="M372" s="87">
        <v>600</v>
      </c>
      <c r="N372" s="76">
        <f>100</f>
        <v>100</v>
      </c>
      <c r="O372" s="79">
        <v>240</v>
      </c>
      <c r="P372" s="79">
        <v>40</v>
      </c>
      <c r="Q372" s="79">
        <f t="shared" si="53"/>
        <v>315</v>
      </c>
      <c r="R372" s="79">
        <f t="shared" si="54"/>
        <v>100</v>
      </c>
      <c r="S372" s="76">
        <f t="shared" si="55"/>
        <v>695</v>
      </c>
      <c r="T372" s="76">
        <f>50</f>
        <v>50</v>
      </c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</row>
    <row r="373" spans="1:30" ht="15.75" x14ac:dyDescent="0.25">
      <c r="A373" s="32">
        <v>52290</v>
      </c>
      <c r="B373" s="89">
        <v>28</v>
      </c>
      <c r="C373" s="76">
        <f>122.58</f>
        <v>122.58</v>
      </c>
      <c r="D373" s="76">
        <f>297.941</f>
        <v>297.94099999999997</v>
      </c>
      <c r="E373" s="85">
        <f>89.177</f>
        <v>89.177000000000007</v>
      </c>
      <c r="F373" s="76">
        <f>240.302-40-60-100</f>
        <v>40.301999999999992</v>
      </c>
      <c r="G373" s="79">
        <v>40</v>
      </c>
      <c r="H373" s="76">
        <f>60+100</f>
        <v>160</v>
      </c>
      <c r="I373" s="76">
        <f t="shared" si="59"/>
        <v>0</v>
      </c>
      <c r="J373" s="79">
        <v>100</v>
      </c>
      <c r="K373" s="79">
        <v>300</v>
      </c>
      <c r="L373" s="76">
        <f t="shared" si="52"/>
        <v>1150</v>
      </c>
      <c r="M373" s="87">
        <v>600</v>
      </c>
      <c r="N373" s="76">
        <f>100</f>
        <v>100</v>
      </c>
      <c r="O373" s="79">
        <v>240</v>
      </c>
      <c r="P373" s="79">
        <v>40</v>
      </c>
      <c r="Q373" s="79">
        <f t="shared" si="53"/>
        <v>315</v>
      </c>
      <c r="R373" s="79">
        <f t="shared" si="54"/>
        <v>100</v>
      </c>
      <c r="S373" s="76">
        <f t="shared" si="55"/>
        <v>695</v>
      </c>
      <c r="T373" s="76">
        <f>50</f>
        <v>50</v>
      </c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</row>
    <row r="374" spans="1:30" ht="15.75" x14ac:dyDescent="0.25">
      <c r="A374" s="32">
        <v>52321</v>
      </c>
      <c r="B374" s="89">
        <v>31</v>
      </c>
      <c r="C374" s="76">
        <f>122.58</f>
        <v>122.58</v>
      </c>
      <c r="D374" s="76">
        <f>297.941</f>
        <v>297.94099999999997</v>
      </c>
      <c r="E374" s="85">
        <f>89.177</f>
        <v>89.177000000000007</v>
      </c>
      <c r="F374" s="76">
        <f>240.302-40-60-100</f>
        <v>40.301999999999992</v>
      </c>
      <c r="G374" s="79">
        <v>40</v>
      </c>
      <c r="H374" s="76">
        <f>60+100</f>
        <v>160</v>
      </c>
      <c r="I374" s="76">
        <f t="shared" si="59"/>
        <v>0</v>
      </c>
      <c r="J374" s="79">
        <v>100</v>
      </c>
      <c r="K374" s="79">
        <v>300</v>
      </c>
      <c r="L374" s="76">
        <f t="shared" si="52"/>
        <v>1150</v>
      </c>
      <c r="M374" s="87">
        <v>600</v>
      </c>
      <c r="N374" s="76">
        <f>100</f>
        <v>100</v>
      </c>
      <c r="O374" s="79">
        <v>240</v>
      </c>
      <c r="P374" s="79">
        <v>40</v>
      </c>
      <c r="Q374" s="79">
        <f t="shared" si="53"/>
        <v>315</v>
      </c>
      <c r="R374" s="79">
        <f t="shared" si="54"/>
        <v>100</v>
      </c>
      <c r="S374" s="76">
        <f t="shared" si="55"/>
        <v>695</v>
      </c>
      <c r="T374" s="76">
        <f>50</f>
        <v>50</v>
      </c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</row>
    <row r="375" spans="1:30" ht="15.75" x14ac:dyDescent="0.25">
      <c r="A375" s="32">
        <v>52351</v>
      </c>
      <c r="B375" s="89">
        <v>30</v>
      </c>
      <c r="C375" s="76">
        <f>141.293</f>
        <v>141.29300000000001</v>
      </c>
      <c r="D375" s="76">
        <f>267.993</f>
        <v>267.99299999999999</v>
      </c>
      <c r="E375" s="85">
        <f>115.016</f>
        <v>115.01600000000001</v>
      </c>
      <c r="F375" s="76">
        <f>314.698-40-25-60-100</f>
        <v>89.697999999999979</v>
      </c>
      <c r="G375" s="79">
        <v>40</v>
      </c>
      <c r="H375" s="76">
        <f t="shared" ref="H375:H381" si="60">25+60+100</f>
        <v>185</v>
      </c>
      <c r="I375" s="76">
        <f t="shared" si="59"/>
        <v>0</v>
      </c>
      <c r="J375" s="79">
        <v>100</v>
      </c>
      <c r="K375" s="79">
        <v>300</v>
      </c>
      <c r="L375" s="76">
        <f t="shared" si="52"/>
        <v>1239</v>
      </c>
      <c r="M375" s="87">
        <v>600</v>
      </c>
      <c r="N375" s="76">
        <f>100</f>
        <v>100</v>
      </c>
      <c r="O375" s="79">
        <v>240</v>
      </c>
      <c r="P375" s="79">
        <v>160</v>
      </c>
      <c r="Q375" s="79">
        <f t="shared" si="53"/>
        <v>195</v>
      </c>
      <c r="R375" s="79">
        <f t="shared" si="54"/>
        <v>100</v>
      </c>
      <c r="S375" s="76">
        <f t="shared" si="55"/>
        <v>695</v>
      </c>
      <c r="T375" s="76">
        <f>50</f>
        <v>50</v>
      </c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</row>
    <row r="376" spans="1:30" ht="15.75" x14ac:dyDescent="0.25">
      <c r="A376" s="32">
        <v>52382</v>
      </c>
      <c r="B376" s="89">
        <v>31</v>
      </c>
      <c r="C376" s="76">
        <f>194.205</f>
        <v>194.20500000000001</v>
      </c>
      <c r="D376" s="76">
        <f>267.466</f>
        <v>267.46600000000001</v>
      </c>
      <c r="E376" s="85">
        <f>133.845</f>
        <v>133.845</v>
      </c>
      <c r="F376" s="76">
        <f>278.484-40-25-60-100</f>
        <v>53.48399999999998</v>
      </c>
      <c r="G376" s="79">
        <v>40</v>
      </c>
      <c r="H376" s="76">
        <f t="shared" si="60"/>
        <v>185</v>
      </c>
      <c r="I376" s="76">
        <f t="shared" si="59"/>
        <v>0</v>
      </c>
      <c r="J376" s="79">
        <v>100</v>
      </c>
      <c r="K376" s="79">
        <v>300</v>
      </c>
      <c r="L376" s="76">
        <f t="shared" si="52"/>
        <v>1274</v>
      </c>
      <c r="M376" s="87">
        <v>600</v>
      </c>
      <c r="N376" s="76">
        <f>75</f>
        <v>75</v>
      </c>
      <c r="O376" s="79">
        <v>240</v>
      </c>
      <c r="P376" s="79">
        <v>160</v>
      </c>
      <c r="Q376" s="79">
        <f t="shared" si="53"/>
        <v>195</v>
      </c>
      <c r="R376" s="79">
        <f t="shared" si="54"/>
        <v>100</v>
      </c>
      <c r="S376" s="76">
        <f t="shared" si="55"/>
        <v>695</v>
      </c>
      <c r="T376" s="76">
        <f>50</f>
        <v>50</v>
      </c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</row>
    <row r="377" spans="1:30" ht="15.75" x14ac:dyDescent="0.25">
      <c r="A377" s="32">
        <v>52412</v>
      </c>
      <c r="B377" s="89">
        <v>30</v>
      </c>
      <c r="C377" s="76">
        <f>194.205</f>
        <v>194.20500000000001</v>
      </c>
      <c r="D377" s="76">
        <f>267.466</f>
        <v>267.46600000000001</v>
      </c>
      <c r="E377" s="85">
        <f>133.845</f>
        <v>133.845</v>
      </c>
      <c r="F377" s="76">
        <f>278.484-40-25-60-100</f>
        <v>53.48399999999998</v>
      </c>
      <c r="G377" s="79">
        <v>40</v>
      </c>
      <c r="H377" s="76">
        <f t="shared" si="60"/>
        <v>185</v>
      </c>
      <c r="I377" s="76">
        <f t="shared" si="59"/>
        <v>0</v>
      </c>
      <c r="J377" s="79">
        <v>100</v>
      </c>
      <c r="K377" s="79">
        <v>300</v>
      </c>
      <c r="L377" s="76">
        <f t="shared" si="52"/>
        <v>1274</v>
      </c>
      <c r="M377" s="87">
        <v>600</v>
      </c>
      <c r="N377" s="76">
        <f>30</f>
        <v>30</v>
      </c>
      <c r="O377" s="79">
        <v>240</v>
      </c>
      <c r="P377" s="79">
        <v>160</v>
      </c>
      <c r="Q377" s="79">
        <f t="shared" si="53"/>
        <v>195</v>
      </c>
      <c r="R377" s="79">
        <f t="shared" si="54"/>
        <v>100</v>
      </c>
      <c r="S377" s="76">
        <f t="shared" si="55"/>
        <v>695</v>
      </c>
      <c r="T377" s="76">
        <f>50</f>
        <v>50</v>
      </c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</row>
    <row r="378" spans="1:30" ht="15.75" x14ac:dyDescent="0.25">
      <c r="A378" s="32">
        <v>52443</v>
      </c>
      <c r="B378" s="89">
        <v>31</v>
      </c>
      <c r="C378" s="76">
        <f>194.205</f>
        <v>194.20500000000001</v>
      </c>
      <c r="D378" s="76">
        <f>267.466</f>
        <v>267.46600000000001</v>
      </c>
      <c r="E378" s="85">
        <f>133.845</f>
        <v>133.845</v>
      </c>
      <c r="F378" s="76">
        <f>278.484-40-25-60-100</f>
        <v>53.48399999999998</v>
      </c>
      <c r="G378" s="79">
        <v>40</v>
      </c>
      <c r="H378" s="76">
        <f t="shared" si="60"/>
        <v>185</v>
      </c>
      <c r="I378" s="76">
        <f t="shared" si="59"/>
        <v>0</v>
      </c>
      <c r="J378" s="79">
        <v>100</v>
      </c>
      <c r="K378" s="79">
        <v>300</v>
      </c>
      <c r="L378" s="76">
        <f t="shared" si="52"/>
        <v>1274</v>
      </c>
      <c r="M378" s="87">
        <v>600</v>
      </c>
      <c r="N378" s="76">
        <f>30</f>
        <v>30</v>
      </c>
      <c r="O378" s="79">
        <v>240</v>
      </c>
      <c r="P378" s="79">
        <v>160</v>
      </c>
      <c r="Q378" s="79">
        <f t="shared" si="53"/>
        <v>195</v>
      </c>
      <c r="R378" s="79">
        <f t="shared" si="54"/>
        <v>100</v>
      </c>
      <c r="S378" s="76">
        <f t="shared" si="55"/>
        <v>695</v>
      </c>
      <c r="T378" s="76">
        <f>0</f>
        <v>0</v>
      </c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</row>
    <row r="379" spans="1:30" ht="15.75" x14ac:dyDescent="0.25">
      <c r="A379" s="32">
        <v>52474</v>
      </c>
      <c r="B379" s="89">
        <v>31</v>
      </c>
      <c r="C379" s="76">
        <f>194.205</f>
        <v>194.20500000000001</v>
      </c>
      <c r="D379" s="76">
        <f>267.466</f>
        <v>267.46600000000001</v>
      </c>
      <c r="E379" s="85">
        <f>133.845</f>
        <v>133.845</v>
      </c>
      <c r="F379" s="76">
        <f>278.484-40-25-60-100</f>
        <v>53.48399999999998</v>
      </c>
      <c r="G379" s="79">
        <v>40</v>
      </c>
      <c r="H379" s="76">
        <f t="shared" si="60"/>
        <v>185</v>
      </c>
      <c r="I379" s="76">
        <f t="shared" si="59"/>
        <v>0</v>
      </c>
      <c r="J379" s="79">
        <v>100</v>
      </c>
      <c r="K379" s="79">
        <v>300</v>
      </c>
      <c r="L379" s="76">
        <f t="shared" si="52"/>
        <v>1274</v>
      </c>
      <c r="M379" s="87">
        <v>600</v>
      </c>
      <c r="N379" s="76">
        <f>30</f>
        <v>30</v>
      </c>
      <c r="O379" s="79">
        <v>240</v>
      </c>
      <c r="P379" s="79">
        <v>160</v>
      </c>
      <c r="Q379" s="79">
        <f t="shared" si="53"/>
        <v>195</v>
      </c>
      <c r="R379" s="79">
        <f t="shared" si="54"/>
        <v>100</v>
      </c>
      <c r="S379" s="76">
        <f t="shared" si="55"/>
        <v>695</v>
      </c>
      <c r="T379" s="76">
        <f>0</f>
        <v>0</v>
      </c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</row>
    <row r="380" spans="1:30" ht="15.75" x14ac:dyDescent="0.25">
      <c r="A380" s="32">
        <v>52504</v>
      </c>
      <c r="B380" s="89">
        <v>30</v>
      </c>
      <c r="C380" s="76">
        <f>194.205</f>
        <v>194.20500000000001</v>
      </c>
      <c r="D380" s="76">
        <f>267.466</f>
        <v>267.46600000000001</v>
      </c>
      <c r="E380" s="85">
        <f>133.845</f>
        <v>133.845</v>
      </c>
      <c r="F380" s="76">
        <f>278.484-40-25-60-100</f>
        <v>53.48399999999998</v>
      </c>
      <c r="G380" s="79">
        <v>40</v>
      </c>
      <c r="H380" s="76">
        <f t="shared" si="60"/>
        <v>185</v>
      </c>
      <c r="I380" s="76">
        <f t="shared" si="59"/>
        <v>0</v>
      </c>
      <c r="J380" s="79">
        <v>100</v>
      </c>
      <c r="K380" s="79">
        <v>300</v>
      </c>
      <c r="L380" s="76">
        <f t="shared" si="52"/>
        <v>1274</v>
      </c>
      <c r="M380" s="87">
        <v>600</v>
      </c>
      <c r="N380" s="76">
        <f>30</f>
        <v>30</v>
      </c>
      <c r="O380" s="79">
        <v>240</v>
      </c>
      <c r="P380" s="79">
        <v>160</v>
      </c>
      <c r="Q380" s="79">
        <f t="shared" si="53"/>
        <v>195</v>
      </c>
      <c r="R380" s="79">
        <f t="shared" si="54"/>
        <v>100</v>
      </c>
      <c r="S380" s="76">
        <f t="shared" si="55"/>
        <v>695</v>
      </c>
      <c r="T380" s="76">
        <f>0</f>
        <v>0</v>
      </c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</row>
    <row r="381" spans="1:30" ht="15.75" x14ac:dyDescent="0.25">
      <c r="A381" s="32">
        <v>52535</v>
      </c>
      <c r="B381" s="89">
        <v>31</v>
      </c>
      <c r="C381" s="76">
        <f>131.881</f>
        <v>131.881</v>
      </c>
      <c r="D381" s="76">
        <f>277.167</f>
        <v>277.16699999999997</v>
      </c>
      <c r="E381" s="85">
        <f>79.08</f>
        <v>79.08</v>
      </c>
      <c r="F381" s="76">
        <f>350.872-40-25-60-100</f>
        <v>125.87200000000001</v>
      </c>
      <c r="G381" s="79">
        <v>40</v>
      </c>
      <c r="H381" s="76">
        <f t="shared" si="60"/>
        <v>185</v>
      </c>
      <c r="I381" s="76">
        <f t="shared" si="59"/>
        <v>0</v>
      </c>
      <c r="J381" s="79">
        <v>100</v>
      </c>
      <c r="K381" s="79">
        <v>300</v>
      </c>
      <c r="L381" s="76">
        <f t="shared" si="52"/>
        <v>1239</v>
      </c>
      <c r="M381" s="87">
        <v>600</v>
      </c>
      <c r="N381" s="76">
        <f>75</f>
        <v>75</v>
      </c>
      <c r="O381" s="79">
        <v>240</v>
      </c>
      <c r="P381" s="79">
        <v>160</v>
      </c>
      <c r="Q381" s="79">
        <f t="shared" si="53"/>
        <v>195</v>
      </c>
      <c r="R381" s="79">
        <f t="shared" si="54"/>
        <v>100</v>
      </c>
      <c r="S381" s="76">
        <f t="shared" si="55"/>
        <v>695</v>
      </c>
      <c r="T381" s="76">
        <f>0</f>
        <v>0</v>
      </c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</row>
    <row r="382" spans="1:30" ht="15.75" x14ac:dyDescent="0.25">
      <c r="A382" s="32">
        <v>52565</v>
      </c>
      <c r="B382" s="89">
        <v>30</v>
      </c>
      <c r="C382" s="76">
        <f>122.58</f>
        <v>122.58</v>
      </c>
      <c r="D382" s="76">
        <f>297.941</f>
        <v>297.94099999999997</v>
      </c>
      <c r="E382" s="85">
        <f>89.177</f>
        <v>89.177000000000007</v>
      </c>
      <c r="F382" s="76">
        <f>240.302-40-60-100</f>
        <v>40.301999999999992</v>
      </c>
      <c r="G382" s="79">
        <v>40</v>
      </c>
      <c r="H382" s="76">
        <f>60+100</f>
        <v>160</v>
      </c>
      <c r="I382" s="76">
        <f t="shared" si="59"/>
        <v>0</v>
      </c>
      <c r="J382" s="79">
        <v>100</v>
      </c>
      <c r="K382" s="79">
        <v>300</v>
      </c>
      <c r="L382" s="76">
        <f t="shared" si="52"/>
        <v>1150</v>
      </c>
      <c r="M382" s="87">
        <v>600</v>
      </c>
      <c r="N382" s="76">
        <f>100</f>
        <v>100</v>
      </c>
      <c r="O382" s="79">
        <v>240</v>
      </c>
      <c r="P382" s="79">
        <v>40</v>
      </c>
      <c r="Q382" s="79">
        <f t="shared" si="53"/>
        <v>315</v>
      </c>
      <c r="R382" s="79">
        <f t="shared" si="54"/>
        <v>100</v>
      </c>
      <c r="S382" s="76">
        <f t="shared" si="55"/>
        <v>695</v>
      </c>
      <c r="T382" s="76">
        <f>50</f>
        <v>50</v>
      </c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</row>
    <row r="383" spans="1:30" ht="15.75" x14ac:dyDescent="0.25">
      <c r="A383" s="32">
        <v>52596</v>
      </c>
      <c r="B383" s="89">
        <v>31</v>
      </c>
      <c r="C383" s="76">
        <f>122.58</f>
        <v>122.58</v>
      </c>
      <c r="D383" s="76">
        <f>297.941</f>
        <v>297.94099999999997</v>
      </c>
      <c r="E383" s="85">
        <f>89.177</f>
        <v>89.177000000000007</v>
      </c>
      <c r="F383" s="76">
        <f>240.302-40-60-100</f>
        <v>40.301999999999992</v>
      </c>
      <c r="G383" s="79">
        <v>40</v>
      </c>
      <c r="H383" s="76">
        <f>60+100</f>
        <v>160</v>
      </c>
      <c r="I383" s="76">
        <f t="shared" si="59"/>
        <v>0</v>
      </c>
      <c r="J383" s="79">
        <v>100</v>
      </c>
      <c r="K383" s="79">
        <v>300</v>
      </c>
      <c r="L383" s="76">
        <f t="shared" si="52"/>
        <v>1150</v>
      </c>
      <c r="M383" s="87">
        <v>600</v>
      </c>
      <c r="N383" s="76">
        <f>100</f>
        <v>100</v>
      </c>
      <c r="O383" s="79">
        <v>240</v>
      </c>
      <c r="P383" s="79">
        <v>40</v>
      </c>
      <c r="Q383" s="79">
        <f t="shared" si="53"/>
        <v>315</v>
      </c>
      <c r="R383" s="79">
        <f t="shared" si="54"/>
        <v>100</v>
      </c>
      <c r="S383" s="76">
        <f t="shared" si="55"/>
        <v>695</v>
      </c>
      <c r="T383" s="76">
        <f>50</f>
        <v>50</v>
      </c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</row>
    <row r="384" spans="1:30" ht="15.75" x14ac:dyDescent="0.25">
      <c r="A384" s="32">
        <v>52627</v>
      </c>
      <c r="B384" s="89">
        <v>31</v>
      </c>
      <c r="C384" s="76">
        <f>122.58</f>
        <v>122.58</v>
      </c>
      <c r="D384" s="76">
        <f>297.941</f>
        <v>297.94099999999997</v>
      </c>
      <c r="E384" s="85">
        <f>89.177</f>
        <v>89.177000000000007</v>
      </c>
      <c r="F384" s="76">
        <f>240.302-40-60-100</f>
        <v>40.301999999999992</v>
      </c>
      <c r="G384" s="79">
        <v>40</v>
      </c>
      <c r="H384" s="76">
        <f>60+100</f>
        <v>160</v>
      </c>
      <c r="I384" s="76">
        <f t="shared" si="59"/>
        <v>0</v>
      </c>
      <c r="J384" s="79">
        <v>100</v>
      </c>
      <c r="K384" s="79">
        <v>300</v>
      </c>
      <c r="L384" s="76">
        <f t="shared" si="52"/>
        <v>1150</v>
      </c>
      <c r="M384" s="87">
        <v>600</v>
      </c>
      <c r="N384" s="76">
        <f>100</f>
        <v>100</v>
      </c>
      <c r="O384" s="79">
        <v>240</v>
      </c>
      <c r="P384" s="79">
        <v>40</v>
      </c>
      <c r="Q384" s="79">
        <f t="shared" si="53"/>
        <v>315</v>
      </c>
      <c r="R384" s="79">
        <f t="shared" si="54"/>
        <v>100</v>
      </c>
      <c r="S384" s="76">
        <f t="shared" si="55"/>
        <v>695</v>
      </c>
      <c r="T384" s="76">
        <f>50</f>
        <v>50</v>
      </c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</row>
    <row r="385" spans="1:30" ht="15.75" x14ac:dyDescent="0.25">
      <c r="A385" s="32">
        <v>52655</v>
      </c>
      <c r="B385" s="89">
        <v>29</v>
      </c>
      <c r="C385" s="76">
        <f>122.58</f>
        <v>122.58</v>
      </c>
      <c r="D385" s="76">
        <f>297.941</f>
        <v>297.94099999999997</v>
      </c>
      <c r="E385" s="85">
        <f>89.177</f>
        <v>89.177000000000007</v>
      </c>
      <c r="F385" s="76">
        <f>240.302-40-60-100</f>
        <v>40.301999999999992</v>
      </c>
      <c r="G385" s="79">
        <v>40</v>
      </c>
      <c r="H385" s="76">
        <f>60+100</f>
        <v>160</v>
      </c>
      <c r="I385" s="76">
        <f t="shared" si="59"/>
        <v>0</v>
      </c>
      <c r="J385" s="79">
        <v>100</v>
      </c>
      <c r="K385" s="79">
        <v>300</v>
      </c>
      <c r="L385" s="76">
        <f t="shared" si="52"/>
        <v>1150</v>
      </c>
      <c r="M385" s="87">
        <v>600</v>
      </c>
      <c r="N385" s="76">
        <f>100</f>
        <v>100</v>
      </c>
      <c r="O385" s="79">
        <v>240</v>
      </c>
      <c r="P385" s="79">
        <v>40</v>
      </c>
      <c r="Q385" s="79">
        <f t="shared" si="53"/>
        <v>315</v>
      </c>
      <c r="R385" s="79">
        <f t="shared" si="54"/>
        <v>100</v>
      </c>
      <c r="S385" s="76">
        <f t="shared" si="55"/>
        <v>695</v>
      </c>
      <c r="T385" s="76">
        <f>50</f>
        <v>50</v>
      </c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</row>
    <row r="386" spans="1:30" ht="15.75" x14ac:dyDescent="0.25">
      <c r="A386" s="32">
        <v>52687</v>
      </c>
      <c r="B386" s="89">
        <v>31</v>
      </c>
      <c r="C386" s="76">
        <f>122.58</f>
        <v>122.58</v>
      </c>
      <c r="D386" s="76">
        <f>297.941</f>
        <v>297.94099999999997</v>
      </c>
      <c r="E386" s="85">
        <f>89.177</f>
        <v>89.177000000000007</v>
      </c>
      <c r="F386" s="76">
        <f>240.302-40-60-100</f>
        <v>40.301999999999992</v>
      </c>
      <c r="G386" s="79">
        <v>40</v>
      </c>
      <c r="H386" s="76">
        <f>60+100</f>
        <v>160</v>
      </c>
      <c r="I386" s="76">
        <f t="shared" si="59"/>
        <v>0</v>
      </c>
      <c r="J386" s="79">
        <v>100</v>
      </c>
      <c r="K386" s="79">
        <v>300</v>
      </c>
      <c r="L386" s="76">
        <f t="shared" si="52"/>
        <v>1150</v>
      </c>
      <c r="M386" s="87">
        <v>600</v>
      </c>
      <c r="N386" s="76">
        <f>100</f>
        <v>100</v>
      </c>
      <c r="O386" s="79">
        <v>240</v>
      </c>
      <c r="P386" s="79">
        <v>40</v>
      </c>
      <c r="Q386" s="79">
        <f t="shared" si="53"/>
        <v>315</v>
      </c>
      <c r="R386" s="79">
        <f t="shared" si="54"/>
        <v>100</v>
      </c>
      <c r="S386" s="76">
        <f t="shared" si="55"/>
        <v>695</v>
      </c>
      <c r="T386" s="76">
        <f>50</f>
        <v>50</v>
      </c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</row>
    <row r="387" spans="1:30" ht="15.75" x14ac:dyDescent="0.25">
      <c r="A387" s="32">
        <v>52717</v>
      </c>
      <c r="B387" s="89">
        <v>30</v>
      </c>
      <c r="C387" s="76">
        <f>141.293</f>
        <v>141.29300000000001</v>
      </c>
      <c r="D387" s="76">
        <f>267.993</f>
        <v>267.99299999999999</v>
      </c>
      <c r="E387" s="85">
        <f>115.016</f>
        <v>115.01600000000001</v>
      </c>
      <c r="F387" s="76">
        <f>314.698-40-25-60-100</f>
        <v>89.697999999999979</v>
      </c>
      <c r="G387" s="79">
        <v>40</v>
      </c>
      <c r="H387" s="76">
        <f t="shared" ref="H387:H393" si="61">25+60+100</f>
        <v>185</v>
      </c>
      <c r="I387" s="76">
        <f t="shared" si="59"/>
        <v>0</v>
      </c>
      <c r="J387" s="79">
        <v>100</v>
      </c>
      <c r="K387" s="79">
        <v>300</v>
      </c>
      <c r="L387" s="76">
        <f t="shared" si="52"/>
        <v>1239</v>
      </c>
      <c r="M387" s="87">
        <v>600</v>
      </c>
      <c r="N387" s="76">
        <f>100</f>
        <v>100</v>
      </c>
      <c r="O387" s="79">
        <v>240</v>
      </c>
      <c r="P387" s="79">
        <v>160</v>
      </c>
      <c r="Q387" s="79">
        <f t="shared" si="53"/>
        <v>195</v>
      </c>
      <c r="R387" s="79">
        <f t="shared" si="54"/>
        <v>100</v>
      </c>
      <c r="S387" s="76">
        <f t="shared" si="55"/>
        <v>695</v>
      </c>
      <c r="T387" s="76">
        <f>50</f>
        <v>50</v>
      </c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</row>
    <row r="388" spans="1:30" ht="15.75" x14ac:dyDescent="0.25">
      <c r="A388" s="32">
        <v>52748</v>
      </c>
      <c r="B388" s="89">
        <v>31</v>
      </c>
      <c r="C388" s="76">
        <f>194.205</f>
        <v>194.20500000000001</v>
      </c>
      <c r="D388" s="76">
        <f>267.466</f>
        <v>267.46600000000001</v>
      </c>
      <c r="E388" s="85">
        <f>133.845</f>
        <v>133.845</v>
      </c>
      <c r="F388" s="76">
        <f>278.484-40-25-60-100</f>
        <v>53.48399999999998</v>
      </c>
      <c r="G388" s="79">
        <v>40</v>
      </c>
      <c r="H388" s="76">
        <f t="shared" si="61"/>
        <v>185</v>
      </c>
      <c r="I388" s="76">
        <f t="shared" si="59"/>
        <v>0</v>
      </c>
      <c r="J388" s="79">
        <v>100</v>
      </c>
      <c r="K388" s="79">
        <v>300</v>
      </c>
      <c r="L388" s="76">
        <f t="shared" si="52"/>
        <v>1274</v>
      </c>
      <c r="M388" s="87">
        <v>600</v>
      </c>
      <c r="N388" s="76">
        <f>75</f>
        <v>75</v>
      </c>
      <c r="O388" s="79">
        <v>240</v>
      </c>
      <c r="P388" s="79">
        <v>160</v>
      </c>
      <c r="Q388" s="79">
        <f t="shared" si="53"/>
        <v>195</v>
      </c>
      <c r="R388" s="79">
        <f t="shared" si="54"/>
        <v>100</v>
      </c>
      <c r="S388" s="76">
        <f t="shared" si="55"/>
        <v>695</v>
      </c>
      <c r="T388" s="76">
        <f>50</f>
        <v>50</v>
      </c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</row>
    <row r="389" spans="1:30" ht="15.75" x14ac:dyDescent="0.25">
      <c r="A389" s="32">
        <v>52778</v>
      </c>
      <c r="B389" s="89">
        <v>30</v>
      </c>
      <c r="C389" s="76">
        <f>194.205</f>
        <v>194.20500000000001</v>
      </c>
      <c r="D389" s="76">
        <f>267.466</f>
        <v>267.46600000000001</v>
      </c>
      <c r="E389" s="85">
        <f>133.845</f>
        <v>133.845</v>
      </c>
      <c r="F389" s="76">
        <f>278.484-40-25-60-100</f>
        <v>53.48399999999998</v>
      </c>
      <c r="G389" s="79">
        <v>40</v>
      </c>
      <c r="H389" s="76">
        <f t="shared" si="61"/>
        <v>185</v>
      </c>
      <c r="I389" s="76">
        <f t="shared" si="59"/>
        <v>0</v>
      </c>
      <c r="J389" s="79">
        <v>100</v>
      </c>
      <c r="K389" s="79">
        <v>300</v>
      </c>
      <c r="L389" s="76">
        <f t="shared" si="52"/>
        <v>1274</v>
      </c>
      <c r="M389" s="87">
        <v>600</v>
      </c>
      <c r="N389" s="76">
        <f>30</f>
        <v>30</v>
      </c>
      <c r="O389" s="79">
        <v>240</v>
      </c>
      <c r="P389" s="79">
        <v>160</v>
      </c>
      <c r="Q389" s="79">
        <f t="shared" si="53"/>
        <v>195</v>
      </c>
      <c r="R389" s="79">
        <f t="shared" si="54"/>
        <v>100</v>
      </c>
      <c r="S389" s="76">
        <f t="shared" si="55"/>
        <v>695</v>
      </c>
      <c r="T389" s="76">
        <f>50</f>
        <v>50</v>
      </c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</row>
    <row r="390" spans="1:30" ht="15.75" x14ac:dyDescent="0.25">
      <c r="A390" s="32">
        <v>52809</v>
      </c>
      <c r="B390" s="89">
        <v>31</v>
      </c>
      <c r="C390" s="76">
        <f>194.205</f>
        <v>194.20500000000001</v>
      </c>
      <c r="D390" s="76">
        <f>267.466</f>
        <v>267.46600000000001</v>
      </c>
      <c r="E390" s="85">
        <f>133.845</f>
        <v>133.845</v>
      </c>
      <c r="F390" s="76">
        <f>278.484-40-25-60-100</f>
        <v>53.48399999999998</v>
      </c>
      <c r="G390" s="79">
        <v>40</v>
      </c>
      <c r="H390" s="76">
        <f t="shared" si="61"/>
        <v>185</v>
      </c>
      <c r="I390" s="76">
        <f t="shared" si="59"/>
        <v>0</v>
      </c>
      <c r="J390" s="79">
        <v>100</v>
      </c>
      <c r="K390" s="79">
        <v>300</v>
      </c>
      <c r="L390" s="76">
        <f t="shared" si="52"/>
        <v>1274</v>
      </c>
      <c r="M390" s="87">
        <v>600</v>
      </c>
      <c r="N390" s="76">
        <f>30</f>
        <v>30</v>
      </c>
      <c r="O390" s="79">
        <v>240</v>
      </c>
      <c r="P390" s="79">
        <v>160</v>
      </c>
      <c r="Q390" s="79">
        <f t="shared" si="53"/>
        <v>195</v>
      </c>
      <c r="R390" s="79">
        <f t="shared" si="54"/>
        <v>100</v>
      </c>
      <c r="S390" s="76">
        <f t="shared" si="55"/>
        <v>695</v>
      </c>
      <c r="T390" s="76">
        <f>0</f>
        <v>0</v>
      </c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</row>
    <row r="391" spans="1:30" ht="15.75" x14ac:dyDescent="0.25">
      <c r="A391" s="32">
        <v>52840</v>
      </c>
      <c r="B391" s="89">
        <v>31</v>
      </c>
      <c r="C391" s="76">
        <f>194.205</f>
        <v>194.20500000000001</v>
      </c>
      <c r="D391" s="76">
        <f>267.466</f>
        <v>267.46600000000001</v>
      </c>
      <c r="E391" s="85">
        <f>133.845</f>
        <v>133.845</v>
      </c>
      <c r="F391" s="76">
        <f>278.484-40-25-60-100</f>
        <v>53.48399999999998</v>
      </c>
      <c r="G391" s="79">
        <v>40</v>
      </c>
      <c r="H391" s="76">
        <f t="shared" si="61"/>
        <v>185</v>
      </c>
      <c r="I391" s="76">
        <f t="shared" si="59"/>
        <v>0</v>
      </c>
      <c r="J391" s="79">
        <v>100</v>
      </c>
      <c r="K391" s="79">
        <v>300</v>
      </c>
      <c r="L391" s="76">
        <f t="shared" si="52"/>
        <v>1274</v>
      </c>
      <c r="M391" s="87">
        <v>600</v>
      </c>
      <c r="N391" s="76">
        <f>30</f>
        <v>30</v>
      </c>
      <c r="O391" s="79">
        <v>240</v>
      </c>
      <c r="P391" s="79">
        <v>160</v>
      </c>
      <c r="Q391" s="79">
        <f t="shared" si="53"/>
        <v>195</v>
      </c>
      <c r="R391" s="79">
        <f t="shared" si="54"/>
        <v>100</v>
      </c>
      <c r="S391" s="76">
        <f t="shared" si="55"/>
        <v>695</v>
      </c>
      <c r="T391" s="76">
        <f>0</f>
        <v>0</v>
      </c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</row>
    <row r="392" spans="1:30" ht="15.75" x14ac:dyDescent="0.25">
      <c r="A392" s="32">
        <v>52870</v>
      </c>
      <c r="B392" s="89">
        <v>30</v>
      </c>
      <c r="C392" s="76">
        <f>194.205</f>
        <v>194.20500000000001</v>
      </c>
      <c r="D392" s="76">
        <f>267.466</f>
        <v>267.46600000000001</v>
      </c>
      <c r="E392" s="85">
        <f>133.845</f>
        <v>133.845</v>
      </c>
      <c r="F392" s="76">
        <f>278.484-40-25-60-100</f>
        <v>53.48399999999998</v>
      </c>
      <c r="G392" s="79">
        <v>40</v>
      </c>
      <c r="H392" s="76">
        <f t="shared" si="61"/>
        <v>185</v>
      </c>
      <c r="I392" s="76">
        <f t="shared" si="59"/>
        <v>0</v>
      </c>
      <c r="J392" s="79">
        <v>100</v>
      </c>
      <c r="K392" s="79">
        <v>300</v>
      </c>
      <c r="L392" s="76">
        <f t="shared" si="52"/>
        <v>1274</v>
      </c>
      <c r="M392" s="87">
        <v>600</v>
      </c>
      <c r="N392" s="76">
        <f>30</f>
        <v>30</v>
      </c>
      <c r="O392" s="79">
        <v>240</v>
      </c>
      <c r="P392" s="79">
        <v>160</v>
      </c>
      <c r="Q392" s="79">
        <f t="shared" si="53"/>
        <v>195</v>
      </c>
      <c r="R392" s="79">
        <f t="shared" si="54"/>
        <v>100</v>
      </c>
      <c r="S392" s="76">
        <f t="shared" si="55"/>
        <v>695</v>
      </c>
      <c r="T392" s="76">
        <f>0</f>
        <v>0</v>
      </c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</row>
    <row r="393" spans="1:30" ht="15.75" x14ac:dyDescent="0.25">
      <c r="A393" s="32">
        <v>52901</v>
      </c>
      <c r="B393" s="89">
        <v>31</v>
      </c>
      <c r="C393" s="76">
        <f>131.881</f>
        <v>131.881</v>
      </c>
      <c r="D393" s="76">
        <f>277.167</f>
        <v>277.16699999999997</v>
      </c>
      <c r="E393" s="85">
        <f>79.08</f>
        <v>79.08</v>
      </c>
      <c r="F393" s="76">
        <f>350.872-40-25-60-100</f>
        <v>125.87200000000001</v>
      </c>
      <c r="G393" s="79">
        <v>40</v>
      </c>
      <c r="H393" s="76">
        <f t="shared" si="61"/>
        <v>185</v>
      </c>
      <c r="I393" s="76">
        <f t="shared" si="59"/>
        <v>0</v>
      </c>
      <c r="J393" s="79">
        <v>100</v>
      </c>
      <c r="K393" s="79">
        <v>300</v>
      </c>
      <c r="L393" s="76">
        <f t="shared" si="52"/>
        <v>1239</v>
      </c>
      <c r="M393" s="87">
        <v>600</v>
      </c>
      <c r="N393" s="76">
        <f>75</f>
        <v>75</v>
      </c>
      <c r="O393" s="79">
        <v>240</v>
      </c>
      <c r="P393" s="79">
        <v>160</v>
      </c>
      <c r="Q393" s="79">
        <f t="shared" si="53"/>
        <v>195</v>
      </c>
      <c r="R393" s="79">
        <f t="shared" si="54"/>
        <v>100</v>
      </c>
      <c r="S393" s="76">
        <f t="shared" si="55"/>
        <v>695</v>
      </c>
      <c r="T393" s="76">
        <f>0</f>
        <v>0</v>
      </c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</row>
    <row r="394" spans="1:30" ht="15.75" x14ac:dyDescent="0.25">
      <c r="A394" s="32">
        <v>52931</v>
      </c>
      <c r="B394" s="89">
        <v>30</v>
      </c>
      <c r="C394" s="76">
        <f>122.58</f>
        <v>122.58</v>
      </c>
      <c r="D394" s="76">
        <f>297.941</f>
        <v>297.94099999999997</v>
      </c>
      <c r="E394" s="85">
        <f>89.177</f>
        <v>89.177000000000007</v>
      </c>
      <c r="F394" s="76">
        <f>240.302-40-60-100</f>
        <v>40.301999999999992</v>
      </c>
      <c r="G394" s="79">
        <v>40</v>
      </c>
      <c r="H394" s="76">
        <f>60+100</f>
        <v>160</v>
      </c>
      <c r="I394" s="76">
        <f t="shared" si="59"/>
        <v>0</v>
      </c>
      <c r="J394" s="79">
        <v>100</v>
      </c>
      <c r="K394" s="79">
        <v>300</v>
      </c>
      <c r="L394" s="76">
        <f t="shared" si="52"/>
        <v>1150</v>
      </c>
      <c r="M394" s="87">
        <v>600</v>
      </c>
      <c r="N394" s="76">
        <f>100</f>
        <v>100</v>
      </c>
      <c r="O394" s="79">
        <v>240</v>
      </c>
      <c r="P394" s="79">
        <v>40</v>
      </c>
      <c r="Q394" s="79">
        <f t="shared" si="53"/>
        <v>315</v>
      </c>
      <c r="R394" s="79">
        <f t="shared" si="54"/>
        <v>100</v>
      </c>
      <c r="S394" s="76">
        <f t="shared" si="55"/>
        <v>695</v>
      </c>
      <c r="T394" s="76">
        <f>50</f>
        <v>50</v>
      </c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</row>
    <row r="395" spans="1:30" ht="15.75" x14ac:dyDescent="0.25">
      <c r="A395" s="32">
        <v>52962</v>
      </c>
      <c r="B395" s="89">
        <v>31</v>
      </c>
      <c r="C395" s="76">
        <f>122.58</f>
        <v>122.58</v>
      </c>
      <c r="D395" s="76">
        <f>297.941</f>
        <v>297.94099999999997</v>
      </c>
      <c r="E395" s="85">
        <f>89.177</f>
        <v>89.177000000000007</v>
      </c>
      <c r="F395" s="76">
        <f>240.302-40-60-100</f>
        <v>40.301999999999992</v>
      </c>
      <c r="G395" s="79">
        <v>40</v>
      </c>
      <c r="H395" s="76">
        <f>60+100</f>
        <v>160</v>
      </c>
      <c r="I395" s="76">
        <f t="shared" si="59"/>
        <v>0</v>
      </c>
      <c r="J395" s="79">
        <v>100</v>
      </c>
      <c r="K395" s="79">
        <v>300</v>
      </c>
      <c r="L395" s="76">
        <f t="shared" si="52"/>
        <v>1150</v>
      </c>
      <c r="M395" s="87">
        <v>600</v>
      </c>
      <c r="N395" s="76">
        <f>100</f>
        <v>100</v>
      </c>
      <c r="O395" s="79">
        <v>240</v>
      </c>
      <c r="P395" s="79">
        <v>40</v>
      </c>
      <c r="Q395" s="79">
        <f t="shared" si="53"/>
        <v>315</v>
      </c>
      <c r="R395" s="79">
        <f t="shared" si="54"/>
        <v>100</v>
      </c>
      <c r="S395" s="76">
        <f t="shared" si="55"/>
        <v>695</v>
      </c>
      <c r="T395" s="76">
        <f>50</f>
        <v>50</v>
      </c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</row>
    <row r="396" spans="1:30" ht="15.75" x14ac:dyDescent="0.25">
      <c r="A396" s="32">
        <v>52993</v>
      </c>
      <c r="B396" s="89">
        <v>31</v>
      </c>
      <c r="C396" s="76">
        <f>122.58</f>
        <v>122.58</v>
      </c>
      <c r="D396" s="76">
        <f>297.941</f>
        <v>297.94099999999997</v>
      </c>
      <c r="E396" s="85">
        <f>89.177</f>
        <v>89.177000000000007</v>
      </c>
      <c r="F396" s="76">
        <f>240.302-40-60-100</f>
        <v>40.301999999999992</v>
      </c>
      <c r="G396" s="79">
        <v>40</v>
      </c>
      <c r="H396" s="76">
        <f>60+100</f>
        <v>160</v>
      </c>
      <c r="I396" s="76">
        <f t="shared" si="59"/>
        <v>0</v>
      </c>
      <c r="J396" s="79">
        <v>100</v>
      </c>
      <c r="K396" s="79">
        <v>300</v>
      </c>
      <c r="L396" s="76">
        <f t="shared" si="52"/>
        <v>1150</v>
      </c>
      <c r="M396" s="87">
        <v>600</v>
      </c>
      <c r="N396" s="76">
        <f>100</f>
        <v>100</v>
      </c>
      <c r="O396" s="79">
        <v>240</v>
      </c>
      <c r="P396" s="79">
        <v>40</v>
      </c>
      <c r="Q396" s="79">
        <f t="shared" si="53"/>
        <v>315</v>
      </c>
      <c r="R396" s="79">
        <f t="shared" si="54"/>
        <v>100</v>
      </c>
      <c r="S396" s="76">
        <f t="shared" si="55"/>
        <v>695</v>
      </c>
      <c r="T396" s="76">
        <f>50</f>
        <v>50</v>
      </c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</row>
    <row r="397" spans="1:30" ht="15.75" x14ac:dyDescent="0.25">
      <c r="A397" s="32">
        <v>53021</v>
      </c>
      <c r="B397" s="89">
        <v>28</v>
      </c>
      <c r="C397" s="76">
        <f>122.58</f>
        <v>122.58</v>
      </c>
      <c r="D397" s="76">
        <f>297.941</f>
        <v>297.94099999999997</v>
      </c>
      <c r="E397" s="85">
        <f>89.177</f>
        <v>89.177000000000007</v>
      </c>
      <c r="F397" s="76">
        <f>240.302-40-60-100</f>
        <v>40.301999999999992</v>
      </c>
      <c r="G397" s="79">
        <v>40</v>
      </c>
      <c r="H397" s="76">
        <f>60+100</f>
        <v>160</v>
      </c>
      <c r="I397" s="76">
        <f t="shared" si="59"/>
        <v>0</v>
      </c>
      <c r="J397" s="79">
        <v>100</v>
      </c>
      <c r="K397" s="79">
        <v>300</v>
      </c>
      <c r="L397" s="76">
        <f t="shared" si="52"/>
        <v>1150</v>
      </c>
      <c r="M397" s="87">
        <v>600</v>
      </c>
      <c r="N397" s="76">
        <f>100</f>
        <v>100</v>
      </c>
      <c r="O397" s="79">
        <v>240</v>
      </c>
      <c r="P397" s="79">
        <v>40</v>
      </c>
      <c r="Q397" s="79">
        <f t="shared" si="53"/>
        <v>315</v>
      </c>
      <c r="R397" s="79">
        <f t="shared" si="54"/>
        <v>100</v>
      </c>
      <c r="S397" s="76">
        <f t="shared" si="55"/>
        <v>695</v>
      </c>
      <c r="T397" s="76">
        <f>50</f>
        <v>50</v>
      </c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</row>
    <row r="398" spans="1:30" ht="15.75" x14ac:dyDescent="0.25">
      <c r="A398" s="32">
        <v>53052</v>
      </c>
      <c r="B398" s="89">
        <v>31</v>
      </c>
      <c r="C398" s="76">
        <f>122.58</f>
        <v>122.58</v>
      </c>
      <c r="D398" s="76">
        <f>297.941</f>
        <v>297.94099999999997</v>
      </c>
      <c r="E398" s="85">
        <f>89.177</f>
        <v>89.177000000000007</v>
      </c>
      <c r="F398" s="76">
        <f>240.302-40-60-100</f>
        <v>40.301999999999992</v>
      </c>
      <c r="G398" s="79">
        <v>40</v>
      </c>
      <c r="H398" s="76">
        <f>60+100</f>
        <v>160</v>
      </c>
      <c r="I398" s="76">
        <f t="shared" si="59"/>
        <v>0</v>
      </c>
      <c r="J398" s="79">
        <v>100</v>
      </c>
      <c r="K398" s="79">
        <v>300</v>
      </c>
      <c r="L398" s="76">
        <f t="shared" si="52"/>
        <v>1150</v>
      </c>
      <c r="M398" s="87">
        <v>600</v>
      </c>
      <c r="N398" s="76">
        <f>100</f>
        <v>100</v>
      </c>
      <c r="O398" s="79">
        <v>240</v>
      </c>
      <c r="P398" s="79">
        <v>40</v>
      </c>
      <c r="Q398" s="79">
        <f t="shared" si="53"/>
        <v>315</v>
      </c>
      <c r="R398" s="79">
        <f t="shared" si="54"/>
        <v>100</v>
      </c>
      <c r="S398" s="76">
        <f t="shared" si="55"/>
        <v>695</v>
      </c>
      <c r="T398" s="76">
        <f>50</f>
        <v>50</v>
      </c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</row>
    <row r="399" spans="1:30" ht="15.75" x14ac:dyDescent="0.25">
      <c r="A399" s="32">
        <v>53082</v>
      </c>
      <c r="B399" s="89">
        <v>30</v>
      </c>
      <c r="C399" s="76">
        <f>141.293</f>
        <v>141.29300000000001</v>
      </c>
      <c r="D399" s="76">
        <f>267.993</f>
        <v>267.99299999999999</v>
      </c>
      <c r="E399" s="85">
        <f>115.016</f>
        <v>115.01600000000001</v>
      </c>
      <c r="F399" s="76">
        <f>314.698-40-25-60-100</f>
        <v>89.697999999999979</v>
      </c>
      <c r="G399" s="79">
        <v>40</v>
      </c>
      <c r="H399" s="76">
        <f t="shared" ref="H399:H405" si="62">25+60+100</f>
        <v>185</v>
      </c>
      <c r="I399" s="76">
        <f t="shared" si="59"/>
        <v>0</v>
      </c>
      <c r="J399" s="79">
        <v>100</v>
      </c>
      <c r="K399" s="79">
        <v>300</v>
      </c>
      <c r="L399" s="76">
        <f t="shared" si="52"/>
        <v>1239</v>
      </c>
      <c r="M399" s="87">
        <v>600</v>
      </c>
      <c r="N399" s="76">
        <f>100</f>
        <v>100</v>
      </c>
      <c r="O399" s="79">
        <v>240</v>
      </c>
      <c r="P399" s="79">
        <v>160</v>
      </c>
      <c r="Q399" s="79">
        <f t="shared" si="53"/>
        <v>195</v>
      </c>
      <c r="R399" s="79">
        <f t="shared" si="54"/>
        <v>100</v>
      </c>
      <c r="S399" s="76">
        <f t="shared" si="55"/>
        <v>695</v>
      </c>
      <c r="T399" s="76">
        <f>50</f>
        <v>50</v>
      </c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</row>
    <row r="400" spans="1:30" ht="15.75" x14ac:dyDescent="0.25">
      <c r="A400" s="32">
        <v>53113</v>
      </c>
      <c r="B400" s="89">
        <v>31</v>
      </c>
      <c r="C400" s="76">
        <f>194.205</f>
        <v>194.20500000000001</v>
      </c>
      <c r="D400" s="76">
        <f>267.466</f>
        <v>267.46600000000001</v>
      </c>
      <c r="E400" s="85">
        <f>133.845</f>
        <v>133.845</v>
      </c>
      <c r="F400" s="76">
        <f>278.484-40-25-60-100</f>
        <v>53.48399999999998</v>
      </c>
      <c r="G400" s="79">
        <v>40</v>
      </c>
      <c r="H400" s="76">
        <f t="shared" si="62"/>
        <v>185</v>
      </c>
      <c r="I400" s="76">
        <f t="shared" si="59"/>
        <v>0</v>
      </c>
      <c r="J400" s="79">
        <v>100</v>
      </c>
      <c r="K400" s="79">
        <v>300</v>
      </c>
      <c r="L400" s="76">
        <f t="shared" si="52"/>
        <v>1274</v>
      </c>
      <c r="M400" s="87">
        <v>600</v>
      </c>
      <c r="N400" s="76">
        <f>75</f>
        <v>75</v>
      </c>
      <c r="O400" s="79">
        <v>240</v>
      </c>
      <c r="P400" s="79">
        <v>160</v>
      </c>
      <c r="Q400" s="79">
        <f t="shared" si="53"/>
        <v>195</v>
      </c>
      <c r="R400" s="79">
        <f t="shared" si="54"/>
        <v>100</v>
      </c>
      <c r="S400" s="76">
        <f t="shared" si="55"/>
        <v>695</v>
      </c>
      <c r="T400" s="76">
        <f>50</f>
        <v>50</v>
      </c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</row>
    <row r="401" spans="1:30" ht="15.75" x14ac:dyDescent="0.25">
      <c r="A401" s="32">
        <v>53143</v>
      </c>
      <c r="B401" s="89">
        <v>30</v>
      </c>
      <c r="C401" s="76">
        <f>194.205</f>
        <v>194.20500000000001</v>
      </c>
      <c r="D401" s="76">
        <f>267.466</f>
        <v>267.46600000000001</v>
      </c>
      <c r="E401" s="85">
        <f>133.845</f>
        <v>133.845</v>
      </c>
      <c r="F401" s="76">
        <f>278.484-40-25-60-100</f>
        <v>53.48399999999998</v>
      </c>
      <c r="G401" s="79">
        <v>40</v>
      </c>
      <c r="H401" s="76">
        <f t="shared" si="62"/>
        <v>185</v>
      </c>
      <c r="I401" s="76">
        <f t="shared" si="59"/>
        <v>0</v>
      </c>
      <c r="J401" s="79">
        <v>100</v>
      </c>
      <c r="K401" s="79">
        <v>300</v>
      </c>
      <c r="L401" s="76">
        <f t="shared" si="52"/>
        <v>1274</v>
      </c>
      <c r="M401" s="87">
        <v>600</v>
      </c>
      <c r="N401" s="76">
        <f>30</f>
        <v>30</v>
      </c>
      <c r="O401" s="79">
        <v>240</v>
      </c>
      <c r="P401" s="79">
        <v>160</v>
      </c>
      <c r="Q401" s="79">
        <f t="shared" si="53"/>
        <v>195</v>
      </c>
      <c r="R401" s="79">
        <f t="shared" si="54"/>
        <v>100</v>
      </c>
      <c r="S401" s="76">
        <f t="shared" si="55"/>
        <v>695</v>
      </c>
      <c r="T401" s="76">
        <f>50</f>
        <v>50</v>
      </c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</row>
    <row r="402" spans="1:30" ht="15.75" x14ac:dyDescent="0.25">
      <c r="A402" s="32">
        <v>53174</v>
      </c>
      <c r="B402" s="89">
        <v>31</v>
      </c>
      <c r="C402" s="76">
        <f>194.205</f>
        <v>194.20500000000001</v>
      </c>
      <c r="D402" s="76">
        <f>267.466</f>
        <v>267.46600000000001</v>
      </c>
      <c r="E402" s="85">
        <f>133.845</f>
        <v>133.845</v>
      </c>
      <c r="F402" s="76">
        <f>278.484-40-25-60-100</f>
        <v>53.48399999999998</v>
      </c>
      <c r="G402" s="79">
        <v>40</v>
      </c>
      <c r="H402" s="76">
        <f t="shared" si="62"/>
        <v>185</v>
      </c>
      <c r="I402" s="76">
        <f t="shared" si="59"/>
        <v>0</v>
      </c>
      <c r="J402" s="79">
        <v>100</v>
      </c>
      <c r="K402" s="79">
        <v>300</v>
      </c>
      <c r="L402" s="76">
        <f t="shared" ref="L402:L465" si="63">SUM(C402:K402)</f>
        <v>1274</v>
      </c>
      <c r="M402" s="87">
        <v>600</v>
      </c>
      <c r="N402" s="76">
        <f>30</f>
        <v>30</v>
      </c>
      <c r="O402" s="79">
        <v>240</v>
      </c>
      <c r="P402" s="79">
        <v>160</v>
      </c>
      <c r="Q402" s="79">
        <f t="shared" ref="Q402:Q465" si="64">695-R402-O402-P402</f>
        <v>195</v>
      </c>
      <c r="R402" s="79">
        <f t="shared" ref="R402:R465" si="65">200-J402</f>
        <v>100</v>
      </c>
      <c r="S402" s="76">
        <f t="shared" ref="S402:S465" si="66">SUM(O402:R402)</f>
        <v>695</v>
      </c>
      <c r="T402" s="76">
        <f>0</f>
        <v>0</v>
      </c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</row>
    <row r="403" spans="1:30" ht="15.75" x14ac:dyDescent="0.25">
      <c r="A403" s="32">
        <v>53205</v>
      </c>
      <c r="B403" s="89">
        <v>31</v>
      </c>
      <c r="C403" s="76">
        <f>194.205</f>
        <v>194.20500000000001</v>
      </c>
      <c r="D403" s="76">
        <f>267.466</f>
        <v>267.46600000000001</v>
      </c>
      <c r="E403" s="85">
        <f>133.845</f>
        <v>133.845</v>
      </c>
      <c r="F403" s="76">
        <f>278.484-40-25-60-100</f>
        <v>53.48399999999998</v>
      </c>
      <c r="G403" s="79">
        <v>40</v>
      </c>
      <c r="H403" s="76">
        <f t="shared" si="62"/>
        <v>185</v>
      </c>
      <c r="I403" s="76">
        <f t="shared" si="59"/>
        <v>0</v>
      </c>
      <c r="J403" s="79">
        <v>100</v>
      </c>
      <c r="K403" s="79">
        <v>300</v>
      </c>
      <c r="L403" s="76">
        <f t="shared" si="63"/>
        <v>1274</v>
      </c>
      <c r="M403" s="87">
        <v>600</v>
      </c>
      <c r="N403" s="76">
        <f>30</f>
        <v>30</v>
      </c>
      <c r="O403" s="79">
        <v>240</v>
      </c>
      <c r="P403" s="79">
        <v>160</v>
      </c>
      <c r="Q403" s="79">
        <f t="shared" si="64"/>
        <v>195</v>
      </c>
      <c r="R403" s="79">
        <f t="shared" si="65"/>
        <v>100</v>
      </c>
      <c r="S403" s="76">
        <f t="shared" si="66"/>
        <v>695</v>
      </c>
      <c r="T403" s="76">
        <f>0</f>
        <v>0</v>
      </c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</row>
    <row r="404" spans="1:30" ht="15.75" x14ac:dyDescent="0.25">
      <c r="A404" s="32">
        <v>53235</v>
      </c>
      <c r="B404" s="89">
        <v>30</v>
      </c>
      <c r="C404" s="76">
        <f>194.205</f>
        <v>194.20500000000001</v>
      </c>
      <c r="D404" s="76">
        <f>267.466</f>
        <v>267.46600000000001</v>
      </c>
      <c r="E404" s="85">
        <f>133.845</f>
        <v>133.845</v>
      </c>
      <c r="F404" s="76">
        <f>278.484-40-25-60-100</f>
        <v>53.48399999999998</v>
      </c>
      <c r="G404" s="79">
        <v>40</v>
      </c>
      <c r="H404" s="76">
        <f t="shared" si="62"/>
        <v>185</v>
      </c>
      <c r="I404" s="76">
        <f t="shared" si="59"/>
        <v>0</v>
      </c>
      <c r="J404" s="79">
        <v>100</v>
      </c>
      <c r="K404" s="79">
        <v>300</v>
      </c>
      <c r="L404" s="76">
        <f t="shared" si="63"/>
        <v>1274</v>
      </c>
      <c r="M404" s="87">
        <v>600</v>
      </c>
      <c r="N404" s="76">
        <f>30</f>
        <v>30</v>
      </c>
      <c r="O404" s="79">
        <v>240</v>
      </c>
      <c r="P404" s="79">
        <v>160</v>
      </c>
      <c r="Q404" s="79">
        <f t="shared" si="64"/>
        <v>195</v>
      </c>
      <c r="R404" s="79">
        <f t="shared" si="65"/>
        <v>100</v>
      </c>
      <c r="S404" s="76">
        <f t="shared" si="66"/>
        <v>695</v>
      </c>
      <c r="T404" s="76">
        <f>0</f>
        <v>0</v>
      </c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</row>
    <row r="405" spans="1:30" ht="15.75" x14ac:dyDescent="0.25">
      <c r="A405" s="32">
        <v>53266</v>
      </c>
      <c r="B405" s="89">
        <v>31</v>
      </c>
      <c r="C405" s="76">
        <f>131.881</f>
        <v>131.881</v>
      </c>
      <c r="D405" s="76">
        <f>277.167</f>
        <v>277.16699999999997</v>
      </c>
      <c r="E405" s="85">
        <f>79.08</f>
        <v>79.08</v>
      </c>
      <c r="F405" s="76">
        <f>350.872-40-25-60-100</f>
        <v>125.87200000000001</v>
      </c>
      <c r="G405" s="79">
        <v>40</v>
      </c>
      <c r="H405" s="76">
        <f t="shared" si="62"/>
        <v>185</v>
      </c>
      <c r="I405" s="76">
        <f t="shared" si="59"/>
        <v>0</v>
      </c>
      <c r="J405" s="79">
        <v>100</v>
      </c>
      <c r="K405" s="79">
        <v>300</v>
      </c>
      <c r="L405" s="76">
        <f t="shared" si="63"/>
        <v>1239</v>
      </c>
      <c r="M405" s="87">
        <v>600</v>
      </c>
      <c r="N405" s="76">
        <f>75</f>
        <v>75</v>
      </c>
      <c r="O405" s="79">
        <v>240</v>
      </c>
      <c r="P405" s="79">
        <v>160</v>
      </c>
      <c r="Q405" s="79">
        <f t="shared" si="64"/>
        <v>195</v>
      </c>
      <c r="R405" s="79">
        <f t="shared" si="65"/>
        <v>100</v>
      </c>
      <c r="S405" s="76">
        <f t="shared" si="66"/>
        <v>695</v>
      </c>
      <c r="T405" s="76">
        <f>0</f>
        <v>0</v>
      </c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</row>
    <row r="406" spans="1:30" ht="15.75" x14ac:dyDescent="0.25">
      <c r="A406" s="32">
        <v>53296</v>
      </c>
      <c r="B406" s="89">
        <v>30</v>
      </c>
      <c r="C406" s="76">
        <f>122.58</f>
        <v>122.58</v>
      </c>
      <c r="D406" s="76">
        <f>297.941</f>
        <v>297.94099999999997</v>
      </c>
      <c r="E406" s="85">
        <f>89.177</f>
        <v>89.177000000000007</v>
      </c>
      <c r="F406" s="76">
        <f>240.302-40-60-100</f>
        <v>40.301999999999992</v>
      </c>
      <c r="G406" s="79">
        <v>40</v>
      </c>
      <c r="H406" s="76">
        <f>60+100</f>
        <v>160</v>
      </c>
      <c r="I406" s="76">
        <f t="shared" si="59"/>
        <v>0</v>
      </c>
      <c r="J406" s="79">
        <v>100</v>
      </c>
      <c r="K406" s="79">
        <v>300</v>
      </c>
      <c r="L406" s="76">
        <f t="shared" si="63"/>
        <v>1150</v>
      </c>
      <c r="M406" s="87">
        <v>600</v>
      </c>
      <c r="N406" s="76">
        <f>100</f>
        <v>100</v>
      </c>
      <c r="O406" s="79">
        <v>240</v>
      </c>
      <c r="P406" s="79">
        <v>40</v>
      </c>
      <c r="Q406" s="79">
        <f t="shared" si="64"/>
        <v>315</v>
      </c>
      <c r="R406" s="79">
        <f t="shared" si="65"/>
        <v>100</v>
      </c>
      <c r="S406" s="76">
        <f t="shared" si="66"/>
        <v>695</v>
      </c>
      <c r="T406" s="76">
        <f>50</f>
        <v>50</v>
      </c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</row>
    <row r="407" spans="1:30" ht="15.75" x14ac:dyDescent="0.25">
      <c r="A407" s="32">
        <v>53327</v>
      </c>
      <c r="B407" s="89">
        <v>31</v>
      </c>
      <c r="C407" s="76">
        <f>122.58</f>
        <v>122.58</v>
      </c>
      <c r="D407" s="76">
        <f>297.941</f>
        <v>297.94099999999997</v>
      </c>
      <c r="E407" s="85">
        <f>89.177</f>
        <v>89.177000000000007</v>
      </c>
      <c r="F407" s="76">
        <f>240.302-40-60-100</f>
        <v>40.301999999999992</v>
      </c>
      <c r="G407" s="79">
        <v>40</v>
      </c>
      <c r="H407" s="76">
        <f>60+100</f>
        <v>160</v>
      </c>
      <c r="I407" s="76">
        <f t="shared" si="59"/>
        <v>0</v>
      </c>
      <c r="J407" s="79">
        <v>100</v>
      </c>
      <c r="K407" s="79">
        <v>300</v>
      </c>
      <c r="L407" s="76">
        <f t="shared" si="63"/>
        <v>1150</v>
      </c>
      <c r="M407" s="87">
        <v>600</v>
      </c>
      <c r="N407" s="76">
        <f>100</f>
        <v>100</v>
      </c>
      <c r="O407" s="79">
        <v>240</v>
      </c>
      <c r="P407" s="79">
        <v>40</v>
      </c>
      <c r="Q407" s="79">
        <f t="shared" si="64"/>
        <v>315</v>
      </c>
      <c r="R407" s="79">
        <f t="shared" si="65"/>
        <v>100</v>
      </c>
      <c r="S407" s="76">
        <f t="shared" si="66"/>
        <v>695</v>
      </c>
      <c r="T407" s="76">
        <f>50</f>
        <v>50</v>
      </c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</row>
    <row r="408" spans="1:30" ht="15.75" x14ac:dyDescent="0.25">
      <c r="A408" s="32">
        <v>53358</v>
      </c>
      <c r="B408" s="89">
        <v>31</v>
      </c>
      <c r="C408" s="76">
        <f>122.58</f>
        <v>122.58</v>
      </c>
      <c r="D408" s="76">
        <f>297.941</f>
        <v>297.94099999999997</v>
      </c>
      <c r="E408" s="85">
        <f>89.177</f>
        <v>89.177000000000007</v>
      </c>
      <c r="F408" s="76">
        <f>240.302-40-60-100</f>
        <v>40.301999999999992</v>
      </c>
      <c r="G408" s="79">
        <v>40</v>
      </c>
      <c r="H408" s="76">
        <f>60+100</f>
        <v>160</v>
      </c>
      <c r="I408" s="76">
        <f t="shared" si="59"/>
        <v>0</v>
      </c>
      <c r="J408" s="79">
        <v>100</v>
      </c>
      <c r="K408" s="79">
        <v>300</v>
      </c>
      <c r="L408" s="76">
        <f t="shared" si="63"/>
        <v>1150</v>
      </c>
      <c r="M408" s="87">
        <v>600</v>
      </c>
      <c r="N408" s="76">
        <f>100</f>
        <v>100</v>
      </c>
      <c r="O408" s="79">
        <v>240</v>
      </c>
      <c r="P408" s="79">
        <v>40</v>
      </c>
      <c r="Q408" s="79">
        <f t="shared" si="64"/>
        <v>315</v>
      </c>
      <c r="R408" s="79">
        <f t="shared" si="65"/>
        <v>100</v>
      </c>
      <c r="S408" s="76">
        <f t="shared" si="66"/>
        <v>695</v>
      </c>
      <c r="T408" s="76">
        <f>50</f>
        <v>50</v>
      </c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</row>
    <row r="409" spans="1:30" ht="15.75" x14ac:dyDescent="0.25">
      <c r="A409" s="32">
        <v>53386</v>
      </c>
      <c r="B409" s="89">
        <v>28</v>
      </c>
      <c r="C409" s="76">
        <f>122.58</f>
        <v>122.58</v>
      </c>
      <c r="D409" s="76">
        <f>297.941</f>
        <v>297.94099999999997</v>
      </c>
      <c r="E409" s="85">
        <f>89.177</f>
        <v>89.177000000000007</v>
      </c>
      <c r="F409" s="76">
        <f>240.302-40-60-100</f>
        <v>40.301999999999992</v>
      </c>
      <c r="G409" s="79">
        <v>40</v>
      </c>
      <c r="H409" s="76">
        <f>60+100</f>
        <v>160</v>
      </c>
      <c r="I409" s="76">
        <f t="shared" si="59"/>
        <v>0</v>
      </c>
      <c r="J409" s="79">
        <v>100</v>
      </c>
      <c r="K409" s="79">
        <v>300</v>
      </c>
      <c r="L409" s="76">
        <f t="shared" si="63"/>
        <v>1150</v>
      </c>
      <c r="M409" s="87">
        <v>600</v>
      </c>
      <c r="N409" s="76">
        <f>100</f>
        <v>100</v>
      </c>
      <c r="O409" s="79">
        <v>240</v>
      </c>
      <c r="P409" s="79">
        <v>40</v>
      </c>
      <c r="Q409" s="79">
        <f t="shared" si="64"/>
        <v>315</v>
      </c>
      <c r="R409" s="79">
        <f t="shared" si="65"/>
        <v>100</v>
      </c>
      <c r="S409" s="76">
        <f t="shared" si="66"/>
        <v>695</v>
      </c>
      <c r="T409" s="76">
        <f>50</f>
        <v>50</v>
      </c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</row>
    <row r="410" spans="1:30" ht="15.75" x14ac:dyDescent="0.25">
      <c r="A410" s="32">
        <v>53417</v>
      </c>
      <c r="B410" s="89">
        <v>31</v>
      </c>
      <c r="C410" s="76">
        <f>122.58</f>
        <v>122.58</v>
      </c>
      <c r="D410" s="76">
        <f>297.941</f>
        <v>297.94099999999997</v>
      </c>
      <c r="E410" s="85">
        <f>89.177</f>
        <v>89.177000000000007</v>
      </c>
      <c r="F410" s="76">
        <f>240.302-40-60-100</f>
        <v>40.301999999999992</v>
      </c>
      <c r="G410" s="79">
        <v>40</v>
      </c>
      <c r="H410" s="76">
        <f>60+100</f>
        <v>160</v>
      </c>
      <c r="I410" s="76">
        <f t="shared" si="59"/>
        <v>0</v>
      </c>
      <c r="J410" s="79">
        <v>100</v>
      </c>
      <c r="K410" s="79">
        <v>300</v>
      </c>
      <c r="L410" s="76">
        <f t="shared" si="63"/>
        <v>1150</v>
      </c>
      <c r="M410" s="87">
        <v>600</v>
      </c>
      <c r="N410" s="76">
        <f>100</f>
        <v>100</v>
      </c>
      <c r="O410" s="79">
        <v>240</v>
      </c>
      <c r="P410" s="79">
        <v>40</v>
      </c>
      <c r="Q410" s="79">
        <f t="shared" si="64"/>
        <v>315</v>
      </c>
      <c r="R410" s="79">
        <f t="shared" si="65"/>
        <v>100</v>
      </c>
      <c r="S410" s="76">
        <f t="shared" si="66"/>
        <v>695</v>
      </c>
      <c r="T410" s="76">
        <f>50</f>
        <v>50</v>
      </c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</row>
    <row r="411" spans="1:30" ht="15.75" x14ac:dyDescent="0.25">
      <c r="A411" s="32">
        <v>53447</v>
      </c>
      <c r="B411" s="89">
        <v>30</v>
      </c>
      <c r="C411" s="76">
        <f>141.293</f>
        <v>141.29300000000001</v>
      </c>
      <c r="D411" s="76">
        <f>267.993</f>
        <v>267.99299999999999</v>
      </c>
      <c r="E411" s="85">
        <f>115.016</f>
        <v>115.01600000000001</v>
      </c>
      <c r="F411" s="76">
        <f>314.698-40-25-60-100</f>
        <v>89.697999999999979</v>
      </c>
      <c r="G411" s="79">
        <v>40</v>
      </c>
      <c r="H411" s="76">
        <f t="shared" ref="H411:H417" si="67">25+60+100</f>
        <v>185</v>
      </c>
      <c r="I411" s="76">
        <f t="shared" si="59"/>
        <v>0</v>
      </c>
      <c r="J411" s="79">
        <v>100</v>
      </c>
      <c r="K411" s="79">
        <v>300</v>
      </c>
      <c r="L411" s="76">
        <f t="shared" si="63"/>
        <v>1239</v>
      </c>
      <c r="M411" s="87">
        <v>600</v>
      </c>
      <c r="N411" s="76">
        <f>100</f>
        <v>100</v>
      </c>
      <c r="O411" s="79">
        <v>240</v>
      </c>
      <c r="P411" s="79">
        <v>160</v>
      </c>
      <c r="Q411" s="79">
        <f t="shared" si="64"/>
        <v>195</v>
      </c>
      <c r="R411" s="79">
        <f t="shared" si="65"/>
        <v>100</v>
      </c>
      <c r="S411" s="76">
        <f t="shared" si="66"/>
        <v>695</v>
      </c>
      <c r="T411" s="76">
        <f>50</f>
        <v>50</v>
      </c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</row>
    <row r="412" spans="1:30" ht="15.75" x14ac:dyDescent="0.25">
      <c r="A412" s="32">
        <v>53478</v>
      </c>
      <c r="B412" s="89">
        <v>31</v>
      </c>
      <c r="C412" s="76">
        <f>194.205</f>
        <v>194.20500000000001</v>
      </c>
      <c r="D412" s="76">
        <f>267.466</f>
        <v>267.46600000000001</v>
      </c>
      <c r="E412" s="85">
        <f>133.845</f>
        <v>133.845</v>
      </c>
      <c r="F412" s="76">
        <f>278.484-40-25-60-100</f>
        <v>53.48399999999998</v>
      </c>
      <c r="G412" s="79">
        <v>40</v>
      </c>
      <c r="H412" s="76">
        <f t="shared" si="67"/>
        <v>185</v>
      </c>
      <c r="I412" s="76">
        <f t="shared" si="59"/>
        <v>0</v>
      </c>
      <c r="J412" s="79">
        <v>100</v>
      </c>
      <c r="K412" s="79">
        <v>300</v>
      </c>
      <c r="L412" s="76">
        <f t="shared" si="63"/>
        <v>1274</v>
      </c>
      <c r="M412" s="87">
        <v>600</v>
      </c>
      <c r="N412" s="76">
        <f>75</f>
        <v>75</v>
      </c>
      <c r="O412" s="79">
        <v>240</v>
      </c>
      <c r="P412" s="79">
        <v>160</v>
      </c>
      <c r="Q412" s="79">
        <f t="shared" si="64"/>
        <v>195</v>
      </c>
      <c r="R412" s="79">
        <f t="shared" si="65"/>
        <v>100</v>
      </c>
      <c r="S412" s="76">
        <f t="shared" si="66"/>
        <v>695</v>
      </c>
      <c r="T412" s="76">
        <f>50</f>
        <v>50</v>
      </c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</row>
    <row r="413" spans="1:30" ht="15.75" x14ac:dyDescent="0.25">
      <c r="A413" s="32">
        <v>53508</v>
      </c>
      <c r="B413" s="89">
        <v>30</v>
      </c>
      <c r="C413" s="76">
        <f>194.205</f>
        <v>194.20500000000001</v>
      </c>
      <c r="D413" s="76">
        <f>267.466</f>
        <v>267.46600000000001</v>
      </c>
      <c r="E413" s="85">
        <f>133.845</f>
        <v>133.845</v>
      </c>
      <c r="F413" s="76">
        <f>278.484-40-25-60-100</f>
        <v>53.48399999999998</v>
      </c>
      <c r="G413" s="79">
        <v>40</v>
      </c>
      <c r="H413" s="76">
        <f t="shared" si="67"/>
        <v>185</v>
      </c>
      <c r="I413" s="76">
        <f t="shared" si="59"/>
        <v>0</v>
      </c>
      <c r="J413" s="79">
        <v>100</v>
      </c>
      <c r="K413" s="79">
        <v>300</v>
      </c>
      <c r="L413" s="76">
        <f t="shared" si="63"/>
        <v>1274</v>
      </c>
      <c r="M413" s="87">
        <v>600</v>
      </c>
      <c r="N413" s="76">
        <f>30</f>
        <v>30</v>
      </c>
      <c r="O413" s="79">
        <v>240</v>
      </c>
      <c r="P413" s="79">
        <v>160</v>
      </c>
      <c r="Q413" s="79">
        <f t="shared" si="64"/>
        <v>195</v>
      </c>
      <c r="R413" s="79">
        <f t="shared" si="65"/>
        <v>100</v>
      </c>
      <c r="S413" s="76">
        <f t="shared" si="66"/>
        <v>695</v>
      </c>
      <c r="T413" s="76">
        <f>50</f>
        <v>50</v>
      </c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</row>
    <row r="414" spans="1:30" ht="15.75" x14ac:dyDescent="0.25">
      <c r="A414" s="32">
        <v>53539</v>
      </c>
      <c r="B414" s="89">
        <v>31</v>
      </c>
      <c r="C414" s="76">
        <f>194.205</f>
        <v>194.20500000000001</v>
      </c>
      <c r="D414" s="76">
        <f>267.466</f>
        <v>267.46600000000001</v>
      </c>
      <c r="E414" s="85">
        <f>133.845</f>
        <v>133.845</v>
      </c>
      <c r="F414" s="76">
        <f>278.484-40-25-60-100</f>
        <v>53.48399999999998</v>
      </c>
      <c r="G414" s="79">
        <v>40</v>
      </c>
      <c r="H414" s="76">
        <f t="shared" si="67"/>
        <v>185</v>
      </c>
      <c r="I414" s="76">
        <f t="shared" si="59"/>
        <v>0</v>
      </c>
      <c r="J414" s="79">
        <v>100</v>
      </c>
      <c r="K414" s="79">
        <v>300</v>
      </c>
      <c r="L414" s="76">
        <f t="shared" si="63"/>
        <v>1274</v>
      </c>
      <c r="M414" s="87">
        <v>600</v>
      </c>
      <c r="N414" s="76">
        <f>30</f>
        <v>30</v>
      </c>
      <c r="O414" s="79">
        <v>240</v>
      </c>
      <c r="P414" s="79">
        <v>160</v>
      </c>
      <c r="Q414" s="79">
        <f t="shared" si="64"/>
        <v>195</v>
      </c>
      <c r="R414" s="79">
        <f t="shared" si="65"/>
        <v>100</v>
      </c>
      <c r="S414" s="76">
        <f t="shared" si="66"/>
        <v>695</v>
      </c>
      <c r="T414" s="76">
        <f>0</f>
        <v>0</v>
      </c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</row>
    <row r="415" spans="1:30" ht="15.75" x14ac:dyDescent="0.25">
      <c r="A415" s="32">
        <v>53570</v>
      </c>
      <c r="B415" s="89">
        <v>31</v>
      </c>
      <c r="C415" s="76">
        <f>194.205</f>
        <v>194.20500000000001</v>
      </c>
      <c r="D415" s="76">
        <f>267.466</f>
        <v>267.46600000000001</v>
      </c>
      <c r="E415" s="85">
        <f>133.845</f>
        <v>133.845</v>
      </c>
      <c r="F415" s="76">
        <f>278.484-40-25-60-100</f>
        <v>53.48399999999998</v>
      </c>
      <c r="G415" s="79">
        <v>40</v>
      </c>
      <c r="H415" s="76">
        <f t="shared" si="67"/>
        <v>185</v>
      </c>
      <c r="I415" s="76">
        <f t="shared" si="59"/>
        <v>0</v>
      </c>
      <c r="J415" s="79">
        <v>100</v>
      </c>
      <c r="K415" s="79">
        <v>300</v>
      </c>
      <c r="L415" s="76">
        <f t="shared" si="63"/>
        <v>1274</v>
      </c>
      <c r="M415" s="87">
        <v>600</v>
      </c>
      <c r="N415" s="76">
        <f>30</f>
        <v>30</v>
      </c>
      <c r="O415" s="79">
        <v>240</v>
      </c>
      <c r="P415" s="79">
        <v>160</v>
      </c>
      <c r="Q415" s="79">
        <f t="shared" si="64"/>
        <v>195</v>
      </c>
      <c r="R415" s="79">
        <f t="shared" si="65"/>
        <v>100</v>
      </c>
      <c r="S415" s="76">
        <f t="shared" si="66"/>
        <v>695</v>
      </c>
      <c r="T415" s="76">
        <f>0</f>
        <v>0</v>
      </c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</row>
    <row r="416" spans="1:30" ht="15.75" x14ac:dyDescent="0.25">
      <c r="A416" s="32">
        <v>53600</v>
      </c>
      <c r="B416" s="89">
        <v>30</v>
      </c>
      <c r="C416" s="76">
        <f>194.205</f>
        <v>194.20500000000001</v>
      </c>
      <c r="D416" s="76">
        <f>267.466</f>
        <v>267.46600000000001</v>
      </c>
      <c r="E416" s="85">
        <f>133.845</f>
        <v>133.845</v>
      </c>
      <c r="F416" s="76">
        <f>278.484-40-25-60-100</f>
        <v>53.48399999999998</v>
      </c>
      <c r="G416" s="79">
        <v>40</v>
      </c>
      <c r="H416" s="76">
        <f t="shared" si="67"/>
        <v>185</v>
      </c>
      <c r="I416" s="76">
        <f t="shared" si="59"/>
        <v>0</v>
      </c>
      <c r="J416" s="79">
        <v>100</v>
      </c>
      <c r="K416" s="79">
        <v>300</v>
      </c>
      <c r="L416" s="76">
        <f t="shared" si="63"/>
        <v>1274</v>
      </c>
      <c r="M416" s="87">
        <v>600</v>
      </c>
      <c r="N416" s="76">
        <f>30</f>
        <v>30</v>
      </c>
      <c r="O416" s="79">
        <v>240</v>
      </c>
      <c r="P416" s="79">
        <v>160</v>
      </c>
      <c r="Q416" s="79">
        <f t="shared" si="64"/>
        <v>195</v>
      </c>
      <c r="R416" s="79">
        <f t="shared" si="65"/>
        <v>100</v>
      </c>
      <c r="S416" s="76">
        <f t="shared" si="66"/>
        <v>695</v>
      </c>
      <c r="T416" s="76">
        <f>0</f>
        <v>0</v>
      </c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</row>
    <row r="417" spans="1:30" ht="15.75" x14ac:dyDescent="0.25">
      <c r="A417" s="32">
        <v>53631</v>
      </c>
      <c r="B417" s="89">
        <v>31</v>
      </c>
      <c r="C417" s="76">
        <f>131.881</f>
        <v>131.881</v>
      </c>
      <c r="D417" s="76">
        <f>277.167</f>
        <v>277.16699999999997</v>
      </c>
      <c r="E417" s="85">
        <f>79.08</f>
        <v>79.08</v>
      </c>
      <c r="F417" s="76">
        <f>350.872-40-25-60-100</f>
        <v>125.87200000000001</v>
      </c>
      <c r="G417" s="79">
        <v>40</v>
      </c>
      <c r="H417" s="76">
        <f t="shared" si="67"/>
        <v>185</v>
      </c>
      <c r="I417" s="76">
        <f t="shared" si="59"/>
        <v>0</v>
      </c>
      <c r="J417" s="79">
        <v>100</v>
      </c>
      <c r="K417" s="79">
        <v>300</v>
      </c>
      <c r="L417" s="76">
        <f t="shared" si="63"/>
        <v>1239</v>
      </c>
      <c r="M417" s="87">
        <v>600</v>
      </c>
      <c r="N417" s="76">
        <f>75</f>
        <v>75</v>
      </c>
      <c r="O417" s="79">
        <v>240</v>
      </c>
      <c r="P417" s="79">
        <v>160</v>
      </c>
      <c r="Q417" s="79">
        <f t="shared" si="64"/>
        <v>195</v>
      </c>
      <c r="R417" s="79">
        <f t="shared" si="65"/>
        <v>100</v>
      </c>
      <c r="S417" s="76">
        <f t="shared" si="66"/>
        <v>695</v>
      </c>
      <c r="T417" s="76">
        <f>0</f>
        <v>0</v>
      </c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</row>
    <row r="418" spans="1:30" ht="15.75" x14ac:dyDescent="0.25">
      <c r="A418" s="32">
        <v>53661</v>
      </c>
      <c r="B418" s="89">
        <v>30</v>
      </c>
      <c r="C418" s="76">
        <f>122.58</f>
        <v>122.58</v>
      </c>
      <c r="D418" s="76">
        <f>297.941</f>
        <v>297.94099999999997</v>
      </c>
      <c r="E418" s="85">
        <f>89.177</f>
        <v>89.177000000000007</v>
      </c>
      <c r="F418" s="76">
        <f>240.302-40-60-100</f>
        <v>40.301999999999992</v>
      </c>
      <c r="G418" s="79">
        <v>40</v>
      </c>
      <c r="H418" s="76">
        <f>60+100</f>
        <v>160</v>
      </c>
      <c r="I418" s="76">
        <f t="shared" si="59"/>
        <v>0</v>
      </c>
      <c r="J418" s="79">
        <v>100</v>
      </c>
      <c r="K418" s="79">
        <v>300</v>
      </c>
      <c r="L418" s="76">
        <f t="shared" si="63"/>
        <v>1150</v>
      </c>
      <c r="M418" s="87">
        <v>600</v>
      </c>
      <c r="N418" s="76">
        <f>100</f>
        <v>100</v>
      </c>
      <c r="O418" s="79">
        <v>240</v>
      </c>
      <c r="P418" s="79">
        <v>40</v>
      </c>
      <c r="Q418" s="79">
        <f t="shared" si="64"/>
        <v>315</v>
      </c>
      <c r="R418" s="79">
        <f t="shared" si="65"/>
        <v>100</v>
      </c>
      <c r="S418" s="76">
        <f t="shared" si="66"/>
        <v>695</v>
      </c>
      <c r="T418" s="76">
        <f>50</f>
        <v>50</v>
      </c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</row>
    <row r="419" spans="1:30" ht="15.75" x14ac:dyDescent="0.25">
      <c r="A419" s="32">
        <v>53692</v>
      </c>
      <c r="B419" s="89">
        <v>31</v>
      </c>
      <c r="C419" s="76">
        <f>122.58</f>
        <v>122.58</v>
      </c>
      <c r="D419" s="76">
        <f>297.941</f>
        <v>297.94099999999997</v>
      </c>
      <c r="E419" s="85">
        <f>89.177</f>
        <v>89.177000000000007</v>
      </c>
      <c r="F419" s="76">
        <f>240.302-40-60-100</f>
        <v>40.301999999999992</v>
      </c>
      <c r="G419" s="79">
        <v>40</v>
      </c>
      <c r="H419" s="76">
        <f>60+100</f>
        <v>160</v>
      </c>
      <c r="I419" s="76">
        <f t="shared" si="59"/>
        <v>0</v>
      </c>
      <c r="J419" s="79">
        <v>100</v>
      </c>
      <c r="K419" s="79">
        <v>300</v>
      </c>
      <c r="L419" s="76">
        <f t="shared" si="63"/>
        <v>1150</v>
      </c>
      <c r="M419" s="87">
        <v>600</v>
      </c>
      <c r="N419" s="76">
        <f>100</f>
        <v>100</v>
      </c>
      <c r="O419" s="79">
        <v>240</v>
      </c>
      <c r="P419" s="79">
        <v>40</v>
      </c>
      <c r="Q419" s="79">
        <f t="shared" si="64"/>
        <v>315</v>
      </c>
      <c r="R419" s="79">
        <f t="shared" si="65"/>
        <v>100</v>
      </c>
      <c r="S419" s="76">
        <f t="shared" si="66"/>
        <v>695</v>
      </c>
      <c r="T419" s="76">
        <f>50</f>
        <v>50</v>
      </c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</row>
    <row r="420" spans="1:30" ht="15.75" x14ac:dyDescent="0.25">
      <c r="A420" s="32">
        <v>53723</v>
      </c>
      <c r="B420" s="89">
        <v>31</v>
      </c>
      <c r="C420" s="76">
        <f>122.58</f>
        <v>122.58</v>
      </c>
      <c r="D420" s="76">
        <f>297.941</f>
        <v>297.94099999999997</v>
      </c>
      <c r="E420" s="85">
        <f>89.177</f>
        <v>89.177000000000007</v>
      </c>
      <c r="F420" s="76">
        <f>240.302-40-60-100</f>
        <v>40.301999999999992</v>
      </c>
      <c r="G420" s="79">
        <v>40</v>
      </c>
      <c r="H420" s="76">
        <f>60+100</f>
        <v>160</v>
      </c>
      <c r="I420" s="76">
        <f t="shared" si="59"/>
        <v>0</v>
      </c>
      <c r="J420" s="79">
        <v>100</v>
      </c>
      <c r="K420" s="79">
        <v>300</v>
      </c>
      <c r="L420" s="76">
        <f t="shared" si="63"/>
        <v>1150</v>
      </c>
      <c r="M420" s="87">
        <v>600</v>
      </c>
      <c r="N420" s="76">
        <f>100</f>
        <v>100</v>
      </c>
      <c r="O420" s="79">
        <v>240</v>
      </c>
      <c r="P420" s="79">
        <v>40</v>
      </c>
      <c r="Q420" s="79">
        <f t="shared" si="64"/>
        <v>315</v>
      </c>
      <c r="R420" s="79">
        <f t="shared" si="65"/>
        <v>100</v>
      </c>
      <c r="S420" s="76">
        <f t="shared" si="66"/>
        <v>695</v>
      </c>
      <c r="T420" s="76">
        <f>50</f>
        <v>50</v>
      </c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</row>
    <row r="421" spans="1:30" ht="15.75" x14ac:dyDescent="0.25">
      <c r="A421" s="32">
        <v>53751</v>
      </c>
      <c r="B421" s="89">
        <v>28</v>
      </c>
      <c r="C421" s="76">
        <f>122.58</f>
        <v>122.58</v>
      </c>
      <c r="D421" s="76">
        <f>297.941</f>
        <v>297.94099999999997</v>
      </c>
      <c r="E421" s="85">
        <f>89.177</f>
        <v>89.177000000000007</v>
      </c>
      <c r="F421" s="76">
        <f>240.302-40-60-100</f>
        <v>40.301999999999992</v>
      </c>
      <c r="G421" s="79">
        <v>40</v>
      </c>
      <c r="H421" s="76">
        <f>60+100</f>
        <v>160</v>
      </c>
      <c r="I421" s="76">
        <f t="shared" si="59"/>
        <v>0</v>
      </c>
      <c r="J421" s="79">
        <v>100</v>
      </c>
      <c r="K421" s="79">
        <v>300</v>
      </c>
      <c r="L421" s="76">
        <f t="shared" si="63"/>
        <v>1150</v>
      </c>
      <c r="M421" s="87">
        <v>600</v>
      </c>
      <c r="N421" s="76">
        <f>100</f>
        <v>100</v>
      </c>
      <c r="O421" s="79">
        <v>240</v>
      </c>
      <c r="P421" s="79">
        <v>40</v>
      </c>
      <c r="Q421" s="79">
        <f t="shared" si="64"/>
        <v>315</v>
      </c>
      <c r="R421" s="79">
        <f t="shared" si="65"/>
        <v>100</v>
      </c>
      <c r="S421" s="76">
        <f t="shared" si="66"/>
        <v>695</v>
      </c>
      <c r="T421" s="76">
        <f>50</f>
        <v>50</v>
      </c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</row>
    <row r="422" spans="1:30" ht="15.75" x14ac:dyDescent="0.25">
      <c r="A422" s="32">
        <v>53782</v>
      </c>
      <c r="B422" s="89">
        <v>31</v>
      </c>
      <c r="C422" s="76">
        <f>122.58</f>
        <v>122.58</v>
      </c>
      <c r="D422" s="76">
        <f>297.941</f>
        <v>297.94099999999997</v>
      </c>
      <c r="E422" s="85">
        <f>89.177</f>
        <v>89.177000000000007</v>
      </c>
      <c r="F422" s="76">
        <f>240.302-40-60-100</f>
        <v>40.301999999999992</v>
      </c>
      <c r="G422" s="79">
        <v>40</v>
      </c>
      <c r="H422" s="76">
        <f>60+100</f>
        <v>160</v>
      </c>
      <c r="I422" s="76">
        <f t="shared" si="59"/>
        <v>0</v>
      </c>
      <c r="J422" s="79">
        <v>100</v>
      </c>
      <c r="K422" s="79">
        <v>300</v>
      </c>
      <c r="L422" s="76">
        <f t="shared" si="63"/>
        <v>1150</v>
      </c>
      <c r="M422" s="87">
        <v>600</v>
      </c>
      <c r="N422" s="76">
        <f>100</f>
        <v>100</v>
      </c>
      <c r="O422" s="79">
        <v>240</v>
      </c>
      <c r="P422" s="79">
        <v>40</v>
      </c>
      <c r="Q422" s="79">
        <f t="shared" si="64"/>
        <v>315</v>
      </c>
      <c r="R422" s="79">
        <f t="shared" si="65"/>
        <v>100</v>
      </c>
      <c r="S422" s="76">
        <f t="shared" si="66"/>
        <v>695</v>
      </c>
      <c r="T422" s="76">
        <f>50</f>
        <v>50</v>
      </c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</row>
    <row r="423" spans="1:30" ht="15.75" x14ac:dyDescent="0.25">
      <c r="A423" s="32">
        <v>53812</v>
      </c>
      <c r="B423" s="89">
        <v>30</v>
      </c>
      <c r="C423" s="76">
        <f>141.293</f>
        <v>141.29300000000001</v>
      </c>
      <c r="D423" s="76">
        <f>267.993</f>
        <v>267.99299999999999</v>
      </c>
      <c r="E423" s="85">
        <f>115.016</f>
        <v>115.01600000000001</v>
      </c>
      <c r="F423" s="76">
        <f>314.698-40-25-60-100</f>
        <v>89.697999999999979</v>
      </c>
      <c r="G423" s="79">
        <v>40</v>
      </c>
      <c r="H423" s="76">
        <f t="shared" ref="H423:H429" si="68">25+60+100</f>
        <v>185</v>
      </c>
      <c r="I423" s="76">
        <f t="shared" si="59"/>
        <v>0</v>
      </c>
      <c r="J423" s="79">
        <v>100</v>
      </c>
      <c r="K423" s="79">
        <v>300</v>
      </c>
      <c r="L423" s="76">
        <f t="shared" si="63"/>
        <v>1239</v>
      </c>
      <c r="M423" s="87">
        <v>600</v>
      </c>
      <c r="N423" s="76">
        <f>100</f>
        <v>100</v>
      </c>
      <c r="O423" s="79">
        <v>240</v>
      </c>
      <c r="P423" s="79">
        <v>160</v>
      </c>
      <c r="Q423" s="79">
        <f t="shared" si="64"/>
        <v>195</v>
      </c>
      <c r="R423" s="79">
        <f t="shared" si="65"/>
        <v>100</v>
      </c>
      <c r="S423" s="76">
        <f t="shared" si="66"/>
        <v>695</v>
      </c>
      <c r="T423" s="76">
        <f>50</f>
        <v>50</v>
      </c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</row>
    <row r="424" spans="1:30" ht="15.75" x14ac:dyDescent="0.25">
      <c r="A424" s="32">
        <v>53843</v>
      </c>
      <c r="B424" s="89">
        <v>31</v>
      </c>
      <c r="C424" s="76">
        <f>194.205</f>
        <v>194.20500000000001</v>
      </c>
      <c r="D424" s="76">
        <f>267.466</f>
        <v>267.46600000000001</v>
      </c>
      <c r="E424" s="85">
        <f>133.845</f>
        <v>133.845</v>
      </c>
      <c r="F424" s="76">
        <f>278.484-40-25-60-100</f>
        <v>53.48399999999998</v>
      </c>
      <c r="G424" s="79">
        <v>40</v>
      </c>
      <c r="H424" s="76">
        <f t="shared" si="68"/>
        <v>185</v>
      </c>
      <c r="I424" s="76">
        <f t="shared" si="59"/>
        <v>0</v>
      </c>
      <c r="J424" s="79">
        <v>100</v>
      </c>
      <c r="K424" s="79">
        <v>300</v>
      </c>
      <c r="L424" s="76">
        <f t="shared" si="63"/>
        <v>1274</v>
      </c>
      <c r="M424" s="87">
        <v>600</v>
      </c>
      <c r="N424" s="76">
        <f>75</f>
        <v>75</v>
      </c>
      <c r="O424" s="79">
        <v>240</v>
      </c>
      <c r="P424" s="79">
        <v>160</v>
      </c>
      <c r="Q424" s="79">
        <f t="shared" si="64"/>
        <v>195</v>
      </c>
      <c r="R424" s="79">
        <f t="shared" si="65"/>
        <v>100</v>
      </c>
      <c r="S424" s="76">
        <f t="shared" si="66"/>
        <v>695</v>
      </c>
      <c r="T424" s="76">
        <f>50</f>
        <v>50</v>
      </c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</row>
    <row r="425" spans="1:30" ht="15.75" x14ac:dyDescent="0.25">
      <c r="A425" s="32">
        <v>53873</v>
      </c>
      <c r="B425" s="89">
        <v>30</v>
      </c>
      <c r="C425" s="76">
        <f>194.205</f>
        <v>194.20500000000001</v>
      </c>
      <c r="D425" s="76">
        <f>267.466</f>
        <v>267.46600000000001</v>
      </c>
      <c r="E425" s="85">
        <f>133.845</f>
        <v>133.845</v>
      </c>
      <c r="F425" s="76">
        <f>278.484-40-25-60-100</f>
        <v>53.48399999999998</v>
      </c>
      <c r="G425" s="79">
        <v>40</v>
      </c>
      <c r="H425" s="76">
        <f t="shared" si="68"/>
        <v>185</v>
      </c>
      <c r="I425" s="76">
        <f t="shared" si="59"/>
        <v>0</v>
      </c>
      <c r="J425" s="79">
        <v>100</v>
      </c>
      <c r="K425" s="79">
        <v>300</v>
      </c>
      <c r="L425" s="76">
        <f t="shared" si="63"/>
        <v>1274</v>
      </c>
      <c r="M425" s="87">
        <v>600</v>
      </c>
      <c r="N425" s="76">
        <f>30</f>
        <v>30</v>
      </c>
      <c r="O425" s="79">
        <v>240</v>
      </c>
      <c r="P425" s="79">
        <v>160</v>
      </c>
      <c r="Q425" s="79">
        <f t="shared" si="64"/>
        <v>195</v>
      </c>
      <c r="R425" s="79">
        <f t="shared" si="65"/>
        <v>100</v>
      </c>
      <c r="S425" s="76">
        <f t="shared" si="66"/>
        <v>695</v>
      </c>
      <c r="T425" s="76">
        <f>50</f>
        <v>50</v>
      </c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</row>
    <row r="426" spans="1:30" ht="15.75" x14ac:dyDescent="0.25">
      <c r="A426" s="32">
        <v>53904</v>
      </c>
      <c r="B426" s="89">
        <v>31</v>
      </c>
      <c r="C426" s="76">
        <f>194.205</f>
        <v>194.20500000000001</v>
      </c>
      <c r="D426" s="76">
        <f>267.466</f>
        <v>267.46600000000001</v>
      </c>
      <c r="E426" s="85">
        <f>133.845</f>
        <v>133.845</v>
      </c>
      <c r="F426" s="76">
        <f>278.484-40-25-60-100</f>
        <v>53.48399999999998</v>
      </c>
      <c r="G426" s="79">
        <v>40</v>
      </c>
      <c r="H426" s="76">
        <f t="shared" si="68"/>
        <v>185</v>
      </c>
      <c r="I426" s="76">
        <f t="shared" si="59"/>
        <v>0</v>
      </c>
      <c r="J426" s="79">
        <v>100</v>
      </c>
      <c r="K426" s="79">
        <v>300</v>
      </c>
      <c r="L426" s="76">
        <f t="shared" si="63"/>
        <v>1274</v>
      </c>
      <c r="M426" s="87">
        <v>600</v>
      </c>
      <c r="N426" s="76">
        <f>30</f>
        <v>30</v>
      </c>
      <c r="O426" s="79">
        <v>240</v>
      </c>
      <c r="P426" s="79">
        <v>160</v>
      </c>
      <c r="Q426" s="79">
        <f t="shared" si="64"/>
        <v>195</v>
      </c>
      <c r="R426" s="79">
        <f t="shared" si="65"/>
        <v>100</v>
      </c>
      <c r="S426" s="76">
        <f t="shared" si="66"/>
        <v>695</v>
      </c>
      <c r="T426" s="76">
        <f>0</f>
        <v>0</v>
      </c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</row>
    <row r="427" spans="1:30" ht="15.75" x14ac:dyDescent="0.25">
      <c r="A427" s="32">
        <v>53935</v>
      </c>
      <c r="B427" s="89">
        <v>31</v>
      </c>
      <c r="C427" s="76">
        <f>194.205</f>
        <v>194.20500000000001</v>
      </c>
      <c r="D427" s="76">
        <f>267.466</f>
        <v>267.46600000000001</v>
      </c>
      <c r="E427" s="85">
        <f>133.845</f>
        <v>133.845</v>
      </c>
      <c r="F427" s="76">
        <f>278.484-40-25-60-100</f>
        <v>53.48399999999998</v>
      </c>
      <c r="G427" s="79">
        <v>40</v>
      </c>
      <c r="H427" s="76">
        <f t="shared" si="68"/>
        <v>185</v>
      </c>
      <c r="I427" s="76">
        <f t="shared" si="59"/>
        <v>0</v>
      </c>
      <c r="J427" s="79">
        <v>100</v>
      </c>
      <c r="K427" s="79">
        <v>300</v>
      </c>
      <c r="L427" s="76">
        <f t="shared" si="63"/>
        <v>1274</v>
      </c>
      <c r="M427" s="87">
        <v>600</v>
      </c>
      <c r="N427" s="76">
        <f>30</f>
        <v>30</v>
      </c>
      <c r="O427" s="79">
        <v>240</v>
      </c>
      <c r="P427" s="79">
        <v>160</v>
      </c>
      <c r="Q427" s="79">
        <f t="shared" si="64"/>
        <v>195</v>
      </c>
      <c r="R427" s="79">
        <f t="shared" si="65"/>
        <v>100</v>
      </c>
      <c r="S427" s="76">
        <f t="shared" si="66"/>
        <v>695</v>
      </c>
      <c r="T427" s="76">
        <f>0</f>
        <v>0</v>
      </c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</row>
    <row r="428" spans="1:30" ht="15.75" x14ac:dyDescent="0.25">
      <c r="A428" s="32">
        <v>53965</v>
      </c>
      <c r="B428" s="89">
        <v>30</v>
      </c>
      <c r="C428" s="76">
        <f>194.205</f>
        <v>194.20500000000001</v>
      </c>
      <c r="D428" s="76">
        <f>267.466</f>
        <v>267.46600000000001</v>
      </c>
      <c r="E428" s="85">
        <f>133.845</f>
        <v>133.845</v>
      </c>
      <c r="F428" s="76">
        <f>278.484-40-25-60-100</f>
        <v>53.48399999999998</v>
      </c>
      <c r="G428" s="79">
        <v>40</v>
      </c>
      <c r="H428" s="76">
        <f t="shared" si="68"/>
        <v>185</v>
      </c>
      <c r="I428" s="76">
        <f t="shared" si="59"/>
        <v>0</v>
      </c>
      <c r="J428" s="79">
        <v>100</v>
      </c>
      <c r="K428" s="79">
        <v>300</v>
      </c>
      <c r="L428" s="76">
        <f t="shared" si="63"/>
        <v>1274</v>
      </c>
      <c r="M428" s="87">
        <v>600</v>
      </c>
      <c r="N428" s="76">
        <f>30</f>
        <v>30</v>
      </c>
      <c r="O428" s="79">
        <v>240</v>
      </c>
      <c r="P428" s="79">
        <v>160</v>
      </c>
      <c r="Q428" s="79">
        <f t="shared" si="64"/>
        <v>195</v>
      </c>
      <c r="R428" s="79">
        <f t="shared" si="65"/>
        <v>100</v>
      </c>
      <c r="S428" s="76">
        <f t="shared" si="66"/>
        <v>695</v>
      </c>
      <c r="T428" s="76">
        <f>0</f>
        <v>0</v>
      </c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</row>
    <row r="429" spans="1:30" ht="15.75" x14ac:dyDescent="0.25">
      <c r="A429" s="32">
        <v>53996</v>
      </c>
      <c r="B429" s="89">
        <v>31</v>
      </c>
      <c r="C429" s="76">
        <f>131.881</f>
        <v>131.881</v>
      </c>
      <c r="D429" s="76">
        <f>277.167</f>
        <v>277.16699999999997</v>
      </c>
      <c r="E429" s="85">
        <f>79.08</f>
        <v>79.08</v>
      </c>
      <c r="F429" s="76">
        <f>350.872-40-25-60-100</f>
        <v>125.87200000000001</v>
      </c>
      <c r="G429" s="79">
        <v>40</v>
      </c>
      <c r="H429" s="76">
        <f t="shared" si="68"/>
        <v>185</v>
      </c>
      <c r="I429" s="76">
        <f t="shared" si="59"/>
        <v>0</v>
      </c>
      <c r="J429" s="79">
        <v>100</v>
      </c>
      <c r="K429" s="79">
        <v>300</v>
      </c>
      <c r="L429" s="76">
        <f t="shared" si="63"/>
        <v>1239</v>
      </c>
      <c r="M429" s="87">
        <v>600</v>
      </c>
      <c r="N429" s="76">
        <f>75</f>
        <v>75</v>
      </c>
      <c r="O429" s="79">
        <v>240</v>
      </c>
      <c r="P429" s="79">
        <v>160</v>
      </c>
      <c r="Q429" s="79">
        <f t="shared" si="64"/>
        <v>195</v>
      </c>
      <c r="R429" s="79">
        <f t="shared" si="65"/>
        <v>100</v>
      </c>
      <c r="S429" s="76">
        <f t="shared" si="66"/>
        <v>695</v>
      </c>
      <c r="T429" s="76">
        <f>0</f>
        <v>0</v>
      </c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</row>
    <row r="430" spans="1:30" ht="15.75" x14ac:dyDescent="0.25">
      <c r="A430" s="32">
        <v>54026</v>
      </c>
      <c r="B430" s="89">
        <v>30</v>
      </c>
      <c r="C430" s="76">
        <f>122.58</f>
        <v>122.58</v>
      </c>
      <c r="D430" s="76">
        <f>297.941</f>
        <v>297.94099999999997</v>
      </c>
      <c r="E430" s="85">
        <f>89.177</f>
        <v>89.177000000000007</v>
      </c>
      <c r="F430" s="76">
        <f>240.302-40-60-100</f>
        <v>40.301999999999992</v>
      </c>
      <c r="G430" s="79">
        <v>40</v>
      </c>
      <c r="H430" s="76">
        <f>60+100</f>
        <v>160</v>
      </c>
      <c r="I430" s="76">
        <f t="shared" si="59"/>
        <v>0</v>
      </c>
      <c r="J430" s="79">
        <v>100</v>
      </c>
      <c r="K430" s="79">
        <v>300</v>
      </c>
      <c r="L430" s="76">
        <f t="shared" si="63"/>
        <v>1150</v>
      </c>
      <c r="M430" s="87">
        <v>600</v>
      </c>
      <c r="N430" s="76">
        <f>100</f>
        <v>100</v>
      </c>
      <c r="O430" s="79">
        <v>240</v>
      </c>
      <c r="P430" s="79">
        <v>40</v>
      </c>
      <c r="Q430" s="79">
        <f t="shared" si="64"/>
        <v>315</v>
      </c>
      <c r="R430" s="79">
        <f t="shared" si="65"/>
        <v>100</v>
      </c>
      <c r="S430" s="76">
        <f t="shared" si="66"/>
        <v>695</v>
      </c>
      <c r="T430" s="76">
        <f>50</f>
        <v>50</v>
      </c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</row>
    <row r="431" spans="1:30" ht="15.75" x14ac:dyDescent="0.25">
      <c r="A431" s="32">
        <v>54057</v>
      </c>
      <c r="B431" s="89">
        <v>31</v>
      </c>
      <c r="C431" s="76">
        <f>122.58</f>
        <v>122.58</v>
      </c>
      <c r="D431" s="76">
        <f>297.941</f>
        <v>297.94099999999997</v>
      </c>
      <c r="E431" s="85">
        <f>89.177</f>
        <v>89.177000000000007</v>
      </c>
      <c r="F431" s="76">
        <f>240.302-40-60-100</f>
        <v>40.301999999999992</v>
      </c>
      <c r="G431" s="79">
        <v>40</v>
      </c>
      <c r="H431" s="76">
        <f>60+100</f>
        <v>160</v>
      </c>
      <c r="I431" s="76">
        <f t="shared" si="59"/>
        <v>0</v>
      </c>
      <c r="J431" s="79">
        <v>100</v>
      </c>
      <c r="K431" s="79">
        <v>300</v>
      </c>
      <c r="L431" s="76">
        <f t="shared" si="63"/>
        <v>1150</v>
      </c>
      <c r="M431" s="87">
        <v>600</v>
      </c>
      <c r="N431" s="76">
        <f>100</f>
        <v>100</v>
      </c>
      <c r="O431" s="79">
        <v>240</v>
      </c>
      <c r="P431" s="79">
        <v>40</v>
      </c>
      <c r="Q431" s="79">
        <f t="shared" si="64"/>
        <v>315</v>
      </c>
      <c r="R431" s="79">
        <f t="shared" si="65"/>
        <v>100</v>
      </c>
      <c r="S431" s="76">
        <f t="shared" si="66"/>
        <v>695</v>
      </c>
      <c r="T431" s="76">
        <f>50</f>
        <v>50</v>
      </c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</row>
    <row r="432" spans="1:30" ht="15.75" x14ac:dyDescent="0.25">
      <c r="A432" s="32">
        <v>54088</v>
      </c>
      <c r="B432" s="89">
        <v>31</v>
      </c>
      <c r="C432" s="76">
        <f>122.58</f>
        <v>122.58</v>
      </c>
      <c r="D432" s="76">
        <f>297.941</f>
        <v>297.94099999999997</v>
      </c>
      <c r="E432" s="85">
        <f>89.177</f>
        <v>89.177000000000007</v>
      </c>
      <c r="F432" s="76">
        <f>240.302-40-60-100</f>
        <v>40.301999999999992</v>
      </c>
      <c r="G432" s="79">
        <v>40</v>
      </c>
      <c r="H432" s="76">
        <f>60+100</f>
        <v>160</v>
      </c>
      <c r="I432" s="76">
        <f t="shared" si="59"/>
        <v>0</v>
      </c>
      <c r="J432" s="79">
        <v>100</v>
      </c>
      <c r="K432" s="79">
        <v>300</v>
      </c>
      <c r="L432" s="76">
        <f t="shared" si="63"/>
        <v>1150</v>
      </c>
      <c r="M432" s="87">
        <v>600</v>
      </c>
      <c r="N432" s="76">
        <f>100</f>
        <v>100</v>
      </c>
      <c r="O432" s="79">
        <v>240</v>
      </c>
      <c r="P432" s="79">
        <v>40</v>
      </c>
      <c r="Q432" s="79">
        <f t="shared" si="64"/>
        <v>315</v>
      </c>
      <c r="R432" s="79">
        <f t="shared" si="65"/>
        <v>100</v>
      </c>
      <c r="S432" s="76">
        <f t="shared" si="66"/>
        <v>695</v>
      </c>
      <c r="T432" s="76">
        <f>50</f>
        <v>50</v>
      </c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</row>
    <row r="433" spans="1:30" ht="15.75" x14ac:dyDescent="0.25">
      <c r="A433" s="32">
        <v>54116</v>
      </c>
      <c r="B433" s="89">
        <v>29</v>
      </c>
      <c r="C433" s="76">
        <f>122.58</f>
        <v>122.58</v>
      </c>
      <c r="D433" s="76">
        <f>297.941</f>
        <v>297.94099999999997</v>
      </c>
      <c r="E433" s="85">
        <f>89.177</f>
        <v>89.177000000000007</v>
      </c>
      <c r="F433" s="76">
        <f>240.302-40-60-100</f>
        <v>40.301999999999992</v>
      </c>
      <c r="G433" s="79">
        <v>40</v>
      </c>
      <c r="H433" s="76">
        <f>60+100</f>
        <v>160</v>
      </c>
      <c r="I433" s="76">
        <f t="shared" si="59"/>
        <v>0</v>
      </c>
      <c r="J433" s="79">
        <v>100</v>
      </c>
      <c r="K433" s="79">
        <v>300</v>
      </c>
      <c r="L433" s="76">
        <f t="shared" si="63"/>
        <v>1150</v>
      </c>
      <c r="M433" s="87">
        <v>600</v>
      </c>
      <c r="N433" s="76">
        <f>100</f>
        <v>100</v>
      </c>
      <c r="O433" s="79">
        <v>240</v>
      </c>
      <c r="P433" s="79">
        <v>40</v>
      </c>
      <c r="Q433" s="79">
        <f t="shared" si="64"/>
        <v>315</v>
      </c>
      <c r="R433" s="79">
        <f t="shared" si="65"/>
        <v>100</v>
      </c>
      <c r="S433" s="76">
        <f t="shared" si="66"/>
        <v>695</v>
      </c>
      <c r="T433" s="76">
        <f>50</f>
        <v>50</v>
      </c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</row>
    <row r="434" spans="1:30" ht="15.75" x14ac:dyDescent="0.25">
      <c r="A434" s="32">
        <v>54148</v>
      </c>
      <c r="B434" s="89">
        <v>31</v>
      </c>
      <c r="C434" s="76">
        <f>122.58</f>
        <v>122.58</v>
      </c>
      <c r="D434" s="76">
        <f>297.941</f>
        <v>297.94099999999997</v>
      </c>
      <c r="E434" s="85">
        <f>89.177</f>
        <v>89.177000000000007</v>
      </c>
      <c r="F434" s="76">
        <f>240.302-40-60-100</f>
        <v>40.301999999999992</v>
      </c>
      <c r="G434" s="79">
        <v>40</v>
      </c>
      <c r="H434" s="76">
        <f>60+100</f>
        <v>160</v>
      </c>
      <c r="I434" s="76">
        <f t="shared" si="59"/>
        <v>0</v>
      </c>
      <c r="J434" s="79">
        <v>100</v>
      </c>
      <c r="K434" s="79">
        <v>300</v>
      </c>
      <c r="L434" s="76">
        <f t="shared" si="63"/>
        <v>1150</v>
      </c>
      <c r="M434" s="87">
        <v>600</v>
      </c>
      <c r="N434" s="76">
        <f>100</f>
        <v>100</v>
      </c>
      <c r="O434" s="79">
        <v>240</v>
      </c>
      <c r="P434" s="79">
        <v>40</v>
      </c>
      <c r="Q434" s="79">
        <f t="shared" si="64"/>
        <v>315</v>
      </c>
      <c r="R434" s="79">
        <f t="shared" si="65"/>
        <v>100</v>
      </c>
      <c r="S434" s="76">
        <f t="shared" si="66"/>
        <v>695</v>
      </c>
      <c r="T434" s="76">
        <f>50</f>
        <v>50</v>
      </c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</row>
    <row r="435" spans="1:30" ht="15.75" x14ac:dyDescent="0.25">
      <c r="A435" s="32">
        <v>54178</v>
      </c>
      <c r="B435" s="89">
        <v>30</v>
      </c>
      <c r="C435" s="76">
        <f>141.293</f>
        <v>141.29300000000001</v>
      </c>
      <c r="D435" s="76">
        <f>267.993</f>
        <v>267.99299999999999</v>
      </c>
      <c r="E435" s="85">
        <f>115.016</f>
        <v>115.01600000000001</v>
      </c>
      <c r="F435" s="76">
        <f>314.698-40-25-60-100</f>
        <v>89.697999999999979</v>
      </c>
      <c r="G435" s="79">
        <v>40</v>
      </c>
      <c r="H435" s="76">
        <f t="shared" ref="H435:H441" si="69">25+60+100</f>
        <v>185</v>
      </c>
      <c r="I435" s="76">
        <f t="shared" si="59"/>
        <v>0</v>
      </c>
      <c r="J435" s="79">
        <v>100</v>
      </c>
      <c r="K435" s="79">
        <v>300</v>
      </c>
      <c r="L435" s="76">
        <f t="shared" si="63"/>
        <v>1239</v>
      </c>
      <c r="M435" s="87">
        <v>600</v>
      </c>
      <c r="N435" s="76">
        <f>100</f>
        <v>100</v>
      </c>
      <c r="O435" s="79">
        <v>240</v>
      </c>
      <c r="P435" s="79">
        <v>160</v>
      </c>
      <c r="Q435" s="79">
        <f t="shared" si="64"/>
        <v>195</v>
      </c>
      <c r="R435" s="79">
        <f t="shared" si="65"/>
        <v>100</v>
      </c>
      <c r="S435" s="76">
        <f t="shared" si="66"/>
        <v>695</v>
      </c>
      <c r="T435" s="76">
        <f>50</f>
        <v>50</v>
      </c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</row>
    <row r="436" spans="1:30" ht="15.75" x14ac:dyDescent="0.25">
      <c r="A436" s="32">
        <v>54209</v>
      </c>
      <c r="B436" s="89">
        <v>31</v>
      </c>
      <c r="C436" s="76">
        <f>194.205</f>
        <v>194.20500000000001</v>
      </c>
      <c r="D436" s="76">
        <f>267.466</f>
        <v>267.46600000000001</v>
      </c>
      <c r="E436" s="85">
        <f>133.845</f>
        <v>133.845</v>
      </c>
      <c r="F436" s="76">
        <f>278.484-40-25-60-100</f>
        <v>53.48399999999998</v>
      </c>
      <c r="G436" s="79">
        <v>40</v>
      </c>
      <c r="H436" s="76">
        <f t="shared" si="69"/>
        <v>185</v>
      </c>
      <c r="I436" s="76">
        <f t="shared" ref="I436:I499" si="70">400-J436-K436</f>
        <v>0</v>
      </c>
      <c r="J436" s="79">
        <v>100</v>
      </c>
      <c r="K436" s="79">
        <v>300</v>
      </c>
      <c r="L436" s="76">
        <f t="shared" si="63"/>
        <v>1274</v>
      </c>
      <c r="M436" s="87">
        <v>600</v>
      </c>
      <c r="N436" s="76">
        <f>75</f>
        <v>75</v>
      </c>
      <c r="O436" s="79">
        <v>240</v>
      </c>
      <c r="P436" s="79">
        <v>160</v>
      </c>
      <c r="Q436" s="79">
        <f t="shared" si="64"/>
        <v>195</v>
      </c>
      <c r="R436" s="79">
        <f t="shared" si="65"/>
        <v>100</v>
      </c>
      <c r="S436" s="76">
        <f t="shared" si="66"/>
        <v>695</v>
      </c>
      <c r="T436" s="76">
        <f>50</f>
        <v>50</v>
      </c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</row>
    <row r="437" spans="1:30" ht="15.75" x14ac:dyDescent="0.25">
      <c r="A437" s="32">
        <v>54239</v>
      </c>
      <c r="B437" s="89">
        <v>30</v>
      </c>
      <c r="C437" s="76">
        <f>194.205</f>
        <v>194.20500000000001</v>
      </c>
      <c r="D437" s="76">
        <f>267.466</f>
        <v>267.46600000000001</v>
      </c>
      <c r="E437" s="85">
        <f>133.845</f>
        <v>133.845</v>
      </c>
      <c r="F437" s="76">
        <f>278.484-40-25-60-100</f>
        <v>53.48399999999998</v>
      </c>
      <c r="G437" s="79">
        <v>40</v>
      </c>
      <c r="H437" s="76">
        <f t="shared" si="69"/>
        <v>185</v>
      </c>
      <c r="I437" s="76">
        <f t="shared" si="70"/>
        <v>0</v>
      </c>
      <c r="J437" s="79">
        <v>100</v>
      </c>
      <c r="K437" s="79">
        <v>300</v>
      </c>
      <c r="L437" s="76">
        <f t="shared" si="63"/>
        <v>1274</v>
      </c>
      <c r="M437" s="87">
        <v>600</v>
      </c>
      <c r="N437" s="76">
        <f>30</f>
        <v>30</v>
      </c>
      <c r="O437" s="79">
        <v>240</v>
      </c>
      <c r="P437" s="79">
        <v>160</v>
      </c>
      <c r="Q437" s="79">
        <f t="shared" si="64"/>
        <v>195</v>
      </c>
      <c r="R437" s="79">
        <f t="shared" si="65"/>
        <v>100</v>
      </c>
      <c r="S437" s="76">
        <f t="shared" si="66"/>
        <v>695</v>
      </c>
      <c r="T437" s="76">
        <f>50</f>
        <v>50</v>
      </c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</row>
    <row r="438" spans="1:30" ht="15.75" x14ac:dyDescent="0.25">
      <c r="A438" s="32">
        <v>54270</v>
      </c>
      <c r="B438" s="89">
        <v>31</v>
      </c>
      <c r="C438" s="76">
        <f>194.205</f>
        <v>194.20500000000001</v>
      </c>
      <c r="D438" s="76">
        <f>267.466</f>
        <v>267.46600000000001</v>
      </c>
      <c r="E438" s="85">
        <f>133.845</f>
        <v>133.845</v>
      </c>
      <c r="F438" s="76">
        <f>278.484-40-25-60-100</f>
        <v>53.48399999999998</v>
      </c>
      <c r="G438" s="79">
        <v>40</v>
      </c>
      <c r="H438" s="76">
        <f t="shared" si="69"/>
        <v>185</v>
      </c>
      <c r="I438" s="76">
        <f t="shared" si="70"/>
        <v>0</v>
      </c>
      <c r="J438" s="79">
        <v>100</v>
      </c>
      <c r="K438" s="79">
        <v>300</v>
      </c>
      <c r="L438" s="76">
        <f t="shared" si="63"/>
        <v>1274</v>
      </c>
      <c r="M438" s="87">
        <v>600</v>
      </c>
      <c r="N438" s="76">
        <f>30</f>
        <v>30</v>
      </c>
      <c r="O438" s="79">
        <v>240</v>
      </c>
      <c r="P438" s="79">
        <v>160</v>
      </c>
      <c r="Q438" s="79">
        <f t="shared" si="64"/>
        <v>195</v>
      </c>
      <c r="R438" s="79">
        <f t="shared" si="65"/>
        <v>100</v>
      </c>
      <c r="S438" s="76">
        <f t="shared" si="66"/>
        <v>695</v>
      </c>
      <c r="T438" s="76">
        <f>0</f>
        <v>0</v>
      </c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</row>
    <row r="439" spans="1:30" ht="15.75" x14ac:dyDescent="0.25">
      <c r="A439" s="32">
        <v>54301</v>
      </c>
      <c r="B439" s="89">
        <v>31</v>
      </c>
      <c r="C439" s="76">
        <f>194.205</f>
        <v>194.20500000000001</v>
      </c>
      <c r="D439" s="76">
        <f>267.466</f>
        <v>267.46600000000001</v>
      </c>
      <c r="E439" s="85">
        <f>133.845</f>
        <v>133.845</v>
      </c>
      <c r="F439" s="76">
        <f>278.484-40-25-60-100</f>
        <v>53.48399999999998</v>
      </c>
      <c r="G439" s="79">
        <v>40</v>
      </c>
      <c r="H439" s="76">
        <f t="shared" si="69"/>
        <v>185</v>
      </c>
      <c r="I439" s="76">
        <f t="shared" si="70"/>
        <v>0</v>
      </c>
      <c r="J439" s="79">
        <v>100</v>
      </c>
      <c r="K439" s="79">
        <v>300</v>
      </c>
      <c r="L439" s="76">
        <f t="shared" si="63"/>
        <v>1274</v>
      </c>
      <c r="M439" s="87">
        <v>600</v>
      </c>
      <c r="N439" s="76">
        <f>30</f>
        <v>30</v>
      </c>
      <c r="O439" s="79">
        <v>240</v>
      </c>
      <c r="P439" s="79">
        <v>160</v>
      </c>
      <c r="Q439" s="79">
        <f t="shared" si="64"/>
        <v>195</v>
      </c>
      <c r="R439" s="79">
        <f t="shared" si="65"/>
        <v>100</v>
      </c>
      <c r="S439" s="76">
        <f t="shared" si="66"/>
        <v>695</v>
      </c>
      <c r="T439" s="76">
        <f>0</f>
        <v>0</v>
      </c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</row>
    <row r="440" spans="1:30" ht="15.75" x14ac:dyDescent="0.25">
      <c r="A440" s="32">
        <v>54331</v>
      </c>
      <c r="B440" s="89">
        <v>30</v>
      </c>
      <c r="C440" s="76">
        <f>194.205</f>
        <v>194.20500000000001</v>
      </c>
      <c r="D440" s="76">
        <f>267.466</f>
        <v>267.46600000000001</v>
      </c>
      <c r="E440" s="85">
        <f>133.845</f>
        <v>133.845</v>
      </c>
      <c r="F440" s="76">
        <f>278.484-40-25-60-100</f>
        <v>53.48399999999998</v>
      </c>
      <c r="G440" s="79">
        <v>40</v>
      </c>
      <c r="H440" s="76">
        <f t="shared" si="69"/>
        <v>185</v>
      </c>
      <c r="I440" s="76">
        <f t="shared" si="70"/>
        <v>0</v>
      </c>
      <c r="J440" s="79">
        <v>100</v>
      </c>
      <c r="K440" s="79">
        <v>300</v>
      </c>
      <c r="L440" s="76">
        <f t="shared" si="63"/>
        <v>1274</v>
      </c>
      <c r="M440" s="87">
        <v>600</v>
      </c>
      <c r="N440" s="76">
        <f>30</f>
        <v>30</v>
      </c>
      <c r="O440" s="79">
        <v>240</v>
      </c>
      <c r="P440" s="79">
        <v>160</v>
      </c>
      <c r="Q440" s="79">
        <f t="shared" si="64"/>
        <v>195</v>
      </c>
      <c r="R440" s="79">
        <f t="shared" si="65"/>
        <v>100</v>
      </c>
      <c r="S440" s="76">
        <f t="shared" si="66"/>
        <v>695</v>
      </c>
      <c r="T440" s="76">
        <f>0</f>
        <v>0</v>
      </c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</row>
    <row r="441" spans="1:30" ht="15.75" x14ac:dyDescent="0.25">
      <c r="A441" s="32">
        <v>54362</v>
      </c>
      <c r="B441" s="89">
        <v>31</v>
      </c>
      <c r="C441" s="76">
        <f>131.881</f>
        <v>131.881</v>
      </c>
      <c r="D441" s="76">
        <f>277.167</f>
        <v>277.16699999999997</v>
      </c>
      <c r="E441" s="85">
        <f>79.08</f>
        <v>79.08</v>
      </c>
      <c r="F441" s="76">
        <f>350.872-40-25-60-100</f>
        <v>125.87200000000001</v>
      </c>
      <c r="G441" s="79">
        <v>40</v>
      </c>
      <c r="H441" s="76">
        <f t="shared" si="69"/>
        <v>185</v>
      </c>
      <c r="I441" s="76">
        <f t="shared" si="70"/>
        <v>0</v>
      </c>
      <c r="J441" s="79">
        <v>100</v>
      </c>
      <c r="K441" s="79">
        <v>300</v>
      </c>
      <c r="L441" s="76">
        <f t="shared" si="63"/>
        <v>1239</v>
      </c>
      <c r="M441" s="87">
        <v>600</v>
      </c>
      <c r="N441" s="76">
        <f>75</f>
        <v>75</v>
      </c>
      <c r="O441" s="79">
        <v>240</v>
      </c>
      <c r="P441" s="79">
        <v>160</v>
      </c>
      <c r="Q441" s="79">
        <f t="shared" si="64"/>
        <v>195</v>
      </c>
      <c r="R441" s="79">
        <f t="shared" si="65"/>
        <v>100</v>
      </c>
      <c r="S441" s="76">
        <f t="shared" si="66"/>
        <v>695</v>
      </c>
      <c r="T441" s="76">
        <f>0</f>
        <v>0</v>
      </c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</row>
    <row r="442" spans="1:30" ht="15.75" x14ac:dyDescent="0.25">
      <c r="A442" s="32">
        <v>54392</v>
      </c>
      <c r="B442" s="89">
        <v>30</v>
      </c>
      <c r="C442" s="76">
        <f>122.58</f>
        <v>122.58</v>
      </c>
      <c r="D442" s="76">
        <f>297.941</f>
        <v>297.94099999999997</v>
      </c>
      <c r="E442" s="85">
        <f>89.177</f>
        <v>89.177000000000007</v>
      </c>
      <c r="F442" s="76">
        <f>240.302-40-60-100</f>
        <v>40.301999999999992</v>
      </c>
      <c r="G442" s="79">
        <v>40</v>
      </c>
      <c r="H442" s="76">
        <f>60+100</f>
        <v>160</v>
      </c>
      <c r="I442" s="76">
        <f t="shared" si="70"/>
        <v>0</v>
      </c>
      <c r="J442" s="79">
        <v>100</v>
      </c>
      <c r="K442" s="79">
        <v>300</v>
      </c>
      <c r="L442" s="76">
        <f t="shared" si="63"/>
        <v>1150</v>
      </c>
      <c r="M442" s="87">
        <v>600</v>
      </c>
      <c r="N442" s="76">
        <f>100</f>
        <v>100</v>
      </c>
      <c r="O442" s="79">
        <v>240</v>
      </c>
      <c r="P442" s="79">
        <v>40</v>
      </c>
      <c r="Q442" s="79">
        <f t="shared" si="64"/>
        <v>315</v>
      </c>
      <c r="R442" s="79">
        <f t="shared" si="65"/>
        <v>100</v>
      </c>
      <c r="S442" s="76">
        <f t="shared" si="66"/>
        <v>695</v>
      </c>
      <c r="T442" s="76">
        <f>50</f>
        <v>50</v>
      </c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</row>
    <row r="443" spans="1:30" ht="15.75" x14ac:dyDescent="0.25">
      <c r="A443" s="32">
        <v>54423</v>
      </c>
      <c r="B443" s="89">
        <v>31</v>
      </c>
      <c r="C443" s="76">
        <f>122.58</f>
        <v>122.58</v>
      </c>
      <c r="D443" s="76">
        <f>297.941</f>
        <v>297.94099999999997</v>
      </c>
      <c r="E443" s="85">
        <f>89.177</f>
        <v>89.177000000000007</v>
      </c>
      <c r="F443" s="76">
        <f>240.302-40-60-100</f>
        <v>40.301999999999992</v>
      </c>
      <c r="G443" s="79">
        <v>40</v>
      </c>
      <c r="H443" s="76">
        <f>60+100</f>
        <v>160</v>
      </c>
      <c r="I443" s="76">
        <f t="shared" si="70"/>
        <v>0</v>
      </c>
      <c r="J443" s="79">
        <v>100</v>
      </c>
      <c r="K443" s="79">
        <v>300</v>
      </c>
      <c r="L443" s="76">
        <f t="shared" si="63"/>
        <v>1150</v>
      </c>
      <c r="M443" s="87">
        <v>600</v>
      </c>
      <c r="N443" s="76">
        <f>100</f>
        <v>100</v>
      </c>
      <c r="O443" s="79">
        <v>240</v>
      </c>
      <c r="P443" s="79">
        <v>40</v>
      </c>
      <c r="Q443" s="79">
        <f t="shared" si="64"/>
        <v>315</v>
      </c>
      <c r="R443" s="79">
        <f t="shared" si="65"/>
        <v>100</v>
      </c>
      <c r="S443" s="76">
        <f t="shared" si="66"/>
        <v>695</v>
      </c>
      <c r="T443" s="76">
        <f>50</f>
        <v>50</v>
      </c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</row>
    <row r="444" spans="1:30" ht="15.75" x14ac:dyDescent="0.25">
      <c r="A444" s="32">
        <v>54454</v>
      </c>
      <c r="B444" s="89">
        <v>31</v>
      </c>
      <c r="C444" s="76">
        <f>122.58</f>
        <v>122.58</v>
      </c>
      <c r="D444" s="76">
        <f>297.941</f>
        <v>297.94099999999997</v>
      </c>
      <c r="E444" s="85">
        <f>89.177</f>
        <v>89.177000000000007</v>
      </c>
      <c r="F444" s="76">
        <f>240.302-40-60-100</f>
        <v>40.301999999999992</v>
      </c>
      <c r="G444" s="79">
        <v>40</v>
      </c>
      <c r="H444" s="76">
        <f>60+100</f>
        <v>160</v>
      </c>
      <c r="I444" s="76">
        <f t="shared" si="70"/>
        <v>0</v>
      </c>
      <c r="J444" s="79">
        <v>100</v>
      </c>
      <c r="K444" s="79">
        <v>300</v>
      </c>
      <c r="L444" s="76">
        <f t="shared" si="63"/>
        <v>1150</v>
      </c>
      <c r="M444" s="87">
        <v>600</v>
      </c>
      <c r="N444" s="76">
        <f>100</f>
        <v>100</v>
      </c>
      <c r="O444" s="79">
        <v>240</v>
      </c>
      <c r="P444" s="79">
        <v>40</v>
      </c>
      <c r="Q444" s="79">
        <f t="shared" si="64"/>
        <v>315</v>
      </c>
      <c r="R444" s="79">
        <f t="shared" si="65"/>
        <v>100</v>
      </c>
      <c r="S444" s="76">
        <f t="shared" si="66"/>
        <v>695</v>
      </c>
      <c r="T444" s="76">
        <f>50</f>
        <v>50</v>
      </c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</row>
    <row r="445" spans="1:30" ht="15.75" x14ac:dyDescent="0.25">
      <c r="A445" s="32">
        <v>54482</v>
      </c>
      <c r="B445" s="89">
        <v>28</v>
      </c>
      <c r="C445" s="76">
        <f>122.58</f>
        <v>122.58</v>
      </c>
      <c r="D445" s="76">
        <f>297.941</f>
        <v>297.94099999999997</v>
      </c>
      <c r="E445" s="85">
        <f>89.177</f>
        <v>89.177000000000007</v>
      </c>
      <c r="F445" s="76">
        <f>240.302-40-60-100</f>
        <v>40.301999999999992</v>
      </c>
      <c r="G445" s="79">
        <v>40</v>
      </c>
      <c r="H445" s="76">
        <f>60+100</f>
        <v>160</v>
      </c>
      <c r="I445" s="76">
        <f t="shared" si="70"/>
        <v>0</v>
      </c>
      <c r="J445" s="79">
        <v>100</v>
      </c>
      <c r="K445" s="79">
        <v>300</v>
      </c>
      <c r="L445" s="76">
        <f t="shared" si="63"/>
        <v>1150</v>
      </c>
      <c r="M445" s="87">
        <v>600</v>
      </c>
      <c r="N445" s="76">
        <f>100</f>
        <v>100</v>
      </c>
      <c r="O445" s="79">
        <v>240</v>
      </c>
      <c r="P445" s="79">
        <v>40</v>
      </c>
      <c r="Q445" s="79">
        <f t="shared" si="64"/>
        <v>315</v>
      </c>
      <c r="R445" s="79">
        <f t="shared" si="65"/>
        <v>100</v>
      </c>
      <c r="S445" s="76">
        <f t="shared" si="66"/>
        <v>695</v>
      </c>
      <c r="T445" s="76">
        <f>50</f>
        <v>50</v>
      </c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</row>
    <row r="446" spans="1:30" ht="15.75" x14ac:dyDescent="0.25">
      <c r="A446" s="32">
        <v>54513</v>
      </c>
      <c r="B446" s="89">
        <v>31</v>
      </c>
      <c r="C446" s="76">
        <f>122.58</f>
        <v>122.58</v>
      </c>
      <c r="D446" s="76">
        <f>297.941</f>
        <v>297.94099999999997</v>
      </c>
      <c r="E446" s="85">
        <f>89.177</f>
        <v>89.177000000000007</v>
      </c>
      <c r="F446" s="76">
        <f>240.302-40-60-100</f>
        <v>40.301999999999992</v>
      </c>
      <c r="G446" s="79">
        <v>40</v>
      </c>
      <c r="H446" s="76">
        <f>60+100</f>
        <v>160</v>
      </c>
      <c r="I446" s="76">
        <f t="shared" si="70"/>
        <v>0</v>
      </c>
      <c r="J446" s="79">
        <v>100</v>
      </c>
      <c r="K446" s="79">
        <v>300</v>
      </c>
      <c r="L446" s="76">
        <f t="shared" si="63"/>
        <v>1150</v>
      </c>
      <c r="M446" s="87">
        <v>600</v>
      </c>
      <c r="N446" s="76">
        <f>100</f>
        <v>100</v>
      </c>
      <c r="O446" s="79">
        <v>240</v>
      </c>
      <c r="P446" s="79">
        <v>40</v>
      </c>
      <c r="Q446" s="79">
        <f t="shared" si="64"/>
        <v>315</v>
      </c>
      <c r="R446" s="79">
        <f t="shared" si="65"/>
        <v>100</v>
      </c>
      <c r="S446" s="76">
        <f t="shared" si="66"/>
        <v>695</v>
      </c>
      <c r="T446" s="76">
        <f>50</f>
        <v>50</v>
      </c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</row>
    <row r="447" spans="1:30" ht="15.75" x14ac:dyDescent="0.25">
      <c r="A447" s="32">
        <v>54543</v>
      </c>
      <c r="B447" s="89">
        <v>30</v>
      </c>
      <c r="C447" s="76">
        <f>141.293</f>
        <v>141.29300000000001</v>
      </c>
      <c r="D447" s="76">
        <f>267.993</f>
        <v>267.99299999999999</v>
      </c>
      <c r="E447" s="85">
        <f>115.016</f>
        <v>115.01600000000001</v>
      </c>
      <c r="F447" s="76">
        <f>314.698-40-25-60-100</f>
        <v>89.697999999999979</v>
      </c>
      <c r="G447" s="79">
        <v>40</v>
      </c>
      <c r="H447" s="76">
        <f t="shared" ref="H447:H453" si="71">25+60+100</f>
        <v>185</v>
      </c>
      <c r="I447" s="76">
        <f t="shared" si="70"/>
        <v>0</v>
      </c>
      <c r="J447" s="79">
        <v>100</v>
      </c>
      <c r="K447" s="79">
        <v>300</v>
      </c>
      <c r="L447" s="76">
        <f t="shared" si="63"/>
        <v>1239</v>
      </c>
      <c r="M447" s="87">
        <v>600</v>
      </c>
      <c r="N447" s="76">
        <f>100</f>
        <v>100</v>
      </c>
      <c r="O447" s="79">
        <v>240</v>
      </c>
      <c r="P447" s="79">
        <v>160</v>
      </c>
      <c r="Q447" s="79">
        <f t="shared" si="64"/>
        <v>195</v>
      </c>
      <c r="R447" s="79">
        <f t="shared" si="65"/>
        <v>100</v>
      </c>
      <c r="S447" s="76">
        <f t="shared" si="66"/>
        <v>695</v>
      </c>
      <c r="T447" s="76">
        <f>50</f>
        <v>50</v>
      </c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</row>
    <row r="448" spans="1:30" ht="15.75" x14ac:dyDescent="0.25">
      <c r="A448" s="32">
        <v>54574</v>
      </c>
      <c r="B448" s="89">
        <v>31</v>
      </c>
      <c r="C448" s="76">
        <f>194.205</f>
        <v>194.20500000000001</v>
      </c>
      <c r="D448" s="76">
        <f>267.466</f>
        <v>267.46600000000001</v>
      </c>
      <c r="E448" s="85">
        <f>133.845</f>
        <v>133.845</v>
      </c>
      <c r="F448" s="76">
        <f>278.484-40-25-60-100</f>
        <v>53.48399999999998</v>
      </c>
      <c r="G448" s="79">
        <v>40</v>
      </c>
      <c r="H448" s="76">
        <f t="shared" si="71"/>
        <v>185</v>
      </c>
      <c r="I448" s="76">
        <f t="shared" si="70"/>
        <v>0</v>
      </c>
      <c r="J448" s="79">
        <v>100</v>
      </c>
      <c r="K448" s="79">
        <v>300</v>
      </c>
      <c r="L448" s="76">
        <f t="shared" si="63"/>
        <v>1274</v>
      </c>
      <c r="M448" s="87">
        <v>600</v>
      </c>
      <c r="N448" s="76">
        <f>75</f>
        <v>75</v>
      </c>
      <c r="O448" s="79">
        <v>240</v>
      </c>
      <c r="P448" s="79">
        <v>160</v>
      </c>
      <c r="Q448" s="79">
        <f t="shared" si="64"/>
        <v>195</v>
      </c>
      <c r="R448" s="79">
        <f t="shared" si="65"/>
        <v>100</v>
      </c>
      <c r="S448" s="76">
        <f t="shared" si="66"/>
        <v>695</v>
      </c>
      <c r="T448" s="76">
        <f>50</f>
        <v>50</v>
      </c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</row>
    <row r="449" spans="1:30" ht="15.75" x14ac:dyDescent="0.25">
      <c r="A449" s="32">
        <v>54604</v>
      </c>
      <c r="B449" s="89">
        <v>30</v>
      </c>
      <c r="C449" s="76">
        <f>194.205</f>
        <v>194.20500000000001</v>
      </c>
      <c r="D449" s="76">
        <f>267.466</f>
        <v>267.46600000000001</v>
      </c>
      <c r="E449" s="85">
        <f>133.845</f>
        <v>133.845</v>
      </c>
      <c r="F449" s="76">
        <f>278.484-40-25-60-100</f>
        <v>53.48399999999998</v>
      </c>
      <c r="G449" s="79">
        <v>40</v>
      </c>
      <c r="H449" s="76">
        <f t="shared" si="71"/>
        <v>185</v>
      </c>
      <c r="I449" s="76">
        <f t="shared" si="70"/>
        <v>0</v>
      </c>
      <c r="J449" s="79">
        <v>100</v>
      </c>
      <c r="K449" s="79">
        <v>300</v>
      </c>
      <c r="L449" s="76">
        <f t="shared" si="63"/>
        <v>1274</v>
      </c>
      <c r="M449" s="87">
        <v>600</v>
      </c>
      <c r="N449" s="76">
        <f>30</f>
        <v>30</v>
      </c>
      <c r="O449" s="79">
        <v>240</v>
      </c>
      <c r="P449" s="79">
        <v>160</v>
      </c>
      <c r="Q449" s="79">
        <f t="shared" si="64"/>
        <v>195</v>
      </c>
      <c r="R449" s="79">
        <f t="shared" si="65"/>
        <v>100</v>
      </c>
      <c r="S449" s="76">
        <f t="shared" si="66"/>
        <v>695</v>
      </c>
      <c r="T449" s="76">
        <f>50</f>
        <v>50</v>
      </c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</row>
    <row r="450" spans="1:30" ht="15.75" x14ac:dyDescent="0.25">
      <c r="A450" s="32">
        <v>54635</v>
      </c>
      <c r="B450" s="89">
        <v>31</v>
      </c>
      <c r="C450" s="76">
        <f>194.205</f>
        <v>194.20500000000001</v>
      </c>
      <c r="D450" s="76">
        <f>267.466</f>
        <v>267.46600000000001</v>
      </c>
      <c r="E450" s="85">
        <f>133.845</f>
        <v>133.845</v>
      </c>
      <c r="F450" s="76">
        <f>278.484-40-25-60-100</f>
        <v>53.48399999999998</v>
      </c>
      <c r="G450" s="79">
        <v>40</v>
      </c>
      <c r="H450" s="76">
        <f t="shared" si="71"/>
        <v>185</v>
      </c>
      <c r="I450" s="76">
        <f t="shared" si="70"/>
        <v>0</v>
      </c>
      <c r="J450" s="79">
        <v>100</v>
      </c>
      <c r="K450" s="79">
        <v>300</v>
      </c>
      <c r="L450" s="76">
        <f t="shared" si="63"/>
        <v>1274</v>
      </c>
      <c r="M450" s="87">
        <v>600</v>
      </c>
      <c r="N450" s="76">
        <f>30</f>
        <v>30</v>
      </c>
      <c r="O450" s="79">
        <v>240</v>
      </c>
      <c r="P450" s="79">
        <v>160</v>
      </c>
      <c r="Q450" s="79">
        <f t="shared" si="64"/>
        <v>195</v>
      </c>
      <c r="R450" s="79">
        <f t="shared" si="65"/>
        <v>100</v>
      </c>
      <c r="S450" s="76">
        <f t="shared" si="66"/>
        <v>695</v>
      </c>
      <c r="T450" s="76">
        <f>0</f>
        <v>0</v>
      </c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</row>
    <row r="451" spans="1:30" ht="15.75" x14ac:dyDescent="0.25">
      <c r="A451" s="32">
        <v>54666</v>
      </c>
      <c r="B451" s="89">
        <v>31</v>
      </c>
      <c r="C451" s="76">
        <f>194.205</f>
        <v>194.20500000000001</v>
      </c>
      <c r="D451" s="76">
        <f>267.466</f>
        <v>267.46600000000001</v>
      </c>
      <c r="E451" s="85">
        <f>133.845</f>
        <v>133.845</v>
      </c>
      <c r="F451" s="76">
        <f>278.484-40-25-60-100</f>
        <v>53.48399999999998</v>
      </c>
      <c r="G451" s="79">
        <v>40</v>
      </c>
      <c r="H451" s="76">
        <f t="shared" si="71"/>
        <v>185</v>
      </c>
      <c r="I451" s="76">
        <f t="shared" si="70"/>
        <v>0</v>
      </c>
      <c r="J451" s="79">
        <v>100</v>
      </c>
      <c r="K451" s="79">
        <v>300</v>
      </c>
      <c r="L451" s="76">
        <f t="shared" si="63"/>
        <v>1274</v>
      </c>
      <c r="M451" s="87">
        <v>600</v>
      </c>
      <c r="N451" s="76">
        <f>30</f>
        <v>30</v>
      </c>
      <c r="O451" s="79">
        <v>240</v>
      </c>
      <c r="P451" s="79">
        <v>160</v>
      </c>
      <c r="Q451" s="79">
        <f t="shared" si="64"/>
        <v>195</v>
      </c>
      <c r="R451" s="79">
        <f t="shared" si="65"/>
        <v>100</v>
      </c>
      <c r="S451" s="76">
        <f t="shared" si="66"/>
        <v>695</v>
      </c>
      <c r="T451" s="76">
        <f>0</f>
        <v>0</v>
      </c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</row>
    <row r="452" spans="1:30" ht="15.75" x14ac:dyDescent="0.25">
      <c r="A452" s="32">
        <v>54696</v>
      </c>
      <c r="B452" s="89">
        <v>30</v>
      </c>
      <c r="C452" s="76">
        <f>194.205</f>
        <v>194.20500000000001</v>
      </c>
      <c r="D452" s="76">
        <f>267.466</f>
        <v>267.46600000000001</v>
      </c>
      <c r="E452" s="85">
        <f>133.845</f>
        <v>133.845</v>
      </c>
      <c r="F452" s="76">
        <f>278.484-40-25-60-100</f>
        <v>53.48399999999998</v>
      </c>
      <c r="G452" s="79">
        <v>40</v>
      </c>
      <c r="H452" s="76">
        <f t="shared" si="71"/>
        <v>185</v>
      </c>
      <c r="I452" s="76">
        <f t="shared" si="70"/>
        <v>0</v>
      </c>
      <c r="J452" s="79">
        <v>100</v>
      </c>
      <c r="K452" s="79">
        <v>300</v>
      </c>
      <c r="L452" s="76">
        <f t="shared" si="63"/>
        <v>1274</v>
      </c>
      <c r="M452" s="87">
        <v>600</v>
      </c>
      <c r="N452" s="76">
        <f>30</f>
        <v>30</v>
      </c>
      <c r="O452" s="79">
        <v>240</v>
      </c>
      <c r="P452" s="79">
        <v>160</v>
      </c>
      <c r="Q452" s="79">
        <f t="shared" si="64"/>
        <v>195</v>
      </c>
      <c r="R452" s="79">
        <f t="shared" si="65"/>
        <v>100</v>
      </c>
      <c r="S452" s="76">
        <f t="shared" si="66"/>
        <v>695</v>
      </c>
      <c r="T452" s="76">
        <f>0</f>
        <v>0</v>
      </c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</row>
    <row r="453" spans="1:30" ht="15.75" x14ac:dyDescent="0.25">
      <c r="A453" s="32">
        <v>54727</v>
      </c>
      <c r="B453" s="89">
        <v>31</v>
      </c>
      <c r="C453" s="76">
        <f>131.881</f>
        <v>131.881</v>
      </c>
      <c r="D453" s="76">
        <f>277.167</f>
        <v>277.16699999999997</v>
      </c>
      <c r="E453" s="85">
        <f>79.08</f>
        <v>79.08</v>
      </c>
      <c r="F453" s="76">
        <f>350.872-40-25-60-100</f>
        <v>125.87200000000001</v>
      </c>
      <c r="G453" s="79">
        <v>40</v>
      </c>
      <c r="H453" s="76">
        <f t="shared" si="71"/>
        <v>185</v>
      </c>
      <c r="I453" s="76">
        <f t="shared" si="70"/>
        <v>0</v>
      </c>
      <c r="J453" s="79">
        <v>100</v>
      </c>
      <c r="K453" s="79">
        <v>300</v>
      </c>
      <c r="L453" s="76">
        <f t="shared" si="63"/>
        <v>1239</v>
      </c>
      <c r="M453" s="87">
        <v>600</v>
      </c>
      <c r="N453" s="76">
        <f>75</f>
        <v>75</v>
      </c>
      <c r="O453" s="79">
        <v>240</v>
      </c>
      <c r="P453" s="79">
        <v>160</v>
      </c>
      <c r="Q453" s="79">
        <f t="shared" si="64"/>
        <v>195</v>
      </c>
      <c r="R453" s="79">
        <f t="shared" si="65"/>
        <v>100</v>
      </c>
      <c r="S453" s="76">
        <f t="shared" si="66"/>
        <v>695</v>
      </c>
      <c r="T453" s="76">
        <f>0</f>
        <v>0</v>
      </c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</row>
    <row r="454" spans="1:30" ht="15.75" x14ac:dyDescent="0.25">
      <c r="A454" s="32">
        <v>54757</v>
      </c>
      <c r="B454" s="89">
        <v>30</v>
      </c>
      <c r="C454" s="76">
        <f>122.58</f>
        <v>122.58</v>
      </c>
      <c r="D454" s="76">
        <f>297.941</f>
        <v>297.94099999999997</v>
      </c>
      <c r="E454" s="85">
        <f>89.177</f>
        <v>89.177000000000007</v>
      </c>
      <c r="F454" s="76">
        <f>240.302-40-60-100</f>
        <v>40.301999999999992</v>
      </c>
      <c r="G454" s="79">
        <v>40</v>
      </c>
      <c r="H454" s="76">
        <f>60+100</f>
        <v>160</v>
      </c>
      <c r="I454" s="76">
        <f t="shared" si="70"/>
        <v>0</v>
      </c>
      <c r="J454" s="79">
        <v>100</v>
      </c>
      <c r="K454" s="79">
        <v>300</v>
      </c>
      <c r="L454" s="76">
        <f t="shared" si="63"/>
        <v>1150</v>
      </c>
      <c r="M454" s="87">
        <v>600</v>
      </c>
      <c r="N454" s="76">
        <f>100</f>
        <v>100</v>
      </c>
      <c r="O454" s="79">
        <v>240</v>
      </c>
      <c r="P454" s="79">
        <v>40</v>
      </c>
      <c r="Q454" s="79">
        <f t="shared" si="64"/>
        <v>315</v>
      </c>
      <c r="R454" s="79">
        <f t="shared" si="65"/>
        <v>100</v>
      </c>
      <c r="S454" s="76">
        <f t="shared" si="66"/>
        <v>695</v>
      </c>
      <c r="T454" s="76">
        <f>50</f>
        <v>50</v>
      </c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</row>
    <row r="455" spans="1:30" ht="15.75" x14ac:dyDescent="0.25">
      <c r="A455" s="32">
        <v>54788</v>
      </c>
      <c r="B455" s="89">
        <v>31</v>
      </c>
      <c r="C455" s="76">
        <f>122.58</f>
        <v>122.58</v>
      </c>
      <c r="D455" s="76">
        <f>297.941</f>
        <v>297.94099999999997</v>
      </c>
      <c r="E455" s="85">
        <f>89.177</f>
        <v>89.177000000000007</v>
      </c>
      <c r="F455" s="76">
        <f>240.302-40-60-100</f>
        <v>40.301999999999992</v>
      </c>
      <c r="G455" s="79">
        <v>40</v>
      </c>
      <c r="H455" s="76">
        <f>60+100</f>
        <v>160</v>
      </c>
      <c r="I455" s="76">
        <f t="shared" si="70"/>
        <v>0</v>
      </c>
      <c r="J455" s="79">
        <v>100</v>
      </c>
      <c r="K455" s="79">
        <v>300</v>
      </c>
      <c r="L455" s="76">
        <f t="shared" si="63"/>
        <v>1150</v>
      </c>
      <c r="M455" s="87">
        <v>600</v>
      </c>
      <c r="N455" s="76">
        <f>100</f>
        <v>100</v>
      </c>
      <c r="O455" s="79">
        <v>240</v>
      </c>
      <c r="P455" s="79">
        <v>40</v>
      </c>
      <c r="Q455" s="79">
        <f t="shared" si="64"/>
        <v>315</v>
      </c>
      <c r="R455" s="79">
        <f t="shared" si="65"/>
        <v>100</v>
      </c>
      <c r="S455" s="76">
        <f t="shared" si="66"/>
        <v>695</v>
      </c>
      <c r="T455" s="76">
        <f>50</f>
        <v>50</v>
      </c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</row>
    <row r="456" spans="1:30" ht="15.75" x14ac:dyDescent="0.25">
      <c r="A456" s="32">
        <v>54819</v>
      </c>
      <c r="B456" s="89">
        <v>31</v>
      </c>
      <c r="C456" s="76">
        <f>122.58</f>
        <v>122.58</v>
      </c>
      <c r="D456" s="76">
        <f>297.941</f>
        <v>297.94099999999997</v>
      </c>
      <c r="E456" s="85">
        <f>89.177</f>
        <v>89.177000000000007</v>
      </c>
      <c r="F456" s="76">
        <f>240.302-40-60-100</f>
        <v>40.301999999999992</v>
      </c>
      <c r="G456" s="79">
        <v>40</v>
      </c>
      <c r="H456" s="76">
        <f>60+100</f>
        <v>160</v>
      </c>
      <c r="I456" s="76">
        <f t="shared" si="70"/>
        <v>0</v>
      </c>
      <c r="J456" s="79">
        <v>100</v>
      </c>
      <c r="K456" s="79">
        <v>300</v>
      </c>
      <c r="L456" s="76">
        <f t="shared" si="63"/>
        <v>1150</v>
      </c>
      <c r="M456" s="87">
        <v>600</v>
      </c>
      <c r="N456" s="76">
        <f>100</f>
        <v>100</v>
      </c>
      <c r="O456" s="79">
        <v>240</v>
      </c>
      <c r="P456" s="79">
        <v>40</v>
      </c>
      <c r="Q456" s="79">
        <f t="shared" si="64"/>
        <v>315</v>
      </c>
      <c r="R456" s="79">
        <f t="shared" si="65"/>
        <v>100</v>
      </c>
      <c r="S456" s="76">
        <f t="shared" si="66"/>
        <v>695</v>
      </c>
      <c r="T456" s="76">
        <f>50</f>
        <v>50</v>
      </c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</row>
    <row r="457" spans="1:30" ht="15.75" x14ac:dyDescent="0.25">
      <c r="A457" s="32">
        <v>54847</v>
      </c>
      <c r="B457" s="89">
        <v>28</v>
      </c>
      <c r="C457" s="76">
        <f>122.58</f>
        <v>122.58</v>
      </c>
      <c r="D457" s="76">
        <f>297.941</f>
        <v>297.94099999999997</v>
      </c>
      <c r="E457" s="85">
        <f>89.177</f>
        <v>89.177000000000007</v>
      </c>
      <c r="F457" s="76">
        <f>240.302-40-60-100</f>
        <v>40.301999999999992</v>
      </c>
      <c r="G457" s="79">
        <v>40</v>
      </c>
      <c r="H457" s="76">
        <f>60+100</f>
        <v>160</v>
      </c>
      <c r="I457" s="76">
        <f t="shared" si="70"/>
        <v>0</v>
      </c>
      <c r="J457" s="79">
        <v>100</v>
      </c>
      <c r="K457" s="79">
        <v>300</v>
      </c>
      <c r="L457" s="76">
        <f t="shared" si="63"/>
        <v>1150</v>
      </c>
      <c r="M457" s="87">
        <v>600</v>
      </c>
      <c r="N457" s="76">
        <f>100</f>
        <v>100</v>
      </c>
      <c r="O457" s="79">
        <v>240</v>
      </c>
      <c r="P457" s="79">
        <v>40</v>
      </c>
      <c r="Q457" s="79">
        <f t="shared" si="64"/>
        <v>315</v>
      </c>
      <c r="R457" s="79">
        <f t="shared" si="65"/>
        <v>100</v>
      </c>
      <c r="S457" s="76">
        <f t="shared" si="66"/>
        <v>695</v>
      </c>
      <c r="T457" s="76">
        <f>50</f>
        <v>50</v>
      </c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</row>
    <row r="458" spans="1:30" ht="15.75" x14ac:dyDescent="0.25">
      <c r="A458" s="32">
        <v>54878</v>
      </c>
      <c r="B458" s="89">
        <v>31</v>
      </c>
      <c r="C458" s="76">
        <f>122.58</f>
        <v>122.58</v>
      </c>
      <c r="D458" s="76">
        <f>297.941</f>
        <v>297.94099999999997</v>
      </c>
      <c r="E458" s="85">
        <f>89.177</f>
        <v>89.177000000000007</v>
      </c>
      <c r="F458" s="76">
        <f>240.302-40-60-100</f>
        <v>40.301999999999992</v>
      </c>
      <c r="G458" s="79">
        <v>40</v>
      </c>
      <c r="H458" s="76">
        <f>60+100</f>
        <v>160</v>
      </c>
      <c r="I458" s="76">
        <f t="shared" si="70"/>
        <v>0</v>
      </c>
      <c r="J458" s="79">
        <v>100</v>
      </c>
      <c r="K458" s="79">
        <v>300</v>
      </c>
      <c r="L458" s="76">
        <f t="shared" si="63"/>
        <v>1150</v>
      </c>
      <c r="M458" s="87">
        <v>600</v>
      </c>
      <c r="N458" s="76">
        <f>100</f>
        <v>100</v>
      </c>
      <c r="O458" s="79">
        <v>240</v>
      </c>
      <c r="P458" s="79">
        <v>40</v>
      </c>
      <c r="Q458" s="79">
        <f t="shared" si="64"/>
        <v>315</v>
      </c>
      <c r="R458" s="79">
        <f t="shared" si="65"/>
        <v>100</v>
      </c>
      <c r="S458" s="76">
        <f t="shared" si="66"/>
        <v>695</v>
      </c>
      <c r="T458" s="76">
        <f>50</f>
        <v>50</v>
      </c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</row>
    <row r="459" spans="1:30" ht="15.75" x14ac:dyDescent="0.25">
      <c r="A459" s="32">
        <v>54908</v>
      </c>
      <c r="B459" s="89">
        <v>30</v>
      </c>
      <c r="C459" s="76">
        <f>141.293</f>
        <v>141.29300000000001</v>
      </c>
      <c r="D459" s="76">
        <f>267.993</f>
        <v>267.99299999999999</v>
      </c>
      <c r="E459" s="85">
        <f>115.016</f>
        <v>115.01600000000001</v>
      </c>
      <c r="F459" s="76">
        <f>314.698-40-25-60-100</f>
        <v>89.697999999999979</v>
      </c>
      <c r="G459" s="79">
        <v>40</v>
      </c>
      <c r="H459" s="76">
        <f t="shared" ref="H459:H465" si="72">25+60+100</f>
        <v>185</v>
      </c>
      <c r="I459" s="76">
        <f t="shared" si="70"/>
        <v>0</v>
      </c>
      <c r="J459" s="79">
        <v>100</v>
      </c>
      <c r="K459" s="79">
        <v>300</v>
      </c>
      <c r="L459" s="76">
        <f t="shared" si="63"/>
        <v>1239</v>
      </c>
      <c r="M459" s="87">
        <v>600</v>
      </c>
      <c r="N459" s="76">
        <f>100</f>
        <v>100</v>
      </c>
      <c r="O459" s="79">
        <v>240</v>
      </c>
      <c r="P459" s="79">
        <v>160</v>
      </c>
      <c r="Q459" s="79">
        <f t="shared" si="64"/>
        <v>195</v>
      </c>
      <c r="R459" s="79">
        <f t="shared" si="65"/>
        <v>100</v>
      </c>
      <c r="S459" s="76">
        <f t="shared" si="66"/>
        <v>695</v>
      </c>
      <c r="T459" s="76">
        <f>50</f>
        <v>50</v>
      </c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</row>
    <row r="460" spans="1:30" ht="15.75" x14ac:dyDescent="0.25">
      <c r="A460" s="32">
        <v>54939</v>
      </c>
      <c r="B460" s="89">
        <v>31</v>
      </c>
      <c r="C460" s="76">
        <f>194.205</f>
        <v>194.20500000000001</v>
      </c>
      <c r="D460" s="76">
        <f>267.466</f>
        <v>267.46600000000001</v>
      </c>
      <c r="E460" s="85">
        <f>133.845</f>
        <v>133.845</v>
      </c>
      <c r="F460" s="76">
        <f>278.484-40-25-60-100</f>
        <v>53.48399999999998</v>
      </c>
      <c r="G460" s="79">
        <v>40</v>
      </c>
      <c r="H460" s="76">
        <f t="shared" si="72"/>
        <v>185</v>
      </c>
      <c r="I460" s="76">
        <f t="shared" si="70"/>
        <v>0</v>
      </c>
      <c r="J460" s="79">
        <v>100</v>
      </c>
      <c r="K460" s="79">
        <v>300</v>
      </c>
      <c r="L460" s="76">
        <f t="shared" si="63"/>
        <v>1274</v>
      </c>
      <c r="M460" s="87">
        <v>600</v>
      </c>
      <c r="N460" s="76">
        <f>75</f>
        <v>75</v>
      </c>
      <c r="O460" s="79">
        <v>240</v>
      </c>
      <c r="P460" s="79">
        <v>160</v>
      </c>
      <c r="Q460" s="79">
        <f t="shared" si="64"/>
        <v>195</v>
      </c>
      <c r="R460" s="79">
        <f t="shared" si="65"/>
        <v>100</v>
      </c>
      <c r="S460" s="76">
        <f t="shared" si="66"/>
        <v>695</v>
      </c>
      <c r="T460" s="76">
        <f>50</f>
        <v>50</v>
      </c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</row>
    <row r="461" spans="1:30" ht="15.75" x14ac:dyDescent="0.25">
      <c r="A461" s="32">
        <v>54969</v>
      </c>
      <c r="B461" s="89">
        <v>30</v>
      </c>
      <c r="C461" s="76">
        <f>194.205</f>
        <v>194.20500000000001</v>
      </c>
      <c r="D461" s="76">
        <f>267.466</f>
        <v>267.46600000000001</v>
      </c>
      <c r="E461" s="85">
        <f>133.845</f>
        <v>133.845</v>
      </c>
      <c r="F461" s="76">
        <f>278.484-40-25-60-100</f>
        <v>53.48399999999998</v>
      </c>
      <c r="G461" s="79">
        <v>40</v>
      </c>
      <c r="H461" s="76">
        <f t="shared" si="72"/>
        <v>185</v>
      </c>
      <c r="I461" s="76">
        <f t="shared" si="70"/>
        <v>0</v>
      </c>
      <c r="J461" s="79">
        <v>100</v>
      </c>
      <c r="K461" s="79">
        <v>300</v>
      </c>
      <c r="L461" s="76">
        <f t="shared" si="63"/>
        <v>1274</v>
      </c>
      <c r="M461" s="87">
        <v>600</v>
      </c>
      <c r="N461" s="76">
        <f>30</f>
        <v>30</v>
      </c>
      <c r="O461" s="79">
        <v>240</v>
      </c>
      <c r="P461" s="79">
        <v>160</v>
      </c>
      <c r="Q461" s="79">
        <f t="shared" si="64"/>
        <v>195</v>
      </c>
      <c r="R461" s="79">
        <f t="shared" si="65"/>
        <v>100</v>
      </c>
      <c r="S461" s="76">
        <f t="shared" si="66"/>
        <v>695</v>
      </c>
      <c r="T461" s="76">
        <f>50</f>
        <v>50</v>
      </c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</row>
    <row r="462" spans="1:30" ht="15.75" x14ac:dyDescent="0.25">
      <c r="A462" s="32">
        <v>55000</v>
      </c>
      <c r="B462" s="89">
        <v>31</v>
      </c>
      <c r="C462" s="76">
        <f>194.205</f>
        <v>194.20500000000001</v>
      </c>
      <c r="D462" s="76">
        <f>267.466</f>
        <v>267.46600000000001</v>
      </c>
      <c r="E462" s="85">
        <f>133.845</f>
        <v>133.845</v>
      </c>
      <c r="F462" s="76">
        <f>278.484-40-25-60-100</f>
        <v>53.48399999999998</v>
      </c>
      <c r="G462" s="79">
        <v>40</v>
      </c>
      <c r="H462" s="76">
        <f t="shared" si="72"/>
        <v>185</v>
      </c>
      <c r="I462" s="76">
        <f t="shared" si="70"/>
        <v>0</v>
      </c>
      <c r="J462" s="79">
        <v>100</v>
      </c>
      <c r="K462" s="79">
        <v>300</v>
      </c>
      <c r="L462" s="76">
        <f t="shared" si="63"/>
        <v>1274</v>
      </c>
      <c r="M462" s="87">
        <v>600</v>
      </c>
      <c r="N462" s="76">
        <f>30</f>
        <v>30</v>
      </c>
      <c r="O462" s="79">
        <v>240</v>
      </c>
      <c r="P462" s="79">
        <v>160</v>
      </c>
      <c r="Q462" s="79">
        <f t="shared" si="64"/>
        <v>195</v>
      </c>
      <c r="R462" s="79">
        <f t="shared" si="65"/>
        <v>100</v>
      </c>
      <c r="S462" s="76">
        <f t="shared" si="66"/>
        <v>695</v>
      </c>
      <c r="T462" s="76">
        <f>0</f>
        <v>0</v>
      </c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</row>
    <row r="463" spans="1:30" ht="15.75" x14ac:dyDescent="0.25">
      <c r="A463" s="32">
        <v>55031</v>
      </c>
      <c r="B463" s="89">
        <v>31</v>
      </c>
      <c r="C463" s="76">
        <f>194.205</f>
        <v>194.20500000000001</v>
      </c>
      <c r="D463" s="76">
        <f>267.466</f>
        <v>267.46600000000001</v>
      </c>
      <c r="E463" s="85">
        <f>133.845</f>
        <v>133.845</v>
      </c>
      <c r="F463" s="76">
        <f>278.484-40-25-60-100</f>
        <v>53.48399999999998</v>
      </c>
      <c r="G463" s="79">
        <v>40</v>
      </c>
      <c r="H463" s="76">
        <f t="shared" si="72"/>
        <v>185</v>
      </c>
      <c r="I463" s="76">
        <f t="shared" si="70"/>
        <v>0</v>
      </c>
      <c r="J463" s="79">
        <v>100</v>
      </c>
      <c r="K463" s="79">
        <v>300</v>
      </c>
      <c r="L463" s="76">
        <f t="shared" si="63"/>
        <v>1274</v>
      </c>
      <c r="M463" s="87">
        <v>600</v>
      </c>
      <c r="N463" s="76">
        <f>30</f>
        <v>30</v>
      </c>
      <c r="O463" s="79">
        <v>240</v>
      </c>
      <c r="P463" s="79">
        <v>160</v>
      </c>
      <c r="Q463" s="79">
        <f t="shared" si="64"/>
        <v>195</v>
      </c>
      <c r="R463" s="79">
        <f t="shared" si="65"/>
        <v>100</v>
      </c>
      <c r="S463" s="76">
        <f t="shared" si="66"/>
        <v>695</v>
      </c>
      <c r="T463" s="76">
        <f>0</f>
        <v>0</v>
      </c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</row>
    <row r="464" spans="1:30" ht="15.75" x14ac:dyDescent="0.25">
      <c r="A464" s="32">
        <v>55061</v>
      </c>
      <c r="B464" s="89">
        <v>30</v>
      </c>
      <c r="C464" s="76">
        <f>194.205</f>
        <v>194.20500000000001</v>
      </c>
      <c r="D464" s="76">
        <f>267.466</f>
        <v>267.46600000000001</v>
      </c>
      <c r="E464" s="85">
        <f>133.845</f>
        <v>133.845</v>
      </c>
      <c r="F464" s="76">
        <f>278.484-40-25-60-100</f>
        <v>53.48399999999998</v>
      </c>
      <c r="G464" s="79">
        <v>40</v>
      </c>
      <c r="H464" s="76">
        <f t="shared" si="72"/>
        <v>185</v>
      </c>
      <c r="I464" s="76">
        <f t="shared" si="70"/>
        <v>0</v>
      </c>
      <c r="J464" s="79">
        <v>100</v>
      </c>
      <c r="K464" s="79">
        <v>300</v>
      </c>
      <c r="L464" s="76">
        <f t="shared" si="63"/>
        <v>1274</v>
      </c>
      <c r="M464" s="87">
        <v>600</v>
      </c>
      <c r="N464" s="76">
        <f>30</f>
        <v>30</v>
      </c>
      <c r="O464" s="79">
        <v>240</v>
      </c>
      <c r="P464" s="79">
        <v>160</v>
      </c>
      <c r="Q464" s="79">
        <f t="shared" si="64"/>
        <v>195</v>
      </c>
      <c r="R464" s="79">
        <f t="shared" si="65"/>
        <v>100</v>
      </c>
      <c r="S464" s="76">
        <f t="shared" si="66"/>
        <v>695</v>
      </c>
      <c r="T464" s="76">
        <f>0</f>
        <v>0</v>
      </c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</row>
    <row r="465" spans="1:30" ht="15.75" x14ac:dyDescent="0.25">
      <c r="A465" s="32">
        <v>55092</v>
      </c>
      <c r="B465" s="89">
        <v>31</v>
      </c>
      <c r="C465" s="76">
        <f>131.881</f>
        <v>131.881</v>
      </c>
      <c r="D465" s="76">
        <f>277.167</f>
        <v>277.16699999999997</v>
      </c>
      <c r="E465" s="85">
        <f>79.08</f>
        <v>79.08</v>
      </c>
      <c r="F465" s="76">
        <f>350.872-40-25-60-100</f>
        <v>125.87200000000001</v>
      </c>
      <c r="G465" s="79">
        <v>40</v>
      </c>
      <c r="H465" s="76">
        <f t="shared" si="72"/>
        <v>185</v>
      </c>
      <c r="I465" s="76">
        <f t="shared" si="70"/>
        <v>0</v>
      </c>
      <c r="J465" s="79">
        <v>100</v>
      </c>
      <c r="K465" s="79">
        <v>300</v>
      </c>
      <c r="L465" s="76">
        <f t="shared" si="63"/>
        <v>1239</v>
      </c>
      <c r="M465" s="87">
        <v>600</v>
      </c>
      <c r="N465" s="76">
        <f>75</f>
        <v>75</v>
      </c>
      <c r="O465" s="79">
        <v>240</v>
      </c>
      <c r="P465" s="79">
        <v>160</v>
      </c>
      <c r="Q465" s="79">
        <f t="shared" si="64"/>
        <v>195</v>
      </c>
      <c r="R465" s="79">
        <f t="shared" si="65"/>
        <v>100</v>
      </c>
      <c r="S465" s="76">
        <f t="shared" si="66"/>
        <v>695</v>
      </c>
      <c r="T465" s="76">
        <f>0</f>
        <v>0</v>
      </c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</row>
    <row r="466" spans="1:30" ht="15.75" x14ac:dyDescent="0.25">
      <c r="A466" s="32">
        <v>55122</v>
      </c>
      <c r="B466" s="89">
        <v>30</v>
      </c>
      <c r="C466" s="76">
        <f>122.58</f>
        <v>122.58</v>
      </c>
      <c r="D466" s="76">
        <f>297.941</f>
        <v>297.94099999999997</v>
      </c>
      <c r="E466" s="85">
        <f>89.177</f>
        <v>89.177000000000007</v>
      </c>
      <c r="F466" s="76">
        <f>240.302-40-60-100</f>
        <v>40.301999999999992</v>
      </c>
      <c r="G466" s="79">
        <v>40</v>
      </c>
      <c r="H466" s="76">
        <f>60+100</f>
        <v>160</v>
      </c>
      <c r="I466" s="76">
        <f t="shared" si="70"/>
        <v>0</v>
      </c>
      <c r="J466" s="79">
        <v>100</v>
      </c>
      <c r="K466" s="79">
        <v>300</v>
      </c>
      <c r="L466" s="76">
        <f t="shared" ref="L466:L529" si="73">SUM(C466:K466)</f>
        <v>1150</v>
      </c>
      <c r="M466" s="87">
        <v>600</v>
      </c>
      <c r="N466" s="76">
        <f>100</f>
        <v>100</v>
      </c>
      <c r="O466" s="79">
        <v>240</v>
      </c>
      <c r="P466" s="79">
        <v>40</v>
      </c>
      <c r="Q466" s="79">
        <f t="shared" ref="Q466:Q529" si="74">695-R466-O466-P466</f>
        <v>315</v>
      </c>
      <c r="R466" s="79">
        <f t="shared" ref="R466:R529" si="75">200-J466</f>
        <v>100</v>
      </c>
      <c r="S466" s="76">
        <f t="shared" ref="S466:S529" si="76">SUM(O466:R466)</f>
        <v>695</v>
      </c>
      <c r="T466" s="76">
        <f>50</f>
        <v>50</v>
      </c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</row>
    <row r="467" spans="1:30" ht="15.75" x14ac:dyDescent="0.25">
      <c r="A467" s="32">
        <v>55153</v>
      </c>
      <c r="B467" s="89">
        <v>31</v>
      </c>
      <c r="C467" s="76">
        <f>122.58</f>
        <v>122.58</v>
      </c>
      <c r="D467" s="76">
        <f>297.941</f>
        <v>297.94099999999997</v>
      </c>
      <c r="E467" s="85">
        <f>89.177</f>
        <v>89.177000000000007</v>
      </c>
      <c r="F467" s="76">
        <f>240.302-40-60-100</f>
        <v>40.301999999999992</v>
      </c>
      <c r="G467" s="79">
        <v>40</v>
      </c>
      <c r="H467" s="76">
        <f>60+100</f>
        <v>160</v>
      </c>
      <c r="I467" s="76">
        <f t="shared" si="70"/>
        <v>0</v>
      </c>
      <c r="J467" s="79">
        <v>100</v>
      </c>
      <c r="K467" s="79">
        <v>300</v>
      </c>
      <c r="L467" s="76">
        <f t="shared" si="73"/>
        <v>1150</v>
      </c>
      <c r="M467" s="87">
        <v>600</v>
      </c>
      <c r="N467" s="76">
        <f>100</f>
        <v>100</v>
      </c>
      <c r="O467" s="79">
        <v>240</v>
      </c>
      <c r="P467" s="79">
        <v>40</v>
      </c>
      <c r="Q467" s="79">
        <f t="shared" si="74"/>
        <v>315</v>
      </c>
      <c r="R467" s="79">
        <f t="shared" si="75"/>
        <v>100</v>
      </c>
      <c r="S467" s="76">
        <f t="shared" si="76"/>
        <v>695</v>
      </c>
      <c r="T467" s="76">
        <f>50</f>
        <v>50</v>
      </c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</row>
    <row r="468" spans="1:30" ht="15.75" x14ac:dyDescent="0.25">
      <c r="A468" s="32">
        <v>55184</v>
      </c>
      <c r="B468" s="89">
        <v>31</v>
      </c>
      <c r="C468" s="76">
        <f>122.58</f>
        <v>122.58</v>
      </c>
      <c r="D468" s="76">
        <f>297.941</f>
        <v>297.94099999999997</v>
      </c>
      <c r="E468" s="85">
        <f>89.177</f>
        <v>89.177000000000007</v>
      </c>
      <c r="F468" s="76">
        <f>240.302-40-60-100</f>
        <v>40.301999999999992</v>
      </c>
      <c r="G468" s="79">
        <v>40</v>
      </c>
      <c r="H468" s="76">
        <f>60+100</f>
        <v>160</v>
      </c>
      <c r="I468" s="76">
        <f t="shared" si="70"/>
        <v>0</v>
      </c>
      <c r="J468" s="79">
        <v>100</v>
      </c>
      <c r="K468" s="79">
        <v>300</v>
      </c>
      <c r="L468" s="76">
        <f t="shared" si="73"/>
        <v>1150</v>
      </c>
      <c r="M468" s="87">
        <v>600</v>
      </c>
      <c r="N468" s="76">
        <f>100</f>
        <v>100</v>
      </c>
      <c r="O468" s="79">
        <v>240</v>
      </c>
      <c r="P468" s="79">
        <v>40</v>
      </c>
      <c r="Q468" s="79">
        <f t="shared" si="74"/>
        <v>315</v>
      </c>
      <c r="R468" s="79">
        <f t="shared" si="75"/>
        <v>100</v>
      </c>
      <c r="S468" s="76">
        <f t="shared" si="76"/>
        <v>695</v>
      </c>
      <c r="T468" s="76">
        <f>50</f>
        <v>50</v>
      </c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</row>
    <row r="469" spans="1:30" ht="15.75" x14ac:dyDescent="0.25">
      <c r="A469" s="32">
        <v>55212</v>
      </c>
      <c r="B469" s="89">
        <v>28</v>
      </c>
      <c r="C469" s="76">
        <f>122.58</f>
        <v>122.58</v>
      </c>
      <c r="D469" s="76">
        <f>297.941</f>
        <v>297.94099999999997</v>
      </c>
      <c r="E469" s="85">
        <f>89.177</f>
        <v>89.177000000000007</v>
      </c>
      <c r="F469" s="76">
        <f>240.302-40-60-100</f>
        <v>40.301999999999992</v>
      </c>
      <c r="G469" s="79">
        <v>40</v>
      </c>
      <c r="H469" s="76">
        <f>60+100</f>
        <v>160</v>
      </c>
      <c r="I469" s="76">
        <f t="shared" si="70"/>
        <v>0</v>
      </c>
      <c r="J469" s="79">
        <v>100</v>
      </c>
      <c r="K469" s="79">
        <v>300</v>
      </c>
      <c r="L469" s="76">
        <f t="shared" si="73"/>
        <v>1150</v>
      </c>
      <c r="M469" s="87">
        <v>600</v>
      </c>
      <c r="N469" s="76">
        <f>100</f>
        <v>100</v>
      </c>
      <c r="O469" s="79">
        <v>240</v>
      </c>
      <c r="P469" s="79">
        <v>40</v>
      </c>
      <c r="Q469" s="79">
        <f t="shared" si="74"/>
        <v>315</v>
      </c>
      <c r="R469" s="79">
        <f t="shared" si="75"/>
        <v>100</v>
      </c>
      <c r="S469" s="76">
        <f t="shared" si="76"/>
        <v>695</v>
      </c>
      <c r="T469" s="76">
        <f>50</f>
        <v>50</v>
      </c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</row>
    <row r="470" spans="1:30" ht="15.75" x14ac:dyDescent="0.25">
      <c r="A470" s="32">
        <v>55243</v>
      </c>
      <c r="B470" s="89">
        <v>31</v>
      </c>
      <c r="C470" s="76">
        <f>122.58</f>
        <v>122.58</v>
      </c>
      <c r="D470" s="76">
        <f>297.941</f>
        <v>297.94099999999997</v>
      </c>
      <c r="E470" s="85">
        <f>89.177</f>
        <v>89.177000000000007</v>
      </c>
      <c r="F470" s="76">
        <f>240.302-40-60-100</f>
        <v>40.301999999999992</v>
      </c>
      <c r="G470" s="79">
        <v>40</v>
      </c>
      <c r="H470" s="76">
        <f>60+100</f>
        <v>160</v>
      </c>
      <c r="I470" s="76">
        <f t="shared" si="70"/>
        <v>0</v>
      </c>
      <c r="J470" s="79">
        <v>100</v>
      </c>
      <c r="K470" s="79">
        <v>300</v>
      </c>
      <c r="L470" s="76">
        <f t="shared" si="73"/>
        <v>1150</v>
      </c>
      <c r="M470" s="87">
        <v>600</v>
      </c>
      <c r="N470" s="76">
        <f>100</f>
        <v>100</v>
      </c>
      <c r="O470" s="79">
        <v>240</v>
      </c>
      <c r="P470" s="79">
        <v>40</v>
      </c>
      <c r="Q470" s="79">
        <f t="shared" si="74"/>
        <v>315</v>
      </c>
      <c r="R470" s="79">
        <f t="shared" si="75"/>
        <v>100</v>
      </c>
      <c r="S470" s="76">
        <f t="shared" si="76"/>
        <v>695</v>
      </c>
      <c r="T470" s="76">
        <f>50</f>
        <v>50</v>
      </c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</row>
    <row r="471" spans="1:30" ht="15.75" x14ac:dyDescent="0.25">
      <c r="A471" s="32">
        <v>55273</v>
      </c>
      <c r="B471" s="89">
        <v>30</v>
      </c>
      <c r="C471" s="76">
        <f>141.293</f>
        <v>141.29300000000001</v>
      </c>
      <c r="D471" s="76">
        <f>267.993</f>
        <v>267.99299999999999</v>
      </c>
      <c r="E471" s="85">
        <f>115.016</f>
        <v>115.01600000000001</v>
      </c>
      <c r="F471" s="76">
        <f>314.698-40-25-60-100</f>
        <v>89.697999999999979</v>
      </c>
      <c r="G471" s="79">
        <v>40</v>
      </c>
      <c r="H471" s="76">
        <f t="shared" ref="H471:H477" si="77">25+60+100</f>
        <v>185</v>
      </c>
      <c r="I471" s="76">
        <f t="shared" si="70"/>
        <v>0</v>
      </c>
      <c r="J471" s="79">
        <v>100</v>
      </c>
      <c r="K471" s="79">
        <v>300</v>
      </c>
      <c r="L471" s="76">
        <f t="shared" si="73"/>
        <v>1239</v>
      </c>
      <c r="M471" s="87">
        <v>600</v>
      </c>
      <c r="N471" s="76">
        <f>100</f>
        <v>100</v>
      </c>
      <c r="O471" s="79">
        <v>240</v>
      </c>
      <c r="P471" s="79">
        <v>160</v>
      </c>
      <c r="Q471" s="79">
        <f t="shared" si="74"/>
        <v>195</v>
      </c>
      <c r="R471" s="79">
        <f t="shared" si="75"/>
        <v>100</v>
      </c>
      <c r="S471" s="76">
        <f t="shared" si="76"/>
        <v>695</v>
      </c>
      <c r="T471" s="76">
        <f>50</f>
        <v>50</v>
      </c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</row>
    <row r="472" spans="1:30" ht="15.75" x14ac:dyDescent="0.25">
      <c r="A472" s="32">
        <v>55304</v>
      </c>
      <c r="B472" s="89">
        <v>31</v>
      </c>
      <c r="C472" s="76">
        <f>194.205</f>
        <v>194.20500000000001</v>
      </c>
      <c r="D472" s="76">
        <f>267.466</f>
        <v>267.46600000000001</v>
      </c>
      <c r="E472" s="85">
        <f>133.845</f>
        <v>133.845</v>
      </c>
      <c r="F472" s="76">
        <f>278.484-40-25-60-100</f>
        <v>53.48399999999998</v>
      </c>
      <c r="G472" s="79">
        <v>40</v>
      </c>
      <c r="H472" s="76">
        <f t="shared" si="77"/>
        <v>185</v>
      </c>
      <c r="I472" s="76">
        <f t="shared" si="70"/>
        <v>0</v>
      </c>
      <c r="J472" s="79">
        <v>100</v>
      </c>
      <c r="K472" s="79">
        <v>300</v>
      </c>
      <c r="L472" s="76">
        <f t="shared" si="73"/>
        <v>1274</v>
      </c>
      <c r="M472" s="87">
        <v>600</v>
      </c>
      <c r="N472" s="76">
        <f>75</f>
        <v>75</v>
      </c>
      <c r="O472" s="79">
        <v>240</v>
      </c>
      <c r="P472" s="79">
        <v>160</v>
      </c>
      <c r="Q472" s="79">
        <f t="shared" si="74"/>
        <v>195</v>
      </c>
      <c r="R472" s="79">
        <f t="shared" si="75"/>
        <v>100</v>
      </c>
      <c r="S472" s="76">
        <f t="shared" si="76"/>
        <v>695</v>
      </c>
      <c r="T472" s="76">
        <f>50</f>
        <v>50</v>
      </c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</row>
    <row r="473" spans="1:30" ht="15.75" x14ac:dyDescent="0.25">
      <c r="A473" s="32">
        <v>55334</v>
      </c>
      <c r="B473" s="89">
        <v>30</v>
      </c>
      <c r="C473" s="76">
        <f>194.205</f>
        <v>194.20500000000001</v>
      </c>
      <c r="D473" s="76">
        <f>267.466</f>
        <v>267.46600000000001</v>
      </c>
      <c r="E473" s="85">
        <f>133.845</f>
        <v>133.845</v>
      </c>
      <c r="F473" s="76">
        <f>278.484-40-25-60-100</f>
        <v>53.48399999999998</v>
      </c>
      <c r="G473" s="79">
        <v>40</v>
      </c>
      <c r="H473" s="76">
        <f t="shared" si="77"/>
        <v>185</v>
      </c>
      <c r="I473" s="76">
        <f t="shared" si="70"/>
        <v>0</v>
      </c>
      <c r="J473" s="79">
        <v>100</v>
      </c>
      <c r="K473" s="79">
        <v>300</v>
      </c>
      <c r="L473" s="76">
        <f t="shared" si="73"/>
        <v>1274</v>
      </c>
      <c r="M473" s="87">
        <v>600</v>
      </c>
      <c r="N473" s="76">
        <f>30</f>
        <v>30</v>
      </c>
      <c r="O473" s="79">
        <v>240</v>
      </c>
      <c r="P473" s="79">
        <v>160</v>
      </c>
      <c r="Q473" s="79">
        <f t="shared" si="74"/>
        <v>195</v>
      </c>
      <c r="R473" s="79">
        <f t="shared" si="75"/>
        <v>100</v>
      </c>
      <c r="S473" s="76">
        <f t="shared" si="76"/>
        <v>695</v>
      </c>
      <c r="T473" s="76">
        <f>50</f>
        <v>50</v>
      </c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</row>
    <row r="474" spans="1:30" ht="15.75" x14ac:dyDescent="0.25">
      <c r="A474" s="32">
        <v>55365</v>
      </c>
      <c r="B474" s="89">
        <v>31</v>
      </c>
      <c r="C474" s="76">
        <f>194.205</f>
        <v>194.20500000000001</v>
      </c>
      <c r="D474" s="76">
        <f>267.466</f>
        <v>267.46600000000001</v>
      </c>
      <c r="E474" s="85">
        <f>133.845</f>
        <v>133.845</v>
      </c>
      <c r="F474" s="76">
        <f>278.484-40-25-60-100</f>
        <v>53.48399999999998</v>
      </c>
      <c r="G474" s="79">
        <v>40</v>
      </c>
      <c r="H474" s="76">
        <f t="shared" si="77"/>
        <v>185</v>
      </c>
      <c r="I474" s="76">
        <f t="shared" si="70"/>
        <v>0</v>
      </c>
      <c r="J474" s="79">
        <v>100</v>
      </c>
      <c r="K474" s="79">
        <v>300</v>
      </c>
      <c r="L474" s="76">
        <f t="shared" si="73"/>
        <v>1274</v>
      </c>
      <c r="M474" s="87">
        <v>600</v>
      </c>
      <c r="N474" s="76">
        <f>30</f>
        <v>30</v>
      </c>
      <c r="O474" s="79">
        <v>240</v>
      </c>
      <c r="P474" s="79">
        <v>160</v>
      </c>
      <c r="Q474" s="79">
        <f t="shared" si="74"/>
        <v>195</v>
      </c>
      <c r="R474" s="79">
        <f t="shared" si="75"/>
        <v>100</v>
      </c>
      <c r="S474" s="76">
        <f t="shared" si="76"/>
        <v>695</v>
      </c>
      <c r="T474" s="76">
        <f>0</f>
        <v>0</v>
      </c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</row>
    <row r="475" spans="1:30" ht="15.75" x14ac:dyDescent="0.25">
      <c r="A475" s="32">
        <v>55396</v>
      </c>
      <c r="B475" s="89">
        <v>31</v>
      </c>
      <c r="C475" s="76">
        <f>194.205</f>
        <v>194.20500000000001</v>
      </c>
      <c r="D475" s="76">
        <f>267.466</f>
        <v>267.46600000000001</v>
      </c>
      <c r="E475" s="85">
        <f>133.845</f>
        <v>133.845</v>
      </c>
      <c r="F475" s="76">
        <f>278.484-40-25-60-100</f>
        <v>53.48399999999998</v>
      </c>
      <c r="G475" s="79">
        <v>40</v>
      </c>
      <c r="H475" s="76">
        <f t="shared" si="77"/>
        <v>185</v>
      </c>
      <c r="I475" s="76">
        <f t="shared" si="70"/>
        <v>0</v>
      </c>
      <c r="J475" s="79">
        <v>100</v>
      </c>
      <c r="K475" s="79">
        <v>300</v>
      </c>
      <c r="L475" s="76">
        <f t="shared" si="73"/>
        <v>1274</v>
      </c>
      <c r="M475" s="87">
        <v>600</v>
      </c>
      <c r="N475" s="76">
        <f>30</f>
        <v>30</v>
      </c>
      <c r="O475" s="79">
        <v>240</v>
      </c>
      <c r="P475" s="79">
        <v>160</v>
      </c>
      <c r="Q475" s="79">
        <f t="shared" si="74"/>
        <v>195</v>
      </c>
      <c r="R475" s="79">
        <f t="shared" si="75"/>
        <v>100</v>
      </c>
      <c r="S475" s="76">
        <f t="shared" si="76"/>
        <v>695</v>
      </c>
      <c r="T475" s="76">
        <f>0</f>
        <v>0</v>
      </c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</row>
    <row r="476" spans="1:30" ht="15.75" x14ac:dyDescent="0.25">
      <c r="A476" s="32">
        <v>55426</v>
      </c>
      <c r="B476" s="89">
        <v>30</v>
      </c>
      <c r="C476" s="76">
        <f>194.205</f>
        <v>194.20500000000001</v>
      </c>
      <c r="D476" s="76">
        <f>267.466</f>
        <v>267.46600000000001</v>
      </c>
      <c r="E476" s="85">
        <f>133.845</f>
        <v>133.845</v>
      </c>
      <c r="F476" s="76">
        <f>278.484-40-25-60-100</f>
        <v>53.48399999999998</v>
      </c>
      <c r="G476" s="79">
        <v>40</v>
      </c>
      <c r="H476" s="76">
        <f t="shared" si="77"/>
        <v>185</v>
      </c>
      <c r="I476" s="76">
        <f t="shared" si="70"/>
        <v>0</v>
      </c>
      <c r="J476" s="79">
        <v>100</v>
      </c>
      <c r="K476" s="79">
        <v>300</v>
      </c>
      <c r="L476" s="76">
        <f t="shared" si="73"/>
        <v>1274</v>
      </c>
      <c r="M476" s="87">
        <v>600</v>
      </c>
      <c r="N476" s="76">
        <f>30</f>
        <v>30</v>
      </c>
      <c r="O476" s="79">
        <v>240</v>
      </c>
      <c r="P476" s="79">
        <v>160</v>
      </c>
      <c r="Q476" s="79">
        <f t="shared" si="74"/>
        <v>195</v>
      </c>
      <c r="R476" s="79">
        <f t="shared" si="75"/>
        <v>100</v>
      </c>
      <c r="S476" s="76">
        <f t="shared" si="76"/>
        <v>695</v>
      </c>
      <c r="T476" s="76">
        <f>0</f>
        <v>0</v>
      </c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</row>
    <row r="477" spans="1:30" ht="15.75" x14ac:dyDescent="0.25">
      <c r="A477" s="32">
        <v>55457</v>
      </c>
      <c r="B477" s="89">
        <v>31</v>
      </c>
      <c r="C477" s="76">
        <f>131.881</f>
        <v>131.881</v>
      </c>
      <c r="D477" s="76">
        <f>277.167</f>
        <v>277.16699999999997</v>
      </c>
      <c r="E477" s="85">
        <f>79.08</f>
        <v>79.08</v>
      </c>
      <c r="F477" s="76">
        <f>350.872-40-25-60-100</f>
        <v>125.87200000000001</v>
      </c>
      <c r="G477" s="79">
        <v>40</v>
      </c>
      <c r="H477" s="76">
        <f t="shared" si="77"/>
        <v>185</v>
      </c>
      <c r="I477" s="76">
        <f t="shared" si="70"/>
        <v>0</v>
      </c>
      <c r="J477" s="79">
        <v>100</v>
      </c>
      <c r="K477" s="79">
        <v>300</v>
      </c>
      <c r="L477" s="76">
        <f t="shared" si="73"/>
        <v>1239</v>
      </c>
      <c r="M477" s="87">
        <v>600</v>
      </c>
      <c r="N477" s="76">
        <f>75</f>
        <v>75</v>
      </c>
      <c r="O477" s="79">
        <v>240</v>
      </c>
      <c r="P477" s="79">
        <v>160</v>
      </c>
      <c r="Q477" s="79">
        <f t="shared" si="74"/>
        <v>195</v>
      </c>
      <c r="R477" s="79">
        <f t="shared" si="75"/>
        <v>100</v>
      </c>
      <c r="S477" s="76">
        <f t="shared" si="76"/>
        <v>695</v>
      </c>
      <c r="T477" s="76">
        <f>0</f>
        <v>0</v>
      </c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</row>
    <row r="478" spans="1:30" ht="15.75" x14ac:dyDescent="0.25">
      <c r="A478" s="32">
        <v>55487</v>
      </c>
      <c r="B478" s="89">
        <v>30</v>
      </c>
      <c r="C478" s="76">
        <f>122.58</f>
        <v>122.58</v>
      </c>
      <c r="D478" s="76">
        <f>297.941</f>
        <v>297.94099999999997</v>
      </c>
      <c r="E478" s="85">
        <f>89.177</f>
        <v>89.177000000000007</v>
      </c>
      <c r="F478" s="76">
        <f>240.302-40-60-100</f>
        <v>40.301999999999992</v>
      </c>
      <c r="G478" s="79">
        <v>40</v>
      </c>
      <c r="H478" s="76">
        <f>60+100</f>
        <v>160</v>
      </c>
      <c r="I478" s="76">
        <f t="shared" si="70"/>
        <v>0</v>
      </c>
      <c r="J478" s="79">
        <v>100</v>
      </c>
      <c r="K478" s="79">
        <v>300</v>
      </c>
      <c r="L478" s="76">
        <f t="shared" si="73"/>
        <v>1150</v>
      </c>
      <c r="M478" s="87">
        <v>600</v>
      </c>
      <c r="N478" s="76">
        <f>100</f>
        <v>100</v>
      </c>
      <c r="O478" s="79">
        <v>240</v>
      </c>
      <c r="P478" s="79">
        <v>40</v>
      </c>
      <c r="Q478" s="79">
        <f t="shared" si="74"/>
        <v>315</v>
      </c>
      <c r="R478" s="79">
        <f t="shared" si="75"/>
        <v>100</v>
      </c>
      <c r="S478" s="76">
        <f t="shared" si="76"/>
        <v>695</v>
      </c>
      <c r="T478" s="76">
        <f>50</f>
        <v>50</v>
      </c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</row>
    <row r="479" spans="1:30" ht="15.75" x14ac:dyDescent="0.25">
      <c r="A479" s="32">
        <v>55518</v>
      </c>
      <c r="B479" s="89">
        <v>31</v>
      </c>
      <c r="C479" s="76">
        <f>122.58</f>
        <v>122.58</v>
      </c>
      <c r="D479" s="76">
        <f>297.941</f>
        <v>297.94099999999997</v>
      </c>
      <c r="E479" s="85">
        <f>89.177</f>
        <v>89.177000000000007</v>
      </c>
      <c r="F479" s="76">
        <f>240.302-40-60-100</f>
        <v>40.301999999999992</v>
      </c>
      <c r="G479" s="79">
        <v>40</v>
      </c>
      <c r="H479" s="76">
        <f>60+100</f>
        <v>160</v>
      </c>
      <c r="I479" s="76">
        <f t="shared" si="70"/>
        <v>0</v>
      </c>
      <c r="J479" s="79">
        <v>100</v>
      </c>
      <c r="K479" s="79">
        <v>300</v>
      </c>
      <c r="L479" s="76">
        <f t="shared" si="73"/>
        <v>1150</v>
      </c>
      <c r="M479" s="87">
        <v>600</v>
      </c>
      <c r="N479" s="76">
        <f>100</f>
        <v>100</v>
      </c>
      <c r="O479" s="79">
        <v>240</v>
      </c>
      <c r="P479" s="79">
        <v>40</v>
      </c>
      <c r="Q479" s="79">
        <f t="shared" si="74"/>
        <v>315</v>
      </c>
      <c r="R479" s="79">
        <f t="shared" si="75"/>
        <v>100</v>
      </c>
      <c r="S479" s="76">
        <f t="shared" si="76"/>
        <v>695</v>
      </c>
      <c r="T479" s="76">
        <f>50</f>
        <v>50</v>
      </c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</row>
    <row r="480" spans="1:30" ht="15.75" x14ac:dyDescent="0.25">
      <c r="A480" s="32">
        <v>55549</v>
      </c>
      <c r="B480" s="89">
        <v>31</v>
      </c>
      <c r="C480" s="76">
        <f>122.58</f>
        <v>122.58</v>
      </c>
      <c r="D480" s="76">
        <f>297.941</f>
        <v>297.94099999999997</v>
      </c>
      <c r="E480" s="85">
        <f>89.177</f>
        <v>89.177000000000007</v>
      </c>
      <c r="F480" s="76">
        <f>240.302-40-60-100</f>
        <v>40.301999999999992</v>
      </c>
      <c r="G480" s="79">
        <v>40</v>
      </c>
      <c r="H480" s="76">
        <f>60+100</f>
        <v>160</v>
      </c>
      <c r="I480" s="76">
        <f t="shared" si="70"/>
        <v>0</v>
      </c>
      <c r="J480" s="79">
        <v>100</v>
      </c>
      <c r="K480" s="79">
        <v>300</v>
      </c>
      <c r="L480" s="76">
        <f t="shared" si="73"/>
        <v>1150</v>
      </c>
      <c r="M480" s="87">
        <v>600</v>
      </c>
      <c r="N480" s="76">
        <f>100</f>
        <v>100</v>
      </c>
      <c r="O480" s="79">
        <v>240</v>
      </c>
      <c r="P480" s="79">
        <v>40</v>
      </c>
      <c r="Q480" s="79">
        <f t="shared" si="74"/>
        <v>315</v>
      </c>
      <c r="R480" s="79">
        <f t="shared" si="75"/>
        <v>100</v>
      </c>
      <c r="S480" s="76">
        <f t="shared" si="76"/>
        <v>695</v>
      </c>
      <c r="T480" s="76">
        <f>50</f>
        <v>50</v>
      </c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</row>
    <row r="481" spans="1:30" ht="15.75" x14ac:dyDescent="0.25">
      <c r="A481" s="32">
        <v>55577</v>
      </c>
      <c r="B481" s="89">
        <v>29</v>
      </c>
      <c r="C481" s="76">
        <f>122.58</f>
        <v>122.58</v>
      </c>
      <c r="D481" s="76">
        <f>297.941</f>
        <v>297.94099999999997</v>
      </c>
      <c r="E481" s="85">
        <f>89.177</f>
        <v>89.177000000000007</v>
      </c>
      <c r="F481" s="76">
        <f>240.302-40-60-100</f>
        <v>40.301999999999992</v>
      </c>
      <c r="G481" s="79">
        <v>40</v>
      </c>
      <c r="H481" s="76">
        <f>60+100</f>
        <v>160</v>
      </c>
      <c r="I481" s="76">
        <f t="shared" si="70"/>
        <v>0</v>
      </c>
      <c r="J481" s="79">
        <v>100</v>
      </c>
      <c r="K481" s="79">
        <v>300</v>
      </c>
      <c r="L481" s="76">
        <f t="shared" si="73"/>
        <v>1150</v>
      </c>
      <c r="M481" s="87">
        <v>600</v>
      </c>
      <c r="N481" s="76">
        <f>100</f>
        <v>100</v>
      </c>
      <c r="O481" s="79">
        <v>240</v>
      </c>
      <c r="P481" s="79">
        <v>40</v>
      </c>
      <c r="Q481" s="79">
        <f t="shared" si="74"/>
        <v>315</v>
      </c>
      <c r="R481" s="79">
        <f t="shared" si="75"/>
        <v>100</v>
      </c>
      <c r="S481" s="76">
        <f t="shared" si="76"/>
        <v>695</v>
      </c>
      <c r="T481" s="76">
        <f>50</f>
        <v>50</v>
      </c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</row>
    <row r="482" spans="1:30" ht="15.75" x14ac:dyDescent="0.25">
      <c r="A482" s="32">
        <v>55609</v>
      </c>
      <c r="B482" s="89">
        <v>31</v>
      </c>
      <c r="C482" s="76">
        <f>122.58</f>
        <v>122.58</v>
      </c>
      <c r="D482" s="76">
        <f>297.941</f>
        <v>297.94099999999997</v>
      </c>
      <c r="E482" s="85">
        <f>89.177</f>
        <v>89.177000000000007</v>
      </c>
      <c r="F482" s="76">
        <f>240.302-40-60-100</f>
        <v>40.301999999999992</v>
      </c>
      <c r="G482" s="79">
        <v>40</v>
      </c>
      <c r="H482" s="76">
        <f>60+100</f>
        <v>160</v>
      </c>
      <c r="I482" s="76">
        <f t="shared" si="70"/>
        <v>0</v>
      </c>
      <c r="J482" s="79">
        <v>100</v>
      </c>
      <c r="K482" s="79">
        <v>300</v>
      </c>
      <c r="L482" s="76">
        <f t="shared" si="73"/>
        <v>1150</v>
      </c>
      <c r="M482" s="87">
        <v>600</v>
      </c>
      <c r="N482" s="76">
        <f>100</f>
        <v>100</v>
      </c>
      <c r="O482" s="79">
        <v>240</v>
      </c>
      <c r="P482" s="79">
        <v>40</v>
      </c>
      <c r="Q482" s="79">
        <f t="shared" si="74"/>
        <v>315</v>
      </c>
      <c r="R482" s="79">
        <f t="shared" si="75"/>
        <v>100</v>
      </c>
      <c r="S482" s="76">
        <f t="shared" si="76"/>
        <v>695</v>
      </c>
      <c r="T482" s="76">
        <f>50</f>
        <v>50</v>
      </c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</row>
    <row r="483" spans="1:30" ht="15.75" x14ac:dyDescent="0.25">
      <c r="A483" s="32">
        <v>55639</v>
      </c>
      <c r="B483" s="89">
        <v>30</v>
      </c>
      <c r="C483" s="76">
        <f>141.293</f>
        <v>141.29300000000001</v>
      </c>
      <c r="D483" s="76">
        <f>267.993</f>
        <v>267.99299999999999</v>
      </c>
      <c r="E483" s="85">
        <f>115.016</f>
        <v>115.01600000000001</v>
      </c>
      <c r="F483" s="76">
        <f>314.698-40-25-60-100</f>
        <v>89.697999999999979</v>
      </c>
      <c r="G483" s="79">
        <v>40</v>
      </c>
      <c r="H483" s="76">
        <f t="shared" ref="H483:H489" si="78">25+60+100</f>
        <v>185</v>
      </c>
      <c r="I483" s="76">
        <f t="shared" si="70"/>
        <v>0</v>
      </c>
      <c r="J483" s="79">
        <v>100</v>
      </c>
      <c r="K483" s="79">
        <v>300</v>
      </c>
      <c r="L483" s="76">
        <f t="shared" si="73"/>
        <v>1239</v>
      </c>
      <c r="M483" s="87">
        <v>600</v>
      </c>
      <c r="N483" s="76">
        <f>100</f>
        <v>100</v>
      </c>
      <c r="O483" s="79">
        <v>240</v>
      </c>
      <c r="P483" s="79">
        <v>160</v>
      </c>
      <c r="Q483" s="79">
        <f t="shared" si="74"/>
        <v>195</v>
      </c>
      <c r="R483" s="79">
        <f t="shared" si="75"/>
        <v>100</v>
      </c>
      <c r="S483" s="76">
        <f t="shared" si="76"/>
        <v>695</v>
      </c>
      <c r="T483" s="76">
        <f>50</f>
        <v>50</v>
      </c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</row>
    <row r="484" spans="1:30" ht="15.75" x14ac:dyDescent="0.25">
      <c r="A484" s="32">
        <v>55670</v>
      </c>
      <c r="B484" s="89">
        <v>31</v>
      </c>
      <c r="C484" s="76">
        <f>194.205</f>
        <v>194.20500000000001</v>
      </c>
      <c r="D484" s="76">
        <f>267.466</f>
        <v>267.46600000000001</v>
      </c>
      <c r="E484" s="85">
        <f>133.845</f>
        <v>133.845</v>
      </c>
      <c r="F484" s="76">
        <f>278.484-40-25-60-100</f>
        <v>53.48399999999998</v>
      </c>
      <c r="G484" s="79">
        <v>40</v>
      </c>
      <c r="H484" s="76">
        <f t="shared" si="78"/>
        <v>185</v>
      </c>
      <c r="I484" s="76">
        <f t="shared" si="70"/>
        <v>0</v>
      </c>
      <c r="J484" s="79">
        <v>100</v>
      </c>
      <c r="K484" s="79">
        <v>300</v>
      </c>
      <c r="L484" s="76">
        <f t="shared" si="73"/>
        <v>1274</v>
      </c>
      <c r="M484" s="87">
        <v>600</v>
      </c>
      <c r="N484" s="76">
        <f>75</f>
        <v>75</v>
      </c>
      <c r="O484" s="79">
        <v>240</v>
      </c>
      <c r="P484" s="79">
        <v>160</v>
      </c>
      <c r="Q484" s="79">
        <f t="shared" si="74"/>
        <v>195</v>
      </c>
      <c r="R484" s="79">
        <f t="shared" si="75"/>
        <v>100</v>
      </c>
      <c r="S484" s="76">
        <f t="shared" si="76"/>
        <v>695</v>
      </c>
      <c r="T484" s="76">
        <f>50</f>
        <v>50</v>
      </c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</row>
    <row r="485" spans="1:30" ht="15.75" x14ac:dyDescent="0.25">
      <c r="A485" s="32">
        <v>55700</v>
      </c>
      <c r="B485" s="89">
        <v>30</v>
      </c>
      <c r="C485" s="76">
        <f>194.205</f>
        <v>194.20500000000001</v>
      </c>
      <c r="D485" s="76">
        <f>267.466</f>
        <v>267.46600000000001</v>
      </c>
      <c r="E485" s="85">
        <f>133.845</f>
        <v>133.845</v>
      </c>
      <c r="F485" s="76">
        <f>278.484-40-25-60-100</f>
        <v>53.48399999999998</v>
      </c>
      <c r="G485" s="79">
        <v>40</v>
      </c>
      <c r="H485" s="76">
        <f t="shared" si="78"/>
        <v>185</v>
      </c>
      <c r="I485" s="76">
        <f t="shared" si="70"/>
        <v>0</v>
      </c>
      <c r="J485" s="79">
        <v>100</v>
      </c>
      <c r="K485" s="79">
        <v>300</v>
      </c>
      <c r="L485" s="76">
        <f t="shared" si="73"/>
        <v>1274</v>
      </c>
      <c r="M485" s="87">
        <v>600</v>
      </c>
      <c r="N485" s="76">
        <f>30</f>
        <v>30</v>
      </c>
      <c r="O485" s="79">
        <v>240</v>
      </c>
      <c r="P485" s="79">
        <v>160</v>
      </c>
      <c r="Q485" s="79">
        <f t="shared" si="74"/>
        <v>195</v>
      </c>
      <c r="R485" s="79">
        <f t="shared" si="75"/>
        <v>100</v>
      </c>
      <c r="S485" s="76">
        <f t="shared" si="76"/>
        <v>695</v>
      </c>
      <c r="T485" s="76">
        <f>50</f>
        <v>50</v>
      </c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</row>
    <row r="486" spans="1:30" ht="15.75" x14ac:dyDescent="0.25">
      <c r="A486" s="32">
        <v>55731</v>
      </c>
      <c r="B486" s="89">
        <v>31</v>
      </c>
      <c r="C486" s="76">
        <f>194.205</f>
        <v>194.20500000000001</v>
      </c>
      <c r="D486" s="76">
        <f>267.466</f>
        <v>267.46600000000001</v>
      </c>
      <c r="E486" s="85">
        <f>133.845</f>
        <v>133.845</v>
      </c>
      <c r="F486" s="76">
        <f>278.484-40-25-60-100</f>
        <v>53.48399999999998</v>
      </c>
      <c r="G486" s="79">
        <v>40</v>
      </c>
      <c r="H486" s="76">
        <f t="shared" si="78"/>
        <v>185</v>
      </c>
      <c r="I486" s="76">
        <f t="shared" si="70"/>
        <v>0</v>
      </c>
      <c r="J486" s="79">
        <v>100</v>
      </c>
      <c r="K486" s="79">
        <v>300</v>
      </c>
      <c r="L486" s="76">
        <f t="shared" si="73"/>
        <v>1274</v>
      </c>
      <c r="M486" s="87">
        <v>600</v>
      </c>
      <c r="N486" s="76">
        <f>30</f>
        <v>30</v>
      </c>
      <c r="O486" s="79">
        <v>240</v>
      </c>
      <c r="P486" s="79">
        <v>160</v>
      </c>
      <c r="Q486" s="79">
        <f t="shared" si="74"/>
        <v>195</v>
      </c>
      <c r="R486" s="79">
        <f t="shared" si="75"/>
        <v>100</v>
      </c>
      <c r="S486" s="76">
        <f t="shared" si="76"/>
        <v>695</v>
      </c>
      <c r="T486" s="76">
        <f>0</f>
        <v>0</v>
      </c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</row>
    <row r="487" spans="1:30" ht="15.75" x14ac:dyDescent="0.25">
      <c r="A487" s="32">
        <v>55762</v>
      </c>
      <c r="B487" s="89">
        <v>31</v>
      </c>
      <c r="C487" s="76">
        <f>194.205</f>
        <v>194.20500000000001</v>
      </c>
      <c r="D487" s="76">
        <f>267.466</f>
        <v>267.46600000000001</v>
      </c>
      <c r="E487" s="85">
        <f>133.845</f>
        <v>133.845</v>
      </c>
      <c r="F487" s="76">
        <f>278.484-40-25-60-100</f>
        <v>53.48399999999998</v>
      </c>
      <c r="G487" s="79">
        <v>40</v>
      </c>
      <c r="H487" s="76">
        <f t="shared" si="78"/>
        <v>185</v>
      </c>
      <c r="I487" s="76">
        <f t="shared" si="70"/>
        <v>0</v>
      </c>
      <c r="J487" s="79">
        <v>100</v>
      </c>
      <c r="K487" s="79">
        <v>300</v>
      </c>
      <c r="L487" s="76">
        <f t="shared" si="73"/>
        <v>1274</v>
      </c>
      <c r="M487" s="87">
        <v>600</v>
      </c>
      <c r="N487" s="76">
        <f>30</f>
        <v>30</v>
      </c>
      <c r="O487" s="79">
        <v>240</v>
      </c>
      <c r="P487" s="79">
        <v>160</v>
      </c>
      <c r="Q487" s="79">
        <f t="shared" si="74"/>
        <v>195</v>
      </c>
      <c r="R487" s="79">
        <f t="shared" si="75"/>
        <v>100</v>
      </c>
      <c r="S487" s="76">
        <f t="shared" si="76"/>
        <v>695</v>
      </c>
      <c r="T487" s="76">
        <f>0</f>
        <v>0</v>
      </c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</row>
    <row r="488" spans="1:30" ht="15.75" x14ac:dyDescent="0.25">
      <c r="A488" s="32">
        <v>55792</v>
      </c>
      <c r="B488" s="89">
        <v>30</v>
      </c>
      <c r="C488" s="76">
        <f>194.205</f>
        <v>194.20500000000001</v>
      </c>
      <c r="D488" s="76">
        <f>267.466</f>
        <v>267.46600000000001</v>
      </c>
      <c r="E488" s="85">
        <f>133.845</f>
        <v>133.845</v>
      </c>
      <c r="F488" s="76">
        <f>278.484-40-25-60-100</f>
        <v>53.48399999999998</v>
      </c>
      <c r="G488" s="79">
        <v>40</v>
      </c>
      <c r="H488" s="76">
        <f t="shared" si="78"/>
        <v>185</v>
      </c>
      <c r="I488" s="76">
        <f t="shared" si="70"/>
        <v>0</v>
      </c>
      <c r="J488" s="79">
        <v>100</v>
      </c>
      <c r="K488" s="79">
        <v>300</v>
      </c>
      <c r="L488" s="76">
        <f t="shared" si="73"/>
        <v>1274</v>
      </c>
      <c r="M488" s="87">
        <v>600</v>
      </c>
      <c r="N488" s="76">
        <f>30</f>
        <v>30</v>
      </c>
      <c r="O488" s="79">
        <v>240</v>
      </c>
      <c r="P488" s="79">
        <v>160</v>
      </c>
      <c r="Q488" s="79">
        <f t="shared" si="74"/>
        <v>195</v>
      </c>
      <c r="R488" s="79">
        <f t="shared" si="75"/>
        <v>100</v>
      </c>
      <c r="S488" s="76">
        <f t="shared" si="76"/>
        <v>695</v>
      </c>
      <c r="T488" s="76">
        <f>0</f>
        <v>0</v>
      </c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</row>
    <row r="489" spans="1:30" ht="15.75" x14ac:dyDescent="0.25">
      <c r="A489" s="32">
        <v>55823</v>
      </c>
      <c r="B489" s="89">
        <v>31</v>
      </c>
      <c r="C489" s="76">
        <f>131.881</f>
        <v>131.881</v>
      </c>
      <c r="D489" s="76">
        <f>277.167</f>
        <v>277.16699999999997</v>
      </c>
      <c r="E489" s="85">
        <f>79.08</f>
        <v>79.08</v>
      </c>
      <c r="F489" s="76">
        <f>350.872-40-25-60-100</f>
        <v>125.87200000000001</v>
      </c>
      <c r="G489" s="79">
        <v>40</v>
      </c>
      <c r="H489" s="76">
        <f t="shared" si="78"/>
        <v>185</v>
      </c>
      <c r="I489" s="76">
        <f t="shared" si="70"/>
        <v>0</v>
      </c>
      <c r="J489" s="79">
        <v>100</v>
      </c>
      <c r="K489" s="79">
        <v>300</v>
      </c>
      <c r="L489" s="76">
        <f t="shared" si="73"/>
        <v>1239</v>
      </c>
      <c r="M489" s="87">
        <v>600</v>
      </c>
      <c r="N489" s="76">
        <f>75</f>
        <v>75</v>
      </c>
      <c r="O489" s="79">
        <v>240</v>
      </c>
      <c r="P489" s="79">
        <v>160</v>
      </c>
      <c r="Q489" s="79">
        <f t="shared" si="74"/>
        <v>195</v>
      </c>
      <c r="R489" s="79">
        <f t="shared" si="75"/>
        <v>100</v>
      </c>
      <c r="S489" s="76">
        <f t="shared" si="76"/>
        <v>695</v>
      </c>
      <c r="T489" s="76">
        <f>0</f>
        <v>0</v>
      </c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</row>
    <row r="490" spans="1:30" ht="15.75" x14ac:dyDescent="0.25">
      <c r="A490" s="32">
        <v>55853</v>
      </c>
      <c r="B490" s="89">
        <v>30</v>
      </c>
      <c r="C490" s="76">
        <f>122.58</f>
        <v>122.58</v>
      </c>
      <c r="D490" s="76">
        <f>297.941</f>
        <v>297.94099999999997</v>
      </c>
      <c r="E490" s="85">
        <f>89.177</f>
        <v>89.177000000000007</v>
      </c>
      <c r="F490" s="76">
        <f>240.302-40-60-100</f>
        <v>40.301999999999992</v>
      </c>
      <c r="G490" s="79">
        <v>40</v>
      </c>
      <c r="H490" s="76">
        <f>60+100</f>
        <v>160</v>
      </c>
      <c r="I490" s="76">
        <f t="shared" si="70"/>
        <v>0</v>
      </c>
      <c r="J490" s="79">
        <v>100</v>
      </c>
      <c r="K490" s="79">
        <v>300</v>
      </c>
      <c r="L490" s="76">
        <f t="shared" si="73"/>
        <v>1150</v>
      </c>
      <c r="M490" s="87">
        <v>600</v>
      </c>
      <c r="N490" s="76">
        <f>100</f>
        <v>100</v>
      </c>
      <c r="O490" s="79">
        <v>240</v>
      </c>
      <c r="P490" s="79">
        <v>40</v>
      </c>
      <c r="Q490" s="79">
        <f t="shared" si="74"/>
        <v>315</v>
      </c>
      <c r="R490" s="79">
        <f t="shared" si="75"/>
        <v>100</v>
      </c>
      <c r="S490" s="76">
        <f t="shared" si="76"/>
        <v>695</v>
      </c>
      <c r="T490" s="76">
        <f>50</f>
        <v>50</v>
      </c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</row>
    <row r="491" spans="1:30" ht="15.75" x14ac:dyDescent="0.25">
      <c r="A491" s="32">
        <v>55884</v>
      </c>
      <c r="B491" s="89">
        <v>31</v>
      </c>
      <c r="C491" s="76">
        <f>122.58</f>
        <v>122.58</v>
      </c>
      <c r="D491" s="76">
        <f>297.941</f>
        <v>297.94099999999997</v>
      </c>
      <c r="E491" s="85">
        <f>89.177</f>
        <v>89.177000000000007</v>
      </c>
      <c r="F491" s="76">
        <f>240.302-40-60-100</f>
        <v>40.301999999999992</v>
      </c>
      <c r="G491" s="79">
        <v>40</v>
      </c>
      <c r="H491" s="76">
        <f>60+100</f>
        <v>160</v>
      </c>
      <c r="I491" s="76">
        <f t="shared" si="70"/>
        <v>0</v>
      </c>
      <c r="J491" s="79">
        <v>100</v>
      </c>
      <c r="K491" s="79">
        <v>300</v>
      </c>
      <c r="L491" s="76">
        <f t="shared" si="73"/>
        <v>1150</v>
      </c>
      <c r="M491" s="87">
        <v>600</v>
      </c>
      <c r="N491" s="76">
        <f>100</f>
        <v>100</v>
      </c>
      <c r="O491" s="79">
        <v>240</v>
      </c>
      <c r="P491" s="79">
        <v>40</v>
      </c>
      <c r="Q491" s="79">
        <f t="shared" si="74"/>
        <v>315</v>
      </c>
      <c r="R491" s="79">
        <f t="shared" si="75"/>
        <v>100</v>
      </c>
      <c r="S491" s="76">
        <f t="shared" si="76"/>
        <v>695</v>
      </c>
      <c r="T491" s="76">
        <f>50</f>
        <v>50</v>
      </c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</row>
    <row r="492" spans="1:30" ht="15.75" x14ac:dyDescent="0.25">
      <c r="A492" s="32">
        <v>55915</v>
      </c>
      <c r="B492" s="89">
        <v>31</v>
      </c>
      <c r="C492" s="76">
        <f>122.58</f>
        <v>122.58</v>
      </c>
      <c r="D492" s="76">
        <f>297.941</f>
        <v>297.94099999999997</v>
      </c>
      <c r="E492" s="85">
        <f>89.177</f>
        <v>89.177000000000007</v>
      </c>
      <c r="F492" s="76">
        <f>240.302-40-60-100</f>
        <v>40.301999999999992</v>
      </c>
      <c r="G492" s="79">
        <v>40</v>
      </c>
      <c r="H492" s="76">
        <f>60+100</f>
        <v>160</v>
      </c>
      <c r="I492" s="76">
        <f t="shared" si="70"/>
        <v>0</v>
      </c>
      <c r="J492" s="79">
        <v>100</v>
      </c>
      <c r="K492" s="79">
        <v>300</v>
      </c>
      <c r="L492" s="76">
        <f t="shared" si="73"/>
        <v>1150</v>
      </c>
      <c r="M492" s="87">
        <v>600</v>
      </c>
      <c r="N492" s="76">
        <f>100</f>
        <v>100</v>
      </c>
      <c r="O492" s="79">
        <v>240</v>
      </c>
      <c r="P492" s="79">
        <v>40</v>
      </c>
      <c r="Q492" s="79">
        <f t="shared" si="74"/>
        <v>315</v>
      </c>
      <c r="R492" s="79">
        <f t="shared" si="75"/>
        <v>100</v>
      </c>
      <c r="S492" s="76">
        <f t="shared" si="76"/>
        <v>695</v>
      </c>
      <c r="T492" s="76">
        <f>50</f>
        <v>50</v>
      </c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</row>
    <row r="493" spans="1:30" ht="15.75" x14ac:dyDescent="0.25">
      <c r="A493" s="32">
        <v>55943</v>
      </c>
      <c r="B493" s="89">
        <v>28</v>
      </c>
      <c r="C493" s="76">
        <f>122.58</f>
        <v>122.58</v>
      </c>
      <c r="D493" s="76">
        <f>297.941</f>
        <v>297.94099999999997</v>
      </c>
      <c r="E493" s="85">
        <f>89.177</f>
        <v>89.177000000000007</v>
      </c>
      <c r="F493" s="76">
        <f>240.302-40-60-100</f>
        <v>40.301999999999992</v>
      </c>
      <c r="G493" s="79">
        <v>40</v>
      </c>
      <c r="H493" s="76">
        <f>60+100</f>
        <v>160</v>
      </c>
      <c r="I493" s="76">
        <f t="shared" si="70"/>
        <v>0</v>
      </c>
      <c r="J493" s="79">
        <v>100</v>
      </c>
      <c r="K493" s="79">
        <v>300</v>
      </c>
      <c r="L493" s="76">
        <f t="shared" si="73"/>
        <v>1150</v>
      </c>
      <c r="M493" s="87">
        <v>600</v>
      </c>
      <c r="N493" s="76">
        <f>100</f>
        <v>100</v>
      </c>
      <c r="O493" s="79">
        <v>240</v>
      </c>
      <c r="P493" s="79">
        <v>40</v>
      </c>
      <c r="Q493" s="79">
        <f t="shared" si="74"/>
        <v>315</v>
      </c>
      <c r="R493" s="79">
        <f t="shared" si="75"/>
        <v>100</v>
      </c>
      <c r="S493" s="76">
        <f t="shared" si="76"/>
        <v>695</v>
      </c>
      <c r="T493" s="76">
        <f>50</f>
        <v>50</v>
      </c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</row>
    <row r="494" spans="1:30" ht="15.75" x14ac:dyDescent="0.25">
      <c r="A494" s="32">
        <v>55974</v>
      </c>
      <c r="B494" s="89">
        <v>31</v>
      </c>
      <c r="C494" s="76">
        <f>122.58</f>
        <v>122.58</v>
      </c>
      <c r="D494" s="76">
        <f>297.941</f>
        <v>297.94099999999997</v>
      </c>
      <c r="E494" s="85">
        <f>89.177</f>
        <v>89.177000000000007</v>
      </c>
      <c r="F494" s="76">
        <f>240.302-40-60-100</f>
        <v>40.301999999999992</v>
      </c>
      <c r="G494" s="79">
        <v>40</v>
      </c>
      <c r="H494" s="76">
        <f>60+100</f>
        <v>160</v>
      </c>
      <c r="I494" s="76">
        <f t="shared" si="70"/>
        <v>0</v>
      </c>
      <c r="J494" s="79">
        <v>100</v>
      </c>
      <c r="K494" s="79">
        <v>300</v>
      </c>
      <c r="L494" s="76">
        <f t="shared" si="73"/>
        <v>1150</v>
      </c>
      <c r="M494" s="87">
        <v>600</v>
      </c>
      <c r="N494" s="76">
        <f>100</f>
        <v>100</v>
      </c>
      <c r="O494" s="79">
        <v>240</v>
      </c>
      <c r="P494" s="79">
        <v>40</v>
      </c>
      <c r="Q494" s="79">
        <f t="shared" si="74"/>
        <v>315</v>
      </c>
      <c r="R494" s="79">
        <f t="shared" si="75"/>
        <v>100</v>
      </c>
      <c r="S494" s="76">
        <f t="shared" si="76"/>
        <v>695</v>
      </c>
      <c r="T494" s="76">
        <f>50</f>
        <v>50</v>
      </c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</row>
    <row r="495" spans="1:30" ht="15.75" x14ac:dyDescent="0.25">
      <c r="A495" s="32">
        <v>56004</v>
      </c>
      <c r="B495" s="89">
        <v>30</v>
      </c>
      <c r="C495" s="76">
        <f>141.293</f>
        <v>141.29300000000001</v>
      </c>
      <c r="D495" s="76">
        <f>267.993</f>
        <v>267.99299999999999</v>
      </c>
      <c r="E495" s="85">
        <f>115.016</f>
        <v>115.01600000000001</v>
      </c>
      <c r="F495" s="76">
        <f>314.698-40-25-60-100</f>
        <v>89.697999999999979</v>
      </c>
      <c r="G495" s="79">
        <v>40</v>
      </c>
      <c r="H495" s="76">
        <f t="shared" ref="H495:H501" si="79">25+60+100</f>
        <v>185</v>
      </c>
      <c r="I495" s="76">
        <f t="shared" si="70"/>
        <v>0</v>
      </c>
      <c r="J495" s="79">
        <v>100</v>
      </c>
      <c r="K495" s="79">
        <v>300</v>
      </c>
      <c r="L495" s="76">
        <f t="shared" si="73"/>
        <v>1239</v>
      </c>
      <c r="M495" s="87">
        <v>600</v>
      </c>
      <c r="N495" s="76">
        <f>100</f>
        <v>100</v>
      </c>
      <c r="O495" s="79">
        <v>240</v>
      </c>
      <c r="P495" s="79">
        <v>160</v>
      </c>
      <c r="Q495" s="79">
        <f t="shared" si="74"/>
        <v>195</v>
      </c>
      <c r="R495" s="79">
        <f t="shared" si="75"/>
        <v>100</v>
      </c>
      <c r="S495" s="76">
        <f t="shared" si="76"/>
        <v>695</v>
      </c>
      <c r="T495" s="76">
        <f>50</f>
        <v>50</v>
      </c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</row>
    <row r="496" spans="1:30" ht="15.75" x14ac:dyDescent="0.25">
      <c r="A496" s="32">
        <v>56035</v>
      </c>
      <c r="B496" s="89">
        <v>31</v>
      </c>
      <c r="C496" s="76">
        <f>194.205</f>
        <v>194.20500000000001</v>
      </c>
      <c r="D496" s="76">
        <f>267.466</f>
        <v>267.46600000000001</v>
      </c>
      <c r="E496" s="85">
        <f>133.845</f>
        <v>133.845</v>
      </c>
      <c r="F496" s="76">
        <f>278.484-40-25-60-100</f>
        <v>53.48399999999998</v>
      </c>
      <c r="G496" s="79">
        <v>40</v>
      </c>
      <c r="H496" s="76">
        <f t="shared" si="79"/>
        <v>185</v>
      </c>
      <c r="I496" s="76">
        <f t="shared" si="70"/>
        <v>0</v>
      </c>
      <c r="J496" s="79">
        <v>100</v>
      </c>
      <c r="K496" s="79">
        <v>300</v>
      </c>
      <c r="L496" s="76">
        <f t="shared" si="73"/>
        <v>1274</v>
      </c>
      <c r="M496" s="87">
        <v>600</v>
      </c>
      <c r="N496" s="76">
        <f>75</f>
        <v>75</v>
      </c>
      <c r="O496" s="79">
        <v>240</v>
      </c>
      <c r="P496" s="79">
        <v>160</v>
      </c>
      <c r="Q496" s="79">
        <f t="shared" si="74"/>
        <v>195</v>
      </c>
      <c r="R496" s="79">
        <f t="shared" si="75"/>
        <v>100</v>
      </c>
      <c r="S496" s="76">
        <f t="shared" si="76"/>
        <v>695</v>
      </c>
      <c r="T496" s="76">
        <f>50</f>
        <v>50</v>
      </c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</row>
    <row r="497" spans="1:30" ht="15.75" x14ac:dyDescent="0.25">
      <c r="A497" s="32">
        <v>56065</v>
      </c>
      <c r="B497" s="89">
        <v>30</v>
      </c>
      <c r="C497" s="76">
        <f>194.205</f>
        <v>194.20500000000001</v>
      </c>
      <c r="D497" s="76">
        <f>267.466</f>
        <v>267.46600000000001</v>
      </c>
      <c r="E497" s="85">
        <f>133.845</f>
        <v>133.845</v>
      </c>
      <c r="F497" s="76">
        <f>278.484-40-25-60-100</f>
        <v>53.48399999999998</v>
      </c>
      <c r="G497" s="79">
        <v>40</v>
      </c>
      <c r="H497" s="76">
        <f t="shared" si="79"/>
        <v>185</v>
      </c>
      <c r="I497" s="76">
        <f t="shared" si="70"/>
        <v>0</v>
      </c>
      <c r="J497" s="79">
        <v>100</v>
      </c>
      <c r="K497" s="79">
        <v>300</v>
      </c>
      <c r="L497" s="76">
        <f t="shared" si="73"/>
        <v>1274</v>
      </c>
      <c r="M497" s="87">
        <v>600</v>
      </c>
      <c r="N497" s="76">
        <f>30</f>
        <v>30</v>
      </c>
      <c r="O497" s="79">
        <v>240</v>
      </c>
      <c r="P497" s="79">
        <v>160</v>
      </c>
      <c r="Q497" s="79">
        <f t="shared" si="74"/>
        <v>195</v>
      </c>
      <c r="R497" s="79">
        <f t="shared" si="75"/>
        <v>100</v>
      </c>
      <c r="S497" s="76">
        <f t="shared" si="76"/>
        <v>695</v>
      </c>
      <c r="T497" s="76">
        <f>50</f>
        <v>50</v>
      </c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</row>
    <row r="498" spans="1:30" ht="15.75" x14ac:dyDescent="0.25">
      <c r="A498" s="32">
        <v>56096</v>
      </c>
      <c r="B498" s="89">
        <v>31</v>
      </c>
      <c r="C498" s="76">
        <f>194.205</f>
        <v>194.20500000000001</v>
      </c>
      <c r="D498" s="76">
        <f>267.466</f>
        <v>267.46600000000001</v>
      </c>
      <c r="E498" s="85">
        <f>133.845</f>
        <v>133.845</v>
      </c>
      <c r="F498" s="76">
        <f>278.484-40-25-60-100</f>
        <v>53.48399999999998</v>
      </c>
      <c r="G498" s="79">
        <v>40</v>
      </c>
      <c r="H498" s="76">
        <f t="shared" si="79"/>
        <v>185</v>
      </c>
      <c r="I498" s="76">
        <f t="shared" si="70"/>
        <v>0</v>
      </c>
      <c r="J498" s="79">
        <v>100</v>
      </c>
      <c r="K498" s="79">
        <v>300</v>
      </c>
      <c r="L498" s="76">
        <f t="shared" si="73"/>
        <v>1274</v>
      </c>
      <c r="M498" s="87">
        <v>600</v>
      </c>
      <c r="N498" s="76">
        <f>30</f>
        <v>30</v>
      </c>
      <c r="O498" s="79">
        <v>240</v>
      </c>
      <c r="P498" s="79">
        <v>160</v>
      </c>
      <c r="Q498" s="79">
        <f t="shared" si="74"/>
        <v>195</v>
      </c>
      <c r="R498" s="79">
        <f t="shared" si="75"/>
        <v>100</v>
      </c>
      <c r="S498" s="76">
        <f t="shared" si="76"/>
        <v>695</v>
      </c>
      <c r="T498" s="76">
        <f>0</f>
        <v>0</v>
      </c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</row>
    <row r="499" spans="1:30" ht="15.75" x14ac:dyDescent="0.25">
      <c r="A499" s="32">
        <v>56127</v>
      </c>
      <c r="B499" s="89">
        <v>31</v>
      </c>
      <c r="C499" s="76">
        <f>194.205</f>
        <v>194.20500000000001</v>
      </c>
      <c r="D499" s="76">
        <f>267.466</f>
        <v>267.46600000000001</v>
      </c>
      <c r="E499" s="85">
        <f>133.845</f>
        <v>133.845</v>
      </c>
      <c r="F499" s="76">
        <f>278.484-40-25-60-100</f>
        <v>53.48399999999998</v>
      </c>
      <c r="G499" s="79">
        <v>40</v>
      </c>
      <c r="H499" s="76">
        <f t="shared" si="79"/>
        <v>185</v>
      </c>
      <c r="I499" s="76">
        <f t="shared" si="70"/>
        <v>0</v>
      </c>
      <c r="J499" s="79">
        <v>100</v>
      </c>
      <c r="K499" s="79">
        <v>300</v>
      </c>
      <c r="L499" s="76">
        <f t="shared" si="73"/>
        <v>1274</v>
      </c>
      <c r="M499" s="87">
        <v>600</v>
      </c>
      <c r="N499" s="76">
        <f>30</f>
        <v>30</v>
      </c>
      <c r="O499" s="79">
        <v>240</v>
      </c>
      <c r="P499" s="79">
        <v>160</v>
      </c>
      <c r="Q499" s="79">
        <f t="shared" si="74"/>
        <v>195</v>
      </c>
      <c r="R499" s="79">
        <f t="shared" si="75"/>
        <v>100</v>
      </c>
      <c r="S499" s="76">
        <f t="shared" si="76"/>
        <v>695</v>
      </c>
      <c r="T499" s="76">
        <f>0</f>
        <v>0</v>
      </c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</row>
    <row r="500" spans="1:30" ht="15.75" x14ac:dyDescent="0.25">
      <c r="A500" s="32">
        <v>56157</v>
      </c>
      <c r="B500" s="89">
        <v>30</v>
      </c>
      <c r="C500" s="76">
        <f>194.205</f>
        <v>194.20500000000001</v>
      </c>
      <c r="D500" s="76">
        <f>267.466</f>
        <v>267.46600000000001</v>
      </c>
      <c r="E500" s="85">
        <f>133.845</f>
        <v>133.845</v>
      </c>
      <c r="F500" s="76">
        <f>278.484-40-25-60-100</f>
        <v>53.48399999999998</v>
      </c>
      <c r="G500" s="79">
        <v>40</v>
      </c>
      <c r="H500" s="76">
        <f t="shared" si="79"/>
        <v>185</v>
      </c>
      <c r="I500" s="76">
        <f t="shared" ref="I500:I563" si="80">400-J500-K500</f>
        <v>0</v>
      </c>
      <c r="J500" s="79">
        <v>100</v>
      </c>
      <c r="K500" s="79">
        <v>300</v>
      </c>
      <c r="L500" s="76">
        <f t="shared" si="73"/>
        <v>1274</v>
      </c>
      <c r="M500" s="87">
        <v>600</v>
      </c>
      <c r="N500" s="76">
        <f>30</f>
        <v>30</v>
      </c>
      <c r="O500" s="79">
        <v>240</v>
      </c>
      <c r="P500" s="79">
        <v>160</v>
      </c>
      <c r="Q500" s="79">
        <f t="shared" si="74"/>
        <v>195</v>
      </c>
      <c r="R500" s="79">
        <f t="shared" si="75"/>
        <v>100</v>
      </c>
      <c r="S500" s="76">
        <f t="shared" si="76"/>
        <v>695</v>
      </c>
      <c r="T500" s="76">
        <f>0</f>
        <v>0</v>
      </c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</row>
    <row r="501" spans="1:30" ht="15.75" x14ac:dyDescent="0.25">
      <c r="A501" s="32">
        <v>56188</v>
      </c>
      <c r="B501" s="89">
        <v>31</v>
      </c>
      <c r="C501" s="76">
        <f>131.881</f>
        <v>131.881</v>
      </c>
      <c r="D501" s="76">
        <f>277.167</f>
        <v>277.16699999999997</v>
      </c>
      <c r="E501" s="85">
        <f>79.08</f>
        <v>79.08</v>
      </c>
      <c r="F501" s="76">
        <f>350.872-40-25-60-100</f>
        <v>125.87200000000001</v>
      </c>
      <c r="G501" s="79">
        <v>40</v>
      </c>
      <c r="H501" s="76">
        <f t="shared" si="79"/>
        <v>185</v>
      </c>
      <c r="I501" s="76">
        <f t="shared" si="80"/>
        <v>0</v>
      </c>
      <c r="J501" s="79">
        <v>100</v>
      </c>
      <c r="K501" s="79">
        <v>300</v>
      </c>
      <c r="L501" s="76">
        <f t="shared" si="73"/>
        <v>1239</v>
      </c>
      <c r="M501" s="87">
        <v>600</v>
      </c>
      <c r="N501" s="76">
        <f>75</f>
        <v>75</v>
      </c>
      <c r="O501" s="79">
        <v>240</v>
      </c>
      <c r="P501" s="79">
        <v>160</v>
      </c>
      <c r="Q501" s="79">
        <f t="shared" si="74"/>
        <v>195</v>
      </c>
      <c r="R501" s="79">
        <f t="shared" si="75"/>
        <v>100</v>
      </c>
      <c r="S501" s="76">
        <f t="shared" si="76"/>
        <v>695</v>
      </c>
      <c r="T501" s="76">
        <f>0</f>
        <v>0</v>
      </c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</row>
    <row r="502" spans="1:30" ht="15.75" x14ac:dyDescent="0.25">
      <c r="A502" s="32">
        <v>56218</v>
      </c>
      <c r="B502" s="89">
        <v>30</v>
      </c>
      <c r="C502" s="76">
        <f>122.58</f>
        <v>122.58</v>
      </c>
      <c r="D502" s="76">
        <f>297.941</f>
        <v>297.94099999999997</v>
      </c>
      <c r="E502" s="85">
        <f>89.177</f>
        <v>89.177000000000007</v>
      </c>
      <c r="F502" s="76">
        <f>240.302-40-60-100</f>
        <v>40.301999999999992</v>
      </c>
      <c r="G502" s="79">
        <v>40</v>
      </c>
      <c r="H502" s="76">
        <f>60+100</f>
        <v>160</v>
      </c>
      <c r="I502" s="76">
        <f t="shared" si="80"/>
        <v>0</v>
      </c>
      <c r="J502" s="79">
        <v>100</v>
      </c>
      <c r="K502" s="79">
        <v>300</v>
      </c>
      <c r="L502" s="76">
        <f t="shared" si="73"/>
        <v>1150</v>
      </c>
      <c r="M502" s="87">
        <v>600</v>
      </c>
      <c r="N502" s="76">
        <f>100</f>
        <v>100</v>
      </c>
      <c r="O502" s="79">
        <v>240</v>
      </c>
      <c r="P502" s="79">
        <v>40</v>
      </c>
      <c r="Q502" s="79">
        <f t="shared" si="74"/>
        <v>315</v>
      </c>
      <c r="R502" s="79">
        <f t="shared" si="75"/>
        <v>100</v>
      </c>
      <c r="S502" s="76">
        <f t="shared" si="76"/>
        <v>695</v>
      </c>
      <c r="T502" s="76">
        <f>50</f>
        <v>50</v>
      </c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</row>
    <row r="503" spans="1:30" ht="15.75" x14ac:dyDescent="0.25">
      <c r="A503" s="32">
        <v>56249</v>
      </c>
      <c r="B503" s="89">
        <v>31</v>
      </c>
      <c r="C503" s="76">
        <f>122.58</f>
        <v>122.58</v>
      </c>
      <c r="D503" s="76">
        <f>297.941</f>
        <v>297.94099999999997</v>
      </c>
      <c r="E503" s="85">
        <f>89.177</f>
        <v>89.177000000000007</v>
      </c>
      <c r="F503" s="76">
        <f>240.302-40-60-100</f>
        <v>40.301999999999992</v>
      </c>
      <c r="G503" s="79">
        <v>40</v>
      </c>
      <c r="H503" s="76">
        <f>60+100</f>
        <v>160</v>
      </c>
      <c r="I503" s="76">
        <f t="shared" si="80"/>
        <v>0</v>
      </c>
      <c r="J503" s="79">
        <v>100</v>
      </c>
      <c r="K503" s="79">
        <v>300</v>
      </c>
      <c r="L503" s="76">
        <f t="shared" si="73"/>
        <v>1150</v>
      </c>
      <c r="M503" s="87">
        <v>600</v>
      </c>
      <c r="N503" s="76">
        <f>100</f>
        <v>100</v>
      </c>
      <c r="O503" s="79">
        <v>240</v>
      </c>
      <c r="P503" s="79">
        <v>40</v>
      </c>
      <c r="Q503" s="79">
        <f t="shared" si="74"/>
        <v>315</v>
      </c>
      <c r="R503" s="79">
        <f t="shared" si="75"/>
        <v>100</v>
      </c>
      <c r="S503" s="76">
        <f t="shared" si="76"/>
        <v>695</v>
      </c>
      <c r="T503" s="76">
        <f>50</f>
        <v>50</v>
      </c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</row>
    <row r="504" spans="1:30" ht="15.75" x14ac:dyDescent="0.25">
      <c r="A504" s="32">
        <v>56280</v>
      </c>
      <c r="B504" s="89">
        <v>31</v>
      </c>
      <c r="C504" s="76">
        <f>122.58</f>
        <v>122.58</v>
      </c>
      <c r="D504" s="76">
        <f>297.941</f>
        <v>297.94099999999997</v>
      </c>
      <c r="E504" s="85">
        <f>89.177</f>
        <v>89.177000000000007</v>
      </c>
      <c r="F504" s="76">
        <f>240.302-40-60-100</f>
        <v>40.301999999999992</v>
      </c>
      <c r="G504" s="79">
        <v>40</v>
      </c>
      <c r="H504" s="76">
        <f>60+100</f>
        <v>160</v>
      </c>
      <c r="I504" s="76">
        <f t="shared" si="80"/>
        <v>0</v>
      </c>
      <c r="J504" s="79">
        <v>100</v>
      </c>
      <c r="K504" s="79">
        <v>300</v>
      </c>
      <c r="L504" s="76">
        <f t="shared" si="73"/>
        <v>1150</v>
      </c>
      <c r="M504" s="87">
        <v>600</v>
      </c>
      <c r="N504" s="76">
        <f>100</f>
        <v>100</v>
      </c>
      <c r="O504" s="79">
        <v>240</v>
      </c>
      <c r="P504" s="79">
        <v>40</v>
      </c>
      <c r="Q504" s="79">
        <f t="shared" si="74"/>
        <v>315</v>
      </c>
      <c r="R504" s="79">
        <f t="shared" si="75"/>
        <v>100</v>
      </c>
      <c r="S504" s="76">
        <f t="shared" si="76"/>
        <v>695</v>
      </c>
      <c r="T504" s="76">
        <f>50</f>
        <v>50</v>
      </c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</row>
    <row r="505" spans="1:30" ht="15.75" x14ac:dyDescent="0.25">
      <c r="A505" s="32">
        <v>56308</v>
      </c>
      <c r="B505" s="89">
        <v>28</v>
      </c>
      <c r="C505" s="76">
        <f>122.58</f>
        <v>122.58</v>
      </c>
      <c r="D505" s="76">
        <f>297.941</f>
        <v>297.94099999999997</v>
      </c>
      <c r="E505" s="85">
        <f>89.177</f>
        <v>89.177000000000007</v>
      </c>
      <c r="F505" s="76">
        <f>240.302-40-60-100</f>
        <v>40.301999999999992</v>
      </c>
      <c r="G505" s="79">
        <v>40</v>
      </c>
      <c r="H505" s="76">
        <f>60+100</f>
        <v>160</v>
      </c>
      <c r="I505" s="76">
        <f t="shared" si="80"/>
        <v>0</v>
      </c>
      <c r="J505" s="79">
        <v>100</v>
      </c>
      <c r="K505" s="79">
        <v>300</v>
      </c>
      <c r="L505" s="76">
        <f t="shared" si="73"/>
        <v>1150</v>
      </c>
      <c r="M505" s="87">
        <v>600</v>
      </c>
      <c r="N505" s="76">
        <f>100</f>
        <v>100</v>
      </c>
      <c r="O505" s="79">
        <v>240</v>
      </c>
      <c r="P505" s="79">
        <v>40</v>
      </c>
      <c r="Q505" s="79">
        <f t="shared" si="74"/>
        <v>315</v>
      </c>
      <c r="R505" s="79">
        <f t="shared" si="75"/>
        <v>100</v>
      </c>
      <c r="S505" s="76">
        <f t="shared" si="76"/>
        <v>695</v>
      </c>
      <c r="T505" s="76">
        <f>50</f>
        <v>50</v>
      </c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</row>
    <row r="506" spans="1:30" ht="15.75" x14ac:dyDescent="0.25">
      <c r="A506" s="32">
        <v>56339</v>
      </c>
      <c r="B506" s="89">
        <v>31</v>
      </c>
      <c r="C506" s="76">
        <f>122.58</f>
        <v>122.58</v>
      </c>
      <c r="D506" s="76">
        <f>297.941</f>
        <v>297.94099999999997</v>
      </c>
      <c r="E506" s="85">
        <f>89.177</f>
        <v>89.177000000000007</v>
      </c>
      <c r="F506" s="76">
        <f>240.302-40-60-100</f>
        <v>40.301999999999992</v>
      </c>
      <c r="G506" s="79">
        <v>40</v>
      </c>
      <c r="H506" s="76">
        <f>60+100</f>
        <v>160</v>
      </c>
      <c r="I506" s="76">
        <f t="shared" si="80"/>
        <v>0</v>
      </c>
      <c r="J506" s="79">
        <v>100</v>
      </c>
      <c r="K506" s="79">
        <v>300</v>
      </c>
      <c r="L506" s="76">
        <f t="shared" si="73"/>
        <v>1150</v>
      </c>
      <c r="M506" s="87">
        <v>600</v>
      </c>
      <c r="N506" s="76">
        <f>100</f>
        <v>100</v>
      </c>
      <c r="O506" s="79">
        <v>240</v>
      </c>
      <c r="P506" s="79">
        <v>40</v>
      </c>
      <c r="Q506" s="79">
        <f t="shared" si="74"/>
        <v>315</v>
      </c>
      <c r="R506" s="79">
        <f t="shared" si="75"/>
        <v>100</v>
      </c>
      <c r="S506" s="76">
        <f t="shared" si="76"/>
        <v>695</v>
      </c>
      <c r="T506" s="76">
        <f>50</f>
        <v>50</v>
      </c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</row>
    <row r="507" spans="1:30" ht="15.75" x14ac:dyDescent="0.25">
      <c r="A507" s="32">
        <v>56369</v>
      </c>
      <c r="B507" s="89">
        <v>30</v>
      </c>
      <c r="C507" s="76">
        <f>141.293</f>
        <v>141.29300000000001</v>
      </c>
      <c r="D507" s="76">
        <f>267.993</f>
        <v>267.99299999999999</v>
      </c>
      <c r="E507" s="85">
        <f>115.016</f>
        <v>115.01600000000001</v>
      </c>
      <c r="F507" s="76">
        <f>314.698-40-25-60-100</f>
        <v>89.697999999999979</v>
      </c>
      <c r="G507" s="79">
        <v>40</v>
      </c>
      <c r="H507" s="76">
        <f t="shared" ref="H507:H513" si="81">25+60+100</f>
        <v>185</v>
      </c>
      <c r="I507" s="76">
        <f t="shared" si="80"/>
        <v>0</v>
      </c>
      <c r="J507" s="79">
        <v>100</v>
      </c>
      <c r="K507" s="79">
        <v>300</v>
      </c>
      <c r="L507" s="76">
        <f t="shared" si="73"/>
        <v>1239</v>
      </c>
      <c r="M507" s="87">
        <v>600</v>
      </c>
      <c r="N507" s="76">
        <f>100</f>
        <v>100</v>
      </c>
      <c r="O507" s="79">
        <v>240</v>
      </c>
      <c r="P507" s="79">
        <v>160</v>
      </c>
      <c r="Q507" s="79">
        <f t="shared" si="74"/>
        <v>195</v>
      </c>
      <c r="R507" s="79">
        <f t="shared" si="75"/>
        <v>100</v>
      </c>
      <c r="S507" s="76">
        <f t="shared" si="76"/>
        <v>695</v>
      </c>
      <c r="T507" s="76">
        <f>50</f>
        <v>50</v>
      </c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</row>
    <row r="508" spans="1:30" ht="15.75" x14ac:dyDescent="0.25">
      <c r="A508" s="32">
        <v>56400</v>
      </c>
      <c r="B508" s="89">
        <v>31</v>
      </c>
      <c r="C508" s="76">
        <f>194.205</f>
        <v>194.20500000000001</v>
      </c>
      <c r="D508" s="76">
        <f>267.466</f>
        <v>267.46600000000001</v>
      </c>
      <c r="E508" s="85">
        <f>133.845</f>
        <v>133.845</v>
      </c>
      <c r="F508" s="76">
        <f>278.484-40-25-60-100</f>
        <v>53.48399999999998</v>
      </c>
      <c r="G508" s="79">
        <v>40</v>
      </c>
      <c r="H508" s="76">
        <f t="shared" si="81"/>
        <v>185</v>
      </c>
      <c r="I508" s="76">
        <f t="shared" si="80"/>
        <v>0</v>
      </c>
      <c r="J508" s="79">
        <v>100</v>
      </c>
      <c r="K508" s="79">
        <v>300</v>
      </c>
      <c r="L508" s="76">
        <f t="shared" si="73"/>
        <v>1274</v>
      </c>
      <c r="M508" s="87">
        <v>600</v>
      </c>
      <c r="N508" s="76">
        <f>75</f>
        <v>75</v>
      </c>
      <c r="O508" s="79">
        <v>240</v>
      </c>
      <c r="P508" s="79">
        <v>160</v>
      </c>
      <c r="Q508" s="79">
        <f t="shared" si="74"/>
        <v>195</v>
      </c>
      <c r="R508" s="79">
        <f t="shared" si="75"/>
        <v>100</v>
      </c>
      <c r="S508" s="76">
        <f t="shared" si="76"/>
        <v>695</v>
      </c>
      <c r="T508" s="76">
        <f>50</f>
        <v>50</v>
      </c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</row>
    <row r="509" spans="1:30" ht="15.75" x14ac:dyDescent="0.25">
      <c r="A509" s="32">
        <v>56430</v>
      </c>
      <c r="B509" s="89">
        <v>30</v>
      </c>
      <c r="C509" s="76">
        <f>194.205</f>
        <v>194.20500000000001</v>
      </c>
      <c r="D509" s="76">
        <f>267.466</f>
        <v>267.46600000000001</v>
      </c>
      <c r="E509" s="85">
        <f>133.845</f>
        <v>133.845</v>
      </c>
      <c r="F509" s="76">
        <f>278.484-40-25-60-100</f>
        <v>53.48399999999998</v>
      </c>
      <c r="G509" s="79">
        <v>40</v>
      </c>
      <c r="H509" s="76">
        <f t="shared" si="81"/>
        <v>185</v>
      </c>
      <c r="I509" s="76">
        <f t="shared" si="80"/>
        <v>0</v>
      </c>
      <c r="J509" s="79">
        <v>100</v>
      </c>
      <c r="K509" s="79">
        <v>300</v>
      </c>
      <c r="L509" s="76">
        <f t="shared" si="73"/>
        <v>1274</v>
      </c>
      <c r="M509" s="87">
        <v>600</v>
      </c>
      <c r="N509" s="76">
        <f>30</f>
        <v>30</v>
      </c>
      <c r="O509" s="79">
        <v>240</v>
      </c>
      <c r="P509" s="79">
        <v>160</v>
      </c>
      <c r="Q509" s="79">
        <f t="shared" si="74"/>
        <v>195</v>
      </c>
      <c r="R509" s="79">
        <f t="shared" si="75"/>
        <v>100</v>
      </c>
      <c r="S509" s="76">
        <f t="shared" si="76"/>
        <v>695</v>
      </c>
      <c r="T509" s="76">
        <f>50</f>
        <v>50</v>
      </c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</row>
    <row r="510" spans="1:30" ht="15.75" x14ac:dyDescent="0.25">
      <c r="A510" s="32">
        <v>56461</v>
      </c>
      <c r="B510" s="89">
        <v>31</v>
      </c>
      <c r="C510" s="76">
        <f>194.205</f>
        <v>194.20500000000001</v>
      </c>
      <c r="D510" s="76">
        <f>267.466</f>
        <v>267.46600000000001</v>
      </c>
      <c r="E510" s="85">
        <f>133.845</f>
        <v>133.845</v>
      </c>
      <c r="F510" s="76">
        <f>278.484-40-25-60-100</f>
        <v>53.48399999999998</v>
      </c>
      <c r="G510" s="79">
        <v>40</v>
      </c>
      <c r="H510" s="76">
        <f t="shared" si="81"/>
        <v>185</v>
      </c>
      <c r="I510" s="76">
        <f t="shared" si="80"/>
        <v>0</v>
      </c>
      <c r="J510" s="79">
        <v>100</v>
      </c>
      <c r="K510" s="79">
        <v>300</v>
      </c>
      <c r="L510" s="76">
        <f t="shared" si="73"/>
        <v>1274</v>
      </c>
      <c r="M510" s="87">
        <v>600</v>
      </c>
      <c r="N510" s="76">
        <f>30</f>
        <v>30</v>
      </c>
      <c r="O510" s="79">
        <v>240</v>
      </c>
      <c r="P510" s="79">
        <v>160</v>
      </c>
      <c r="Q510" s="79">
        <f t="shared" si="74"/>
        <v>195</v>
      </c>
      <c r="R510" s="79">
        <f t="shared" si="75"/>
        <v>100</v>
      </c>
      <c r="S510" s="76">
        <f t="shared" si="76"/>
        <v>695</v>
      </c>
      <c r="T510" s="76">
        <f>0</f>
        <v>0</v>
      </c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</row>
    <row r="511" spans="1:30" ht="15.75" x14ac:dyDescent="0.25">
      <c r="A511" s="32">
        <v>56492</v>
      </c>
      <c r="B511" s="89">
        <v>31</v>
      </c>
      <c r="C511" s="76">
        <f>194.205</f>
        <v>194.20500000000001</v>
      </c>
      <c r="D511" s="76">
        <f>267.466</f>
        <v>267.46600000000001</v>
      </c>
      <c r="E511" s="85">
        <f>133.845</f>
        <v>133.845</v>
      </c>
      <c r="F511" s="76">
        <f>278.484-40-25-60-100</f>
        <v>53.48399999999998</v>
      </c>
      <c r="G511" s="79">
        <v>40</v>
      </c>
      <c r="H511" s="76">
        <f t="shared" si="81"/>
        <v>185</v>
      </c>
      <c r="I511" s="76">
        <f t="shared" si="80"/>
        <v>0</v>
      </c>
      <c r="J511" s="79">
        <v>100</v>
      </c>
      <c r="K511" s="79">
        <v>300</v>
      </c>
      <c r="L511" s="76">
        <f t="shared" si="73"/>
        <v>1274</v>
      </c>
      <c r="M511" s="87">
        <v>600</v>
      </c>
      <c r="N511" s="76">
        <f>30</f>
        <v>30</v>
      </c>
      <c r="O511" s="79">
        <v>240</v>
      </c>
      <c r="P511" s="79">
        <v>160</v>
      </c>
      <c r="Q511" s="79">
        <f t="shared" si="74"/>
        <v>195</v>
      </c>
      <c r="R511" s="79">
        <f t="shared" si="75"/>
        <v>100</v>
      </c>
      <c r="S511" s="76">
        <f t="shared" si="76"/>
        <v>695</v>
      </c>
      <c r="T511" s="76">
        <f>0</f>
        <v>0</v>
      </c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</row>
    <row r="512" spans="1:30" ht="15.75" x14ac:dyDescent="0.25">
      <c r="A512" s="32">
        <v>56522</v>
      </c>
      <c r="B512" s="89">
        <v>30</v>
      </c>
      <c r="C512" s="76">
        <f>194.205</f>
        <v>194.20500000000001</v>
      </c>
      <c r="D512" s="76">
        <f>267.466</f>
        <v>267.46600000000001</v>
      </c>
      <c r="E512" s="85">
        <f>133.845</f>
        <v>133.845</v>
      </c>
      <c r="F512" s="76">
        <f>278.484-40-25-60-100</f>
        <v>53.48399999999998</v>
      </c>
      <c r="G512" s="79">
        <v>40</v>
      </c>
      <c r="H512" s="76">
        <f t="shared" si="81"/>
        <v>185</v>
      </c>
      <c r="I512" s="76">
        <f t="shared" si="80"/>
        <v>0</v>
      </c>
      <c r="J512" s="79">
        <v>100</v>
      </c>
      <c r="K512" s="79">
        <v>300</v>
      </c>
      <c r="L512" s="76">
        <f t="shared" si="73"/>
        <v>1274</v>
      </c>
      <c r="M512" s="87">
        <v>600</v>
      </c>
      <c r="N512" s="76">
        <f>30</f>
        <v>30</v>
      </c>
      <c r="O512" s="79">
        <v>240</v>
      </c>
      <c r="P512" s="79">
        <v>160</v>
      </c>
      <c r="Q512" s="79">
        <f t="shared" si="74"/>
        <v>195</v>
      </c>
      <c r="R512" s="79">
        <f t="shared" si="75"/>
        <v>100</v>
      </c>
      <c r="S512" s="76">
        <f t="shared" si="76"/>
        <v>695</v>
      </c>
      <c r="T512" s="76">
        <f>0</f>
        <v>0</v>
      </c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</row>
    <row r="513" spans="1:30" ht="15.75" x14ac:dyDescent="0.25">
      <c r="A513" s="32">
        <v>56553</v>
      </c>
      <c r="B513" s="89">
        <v>31</v>
      </c>
      <c r="C513" s="76">
        <f>131.881</f>
        <v>131.881</v>
      </c>
      <c r="D513" s="76">
        <f>277.167</f>
        <v>277.16699999999997</v>
      </c>
      <c r="E513" s="85">
        <f>79.08</f>
        <v>79.08</v>
      </c>
      <c r="F513" s="76">
        <f>350.872-40-25-60-100</f>
        <v>125.87200000000001</v>
      </c>
      <c r="G513" s="79">
        <v>40</v>
      </c>
      <c r="H513" s="76">
        <f t="shared" si="81"/>
        <v>185</v>
      </c>
      <c r="I513" s="76">
        <f t="shared" si="80"/>
        <v>0</v>
      </c>
      <c r="J513" s="79">
        <v>100</v>
      </c>
      <c r="K513" s="79">
        <v>300</v>
      </c>
      <c r="L513" s="76">
        <f t="shared" si="73"/>
        <v>1239</v>
      </c>
      <c r="M513" s="87">
        <v>600</v>
      </c>
      <c r="N513" s="76">
        <f>75</f>
        <v>75</v>
      </c>
      <c r="O513" s="79">
        <v>240</v>
      </c>
      <c r="P513" s="79">
        <v>160</v>
      </c>
      <c r="Q513" s="79">
        <f t="shared" si="74"/>
        <v>195</v>
      </c>
      <c r="R513" s="79">
        <f t="shared" si="75"/>
        <v>100</v>
      </c>
      <c r="S513" s="76">
        <f t="shared" si="76"/>
        <v>695</v>
      </c>
      <c r="T513" s="76">
        <f>0</f>
        <v>0</v>
      </c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</row>
    <row r="514" spans="1:30" ht="15.75" x14ac:dyDescent="0.25">
      <c r="A514" s="32">
        <v>56583</v>
      </c>
      <c r="B514" s="89">
        <v>30</v>
      </c>
      <c r="C514" s="76">
        <f>122.58</f>
        <v>122.58</v>
      </c>
      <c r="D514" s="76">
        <f>297.941</f>
        <v>297.94099999999997</v>
      </c>
      <c r="E514" s="85">
        <f>89.177</f>
        <v>89.177000000000007</v>
      </c>
      <c r="F514" s="76">
        <f>240.302-40-60-100</f>
        <v>40.301999999999992</v>
      </c>
      <c r="G514" s="79">
        <v>40</v>
      </c>
      <c r="H514" s="76">
        <f>60+100</f>
        <v>160</v>
      </c>
      <c r="I514" s="76">
        <f t="shared" si="80"/>
        <v>0</v>
      </c>
      <c r="J514" s="79">
        <v>100</v>
      </c>
      <c r="K514" s="79">
        <v>300</v>
      </c>
      <c r="L514" s="76">
        <f t="shared" si="73"/>
        <v>1150</v>
      </c>
      <c r="M514" s="87">
        <v>600</v>
      </c>
      <c r="N514" s="76">
        <f>100</f>
        <v>100</v>
      </c>
      <c r="O514" s="79">
        <v>240</v>
      </c>
      <c r="P514" s="79">
        <v>40</v>
      </c>
      <c r="Q514" s="79">
        <f t="shared" si="74"/>
        <v>315</v>
      </c>
      <c r="R514" s="79">
        <f t="shared" si="75"/>
        <v>100</v>
      </c>
      <c r="S514" s="76">
        <f t="shared" si="76"/>
        <v>695</v>
      </c>
      <c r="T514" s="76">
        <f>50</f>
        <v>50</v>
      </c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</row>
    <row r="515" spans="1:30" ht="15.75" x14ac:dyDescent="0.25">
      <c r="A515" s="32">
        <v>56614</v>
      </c>
      <c r="B515" s="89">
        <v>31</v>
      </c>
      <c r="C515" s="76">
        <f>122.58</f>
        <v>122.58</v>
      </c>
      <c r="D515" s="76">
        <f>297.941</f>
        <v>297.94099999999997</v>
      </c>
      <c r="E515" s="85">
        <f>89.177</f>
        <v>89.177000000000007</v>
      </c>
      <c r="F515" s="76">
        <f>240.302-40-60-100</f>
        <v>40.301999999999992</v>
      </c>
      <c r="G515" s="79">
        <v>40</v>
      </c>
      <c r="H515" s="76">
        <f>60+100</f>
        <v>160</v>
      </c>
      <c r="I515" s="76">
        <f t="shared" si="80"/>
        <v>0</v>
      </c>
      <c r="J515" s="79">
        <v>100</v>
      </c>
      <c r="K515" s="79">
        <v>300</v>
      </c>
      <c r="L515" s="76">
        <f t="shared" si="73"/>
        <v>1150</v>
      </c>
      <c r="M515" s="87">
        <v>600</v>
      </c>
      <c r="N515" s="76">
        <f>100</f>
        <v>100</v>
      </c>
      <c r="O515" s="79">
        <v>240</v>
      </c>
      <c r="P515" s="79">
        <v>40</v>
      </c>
      <c r="Q515" s="79">
        <f t="shared" si="74"/>
        <v>315</v>
      </c>
      <c r="R515" s="79">
        <f t="shared" si="75"/>
        <v>100</v>
      </c>
      <c r="S515" s="76">
        <f t="shared" si="76"/>
        <v>695</v>
      </c>
      <c r="T515" s="76">
        <f>50</f>
        <v>50</v>
      </c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</row>
    <row r="516" spans="1:30" ht="15.75" x14ac:dyDescent="0.25">
      <c r="A516" s="31">
        <v>56645</v>
      </c>
      <c r="B516" s="88">
        <v>31</v>
      </c>
      <c r="C516" s="76">
        <f>122.58</f>
        <v>122.58</v>
      </c>
      <c r="D516" s="76">
        <f>297.941</f>
        <v>297.94099999999997</v>
      </c>
      <c r="E516" s="85">
        <f>89.177</f>
        <v>89.177000000000007</v>
      </c>
      <c r="F516" s="76">
        <f>240.302-40-60-100</f>
        <v>40.301999999999992</v>
      </c>
      <c r="G516" s="79">
        <v>40</v>
      </c>
      <c r="H516" s="76">
        <f>60+100</f>
        <v>160</v>
      </c>
      <c r="I516" s="76">
        <f t="shared" si="80"/>
        <v>0</v>
      </c>
      <c r="J516" s="79">
        <v>100</v>
      </c>
      <c r="K516" s="79">
        <v>300</v>
      </c>
      <c r="L516" s="76">
        <f t="shared" si="73"/>
        <v>1150</v>
      </c>
      <c r="M516" s="87">
        <v>600</v>
      </c>
      <c r="N516" s="76">
        <f>100</f>
        <v>100</v>
      </c>
      <c r="O516" s="79">
        <v>240</v>
      </c>
      <c r="P516" s="79">
        <v>40</v>
      </c>
      <c r="Q516" s="79">
        <f t="shared" si="74"/>
        <v>315</v>
      </c>
      <c r="R516" s="79">
        <f t="shared" si="75"/>
        <v>100</v>
      </c>
      <c r="S516" s="76">
        <f t="shared" si="76"/>
        <v>695</v>
      </c>
      <c r="T516" s="76">
        <f>50</f>
        <v>50</v>
      </c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</row>
    <row r="517" spans="1:30" ht="15.75" x14ac:dyDescent="0.25">
      <c r="A517" s="31">
        <v>56673</v>
      </c>
      <c r="B517" s="88">
        <v>28</v>
      </c>
      <c r="C517" s="76">
        <f>122.58</f>
        <v>122.58</v>
      </c>
      <c r="D517" s="76">
        <f>297.941</f>
        <v>297.94099999999997</v>
      </c>
      <c r="E517" s="85">
        <f>89.177</f>
        <v>89.177000000000007</v>
      </c>
      <c r="F517" s="76">
        <f>240.302-40-60-100</f>
        <v>40.301999999999992</v>
      </c>
      <c r="G517" s="79">
        <v>40</v>
      </c>
      <c r="H517" s="76">
        <f>60+100</f>
        <v>160</v>
      </c>
      <c r="I517" s="76">
        <f t="shared" si="80"/>
        <v>0</v>
      </c>
      <c r="J517" s="79">
        <v>100</v>
      </c>
      <c r="K517" s="79">
        <v>300</v>
      </c>
      <c r="L517" s="76">
        <f t="shared" si="73"/>
        <v>1150</v>
      </c>
      <c r="M517" s="87">
        <v>600</v>
      </c>
      <c r="N517" s="76">
        <f>100</f>
        <v>100</v>
      </c>
      <c r="O517" s="79">
        <v>240</v>
      </c>
      <c r="P517" s="79">
        <v>40</v>
      </c>
      <c r="Q517" s="79">
        <f t="shared" si="74"/>
        <v>315</v>
      </c>
      <c r="R517" s="79">
        <f t="shared" si="75"/>
        <v>100</v>
      </c>
      <c r="S517" s="76">
        <f t="shared" si="76"/>
        <v>695</v>
      </c>
      <c r="T517" s="76">
        <f>50</f>
        <v>50</v>
      </c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</row>
    <row r="518" spans="1:30" ht="15.75" x14ac:dyDescent="0.25">
      <c r="A518" s="31">
        <v>56704</v>
      </c>
      <c r="B518" s="88">
        <v>31</v>
      </c>
      <c r="C518" s="76">
        <f>122.58</f>
        <v>122.58</v>
      </c>
      <c r="D518" s="76">
        <f>297.941</f>
        <v>297.94099999999997</v>
      </c>
      <c r="E518" s="85">
        <f>89.177</f>
        <v>89.177000000000007</v>
      </c>
      <c r="F518" s="76">
        <f>240.302-40-60-100</f>
        <v>40.301999999999992</v>
      </c>
      <c r="G518" s="79">
        <v>40</v>
      </c>
      <c r="H518" s="76">
        <f>60+100</f>
        <v>160</v>
      </c>
      <c r="I518" s="76">
        <f t="shared" si="80"/>
        <v>0</v>
      </c>
      <c r="J518" s="79">
        <v>100</v>
      </c>
      <c r="K518" s="79">
        <v>300</v>
      </c>
      <c r="L518" s="76">
        <f t="shared" si="73"/>
        <v>1150</v>
      </c>
      <c r="M518" s="87">
        <v>600</v>
      </c>
      <c r="N518" s="76">
        <f>100</f>
        <v>100</v>
      </c>
      <c r="O518" s="79">
        <v>240</v>
      </c>
      <c r="P518" s="79">
        <v>40</v>
      </c>
      <c r="Q518" s="79">
        <f t="shared" si="74"/>
        <v>315</v>
      </c>
      <c r="R518" s="79">
        <f t="shared" si="75"/>
        <v>100</v>
      </c>
      <c r="S518" s="76">
        <f t="shared" si="76"/>
        <v>695</v>
      </c>
      <c r="T518" s="76">
        <f>50</f>
        <v>50</v>
      </c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</row>
    <row r="519" spans="1:30" ht="15.75" x14ac:dyDescent="0.25">
      <c r="A519" s="31">
        <v>56734</v>
      </c>
      <c r="B519" s="88">
        <v>30</v>
      </c>
      <c r="C519" s="76">
        <f>141.293</f>
        <v>141.29300000000001</v>
      </c>
      <c r="D519" s="76">
        <f>267.993</f>
        <v>267.99299999999999</v>
      </c>
      <c r="E519" s="85">
        <f>115.016</f>
        <v>115.01600000000001</v>
      </c>
      <c r="F519" s="76">
        <f>314.698-40-25-60-100</f>
        <v>89.697999999999979</v>
      </c>
      <c r="G519" s="79">
        <v>40</v>
      </c>
      <c r="H519" s="76">
        <f t="shared" ref="H519:H525" si="82">25+60+100</f>
        <v>185</v>
      </c>
      <c r="I519" s="76">
        <f t="shared" si="80"/>
        <v>0</v>
      </c>
      <c r="J519" s="79">
        <v>100</v>
      </c>
      <c r="K519" s="79">
        <v>300</v>
      </c>
      <c r="L519" s="76">
        <f t="shared" si="73"/>
        <v>1239</v>
      </c>
      <c r="M519" s="87">
        <v>600</v>
      </c>
      <c r="N519" s="76">
        <f>100</f>
        <v>100</v>
      </c>
      <c r="O519" s="79">
        <v>240</v>
      </c>
      <c r="P519" s="79">
        <v>160</v>
      </c>
      <c r="Q519" s="79">
        <f t="shared" si="74"/>
        <v>195</v>
      </c>
      <c r="R519" s="79">
        <f t="shared" si="75"/>
        <v>100</v>
      </c>
      <c r="S519" s="76">
        <f t="shared" si="76"/>
        <v>695</v>
      </c>
      <c r="T519" s="76">
        <f>50</f>
        <v>50</v>
      </c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</row>
    <row r="520" spans="1:30" ht="15.75" x14ac:dyDescent="0.25">
      <c r="A520" s="31">
        <v>56765</v>
      </c>
      <c r="B520" s="88">
        <v>31</v>
      </c>
      <c r="C520" s="76">
        <f>194.205</f>
        <v>194.20500000000001</v>
      </c>
      <c r="D520" s="76">
        <f>267.466</f>
        <v>267.46600000000001</v>
      </c>
      <c r="E520" s="85">
        <f>133.845</f>
        <v>133.845</v>
      </c>
      <c r="F520" s="76">
        <f>278.484-40-25-60-100</f>
        <v>53.48399999999998</v>
      </c>
      <c r="G520" s="79">
        <v>40</v>
      </c>
      <c r="H520" s="76">
        <f t="shared" si="82"/>
        <v>185</v>
      </c>
      <c r="I520" s="76">
        <f t="shared" si="80"/>
        <v>0</v>
      </c>
      <c r="J520" s="79">
        <v>100</v>
      </c>
      <c r="K520" s="79">
        <v>300</v>
      </c>
      <c r="L520" s="76">
        <f t="shared" si="73"/>
        <v>1274</v>
      </c>
      <c r="M520" s="87">
        <v>600</v>
      </c>
      <c r="N520" s="76">
        <f>75</f>
        <v>75</v>
      </c>
      <c r="O520" s="79">
        <v>240</v>
      </c>
      <c r="P520" s="79">
        <v>160</v>
      </c>
      <c r="Q520" s="79">
        <f t="shared" si="74"/>
        <v>195</v>
      </c>
      <c r="R520" s="79">
        <f t="shared" si="75"/>
        <v>100</v>
      </c>
      <c r="S520" s="76">
        <f t="shared" si="76"/>
        <v>695</v>
      </c>
      <c r="T520" s="76">
        <f>50</f>
        <v>50</v>
      </c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</row>
    <row r="521" spans="1:30" ht="15.75" x14ac:dyDescent="0.25">
      <c r="A521" s="31">
        <v>56795</v>
      </c>
      <c r="B521" s="88">
        <v>30</v>
      </c>
      <c r="C521" s="76">
        <f>194.205</f>
        <v>194.20500000000001</v>
      </c>
      <c r="D521" s="76">
        <f>267.466</f>
        <v>267.46600000000001</v>
      </c>
      <c r="E521" s="85">
        <f>133.845</f>
        <v>133.845</v>
      </c>
      <c r="F521" s="76">
        <f>278.484-40-25-60-100</f>
        <v>53.48399999999998</v>
      </c>
      <c r="G521" s="79">
        <v>40</v>
      </c>
      <c r="H521" s="76">
        <f t="shared" si="82"/>
        <v>185</v>
      </c>
      <c r="I521" s="76">
        <f t="shared" si="80"/>
        <v>0</v>
      </c>
      <c r="J521" s="79">
        <v>100</v>
      </c>
      <c r="K521" s="79">
        <v>300</v>
      </c>
      <c r="L521" s="76">
        <f t="shared" si="73"/>
        <v>1274</v>
      </c>
      <c r="M521" s="87">
        <v>600</v>
      </c>
      <c r="N521" s="76">
        <f>30</f>
        <v>30</v>
      </c>
      <c r="O521" s="79">
        <v>240</v>
      </c>
      <c r="P521" s="79">
        <v>160</v>
      </c>
      <c r="Q521" s="79">
        <f t="shared" si="74"/>
        <v>195</v>
      </c>
      <c r="R521" s="79">
        <f t="shared" si="75"/>
        <v>100</v>
      </c>
      <c r="S521" s="76">
        <f t="shared" si="76"/>
        <v>695</v>
      </c>
      <c r="T521" s="76">
        <f>50</f>
        <v>50</v>
      </c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</row>
    <row r="522" spans="1:30" ht="15.75" x14ac:dyDescent="0.25">
      <c r="A522" s="31">
        <v>56826</v>
      </c>
      <c r="B522" s="88">
        <v>31</v>
      </c>
      <c r="C522" s="76">
        <f>194.205</f>
        <v>194.20500000000001</v>
      </c>
      <c r="D522" s="76">
        <f>267.466</f>
        <v>267.46600000000001</v>
      </c>
      <c r="E522" s="85">
        <f>133.845</f>
        <v>133.845</v>
      </c>
      <c r="F522" s="76">
        <f>278.484-40-25-60-100</f>
        <v>53.48399999999998</v>
      </c>
      <c r="G522" s="79">
        <v>40</v>
      </c>
      <c r="H522" s="76">
        <f t="shared" si="82"/>
        <v>185</v>
      </c>
      <c r="I522" s="76">
        <f t="shared" si="80"/>
        <v>0</v>
      </c>
      <c r="J522" s="79">
        <v>100</v>
      </c>
      <c r="K522" s="79">
        <v>300</v>
      </c>
      <c r="L522" s="76">
        <f t="shared" si="73"/>
        <v>1274</v>
      </c>
      <c r="M522" s="87">
        <v>600</v>
      </c>
      <c r="N522" s="76">
        <f>30</f>
        <v>30</v>
      </c>
      <c r="O522" s="79">
        <v>240</v>
      </c>
      <c r="P522" s="79">
        <v>160</v>
      </c>
      <c r="Q522" s="79">
        <f t="shared" si="74"/>
        <v>195</v>
      </c>
      <c r="R522" s="79">
        <f t="shared" si="75"/>
        <v>100</v>
      </c>
      <c r="S522" s="76">
        <f t="shared" si="76"/>
        <v>695</v>
      </c>
      <c r="T522" s="76">
        <f>0</f>
        <v>0</v>
      </c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</row>
    <row r="523" spans="1:30" ht="15.75" x14ac:dyDescent="0.25">
      <c r="A523" s="31">
        <v>56857</v>
      </c>
      <c r="B523" s="88">
        <v>31</v>
      </c>
      <c r="C523" s="76">
        <f>194.205</f>
        <v>194.20500000000001</v>
      </c>
      <c r="D523" s="76">
        <f>267.466</f>
        <v>267.46600000000001</v>
      </c>
      <c r="E523" s="85">
        <f>133.845</f>
        <v>133.845</v>
      </c>
      <c r="F523" s="76">
        <f>278.484-40-25-60-100</f>
        <v>53.48399999999998</v>
      </c>
      <c r="G523" s="79">
        <v>40</v>
      </c>
      <c r="H523" s="76">
        <f t="shared" si="82"/>
        <v>185</v>
      </c>
      <c r="I523" s="76">
        <f t="shared" si="80"/>
        <v>0</v>
      </c>
      <c r="J523" s="79">
        <v>100</v>
      </c>
      <c r="K523" s="79">
        <v>300</v>
      </c>
      <c r="L523" s="76">
        <f t="shared" si="73"/>
        <v>1274</v>
      </c>
      <c r="M523" s="87">
        <v>600</v>
      </c>
      <c r="N523" s="76">
        <f>30</f>
        <v>30</v>
      </c>
      <c r="O523" s="79">
        <v>240</v>
      </c>
      <c r="P523" s="79">
        <v>160</v>
      </c>
      <c r="Q523" s="79">
        <f t="shared" si="74"/>
        <v>195</v>
      </c>
      <c r="R523" s="79">
        <f t="shared" si="75"/>
        <v>100</v>
      </c>
      <c r="S523" s="76">
        <f t="shared" si="76"/>
        <v>695</v>
      </c>
      <c r="T523" s="76">
        <f>0</f>
        <v>0</v>
      </c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</row>
    <row r="524" spans="1:30" ht="15.75" x14ac:dyDescent="0.25">
      <c r="A524" s="31">
        <v>56887</v>
      </c>
      <c r="B524" s="88">
        <v>30</v>
      </c>
      <c r="C524" s="76">
        <f>194.205</f>
        <v>194.20500000000001</v>
      </c>
      <c r="D524" s="76">
        <f>267.466</f>
        <v>267.46600000000001</v>
      </c>
      <c r="E524" s="85">
        <f>133.845</f>
        <v>133.845</v>
      </c>
      <c r="F524" s="76">
        <f>278.484-40-25-60-100</f>
        <v>53.48399999999998</v>
      </c>
      <c r="G524" s="79">
        <v>40</v>
      </c>
      <c r="H524" s="76">
        <f t="shared" si="82"/>
        <v>185</v>
      </c>
      <c r="I524" s="76">
        <f t="shared" si="80"/>
        <v>0</v>
      </c>
      <c r="J524" s="79">
        <v>100</v>
      </c>
      <c r="K524" s="79">
        <v>300</v>
      </c>
      <c r="L524" s="76">
        <f t="shared" si="73"/>
        <v>1274</v>
      </c>
      <c r="M524" s="87">
        <v>600</v>
      </c>
      <c r="N524" s="76">
        <f>30</f>
        <v>30</v>
      </c>
      <c r="O524" s="79">
        <v>240</v>
      </c>
      <c r="P524" s="79">
        <v>160</v>
      </c>
      <c r="Q524" s="79">
        <f t="shared" si="74"/>
        <v>195</v>
      </c>
      <c r="R524" s="79">
        <f t="shared" si="75"/>
        <v>100</v>
      </c>
      <c r="S524" s="76">
        <f t="shared" si="76"/>
        <v>695</v>
      </c>
      <c r="T524" s="76">
        <f>0</f>
        <v>0</v>
      </c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</row>
    <row r="525" spans="1:30" ht="15.75" x14ac:dyDescent="0.25">
      <c r="A525" s="31">
        <v>56918</v>
      </c>
      <c r="B525" s="88">
        <v>31</v>
      </c>
      <c r="C525" s="76">
        <f>131.881</f>
        <v>131.881</v>
      </c>
      <c r="D525" s="76">
        <f>277.167</f>
        <v>277.16699999999997</v>
      </c>
      <c r="E525" s="85">
        <f>79.08</f>
        <v>79.08</v>
      </c>
      <c r="F525" s="76">
        <f>350.872-40-25-60-100</f>
        <v>125.87200000000001</v>
      </c>
      <c r="G525" s="79">
        <v>40</v>
      </c>
      <c r="H525" s="76">
        <f t="shared" si="82"/>
        <v>185</v>
      </c>
      <c r="I525" s="76">
        <f t="shared" si="80"/>
        <v>0</v>
      </c>
      <c r="J525" s="79">
        <v>100</v>
      </c>
      <c r="K525" s="79">
        <v>300</v>
      </c>
      <c r="L525" s="76">
        <f t="shared" si="73"/>
        <v>1239</v>
      </c>
      <c r="M525" s="87">
        <v>600</v>
      </c>
      <c r="N525" s="76">
        <f>75</f>
        <v>75</v>
      </c>
      <c r="O525" s="79">
        <v>240</v>
      </c>
      <c r="P525" s="79">
        <v>160</v>
      </c>
      <c r="Q525" s="79">
        <f t="shared" si="74"/>
        <v>195</v>
      </c>
      <c r="R525" s="79">
        <f t="shared" si="75"/>
        <v>100</v>
      </c>
      <c r="S525" s="76">
        <f t="shared" si="76"/>
        <v>695</v>
      </c>
      <c r="T525" s="76">
        <f>0</f>
        <v>0</v>
      </c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</row>
    <row r="526" spans="1:30" ht="15.75" x14ac:dyDescent="0.25">
      <c r="A526" s="31">
        <v>56948</v>
      </c>
      <c r="B526" s="88">
        <v>30</v>
      </c>
      <c r="C526" s="76">
        <f>122.58</f>
        <v>122.58</v>
      </c>
      <c r="D526" s="76">
        <f>297.941</f>
        <v>297.94099999999997</v>
      </c>
      <c r="E526" s="85">
        <f>89.177</f>
        <v>89.177000000000007</v>
      </c>
      <c r="F526" s="76">
        <f>240.302-40-60-100</f>
        <v>40.301999999999992</v>
      </c>
      <c r="G526" s="79">
        <v>40</v>
      </c>
      <c r="H526" s="76">
        <f>60+100</f>
        <v>160</v>
      </c>
      <c r="I526" s="76">
        <f t="shared" si="80"/>
        <v>0</v>
      </c>
      <c r="J526" s="79">
        <v>100</v>
      </c>
      <c r="K526" s="79">
        <v>300</v>
      </c>
      <c r="L526" s="76">
        <f t="shared" si="73"/>
        <v>1150</v>
      </c>
      <c r="M526" s="87">
        <v>600</v>
      </c>
      <c r="N526" s="76">
        <f>100</f>
        <v>100</v>
      </c>
      <c r="O526" s="79">
        <v>240</v>
      </c>
      <c r="P526" s="79">
        <v>40</v>
      </c>
      <c r="Q526" s="79">
        <f t="shared" si="74"/>
        <v>315</v>
      </c>
      <c r="R526" s="79">
        <f t="shared" si="75"/>
        <v>100</v>
      </c>
      <c r="S526" s="76">
        <f t="shared" si="76"/>
        <v>695</v>
      </c>
      <c r="T526" s="76">
        <f>50</f>
        <v>50</v>
      </c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</row>
    <row r="527" spans="1:30" ht="15.75" x14ac:dyDescent="0.25">
      <c r="A527" s="31">
        <v>56979</v>
      </c>
      <c r="B527" s="88">
        <v>31</v>
      </c>
      <c r="C527" s="76">
        <f>122.58</f>
        <v>122.58</v>
      </c>
      <c r="D527" s="76">
        <f>297.941</f>
        <v>297.94099999999997</v>
      </c>
      <c r="E527" s="85">
        <f>89.177</f>
        <v>89.177000000000007</v>
      </c>
      <c r="F527" s="76">
        <f>240.302-40-60-100</f>
        <v>40.301999999999992</v>
      </c>
      <c r="G527" s="79">
        <v>40</v>
      </c>
      <c r="H527" s="76">
        <f>60+100</f>
        <v>160</v>
      </c>
      <c r="I527" s="76">
        <f t="shared" si="80"/>
        <v>0</v>
      </c>
      <c r="J527" s="79">
        <v>100</v>
      </c>
      <c r="K527" s="79">
        <v>300</v>
      </c>
      <c r="L527" s="76">
        <f t="shared" si="73"/>
        <v>1150</v>
      </c>
      <c r="M527" s="87">
        <v>600</v>
      </c>
      <c r="N527" s="76">
        <f>100</f>
        <v>100</v>
      </c>
      <c r="O527" s="79">
        <v>240</v>
      </c>
      <c r="P527" s="79">
        <v>40</v>
      </c>
      <c r="Q527" s="79">
        <f t="shared" si="74"/>
        <v>315</v>
      </c>
      <c r="R527" s="79">
        <f t="shared" si="75"/>
        <v>100</v>
      </c>
      <c r="S527" s="76">
        <f t="shared" si="76"/>
        <v>695</v>
      </c>
      <c r="T527" s="76">
        <f>50</f>
        <v>50</v>
      </c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</row>
    <row r="528" spans="1:30" ht="15.75" x14ac:dyDescent="0.25">
      <c r="A528" s="31">
        <v>57010</v>
      </c>
      <c r="B528" s="88">
        <v>31</v>
      </c>
      <c r="C528" s="76">
        <f>122.58</f>
        <v>122.58</v>
      </c>
      <c r="D528" s="76">
        <f>297.941</f>
        <v>297.94099999999997</v>
      </c>
      <c r="E528" s="85">
        <f>89.177</f>
        <v>89.177000000000007</v>
      </c>
      <c r="F528" s="76">
        <f>240.302-40-60-100</f>
        <v>40.301999999999992</v>
      </c>
      <c r="G528" s="79">
        <v>40</v>
      </c>
      <c r="H528" s="76">
        <f>60+100</f>
        <v>160</v>
      </c>
      <c r="I528" s="76">
        <f t="shared" si="80"/>
        <v>0</v>
      </c>
      <c r="J528" s="79">
        <v>100</v>
      </c>
      <c r="K528" s="79">
        <v>300</v>
      </c>
      <c r="L528" s="76">
        <f t="shared" si="73"/>
        <v>1150</v>
      </c>
      <c r="M528" s="87">
        <v>600</v>
      </c>
      <c r="N528" s="76">
        <f>100</f>
        <v>100</v>
      </c>
      <c r="O528" s="79">
        <v>240</v>
      </c>
      <c r="P528" s="79">
        <v>40</v>
      </c>
      <c r="Q528" s="79">
        <f t="shared" si="74"/>
        <v>315</v>
      </c>
      <c r="R528" s="79">
        <f t="shared" si="75"/>
        <v>100</v>
      </c>
      <c r="S528" s="76">
        <f t="shared" si="76"/>
        <v>695</v>
      </c>
      <c r="T528" s="76">
        <f>50</f>
        <v>50</v>
      </c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</row>
    <row r="529" spans="1:30" ht="15.75" x14ac:dyDescent="0.25">
      <c r="A529" s="31">
        <v>57038</v>
      </c>
      <c r="B529" s="88">
        <v>29</v>
      </c>
      <c r="C529" s="76">
        <f>122.58</f>
        <v>122.58</v>
      </c>
      <c r="D529" s="76">
        <f>297.941</f>
        <v>297.94099999999997</v>
      </c>
      <c r="E529" s="85">
        <f>89.177</f>
        <v>89.177000000000007</v>
      </c>
      <c r="F529" s="76">
        <f>240.302-40-60-100</f>
        <v>40.301999999999992</v>
      </c>
      <c r="G529" s="79">
        <v>40</v>
      </c>
      <c r="H529" s="76">
        <f>60+100</f>
        <v>160</v>
      </c>
      <c r="I529" s="76">
        <f t="shared" si="80"/>
        <v>0</v>
      </c>
      <c r="J529" s="79">
        <v>100</v>
      </c>
      <c r="K529" s="79">
        <v>300</v>
      </c>
      <c r="L529" s="76">
        <f t="shared" si="73"/>
        <v>1150</v>
      </c>
      <c r="M529" s="87">
        <v>600</v>
      </c>
      <c r="N529" s="76">
        <f>100</f>
        <v>100</v>
      </c>
      <c r="O529" s="79">
        <v>240</v>
      </c>
      <c r="P529" s="79">
        <v>40</v>
      </c>
      <c r="Q529" s="79">
        <f t="shared" si="74"/>
        <v>315</v>
      </c>
      <c r="R529" s="79">
        <f t="shared" si="75"/>
        <v>100</v>
      </c>
      <c r="S529" s="76">
        <f t="shared" si="76"/>
        <v>695</v>
      </c>
      <c r="T529" s="76">
        <f>50</f>
        <v>50</v>
      </c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</row>
    <row r="530" spans="1:30" ht="15.75" x14ac:dyDescent="0.25">
      <c r="A530" s="31">
        <v>57070</v>
      </c>
      <c r="B530" s="88">
        <v>31</v>
      </c>
      <c r="C530" s="76">
        <f>122.58</f>
        <v>122.58</v>
      </c>
      <c r="D530" s="76">
        <f>297.941</f>
        <v>297.94099999999997</v>
      </c>
      <c r="E530" s="85">
        <f>89.177</f>
        <v>89.177000000000007</v>
      </c>
      <c r="F530" s="76">
        <f>240.302-40-60-100</f>
        <v>40.301999999999992</v>
      </c>
      <c r="G530" s="79">
        <v>40</v>
      </c>
      <c r="H530" s="76">
        <f>60+100</f>
        <v>160</v>
      </c>
      <c r="I530" s="76">
        <f t="shared" si="80"/>
        <v>0</v>
      </c>
      <c r="J530" s="79">
        <v>100</v>
      </c>
      <c r="K530" s="79">
        <v>300</v>
      </c>
      <c r="L530" s="76">
        <f t="shared" ref="L530:L593" si="83">SUM(C530:K530)</f>
        <v>1150</v>
      </c>
      <c r="M530" s="87">
        <v>600</v>
      </c>
      <c r="N530" s="76">
        <f>100</f>
        <v>100</v>
      </c>
      <c r="O530" s="79">
        <v>240</v>
      </c>
      <c r="P530" s="79">
        <v>40</v>
      </c>
      <c r="Q530" s="79">
        <f t="shared" ref="Q530:Q593" si="84">695-R530-O530-P530</f>
        <v>315</v>
      </c>
      <c r="R530" s="79">
        <f t="shared" ref="R530:R593" si="85">200-J530</f>
        <v>100</v>
      </c>
      <c r="S530" s="76">
        <f t="shared" ref="S530:S593" si="86">SUM(O530:R530)</f>
        <v>695</v>
      </c>
      <c r="T530" s="76">
        <f>50</f>
        <v>50</v>
      </c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</row>
    <row r="531" spans="1:30" ht="15.75" x14ac:dyDescent="0.25">
      <c r="A531" s="31">
        <v>57100</v>
      </c>
      <c r="B531" s="88">
        <v>30</v>
      </c>
      <c r="C531" s="76">
        <f>141.293</f>
        <v>141.29300000000001</v>
      </c>
      <c r="D531" s="76">
        <f>267.993</f>
        <v>267.99299999999999</v>
      </c>
      <c r="E531" s="85">
        <f>115.016</f>
        <v>115.01600000000001</v>
      </c>
      <c r="F531" s="76">
        <f>314.698-40-25-60-100</f>
        <v>89.697999999999979</v>
      </c>
      <c r="G531" s="79">
        <v>40</v>
      </c>
      <c r="H531" s="76">
        <f t="shared" ref="H531:H537" si="87">25+60+100</f>
        <v>185</v>
      </c>
      <c r="I531" s="76">
        <f t="shared" si="80"/>
        <v>0</v>
      </c>
      <c r="J531" s="79">
        <v>100</v>
      </c>
      <c r="K531" s="79">
        <v>300</v>
      </c>
      <c r="L531" s="76">
        <f t="shared" si="83"/>
        <v>1239</v>
      </c>
      <c r="M531" s="87">
        <v>600</v>
      </c>
      <c r="N531" s="76">
        <f>100</f>
        <v>100</v>
      </c>
      <c r="O531" s="79">
        <v>240</v>
      </c>
      <c r="P531" s="79">
        <v>160</v>
      </c>
      <c r="Q531" s="79">
        <f t="shared" si="84"/>
        <v>195</v>
      </c>
      <c r="R531" s="79">
        <f t="shared" si="85"/>
        <v>100</v>
      </c>
      <c r="S531" s="76">
        <f t="shared" si="86"/>
        <v>695</v>
      </c>
      <c r="T531" s="76">
        <f>50</f>
        <v>50</v>
      </c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</row>
    <row r="532" spans="1:30" ht="15.75" x14ac:dyDescent="0.25">
      <c r="A532" s="31">
        <v>57131</v>
      </c>
      <c r="B532" s="88">
        <v>31</v>
      </c>
      <c r="C532" s="76">
        <f>194.205</f>
        <v>194.20500000000001</v>
      </c>
      <c r="D532" s="76">
        <f>267.466</f>
        <v>267.46600000000001</v>
      </c>
      <c r="E532" s="85">
        <f>133.845</f>
        <v>133.845</v>
      </c>
      <c r="F532" s="76">
        <f>278.484-40-25-60-100</f>
        <v>53.48399999999998</v>
      </c>
      <c r="G532" s="79">
        <v>40</v>
      </c>
      <c r="H532" s="76">
        <f t="shared" si="87"/>
        <v>185</v>
      </c>
      <c r="I532" s="76">
        <f t="shared" si="80"/>
        <v>0</v>
      </c>
      <c r="J532" s="79">
        <v>100</v>
      </c>
      <c r="K532" s="79">
        <v>300</v>
      </c>
      <c r="L532" s="76">
        <f t="shared" si="83"/>
        <v>1274</v>
      </c>
      <c r="M532" s="87">
        <v>600</v>
      </c>
      <c r="N532" s="76">
        <f>75</f>
        <v>75</v>
      </c>
      <c r="O532" s="79">
        <v>240</v>
      </c>
      <c r="P532" s="79">
        <v>160</v>
      </c>
      <c r="Q532" s="79">
        <f t="shared" si="84"/>
        <v>195</v>
      </c>
      <c r="R532" s="79">
        <f t="shared" si="85"/>
        <v>100</v>
      </c>
      <c r="S532" s="76">
        <f t="shared" si="86"/>
        <v>695</v>
      </c>
      <c r="T532" s="76">
        <f>50</f>
        <v>50</v>
      </c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</row>
    <row r="533" spans="1:30" ht="15.75" x14ac:dyDescent="0.25">
      <c r="A533" s="31">
        <v>57161</v>
      </c>
      <c r="B533" s="88">
        <v>30</v>
      </c>
      <c r="C533" s="76">
        <f>194.205</f>
        <v>194.20500000000001</v>
      </c>
      <c r="D533" s="76">
        <f>267.466</f>
        <v>267.46600000000001</v>
      </c>
      <c r="E533" s="85">
        <f>133.845</f>
        <v>133.845</v>
      </c>
      <c r="F533" s="76">
        <f>278.484-40-25-60-100</f>
        <v>53.48399999999998</v>
      </c>
      <c r="G533" s="79">
        <v>40</v>
      </c>
      <c r="H533" s="76">
        <f t="shared" si="87"/>
        <v>185</v>
      </c>
      <c r="I533" s="76">
        <f t="shared" si="80"/>
        <v>0</v>
      </c>
      <c r="J533" s="79">
        <v>100</v>
      </c>
      <c r="K533" s="79">
        <v>300</v>
      </c>
      <c r="L533" s="76">
        <f t="shared" si="83"/>
        <v>1274</v>
      </c>
      <c r="M533" s="87">
        <v>600</v>
      </c>
      <c r="N533" s="76">
        <f>30</f>
        <v>30</v>
      </c>
      <c r="O533" s="79">
        <v>240</v>
      </c>
      <c r="P533" s="79">
        <v>160</v>
      </c>
      <c r="Q533" s="79">
        <f t="shared" si="84"/>
        <v>195</v>
      </c>
      <c r="R533" s="79">
        <f t="shared" si="85"/>
        <v>100</v>
      </c>
      <c r="S533" s="76">
        <f t="shared" si="86"/>
        <v>695</v>
      </c>
      <c r="T533" s="76">
        <f>50</f>
        <v>50</v>
      </c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</row>
    <row r="534" spans="1:30" ht="15.75" x14ac:dyDescent="0.25">
      <c r="A534" s="31">
        <v>57192</v>
      </c>
      <c r="B534" s="88">
        <v>31</v>
      </c>
      <c r="C534" s="76">
        <f>194.205</f>
        <v>194.20500000000001</v>
      </c>
      <c r="D534" s="76">
        <f>267.466</f>
        <v>267.46600000000001</v>
      </c>
      <c r="E534" s="85">
        <f>133.845</f>
        <v>133.845</v>
      </c>
      <c r="F534" s="76">
        <f>278.484-40-25-60-100</f>
        <v>53.48399999999998</v>
      </c>
      <c r="G534" s="79">
        <v>40</v>
      </c>
      <c r="H534" s="76">
        <f t="shared" si="87"/>
        <v>185</v>
      </c>
      <c r="I534" s="76">
        <f t="shared" si="80"/>
        <v>0</v>
      </c>
      <c r="J534" s="79">
        <v>100</v>
      </c>
      <c r="K534" s="79">
        <v>300</v>
      </c>
      <c r="L534" s="76">
        <f t="shared" si="83"/>
        <v>1274</v>
      </c>
      <c r="M534" s="87">
        <v>600</v>
      </c>
      <c r="N534" s="76">
        <f>30</f>
        <v>30</v>
      </c>
      <c r="O534" s="79">
        <v>240</v>
      </c>
      <c r="P534" s="79">
        <v>160</v>
      </c>
      <c r="Q534" s="79">
        <f t="shared" si="84"/>
        <v>195</v>
      </c>
      <c r="R534" s="79">
        <f t="shared" si="85"/>
        <v>100</v>
      </c>
      <c r="S534" s="76">
        <f t="shared" si="86"/>
        <v>695</v>
      </c>
      <c r="T534" s="76">
        <f>0</f>
        <v>0</v>
      </c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</row>
    <row r="535" spans="1:30" ht="15.75" x14ac:dyDescent="0.25">
      <c r="A535" s="31">
        <v>57223</v>
      </c>
      <c r="B535" s="88">
        <v>31</v>
      </c>
      <c r="C535" s="76">
        <f>194.205</f>
        <v>194.20500000000001</v>
      </c>
      <c r="D535" s="76">
        <f>267.466</f>
        <v>267.46600000000001</v>
      </c>
      <c r="E535" s="85">
        <f>133.845</f>
        <v>133.845</v>
      </c>
      <c r="F535" s="76">
        <f>278.484-40-25-60-100</f>
        <v>53.48399999999998</v>
      </c>
      <c r="G535" s="79">
        <v>40</v>
      </c>
      <c r="H535" s="76">
        <f t="shared" si="87"/>
        <v>185</v>
      </c>
      <c r="I535" s="76">
        <f t="shared" si="80"/>
        <v>0</v>
      </c>
      <c r="J535" s="79">
        <v>100</v>
      </c>
      <c r="K535" s="79">
        <v>300</v>
      </c>
      <c r="L535" s="76">
        <f t="shared" si="83"/>
        <v>1274</v>
      </c>
      <c r="M535" s="87">
        <v>600</v>
      </c>
      <c r="N535" s="76">
        <f>30</f>
        <v>30</v>
      </c>
      <c r="O535" s="79">
        <v>240</v>
      </c>
      <c r="P535" s="79">
        <v>160</v>
      </c>
      <c r="Q535" s="79">
        <f t="shared" si="84"/>
        <v>195</v>
      </c>
      <c r="R535" s="79">
        <f t="shared" si="85"/>
        <v>100</v>
      </c>
      <c r="S535" s="76">
        <f t="shared" si="86"/>
        <v>695</v>
      </c>
      <c r="T535" s="76">
        <f>0</f>
        <v>0</v>
      </c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</row>
    <row r="536" spans="1:30" ht="15.75" x14ac:dyDescent="0.25">
      <c r="A536" s="31">
        <v>57253</v>
      </c>
      <c r="B536" s="88">
        <v>30</v>
      </c>
      <c r="C536" s="76">
        <f>194.205</f>
        <v>194.20500000000001</v>
      </c>
      <c r="D536" s="76">
        <f>267.466</f>
        <v>267.46600000000001</v>
      </c>
      <c r="E536" s="85">
        <f>133.845</f>
        <v>133.845</v>
      </c>
      <c r="F536" s="76">
        <f>278.484-40-25-60-100</f>
        <v>53.48399999999998</v>
      </c>
      <c r="G536" s="79">
        <v>40</v>
      </c>
      <c r="H536" s="76">
        <f t="shared" si="87"/>
        <v>185</v>
      </c>
      <c r="I536" s="76">
        <f t="shared" si="80"/>
        <v>0</v>
      </c>
      <c r="J536" s="79">
        <v>100</v>
      </c>
      <c r="K536" s="79">
        <v>300</v>
      </c>
      <c r="L536" s="76">
        <f t="shared" si="83"/>
        <v>1274</v>
      </c>
      <c r="M536" s="87">
        <v>600</v>
      </c>
      <c r="N536" s="76">
        <f>30</f>
        <v>30</v>
      </c>
      <c r="O536" s="79">
        <v>240</v>
      </c>
      <c r="P536" s="79">
        <v>160</v>
      </c>
      <c r="Q536" s="79">
        <f t="shared" si="84"/>
        <v>195</v>
      </c>
      <c r="R536" s="79">
        <f t="shared" si="85"/>
        <v>100</v>
      </c>
      <c r="S536" s="76">
        <f t="shared" si="86"/>
        <v>695</v>
      </c>
      <c r="T536" s="76">
        <f>0</f>
        <v>0</v>
      </c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</row>
    <row r="537" spans="1:30" ht="15.75" x14ac:dyDescent="0.25">
      <c r="A537" s="31">
        <v>57284</v>
      </c>
      <c r="B537" s="88">
        <v>31</v>
      </c>
      <c r="C537" s="76">
        <f>131.881</f>
        <v>131.881</v>
      </c>
      <c r="D537" s="76">
        <f>277.167</f>
        <v>277.16699999999997</v>
      </c>
      <c r="E537" s="85">
        <f>79.08</f>
        <v>79.08</v>
      </c>
      <c r="F537" s="76">
        <f>350.872-40-25-60-100</f>
        <v>125.87200000000001</v>
      </c>
      <c r="G537" s="79">
        <v>40</v>
      </c>
      <c r="H537" s="76">
        <f t="shared" si="87"/>
        <v>185</v>
      </c>
      <c r="I537" s="76">
        <f t="shared" si="80"/>
        <v>0</v>
      </c>
      <c r="J537" s="79">
        <v>100</v>
      </c>
      <c r="K537" s="79">
        <v>300</v>
      </c>
      <c r="L537" s="76">
        <f t="shared" si="83"/>
        <v>1239</v>
      </c>
      <c r="M537" s="87">
        <v>600</v>
      </c>
      <c r="N537" s="76">
        <f>75</f>
        <v>75</v>
      </c>
      <c r="O537" s="79">
        <v>240</v>
      </c>
      <c r="P537" s="79">
        <v>160</v>
      </c>
      <c r="Q537" s="79">
        <f t="shared" si="84"/>
        <v>195</v>
      </c>
      <c r="R537" s="79">
        <f t="shared" si="85"/>
        <v>100</v>
      </c>
      <c r="S537" s="76">
        <f t="shared" si="86"/>
        <v>695</v>
      </c>
      <c r="T537" s="76">
        <f>0</f>
        <v>0</v>
      </c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</row>
    <row r="538" spans="1:30" ht="15.75" x14ac:dyDescent="0.25">
      <c r="A538" s="31">
        <v>57314</v>
      </c>
      <c r="B538" s="88">
        <v>30</v>
      </c>
      <c r="C538" s="76">
        <f>122.58</f>
        <v>122.58</v>
      </c>
      <c r="D538" s="76">
        <f>297.941</f>
        <v>297.94099999999997</v>
      </c>
      <c r="E538" s="85">
        <f>89.177</f>
        <v>89.177000000000007</v>
      </c>
      <c r="F538" s="76">
        <f>240.302-40-60-100</f>
        <v>40.301999999999992</v>
      </c>
      <c r="G538" s="79">
        <v>40</v>
      </c>
      <c r="H538" s="76">
        <f>60+100</f>
        <v>160</v>
      </c>
      <c r="I538" s="76">
        <f t="shared" si="80"/>
        <v>0</v>
      </c>
      <c r="J538" s="79">
        <v>100</v>
      </c>
      <c r="K538" s="79">
        <v>300</v>
      </c>
      <c r="L538" s="76">
        <f t="shared" si="83"/>
        <v>1150</v>
      </c>
      <c r="M538" s="87">
        <v>600</v>
      </c>
      <c r="N538" s="76">
        <f>100</f>
        <v>100</v>
      </c>
      <c r="O538" s="79">
        <v>240</v>
      </c>
      <c r="P538" s="79">
        <v>40</v>
      </c>
      <c r="Q538" s="79">
        <f t="shared" si="84"/>
        <v>315</v>
      </c>
      <c r="R538" s="79">
        <f t="shared" si="85"/>
        <v>100</v>
      </c>
      <c r="S538" s="76">
        <f t="shared" si="86"/>
        <v>695</v>
      </c>
      <c r="T538" s="76">
        <f>50</f>
        <v>50</v>
      </c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</row>
    <row r="539" spans="1:30" ht="15.75" x14ac:dyDescent="0.25">
      <c r="A539" s="31">
        <v>57345</v>
      </c>
      <c r="B539" s="88">
        <v>31</v>
      </c>
      <c r="C539" s="76">
        <f>122.58</f>
        <v>122.58</v>
      </c>
      <c r="D539" s="76">
        <f>297.941</f>
        <v>297.94099999999997</v>
      </c>
      <c r="E539" s="85">
        <f>89.177</f>
        <v>89.177000000000007</v>
      </c>
      <c r="F539" s="76">
        <f>240.302-40-60-100</f>
        <v>40.301999999999992</v>
      </c>
      <c r="G539" s="79">
        <v>40</v>
      </c>
      <c r="H539" s="76">
        <f>60+100</f>
        <v>160</v>
      </c>
      <c r="I539" s="76">
        <f t="shared" si="80"/>
        <v>0</v>
      </c>
      <c r="J539" s="79">
        <v>100</v>
      </c>
      <c r="K539" s="79">
        <v>300</v>
      </c>
      <c r="L539" s="76">
        <f t="shared" si="83"/>
        <v>1150</v>
      </c>
      <c r="M539" s="87">
        <v>600</v>
      </c>
      <c r="N539" s="76">
        <f>100</f>
        <v>100</v>
      </c>
      <c r="O539" s="79">
        <v>240</v>
      </c>
      <c r="P539" s="79">
        <v>40</v>
      </c>
      <c r="Q539" s="79">
        <f t="shared" si="84"/>
        <v>315</v>
      </c>
      <c r="R539" s="79">
        <f t="shared" si="85"/>
        <v>100</v>
      </c>
      <c r="S539" s="76">
        <f t="shared" si="86"/>
        <v>695</v>
      </c>
      <c r="T539" s="76">
        <f>50</f>
        <v>50</v>
      </c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</row>
    <row r="540" spans="1:30" ht="15.75" x14ac:dyDescent="0.25">
      <c r="A540" s="31">
        <v>57376</v>
      </c>
      <c r="B540" s="88">
        <v>31</v>
      </c>
      <c r="C540" s="76">
        <f>122.58</f>
        <v>122.58</v>
      </c>
      <c r="D540" s="76">
        <f>297.941</f>
        <v>297.94099999999997</v>
      </c>
      <c r="E540" s="85">
        <f>89.177</f>
        <v>89.177000000000007</v>
      </c>
      <c r="F540" s="76">
        <f>240.302-40-60-100</f>
        <v>40.301999999999992</v>
      </c>
      <c r="G540" s="79">
        <v>40</v>
      </c>
      <c r="H540" s="76">
        <f>60+100</f>
        <v>160</v>
      </c>
      <c r="I540" s="76">
        <f t="shared" si="80"/>
        <v>0</v>
      </c>
      <c r="J540" s="79">
        <v>100</v>
      </c>
      <c r="K540" s="79">
        <v>300</v>
      </c>
      <c r="L540" s="76">
        <f t="shared" si="83"/>
        <v>1150</v>
      </c>
      <c r="M540" s="87">
        <v>600</v>
      </c>
      <c r="N540" s="76">
        <f>100</f>
        <v>100</v>
      </c>
      <c r="O540" s="79">
        <v>240</v>
      </c>
      <c r="P540" s="79">
        <v>40</v>
      </c>
      <c r="Q540" s="79">
        <f t="shared" si="84"/>
        <v>315</v>
      </c>
      <c r="R540" s="79">
        <f t="shared" si="85"/>
        <v>100</v>
      </c>
      <c r="S540" s="76">
        <f t="shared" si="86"/>
        <v>695</v>
      </c>
      <c r="T540" s="76">
        <f>50</f>
        <v>50</v>
      </c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</row>
    <row r="541" spans="1:30" ht="15.75" x14ac:dyDescent="0.25">
      <c r="A541" s="31">
        <v>57404</v>
      </c>
      <c r="B541" s="88">
        <v>28</v>
      </c>
      <c r="C541" s="76">
        <f>122.58</f>
        <v>122.58</v>
      </c>
      <c r="D541" s="76">
        <f>297.941</f>
        <v>297.94099999999997</v>
      </c>
      <c r="E541" s="85">
        <f>89.177</f>
        <v>89.177000000000007</v>
      </c>
      <c r="F541" s="76">
        <f>240.302-40-60-100</f>
        <v>40.301999999999992</v>
      </c>
      <c r="G541" s="79">
        <v>40</v>
      </c>
      <c r="H541" s="76">
        <f>60+100</f>
        <v>160</v>
      </c>
      <c r="I541" s="76">
        <f t="shared" si="80"/>
        <v>0</v>
      </c>
      <c r="J541" s="79">
        <v>100</v>
      </c>
      <c r="K541" s="79">
        <v>300</v>
      </c>
      <c r="L541" s="76">
        <f t="shared" si="83"/>
        <v>1150</v>
      </c>
      <c r="M541" s="87">
        <v>600</v>
      </c>
      <c r="N541" s="76">
        <f>100</f>
        <v>100</v>
      </c>
      <c r="O541" s="79">
        <v>240</v>
      </c>
      <c r="P541" s="79">
        <v>40</v>
      </c>
      <c r="Q541" s="79">
        <f t="shared" si="84"/>
        <v>315</v>
      </c>
      <c r="R541" s="79">
        <f t="shared" si="85"/>
        <v>100</v>
      </c>
      <c r="S541" s="76">
        <f t="shared" si="86"/>
        <v>695</v>
      </c>
      <c r="T541" s="76">
        <f>50</f>
        <v>50</v>
      </c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</row>
    <row r="542" spans="1:30" ht="15.75" x14ac:dyDescent="0.25">
      <c r="A542" s="31">
        <v>57435</v>
      </c>
      <c r="B542" s="88">
        <v>31</v>
      </c>
      <c r="C542" s="76">
        <f>122.58</f>
        <v>122.58</v>
      </c>
      <c r="D542" s="76">
        <f>297.941</f>
        <v>297.94099999999997</v>
      </c>
      <c r="E542" s="85">
        <f>89.177</f>
        <v>89.177000000000007</v>
      </c>
      <c r="F542" s="76">
        <f>240.302-40-60-100</f>
        <v>40.301999999999992</v>
      </c>
      <c r="G542" s="79">
        <v>40</v>
      </c>
      <c r="H542" s="76">
        <f>60+100</f>
        <v>160</v>
      </c>
      <c r="I542" s="76">
        <f t="shared" si="80"/>
        <v>0</v>
      </c>
      <c r="J542" s="79">
        <v>100</v>
      </c>
      <c r="K542" s="79">
        <v>300</v>
      </c>
      <c r="L542" s="76">
        <f t="shared" si="83"/>
        <v>1150</v>
      </c>
      <c r="M542" s="87">
        <v>600</v>
      </c>
      <c r="N542" s="76">
        <f>100</f>
        <v>100</v>
      </c>
      <c r="O542" s="79">
        <v>240</v>
      </c>
      <c r="P542" s="79">
        <v>40</v>
      </c>
      <c r="Q542" s="79">
        <f t="shared" si="84"/>
        <v>315</v>
      </c>
      <c r="R542" s="79">
        <f t="shared" si="85"/>
        <v>100</v>
      </c>
      <c r="S542" s="76">
        <f t="shared" si="86"/>
        <v>695</v>
      </c>
      <c r="T542" s="76">
        <f>50</f>
        <v>50</v>
      </c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</row>
    <row r="543" spans="1:30" ht="15.75" x14ac:dyDescent="0.25">
      <c r="A543" s="31">
        <v>57465</v>
      </c>
      <c r="B543" s="88">
        <v>30</v>
      </c>
      <c r="C543" s="76">
        <f>141.293</f>
        <v>141.29300000000001</v>
      </c>
      <c r="D543" s="76">
        <f>267.993</f>
        <v>267.99299999999999</v>
      </c>
      <c r="E543" s="85">
        <f>115.016</f>
        <v>115.01600000000001</v>
      </c>
      <c r="F543" s="76">
        <f>314.698-40-25-60-100</f>
        <v>89.697999999999979</v>
      </c>
      <c r="G543" s="79">
        <v>40</v>
      </c>
      <c r="H543" s="76">
        <f t="shared" ref="H543:H549" si="88">25+60+100</f>
        <v>185</v>
      </c>
      <c r="I543" s="76">
        <f t="shared" si="80"/>
        <v>0</v>
      </c>
      <c r="J543" s="79">
        <v>100</v>
      </c>
      <c r="K543" s="79">
        <v>300</v>
      </c>
      <c r="L543" s="76">
        <f t="shared" si="83"/>
        <v>1239</v>
      </c>
      <c r="M543" s="87">
        <v>600</v>
      </c>
      <c r="N543" s="76">
        <f>100</f>
        <v>100</v>
      </c>
      <c r="O543" s="79">
        <v>240</v>
      </c>
      <c r="P543" s="79">
        <v>160</v>
      </c>
      <c r="Q543" s="79">
        <f t="shared" si="84"/>
        <v>195</v>
      </c>
      <c r="R543" s="79">
        <f t="shared" si="85"/>
        <v>100</v>
      </c>
      <c r="S543" s="76">
        <f t="shared" si="86"/>
        <v>695</v>
      </c>
      <c r="T543" s="76">
        <f>50</f>
        <v>50</v>
      </c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</row>
    <row r="544" spans="1:30" ht="15.75" x14ac:dyDescent="0.25">
      <c r="A544" s="31">
        <v>57496</v>
      </c>
      <c r="B544" s="88">
        <v>31</v>
      </c>
      <c r="C544" s="76">
        <f>194.205</f>
        <v>194.20500000000001</v>
      </c>
      <c r="D544" s="76">
        <f>267.466</f>
        <v>267.46600000000001</v>
      </c>
      <c r="E544" s="85">
        <f>133.845</f>
        <v>133.845</v>
      </c>
      <c r="F544" s="76">
        <f>278.484-40-25-60-100</f>
        <v>53.48399999999998</v>
      </c>
      <c r="G544" s="79">
        <v>40</v>
      </c>
      <c r="H544" s="76">
        <f t="shared" si="88"/>
        <v>185</v>
      </c>
      <c r="I544" s="76">
        <f t="shared" si="80"/>
        <v>0</v>
      </c>
      <c r="J544" s="79">
        <v>100</v>
      </c>
      <c r="K544" s="79">
        <v>300</v>
      </c>
      <c r="L544" s="76">
        <f t="shared" si="83"/>
        <v>1274</v>
      </c>
      <c r="M544" s="87">
        <v>600</v>
      </c>
      <c r="N544" s="76">
        <f>75</f>
        <v>75</v>
      </c>
      <c r="O544" s="79">
        <v>240</v>
      </c>
      <c r="P544" s="79">
        <v>160</v>
      </c>
      <c r="Q544" s="79">
        <f t="shared" si="84"/>
        <v>195</v>
      </c>
      <c r="R544" s="79">
        <f t="shared" si="85"/>
        <v>100</v>
      </c>
      <c r="S544" s="76">
        <f t="shared" si="86"/>
        <v>695</v>
      </c>
      <c r="T544" s="76">
        <f>50</f>
        <v>50</v>
      </c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</row>
    <row r="545" spans="1:30" ht="15.75" x14ac:dyDescent="0.25">
      <c r="A545" s="31">
        <v>57526</v>
      </c>
      <c r="B545" s="88">
        <v>30</v>
      </c>
      <c r="C545" s="76">
        <f>194.205</f>
        <v>194.20500000000001</v>
      </c>
      <c r="D545" s="76">
        <f>267.466</f>
        <v>267.46600000000001</v>
      </c>
      <c r="E545" s="85">
        <f>133.845</f>
        <v>133.845</v>
      </c>
      <c r="F545" s="76">
        <f>278.484-40-25-60-100</f>
        <v>53.48399999999998</v>
      </c>
      <c r="G545" s="79">
        <v>40</v>
      </c>
      <c r="H545" s="76">
        <f t="shared" si="88"/>
        <v>185</v>
      </c>
      <c r="I545" s="76">
        <f t="shared" si="80"/>
        <v>0</v>
      </c>
      <c r="J545" s="79">
        <v>100</v>
      </c>
      <c r="K545" s="79">
        <v>300</v>
      </c>
      <c r="L545" s="76">
        <f t="shared" si="83"/>
        <v>1274</v>
      </c>
      <c r="M545" s="87">
        <v>600</v>
      </c>
      <c r="N545" s="76">
        <f>30</f>
        <v>30</v>
      </c>
      <c r="O545" s="79">
        <v>240</v>
      </c>
      <c r="P545" s="79">
        <v>160</v>
      </c>
      <c r="Q545" s="79">
        <f t="shared" si="84"/>
        <v>195</v>
      </c>
      <c r="R545" s="79">
        <f t="shared" si="85"/>
        <v>100</v>
      </c>
      <c r="S545" s="76">
        <f t="shared" si="86"/>
        <v>695</v>
      </c>
      <c r="T545" s="76">
        <f>50</f>
        <v>50</v>
      </c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</row>
    <row r="546" spans="1:30" ht="15.75" x14ac:dyDescent="0.25">
      <c r="A546" s="31">
        <v>57557</v>
      </c>
      <c r="B546" s="88">
        <v>31</v>
      </c>
      <c r="C546" s="76">
        <f>194.205</f>
        <v>194.20500000000001</v>
      </c>
      <c r="D546" s="76">
        <f>267.466</f>
        <v>267.46600000000001</v>
      </c>
      <c r="E546" s="85">
        <f>133.845</f>
        <v>133.845</v>
      </c>
      <c r="F546" s="76">
        <f>278.484-40-25-60-100</f>
        <v>53.48399999999998</v>
      </c>
      <c r="G546" s="79">
        <v>40</v>
      </c>
      <c r="H546" s="76">
        <f t="shared" si="88"/>
        <v>185</v>
      </c>
      <c r="I546" s="76">
        <f t="shared" si="80"/>
        <v>0</v>
      </c>
      <c r="J546" s="79">
        <v>100</v>
      </c>
      <c r="K546" s="79">
        <v>300</v>
      </c>
      <c r="L546" s="76">
        <f t="shared" si="83"/>
        <v>1274</v>
      </c>
      <c r="M546" s="87">
        <v>600</v>
      </c>
      <c r="N546" s="76">
        <f>30</f>
        <v>30</v>
      </c>
      <c r="O546" s="79">
        <v>240</v>
      </c>
      <c r="P546" s="79">
        <v>160</v>
      </c>
      <c r="Q546" s="79">
        <f t="shared" si="84"/>
        <v>195</v>
      </c>
      <c r="R546" s="79">
        <f t="shared" si="85"/>
        <v>100</v>
      </c>
      <c r="S546" s="76">
        <f t="shared" si="86"/>
        <v>695</v>
      </c>
      <c r="T546" s="76">
        <f>0</f>
        <v>0</v>
      </c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</row>
    <row r="547" spans="1:30" ht="15.75" x14ac:dyDescent="0.25">
      <c r="A547" s="31">
        <v>57588</v>
      </c>
      <c r="B547" s="88">
        <v>31</v>
      </c>
      <c r="C547" s="76">
        <f>194.205</f>
        <v>194.20500000000001</v>
      </c>
      <c r="D547" s="76">
        <f>267.466</f>
        <v>267.46600000000001</v>
      </c>
      <c r="E547" s="85">
        <f>133.845</f>
        <v>133.845</v>
      </c>
      <c r="F547" s="76">
        <f>278.484-40-25-60-100</f>
        <v>53.48399999999998</v>
      </c>
      <c r="G547" s="79">
        <v>40</v>
      </c>
      <c r="H547" s="76">
        <f t="shared" si="88"/>
        <v>185</v>
      </c>
      <c r="I547" s="76">
        <f t="shared" si="80"/>
        <v>0</v>
      </c>
      <c r="J547" s="79">
        <v>100</v>
      </c>
      <c r="K547" s="79">
        <v>300</v>
      </c>
      <c r="L547" s="76">
        <f t="shared" si="83"/>
        <v>1274</v>
      </c>
      <c r="M547" s="87">
        <v>600</v>
      </c>
      <c r="N547" s="76">
        <f>30</f>
        <v>30</v>
      </c>
      <c r="O547" s="79">
        <v>240</v>
      </c>
      <c r="P547" s="79">
        <v>160</v>
      </c>
      <c r="Q547" s="79">
        <f t="shared" si="84"/>
        <v>195</v>
      </c>
      <c r="R547" s="79">
        <f t="shared" si="85"/>
        <v>100</v>
      </c>
      <c r="S547" s="76">
        <f t="shared" si="86"/>
        <v>695</v>
      </c>
      <c r="T547" s="76">
        <f>0</f>
        <v>0</v>
      </c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</row>
    <row r="548" spans="1:30" ht="15.75" x14ac:dyDescent="0.25">
      <c r="A548" s="31">
        <v>57618</v>
      </c>
      <c r="B548" s="88">
        <v>30</v>
      </c>
      <c r="C548" s="76">
        <f>194.205</f>
        <v>194.20500000000001</v>
      </c>
      <c r="D548" s="76">
        <f>267.466</f>
        <v>267.46600000000001</v>
      </c>
      <c r="E548" s="85">
        <f>133.845</f>
        <v>133.845</v>
      </c>
      <c r="F548" s="76">
        <f>278.484-40-25-60-100</f>
        <v>53.48399999999998</v>
      </c>
      <c r="G548" s="79">
        <v>40</v>
      </c>
      <c r="H548" s="76">
        <f t="shared" si="88"/>
        <v>185</v>
      </c>
      <c r="I548" s="76">
        <f t="shared" si="80"/>
        <v>0</v>
      </c>
      <c r="J548" s="79">
        <v>100</v>
      </c>
      <c r="K548" s="79">
        <v>300</v>
      </c>
      <c r="L548" s="76">
        <f t="shared" si="83"/>
        <v>1274</v>
      </c>
      <c r="M548" s="87">
        <v>600</v>
      </c>
      <c r="N548" s="76">
        <f>30</f>
        <v>30</v>
      </c>
      <c r="O548" s="79">
        <v>240</v>
      </c>
      <c r="P548" s="79">
        <v>160</v>
      </c>
      <c r="Q548" s="79">
        <f t="shared" si="84"/>
        <v>195</v>
      </c>
      <c r="R548" s="79">
        <f t="shared" si="85"/>
        <v>100</v>
      </c>
      <c r="S548" s="76">
        <f t="shared" si="86"/>
        <v>695</v>
      </c>
      <c r="T548" s="76">
        <f>0</f>
        <v>0</v>
      </c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</row>
    <row r="549" spans="1:30" ht="15.75" x14ac:dyDescent="0.25">
      <c r="A549" s="31">
        <v>57649</v>
      </c>
      <c r="B549" s="88">
        <v>31</v>
      </c>
      <c r="C549" s="76">
        <f>131.881</f>
        <v>131.881</v>
      </c>
      <c r="D549" s="76">
        <f>277.167</f>
        <v>277.16699999999997</v>
      </c>
      <c r="E549" s="85">
        <f>79.08</f>
        <v>79.08</v>
      </c>
      <c r="F549" s="76">
        <f>350.872-40-25-60-100</f>
        <v>125.87200000000001</v>
      </c>
      <c r="G549" s="79">
        <v>40</v>
      </c>
      <c r="H549" s="76">
        <f t="shared" si="88"/>
        <v>185</v>
      </c>
      <c r="I549" s="76">
        <f t="shared" si="80"/>
        <v>0</v>
      </c>
      <c r="J549" s="79">
        <v>100</v>
      </c>
      <c r="K549" s="79">
        <v>300</v>
      </c>
      <c r="L549" s="76">
        <f t="shared" si="83"/>
        <v>1239</v>
      </c>
      <c r="M549" s="87">
        <v>600</v>
      </c>
      <c r="N549" s="76">
        <f>75</f>
        <v>75</v>
      </c>
      <c r="O549" s="79">
        <v>240</v>
      </c>
      <c r="P549" s="79">
        <v>160</v>
      </c>
      <c r="Q549" s="79">
        <f t="shared" si="84"/>
        <v>195</v>
      </c>
      <c r="R549" s="79">
        <f t="shared" si="85"/>
        <v>100</v>
      </c>
      <c r="S549" s="76">
        <f t="shared" si="86"/>
        <v>695</v>
      </c>
      <c r="T549" s="76">
        <f>0</f>
        <v>0</v>
      </c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</row>
    <row r="550" spans="1:30" ht="15.75" x14ac:dyDescent="0.25">
      <c r="A550" s="31">
        <v>57679</v>
      </c>
      <c r="B550" s="88">
        <v>30</v>
      </c>
      <c r="C550" s="76">
        <f>122.58</f>
        <v>122.58</v>
      </c>
      <c r="D550" s="76">
        <f>297.941</f>
        <v>297.94099999999997</v>
      </c>
      <c r="E550" s="85">
        <f>89.177</f>
        <v>89.177000000000007</v>
      </c>
      <c r="F550" s="76">
        <f>240.302-40-60-100</f>
        <v>40.301999999999992</v>
      </c>
      <c r="G550" s="79">
        <v>40</v>
      </c>
      <c r="H550" s="76">
        <f>60+100</f>
        <v>160</v>
      </c>
      <c r="I550" s="76">
        <f t="shared" si="80"/>
        <v>0</v>
      </c>
      <c r="J550" s="79">
        <v>100</v>
      </c>
      <c r="K550" s="79">
        <v>300</v>
      </c>
      <c r="L550" s="76">
        <f t="shared" si="83"/>
        <v>1150</v>
      </c>
      <c r="M550" s="87">
        <v>600</v>
      </c>
      <c r="N550" s="76">
        <f>100</f>
        <v>100</v>
      </c>
      <c r="O550" s="79">
        <v>240</v>
      </c>
      <c r="P550" s="79">
        <v>40</v>
      </c>
      <c r="Q550" s="79">
        <f t="shared" si="84"/>
        <v>315</v>
      </c>
      <c r="R550" s="79">
        <f t="shared" si="85"/>
        <v>100</v>
      </c>
      <c r="S550" s="76">
        <f t="shared" si="86"/>
        <v>695</v>
      </c>
      <c r="T550" s="76">
        <f>50</f>
        <v>50</v>
      </c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</row>
    <row r="551" spans="1:30" ht="15.75" x14ac:dyDescent="0.25">
      <c r="A551" s="31">
        <v>57710</v>
      </c>
      <c r="B551" s="88">
        <v>31</v>
      </c>
      <c r="C551" s="76">
        <f>122.58</f>
        <v>122.58</v>
      </c>
      <c r="D551" s="76">
        <f>297.941</f>
        <v>297.94099999999997</v>
      </c>
      <c r="E551" s="85">
        <f>89.177</f>
        <v>89.177000000000007</v>
      </c>
      <c r="F551" s="76">
        <f>240.302-40-60-100</f>
        <v>40.301999999999992</v>
      </c>
      <c r="G551" s="79">
        <v>40</v>
      </c>
      <c r="H551" s="76">
        <f>60+100</f>
        <v>160</v>
      </c>
      <c r="I551" s="76">
        <f t="shared" si="80"/>
        <v>0</v>
      </c>
      <c r="J551" s="79">
        <v>100</v>
      </c>
      <c r="K551" s="79">
        <v>300</v>
      </c>
      <c r="L551" s="76">
        <f t="shared" si="83"/>
        <v>1150</v>
      </c>
      <c r="M551" s="87">
        <v>600</v>
      </c>
      <c r="N551" s="76">
        <f>100</f>
        <v>100</v>
      </c>
      <c r="O551" s="79">
        <v>240</v>
      </c>
      <c r="P551" s="79">
        <v>40</v>
      </c>
      <c r="Q551" s="79">
        <f t="shared" si="84"/>
        <v>315</v>
      </c>
      <c r="R551" s="79">
        <f t="shared" si="85"/>
        <v>100</v>
      </c>
      <c r="S551" s="76">
        <f t="shared" si="86"/>
        <v>695</v>
      </c>
      <c r="T551" s="76">
        <f>50</f>
        <v>50</v>
      </c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</row>
    <row r="552" spans="1:30" ht="15.75" x14ac:dyDescent="0.25">
      <c r="A552" s="31">
        <v>57741</v>
      </c>
      <c r="B552" s="88">
        <v>31</v>
      </c>
      <c r="C552" s="76">
        <f>122.58</f>
        <v>122.58</v>
      </c>
      <c r="D552" s="76">
        <f>297.941</f>
        <v>297.94099999999997</v>
      </c>
      <c r="E552" s="85">
        <f>89.177</f>
        <v>89.177000000000007</v>
      </c>
      <c r="F552" s="76">
        <f>240.302-40-60-100</f>
        <v>40.301999999999992</v>
      </c>
      <c r="G552" s="79">
        <v>40</v>
      </c>
      <c r="H552" s="76">
        <f>60+100</f>
        <v>160</v>
      </c>
      <c r="I552" s="76">
        <f t="shared" si="80"/>
        <v>0</v>
      </c>
      <c r="J552" s="79">
        <v>100</v>
      </c>
      <c r="K552" s="79">
        <v>300</v>
      </c>
      <c r="L552" s="76">
        <f t="shared" si="83"/>
        <v>1150</v>
      </c>
      <c r="M552" s="87">
        <v>600</v>
      </c>
      <c r="N552" s="76">
        <f>100</f>
        <v>100</v>
      </c>
      <c r="O552" s="79">
        <v>240</v>
      </c>
      <c r="P552" s="79">
        <v>40</v>
      </c>
      <c r="Q552" s="79">
        <f t="shared" si="84"/>
        <v>315</v>
      </c>
      <c r="R552" s="79">
        <f t="shared" si="85"/>
        <v>100</v>
      </c>
      <c r="S552" s="76">
        <f t="shared" si="86"/>
        <v>695</v>
      </c>
      <c r="T552" s="76">
        <f>50</f>
        <v>50</v>
      </c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</row>
    <row r="553" spans="1:30" ht="15.75" x14ac:dyDescent="0.25">
      <c r="A553" s="31">
        <v>57769</v>
      </c>
      <c r="B553" s="88">
        <v>28</v>
      </c>
      <c r="C553" s="76">
        <f>122.58</f>
        <v>122.58</v>
      </c>
      <c r="D553" s="76">
        <f>297.941</f>
        <v>297.94099999999997</v>
      </c>
      <c r="E553" s="85">
        <f>89.177</f>
        <v>89.177000000000007</v>
      </c>
      <c r="F553" s="76">
        <f>240.302-40-60-100</f>
        <v>40.301999999999992</v>
      </c>
      <c r="G553" s="79">
        <v>40</v>
      </c>
      <c r="H553" s="76">
        <f>60+100</f>
        <v>160</v>
      </c>
      <c r="I553" s="76">
        <f t="shared" si="80"/>
        <v>0</v>
      </c>
      <c r="J553" s="79">
        <v>100</v>
      </c>
      <c r="K553" s="79">
        <v>300</v>
      </c>
      <c r="L553" s="76">
        <f t="shared" si="83"/>
        <v>1150</v>
      </c>
      <c r="M553" s="87">
        <v>600</v>
      </c>
      <c r="N553" s="76">
        <f>100</f>
        <v>100</v>
      </c>
      <c r="O553" s="79">
        <v>240</v>
      </c>
      <c r="P553" s="79">
        <v>40</v>
      </c>
      <c r="Q553" s="79">
        <f t="shared" si="84"/>
        <v>315</v>
      </c>
      <c r="R553" s="79">
        <f t="shared" si="85"/>
        <v>100</v>
      </c>
      <c r="S553" s="76">
        <f t="shared" si="86"/>
        <v>695</v>
      </c>
      <c r="T553" s="76">
        <f>50</f>
        <v>50</v>
      </c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</row>
    <row r="554" spans="1:30" ht="15.75" x14ac:dyDescent="0.25">
      <c r="A554" s="31">
        <v>57800</v>
      </c>
      <c r="B554" s="88">
        <v>31</v>
      </c>
      <c r="C554" s="76">
        <f>122.58</f>
        <v>122.58</v>
      </c>
      <c r="D554" s="76">
        <f>297.941</f>
        <v>297.94099999999997</v>
      </c>
      <c r="E554" s="85">
        <f>89.177</f>
        <v>89.177000000000007</v>
      </c>
      <c r="F554" s="76">
        <f>240.302-40-60-100</f>
        <v>40.301999999999992</v>
      </c>
      <c r="G554" s="79">
        <v>40</v>
      </c>
      <c r="H554" s="76">
        <f>60+100</f>
        <v>160</v>
      </c>
      <c r="I554" s="76">
        <f t="shared" si="80"/>
        <v>0</v>
      </c>
      <c r="J554" s="79">
        <v>100</v>
      </c>
      <c r="K554" s="79">
        <v>300</v>
      </c>
      <c r="L554" s="76">
        <f t="shared" si="83"/>
        <v>1150</v>
      </c>
      <c r="M554" s="87">
        <v>600</v>
      </c>
      <c r="N554" s="76">
        <f>100</f>
        <v>100</v>
      </c>
      <c r="O554" s="79">
        <v>240</v>
      </c>
      <c r="P554" s="79">
        <v>40</v>
      </c>
      <c r="Q554" s="79">
        <f t="shared" si="84"/>
        <v>315</v>
      </c>
      <c r="R554" s="79">
        <f t="shared" si="85"/>
        <v>100</v>
      </c>
      <c r="S554" s="76">
        <f t="shared" si="86"/>
        <v>695</v>
      </c>
      <c r="T554" s="76">
        <f>50</f>
        <v>50</v>
      </c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</row>
    <row r="555" spans="1:30" ht="15.75" x14ac:dyDescent="0.25">
      <c r="A555" s="31">
        <v>57830</v>
      </c>
      <c r="B555" s="88">
        <v>30</v>
      </c>
      <c r="C555" s="76">
        <f>141.293</f>
        <v>141.29300000000001</v>
      </c>
      <c r="D555" s="76">
        <f>267.993</f>
        <v>267.99299999999999</v>
      </c>
      <c r="E555" s="85">
        <f>115.016</f>
        <v>115.01600000000001</v>
      </c>
      <c r="F555" s="76">
        <f>314.698-40-25-60-100</f>
        <v>89.697999999999979</v>
      </c>
      <c r="G555" s="79">
        <v>40</v>
      </c>
      <c r="H555" s="76">
        <f t="shared" ref="H555:H561" si="89">25+60+100</f>
        <v>185</v>
      </c>
      <c r="I555" s="76">
        <f t="shared" si="80"/>
        <v>0</v>
      </c>
      <c r="J555" s="79">
        <v>100</v>
      </c>
      <c r="K555" s="79">
        <v>300</v>
      </c>
      <c r="L555" s="76">
        <f t="shared" si="83"/>
        <v>1239</v>
      </c>
      <c r="M555" s="87">
        <v>600</v>
      </c>
      <c r="N555" s="76">
        <f>100</f>
        <v>100</v>
      </c>
      <c r="O555" s="79">
        <v>240</v>
      </c>
      <c r="P555" s="79">
        <v>160</v>
      </c>
      <c r="Q555" s="79">
        <f t="shared" si="84"/>
        <v>195</v>
      </c>
      <c r="R555" s="79">
        <f t="shared" si="85"/>
        <v>100</v>
      </c>
      <c r="S555" s="76">
        <f t="shared" si="86"/>
        <v>695</v>
      </c>
      <c r="T555" s="76">
        <f>50</f>
        <v>50</v>
      </c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</row>
    <row r="556" spans="1:30" ht="15.75" x14ac:dyDescent="0.25">
      <c r="A556" s="31">
        <v>57861</v>
      </c>
      <c r="B556" s="88">
        <v>31</v>
      </c>
      <c r="C556" s="76">
        <f>194.205</f>
        <v>194.20500000000001</v>
      </c>
      <c r="D556" s="76">
        <f>267.466</f>
        <v>267.46600000000001</v>
      </c>
      <c r="E556" s="85">
        <f>133.845</f>
        <v>133.845</v>
      </c>
      <c r="F556" s="76">
        <f>278.484-40-25-60-100</f>
        <v>53.48399999999998</v>
      </c>
      <c r="G556" s="79">
        <v>40</v>
      </c>
      <c r="H556" s="76">
        <f t="shared" si="89"/>
        <v>185</v>
      </c>
      <c r="I556" s="76">
        <f t="shared" si="80"/>
        <v>0</v>
      </c>
      <c r="J556" s="79">
        <v>100</v>
      </c>
      <c r="K556" s="79">
        <v>300</v>
      </c>
      <c r="L556" s="76">
        <f t="shared" si="83"/>
        <v>1274</v>
      </c>
      <c r="M556" s="87">
        <v>600</v>
      </c>
      <c r="N556" s="76">
        <f>75</f>
        <v>75</v>
      </c>
      <c r="O556" s="79">
        <v>240</v>
      </c>
      <c r="P556" s="79">
        <v>160</v>
      </c>
      <c r="Q556" s="79">
        <f t="shared" si="84"/>
        <v>195</v>
      </c>
      <c r="R556" s="79">
        <f t="shared" si="85"/>
        <v>100</v>
      </c>
      <c r="S556" s="76">
        <f t="shared" si="86"/>
        <v>695</v>
      </c>
      <c r="T556" s="76">
        <f>50</f>
        <v>50</v>
      </c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</row>
    <row r="557" spans="1:30" ht="15.75" x14ac:dyDescent="0.25">
      <c r="A557" s="31">
        <v>57891</v>
      </c>
      <c r="B557" s="88">
        <v>30</v>
      </c>
      <c r="C557" s="76">
        <f>194.205</f>
        <v>194.20500000000001</v>
      </c>
      <c r="D557" s="76">
        <f>267.466</f>
        <v>267.46600000000001</v>
      </c>
      <c r="E557" s="85">
        <f>133.845</f>
        <v>133.845</v>
      </c>
      <c r="F557" s="76">
        <f>278.484-40-25-60-100</f>
        <v>53.48399999999998</v>
      </c>
      <c r="G557" s="79">
        <v>40</v>
      </c>
      <c r="H557" s="76">
        <f t="shared" si="89"/>
        <v>185</v>
      </c>
      <c r="I557" s="76">
        <f t="shared" si="80"/>
        <v>0</v>
      </c>
      <c r="J557" s="79">
        <v>100</v>
      </c>
      <c r="K557" s="79">
        <v>300</v>
      </c>
      <c r="L557" s="76">
        <f t="shared" si="83"/>
        <v>1274</v>
      </c>
      <c r="M557" s="87">
        <v>600</v>
      </c>
      <c r="N557" s="76">
        <f>30</f>
        <v>30</v>
      </c>
      <c r="O557" s="79">
        <v>240</v>
      </c>
      <c r="P557" s="79">
        <v>160</v>
      </c>
      <c r="Q557" s="79">
        <f t="shared" si="84"/>
        <v>195</v>
      </c>
      <c r="R557" s="79">
        <f t="shared" si="85"/>
        <v>100</v>
      </c>
      <c r="S557" s="76">
        <f t="shared" si="86"/>
        <v>695</v>
      </c>
      <c r="T557" s="76">
        <f>50</f>
        <v>50</v>
      </c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</row>
    <row r="558" spans="1:30" ht="15.75" x14ac:dyDescent="0.25">
      <c r="A558" s="31">
        <v>57922</v>
      </c>
      <c r="B558" s="88">
        <v>31</v>
      </c>
      <c r="C558" s="76">
        <f>194.205</f>
        <v>194.20500000000001</v>
      </c>
      <c r="D558" s="76">
        <f>267.466</f>
        <v>267.46600000000001</v>
      </c>
      <c r="E558" s="85">
        <f>133.845</f>
        <v>133.845</v>
      </c>
      <c r="F558" s="76">
        <f>278.484-40-25-60-100</f>
        <v>53.48399999999998</v>
      </c>
      <c r="G558" s="79">
        <v>40</v>
      </c>
      <c r="H558" s="76">
        <f t="shared" si="89"/>
        <v>185</v>
      </c>
      <c r="I558" s="76">
        <f t="shared" si="80"/>
        <v>0</v>
      </c>
      <c r="J558" s="79">
        <v>100</v>
      </c>
      <c r="K558" s="79">
        <v>300</v>
      </c>
      <c r="L558" s="76">
        <f t="shared" si="83"/>
        <v>1274</v>
      </c>
      <c r="M558" s="87">
        <v>600</v>
      </c>
      <c r="N558" s="76">
        <f>30</f>
        <v>30</v>
      </c>
      <c r="O558" s="79">
        <v>240</v>
      </c>
      <c r="P558" s="79">
        <v>160</v>
      </c>
      <c r="Q558" s="79">
        <f t="shared" si="84"/>
        <v>195</v>
      </c>
      <c r="R558" s="79">
        <f t="shared" si="85"/>
        <v>100</v>
      </c>
      <c r="S558" s="76">
        <f t="shared" si="86"/>
        <v>695</v>
      </c>
      <c r="T558" s="76">
        <f>0</f>
        <v>0</v>
      </c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</row>
    <row r="559" spans="1:30" ht="15.75" x14ac:dyDescent="0.25">
      <c r="A559" s="31">
        <v>57953</v>
      </c>
      <c r="B559" s="88">
        <v>31</v>
      </c>
      <c r="C559" s="76">
        <f>194.205</f>
        <v>194.20500000000001</v>
      </c>
      <c r="D559" s="76">
        <f>267.466</f>
        <v>267.46600000000001</v>
      </c>
      <c r="E559" s="85">
        <f>133.845</f>
        <v>133.845</v>
      </c>
      <c r="F559" s="76">
        <f>278.484-40-25-60-100</f>
        <v>53.48399999999998</v>
      </c>
      <c r="G559" s="79">
        <v>40</v>
      </c>
      <c r="H559" s="76">
        <f t="shared" si="89"/>
        <v>185</v>
      </c>
      <c r="I559" s="76">
        <f t="shared" si="80"/>
        <v>0</v>
      </c>
      <c r="J559" s="79">
        <v>100</v>
      </c>
      <c r="K559" s="79">
        <v>300</v>
      </c>
      <c r="L559" s="76">
        <f t="shared" si="83"/>
        <v>1274</v>
      </c>
      <c r="M559" s="87">
        <v>600</v>
      </c>
      <c r="N559" s="76">
        <f>30</f>
        <v>30</v>
      </c>
      <c r="O559" s="79">
        <v>240</v>
      </c>
      <c r="P559" s="79">
        <v>160</v>
      </c>
      <c r="Q559" s="79">
        <f t="shared" si="84"/>
        <v>195</v>
      </c>
      <c r="R559" s="79">
        <f t="shared" si="85"/>
        <v>100</v>
      </c>
      <c r="S559" s="76">
        <f t="shared" si="86"/>
        <v>695</v>
      </c>
      <c r="T559" s="76">
        <f>0</f>
        <v>0</v>
      </c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</row>
    <row r="560" spans="1:30" ht="15.75" x14ac:dyDescent="0.25">
      <c r="A560" s="31">
        <v>57983</v>
      </c>
      <c r="B560" s="88">
        <v>30</v>
      </c>
      <c r="C560" s="76">
        <f>194.205</f>
        <v>194.20500000000001</v>
      </c>
      <c r="D560" s="76">
        <f>267.466</f>
        <v>267.46600000000001</v>
      </c>
      <c r="E560" s="85">
        <f>133.845</f>
        <v>133.845</v>
      </c>
      <c r="F560" s="76">
        <f>278.484-40-25-60-100</f>
        <v>53.48399999999998</v>
      </c>
      <c r="G560" s="79">
        <v>40</v>
      </c>
      <c r="H560" s="76">
        <f t="shared" si="89"/>
        <v>185</v>
      </c>
      <c r="I560" s="76">
        <f t="shared" si="80"/>
        <v>0</v>
      </c>
      <c r="J560" s="79">
        <v>100</v>
      </c>
      <c r="K560" s="79">
        <v>300</v>
      </c>
      <c r="L560" s="76">
        <f t="shared" si="83"/>
        <v>1274</v>
      </c>
      <c r="M560" s="87">
        <v>600</v>
      </c>
      <c r="N560" s="76">
        <f>30</f>
        <v>30</v>
      </c>
      <c r="O560" s="79">
        <v>240</v>
      </c>
      <c r="P560" s="79">
        <v>160</v>
      </c>
      <c r="Q560" s="79">
        <f t="shared" si="84"/>
        <v>195</v>
      </c>
      <c r="R560" s="79">
        <f t="shared" si="85"/>
        <v>100</v>
      </c>
      <c r="S560" s="76">
        <f t="shared" si="86"/>
        <v>695</v>
      </c>
      <c r="T560" s="76">
        <f>0</f>
        <v>0</v>
      </c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</row>
    <row r="561" spans="1:30" ht="15.75" x14ac:dyDescent="0.25">
      <c r="A561" s="31">
        <v>58014</v>
      </c>
      <c r="B561" s="88">
        <v>31</v>
      </c>
      <c r="C561" s="76">
        <f>131.881</f>
        <v>131.881</v>
      </c>
      <c r="D561" s="76">
        <f>277.167</f>
        <v>277.16699999999997</v>
      </c>
      <c r="E561" s="85">
        <f>79.08</f>
        <v>79.08</v>
      </c>
      <c r="F561" s="76">
        <f>350.872-40-25-60-100</f>
        <v>125.87200000000001</v>
      </c>
      <c r="G561" s="79">
        <v>40</v>
      </c>
      <c r="H561" s="76">
        <f t="shared" si="89"/>
        <v>185</v>
      </c>
      <c r="I561" s="76">
        <f t="shared" si="80"/>
        <v>0</v>
      </c>
      <c r="J561" s="79">
        <v>100</v>
      </c>
      <c r="K561" s="79">
        <v>300</v>
      </c>
      <c r="L561" s="76">
        <f t="shared" si="83"/>
        <v>1239</v>
      </c>
      <c r="M561" s="87">
        <v>600</v>
      </c>
      <c r="N561" s="76">
        <f>75</f>
        <v>75</v>
      </c>
      <c r="O561" s="79">
        <v>240</v>
      </c>
      <c r="P561" s="79">
        <v>160</v>
      </c>
      <c r="Q561" s="79">
        <f t="shared" si="84"/>
        <v>195</v>
      </c>
      <c r="R561" s="79">
        <f t="shared" si="85"/>
        <v>100</v>
      </c>
      <c r="S561" s="76">
        <f t="shared" si="86"/>
        <v>695</v>
      </c>
      <c r="T561" s="76">
        <f>0</f>
        <v>0</v>
      </c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</row>
    <row r="562" spans="1:30" ht="15.75" x14ac:dyDescent="0.25">
      <c r="A562" s="31">
        <v>58044</v>
      </c>
      <c r="B562" s="88">
        <v>30</v>
      </c>
      <c r="C562" s="76">
        <f>122.58</f>
        <v>122.58</v>
      </c>
      <c r="D562" s="76">
        <f>297.941</f>
        <v>297.94099999999997</v>
      </c>
      <c r="E562" s="85">
        <f>89.177</f>
        <v>89.177000000000007</v>
      </c>
      <c r="F562" s="76">
        <f>240.302-40-60-100</f>
        <v>40.301999999999992</v>
      </c>
      <c r="G562" s="79">
        <v>40</v>
      </c>
      <c r="H562" s="76">
        <f>60+100</f>
        <v>160</v>
      </c>
      <c r="I562" s="76">
        <f t="shared" si="80"/>
        <v>0</v>
      </c>
      <c r="J562" s="79">
        <v>100</v>
      </c>
      <c r="K562" s="79">
        <v>300</v>
      </c>
      <c r="L562" s="76">
        <f t="shared" si="83"/>
        <v>1150</v>
      </c>
      <c r="M562" s="87">
        <v>600</v>
      </c>
      <c r="N562" s="76">
        <f>100</f>
        <v>100</v>
      </c>
      <c r="O562" s="79">
        <v>240</v>
      </c>
      <c r="P562" s="79">
        <v>40</v>
      </c>
      <c r="Q562" s="79">
        <f t="shared" si="84"/>
        <v>315</v>
      </c>
      <c r="R562" s="79">
        <f t="shared" si="85"/>
        <v>100</v>
      </c>
      <c r="S562" s="76">
        <f t="shared" si="86"/>
        <v>695</v>
      </c>
      <c r="T562" s="76">
        <f>50</f>
        <v>50</v>
      </c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</row>
    <row r="563" spans="1:30" ht="15.75" x14ac:dyDescent="0.25">
      <c r="A563" s="31">
        <v>58075</v>
      </c>
      <c r="B563" s="88">
        <v>31</v>
      </c>
      <c r="C563" s="76">
        <f>122.58</f>
        <v>122.58</v>
      </c>
      <c r="D563" s="76">
        <f>297.941</f>
        <v>297.94099999999997</v>
      </c>
      <c r="E563" s="85">
        <f>89.177</f>
        <v>89.177000000000007</v>
      </c>
      <c r="F563" s="76">
        <f>240.302-40-60-100</f>
        <v>40.301999999999992</v>
      </c>
      <c r="G563" s="79">
        <v>40</v>
      </c>
      <c r="H563" s="76">
        <f>60+100</f>
        <v>160</v>
      </c>
      <c r="I563" s="76">
        <f t="shared" si="80"/>
        <v>0</v>
      </c>
      <c r="J563" s="79">
        <v>100</v>
      </c>
      <c r="K563" s="79">
        <v>300</v>
      </c>
      <c r="L563" s="76">
        <f t="shared" si="83"/>
        <v>1150</v>
      </c>
      <c r="M563" s="87">
        <v>600</v>
      </c>
      <c r="N563" s="76">
        <f>100</f>
        <v>100</v>
      </c>
      <c r="O563" s="79">
        <v>240</v>
      </c>
      <c r="P563" s="79">
        <v>40</v>
      </c>
      <c r="Q563" s="79">
        <f t="shared" si="84"/>
        <v>315</v>
      </c>
      <c r="R563" s="79">
        <f t="shared" si="85"/>
        <v>100</v>
      </c>
      <c r="S563" s="76">
        <f t="shared" si="86"/>
        <v>695</v>
      </c>
      <c r="T563" s="76">
        <f>50</f>
        <v>50</v>
      </c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</row>
    <row r="564" spans="1:30" ht="15.75" x14ac:dyDescent="0.25">
      <c r="A564" s="31">
        <v>58106</v>
      </c>
      <c r="B564" s="88">
        <v>31</v>
      </c>
      <c r="C564" s="76">
        <f>122.58</f>
        <v>122.58</v>
      </c>
      <c r="D564" s="76">
        <f>297.941</f>
        <v>297.94099999999997</v>
      </c>
      <c r="E564" s="85">
        <f>89.177</f>
        <v>89.177000000000007</v>
      </c>
      <c r="F564" s="76">
        <f>240.302-40-60-100</f>
        <v>40.301999999999992</v>
      </c>
      <c r="G564" s="79">
        <v>40</v>
      </c>
      <c r="H564" s="76">
        <f>60+100</f>
        <v>160</v>
      </c>
      <c r="I564" s="76">
        <f t="shared" ref="I564:I627" si="90">400-J564-K564</f>
        <v>0</v>
      </c>
      <c r="J564" s="79">
        <v>100</v>
      </c>
      <c r="K564" s="79">
        <v>300</v>
      </c>
      <c r="L564" s="76">
        <f t="shared" si="83"/>
        <v>1150</v>
      </c>
      <c r="M564" s="87">
        <v>600</v>
      </c>
      <c r="N564" s="76">
        <f>100</f>
        <v>100</v>
      </c>
      <c r="O564" s="79">
        <v>240</v>
      </c>
      <c r="P564" s="79">
        <v>40</v>
      </c>
      <c r="Q564" s="79">
        <f t="shared" si="84"/>
        <v>315</v>
      </c>
      <c r="R564" s="79">
        <f t="shared" si="85"/>
        <v>100</v>
      </c>
      <c r="S564" s="76">
        <f t="shared" si="86"/>
        <v>695</v>
      </c>
      <c r="T564" s="76">
        <f>50</f>
        <v>50</v>
      </c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</row>
    <row r="565" spans="1:30" ht="15.75" x14ac:dyDescent="0.25">
      <c r="A565" s="31">
        <v>58134</v>
      </c>
      <c r="B565" s="88">
        <v>28</v>
      </c>
      <c r="C565" s="76">
        <f>122.58</f>
        <v>122.58</v>
      </c>
      <c r="D565" s="76">
        <f>297.941</f>
        <v>297.94099999999997</v>
      </c>
      <c r="E565" s="85">
        <f>89.177</f>
        <v>89.177000000000007</v>
      </c>
      <c r="F565" s="76">
        <f>240.302-40-60-100</f>
        <v>40.301999999999992</v>
      </c>
      <c r="G565" s="79">
        <v>40</v>
      </c>
      <c r="H565" s="76">
        <f>60+100</f>
        <v>160</v>
      </c>
      <c r="I565" s="76">
        <f t="shared" si="90"/>
        <v>0</v>
      </c>
      <c r="J565" s="79">
        <v>100</v>
      </c>
      <c r="K565" s="79">
        <v>300</v>
      </c>
      <c r="L565" s="76">
        <f t="shared" si="83"/>
        <v>1150</v>
      </c>
      <c r="M565" s="87">
        <v>600</v>
      </c>
      <c r="N565" s="76">
        <f>100</f>
        <v>100</v>
      </c>
      <c r="O565" s="79">
        <v>240</v>
      </c>
      <c r="P565" s="79">
        <v>40</v>
      </c>
      <c r="Q565" s="79">
        <f t="shared" si="84"/>
        <v>315</v>
      </c>
      <c r="R565" s="79">
        <f t="shared" si="85"/>
        <v>100</v>
      </c>
      <c r="S565" s="76">
        <f t="shared" si="86"/>
        <v>695</v>
      </c>
      <c r="T565" s="76">
        <f>50</f>
        <v>50</v>
      </c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</row>
    <row r="566" spans="1:30" ht="15.75" x14ac:dyDescent="0.25">
      <c r="A566" s="31">
        <v>58165</v>
      </c>
      <c r="B566" s="88">
        <v>31</v>
      </c>
      <c r="C566" s="76">
        <f>122.58</f>
        <v>122.58</v>
      </c>
      <c r="D566" s="76">
        <f>297.941</f>
        <v>297.94099999999997</v>
      </c>
      <c r="E566" s="85">
        <f>89.177</f>
        <v>89.177000000000007</v>
      </c>
      <c r="F566" s="76">
        <f>240.302-40-60-100</f>
        <v>40.301999999999992</v>
      </c>
      <c r="G566" s="79">
        <v>40</v>
      </c>
      <c r="H566" s="76">
        <f>60+100</f>
        <v>160</v>
      </c>
      <c r="I566" s="76">
        <f t="shared" si="90"/>
        <v>0</v>
      </c>
      <c r="J566" s="79">
        <v>100</v>
      </c>
      <c r="K566" s="79">
        <v>300</v>
      </c>
      <c r="L566" s="76">
        <f t="shared" si="83"/>
        <v>1150</v>
      </c>
      <c r="M566" s="87">
        <v>600</v>
      </c>
      <c r="N566" s="76">
        <f>100</f>
        <v>100</v>
      </c>
      <c r="O566" s="79">
        <v>240</v>
      </c>
      <c r="P566" s="79">
        <v>40</v>
      </c>
      <c r="Q566" s="79">
        <f t="shared" si="84"/>
        <v>315</v>
      </c>
      <c r="R566" s="79">
        <f t="shared" si="85"/>
        <v>100</v>
      </c>
      <c r="S566" s="76">
        <f t="shared" si="86"/>
        <v>695</v>
      </c>
      <c r="T566" s="76">
        <f>50</f>
        <v>50</v>
      </c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</row>
    <row r="567" spans="1:30" ht="15.75" x14ac:dyDescent="0.25">
      <c r="A567" s="31">
        <v>58195</v>
      </c>
      <c r="B567" s="88">
        <v>30</v>
      </c>
      <c r="C567" s="76">
        <f>141.293</f>
        <v>141.29300000000001</v>
      </c>
      <c r="D567" s="76">
        <f>267.993</f>
        <v>267.99299999999999</v>
      </c>
      <c r="E567" s="85">
        <f>115.016</f>
        <v>115.01600000000001</v>
      </c>
      <c r="F567" s="76">
        <f>314.698-40-25-60-100</f>
        <v>89.697999999999979</v>
      </c>
      <c r="G567" s="79">
        <v>40</v>
      </c>
      <c r="H567" s="76">
        <f t="shared" ref="H567:H573" si="91">25+60+100</f>
        <v>185</v>
      </c>
      <c r="I567" s="76">
        <f t="shared" si="90"/>
        <v>0</v>
      </c>
      <c r="J567" s="79">
        <v>100</v>
      </c>
      <c r="K567" s="79">
        <v>300</v>
      </c>
      <c r="L567" s="76">
        <f t="shared" si="83"/>
        <v>1239</v>
      </c>
      <c r="M567" s="87">
        <v>600</v>
      </c>
      <c r="N567" s="76">
        <f>100</f>
        <v>100</v>
      </c>
      <c r="O567" s="79">
        <v>240</v>
      </c>
      <c r="P567" s="79">
        <v>160</v>
      </c>
      <c r="Q567" s="79">
        <f t="shared" si="84"/>
        <v>195</v>
      </c>
      <c r="R567" s="79">
        <f t="shared" si="85"/>
        <v>100</v>
      </c>
      <c r="S567" s="76">
        <f t="shared" si="86"/>
        <v>695</v>
      </c>
      <c r="T567" s="76">
        <f>50</f>
        <v>50</v>
      </c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</row>
    <row r="568" spans="1:30" ht="15.75" x14ac:dyDescent="0.25">
      <c r="A568" s="31">
        <v>58226</v>
      </c>
      <c r="B568" s="88">
        <v>31</v>
      </c>
      <c r="C568" s="76">
        <f>194.205</f>
        <v>194.20500000000001</v>
      </c>
      <c r="D568" s="76">
        <f>267.466</f>
        <v>267.46600000000001</v>
      </c>
      <c r="E568" s="85">
        <f>133.845</f>
        <v>133.845</v>
      </c>
      <c r="F568" s="76">
        <f>278.484-40-25-60-100</f>
        <v>53.48399999999998</v>
      </c>
      <c r="G568" s="79">
        <v>40</v>
      </c>
      <c r="H568" s="76">
        <f t="shared" si="91"/>
        <v>185</v>
      </c>
      <c r="I568" s="76">
        <f t="shared" si="90"/>
        <v>0</v>
      </c>
      <c r="J568" s="79">
        <v>100</v>
      </c>
      <c r="K568" s="79">
        <v>300</v>
      </c>
      <c r="L568" s="76">
        <f t="shared" si="83"/>
        <v>1274</v>
      </c>
      <c r="M568" s="87">
        <v>600</v>
      </c>
      <c r="N568" s="76">
        <f>75</f>
        <v>75</v>
      </c>
      <c r="O568" s="79">
        <v>240</v>
      </c>
      <c r="P568" s="79">
        <v>160</v>
      </c>
      <c r="Q568" s="79">
        <f t="shared" si="84"/>
        <v>195</v>
      </c>
      <c r="R568" s="79">
        <f t="shared" si="85"/>
        <v>100</v>
      </c>
      <c r="S568" s="76">
        <f t="shared" si="86"/>
        <v>695</v>
      </c>
      <c r="T568" s="76">
        <f>50</f>
        <v>50</v>
      </c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</row>
    <row r="569" spans="1:30" ht="15.75" x14ac:dyDescent="0.25">
      <c r="A569" s="31">
        <v>58256</v>
      </c>
      <c r="B569" s="88">
        <v>30</v>
      </c>
      <c r="C569" s="76">
        <f>194.205</f>
        <v>194.20500000000001</v>
      </c>
      <c r="D569" s="76">
        <f>267.466</f>
        <v>267.46600000000001</v>
      </c>
      <c r="E569" s="85">
        <f>133.845</f>
        <v>133.845</v>
      </c>
      <c r="F569" s="76">
        <f>278.484-40-25-60-100</f>
        <v>53.48399999999998</v>
      </c>
      <c r="G569" s="79">
        <v>40</v>
      </c>
      <c r="H569" s="76">
        <f t="shared" si="91"/>
        <v>185</v>
      </c>
      <c r="I569" s="76">
        <f t="shared" si="90"/>
        <v>0</v>
      </c>
      <c r="J569" s="79">
        <v>100</v>
      </c>
      <c r="K569" s="79">
        <v>300</v>
      </c>
      <c r="L569" s="76">
        <f t="shared" si="83"/>
        <v>1274</v>
      </c>
      <c r="M569" s="87">
        <v>600</v>
      </c>
      <c r="N569" s="76">
        <f>30</f>
        <v>30</v>
      </c>
      <c r="O569" s="79">
        <v>240</v>
      </c>
      <c r="P569" s="79">
        <v>160</v>
      </c>
      <c r="Q569" s="79">
        <f t="shared" si="84"/>
        <v>195</v>
      </c>
      <c r="R569" s="79">
        <f t="shared" si="85"/>
        <v>100</v>
      </c>
      <c r="S569" s="76">
        <f t="shared" si="86"/>
        <v>695</v>
      </c>
      <c r="T569" s="76">
        <f>50</f>
        <v>50</v>
      </c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</row>
    <row r="570" spans="1:30" ht="15.75" x14ac:dyDescent="0.25">
      <c r="A570" s="31">
        <v>58287</v>
      </c>
      <c r="B570" s="88">
        <v>31</v>
      </c>
      <c r="C570" s="76">
        <f>194.205</f>
        <v>194.20500000000001</v>
      </c>
      <c r="D570" s="76">
        <f>267.466</f>
        <v>267.46600000000001</v>
      </c>
      <c r="E570" s="85">
        <f>133.845</f>
        <v>133.845</v>
      </c>
      <c r="F570" s="76">
        <f>278.484-40-25-60-100</f>
        <v>53.48399999999998</v>
      </c>
      <c r="G570" s="79">
        <v>40</v>
      </c>
      <c r="H570" s="76">
        <f t="shared" si="91"/>
        <v>185</v>
      </c>
      <c r="I570" s="76">
        <f t="shared" si="90"/>
        <v>0</v>
      </c>
      <c r="J570" s="79">
        <v>100</v>
      </c>
      <c r="K570" s="79">
        <v>300</v>
      </c>
      <c r="L570" s="76">
        <f t="shared" si="83"/>
        <v>1274</v>
      </c>
      <c r="M570" s="87">
        <v>600</v>
      </c>
      <c r="N570" s="76">
        <f>30</f>
        <v>30</v>
      </c>
      <c r="O570" s="79">
        <v>240</v>
      </c>
      <c r="P570" s="79">
        <v>160</v>
      </c>
      <c r="Q570" s="79">
        <f t="shared" si="84"/>
        <v>195</v>
      </c>
      <c r="R570" s="79">
        <f t="shared" si="85"/>
        <v>100</v>
      </c>
      <c r="S570" s="76">
        <f t="shared" si="86"/>
        <v>695</v>
      </c>
      <c r="T570" s="76">
        <f>0</f>
        <v>0</v>
      </c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</row>
    <row r="571" spans="1:30" ht="15.75" x14ac:dyDescent="0.25">
      <c r="A571" s="31">
        <v>58318</v>
      </c>
      <c r="B571" s="88">
        <v>31</v>
      </c>
      <c r="C571" s="76">
        <f>194.205</f>
        <v>194.20500000000001</v>
      </c>
      <c r="D571" s="76">
        <f>267.466</f>
        <v>267.46600000000001</v>
      </c>
      <c r="E571" s="85">
        <f>133.845</f>
        <v>133.845</v>
      </c>
      <c r="F571" s="76">
        <f>278.484-40-25-60-100</f>
        <v>53.48399999999998</v>
      </c>
      <c r="G571" s="79">
        <v>40</v>
      </c>
      <c r="H571" s="76">
        <f t="shared" si="91"/>
        <v>185</v>
      </c>
      <c r="I571" s="76">
        <f t="shared" si="90"/>
        <v>0</v>
      </c>
      <c r="J571" s="79">
        <v>100</v>
      </c>
      <c r="K571" s="79">
        <v>300</v>
      </c>
      <c r="L571" s="76">
        <f t="shared" si="83"/>
        <v>1274</v>
      </c>
      <c r="M571" s="87">
        <v>600</v>
      </c>
      <c r="N571" s="76">
        <f>30</f>
        <v>30</v>
      </c>
      <c r="O571" s="79">
        <v>240</v>
      </c>
      <c r="P571" s="79">
        <v>160</v>
      </c>
      <c r="Q571" s="79">
        <f t="shared" si="84"/>
        <v>195</v>
      </c>
      <c r="R571" s="79">
        <f t="shared" si="85"/>
        <v>100</v>
      </c>
      <c r="S571" s="76">
        <f t="shared" si="86"/>
        <v>695</v>
      </c>
      <c r="T571" s="76">
        <f>0</f>
        <v>0</v>
      </c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</row>
    <row r="572" spans="1:30" ht="15.75" x14ac:dyDescent="0.25">
      <c r="A572" s="31">
        <v>58348</v>
      </c>
      <c r="B572" s="88">
        <v>30</v>
      </c>
      <c r="C572" s="76">
        <f>194.205</f>
        <v>194.20500000000001</v>
      </c>
      <c r="D572" s="76">
        <f>267.466</f>
        <v>267.46600000000001</v>
      </c>
      <c r="E572" s="85">
        <f>133.845</f>
        <v>133.845</v>
      </c>
      <c r="F572" s="76">
        <f>278.484-40-25-60-100</f>
        <v>53.48399999999998</v>
      </c>
      <c r="G572" s="79">
        <v>40</v>
      </c>
      <c r="H572" s="76">
        <f t="shared" si="91"/>
        <v>185</v>
      </c>
      <c r="I572" s="76">
        <f t="shared" si="90"/>
        <v>0</v>
      </c>
      <c r="J572" s="79">
        <v>100</v>
      </c>
      <c r="K572" s="79">
        <v>300</v>
      </c>
      <c r="L572" s="76">
        <f t="shared" si="83"/>
        <v>1274</v>
      </c>
      <c r="M572" s="87">
        <v>600</v>
      </c>
      <c r="N572" s="76">
        <f>30</f>
        <v>30</v>
      </c>
      <c r="O572" s="79">
        <v>240</v>
      </c>
      <c r="P572" s="79">
        <v>160</v>
      </c>
      <c r="Q572" s="79">
        <f t="shared" si="84"/>
        <v>195</v>
      </c>
      <c r="R572" s="79">
        <f t="shared" si="85"/>
        <v>100</v>
      </c>
      <c r="S572" s="76">
        <f t="shared" si="86"/>
        <v>695</v>
      </c>
      <c r="T572" s="76">
        <f>0</f>
        <v>0</v>
      </c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</row>
    <row r="573" spans="1:30" ht="15.75" x14ac:dyDescent="0.25">
      <c r="A573" s="31">
        <v>58379</v>
      </c>
      <c r="B573" s="88">
        <v>31</v>
      </c>
      <c r="C573" s="76">
        <f>131.881</f>
        <v>131.881</v>
      </c>
      <c r="D573" s="76">
        <f>277.167</f>
        <v>277.16699999999997</v>
      </c>
      <c r="E573" s="85">
        <f>79.08</f>
        <v>79.08</v>
      </c>
      <c r="F573" s="76">
        <f>350.872-40-25-60-100</f>
        <v>125.87200000000001</v>
      </c>
      <c r="G573" s="79">
        <v>40</v>
      </c>
      <c r="H573" s="76">
        <f t="shared" si="91"/>
        <v>185</v>
      </c>
      <c r="I573" s="76">
        <f t="shared" si="90"/>
        <v>0</v>
      </c>
      <c r="J573" s="79">
        <v>100</v>
      </c>
      <c r="K573" s="79">
        <v>300</v>
      </c>
      <c r="L573" s="76">
        <f t="shared" si="83"/>
        <v>1239</v>
      </c>
      <c r="M573" s="87">
        <v>600</v>
      </c>
      <c r="N573" s="76">
        <f>75</f>
        <v>75</v>
      </c>
      <c r="O573" s="79">
        <v>240</v>
      </c>
      <c r="P573" s="79">
        <v>160</v>
      </c>
      <c r="Q573" s="79">
        <f t="shared" si="84"/>
        <v>195</v>
      </c>
      <c r="R573" s="79">
        <f t="shared" si="85"/>
        <v>100</v>
      </c>
      <c r="S573" s="76">
        <f t="shared" si="86"/>
        <v>695</v>
      </c>
      <c r="T573" s="76">
        <f>0</f>
        <v>0</v>
      </c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</row>
    <row r="574" spans="1:30" ht="15.75" x14ac:dyDescent="0.25">
      <c r="A574" s="31">
        <v>58409</v>
      </c>
      <c r="B574" s="88">
        <v>30</v>
      </c>
      <c r="C574" s="76">
        <f>122.58</f>
        <v>122.58</v>
      </c>
      <c r="D574" s="76">
        <f>297.941</f>
        <v>297.94099999999997</v>
      </c>
      <c r="E574" s="85">
        <f>89.177</f>
        <v>89.177000000000007</v>
      </c>
      <c r="F574" s="76">
        <f>240.302-40-60-100</f>
        <v>40.301999999999992</v>
      </c>
      <c r="G574" s="79">
        <v>40</v>
      </c>
      <c r="H574" s="76">
        <f>60+100</f>
        <v>160</v>
      </c>
      <c r="I574" s="76">
        <f t="shared" si="90"/>
        <v>0</v>
      </c>
      <c r="J574" s="79">
        <v>100</v>
      </c>
      <c r="K574" s="79">
        <v>300</v>
      </c>
      <c r="L574" s="76">
        <f t="shared" si="83"/>
        <v>1150</v>
      </c>
      <c r="M574" s="87">
        <v>600</v>
      </c>
      <c r="N574" s="76">
        <f>100</f>
        <v>100</v>
      </c>
      <c r="O574" s="79">
        <v>240</v>
      </c>
      <c r="P574" s="79">
        <v>40</v>
      </c>
      <c r="Q574" s="79">
        <f t="shared" si="84"/>
        <v>315</v>
      </c>
      <c r="R574" s="79">
        <f t="shared" si="85"/>
        <v>100</v>
      </c>
      <c r="S574" s="76">
        <f t="shared" si="86"/>
        <v>695</v>
      </c>
      <c r="T574" s="76">
        <f>50</f>
        <v>50</v>
      </c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</row>
    <row r="575" spans="1:30" ht="15.75" x14ac:dyDescent="0.25">
      <c r="A575" s="31">
        <v>58440</v>
      </c>
      <c r="B575" s="88">
        <v>31</v>
      </c>
      <c r="C575" s="76">
        <f>122.58</f>
        <v>122.58</v>
      </c>
      <c r="D575" s="76">
        <f>297.941</f>
        <v>297.94099999999997</v>
      </c>
      <c r="E575" s="85">
        <f>89.177</f>
        <v>89.177000000000007</v>
      </c>
      <c r="F575" s="76">
        <f>240.302-40-60-100</f>
        <v>40.301999999999992</v>
      </c>
      <c r="G575" s="79">
        <v>40</v>
      </c>
      <c r="H575" s="76">
        <f>60+100</f>
        <v>160</v>
      </c>
      <c r="I575" s="76">
        <f t="shared" si="90"/>
        <v>0</v>
      </c>
      <c r="J575" s="79">
        <v>100</v>
      </c>
      <c r="K575" s="79">
        <v>300</v>
      </c>
      <c r="L575" s="76">
        <f t="shared" si="83"/>
        <v>1150</v>
      </c>
      <c r="M575" s="87">
        <v>600</v>
      </c>
      <c r="N575" s="76">
        <f>100</f>
        <v>100</v>
      </c>
      <c r="O575" s="79">
        <v>240</v>
      </c>
      <c r="P575" s="79">
        <v>40</v>
      </c>
      <c r="Q575" s="79">
        <f t="shared" si="84"/>
        <v>315</v>
      </c>
      <c r="R575" s="79">
        <f t="shared" si="85"/>
        <v>100</v>
      </c>
      <c r="S575" s="76">
        <f t="shared" si="86"/>
        <v>695</v>
      </c>
      <c r="T575" s="76">
        <f>50</f>
        <v>50</v>
      </c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</row>
    <row r="576" spans="1:30" ht="15.75" x14ac:dyDescent="0.25">
      <c r="A576" s="31">
        <v>58471</v>
      </c>
      <c r="B576" s="88">
        <v>31</v>
      </c>
      <c r="C576" s="76">
        <f>122.58</f>
        <v>122.58</v>
      </c>
      <c r="D576" s="76">
        <f>297.941</f>
        <v>297.94099999999997</v>
      </c>
      <c r="E576" s="85">
        <f>89.177</f>
        <v>89.177000000000007</v>
      </c>
      <c r="F576" s="76">
        <f>240.302-40-60-100</f>
        <v>40.301999999999992</v>
      </c>
      <c r="G576" s="79">
        <v>40</v>
      </c>
      <c r="H576" s="76">
        <f>60+100</f>
        <v>160</v>
      </c>
      <c r="I576" s="76">
        <f t="shared" si="90"/>
        <v>0</v>
      </c>
      <c r="J576" s="79">
        <v>100</v>
      </c>
      <c r="K576" s="79">
        <v>300</v>
      </c>
      <c r="L576" s="76">
        <f t="shared" si="83"/>
        <v>1150</v>
      </c>
      <c r="M576" s="87">
        <v>600</v>
      </c>
      <c r="N576" s="76">
        <f>100</f>
        <v>100</v>
      </c>
      <c r="O576" s="79">
        <v>240</v>
      </c>
      <c r="P576" s="79">
        <v>40</v>
      </c>
      <c r="Q576" s="79">
        <f t="shared" si="84"/>
        <v>315</v>
      </c>
      <c r="R576" s="79">
        <f t="shared" si="85"/>
        <v>100</v>
      </c>
      <c r="S576" s="76">
        <f t="shared" si="86"/>
        <v>695</v>
      </c>
      <c r="T576" s="76">
        <f>50</f>
        <v>50</v>
      </c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</row>
    <row r="577" spans="1:30" ht="15.75" x14ac:dyDescent="0.25">
      <c r="A577" s="31">
        <v>58499</v>
      </c>
      <c r="B577" s="88">
        <v>29</v>
      </c>
      <c r="C577" s="76">
        <f>122.58</f>
        <v>122.58</v>
      </c>
      <c r="D577" s="76">
        <f>297.941</f>
        <v>297.94099999999997</v>
      </c>
      <c r="E577" s="85">
        <f>89.177</f>
        <v>89.177000000000007</v>
      </c>
      <c r="F577" s="76">
        <f>240.302-40-60-100</f>
        <v>40.301999999999992</v>
      </c>
      <c r="G577" s="79">
        <v>40</v>
      </c>
      <c r="H577" s="76">
        <f>60+100</f>
        <v>160</v>
      </c>
      <c r="I577" s="76">
        <f t="shared" si="90"/>
        <v>0</v>
      </c>
      <c r="J577" s="79">
        <v>100</v>
      </c>
      <c r="K577" s="79">
        <v>300</v>
      </c>
      <c r="L577" s="76">
        <f t="shared" si="83"/>
        <v>1150</v>
      </c>
      <c r="M577" s="87">
        <v>600</v>
      </c>
      <c r="N577" s="76">
        <f>100</f>
        <v>100</v>
      </c>
      <c r="O577" s="79">
        <v>240</v>
      </c>
      <c r="P577" s="79">
        <v>40</v>
      </c>
      <c r="Q577" s="79">
        <f t="shared" si="84"/>
        <v>315</v>
      </c>
      <c r="R577" s="79">
        <f t="shared" si="85"/>
        <v>100</v>
      </c>
      <c r="S577" s="76">
        <f t="shared" si="86"/>
        <v>695</v>
      </c>
      <c r="T577" s="76">
        <f>50</f>
        <v>50</v>
      </c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</row>
    <row r="578" spans="1:30" ht="15.75" x14ac:dyDescent="0.25">
      <c r="A578" s="31">
        <v>58531</v>
      </c>
      <c r="B578" s="88">
        <v>31</v>
      </c>
      <c r="C578" s="76">
        <f>122.58</f>
        <v>122.58</v>
      </c>
      <c r="D578" s="76">
        <f>297.941</f>
        <v>297.94099999999997</v>
      </c>
      <c r="E578" s="85">
        <f>89.177</f>
        <v>89.177000000000007</v>
      </c>
      <c r="F578" s="76">
        <f>240.302-40-60-100</f>
        <v>40.301999999999992</v>
      </c>
      <c r="G578" s="79">
        <v>40</v>
      </c>
      <c r="H578" s="76">
        <f>60+100</f>
        <v>160</v>
      </c>
      <c r="I578" s="76">
        <f t="shared" si="90"/>
        <v>0</v>
      </c>
      <c r="J578" s="79">
        <v>100</v>
      </c>
      <c r="K578" s="79">
        <v>300</v>
      </c>
      <c r="L578" s="76">
        <f t="shared" si="83"/>
        <v>1150</v>
      </c>
      <c r="M578" s="87">
        <v>600</v>
      </c>
      <c r="N578" s="76">
        <f>100</f>
        <v>100</v>
      </c>
      <c r="O578" s="79">
        <v>240</v>
      </c>
      <c r="P578" s="79">
        <v>40</v>
      </c>
      <c r="Q578" s="79">
        <f t="shared" si="84"/>
        <v>315</v>
      </c>
      <c r="R578" s="79">
        <f t="shared" si="85"/>
        <v>100</v>
      </c>
      <c r="S578" s="76">
        <f t="shared" si="86"/>
        <v>695</v>
      </c>
      <c r="T578" s="76">
        <f>50</f>
        <v>50</v>
      </c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</row>
    <row r="579" spans="1:30" ht="15.75" x14ac:dyDescent="0.25">
      <c r="A579" s="31">
        <v>58561</v>
      </c>
      <c r="B579" s="88">
        <v>30</v>
      </c>
      <c r="C579" s="76">
        <f>141.293</f>
        <v>141.29300000000001</v>
      </c>
      <c r="D579" s="76">
        <f>267.993</f>
        <v>267.99299999999999</v>
      </c>
      <c r="E579" s="85">
        <f>115.016</f>
        <v>115.01600000000001</v>
      </c>
      <c r="F579" s="76">
        <f>314.698-40-25-60-100</f>
        <v>89.697999999999979</v>
      </c>
      <c r="G579" s="79">
        <v>40</v>
      </c>
      <c r="H579" s="76">
        <f t="shared" ref="H579:H585" si="92">25+60+100</f>
        <v>185</v>
      </c>
      <c r="I579" s="76">
        <f t="shared" si="90"/>
        <v>0</v>
      </c>
      <c r="J579" s="79">
        <v>100</v>
      </c>
      <c r="K579" s="79">
        <v>300</v>
      </c>
      <c r="L579" s="76">
        <f t="shared" si="83"/>
        <v>1239</v>
      </c>
      <c r="M579" s="87">
        <v>600</v>
      </c>
      <c r="N579" s="76">
        <f>100</f>
        <v>100</v>
      </c>
      <c r="O579" s="79">
        <v>240</v>
      </c>
      <c r="P579" s="79">
        <v>160</v>
      </c>
      <c r="Q579" s="79">
        <f t="shared" si="84"/>
        <v>195</v>
      </c>
      <c r="R579" s="79">
        <f t="shared" si="85"/>
        <v>100</v>
      </c>
      <c r="S579" s="76">
        <f t="shared" si="86"/>
        <v>695</v>
      </c>
      <c r="T579" s="76">
        <f>50</f>
        <v>50</v>
      </c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</row>
    <row r="580" spans="1:30" ht="15.75" x14ac:dyDescent="0.25">
      <c r="A580" s="31">
        <v>58592</v>
      </c>
      <c r="B580" s="88">
        <v>31</v>
      </c>
      <c r="C580" s="76">
        <f>194.205</f>
        <v>194.20500000000001</v>
      </c>
      <c r="D580" s="76">
        <f>267.466</f>
        <v>267.46600000000001</v>
      </c>
      <c r="E580" s="85">
        <f>133.845</f>
        <v>133.845</v>
      </c>
      <c r="F580" s="76">
        <f>278.484-40-25-60-100</f>
        <v>53.48399999999998</v>
      </c>
      <c r="G580" s="79">
        <v>40</v>
      </c>
      <c r="H580" s="76">
        <f t="shared" si="92"/>
        <v>185</v>
      </c>
      <c r="I580" s="76">
        <f t="shared" si="90"/>
        <v>0</v>
      </c>
      <c r="J580" s="79">
        <v>100</v>
      </c>
      <c r="K580" s="79">
        <v>300</v>
      </c>
      <c r="L580" s="76">
        <f t="shared" si="83"/>
        <v>1274</v>
      </c>
      <c r="M580" s="87">
        <v>600</v>
      </c>
      <c r="N580" s="76">
        <f>75</f>
        <v>75</v>
      </c>
      <c r="O580" s="79">
        <v>240</v>
      </c>
      <c r="P580" s="79">
        <v>160</v>
      </c>
      <c r="Q580" s="79">
        <f t="shared" si="84"/>
        <v>195</v>
      </c>
      <c r="R580" s="79">
        <f t="shared" si="85"/>
        <v>100</v>
      </c>
      <c r="S580" s="76">
        <f t="shared" si="86"/>
        <v>695</v>
      </c>
      <c r="T580" s="76">
        <f>50</f>
        <v>50</v>
      </c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</row>
    <row r="581" spans="1:30" ht="15.75" x14ac:dyDescent="0.25">
      <c r="A581" s="31">
        <v>58622</v>
      </c>
      <c r="B581" s="88">
        <v>30</v>
      </c>
      <c r="C581" s="76">
        <f>194.205</f>
        <v>194.20500000000001</v>
      </c>
      <c r="D581" s="76">
        <f>267.466</f>
        <v>267.46600000000001</v>
      </c>
      <c r="E581" s="85">
        <f>133.845</f>
        <v>133.845</v>
      </c>
      <c r="F581" s="76">
        <f>278.484-40-25-60-100</f>
        <v>53.48399999999998</v>
      </c>
      <c r="G581" s="79">
        <v>40</v>
      </c>
      <c r="H581" s="76">
        <f t="shared" si="92"/>
        <v>185</v>
      </c>
      <c r="I581" s="76">
        <f t="shared" si="90"/>
        <v>0</v>
      </c>
      <c r="J581" s="79">
        <v>100</v>
      </c>
      <c r="K581" s="79">
        <v>300</v>
      </c>
      <c r="L581" s="76">
        <f t="shared" si="83"/>
        <v>1274</v>
      </c>
      <c r="M581" s="87">
        <v>600</v>
      </c>
      <c r="N581" s="76">
        <f>30</f>
        <v>30</v>
      </c>
      <c r="O581" s="79">
        <v>240</v>
      </c>
      <c r="P581" s="79">
        <v>160</v>
      </c>
      <c r="Q581" s="79">
        <f t="shared" si="84"/>
        <v>195</v>
      </c>
      <c r="R581" s="79">
        <f t="shared" si="85"/>
        <v>100</v>
      </c>
      <c r="S581" s="76">
        <f t="shared" si="86"/>
        <v>695</v>
      </c>
      <c r="T581" s="76">
        <f>50</f>
        <v>50</v>
      </c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</row>
    <row r="582" spans="1:30" ht="15.75" x14ac:dyDescent="0.25">
      <c r="A582" s="31">
        <v>58653</v>
      </c>
      <c r="B582" s="88">
        <v>31</v>
      </c>
      <c r="C582" s="76">
        <f>194.205</f>
        <v>194.20500000000001</v>
      </c>
      <c r="D582" s="76">
        <f>267.466</f>
        <v>267.46600000000001</v>
      </c>
      <c r="E582" s="85">
        <f>133.845</f>
        <v>133.845</v>
      </c>
      <c r="F582" s="76">
        <f>278.484-40-25-60-100</f>
        <v>53.48399999999998</v>
      </c>
      <c r="G582" s="79">
        <v>40</v>
      </c>
      <c r="H582" s="76">
        <f t="shared" si="92"/>
        <v>185</v>
      </c>
      <c r="I582" s="76">
        <f t="shared" si="90"/>
        <v>0</v>
      </c>
      <c r="J582" s="79">
        <v>100</v>
      </c>
      <c r="K582" s="79">
        <v>300</v>
      </c>
      <c r="L582" s="76">
        <f t="shared" si="83"/>
        <v>1274</v>
      </c>
      <c r="M582" s="87">
        <v>600</v>
      </c>
      <c r="N582" s="76">
        <f>30</f>
        <v>30</v>
      </c>
      <c r="O582" s="79">
        <v>240</v>
      </c>
      <c r="P582" s="79">
        <v>160</v>
      </c>
      <c r="Q582" s="79">
        <f t="shared" si="84"/>
        <v>195</v>
      </c>
      <c r="R582" s="79">
        <f t="shared" si="85"/>
        <v>100</v>
      </c>
      <c r="S582" s="76">
        <f t="shared" si="86"/>
        <v>695</v>
      </c>
      <c r="T582" s="76">
        <f>0</f>
        <v>0</v>
      </c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</row>
    <row r="583" spans="1:30" ht="15.75" x14ac:dyDescent="0.25">
      <c r="A583" s="31">
        <v>58684</v>
      </c>
      <c r="B583" s="88">
        <v>31</v>
      </c>
      <c r="C583" s="76">
        <f>194.205</f>
        <v>194.20500000000001</v>
      </c>
      <c r="D583" s="76">
        <f>267.466</f>
        <v>267.46600000000001</v>
      </c>
      <c r="E583" s="85">
        <f>133.845</f>
        <v>133.845</v>
      </c>
      <c r="F583" s="76">
        <f>278.484-40-25-60-100</f>
        <v>53.48399999999998</v>
      </c>
      <c r="G583" s="79">
        <v>40</v>
      </c>
      <c r="H583" s="76">
        <f t="shared" si="92"/>
        <v>185</v>
      </c>
      <c r="I583" s="76">
        <f t="shared" si="90"/>
        <v>0</v>
      </c>
      <c r="J583" s="79">
        <v>100</v>
      </c>
      <c r="K583" s="79">
        <v>300</v>
      </c>
      <c r="L583" s="76">
        <f t="shared" si="83"/>
        <v>1274</v>
      </c>
      <c r="M583" s="87">
        <v>600</v>
      </c>
      <c r="N583" s="76">
        <f>30</f>
        <v>30</v>
      </c>
      <c r="O583" s="79">
        <v>240</v>
      </c>
      <c r="P583" s="79">
        <v>160</v>
      </c>
      <c r="Q583" s="79">
        <f t="shared" si="84"/>
        <v>195</v>
      </c>
      <c r="R583" s="79">
        <f t="shared" si="85"/>
        <v>100</v>
      </c>
      <c r="S583" s="76">
        <f t="shared" si="86"/>
        <v>695</v>
      </c>
      <c r="T583" s="76">
        <f>0</f>
        <v>0</v>
      </c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</row>
    <row r="584" spans="1:30" ht="15.75" x14ac:dyDescent="0.25">
      <c r="A584" s="31">
        <v>58714</v>
      </c>
      <c r="B584" s="88">
        <v>30</v>
      </c>
      <c r="C584" s="76">
        <f>194.205</f>
        <v>194.20500000000001</v>
      </c>
      <c r="D584" s="76">
        <f>267.466</f>
        <v>267.46600000000001</v>
      </c>
      <c r="E584" s="85">
        <f>133.845</f>
        <v>133.845</v>
      </c>
      <c r="F584" s="76">
        <f>278.484-40-25-60-100</f>
        <v>53.48399999999998</v>
      </c>
      <c r="G584" s="79">
        <v>40</v>
      </c>
      <c r="H584" s="76">
        <f t="shared" si="92"/>
        <v>185</v>
      </c>
      <c r="I584" s="76">
        <f t="shared" si="90"/>
        <v>0</v>
      </c>
      <c r="J584" s="79">
        <v>100</v>
      </c>
      <c r="K584" s="79">
        <v>300</v>
      </c>
      <c r="L584" s="76">
        <f t="shared" si="83"/>
        <v>1274</v>
      </c>
      <c r="M584" s="87">
        <v>600</v>
      </c>
      <c r="N584" s="76">
        <f>30</f>
        <v>30</v>
      </c>
      <c r="O584" s="79">
        <v>240</v>
      </c>
      <c r="P584" s="79">
        <v>160</v>
      </c>
      <c r="Q584" s="79">
        <f t="shared" si="84"/>
        <v>195</v>
      </c>
      <c r="R584" s="79">
        <f t="shared" si="85"/>
        <v>100</v>
      </c>
      <c r="S584" s="76">
        <f t="shared" si="86"/>
        <v>695</v>
      </c>
      <c r="T584" s="76">
        <f>0</f>
        <v>0</v>
      </c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</row>
    <row r="585" spans="1:30" ht="15.75" x14ac:dyDescent="0.25">
      <c r="A585" s="31">
        <v>58745</v>
      </c>
      <c r="B585" s="88">
        <v>31</v>
      </c>
      <c r="C585" s="76">
        <f>131.881</f>
        <v>131.881</v>
      </c>
      <c r="D585" s="76">
        <f>277.167</f>
        <v>277.16699999999997</v>
      </c>
      <c r="E585" s="85">
        <f>79.08</f>
        <v>79.08</v>
      </c>
      <c r="F585" s="76">
        <f>350.872-40-25-60-100</f>
        <v>125.87200000000001</v>
      </c>
      <c r="G585" s="79">
        <v>40</v>
      </c>
      <c r="H585" s="76">
        <f t="shared" si="92"/>
        <v>185</v>
      </c>
      <c r="I585" s="76">
        <f t="shared" si="90"/>
        <v>0</v>
      </c>
      <c r="J585" s="79">
        <v>100</v>
      </c>
      <c r="K585" s="79">
        <v>300</v>
      </c>
      <c r="L585" s="76">
        <f t="shared" si="83"/>
        <v>1239</v>
      </c>
      <c r="M585" s="87">
        <v>600</v>
      </c>
      <c r="N585" s="76">
        <f>75</f>
        <v>75</v>
      </c>
      <c r="O585" s="79">
        <v>240</v>
      </c>
      <c r="P585" s="79">
        <v>160</v>
      </c>
      <c r="Q585" s="79">
        <f t="shared" si="84"/>
        <v>195</v>
      </c>
      <c r="R585" s="79">
        <f t="shared" si="85"/>
        <v>100</v>
      </c>
      <c r="S585" s="76">
        <f t="shared" si="86"/>
        <v>695</v>
      </c>
      <c r="T585" s="76">
        <f>0</f>
        <v>0</v>
      </c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</row>
    <row r="586" spans="1:30" ht="15.75" x14ac:dyDescent="0.25">
      <c r="A586" s="31">
        <v>58775</v>
      </c>
      <c r="B586" s="88">
        <v>30</v>
      </c>
      <c r="C586" s="76">
        <f>122.58</f>
        <v>122.58</v>
      </c>
      <c r="D586" s="76">
        <f>297.941</f>
        <v>297.94099999999997</v>
      </c>
      <c r="E586" s="85">
        <f>89.177</f>
        <v>89.177000000000007</v>
      </c>
      <c r="F586" s="76">
        <f>240.302-40-60-100</f>
        <v>40.301999999999992</v>
      </c>
      <c r="G586" s="79">
        <v>40</v>
      </c>
      <c r="H586" s="76">
        <f>60+100</f>
        <v>160</v>
      </c>
      <c r="I586" s="76">
        <f t="shared" si="90"/>
        <v>0</v>
      </c>
      <c r="J586" s="79">
        <v>100</v>
      </c>
      <c r="K586" s="79">
        <v>300</v>
      </c>
      <c r="L586" s="76">
        <f t="shared" si="83"/>
        <v>1150</v>
      </c>
      <c r="M586" s="87">
        <v>600</v>
      </c>
      <c r="N586" s="76">
        <f>100</f>
        <v>100</v>
      </c>
      <c r="O586" s="79">
        <v>240</v>
      </c>
      <c r="P586" s="79">
        <v>40</v>
      </c>
      <c r="Q586" s="79">
        <f t="shared" si="84"/>
        <v>315</v>
      </c>
      <c r="R586" s="79">
        <f t="shared" si="85"/>
        <v>100</v>
      </c>
      <c r="S586" s="76">
        <f t="shared" si="86"/>
        <v>695</v>
      </c>
      <c r="T586" s="76">
        <f>50</f>
        <v>50</v>
      </c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</row>
    <row r="587" spans="1:30" ht="15.75" x14ac:dyDescent="0.25">
      <c r="A587" s="31">
        <v>58806</v>
      </c>
      <c r="B587" s="88">
        <v>31</v>
      </c>
      <c r="C587" s="76">
        <f>122.58</f>
        <v>122.58</v>
      </c>
      <c r="D587" s="76">
        <f>297.941</f>
        <v>297.94099999999997</v>
      </c>
      <c r="E587" s="85">
        <f>89.177</f>
        <v>89.177000000000007</v>
      </c>
      <c r="F587" s="76">
        <f>240.302-40-60-100</f>
        <v>40.301999999999992</v>
      </c>
      <c r="G587" s="79">
        <v>40</v>
      </c>
      <c r="H587" s="76">
        <f>60+100</f>
        <v>160</v>
      </c>
      <c r="I587" s="76">
        <f t="shared" si="90"/>
        <v>0</v>
      </c>
      <c r="J587" s="79">
        <v>100</v>
      </c>
      <c r="K587" s="79">
        <v>300</v>
      </c>
      <c r="L587" s="76">
        <f t="shared" si="83"/>
        <v>1150</v>
      </c>
      <c r="M587" s="87">
        <v>600</v>
      </c>
      <c r="N587" s="76">
        <f>100</f>
        <v>100</v>
      </c>
      <c r="O587" s="79">
        <v>240</v>
      </c>
      <c r="P587" s="79">
        <v>40</v>
      </c>
      <c r="Q587" s="79">
        <f t="shared" si="84"/>
        <v>315</v>
      </c>
      <c r="R587" s="79">
        <f t="shared" si="85"/>
        <v>100</v>
      </c>
      <c r="S587" s="76">
        <f t="shared" si="86"/>
        <v>695</v>
      </c>
      <c r="T587" s="76">
        <f>50</f>
        <v>50</v>
      </c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</row>
    <row r="588" spans="1:30" ht="15.75" x14ac:dyDescent="0.25">
      <c r="A588" s="31">
        <v>58837</v>
      </c>
      <c r="B588" s="88">
        <v>31</v>
      </c>
      <c r="C588" s="76">
        <f>122.58</f>
        <v>122.58</v>
      </c>
      <c r="D588" s="76">
        <f>297.941</f>
        <v>297.94099999999997</v>
      </c>
      <c r="E588" s="85">
        <f>89.177</f>
        <v>89.177000000000007</v>
      </c>
      <c r="F588" s="76">
        <f>240.302-40-60-100</f>
        <v>40.301999999999992</v>
      </c>
      <c r="G588" s="79">
        <v>40</v>
      </c>
      <c r="H588" s="76">
        <f>60+100</f>
        <v>160</v>
      </c>
      <c r="I588" s="76">
        <f t="shared" si="90"/>
        <v>0</v>
      </c>
      <c r="J588" s="79">
        <v>100</v>
      </c>
      <c r="K588" s="79">
        <v>300</v>
      </c>
      <c r="L588" s="76">
        <f t="shared" si="83"/>
        <v>1150</v>
      </c>
      <c r="M588" s="87">
        <v>600</v>
      </c>
      <c r="N588" s="76">
        <f>100</f>
        <v>100</v>
      </c>
      <c r="O588" s="79">
        <v>240</v>
      </c>
      <c r="P588" s="79">
        <v>40</v>
      </c>
      <c r="Q588" s="79">
        <f t="shared" si="84"/>
        <v>315</v>
      </c>
      <c r="R588" s="79">
        <f t="shared" si="85"/>
        <v>100</v>
      </c>
      <c r="S588" s="76">
        <f t="shared" si="86"/>
        <v>695</v>
      </c>
      <c r="T588" s="76">
        <f>50</f>
        <v>50</v>
      </c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</row>
    <row r="589" spans="1:30" ht="15.75" x14ac:dyDescent="0.25">
      <c r="A589" s="31">
        <v>58865</v>
      </c>
      <c r="B589" s="88">
        <v>28</v>
      </c>
      <c r="C589" s="76">
        <f>122.58</f>
        <v>122.58</v>
      </c>
      <c r="D589" s="76">
        <f>297.941</f>
        <v>297.94099999999997</v>
      </c>
      <c r="E589" s="85">
        <f>89.177</f>
        <v>89.177000000000007</v>
      </c>
      <c r="F589" s="76">
        <f>240.302-40-60-100</f>
        <v>40.301999999999992</v>
      </c>
      <c r="G589" s="79">
        <v>40</v>
      </c>
      <c r="H589" s="76">
        <f>60+100</f>
        <v>160</v>
      </c>
      <c r="I589" s="76">
        <f t="shared" si="90"/>
        <v>0</v>
      </c>
      <c r="J589" s="79">
        <v>100</v>
      </c>
      <c r="K589" s="79">
        <v>300</v>
      </c>
      <c r="L589" s="76">
        <f t="shared" si="83"/>
        <v>1150</v>
      </c>
      <c r="M589" s="87">
        <v>600</v>
      </c>
      <c r="N589" s="76">
        <f>100</f>
        <v>100</v>
      </c>
      <c r="O589" s="79">
        <v>240</v>
      </c>
      <c r="P589" s="79">
        <v>40</v>
      </c>
      <c r="Q589" s="79">
        <f t="shared" si="84"/>
        <v>315</v>
      </c>
      <c r="R589" s="79">
        <f t="shared" si="85"/>
        <v>100</v>
      </c>
      <c r="S589" s="76">
        <f t="shared" si="86"/>
        <v>695</v>
      </c>
      <c r="T589" s="76">
        <f>50</f>
        <v>50</v>
      </c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</row>
    <row r="590" spans="1:30" ht="15.75" x14ac:dyDescent="0.25">
      <c r="A590" s="31">
        <v>58893</v>
      </c>
      <c r="B590" s="88">
        <v>31</v>
      </c>
      <c r="C590" s="76">
        <f>122.58</f>
        <v>122.58</v>
      </c>
      <c r="D590" s="76">
        <f>297.941</f>
        <v>297.94099999999997</v>
      </c>
      <c r="E590" s="85">
        <f>89.177</f>
        <v>89.177000000000007</v>
      </c>
      <c r="F590" s="76">
        <f>240.302-40-60-100</f>
        <v>40.301999999999992</v>
      </c>
      <c r="G590" s="79">
        <v>40</v>
      </c>
      <c r="H590" s="76">
        <f>60+100</f>
        <v>160</v>
      </c>
      <c r="I590" s="76">
        <f t="shared" si="90"/>
        <v>0</v>
      </c>
      <c r="J590" s="79">
        <v>100</v>
      </c>
      <c r="K590" s="79">
        <v>300</v>
      </c>
      <c r="L590" s="76">
        <f t="shared" si="83"/>
        <v>1150</v>
      </c>
      <c r="M590" s="87">
        <v>600</v>
      </c>
      <c r="N590" s="76">
        <f>100</f>
        <v>100</v>
      </c>
      <c r="O590" s="79">
        <v>240</v>
      </c>
      <c r="P590" s="79">
        <v>40</v>
      </c>
      <c r="Q590" s="79">
        <f t="shared" si="84"/>
        <v>315</v>
      </c>
      <c r="R590" s="79">
        <f t="shared" si="85"/>
        <v>100</v>
      </c>
      <c r="S590" s="76">
        <f t="shared" si="86"/>
        <v>695</v>
      </c>
      <c r="T590" s="76">
        <f>50</f>
        <v>50</v>
      </c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</row>
    <row r="591" spans="1:30" ht="15.75" x14ac:dyDescent="0.25">
      <c r="A591" s="31">
        <v>58926</v>
      </c>
      <c r="B591" s="88">
        <v>30</v>
      </c>
      <c r="C591" s="76">
        <f>141.293</f>
        <v>141.29300000000001</v>
      </c>
      <c r="D591" s="76">
        <f>267.993</f>
        <v>267.99299999999999</v>
      </c>
      <c r="E591" s="85">
        <f>115.016</f>
        <v>115.01600000000001</v>
      </c>
      <c r="F591" s="76">
        <f>314.698-40-25-60-100</f>
        <v>89.697999999999979</v>
      </c>
      <c r="G591" s="79">
        <v>40</v>
      </c>
      <c r="H591" s="76">
        <f t="shared" ref="H591:H597" si="93">25+60+100</f>
        <v>185</v>
      </c>
      <c r="I591" s="76">
        <f t="shared" si="90"/>
        <v>0</v>
      </c>
      <c r="J591" s="79">
        <v>100</v>
      </c>
      <c r="K591" s="79">
        <v>300</v>
      </c>
      <c r="L591" s="76">
        <f t="shared" si="83"/>
        <v>1239</v>
      </c>
      <c r="M591" s="87">
        <v>600</v>
      </c>
      <c r="N591" s="76">
        <f>100</f>
        <v>100</v>
      </c>
      <c r="O591" s="79">
        <v>240</v>
      </c>
      <c r="P591" s="79">
        <v>160</v>
      </c>
      <c r="Q591" s="79">
        <f t="shared" si="84"/>
        <v>195</v>
      </c>
      <c r="R591" s="79">
        <f t="shared" si="85"/>
        <v>100</v>
      </c>
      <c r="S591" s="76">
        <f t="shared" si="86"/>
        <v>695</v>
      </c>
      <c r="T591" s="76">
        <f>50</f>
        <v>50</v>
      </c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</row>
    <row r="592" spans="1:30" ht="15.75" x14ac:dyDescent="0.25">
      <c r="A592" s="31">
        <v>58957</v>
      </c>
      <c r="B592" s="88">
        <v>31</v>
      </c>
      <c r="C592" s="76">
        <f>194.205</f>
        <v>194.20500000000001</v>
      </c>
      <c r="D592" s="76">
        <f>267.466</f>
        <v>267.46600000000001</v>
      </c>
      <c r="E592" s="85">
        <f>133.845</f>
        <v>133.845</v>
      </c>
      <c r="F592" s="76">
        <f>278.484-40-25-60-100</f>
        <v>53.48399999999998</v>
      </c>
      <c r="G592" s="79">
        <v>40</v>
      </c>
      <c r="H592" s="76">
        <f t="shared" si="93"/>
        <v>185</v>
      </c>
      <c r="I592" s="76">
        <f t="shared" si="90"/>
        <v>0</v>
      </c>
      <c r="J592" s="79">
        <v>100</v>
      </c>
      <c r="K592" s="79">
        <v>300</v>
      </c>
      <c r="L592" s="76">
        <f t="shared" si="83"/>
        <v>1274</v>
      </c>
      <c r="M592" s="87">
        <v>600</v>
      </c>
      <c r="N592" s="76">
        <f>75</f>
        <v>75</v>
      </c>
      <c r="O592" s="79">
        <v>240</v>
      </c>
      <c r="P592" s="79">
        <v>160</v>
      </c>
      <c r="Q592" s="79">
        <f t="shared" si="84"/>
        <v>195</v>
      </c>
      <c r="R592" s="79">
        <f t="shared" si="85"/>
        <v>100</v>
      </c>
      <c r="S592" s="76">
        <f t="shared" si="86"/>
        <v>695</v>
      </c>
      <c r="T592" s="76">
        <f>50</f>
        <v>50</v>
      </c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</row>
    <row r="593" spans="1:30" ht="15.75" x14ac:dyDescent="0.25">
      <c r="A593" s="31">
        <v>58987</v>
      </c>
      <c r="B593" s="88">
        <v>30</v>
      </c>
      <c r="C593" s="76">
        <f>194.205</f>
        <v>194.20500000000001</v>
      </c>
      <c r="D593" s="76">
        <f>267.466</f>
        <v>267.46600000000001</v>
      </c>
      <c r="E593" s="85">
        <f>133.845</f>
        <v>133.845</v>
      </c>
      <c r="F593" s="76">
        <f>278.484-40-25-60-100</f>
        <v>53.48399999999998</v>
      </c>
      <c r="G593" s="79">
        <v>40</v>
      </c>
      <c r="H593" s="76">
        <f t="shared" si="93"/>
        <v>185</v>
      </c>
      <c r="I593" s="76">
        <f t="shared" si="90"/>
        <v>0</v>
      </c>
      <c r="J593" s="79">
        <v>100</v>
      </c>
      <c r="K593" s="79">
        <v>300</v>
      </c>
      <c r="L593" s="76">
        <f t="shared" si="83"/>
        <v>1274</v>
      </c>
      <c r="M593" s="87">
        <v>600</v>
      </c>
      <c r="N593" s="76">
        <f>30</f>
        <v>30</v>
      </c>
      <c r="O593" s="79">
        <v>240</v>
      </c>
      <c r="P593" s="79">
        <v>160</v>
      </c>
      <c r="Q593" s="79">
        <f t="shared" si="84"/>
        <v>195</v>
      </c>
      <c r="R593" s="79">
        <f t="shared" si="85"/>
        <v>100</v>
      </c>
      <c r="S593" s="76">
        <f t="shared" si="86"/>
        <v>695</v>
      </c>
      <c r="T593" s="76">
        <f>50</f>
        <v>50</v>
      </c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</row>
    <row r="594" spans="1:30" ht="15.75" x14ac:dyDescent="0.25">
      <c r="A594" s="31">
        <v>59018</v>
      </c>
      <c r="B594" s="88">
        <v>31</v>
      </c>
      <c r="C594" s="76">
        <f>194.205</f>
        <v>194.20500000000001</v>
      </c>
      <c r="D594" s="76">
        <f>267.466</f>
        <v>267.46600000000001</v>
      </c>
      <c r="E594" s="85">
        <f>133.845</f>
        <v>133.845</v>
      </c>
      <c r="F594" s="76">
        <f>278.484-40-25-60-100</f>
        <v>53.48399999999998</v>
      </c>
      <c r="G594" s="79">
        <v>40</v>
      </c>
      <c r="H594" s="76">
        <f t="shared" si="93"/>
        <v>185</v>
      </c>
      <c r="I594" s="76">
        <f t="shared" si="90"/>
        <v>0</v>
      </c>
      <c r="J594" s="79">
        <v>100</v>
      </c>
      <c r="K594" s="79">
        <v>300</v>
      </c>
      <c r="L594" s="76">
        <f t="shared" ref="L594:L657" si="94">SUM(C594:K594)</f>
        <v>1274</v>
      </c>
      <c r="M594" s="87">
        <v>600</v>
      </c>
      <c r="N594" s="76">
        <f>30</f>
        <v>30</v>
      </c>
      <c r="O594" s="79">
        <v>240</v>
      </c>
      <c r="P594" s="79">
        <v>160</v>
      </c>
      <c r="Q594" s="79">
        <f t="shared" ref="Q594:Q657" si="95">695-R594-O594-P594</f>
        <v>195</v>
      </c>
      <c r="R594" s="79">
        <f t="shared" ref="R594:R657" si="96">200-J594</f>
        <v>100</v>
      </c>
      <c r="S594" s="76">
        <f t="shared" ref="S594:S657" si="97">SUM(O594:R594)</f>
        <v>695</v>
      </c>
      <c r="T594" s="76">
        <f>0</f>
        <v>0</v>
      </c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</row>
    <row r="595" spans="1:30" ht="15.75" x14ac:dyDescent="0.25">
      <c r="A595" s="31">
        <v>59049</v>
      </c>
      <c r="B595" s="88">
        <v>31</v>
      </c>
      <c r="C595" s="76">
        <f>194.205</f>
        <v>194.20500000000001</v>
      </c>
      <c r="D595" s="76">
        <f>267.466</f>
        <v>267.46600000000001</v>
      </c>
      <c r="E595" s="85">
        <f>133.845</f>
        <v>133.845</v>
      </c>
      <c r="F595" s="76">
        <f>278.484-40-25-60-100</f>
        <v>53.48399999999998</v>
      </c>
      <c r="G595" s="79">
        <v>40</v>
      </c>
      <c r="H595" s="76">
        <f t="shared" si="93"/>
        <v>185</v>
      </c>
      <c r="I595" s="76">
        <f t="shared" si="90"/>
        <v>0</v>
      </c>
      <c r="J595" s="79">
        <v>100</v>
      </c>
      <c r="K595" s="79">
        <v>300</v>
      </c>
      <c r="L595" s="76">
        <f t="shared" si="94"/>
        <v>1274</v>
      </c>
      <c r="M595" s="87">
        <v>600</v>
      </c>
      <c r="N595" s="76">
        <f>30</f>
        <v>30</v>
      </c>
      <c r="O595" s="79">
        <v>240</v>
      </c>
      <c r="P595" s="79">
        <v>160</v>
      </c>
      <c r="Q595" s="79">
        <f t="shared" si="95"/>
        <v>195</v>
      </c>
      <c r="R595" s="79">
        <f t="shared" si="96"/>
        <v>100</v>
      </c>
      <c r="S595" s="76">
        <f t="shared" si="97"/>
        <v>695</v>
      </c>
      <c r="T595" s="76">
        <f>0</f>
        <v>0</v>
      </c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</row>
    <row r="596" spans="1:30" ht="15.75" x14ac:dyDescent="0.25">
      <c r="A596" s="31">
        <v>59079</v>
      </c>
      <c r="B596" s="88">
        <v>30</v>
      </c>
      <c r="C596" s="76">
        <f>194.205</f>
        <v>194.20500000000001</v>
      </c>
      <c r="D596" s="76">
        <f>267.466</f>
        <v>267.46600000000001</v>
      </c>
      <c r="E596" s="85">
        <f>133.845</f>
        <v>133.845</v>
      </c>
      <c r="F596" s="76">
        <f>278.484-40-25-60-100</f>
        <v>53.48399999999998</v>
      </c>
      <c r="G596" s="79">
        <v>40</v>
      </c>
      <c r="H596" s="76">
        <f t="shared" si="93"/>
        <v>185</v>
      </c>
      <c r="I596" s="76">
        <f t="shared" si="90"/>
        <v>0</v>
      </c>
      <c r="J596" s="79">
        <v>100</v>
      </c>
      <c r="K596" s="79">
        <v>300</v>
      </c>
      <c r="L596" s="76">
        <f t="shared" si="94"/>
        <v>1274</v>
      </c>
      <c r="M596" s="87">
        <v>600</v>
      </c>
      <c r="N596" s="76">
        <f>30</f>
        <v>30</v>
      </c>
      <c r="O596" s="79">
        <v>240</v>
      </c>
      <c r="P596" s="79">
        <v>160</v>
      </c>
      <c r="Q596" s="79">
        <f t="shared" si="95"/>
        <v>195</v>
      </c>
      <c r="R596" s="79">
        <f t="shared" si="96"/>
        <v>100</v>
      </c>
      <c r="S596" s="76">
        <f t="shared" si="97"/>
        <v>695</v>
      </c>
      <c r="T596" s="76">
        <f>0</f>
        <v>0</v>
      </c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</row>
    <row r="597" spans="1:30" ht="15.75" x14ac:dyDescent="0.25">
      <c r="A597" s="31">
        <v>59110</v>
      </c>
      <c r="B597" s="88">
        <v>31</v>
      </c>
      <c r="C597" s="76">
        <f>131.881</f>
        <v>131.881</v>
      </c>
      <c r="D597" s="76">
        <f>277.167</f>
        <v>277.16699999999997</v>
      </c>
      <c r="E597" s="85">
        <f>79.08</f>
        <v>79.08</v>
      </c>
      <c r="F597" s="76">
        <f>350.872-40-25-60-100</f>
        <v>125.87200000000001</v>
      </c>
      <c r="G597" s="79">
        <v>40</v>
      </c>
      <c r="H597" s="76">
        <f t="shared" si="93"/>
        <v>185</v>
      </c>
      <c r="I597" s="76">
        <f t="shared" si="90"/>
        <v>0</v>
      </c>
      <c r="J597" s="79">
        <v>100</v>
      </c>
      <c r="K597" s="79">
        <v>300</v>
      </c>
      <c r="L597" s="76">
        <f t="shared" si="94"/>
        <v>1239</v>
      </c>
      <c r="M597" s="87">
        <v>600</v>
      </c>
      <c r="N597" s="76">
        <f>75</f>
        <v>75</v>
      </c>
      <c r="O597" s="79">
        <v>240</v>
      </c>
      <c r="P597" s="79">
        <v>160</v>
      </c>
      <c r="Q597" s="79">
        <f t="shared" si="95"/>
        <v>195</v>
      </c>
      <c r="R597" s="79">
        <f t="shared" si="96"/>
        <v>100</v>
      </c>
      <c r="S597" s="76">
        <f t="shared" si="97"/>
        <v>695</v>
      </c>
      <c r="T597" s="76">
        <f>0</f>
        <v>0</v>
      </c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</row>
    <row r="598" spans="1:30" ht="15.75" x14ac:dyDescent="0.25">
      <c r="A598" s="31">
        <v>59140</v>
      </c>
      <c r="B598" s="88">
        <v>30</v>
      </c>
      <c r="C598" s="76">
        <f>122.58</f>
        <v>122.58</v>
      </c>
      <c r="D598" s="76">
        <f>297.941</f>
        <v>297.94099999999997</v>
      </c>
      <c r="E598" s="85">
        <f>89.177</f>
        <v>89.177000000000007</v>
      </c>
      <c r="F598" s="76">
        <f>240.302-40-60-100</f>
        <v>40.301999999999992</v>
      </c>
      <c r="G598" s="79">
        <v>40</v>
      </c>
      <c r="H598" s="76">
        <f>60+100</f>
        <v>160</v>
      </c>
      <c r="I598" s="76">
        <f t="shared" si="90"/>
        <v>0</v>
      </c>
      <c r="J598" s="79">
        <v>100</v>
      </c>
      <c r="K598" s="79">
        <v>300</v>
      </c>
      <c r="L598" s="76">
        <f t="shared" si="94"/>
        <v>1150</v>
      </c>
      <c r="M598" s="87">
        <v>600</v>
      </c>
      <c r="N598" s="76">
        <f>100</f>
        <v>100</v>
      </c>
      <c r="O598" s="79">
        <v>240</v>
      </c>
      <c r="P598" s="79">
        <v>40</v>
      </c>
      <c r="Q598" s="79">
        <f t="shared" si="95"/>
        <v>315</v>
      </c>
      <c r="R598" s="79">
        <f t="shared" si="96"/>
        <v>100</v>
      </c>
      <c r="S598" s="76">
        <f t="shared" si="97"/>
        <v>695</v>
      </c>
      <c r="T598" s="76">
        <f>50</f>
        <v>50</v>
      </c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</row>
    <row r="599" spans="1:30" ht="15.75" x14ac:dyDescent="0.25">
      <c r="A599" s="31">
        <v>59171</v>
      </c>
      <c r="B599" s="88">
        <v>31</v>
      </c>
      <c r="C599" s="76">
        <f>122.58</f>
        <v>122.58</v>
      </c>
      <c r="D599" s="76">
        <f>297.941</f>
        <v>297.94099999999997</v>
      </c>
      <c r="E599" s="85">
        <f>89.177</f>
        <v>89.177000000000007</v>
      </c>
      <c r="F599" s="76">
        <f>240.302-40-60-100</f>
        <v>40.301999999999992</v>
      </c>
      <c r="G599" s="79">
        <v>40</v>
      </c>
      <c r="H599" s="76">
        <f>60+100</f>
        <v>160</v>
      </c>
      <c r="I599" s="76">
        <f t="shared" si="90"/>
        <v>0</v>
      </c>
      <c r="J599" s="79">
        <v>100</v>
      </c>
      <c r="K599" s="79">
        <v>300</v>
      </c>
      <c r="L599" s="76">
        <f t="shared" si="94"/>
        <v>1150</v>
      </c>
      <c r="M599" s="87">
        <v>600</v>
      </c>
      <c r="N599" s="76">
        <f>100</f>
        <v>100</v>
      </c>
      <c r="O599" s="79">
        <v>240</v>
      </c>
      <c r="P599" s="79">
        <v>40</v>
      </c>
      <c r="Q599" s="79">
        <f t="shared" si="95"/>
        <v>315</v>
      </c>
      <c r="R599" s="79">
        <f t="shared" si="96"/>
        <v>100</v>
      </c>
      <c r="S599" s="76">
        <f t="shared" si="97"/>
        <v>695</v>
      </c>
      <c r="T599" s="76">
        <f>50</f>
        <v>50</v>
      </c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</row>
    <row r="600" spans="1:30" ht="15.75" x14ac:dyDescent="0.25">
      <c r="A600" s="31">
        <v>59202</v>
      </c>
      <c r="B600" s="88">
        <f t="shared" ref="B600:B663" si="98">EOMONTH(A600,0)-EOMONTH(A600,-1)</f>
        <v>31</v>
      </c>
      <c r="C600" s="76">
        <f>122.58</f>
        <v>122.58</v>
      </c>
      <c r="D600" s="76">
        <f>297.941</f>
        <v>297.94099999999997</v>
      </c>
      <c r="E600" s="85">
        <f>89.177</f>
        <v>89.177000000000007</v>
      </c>
      <c r="F600" s="76">
        <f>240.302-40-60-100</f>
        <v>40.301999999999992</v>
      </c>
      <c r="G600" s="79">
        <v>40</v>
      </c>
      <c r="H600" s="76">
        <f>60+100</f>
        <v>160</v>
      </c>
      <c r="I600" s="76">
        <f t="shared" si="90"/>
        <v>0</v>
      </c>
      <c r="J600" s="79">
        <v>100</v>
      </c>
      <c r="K600" s="79">
        <v>300</v>
      </c>
      <c r="L600" s="76">
        <f t="shared" si="94"/>
        <v>1150</v>
      </c>
      <c r="M600" s="87">
        <v>600</v>
      </c>
      <c r="N600" s="76">
        <f>100</f>
        <v>100</v>
      </c>
      <c r="O600" s="79">
        <v>240</v>
      </c>
      <c r="P600" s="79">
        <v>40</v>
      </c>
      <c r="Q600" s="79">
        <f t="shared" si="95"/>
        <v>315</v>
      </c>
      <c r="R600" s="79">
        <f t="shared" si="96"/>
        <v>100</v>
      </c>
      <c r="S600" s="76">
        <f t="shared" si="97"/>
        <v>695</v>
      </c>
      <c r="T600" s="76">
        <f>50</f>
        <v>50</v>
      </c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</row>
    <row r="601" spans="1:30" ht="15.75" x14ac:dyDescent="0.25">
      <c r="A601" s="31">
        <v>59230</v>
      </c>
      <c r="B601" s="88">
        <f t="shared" si="98"/>
        <v>28</v>
      </c>
      <c r="C601" s="76">
        <f>122.58</f>
        <v>122.58</v>
      </c>
      <c r="D601" s="76">
        <f>297.941</f>
        <v>297.94099999999997</v>
      </c>
      <c r="E601" s="85">
        <f>89.177</f>
        <v>89.177000000000007</v>
      </c>
      <c r="F601" s="76">
        <f>240.302-40-60-100</f>
        <v>40.301999999999992</v>
      </c>
      <c r="G601" s="79">
        <v>40</v>
      </c>
      <c r="H601" s="76">
        <f>60+100</f>
        <v>160</v>
      </c>
      <c r="I601" s="76">
        <f t="shared" si="90"/>
        <v>0</v>
      </c>
      <c r="J601" s="79">
        <v>100</v>
      </c>
      <c r="K601" s="79">
        <v>300</v>
      </c>
      <c r="L601" s="76">
        <f t="shared" si="94"/>
        <v>1150</v>
      </c>
      <c r="M601" s="87">
        <v>600</v>
      </c>
      <c r="N601" s="76">
        <f>100</f>
        <v>100</v>
      </c>
      <c r="O601" s="79">
        <v>240</v>
      </c>
      <c r="P601" s="79">
        <v>40</v>
      </c>
      <c r="Q601" s="79">
        <f t="shared" si="95"/>
        <v>315</v>
      </c>
      <c r="R601" s="79">
        <f t="shared" si="96"/>
        <v>100</v>
      </c>
      <c r="S601" s="76">
        <f t="shared" si="97"/>
        <v>695</v>
      </c>
      <c r="T601" s="76">
        <f>50</f>
        <v>50</v>
      </c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</row>
    <row r="602" spans="1:30" ht="15.75" x14ac:dyDescent="0.25">
      <c r="A602" s="31">
        <v>59261</v>
      </c>
      <c r="B602" s="88">
        <f t="shared" si="98"/>
        <v>31</v>
      </c>
      <c r="C602" s="76">
        <f>122.58</f>
        <v>122.58</v>
      </c>
      <c r="D602" s="76">
        <f>297.941</f>
        <v>297.94099999999997</v>
      </c>
      <c r="E602" s="85">
        <f>89.177</f>
        <v>89.177000000000007</v>
      </c>
      <c r="F602" s="76">
        <f>240.302-40-60-100</f>
        <v>40.301999999999992</v>
      </c>
      <c r="G602" s="79">
        <v>40</v>
      </c>
      <c r="H602" s="76">
        <f>60+100</f>
        <v>160</v>
      </c>
      <c r="I602" s="76">
        <f t="shared" si="90"/>
        <v>0</v>
      </c>
      <c r="J602" s="79">
        <v>100</v>
      </c>
      <c r="K602" s="79">
        <v>300</v>
      </c>
      <c r="L602" s="76">
        <f t="shared" si="94"/>
        <v>1150</v>
      </c>
      <c r="M602" s="87">
        <v>600</v>
      </c>
      <c r="N602" s="76">
        <f>100</f>
        <v>100</v>
      </c>
      <c r="O602" s="79">
        <v>240</v>
      </c>
      <c r="P602" s="79">
        <v>40</v>
      </c>
      <c r="Q602" s="79">
        <f t="shared" si="95"/>
        <v>315</v>
      </c>
      <c r="R602" s="79">
        <f t="shared" si="96"/>
        <v>100</v>
      </c>
      <c r="S602" s="76">
        <f t="shared" si="97"/>
        <v>695</v>
      </c>
      <c r="T602" s="76">
        <f>50</f>
        <v>50</v>
      </c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</row>
    <row r="603" spans="1:30" ht="15.75" x14ac:dyDescent="0.25">
      <c r="A603" s="31">
        <v>59291</v>
      </c>
      <c r="B603" s="88">
        <f t="shared" si="98"/>
        <v>30</v>
      </c>
      <c r="C603" s="76">
        <f>141.293</f>
        <v>141.29300000000001</v>
      </c>
      <c r="D603" s="76">
        <f>267.993</f>
        <v>267.99299999999999</v>
      </c>
      <c r="E603" s="85">
        <f>115.016</f>
        <v>115.01600000000001</v>
      </c>
      <c r="F603" s="76">
        <f>314.698-40-25-60-100</f>
        <v>89.697999999999979</v>
      </c>
      <c r="G603" s="79">
        <v>40</v>
      </c>
      <c r="H603" s="76">
        <f t="shared" ref="H603:H609" si="99">25+60+100</f>
        <v>185</v>
      </c>
      <c r="I603" s="76">
        <f t="shared" si="90"/>
        <v>0</v>
      </c>
      <c r="J603" s="79">
        <v>100</v>
      </c>
      <c r="K603" s="79">
        <v>300</v>
      </c>
      <c r="L603" s="76">
        <f t="shared" si="94"/>
        <v>1239</v>
      </c>
      <c r="M603" s="87">
        <v>600</v>
      </c>
      <c r="N603" s="76">
        <f>100</f>
        <v>100</v>
      </c>
      <c r="O603" s="79">
        <v>240</v>
      </c>
      <c r="P603" s="79">
        <v>40</v>
      </c>
      <c r="Q603" s="79">
        <f t="shared" si="95"/>
        <v>315</v>
      </c>
      <c r="R603" s="79">
        <f t="shared" si="96"/>
        <v>100</v>
      </c>
      <c r="S603" s="76">
        <f t="shared" si="97"/>
        <v>695</v>
      </c>
      <c r="T603" s="76">
        <f>50</f>
        <v>50</v>
      </c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</row>
    <row r="604" spans="1:30" ht="15.75" x14ac:dyDescent="0.25">
      <c r="A604" s="31">
        <v>59322</v>
      </c>
      <c r="B604" s="88">
        <f t="shared" si="98"/>
        <v>31</v>
      </c>
      <c r="C604" s="76">
        <f>194.205</f>
        <v>194.20500000000001</v>
      </c>
      <c r="D604" s="76">
        <f>267.466</f>
        <v>267.46600000000001</v>
      </c>
      <c r="E604" s="85">
        <f>133.845</f>
        <v>133.845</v>
      </c>
      <c r="F604" s="76">
        <f>278.484-40-25-60-100</f>
        <v>53.48399999999998</v>
      </c>
      <c r="G604" s="79">
        <v>40</v>
      </c>
      <c r="H604" s="76">
        <f t="shared" si="99"/>
        <v>185</v>
      </c>
      <c r="I604" s="76">
        <f t="shared" si="90"/>
        <v>0</v>
      </c>
      <c r="J604" s="79">
        <v>100</v>
      </c>
      <c r="K604" s="79">
        <v>300</v>
      </c>
      <c r="L604" s="76">
        <f t="shared" si="94"/>
        <v>1274</v>
      </c>
      <c r="M604" s="87">
        <v>600</v>
      </c>
      <c r="N604" s="76">
        <f>75</f>
        <v>75</v>
      </c>
      <c r="O604" s="79">
        <v>240</v>
      </c>
      <c r="P604" s="79">
        <v>40</v>
      </c>
      <c r="Q604" s="79">
        <f t="shared" si="95"/>
        <v>315</v>
      </c>
      <c r="R604" s="79">
        <f t="shared" si="96"/>
        <v>100</v>
      </c>
      <c r="S604" s="76">
        <f t="shared" si="97"/>
        <v>695</v>
      </c>
      <c r="T604" s="76">
        <f>50</f>
        <v>50</v>
      </c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</row>
    <row r="605" spans="1:30" ht="15.75" x14ac:dyDescent="0.25">
      <c r="A605" s="31">
        <v>59352</v>
      </c>
      <c r="B605" s="88">
        <f t="shared" si="98"/>
        <v>30</v>
      </c>
      <c r="C605" s="76">
        <f>194.205</f>
        <v>194.20500000000001</v>
      </c>
      <c r="D605" s="76">
        <f>267.466</f>
        <v>267.46600000000001</v>
      </c>
      <c r="E605" s="85">
        <f>133.845</f>
        <v>133.845</v>
      </c>
      <c r="F605" s="76">
        <f>278.484-40-25-60-100</f>
        <v>53.48399999999998</v>
      </c>
      <c r="G605" s="79">
        <v>40</v>
      </c>
      <c r="H605" s="76">
        <f t="shared" si="99"/>
        <v>185</v>
      </c>
      <c r="I605" s="76">
        <f t="shared" si="90"/>
        <v>0</v>
      </c>
      <c r="J605" s="79">
        <v>100</v>
      </c>
      <c r="K605" s="79">
        <v>300</v>
      </c>
      <c r="L605" s="76">
        <f t="shared" si="94"/>
        <v>1274</v>
      </c>
      <c r="M605" s="87">
        <v>600</v>
      </c>
      <c r="N605" s="76">
        <f>30</f>
        <v>30</v>
      </c>
      <c r="O605" s="79">
        <v>240</v>
      </c>
      <c r="P605" s="79">
        <v>40</v>
      </c>
      <c r="Q605" s="79">
        <f t="shared" si="95"/>
        <v>315</v>
      </c>
      <c r="R605" s="79">
        <f t="shared" si="96"/>
        <v>100</v>
      </c>
      <c r="S605" s="76">
        <f t="shared" si="97"/>
        <v>695</v>
      </c>
      <c r="T605" s="76">
        <f>50</f>
        <v>50</v>
      </c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</row>
    <row r="606" spans="1:30" ht="15.75" x14ac:dyDescent="0.25">
      <c r="A606" s="31">
        <v>59383</v>
      </c>
      <c r="B606" s="88">
        <f t="shared" si="98"/>
        <v>31</v>
      </c>
      <c r="C606" s="76">
        <f>194.205</f>
        <v>194.20500000000001</v>
      </c>
      <c r="D606" s="76">
        <f>267.466</f>
        <v>267.46600000000001</v>
      </c>
      <c r="E606" s="85">
        <f>133.845</f>
        <v>133.845</v>
      </c>
      <c r="F606" s="76">
        <f>278.484-40-25-60-100</f>
        <v>53.48399999999998</v>
      </c>
      <c r="G606" s="79">
        <v>40</v>
      </c>
      <c r="H606" s="76">
        <f t="shared" si="99"/>
        <v>185</v>
      </c>
      <c r="I606" s="76">
        <f t="shared" si="90"/>
        <v>0</v>
      </c>
      <c r="J606" s="79">
        <v>100</v>
      </c>
      <c r="K606" s="79">
        <v>300</v>
      </c>
      <c r="L606" s="76">
        <f t="shared" si="94"/>
        <v>1274</v>
      </c>
      <c r="M606" s="87">
        <v>600</v>
      </c>
      <c r="N606" s="76">
        <f>30</f>
        <v>30</v>
      </c>
      <c r="O606" s="79">
        <v>240</v>
      </c>
      <c r="P606" s="79">
        <v>40</v>
      </c>
      <c r="Q606" s="79">
        <f t="shared" si="95"/>
        <v>315</v>
      </c>
      <c r="R606" s="79">
        <f t="shared" si="96"/>
        <v>100</v>
      </c>
      <c r="S606" s="76">
        <f t="shared" si="97"/>
        <v>695</v>
      </c>
      <c r="T606" s="76">
        <f>0</f>
        <v>0</v>
      </c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</row>
    <row r="607" spans="1:30" ht="15.75" x14ac:dyDescent="0.25">
      <c r="A607" s="31">
        <v>59414</v>
      </c>
      <c r="B607" s="88">
        <f t="shared" si="98"/>
        <v>31</v>
      </c>
      <c r="C607" s="76">
        <f>194.205</f>
        <v>194.20500000000001</v>
      </c>
      <c r="D607" s="76">
        <f>267.466</f>
        <v>267.46600000000001</v>
      </c>
      <c r="E607" s="85">
        <f>133.845</f>
        <v>133.845</v>
      </c>
      <c r="F607" s="76">
        <f>278.484-40-25-60-100</f>
        <v>53.48399999999998</v>
      </c>
      <c r="G607" s="79">
        <v>40</v>
      </c>
      <c r="H607" s="76">
        <f t="shared" si="99"/>
        <v>185</v>
      </c>
      <c r="I607" s="76">
        <f t="shared" si="90"/>
        <v>0</v>
      </c>
      <c r="J607" s="79">
        <v>100</v>
      </c>
      <c r="K607" s="79">
        <v>300</v>
      </c>
      <c r="L607" s="76">
        <f t="shared" si="94"/>
        <v>1274</v>
      </c>
      <c r="M607" s="87">
        <v>600</v>
      </c>
      <c r="N607" s="76">
        <f>30</f>
        <v>30</v>
      </c>
      <c r="O607" s="79">
        <v>240</v>
      </c>
      <c r="P607" s="79">
        <v>40</v>
      </c>
      <c r="Q607" s="79">
        <f t="shared" si="95"/>
        <v>315</v>
      </c>
      <c r="R607" s="79">
        <f t="shared" si="96"/>
        <v>100</v>
      </c>
      <c r="S607" s="76">
        <f t="shared" si="97"/>
        <v>695</v>
      </c>
      <c r="T607" s="76">
        <f>0</f>
        <v>0</v>
      </c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</row>
    <row r="608" spans="1:30" ht="15.75" x14ac:dyDescent="0.25">
      <c r="A608" s="31">
        <v>59444</v>
      </c>
      <c r="B608" s="88">
        <f t="shared" si="98"/>
        <v>30</v>
      </c>
      <c r="C608" s="76">
        <f>194.205</f>
        <v>194.20500000000001</v>
      </c>
      <c r="D608" s="76">
        <f>267.466</f>
        <v>267.46600000000001</v>
      </c>
      <c r="E608" s="85">
        <f>133.845</f>
        <v>133.845</v>
      </c>
      <c r="F608" s="76">
        <f>278.484-40-25-60-100</f>
        <v>53.48399999999998</v>
      </c>
      <c r="G608" s="79">
        <v>40</v>
      </c>
      <c r="H608" s="76">
        <f t="shared" si="99"/>
        <v>185</v>
      </c>
      <c r="I608" s="76">
        <f t="shared" si="90"/>
        <v>0</v>
      </c>
      <c r="J608" s="79">
        <v>100</v>
      </c>
      <c r="K608" s="79">
        <v>300</v>
      </c>
      <c r="L608" s="76">
        <f t="shared" si="94"/>
        <v>1274</v>
      </c>
      <c r="M608" s="87">
        <v>600</v>
      </c>
      <c r="N608" s="76">
        <f>30</f>
        <v>30</v>
      </c>
      <c r="O608" s="79">
        <v>240</v>
      </c>
      <c r="P608" s="79">
        <v>40</v>
      </c>
      <c r="Q608" s="79">
        <f t="shared" si="95"/>
        <v>315</v>
      </c>
      <c r="R608" s="79">
        <f t="shared" si="96"/>
        <v>100</v>
      </c>
      <c r="S608" s="76">
        <f t="shared" si="97"/>
        <v>695</v>
      </c>
      <c r="T608" s="76">
        <f>0</f>
        <v>0</v>
      </c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</row>
    <row r="609" spans="1:30" ht="15.75" x14ac:dyDescent="0.25">
      <c r="A609" s="31">
        <v>59475</v>
      </c>
      <c r="B609" s="88">
        <f t="shared" si="98"/>
        <v>31</v>
      </c>
      <c r="C609" s="76">
        <f>131.881</f>
        <v>131.881</v>
      </c>
      <c r="D609" s="76">
        <f>277.167</f>
        <v>277.16699999999997</v>
      </c>
      <c r="E609" s="85">
        <f>79.08</f>
        <v>79.08</v>
      </c>
      <c r="F609" s="76">
        <f>350.872-40-25-60-100</f>
        <v>125.87200000000001</v>
      </c>
      <c r="G609" s="79">
        <v>40</v>
      </c>
      <c r="H609" s="76">
        <f t="shared" si="99"/>
        <v>185</v>
      </c>
      <c r="I609" s="76">
        <f t="shared" si="90"/>
        <v>0</v>
      </c>
      <c r="J609" s="79">
        <v>100</v>
      </c>
      <c r="K609" s="79">
        <v>300</v>
      </c>
      <c r="L609" s="76">
        <f t="shared" si="94"/>
        <v>1239</v>
      </c>
      <c r="M609" s="87">
        <v>600</v>
      </c>
      <c r="N609" s="76">
        <f>75</f>
        <v>75</v>
      </c>
      <c r="O609" s="79">
        <v>240</v>
      </c>
      <c r="P609" s="79">
        <v>40</v>
      </c>
      <c r="Q609" s="79">
        <f t="shared" si="95"/>
        <v>315</v>
      </c>
      <c r="R609" s="79">
        <f t="shared" si="96"/>
        <v>100</v>
      </c>
      <c r="S609" s="76">
        <f t="shared" si="97"/>
        <v>695</v>
      </c>
      <c r="T609" s="76">
        <f>0</f>
        <v>0</v>
      </c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</row>
    <row r="610" spans="1:30" ht="15.75" x14ac:dyDescent="0.25">
      <c r="A610" s="31">
        <v>59505</v>
      </c>
      <c r="B610" s="88">
        <f t="shared" si="98"/>
        <v>30</v>
      </c>
      <c r="C610" s="76">
        <f>122.58</f>
        <v>122.58</v>
      </c>
      <c r="D610" s="76">
        <f>297.941</f>
        <v>297.94099999999997</v>
      </c>
      <c r="E610" s="85">
        <f>89.177</f>
        <v>89.177000000000007</v>
      </c>
      <c r="F610" s="76">
        <f>240.302-40-60-100</f>
        <v>40.301999999999992</v>
      </c>
      <c r="G610" s="79">
        <v>40</v>
      </c>
      <c r="H610" s="76">
        <f>60+100</f>
        <v>160</v>
      </c>
      <c r="I610" s="76">
        <f t="shared" si="90"/>
        <v>0</v>
      </c>
      <c r="J610" s="79">
        <v>100</v>
      </c>
      <c r="K610" s="79">
        <v>300</v>
      </c>
      <c r="L610" s="76">
        <f t="shared" si="94"/>
        <v>1150</v>
      </c>
      <c r="M610" s="87">
        <v>600</v>
      </c>
      <c r="N610" s="76">
        <f>100</f>
        <v>100</v>
      </c>
      <c r="O610" s="79">
        <v>240</v>
      </c>
      <c r="P610" s="79">
        <v>40</v>
      </c>
      <c r="Q610" s="79">
        <f t="shared" si="95"/>
        <v>315</v>
      </c>
      <c r="R610" s="79">
        <f t="shared" si="96"/>
        <v>100</v>
      </c>
      <c r="S610" s="76">
        <f t="shared" si="97"/>
        <v>695</v>
      </c>
      <c r="T610" s="76">
        <f>50</f>
        <v>50</v>
      </c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</row>
    <row r="611" spans="1:30" ht="15.75" x14ac:dyDescent="0.25">
      <c r="A611" s="31">
        <v>59536</v>
      </c>
      <c r="B611" s="88">
        <f t="shared" si="98"/>
        <v>31</v>
      </c>
      <c r="C611" s="76">
        <f>122.58</f>
        <v>122.58</v>
      </c>
      <c r="D611" s="76">
        <f>297.941</f>
        <v>297.94099999999997</v>
      </c>
      <c r="E611" s="85">
        <f>89.177</f>
        <v>89.177000000000007</v>
      </c>
      <c r="F611" s="76">
        <f>240.302-40-60-100</f>
        <v>40.301999999999992</v>
      </c>
      <c r="G611" s="79">
        <v>40</v>
      </c>
      <c r="H611" s="76">
        <f>60+100</f>
        <v>160</v>
      </c>
      <c r="I611" s="76">
        <f t="shared" si="90"/>
        <v>0</v>
      </c>
      <c r="J611" s="79">
        <v>100</v>
      </c>
      <c r="K611" s="79">
        <v>300</v>
      </c>
      <c r="L611" s="76">
        <f t="shared" si="94"/>
        <v>1150</v>
      </c>
      <c r="M611" s="87">
        <v>600</v>
      </c>
      <c r="N611" s="76">
        <f>100</f>
        <v>100</v>
      </c>
      <c r="O611" s="79">
        <v>240</v>
      </c>
      <c r="P611" s="79">
        <v>40</v>
      </c>
      <c r="Q611" s="79">
        <f t="shared" si="95"/>
        <v>315</v>
      </c>
      <c r="R611" s="79">
        <f t="shared" si="96"/>
        <v>100</v>
      </c>
      <c r="S611" s="76">
        <f t="shared" si="97"/>
        <v>695</v>
      </c>
      <c r="T611" s="76">
        <f>50</f>
        <v>50</v>
      </c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</row>
    <row r="612" spans="1:30" ht="15.75" x14ac:dyDescent="0.25">
      <c r="A612" s="31">
        <v>59567</v>
      </c>
      <c r="B612" s="88">
        <f t="shared" si="98"/>
        <v>31</v>
      </c>
      <c r="C612" s="76">
        <f>122.58</f>
        <v>122.58</v>
      </c>
      <c r="D612" s="76">
        <f>297.941</f>
        <v>297.94099999999997</v>
      </c>
      <c r="E612" s="85">
        <f>89.177</f>
        <v>89.177000000000007</v>
      </c>
      <c r="F612" s="76">
        <f>240.302-40-60-100</f>
        <v>40.301999999999992</v>
      </c>
      <c r="G612" s="79">
        <v>40</v>
      </c>
      <c r="H612" s="76">
        <f>60+100</f>
        <v>160</v>
      </c>
      <c r="I612" s="76">
        <f t="shared" si="90"/>
        <v>0</v>
      </c>
      <c r="J612" s="79">
        <v>100</v>
      </c>
      <c r="K612" s="79">
        <v>300</v>
      </c>
      <c r="L612" s="76">
        <f t="shared" si="94"/>
        <v>1150</v>
      </c>
      <c r="M612" s="87">
        <v>600</v>
      </c>
      <c r="N612" s="76">
        <f>100</f>
        <v>100</v>
      </c>
      <c r="O612" s="79">
        <v>240</v>
      </c>
      <c r="P612" s="79">
        <v>40</v>
      </c>
      <c r="Q612" s="79">
        <f t="shared" si="95"/>
        <v>315</v>
      </c>
      <c r="R612" s="79">
        <f t="shared" si="96"/>
        <v>100</v>
      </c>
      <c r="S612" s="76">
        <f t="shared" si="97"/>
        <v>695</v>
      </c>
      <c r="T612" s="76">
        <f>50</f>
        <v>50</v>
      </c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</row>
    <row r="613" spans="1:30" ht="15.75" x14ac:dyDescent="0.25">
      <c r="A613" s="31">
        <v>59595</v>
      </c>
      <c r="B613" s="88">
        <f t="shared" si="98"/>
        <v>28</v>
      </c>
      <c r="C613" s="76">
        <f>122.58</f>
        <v>122.58</v>
      </c>
      <c r="D613" s="76">
        <f>297.941</f>
        <v>297.94099999999997</v>
      </c>
      <c r="E613" s="85">
        <f>89.177</f>
        <v>89.177000000000007</v>
      </c>
      <c r="F613" s="76">
        <f>240.302-40-60-100</f>
        <v>40.301999999999992</v>
      </c>
      <c r="G613" s="79">
        <v>40</v>
      </c>
      <c r="H613" s="76">
        <f>60+100</f>
        <v>160</v>
      </c>
      <c r="I613" s="76">
        <f t="shared" si="90"/>
        <v>0</v>
      </c>
      <c r="J613" s="79">
        <v>100</v>
      </c>
      <c r="K613" s="79">
        <v>300</v>
      </c>
      <c r="L613" s="76">
        <f t="shared" si="94"/>
        <v>1150</v>
      </c>
      <c r="M613" s="87">
        <v>600</v>
      </c>
      <c r="N613" s="76">
        <f>100</f>
        <v>100</v>
      </c>
      <c r="O613" s="79">
        <v>240</v>
      </c>
      <c r="P613" s="79">
        <v>40</v>
      </c>
      <c r="Q613" s="79">
        <f t="shared" si="95"/>
        <v>315</v>
      </c>
      <c r="R613" s="79">
        <f t="shared" si="96"/>
        <v>100</v>
      </c>
      <c r="S613" s="76">
        <f t="shared" si="97"/>
        <v>695</v>
      </c>
      <c r="T613" s="76">
        <f>50</f>
        <v>50</v>
      </c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</row>
    <row r="614" spans="1:30" ht="15.75" x14ac:dyDescent="0.25">
      <c r="A614" s="31">
        <v>59626</v>
      </c>
      <c r="B614" s="88">
        <f t="shared" si="98"/>
        <v>31</v>
      </c>
      <c r="C614" s="76">
        <f>122.58</f>
        <v>122.58</v>
      </c>
      <c r="D614" s="76">
        <f>297.941</f>
        <v>297.94099999999997</v>
      </c>
      <c r="E614" s="85">
        <f>89.177</f>
        <v>89.177000000000007</v>
      </c>
      <c r="F614" s="76">
        <f>240.302-40-60-100</f>
        <v>40.301999999999992</v>
      </c>
      <c r="G614" s="79">
        <v>40</v>
      </c>
      <c r="H614" s="76">
        <f>60+100</f>
        <v>160</v>
      </c>
      <c r="I614" s="76">
        <f t="shared" si="90"/>
        <v>0</v>
      </c>
      <c r="J614" s="79">
        <v>100</v>
      </c>
      <c r="K614" s="79">
        <v>300</v>
      </c>
      <c r="L614" s="76">
        <f t="shared" si="94"/>
        <v>1150</v>
      </c>
      <c r="M614" s="87">
        <v>600</v>
      </c>
      <c r="N614" s="76">
        <f>100</f>
        <v>100</v>
      </c>
      <c r="O614" s="79">
        <v>240</v>
      </c>
      <c r="P614" s="79">
        <v>40</v>
      </c>
      <c r="Q614" s="79">
        <f t="shared" si="95"/>
        <v>315</v>
      </c>
      <c r="R614" s="79">
        <f t="shared" si="96"/>
        <v>100</v>
      </c>
      <c r="S614" s="76">
        <f t="shared" si="97"/>
        <v>695</v>
      </c>
      <c r="T614" s="76">
        <f>50</f>
        <v>50</v>
      </c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</row>
    <row r="615" spans="1:30" ht="15.75" x14ac:dyDescent="0.25">
      <c r="A615" s="31">
        <v>59656</v>
      </c>
      <c r="B615" s="88">
        <f t="shared" si="98"/>
        <v>30</v>
      </c>
      <c r="C615" s="76">
        <f>141.293</f>
        <v>141.29300000000001</v>
      </c>
      <c r="D615" s="76">
        <f>267.993</f>
        <v>267.99299999999999</v>
      </c>
      <c r="E615" s="85">
        <f>115.016</f>
        <v>115.01600000000001</v>
      </c>
      <c r="F615" s="76">
        <f>314.698-40-25-60-100</f>
        <v>89.697999999999979</v>
      </c>
      <c r="G615" s="79">
        <v>40</v>
      </c>
      <c r="H615" s="76">
        <f t="shared" ref="H615:H621" si="100">25+60+100</f>
        <v>185</v>
      </c>
      <c r="I615" s="76">
        <f t="shared" si="90"/>
        <v>0</v>
      </c>
      <c r="J615" s="79">
        <v>100</v>
      </c>
      <c r="K615" s="79">
        <v>300</v>
      </c>
      <c r="L615" s="76">
        <f t="shared" si="94"/>
        <v>1239</v>
      </c>
      <c r="M615" s="87">
        <v>600</v>
      </c>
      <c r="N615" s="76">
        <f>100</f>
        <v>100</v>
      </c>
      <c r="O615" s="79">
        <v>240</v>
      </c>
      <c r="P615" s="79">
        <v>40</v>
      </c>
      <c r="Q615" s="79">
        <f t="shared" si="95"/>
        <v>315</v>
      </c>
      <c r="R615" s="79">
        <f t="shared" si="96"/>
        <v>100</v>
      </c>
      <c r="S615" s="76">
        <f t="shared" si="97"/>
        <v>695</v>
      </c>
      <c r="T615" s="76">
        <f>50</f>
        <v>50</v>
      </c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</row>
    <row r="616" spans="1:30" ht="15.75" x14ac:dyDescent="0.25">
      <c r="A616" s="31">
        <v>59687</v>
      </c>
      <c r="B616" s="88">
        <f t="shared" si="98"/>
        <v>31</v>
      </c>
      <c r="C616" s="76">
        <f>194.205</f>
        <v>194.20500000000001</v>
      </c>
      <c r="D616" s="76">
        <f>267.466</f>
        <v>267.46600000000001</v>
      </c>
      <c r="E616" s="85">
        <f>133.845</f>
        <v>133.845</v>
      </c>
      <c r="F616" s="76">
        <f>278.484-40-25-60-100</f>
        <v>53.48399999999998</v>
      </c>
      <c r="G616" s="79">
        <v>40</v>
      </c>
      <c r="H616" s="76">
        <f t="shared" si="100"/>
        <v>185</v>
      </c>
      <c r="I616" s="76">
        <f t="shared" si="90"/>
        <v>0</v>
      </c>
      <c r="J616" s="79">
        <v>100</v>
      </c>
      <c r="K616" s="79">
        <v>300</v>
      </c>
      <c r="L616" s="76">
        <f t="shared" si="94"/>
        <v>1274</v>
      </c>
      <c r="M616" s="87">
        <v>600</v>
      </c>
      <c r="N616" s="76">
        <f>75</f>
        <v>75</v>
      </c>
      <c r="O616" s="79">
        <v>240</v>
      </c>
      <c r="P616" s="79">
        <v>40</v>
      </c>
      <c r="Q616" s="79">
        <f t="shared" si="95"/>
        <v>315</v>
      </c>
      <c r="R616" s="79">
        <f t="shared" si="96"/>
        <v>100</v>
      </c>
      <c r="S616" s="76">
        <f t="shared" si="97"/>
        <v>695</v>
      </c>
      <c r="T616" s="76">
        <f>50</f>
        <v>50</v>
      </c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</row>
    <row r="617" spans="1:30" ht="15.75" x14ac:dyDescent="0.25">
      <c r="A617" s="31">
        <v>59717</v>
      </c>
      <c r="B617" s="88">
        <f t="shared" si="98"/>
        <v>30</v>
      </c>
      <c r="C617" s="76">
        <f>194.205</f>
        <v>194.20500000000001</v>
      </c>
      <c r="D617" s="76">
        <f>267.466</f>
        <v>267.46600000000001</v>
      </c>
      <c r="E617" s="85">
        <f>133.845</f>
        <v>133.845</v>
      </c>
      <c r="F617" s="76">
        <f>278.484-40-25-60-100</f>
        <v>53.48399999999998</v>
      </c>
      <c r="G617" s="79">
        <v>40</v>
      </c>
      <c r="H617" s="76">
        <f t="shared" si="100"/>
        <v>185</v>
      </c>
      <c r="I617" s="76">
        <f t="shared" si="90"/>
        <v>0</v>
      </c>
      <c r="J617" s="79">
        <v>100</v>
      </c>
      <c r="K617" s="79">
        <v>300</v>
      </c>
      <c r="L617" s="76">
        <f t="shared" si="94"/>
        <v>1274</v>
      </c>
      <c r="M617" s="87">
        <v>600</v>
      </c>
      <c r="N617" s="76">
        <f>30</f>
        <v>30</v>
      </c>
      <c r="O617" s="79">
        <v>240</v>
      </c>
      <c r="P617" s="79">
        <v>40</v>
      </c>
      <c r="Q617" s="79">
        <f t="shared" si="95"/>
        <v>315</v>
      </c>
      <c r="R617" s="79">
        <f t="shared" si="96"/>
        <v>100</v>
      </c>
      <c r="S617" s="76">
        <f t="shared" si="97"/>
        <v>695</v>
      </c>
      <c r="T617" s="76">
        <f>50</f>
        <v>50</v>
      </c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</row>
    <row r="618" spans="1:30" ht="15.75" x14ac:dyDescent="0.25">
      <c r="A618" s="31">
        <v>59748</v>
      </c>
      <c r="B618" s="88">
        <f t="shared" si="98"/>
        <v>31</v>
      </c>
      <c r="C618" s="76">
        <f>194.205</f>
        <v>194.20500000000001</v>
      </c>
      <c r="D618" s="76">
        <f>267.466</f>
        <v>267.46600000000001</v>
      </c>
      <c r="E618" s="85">
        <f>133.845</f>
        <v>133.845</v>
      </c>
      <c r="F618" s="76">
        <f>278.484-40-25-60-100</f>
        <v>53.48399999999998</v>
      </c>
      <c r="G618" s="79">
        <v>40</v>
      </c>
      <c r="H618" s="76">
        <f t="shared" si="100"/>
        <v>185</v>
      </c>
      <c r="I618" s="76">
        <f t="shared" si="90"/>
        <v>0</v>
      </c>
      <c r="J618" s="79">
        <v>100</v>
      </c>
      <c r="K618" s="79">
        <v>300</v>
      </c>
      <c r="L618" s="76">
        <f t="shared" si="94"/>
        <v>1274</v>
      </c>
      <c r="M618" s="87">
        <v>600</v>
      </c>
      <c r="N618" s="76">
        <f>30</f>
        <v>30</v>
      </c>
      <c r="O618" s="79">
        <v>240</v>
      </c>
      <c r="P618" s="79">
        <v>40</v>
      </c>
      <c r="Q618" s="79">
        <f t="shared" si="95"/>
        <v>315</v>
      </c>
      <c r="R618" s="79">
        <f t="shared" si="96"/>
        <v>100</v>
      </c>
      <c r="S618" s="76">
        <f t="shared" si="97"/>
        <v>695</v>
      </c>
      <c r="T618" s="76">
        <f>0</f>
        <v>0</v>
      </c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</row>
    <row r="619" spans="1:30" ht="15.75" x14ac:dyDescent="0.25">
      <c r="A619" s="31">
        <v>59779</v>
      </c>
      <c r="B619" s="88">
        <f t="shared" si="98"/>
        <v>31</v>
      </c>
      <c r="C619" s="76">
        <f>194.205</f>
        <v>194.20500000000001</v>
      </c>
      <c r="D619" s="76">
        <f>267.466</f>
        <v>267.46600000000001</v>
      </c>
      <c r="E619" s="85">
        <f>133.845</f>
        <v>133.845</v>
      </c>
      <c r="F619" s="76">
        <f>278.484-40-25-60-100</f>
        <v>53.48399999999998</v>
      </c>
      <c r="G619" s="79">
        <v>40</v>
      </c>
      <c r="H619" s="76">
        <f t="shared" si="100"/>
        <v>185</v>
      </c>
      <c r="I619" s="76">
        <f t="shared" si="90"/>
        <v>0</v>
      </c>
      <c r="J619" s="79">
        <v>100</v>
      </c>
      <c r="K619" s="79">
        <v>300</v>
      </c>
      <c r="L619" s="76">
        <f t="shared" si="94"/>
        <v>1274</v>
      </c>
      <c r="M619" s="87">
        <v>600</v>
      </c>
      <c r="N619" s="76">
        <f>30</f>
        <v>30</v>
      </c>
      <c r="O619" s="79">
        <v>240</v>
      </c>
      <c r="P619" s="79">
        <v>40</v>
      </c>
      <c r="Q619" s="79">
        <f t="shared" si="95"/>
        <v>315</v>
      </c>
      <c r="R619" s="79">
        <f t="shared" si="96"/>
        <v>100</v>
      </c>
      <c r="S619" s="76">
        <f t="shared" si="97"/>
        <v>695</v>
      </c>
      <c r="T619" s="76">
        <f>0</f>
        <v>0</v>
      </c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</row>
    <row r="620" spans="1:30" ht="15.75" x14ac:dyDescent="0.25">
      <c r="A620" s="31">
        <v>59809</v>
      </c>
      <c r="B620" s="88">
        <f t="shared" si="98"/>
        <v>30</v>
      </c>
      <c r="C620" s="76">
        <f>194.205</f>
        <v>194.20500000000001</v>
      </c>
      <c r="D620" s="76">
        <f>267.466</f>
        <v>267.46600000000001</v>
      </c>
      <c r="E620" s="85">
        <f>133.845</f>
        <v>133.845</v>
      </c>
      <c r="F620" s="76">
        <f>278.484-40-25-60-100</f>
        <v>53.48399999999998</v>
      </c>
      <c r="G620" s="79">
        <v>40</v>
      </c>
      <c r="H620" s="76">
        <f t="shared" si="100"/>
        <v>185</v>
      </c>
      <c r="I620" s="76">
        <f t="shared" si="90"/>
        <v>0</v>
      </c>
      <c r="J620" s="79">
        <v>100</v>
      </c>
      <c r="K620" s="79">
        <v>300</v>
      </c>
      <c r="L620" s="76">
        <f t="shared" si="94"/>
        <v>1274</v>
      </c>
      <c r="M620" s="87">
        <v>600</v>
      </c>
      <c r="N620" s="76">
        <f>30</f>
        <v>30</v>
      </c>
      <c r="O620" s="79">
        <v>240</v>
      </c>
      <c r="P620" s="79">
        <v>40</v>
      </c>
      <c r="Q620" s="79">
        <f t="shared" si="95"/>
        <v>315</v>
      </c>
      <c r="R620" s="79">
        <f t="shared" si="96"/>
        <v>100</v>
      </c>
      <c r="S620" s="76">
        <f t="shared" si="97"/>
        <v>695</v>
      </c>
      <c r="T620" s="76">
        <f>0</f>
        <v>0</v>
      </c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</row>
    <row r="621" spans="1:30" ht="15.75" x14ac:dyDescent="0.25">
      <c r="A621" s="31">
        <v>59840</v>
      </c>
      <c r="B621" s="88">
        <f t="shared" si="98"/>
        <v>31</v>
      </c>
      <c r="C621" s="76">
        <f>131.881</f>
        <v>131.881</v>
      </c>
      <c r="D621" s="76">
        <f>277.167</f>
        <v>277.16699999999997</v>
      </c>
      <c r="E621" s="85">
        <f>79.08</f>
        <v>79.08</v>
      </c>
      <c r="F621" s="76">
        <f>350.872-40-25-60-100</f>
        <v>125.87200000000001</v>
      </c>
      <c r="G621" s="79">
        <v>40</v>
      </c>
      <c r="H621" s="76">
        <f t="shared" si="100"/>
        <v>185</v>
      </c>
      <c r="I621" s="76">
        <f t="shared" si="90"/>
        <v>0</v>
      </c>
      <c r="J621" s="79">
        <v>100</v>
      </c>
      <c r="K621" s="79">
        <v>300</v>
      </c>
      <c r="L621" s="76">
        <f t="shared" si="94"/>
        <v>1239</v>
      </c>
      <c r="M621" s="87">
        <v>600</v>
      </c>
      <c r="N621" s="76">
        <f>75</f>
        <v>75</v>
      </c>
      <c r="O621" s="79">
        <v>240</v>
      </c>
      <c r="P621" s="79">
        <v>40</v>
      </c>
      <c r="Q621" s="79">
        <f t="shared" si="95"/>
        <v>315</v>
      </c>
      <c r="R621" s="79">
        <f t="shared" si="96"/>
        <v>100</v>
      </c>
      <c r="S621" s="76">
        <f t="shared" si="97"/>
        <v>695</v>
      </c>
      <c r="T621" s="76">
        <f>0</f>
        <v>0</v>
      </c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</row>
    <row r="622" spans="1:30" ht="15.75" x14ac:dyDescent="0.25">
      <c r="A622" s="31">
        <v>59870</v>
      </c>
      <c r="B622" s="88">
        <f t="shared" si="98"/>
        <v>30</v>
      </c>
      <c r="C622" s="76">
        <f>122.58</f>
        <v>122.58</v>
      </c>
      <c r="D622" s="76">
        <f>297.941</f>
        <v>297.94099999999997</v>
      </c>
      <c r="E622" s="85">
        <f>89.177</f>
        <v>89.177000000000007</v>
      </c>
      <c r="F622" s="76">
        <f>240.302-40-60-100</f>
        <v>40.301999999999992</v>
      </c>
      <c r="G622" s="79">
        <v>40</v>
      </c>
      <c r="H622" s="76">
        <f>60+100</f>
        <v>160</v>
      </c>
      <c r="I622" s="76">
        <f t="shared" si="90"/>
        <v>0</v>
      </c>
      <c r="J622" s="79">
        <v>100</v>
      </c>
      <c r="K622" s="79">
        <v>300</v>
      </c>
      <c r="L622" s="76">
        <f t="shared" si="94"/>
        <v>1150</v>
      </c>
      <c r="M622" s="87">
        <v>600</v>
      </c>
      <c r="N622" s="76">
        <f>100</f>
        <v>100</v>
      </c>
      <c r="O622" s="79">
        <v>240</v>
      </c>
      <c r="P622" s="79">
        <v>40</v>
      </c>
      <c r="Q622" s="79">
        <f t="shared" si="95"/>
        <v>315</v>
      </c>
      <c r="R622" s="79">
        <f t="shared" si="96"/>
        <v>100</v>
      </c>
      <c r="S622" s="76">
        <f t="shared" si="97"/>
        <v>695</v>
      </c>
      <c r="T622" s="76">
        <f>50</f>
        <v>50</v>
      </c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</row>
    <row r="623" spans="1:30" ht="15.75" x14ac:dyDescent="0.25">
      <c r="A623" s="31">
        <v>59901</v>
      </c>
      <c r="B623" s="88">
        <f t="shared" si="98"/>
        <v>31</v>
      </c>
      <c r="C623" s="76">
        <f>122.58</f>
        <v>122.58</v>
      </c>
      <c r="D623" s="76">
        <f>297.941</f>
        <v>297.94099999999997</v>
      </c>
      <c r="E623" s="85">
        <f>89.177</f>
        <v>89.177000000000007</v>
      </c>
      <c r="F623" s="76">
        <f>240.302-40-60-100</f>
        <v>40.301999999999992</v>
      </c>
      <c r="G623" s="79">
        <v>40</v>
      </c>
      <c r="H623" s="76">
        <f>60+100</f>
        <v>160</v>
      </c>
      <c r="I623" s="76">
        <f t="shared" si="90"/>
        <v>0</v>
      </c>
      <c r="J623" s="79">
        <v>100</v>
      </c>
      <c r="K623" s="79">
        <v>300</v>
      </c>
      <c r="L623" s="76">
        <f t="shared" si="94"/>
        <v>1150</v>
      </c>
      <c r="M623" s="87">
        <v>600</v>
      </c>
      <c r="N623" s="76">
        <f>100</f>
        <v>100</v>
      </c>
      <c r="O623" s="79">
        <v>240</v>
      </c>
      <c r="P623" s="79">
        <v>40</v>
      </c>
      <c r="Q623" s="79">
        <f t="shared" si="95"/>
        <v>315</v>
      </c>
      <c r="R623" s="79">
        <f t="shared" si="96"/>
        <v>100</v>
      </c>
      <c r="S623" s="76">
        <f t="shared" si="97"/>
        <v>695</v>
      </c>
      <c r="T623" s="76">
        <f>50</f>
        <v>50</v>
      </c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</row>
    <row r="624" spans="1:30" ht="15.75" x14ac:dyDescent="0.25">
      <c r="A624" s="31">
        <v>59932</v>
      </c>
      <c r="B624" s="88">
        <f t="shared" si="98"/>
        <v>31</v>
      </c>
      <c r="C624" s="76">
        <f>122.58</f>
        <v>122.58</v>
      </c>
      <c r="D624" s="76">
        <f>297.941</f>
        <v>297.94099999999997</v>
      </c>
      <c r="E624" s="85">
        <f>89.177</f>
        <v>89.177000000000007</v>
      </c>
      <c r="F624" s="76">
        <f>240.302-40-60-100</f>
        <v>40.301999999999992</v>
      </c>
      <c r="G624" s="79">
        <v>40</v>
      </c>
      <c r="H624" s="76">
        <f>60+100</f>
        <v>160</v>
      </c>
      <c r="I624" s="76">
        <f t="shared" si="90"/>
        <v>0</v>
      </c>
      <c r="J624" s="79">
        <v>100</v>
      </c>
      <c r="K624" s="79">
        <v>300</v>
      </c>
      <c r="L624" s="76">
        <f t="shared" si="94"/>
        <v>1150</v>
      </c>
      <c r="M624" s="87">
        <v>600</v>
      </c>
      <c r="N624" s="76">
        <f>100</f>
        <v>100</v>
      </c>
      <c r="O624" s="79">
        <v>240</v>
      </c>
      <c r="P624" s="79">
        <v>40</v>
      </c>
      <c r="Q624" s="79">
        <f t="shared" si="95"/>
        <v>315</v>
      </c>
      <c r="R624" s="79">
        <f t="shared" si="96"/>
        <v>100</v>
      </c>
      <c r="S624" s="76">
        <f t="shared" si="97"/>
        <v>695</v>
      </c>
      <c r="T624" s="76">
        <f>50</f>
        <v>50</v>
      </c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</row>
    <row r="625" spans="1:30" ht="15.75" x14ac:dyDescent="0.25">
      <c r="A625" s="31">
        <v>59961</v>
      </c>
      <c r="B625" s="88">
        <f t="shared" si="98"/>
        <v>29</v>
      </c>
      <c r="C625" s="76">
        <f>122.58</f>
        <v>122.58</v>
      </c>
      <c r="D625" s="76">
        <f>297.941</f>
        <v>297.94099999999997</v>
      </c>
      <c r="E625" s="85">
        <f>89.177</f>
        <v>89.177000000000007</v>
      </c>
      <c r="F625" s="76">
        <f>240.302-40-60-100</f>
        <v>40.301999999999992</v>
      </c>
      <c r="G625" s="79">
        <v>40</v>
      </c>
      <c r="H625" s="76">
        <f>60+100</f>
        <v>160</v>
      </c>
      <c r="I625" s="76">
        <f t="shared" si="90"/>
        <v>0</v>
      </c>
      <c r="J625" s="79">
        <v>100</v>
      </c>
      <c r="K625" s="79">
        <v>300</v>
      </c>
      <c r="L625" s="76">
        <f t="shared" si="94"/>
        <v>1150</v>
      </c>
      <c r="M625" s="87">
        <v>600</v>
      </c>
      <c r="N625" s="76">
        <f>100</f>
        <v>100</v>
      </c>
      <c r="O625" s="79">
        <v>240</v>
      </c>
      <c r="P625" s="79">
        <v>40</v>
      </c>
      <c r="Q625" s="79">
        <f t="shared" si="95"/>
        <v>315</v>
      </c>
      <c r="R625" s="79">
        <f t="shared" si="96"/>
        <v>100</v>
      </c>
      <c r="S625" s="76">
        <f t="shared" si="97"/>
        <v>695</v>
      </c>
      <c r="T625" s="76">
        <f>50</f>
        <v>50</v>
      </c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</row>
    <row r="626" spans="1:30" ht="15.75" x14ac:dyDescent="0.25">
      <c r="A626" s="31">
        <v>59992</v>
      </c>
      <c r="B626" s="88">
        <f t="shared" si="98"/>
        <v>31</v>
      </c>
      <c r="C626" s="76">
        <f>122.58</f>
        <v>122.58</v>
      </c>
      <c r="D626" s="76">
        <f>297.941</f>
        <v>297.94099999999997</v>
      </c>
      <c r="E626" s="85">
        <f>89.177</f>
        <v>89.177000000000007</v>
      </c>
      <c r="F626" s="76">
        <f>240.302-40-60-100</f>
        <v>40.301999999999992</v>
      </c>
      <c r="G626" s="79">
        <v>40</v>
      </c>
      <c r="H626" s="76">
        <f>60+100</f>
        <v>160</v>
      </c>
      <c r="I626" s="76">
        <f t="shared" si="90"/>
        <v>0</v>
      </c>
      <c r="J626" s="79">
        <v>100</v>
      </c>
      <c r="K626" s="79">
        <v>300</v>
      </c>
      <c r="L626" s="76">
        <f t="shared" si="94"/>
        <v>1150</v>
      </c>
      <c r="M626" s="87">
        <v>600</v>
      </c>
      <c r="N626" s="76">
        <f>100</f>
        <v>100</v>
      </c>
      <c r="O626" s="79">
        <v>240</v>
      </c>
      <c r="P626" s="79">
        <v>40</v>
      </c>
      <c r="Q626" s="79">
        <f t="shared" si="95"/>
        <v>315</v>
      </c>
      <c r="R626" s="79">
        <f t="shared" si="96"/>
        <v>100</v>
      </c>
      <c r="S626" s="76">
        <f t="shared" si="97"/>
        <v>695</v>
      </c>
      <c r="T626" s="76">
        <f>50</f>
        <v>50</v>
      </c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</row>
    <row r="627" spans="1:30" ht="15.75" x14ac:dyDescent="0.25">
      <c r="A627" s="31">
        <v>60022</v>
      </c>
      <c r="B627" s="88">
        <f t="shared" si="98"/>
        <v>30</v>
      </c>
      <c r="C627" s="76">
        <f>141.293</f>
        <v>141.29300000000001</v>
      </c>
      <c r="D627" s="76">
        <f>267.993</f>
        <v>267.99299999999999</v>
      </c>
      <c r="E627" s="85">
        <f>115.016</f>
        <v>115.01600000000001</v>
      </c>
      <c r="F627" s="76">
        <f>314.698-40-25-60-100</f>
        <v>89.697999999999979</v>
      </c>
      <c r="G627" s="79">
        <v>40</v>
      </c>
      <c r="H627" s="76">
        <f t="shared" ref="H627:H633" si="101">25+60+100</f>
        <v>185</v>
      </c>
      <c r="I627" s="76">
        <f t="shared" si="90"/>
        <v>0</v>
      </c>
      <c r="J627" s="79">
        <v>100</v>
      </c>
      <c r="K627" s="79">
        <v>300</v>
      </c>
      <c r="L627" s="76">
        <f t="shared" si="94"/>
        <v>1239</v>
      </c>
      <c r="M627" s="87">
        <v>600</v>
      </c>
      <c r="N627" s="76">
        <f>100</f>
        <v>100</v>
      </c>
      <c r="O627" s="79">
        <v>240</v>
      </c>
      <c r="P627" s="79">
        <v>40</v>
      </c>
      <c r="Q627" s="79">
        <f t="shared" si="95"/>
        <v>315</v>
      </c>
      <c r="R627" s="79">
        <f t="shared" si="96"/>
        <v>100</v>
      </c>
      <c r="S627" s="76">
        <f t="shared" si="97"/>
        <v>695</v>
      </c>
      <c r="T627" s="76">
        <f>50</f>
        <v>50</v>
      </c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</row>
    <row r="628" spans="1:30" ht="15.75" x14ac:dyDescent="0.25">
      <c r="A628" s="31">
        <v>60053</v>
      </c>
      <c r="B628" s="88">
        <f t="shared" si="98"/>
        <v>31</v>
      </c>
      <c r="C628" s="76">
        <f>194.205</f>
        <v>194.20500000000001</v>
      </c>
      <c r="D628" s="76">
        <f>267.466</f>
        <v>267.46600000000001</v>
      </c>
      <c r="E628" s="85">
        <f>133.845</f>
        <v>133.845</v>
      </c>
      <c r="F628" s="76">
        <f>278.484-40-25-60-100</f>
        <v>53.48399999999998</v>
      </c>
      <c r="G628" s="79">
        <v>40</v>
      </c>
      <c r="H628" s="76">
        <f t="shared" si="101"/>
        <v>185</v>
      </c>
      <c r="I628" s="76">
        <f t="shared" ref="I628:I691" si="102">400-J628-K628</f>
        <v>0</v>
      </c>
      <c r="J628" s="79">
        <v>100</v>
      </c>
      <c r="K628" s="79">
        <v>300</v>
      </c>
      <c r="L628" s="76">
        <f t="shared" si="94"/>
        <v>1274</v>
      </c>
      <c r="M628" s="87">
        <v>600</v>
      </c>
      <c r="N628" s="76">
        <f>75</f>
        <v>75</v>
      </c>
      <c r="O628" s="79">
        <v>240</v>
      </c>
      <c r="P628" s="79">
        <v>40</v>
      </c>
      <c r="Q628" s="79">
        <f t="shared" si="95"/>
        <v>315</v>
      </c>
      <c r="R628" s="79">
        <f t="shared" si="96"/>
        <v>100</v>
      </c>
      <c r="S628" s="76">
        <f t="shared" si="97"/>
        <v>695</v>
      </c>
      <c r="T628" s="76">
        <f>50</f>
        <v>50</v>
      </c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</row>
    <row r="629" spans="1:30" ht="15.75" x14ac:dyDescent="0.25">
      <c r="A629" s="31">
        <v>60083</v>
      </c>
      <c r="B629" s="88">
        <f t="shared" si="98"/>
        <v>30</v>
      </c>
      <c r="C629" s="76">
        <f>194.205</f>
        <v>194.20500000000001</v>
      </c>
      <c r="D629" s="76">
        <f>267.466</f>
        <v>267.46600000000001</v>
      </c>
      <c r="E629" s="85">
        <f>133.845</f>
        <v>133.845</v>
      </c>
      <c r="F629" s="76">
        <f>278.484-40-25-60-100</f>
        <v>53.48399999999998</v>
      </c>
      <c r="G629" s="79">
        <v>40</v>
      </c>
      <c r="H629" s="76">
        <f t="shared" si="101"/>
        <v>185</v>
      </c>
      <c r="I629" s="76">
        <f t="shared" si="102"/>
        <v>0</v>
      </c>
      <c r="J629" s="79">
        <v>100</v>
      </c>
      <c r="K629" s="79">
        <v>300</v>
      </c>
      <c r="L629" s="76">
        <f t="shared" si="94"/>
        <v>1274</v>
      </c>
      <c r="M629" s="87">
        <v>600</v>
      </c>
      <c r="N629" s="76">
        <f>30</f>
        <v>30</v>
      </c>
      <c r="O629" s="79">
        <v>240</v>
      </c>
      <c r="P629" s="79">
        <v>40</v>
      </c>
      <c r="Q629" s="79">
        <f t="shared" si="95"/>
        <v>315</v>
      </c>
      <c r="R629" s="79">
        <f t="shared" si="96"/>
        <v>100</v>
      </c>
      <c r="S629" s="76">
        <f t="shared" si="97"/>
        <v>695</v>
      </c>
      <c r="T629" s="76">
        <f>50</f>
        <v>50</v>
      </c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</row>
    <row r="630" spans="1:30" ht="15.75" x14ac:dyDescent="0.25">
      <c r="A630" s="31">
        <v>60114</v>
      </c>
      <c r="B630" s="88">
        <f t="shared" si="98"/>
        <v>31</v>
      </c>
      <c r="C630" s="76">
        <f>194.205</f>
        <v>194.20500000000001</v>
      </c>
      <c r="D630" s="76">
        <f>267.466</f>
        <v>267.46600000000001</v>
      </c>
      <c r="E630" s="85">
        <f>133.845</f>
        <v>133.845</v>
      </c>
      <c r="F630" s="76">
        <f>278.484-40-25-60-100</f>
        <v>53.48399999999998</v>
      </c>
      <c r="G630" s="79">
        <v>40</v>
      </c>
      <c r="H630" s="76">
        <f t="shared" si="101"/>
        <v>185</v>
      </c>
      <c r="I630" s="76">
        <f t="shared" si="102"/>
        <v>0</v>
      </c>
      <c r="J630" s="79">
        <v>100</v>
      </c>
      <c r="K630" s="79">
        <v>300</v>
      </c>
      <c r="L630" s="76">
        <f t="shared" si="94"/>
        <v>1274</v>
      </c>
      <c r="M630" s="87">
        <v>600</v>
      </c>
      <c r="N630" s="76">
        <f>30</f>
        <v>30</v>
      </c>
      <c r="O630" s="79">
        <v>240</v>
      </c>
      <c r="P630" s="79">
        <v>40</v>
      </c>
      <c r="Q630" s="79">
        <f t="shared" si="95"/>
        <v>315</v>
      </c>
      <c r="R630" s="79">
        <f t="shared" si="96"/>
        <v>100</v>
      </c>
      <c r="S630" s="76">
        <f t="shared" si="97"/>
        <v>695</v>
      </c>
      <c r="T630" s="76">
        <f>0</f>
        <v>0</v>
      </c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</row>
    <row r="631" spans="1:30" ht="15.75" x14ac:dyDescent="0.25">
      <c r="A631" s="31">
        <v>60145</v>
      </c>
      <c r="B631" s="88">
        <f t="shared" si="98"/>
        <v>31</v>
      </c>
      <c r="C631" s="76">
        <f>194.205</f>
        <v>194.20500000000001</v>
      </c>
      <c r="D631" s="76">
        <f>267.466</f>
        <v>267.46600000000001</v>
      </c>
      <c r="E631" s="85">
        <f>133.845</f>
        <v>133.845</v>
      </c>
      <c r="F631" s="76">
        <f>278.484-40-25-60-100</f>
        <v>53.48399999999998</v>
      </c>
      <c r="G631" s="79">
        <v>40</v>
      </c>
      <c r="H631" s="76">
        <f t="shared" si="101"/>
        <v>185</v>
      </c>
      <c r="I631" s="76">
        <f t="shared" si="102"/>
        <v>0</v>
      </c>
      <c r="J631" s="79">
        <v>100</v>
      </c>
      <c r="K631" s="79">
        <v>300</v>
      </c>
      <c r="L631" s="76">
        <f t="shared" si="94"/>
        <v>1274</v>
      </c>
      <c r="M631" s="87">
        <v>600</v>
      </c>
      <c r="N631" s="76">
        <f>30</f>
        <v>30</v>
      </c>
      <c r="O631" s="79">
        <v>240</v>
      </c>
      <c r="P631" s="79">
        <v>40</v>
      </c>
      <c r="Q631" s="79">
        <f t="shared" si="95"/>
        <v>315</v>
      </c>
      <c r="R631" s="79">
        <f t="shared" si="96"/>
        <v>100</v>
      </c>
      <c r="S631" s="76">
        <f t="shared" si="97"/>
        <v>695</v>
      </c>
      <c r="T631" s="76">
        <f>0</f>
        <v>0</v>
      </c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</row>
    <row r="632" spans="1:30" ht="15.75" x14ac:dyDescent="0.25">
      <c r="A632" s="31">
        <v>60175</v>
      </c>
      <c r="B632" s="88">
        <f t="shared" si="98"/>
        <v>30</v>
      </c>
      <c r="C632" s="76">
        <f>194.205</f>
        <v>194.20500000000001</v>
      </c>
      <c r="D632" s="76">
        <f>267.466</f>
        <v>267.46600000000001</v>
      </c>
      <c r="E632" s="85">
        <f>133.845</f>
        <v>133.845</v>
      </c>
      <c r="F632" s="76">
        <f>278.484-40-25-60-100</f>
        <v>53.48399999999998</v>
      </c>
      <c r="G632" s="79">
        <v>40</v>
      </c>
      <c r="H632" s="76">
        <f t="shared" si="101"/>
        <v>185</v>
      </c>
      <c r="I632" s="76">
        <f t="shared" si="102"/>
        <v>0</v>
      </c>
      <c r="J632" s="79">
        <v>100</v>
      </c>
      <c r="K632" s="79">
        <v>300</v>
      </c>
      <c r="L632" s="76">
        <f t="shared" si="94"/>
        <v>1274</v>
      </c>
      <c r="M632" s="87">
        <v>600</v>
      </c>
      <c r="N632" s="76">
        <f>30</f>
        <v>30</v>
      </c>
      <c r="O632" s="79">
        <v>240</v>
      </c>
      <c r="P632" s="79">
        <v>40</v>
      </c>
      <c r="Q632" s="79">
        <f t="shared" si="95"/>
        <v>315</v>
      </c>
      <c r="R632" s="79">
        <f t="shared" si="96"/>
        <v>100</v>
      </c>
      <c r="S632" s="76">
        <f t="shared" si="97"/>
        <v>695</v>
      </c>
      <c r="T632" s="76">
        <f>0</f>
        <v>0</v>
      </c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</row>
    <row r="633" spans="1:30" ht="15.75" x14ac:dyDescent="0.25">
      <c r="A633" s="31">
        <v>60206</v>
      </c>
      <c r="B633" s="88">
        <f t="shared" si="98"/>
        <v>31</v>
      </c>
      <c r="C633" s="76">
        <f>131.881</f>
        <v>131.881</v>
      </c>
      <c r="D633" s="76">
        <f>277.167</f>
        <v>277.16699999999997</v>
      </c>
      <c r="E633" s="85">
        <f>79.08</f>
        <v>79.08</v>
      </c>
      <c r="F633" s="76">
        <f>350.872-40-25-60-100</f>
        <v>125.87200000000001</v>
      </c>
      <c r="G633" s="79">
        <v>40</v>
      </c>
      <c r="H633" s="76">
        <f t="shared" si="101"/>
        <v>185</v>
      </c>
      <c r="I633" s="76">
        <f t="shared" si="102"/>
        <v>0</v>
      </c>
      <c r="J633" s="79">
        <v>100</v>
      </c>
      <c r="K633" s="79">
        <v>300</v>
      </c>
      <c r="L633" s="76">
        <f t="shared" si="94"/>
        <v>1239</v>
      </c>
      <c r="M633" s="87">
        <v>600</v>
      </c>
      <c r="N633" s="76">
        <f>75</f>
        <v>75</v>
      </c>
      <c r="O633" s="79">
        <v>240</v>
      </c>
      <c r="P633" s="79">
        <v>40</v>
      </c>
      <c r="Q633" s="79">
        <f t="shared" si="95"/>
        <v>315</v>
      </c>
      <c r="R633" s="79">
        <f t="shared" si="96"/>
        <v>100</v>
      </c>
      <c r="S633" s="76">
        <f t="shared" si="97"/>
        <v>695</v>
      </c>
      <c r="T633" s="76">
        <f>0</f>
        <v>0</v>
      </c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</row>
    <row r="634" spans="1:30" ht="15.75" x14ac:dyDescent="0.25">
      <c r="A634" s="31">
        <v>60236</v>
      </c>
      <c r="B634" s="88">
        <f t="shared" si="98"/>
        <v>30</v>
      </c>
      <c r="C634" s="76">
        <f>122.58</f>
        <v>122.58</v>
      </c>
      <c r="D634" s="76">
        <f>297.941</f>
        <v>297.94099999999997</v>
      </c>
      <c r="E634" s="85">
        <f>89.177</f>
        <v>89.177000000000007</v>
      </c>
      <c r="F634" s="76">
        <f>240.302-40-60-100</f>
        <v>40.301999999999992</v>
      </c>
      <c r="G634" s="79">
        <v>40</v>
      </c>
      <c r="H634" s="76">
        <f>60+100</f>
        <v>160</v>
      </c>
      <c r="I634" s="76">
        <f t="shared" si="102"/>
        <v>0</v>
      </c>
      <c r="J634" s="79">
        <v>100</v>
      </c>
      <c r="K634" s="79">
        <v>300</v>
      </c>
      <c r="L634" s="76">
        <f t="shared" si="94"/>
        <v>1150</v>
      </c>
      <c r="M634" s="87">
        <v>600</v>
      </c>
      <c r="N634" s="76">
        <f>100</f>
        <v>100</v>
      </c>
      <c r="O634" s="79">
        <v>240</v>
      </c>
      <c r="P634" s="79">
        <v>40</v>
      </c>
      <c r="Q634" s="79">
        <f t="shared" si="95"/>
        <v>315</v>
      </c>
      <c r="R634" s="79">
        <f t="shared" si="96"/>
        <v>100</v>
      </c>
      <c r="S634" s="76">
        <f t="shared" si="97"/>
        <v>695</v>
      </c>
      <c r="T634" s="76">
        <f>50</f>
        <v>50</v>
      </c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</row>
    <row r="635" spans="1:30" ht="15.75" x14ac:dyDescent="0.25">
      <c r="A635" s="31">
        <v>60267</v>
      </c>
      <c r="B635" s="88">
        <f t="shared" si="98"/>
        <v>31</v>
      </c>
      <c r="C635" s="76">
        <f>122.58</f>
        <v>122.58</v>
      </c>
      <c r="D635" s="76">
        <f>297.941</f>
        <v>297.94099999999997</v>
      </c>
      <c r="E635" s="85">
        <f>89.177</f>
        <v>89.177000000000007</v>
      </c>
      <c r="F635" s="76">
        <f>240.302-40-60-100</f>
        <v>40.301999999999992</v>
      </c>
      <c r="G635" s="79">
        <v>40</v>
      </c>
      <c r="H635" s="76">
        <f>60+100</f>
        <v>160</v>
      </c>
      <c r="I635" s="76">
        <f t="shared" si="102"/>
        <v>0</v>
      </c>
      <c r="J635" s="79">
        <v>100</v>
      </c>
      <c r="K635" s="79">
        <v>300</v>
      </c>
      <c r="L635" s="76">
        <f t="shared" si="94"/>
        <v>1150</v>
      </c>
      <c r="M635" s="87">
        <v>600</v>
      </c>
      <c r="N635" s="76">
        <f>100</f>
        <v>100</v>
      </c>
      <c r="O635" s="79">
        <v>240</v>
      </c>
      <c r="P635" s="79">
        <v>40</v>
      </c>
      <c r="Q635" s="79">
        <f t="shared" si="95"/>
        <v>315</v>
      </c>
      <c r="R635" s="79">
        <f t="shared" si="96"/>
        <v>100</v>
      </c>
      <c r="S635" s="76">
        <f t="shared" si="97"/>
        <v>695</v>
      </c>
      <c r="T635" s="76">
        <f>50</f>
        <v>50</v>
      </c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</row>
    <row r="636" spans="1:30" ht="15.75" x14ac:dyDescent="0.25">
      <c r="A636" s="31">
        <v>60298</v>
      </c>
      <c r="B636" s="88">
        <f t="shared" si="98"/>
        <v>31</v>
      </c>
      <c r="C636" s="76">
        <f>122.58</f>
        <v>122.58</v>
      </c>
      <c r="D636" s="76">
        <f>297.941</f>
        <v>297.94099999999997</v>
      </c>
      <c r="E636" s="85">
        <f>89.177</f>
        <v>89.177000000000007</v>
      </c>
      <c r="F636" s="76">
        <f>240.302-40-60-100</f>
        <v>40.301999999999992</v>
      </c>
      <c r="G636" s="79">
        <v>40</v>
      </c>
      <c r="H636" s="76">
        <f>60+100</f>
        <v>160</v>
      </c>
      <c r="I636" s="76">
        <f t="shared" si="102"/>
        <v>0</v>
      </c>
      <c r="J636" s="79">
        <v>100</v>
      </c>
      <c r="K636" s="79">
        <v>300</v>
      </c>
      <c r="L636" s="76">
        <f t="shared" si="94"/>
        <v>1150</v>
      </c>
      <c r="M636" s="87">
        <v>600</v>
      </c>
      <c r="N636" s="76">
        <f>100</f>
        <v>100</v>
      </c>
      <c r="O636" s="79">
        <v>240</v>
      </c>
      <c r="P636" s="79">
        <v>40</v>
      </c>
      <c r="Q636" s="79">
        <f t="shared" si="95"/>
        <v>315</v>
      </c>
      <c r="R636" s="79">
        <f t="shared" si="96"/>
        <v>100</v>
      </c>
      <c r="S636" s="76">
        <f t="shared" si="97"/>
        <v>695</v>
      </c>
      <c r="T636" s="76">
        <f>50</f>
        <v>50</v>
      </c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</row>
    <row r="637" spans="1:30" ht="15.75" x14ac:dyDescent="0.25">
      <c r="A637" s="31">
        <v>60326</v>
      </c>
      <c r="B637" s="88">
        <f t="shared" si="98"/>
        <v>28</v>
      </c>
      <c r="C637" s="76">
        <f>122.58</f>
        <v>122.58</v>
      </c>
      <c r="D637" s="76">
        <f>297.941</f>
        <v>297.94099999999997</v>
      </c>
      <c r="E637" s="85">
        <f>89.177</f>
        <v>89.177000000000007</v>
      </c>
      <c r="F637" s="76">
        <f>240.302-40-60-100</f>
        <v>40.301999999999992</v>
      </c>
      <c r="G637" s="79">
        <v>40</v>
      </c>
      <c r="H637" s="76">
        <f>60+100</f>
        <v>160</v>
      </c>
      <c r="I637" s="76">
        <f t="shared" si="102"/>
        <v>0</v>
      </c>
      <c r="J637" s="79">
        <v>100</v>
      </c>
      <c r="K637" s="79">
        <v>300</v>
      </c>
      <c r="L637" s="76">
        <f t="shared" si="94"/>
        <v>1150</v>
      </c>
      <c r="M637" s="87">
        <v>600</v>
      </c>
      <c r="N637" s="76">
        <f>100</f>
        <v>100</v>
      </c>
      <c r="O637" s="79">
        <v>240</v>
      </c>
      <c r="P637" s="79">
        <v>40</v>
      </c>
      <c r="Q637" s="79">
        <f t="shared" si="95"/>
        <v>315</v>
      </c>
      <c r="R637" s="79">
        <f t="shared" si="96"/>
        <v>100</v>
      </c>
      <c r="S637" s="76">
        <f t="shared" si="97"/>
        <v>695</v>
      </c>
      <c r="T637" s="76">
        <f>50</f>
        <v>50</v>
      </c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</row>
    <row r="638" spans="1:30" ht="15.75" x14ac:dyDescent="0.25">
      <c r="A638" s="31">
        <v>60357</v>
      </c>
      <c r="B638" s="88">
        <f t="shared" si="98"/>
        <v>31</v>
      </c>
      <c r="C638" s="76">
        <f>122.58</f>
        <v>122.58</v>
      </c>
      <c r="D638" s="76">
        <f>297.941</f>
        <v>297.94099999999997</v>
      </c>
      <c r="E638" s="85">
        <f>89.177</f>
        <v>89.177000000000007</v>
      </c>
      <c r="F638" s="76">
        <f>240.302-40-60-100</f>
        <v>40.301999999999992</v>
      </c>
      <c r="G638" s="79">
        <v>40</v>
      </c>
      <c r="H638" s="76">
        <f>60+100</f>
        <v>160</v>
      </c>
      <c r="I638" s="76">
        <f t="shared" si="102"/>
        <v>0</v>
      </c>
      <c r="J638" s="79">
        <v>100</v>
      </c>
      <c r="K638" s="79">
        <v>300</v>
      </c>
      <c r="L638" s="76">
        <f t="shared" si="94"/>
        <v>1150</v>
      </c>
      <c r="M638" s="87">
        <v>600</v>
      </c>
      <c r="N638" s="76">
        <f>100</f>
        <v>100</v>
      </c>
      <c r="O638" s="79">
        <v>240</v>
      </c>
      <c r="P638" s="79">
        <v>40</v>
      </c>
      <c r="Q638" s="79">
        <f t="shared" si="95"/>
        <v>315</v>
      </c>
      <c r="R638" s="79">
        <f t="shared" si="96"/>
        <v>100</v>
      </c>
      <c r="S638" s="76">
        <f t="shared" si="97"/>
        <v>695</v>
      </c>
      <c r="T638" s="76">
        <f>50</f>
        <v>50</v>
      </c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</row>
    <row r="639" spans="1:30" ht="15.75" x14ac:dyDescent="0.25">
      <c r="A639" s="31">
        <v>60387</v>
      </c>
      <c r="B639" s="88">
        <f t="shared" si="98"/>
        <v>30</v>
      </c>
      <c r="C639" s="76">
        <f>141.293</f>
        <v>141.29300000000001</v>
      </c>
      <c r="D639" s="76">
        <f>267.993</f>
        <v>267.99299999999999</v>
      </c>
      <c r="E639" s="85">
        <f>115.016</f>
        <v>115.01600000000001</v>
      </c>
      <c r="F639" s="76">
        <f>314.698-40-25-60-100</f>
        <v>89.697999999999979</v>
      </c>
      <c r="G639" s="79">
        <v>40</v>
      </c>
      <c r="H639" s="76">
        <f t="shared" ref="H639:H645" si="103">25+60+100</f>
        <v>185</v>
      </c>
      <c r="I639" s="76">
        <f t="shared" si="102"/>
        <v>0</v>
      </c>
      <c r="J639" s="79">
        <v>100</v>
      </c>
      <c r="K639" s="79">
        <v>300</v>
      </c>
      <c r="L639" s="76">
        <f t="shared" si="94"/>
        <v>1239</v>
      </c>
      <c r="M639" s="87">
        <v>600</v>
      </c>
      <c r="N639" s="76">
        <f>100</f>
        <v>100</v>
      </c>
      <c r="O639" s="79">
        <v>240</v>
      </c>
      <c r="P639" s="79">
        <v>40</v>
      </c>
      <c r="Q639" s="79">
        <f t="shared" si="95"/>
        <v>315</v>
      </c>
      <c r="R639" s="79">
        <f t="shared" si="96"/>
        <v>100</v>
      </c>
      <c r="S639" s="76">
        <f t="shared" si="97"/>
        <v>695</v>
      </c>
      <c r="T639" s="76">
        <f>50</f>
        <v>50</v>
      </c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</row>
    <row r="640" spans="1:30" ht="15.75" x14ac:dyDescent="0.25">
      <c r="A640" s="31">
        <v>60418</v>
      </c>
      <c r="B640" s="88">
        <f t="shared" si="98"/>
        <v>31</v>
      </c>
      <c r="C640" s="76">
        <f>194.205</f>
        <v>194.20500000000001</v>
      </c>
      <c r="D640" s="76">
        <f>267.466</f>
        <v>267.46600000000001</v>
      </c>
      <c r="E640" s="85">
        <f>133.845</f>
        <v>133.845</v>
      </c>
      <c r="F640" s="76">
        <f>278.484-40-25-60-100</f>
        <v>53.48399999999998</v>
      </c>
      <c r="G640" s="79">
        <v>40</v>
      </c>
      <c r="H640" s="76">
        <f t="shared" si="103"/>
        <v>185</v>
      </c>
      <c r="I640" s="76">
        <f t="shared" si="102"/>
        <v>0</v>
      </c>
      <c r="J640" s="79">
        <v>100</v>
      </c>
      <c r="K640" s="79">
        <v>300</v>
      </c>
      <c r="L640" s="76">
        <f t="shared" si="94"/>
        <v>1274</v>
      </c>
      <c r="M640" s="87">
        <v>600</v>
      </c>
      <c r="N640" s="76">
        <f>75</f>
        <v>75</v>
      </c>
      <c r="O640" s="79">
        <v>240</v>
      </c>
      <c r="P640" s="79">
        <v>40</v>
      </c>
      <c r="Q640" s="79">
        <f t="shared" si="95"/>
        <v>315</v>
      </c>
      <c r="R640" s="79">
        <f t="shared" si="96"/>
        <v>100</v>
      </c>
      <c r="S640" s="76">
        <f t="shared" si="97"/>
        <v>695</v>
      </c>
      <c r="T640" s="76">
        <f>50</f>
        <v>50</v>
      </c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</row>
    <row r="641" spans="1:30" ht="15.75" x14ac:dyDescent="0.25">
      <c r="A641" s="31">
        <v>60448</v>
      </c>
      <c r="B641" s="88">
        <f t="shared" si="98"/>
        <v>30</v>
      </c>
      <c r="C641" s="76">
        <f>194.205</f>
        <v>194.20500000000001</v>
      </c>
      <c r="D641" s="76">
        <f>267.466</f>
        <v>267.46600000000001</v>
      </c>
      <c r="E641" s="85">
        <f>133.845</f>
        <v>133.845</v>
      </c>
      <c r="F641" s="76">
        <f>278.484-40-25-60-100</f>
        <v>53.48399999999998</v>
      </c>
      <c r="G641" s="79">
        <v>40</v>
      </c>
      <c r="H641" s="76">
        <f t="shared" si="103"/>
        <v>185</v>
      </c>
      <c r="I641" s="76">
        <f t="shared" si="102"/>
        <v>0</v>
      </c>
      <c r="J641" s="79">
        <v>100</v>
      </c>
      <c r="K641" s="79">
        <v>300</v>
      </c>
      <c r="L641" s="76">
        <f t="shared" si="94"/>
        <v>1274</v>
      </c>
      <c r="M641" s="87">
        <v>600</v>
      </c>
      <c r="N641" s="76">
        <f>30</f>
        <v>30</v>
      </c>
      <c r="O641" s="79">
        <v>240</v>
      </c>
      <c r="P641" s="79">
        <v>40</v>
      </c>
      <c r="Q641" s="79">
        <f t="shared" si="95"/>
        <v>315</v>
      </c>
      <c r="R641" s="79">
        <f t="shared" si="96"/>
        <v>100</v>
      </c>
      <c r="S641" s="76">
        <f t="shared" si="97"/>
        <v>695</v>
      </c>
      <c r="T641" s="76">
        <f>50</f>
        <v>50</v>
      </c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</row>
    <row r="642" spans="1:30" ht="15.75" x14ac:dyDescent="0.25">
      <c r="A642" s="31">
        <v>60479</v>
      </c>
      <c r="B642" s="88">
        <f t="shared" si="98"/>
        <v>31</v>
      </c>
      <c r="C642" s="76">
        <f>194.205</f>
        <v>194.20500000000001</v>
      </c>
      <c r="D642" s="76">
        <f>267.466</f>
        <v>267.46600000000001</v>
      </c>
      <c r="E642" s="85">
        <f>133.845</f>
        <v>133.845</v>
      </c>
      <c r="F642" s="76">
        <f>278.484-40-25-60-100</f>
        <v>53.48399999999998</v>
      </c>
      <c r="G642" s="79">
        <v>40</v>
      </c>
      <c r="H642" s="76">
        <f t="shared" si="103"/>
        <v>185</v>
      </c>
      <c r="I642" s="76">
        <f t="shared" si="102"/>
        <v>0</v>
      </c>
      <c r="J642" s="79">
        <v>100</v>
      </c>
      <c r="K642" s="79">
        <v>300</v>
      </c>
      <c r="L642" s="76">
        <f t="shared" si="94"/>
        <v>1274</v>
      </c>
      <c r="M642" s="87">
        <v>600</v>
      </c>
      <c r="N642" s="76">
        <f>30</f>
        <v>30</v>
      </c>
      <c r="O642" s="79">
        <v>240</v>
      </c>
      <c r="P642" s="79">
        <v>40</v>
      </c>
      <c r="Q642" s="79">
        <f t="shared" si="95"/>
        <v>315</v>
      </c>
      <c r="R642" s="79">
        <f t="shared" si="96"/>
        <v>100</v>
      </c>
      <c r="S642" s="76">
        <f t="shared" si="97"/>
        <v>695</v>
      </c>
      <c r="T642" s="76">
        <f>0</f>
        <v>0</v>
      </c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</row>
    <row r="643" spans="1:30" ht="15.75" x14ac:dyDescent="0.25">
      <c r="A643" s="31">
        <v>60510</v>
      </c>
      <c r="B643" s="88">
        <f t="shared" si="98"/>
        <v>31</v>
      </c>
      <c r="C643" s="76">
        <f>194.205</f>
        <v>194.20500000000001</v>
      </c>
      <c r="D643" s="76">
        <f>267.466</f>
        <v>267.46600000000001</v>
      </c>
      <c r="E643" s="85">
        <f>133.845</f>
        <v>133.845</v>
      </c>
      <c r="F643" s="76">
        <f>278.484-40-25-60-100</f>
        <v>53.48399999999998</v>
      </c>
      <c r="G643" s="79">
        <v>40</v>
      </c>
      <c r="H643" s="76">
        <f t="shared" si="103"/>
        <v>185</v>
      </c>
      <c r="I643" s="76">
        <f t="shared" si="102"/>
        <v>0</v>
      </c>
      <c r="J643" s="79">
        <v>100</v>
      </c>
      <c r="K643" s="79">
        <v>300</v>
      </c>
      <c r="L643" s="76">
        <f t="shared" si="94"/>
        <v>1274</v>
      </c>
      <c r="M643" s="87">
        <v>600</v>
      </c>
      <c r="N643" s="76">
        <f>30</f>
        <v>30</v>
      </c>
      <c r="O643" s="79">
        <v>240</v>
      </c>
      <c r="P643" s="79">
        <v>40</v>
      </c>
      <c r="Q643" s="79">
        <f t="shared" si="95"/>
        <v>315</v>
      </c>
      <c r="R643" s="79">
        <f t="shared" si="96"/>
        <v>100</v>
      </c>
      <c r="S643" s="76">
        <f t="shared" si="97"/>
        <v>695</v>
      </c>
      <c r="T643" s="76">
        <f>0</f>
        <v>0</v>
      </c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</row>
    <row r="644" spans="1:30" ht="15.75" x14ac:dyDescent="0.25">
      <c r="A644" s="31">
        <v>60540</v>
      </c>
      <c r="B644" s="88">
        <f t="shared" si="98"/>
        <v>30</v>
      </c>
      <c r="C644" s="76">
        <f>194.205</f>
        <v>194.20500000000001</v>
      </c>
      <c r="D644" s="76">
        <f>267.466</f>
        <v>267.46600000000001</v>
      </c>
      <c r="E644" s="85">
        <f>133.845</f>
        <v>133.845</v>
      </c>
      <c r="F644" s="76">
        <f>278.484-40-25-60-100</f>
        <v>53.48399999999998</v>
      </c>
      <c r="G644" s="79">
        <v>40</v>
      </c>
      <c r="H644" s="76">
        <f t="shared" si="103"/>
        <v>185</v>
      </c>
      <c r="I644" s="76">
        <f t="shared" si="102"/>
        <v>0</v>
      </c>
      <c r="J644" s="79">
        <v>100</v>
      </c>
      <c r="K644" s="79">
        <v>300</v>
      </c>
      <c r="L644" s="76">
        <f t="shared" si="94"/>
        <v>1274</v>
      </c>
      <c r="M644" s="87">
        <v>600</v>
      </c>
      <c r="N644" s="76">
        <f>30</f>
        <v>30</v>
      </c>
      <c r="O644" s="79">
        <v>240</v>
      </c>
      <c r="P644" s="79">
        <v>40</v>
      </c>
      <c r="Q644" s="79">
        <f t="shared" si="95"/>
        <v>315</v>
      </c>
      <c r="R644" s="79">
        <f t="shared" si="96"/>
        <v>100</v>
      </c>
      <c r="S644" s="76">
        <f t="shared" si="97"/>
        <v>695</v>
      </c>
      <c r="T644" s="76">
        <f>0</f>
        <v>0</v>
      </c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</row>
    <row r="645" spans="1:30" ht="15.75" x14ac:dyDescent="0.25">
      <c r="A645" s="31">
        <v>60571</v>
      </c>
      <c r="B645" s="88">
        <f t="shared" si="98"/>
        <v>31</v>
      </c>
      <c r="C645" s="76">
        <f>131.881</f>
        <v>131.881</v>
      </c>
      <c r="D645" s="76">
        <f>277.167</f>
        <v>277.16699999999997</v>
      </c>
      <c r="E645" s="85">
        <f>79.08</f>
        <v>79.08</v>
      </c>
      <c r="F645" s="76">
        <f>350.872-40-25-60-100</f>
        <v>125.87200000000001</v>
      </c>
      <c r="G645" s="79">
        <v>40</v>
      </c>
      <c r="H645" s="76">
        <f t="shared" si="103"/>
        <v>185</v>
      </c>
      <c r="I645" s="76">
        <f t="shared" si="102"/>
        <v>0</v>
      </c>
      <c r="J645" s="79">
        <v>100</v>
      </c>
      <c r="K645" s="79">
        <v>300</v>
      </c>
      <c r="L645" s="76">
        <f t="shared" si="94"/>
        <v>1239</v>
      </c>
      <c r="M645" s="87">
        <v>600</v>
      </c>
      <c r="N645" s="76">
        <f>75</f>
        <v>75</v>
      </c>
      <c r="O645" s="79">
        <v>240</v>
      </c>
      <c r="P645" s="79">
        <v>40</v>
      </c>
      <c r="Q645" s="79">
        <f t="shared" si="95"/>
        <v>315</v>
      </c>
      <c r="R645" s="79">
        <f t="shared" si="96"/>
        <v>100</v>
      </c>
      <c r="S645" s="76">
        <f t="shared" si="97"/>
        <v>695</v>
      </c>
      <c r="T645" s="76">
        <f>0</f>
        <v>0</v>
      </c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</row>
    <row r="646" spans="1:30" ht="15.75" x14ac:dyDescent="0.25">
      <c r="A646" s="31">
        <v>60601</v>
      </c>
      <c r="B646" s="88">
        <f t="shared" si="98"/>
        <v>30</v>
      </c>
      <c r="C646" s="76">
        <f>122.58</f>
        <v>122.58</v>
      </c>
      <c r="D646" s="76">
        <f>297.941</f>
        <v>297.94099999999997</v>
      </c>
      <c r="E646" s="85">
        <f>89.177</f>
        <v>89.177000000000007</v>
      </c>
      <c r="F646" s="76">
        <f>240.302-40-60-100</f>
        <v>40.301999999999992</v>
      </c>
      <c r="G646" s="79">
        <v>40</v>
      </c>
      <c r="H646" s="76">
        <f>60+100</f>
        <v>160</v>
      </c>
      <c r="I646" s="76">
        <f t="shared" si="102"/>
        <v>0</v>
      </c>
      <c r="J646" s="79">
        <v>100</v>
      </c>
      <c r="K646" s="79">
        <v>300</v>
      </c>
      <c r="L646" s="76">
        <f t="shared" si="94"/>
        <v>1150</v>
      </c>
      <c r="M646" s="87">
        <v>600</v>
      </c>
      <c r="N646" s="76">
        <f>100</f>
        <v>100</v>
      </c>
      <c r="O646" s="79">
        <v>240</v>
      </c>
      <c r="P646" s="79">
        <v>40</v>
      </c>
      <c r="Q646" s="79">
        <f t="shared" si="95"/>
        <v>315</v>
      </c>
      <c r="R646" s="79">
        <f t="shared" si="96"/>
        <v>100</v>
      </c>
      <c r="S646" s="76">
        <f t="shared" si="97"/>
        <v>695</v>
      </c>
      <c r="T646" s="76">
        <f>50</f>
        <v>50</v>
      </c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</row>
    <row r="647" spans="1:30" ht="15.75" x14ac:dyDescent="0.25">
      <c r="A647" s="31">
        <v>60632</v>
      </c>
      <c r="B647" s="88">
        <f t="shared" si="98"/>
        <v>31</v>
      </c>
      <c r="C647" s="76">
        <f>122.58</f>
        <v>122.58</v>
      </c>
      <c r="D647" s="76">
        <f>297.941</f>
        <v>297.94099999999997</v>
      </c>
      <c r="E647" s="85">
        <f>89.177</f>
        <v>89.177000000000007</v>
      </c>
      <c r="F647" s="76">
        <f>240.302-40-60-100</f>
        <v>40.301999999999992</v>
      </c>
      <c r="G647" s="79">
        <v>40</v>
      </c>
      <c r="H647" s="76">
        <f>60+100</f>
        <v>160</v>
      </c>
      <c r="I647" s="76">
        <f t="shared" si="102"/>
        <v>0</v>
      </c>
      <c r="J647" s="79">
        <v>100</v>
      </c>
      <c r="K647" s="79">
        <v>300</v>
      </c>
      <c r="L647" s="76">
        <f t="shared" si="94"/>
        <v>1150</v>
      </c>
      <c r="M647" s="87">
        <v>600</v>
      </c>
      <c r="N647" s="76">
        <f>100</f>
        <v>100</v>
      </c>
      <c r="O647" s="79">
        <v>240</v>
      </c>
      <c r="P647" s="79">
        <v>40</v>
      </c>
      <c r="Q647" s="79">
        <f t="shared" si="95"/>
        <v>315</v>
      </c>
      <c r="R647" s="79">
        <f t="shared" si="96"/>
        <v>100</v>
      </c>
      <c r="S647" s="76">
        <f t="shared" si="97"/>
        <v>695</v>
      </c>
      <c r="T647" s="76">
        <f>50</f>
        <v>50</v>
      </c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</row>
    <row r="648" spans="1:30" ht="15.75" x14ac:dyDescent="0.25">
      <c r="A648" s="31">
        <v>60663</v>
      </c>
      <c r="B648" s="88">
        <f t="shared" si="98"/>
        <v>31</v>
      </c>
      <c r="C648" s="76">
        <f>122.58</f>
        <v>122.58</v>
      </c>
      <c r="D648" s="76">
        <f>297.941</f>
        <v>297.94099999999997</v>
      </c>
      <c r="E648" s="85">
        <f>89.177</f>
        <v>89.177000000000007</v>
      </c>
      <c r="F648" s="76">
        <f>240.302-40-60-100</f>
        <v>40.301999999999992</v>
      </c>
      <c r="G648" s="79">
        <v>40</v>
      </c>
      <c r="H648" s="76">
        <f>60+100</f>
        <v>160</v>
      </c>
      <c r="I648" s="76">
        <f t="shared" si="102"/>
        <v>0</v>
      </c>
      <c r="J648" s="79">
        <v>100</v>
      </c>
      <c r="K648" s="79">
        <v>300</v>
      </c>
      <c r="L648" s="76">
        <f t="shared" si="94"/>
        <v>1150</v>
      </c>
      <c r="M648" s="87">
        <v>600</v>
      </c>
      <c r="N648" s="76">
        <f>100</f>
        <v>100</v>
      </c>
      <c r="O648" s="79">
        <v>240</v>
      </c>
      <c r="P648" s="79">
        <v>40</v>
      </c>
      <c r="Q648" s="79">
        <f t="shared" si="95"/>
        <v>315</v>
      </c>
      <c r="R648" s="79">
        <f t="shared" si="96"/>
        <v>100</v>
      </c>
      <c r="S648" s="76">
        <f t="shared" si="97"/>
        <v>695</v>
      </c>
      <c r="T648" s="76">
        <f>50</f>
        <v>50</v>
      </c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</row>
    <row r="649" spans="1:30" ht="15.75" x14ac:dyDescent="0.25">
      <c r="A649" s="31">
        <v>60691</v>
      </c>
      <c r="B649" s="88">
        <f t="shared" si="98"/>
        <v>28</v>
      </c>
      <c r="C649" s="76">
        <f>122.58</f>
        <v>122.58</v>
      </c>
      <c r="D649" s="76">
        <f>297.941</f>
        <v>297.94099999999997</v>
      </c>
      <c r="E649" s="85">
        <f>89.177</f>
        <v>89.177000000000007</v>
      </c>
      <c r="F649" s="76">
        <f>240.302-40-60-100</f>
        <v>40.301999999999992</v>
      </c>
      <c r="G649" s="79">
        <v>40</v>
      </c>
      <c r="H649" s="76">
        <f>60+100</f>
        <v>160</v>
      </c>
      <c r="I649" s="76">
        <f t="shared" si="102"/>
        <v>0</v>
      </c>
      <c r="J649" s="79">
        <v>100</v>
      </c>
      <c r="K649" s="79">
        <v>300</v>
      </c>
      <c r="L649" s="76">
        <f t="shared" si="94"/>
        <v>1150</v>
      </c>
      <c r="M649" s="87">
        <v>600</v>
      </c>
      <c r="N649" s="76">
        <f>100</f>
        <v>100</v>
      </c>
      <c r="O649" s="79">
        <v>240</v>
      </c>
      <c r="P649" s="79">
        <v>40</v>
      </c>
      <c r="Q649" s="79">
        <f t="shared" si="95"/>
        <v>315</v>
      </c>
      <c r="R649" s="79">
        <f t="shared" si="96"/>
        <v>100</v>
      </c>
      <c r="S649" s="76">
        <f t="shared" si="97"/>
        <v>695</v>
      </c>
      <c r="T649" s="76">
        <f>50</f>
        <v>50</v>
      </c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</row>
    <row r="650" spans="1:30" ht="15.75" x14ac:dyDescent="0.25">
      <c r="A650" s="31">
        <v>60722</v>
      </c>
      <c r="B650" s="88">
        <f t="shared" si="98"/>
        <v>31</v>
      </c>
      <c r="C650" s="76">
        <f>122.58</f>
        <v>122.58</v>
      </c>
      <c r="D650" s="76">
        <f>297.941</f>
        <v>297.94099999999997</v>
      </c>
      <c r="E650" s="85">
        <f>89.177</f>
        <v>89.177000000000007</v>
      </c>
      <c r="F650" s="76">
        <f>240.302-40-60-100</f>
        <v>40.301999999999992</v>
      </c>
      <c r="G650" s="79">
        <v>40</v>
      </c>
      <c r="H650" s="76">
        <f>60+100</f>
        <v>160</v>
      </c>
      <c r="I650" s="76">
        <f t="shared" si="102"/>
        <v>0</v>
      </c>
      <c r="J650" s="79">
        <v>100</v>
      </c>
      <c r="K650" s="79">
        <v>300</v>
      </c>
      <c r="L650" s="76">
        <f t="shared" si="94"/>
        <v>1150</v>
      </c>
      <c r="M650" s="87">
        <v>600</v>
      </c>
      <c r="N650" s="76">
        <f>100</f>
        <v>100</v>
      </c>
      <c r="O650" s="79">
        <v>240</v>
      </c>
      <c r="P650" s="79">
        <v>40</v>
      </c>
      <c r="Q650" s="79">
        <f t="shared" si="95"/>
        <v>315</v>
      </c>
      <c r="R650" s="79">
        <f t="shared" si="96"/>
        <v>100</v>
      </c>
      <c r="S650" s="76">
        <f t="shared" si="97"/>
        <v>695</v>
      </c>
      <c r="T650" s="76">
        <f>50</f>
        <v>50</v>
      </c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</row>
    <row r="651" spans="1:30" ht="15.75" x14ac:dyDescent="0.25">
      <c r="A651" s="31">
        <v>60752</v>
      </c>
      <c r="B651" s="88">
        <f t="shared" si="98"/>
        <v>30</v>
      </c>
      <c r="C651" s="76">
        <f>141.293</f>
        <v>141.29300000000001</v>
      </c>
      <c r="D651" s="76">
        <f>267.993</f>
        <v>267.99299999999999</v>
      </c>
      <c r="E651" s="85">
        <f>115.016</f>
        <v>115.01600000000001</v>
      </c>
      <c r="F651" s="76">
        <f>314.698-40-25-60-100</f>
        <v>89.697999999999979</v>
      </c>
      <c r="G651" s="79">
        <v>40</v>
      </c>
      <c r="H651" s="76">
        <f t="shared" ref="H651:H657" si="104">25+60+100</f>
        <v>185</v>
      </c>
      <c r="I651" s="76">
        <f t="shared" si="102"/>
        <v>0</v>
      </c>
      <c r="J651" s="79">
        <v>100</v>
      </c>
      <c r="K651" s="79">
        <v>300</v>
      </c>
      <c r="L651" s="76">
        <f t="shared" si="94"/>
        <v>1239</v>
      </c>
      <c r="M651" s="87">
        <v>600</v>
      </c>
      <c r="N651" s="76">
        <f>100</f>
        <v>100</v>
      </c>
      <c r="O651" s="79">
        <v>240</v>
      </c>
      <c r="P651" s="79">
        <v>40</v>
      </c>
      <c r="Q651" s="79">
        <f t="shared" si="95"/>
        <v>315</v>
      </c>
      <c r="R651" s="79">
        <f t="shared" si="96"/>
        <v>100</v>
      </c>
      <c r="S651" s="76">
        <f t="shared" si="97"/>
        <v>695</v>
      </c>
      <c r="T651" s="76">
        <f>50</f>
        <v>50</v>
      </c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</row>
    <row r="652" spans="1:30" ht="15.75" x14ac:dyDescent="0.25">
      <c r="A652" s="31">
        <v>60783</v>
      </c>
      <c r="B652" s="88">
        <f t="shared" si="98"/>
        <v>31</v>
      </c>
      <c r="C652" s="76">
        <f>194.205</f>
        <v>194.20500000000001</v>
      </c>
      <c r="D652" s="76">
        <f>267.466</f>
        <v>267.46600000000001</v>
      </c>
      <c r="E652" s="85">
        <f>133.845</f>
        <v>133.845</v>
      </c>
      <c r="F652" s="76">
        <f>278.484-40-25-60-100</f>
        <v>53.48399999999998</v>
      </c>
      <c r="G652" s="79">
        <v>40</v>
      </c>
      <c r="H652" s="76">
        <f t="shared" si="104"/>
        <v>185</v>
      </c>
      <c r="I652" s="76">
        <f t="shared" si="102"/>
        <v>0</v>
      </c>
      <c r="J652" s="79">
        <v>100</v>
      </c>
      <c r="K652" s="79">
        <v>300</v>
      </c>
      <c r="L652" s="76">
        <f t="shared" si="94"/>
        <v>1274</v>
      </c>
      <c r="M652" s="87">
        <v>600</v>
      </c>
      <c r="N652" s="76">
        <f>75</f>
        <v>75</v>
      </c>
      <c r="O652" s="79">
        <v>240</v>
      </c>
      <c r="P652" s="79">
        <v>40</v>
      </c>
      <c r="Q652" s="79">
        <f t="shared" si="95"/>
        <v>315</v>
      </c>
      <c r="R652" s="79">
        <f t="shared" si="96"/>
        <v>100</v>
      </c>
      <c r="S652" s="76">
        <f t="shared" si="97"/>
        <v>695</v>
      </c>
      <c r="T652" s="76">
        <f>50</f>
        <v>50</v>
      </c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</row>
    <row r="653" spans="1:30" ht="15.75" x14ac:dyDescent="0.25">
      <c r="A653" s="31">
        <v>60813</v>
      </c>
      <c r="B653" s="88">
        <f t="shared" si="98"/>
        <v>30</v>
      </c>
      <c r="C653" s="76">
        <f>194.205</f>
        <v>194.20500000000001</v>
      </c>
      <c r="D653" s="76">
        <f>267.466</f>
        <v>267.46600000000001</v>
      </c>
      <c r="E653" s="85">
        <f>133.845</f>
        <v>133.845</v>
      </c>
      <c r="F653" s="76">
        <f>278.484-40-25-60-100</f>
        <v>53.48399999999998</v>
      </c>
      <c r="G653" s="79">
        <v>40</v>
      </c>
      <c r="H653" s="76">
        <f t="shared" si="104"/>
        <v>185</v>
      </c>
      <c r="I653" s="76">
        <f t="shared" si="102"/>
        <v>0</v>
      </c>
      <c r="J653" s="79">
        <v>100</v>
      </c>
      <c r="K653" s="79">
        <v>300</v>
      </c>
      <c r="L653" s="76">
        <f t="shared" si="94"/>
        <v>1274</v>
      </c>
      <c r="M653" s="87">
        <v>600</v>
      </c>
      <c r="N653" s="76">
        <f>30</f>
        <v>30</v>
      </c>
      <c r="O653" s="79">
        <v>240</v>
      </c>
      <c r="P653" s="79">
        <v>40</v>
      </c>
      <c r="Q653" s="79">
        <f t="shared" si="95"/>
        <v>315</v>
      </c>
      <c r="R653" s="79">
        <f t="shared" si="96"/>
        <v>100</v>
      </c>
      <c r="S653" s="76">
        <f t="shared" si="97"/>
        <v>695</v>
      </c>
      <c r="T653" s="76">
        <f>50</f>
        <v>50</v>
      </c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</row>
    <row r="654" spans="1:30" ht="15.75" x14ac:dyDescent="0.25">
      <c r="A654" s="31">
        <v>60844</v>
      </c>
      <c r="B654" s="88">
        <f t="shared" si="98"/>
        <v>31</v>
      </c>
      <c r="C654" s="76">
        <f>194.205</f>
        <v>194.20500000000001</v>
      </c>
      <c r="D654" s="76">
        <f>267.466</f>
        <v>267.46600000000001</v>
      </c>
      <c r="E654" s="85">
        <f>133.845</f>
        <v>133.845</v>
      </c>
      <c r="F654" s="76">
        <f>278.484-40-25-60-100</f>
        <v>53.48399999999998</v>
      </c>
      <c r="G654" s="79">
        <v>40</v>
      </c>
      <c r="H654" s="76">
        <f t="shared" si="104"/>
        <v>185</v>
      </c>
      <c r="I654" s="76">
        <f t="shared" si="102"/>
        <v>0</v>
      </c>
      <c r="J654" s="79">
        <v>100</v>
      </c>
      <c r="K654" s="79">
        <v>300</v>
      </c>
      <c r="L654" s="76">
        <f t="shared" si="94"/>
        <v>1274</v>
      </c>
      <c r="M654" s="87">
        <v>600</v>
      </c>
      <c r="N654" s="76">
        <f>30</f>
        <v>30</v>
      </c>
      <c r="O654" s="79">
        <v>240</v>
      </c>
      <c r="P654" s="79">
        <v>40</v>
      </c>
      <c r="Q654" s="79">
        <f t="shared" si="95"/>
        <v>315</v>
      </c>
      <c r="R654" s="79">
        <f t="shared" si="96"/>
        <v>100</v>
      </c>
      <c r="S654" s="76">
        <f t="shared" si="97"/>
        <v>695</v>
      </c>
      <c r="T654" s="76">
        <f>0</f>
        <v>0</v>
      </c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</row>
    <row r="655" spans="1:30" ht="15.75" x14ac:dyDescent="0.25">
      <c r="A655" s="31">
        <v>60875</v>
      </c>
      <c r="B655" s="88">
        <f t="shared" si="98"/>
        <v>31</v>
      </c>
      <c r="C655" s="76">
        <f>194.205</f>
        <v>194.20500000000001</v>
      </c>
      <c r="D655" s="76">
        <f>267.466</f>
        <v>267.46600000000001</v>
      </c>
      <c r="E655" s="85">
        <f>133.845</f>
        <v>133.845</v>
      </c>
      <c r="F655" s="76">
        <f>278.484-40-25-60-100</f>
        <v>53.48399999999998</v>
      </c>
      <c r="G655" s="79">
        <v>40</v>
      </c>
      <c r="H655" s="76">
        <f t="shared" si="104"/>
        <v>185</v>
      </c>
      <c r="I655" s="76">
        <f t="shared" si="102"/>
        <v>0</v>
      </c>
      <c r="J655" s="79">
        <v>100</v>
      </c>
      <c r="K655" s="79">
        <v>300</v>
      </c>
      <c r="L655" s="76">
        <f t="shared" si="94"/>
        <v>1274</v>
      </c>
      <c r="M655" s="87">
        <v>600</v>
      </c>
      <c r="N655" s="76">
        <f>30</f>
        <v>30</v>
      </c>
      <c r="O655" s="79">
        <v>240</v>
      </c>
      <c r="P655" s="79">
        <v>40</v>
      </c>
      <c r="Q655" s="79">
        <f t="shared" si="95"/>
        <v>315</v>
      </c>
      <c r="R655" s="79">
        <f t="shared" si="96"/>
        <v>100</v>
      </c>
      <c r="S655" s="76">
        <f t="shared" si="97"/>
        <v>695</v>
      </c>
      <c r="T655" s="76">
        <f>0</f>
        <v>0</v>
      </c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</row>
    <row r="656" spans="1:30" ht="15.75" x14ac:dyDescent="0.25">
      <c r="A656" s="31">
        <v>60905</v>
      </c>
      <c r="B656" s="88">
        <f t="shared" si="98"/>
        <v>30</v>
      </c>
      <c r="C656" s="76">
        <f>194.205</f>
        <v>194.20500000000001</v>
      </c>
      <c r="D656" s="76">
        <f>267.466</f>
        <v>267.46600000000001</v>
      </c>
      <c r="E656" s="85">
        <f>133.845</f>
        <v>133.845</v>
      </c>
      <c r="F656" s="76">
        <f>278.484-40-25-60-100</f>
        <v>53.48399999999998</v>
      </c>
      <c r="G656" s="79">
        <v>40</v>
      </c>
      <c r="H656" s="76">
        <f t="shared" si="104"/>
        <v>185</v>
      </c>
      <c r="I656" s="76">
        <f t="shared" si="102"/>
        <v>0</v>
      </c>
      <c r="J656" s="79">
        <v>100</v>
      </c>
      <c r="K656" s="79">
        <v>300</v>
      </c>
      <c r="L656" s="76">
        <f t="shared" si="94"/>
        <v>1274</v>
      </c>
      <c r="M656" s="87">
        <v>600</v>
      </c>
      <c r="N656" s="76">
        <f>30</f>
        <v>30</v>
      </c>
      <c r="O656" s="79">
        <v>240</v>
      </c>
      <c r="P656" s="79">
        <v>40</v>
      </c>
      <c r="Q656" s="79">
        <f t="shared" si="95"/>
        <v>315</v>
      </c>
      <c r="R656" s="79">
        <f t="shared" si="96"/>
        <v>100</v>
      </c>
      <c r="S656" s="76">
        <f t="shared" si="97"/>
        <v>695</v>
      </c>
      <c r="T656" s="76">
        <f>0</f>
        <v>0</v>
      </c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</row>
    <row r="657" spans="1:30" ht="15.75" x14ac:dyDescent="0.25">
      <c r="A657" s="31">
        <v>60936</v>
      </c>
      <c r="B657" s="88">
        <f t="shared" si="98"/>
        <v>31</v>
      </c>
      <c r="C657" s="76">
        <f>131.881</f>
        <v>131.881</v>
      </c>
      <c r="D657" s="76">
        <f>277.167</f>
        <v>277.16699999999997</v>
      </c>
      <c r="E657" s="85">
        <f>79.08</f>
        <v>79.08</v>
      </c>
      <c r="F657" s="76">
        <f>350.872-40-25-60-100</f>
        <v>125.87200000000001</v>
      </c>
      <c r="G657" s="79">
        <v>40</v>
      </c>
      <c r="H657" s="76">
        <f t="shared" si="104"/>
        <v>185</v>
      </c>
      <c r="I657" s="76">
        <f t="shared" si="102"/>
        <v>0</v>
      </c>
      <c r="J657" s="79">
        <v>100</v>
      </c>
      <c r="K657" s="79">
        <v>300</v>
      </c>
      <c r="L657" s="76">
        <f t="shared" si="94"/>
        <v>1239</v>
      </c>
      <c r="M657" s="87">
        <v>600</v>
      </c>
      <c r="N657" s="76">
        <f>75</f>
        <v>75</v>
      </c>
      <c r="O657" s="79">
        <v>240</v>
      </c>
      <c r="P657" s="79">
        <v>40</v>
      </c>
      <c r="Q657" s="79">
        <f t="shared" si="95"/>
        <v>315</v>
      </c>
      <c r="R657" s="79">
        <f t="shared" si="96"/>
        <v>100</v>
      </c>
      <c r="S657" s="76">
        <f t="shared" si="97"/>
        <v>695</v>
      </c>
      <c r="T657" s="76">
        <f>0</f>
        <v>0</v>
      </c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</row>
    <row r="658" spans="1:30" ht="15.75" x14ac:dyDescent="0.25">
      <c r="A658" s="31">
        <v>60966</v>
      </c>
      <c r="B658" s="88">
        <f t="shared" si="98"/>
        <v>30</v>
      </c>
      <c r="C658" s="76">
        <f>122.58</f>
        <v>122.58</v>
      </c>
      <c r="D658" s="76">
        <f>297.941</f>
        <v>297.94099999999997</v>
      </c>
      <c r="E658" s="85">
        <f>89.177</f>
        <v>89.177000000000007</v>
      </c>
      <c r="F658" s="76">
        <f>240.302-40-60-100</f>
        <v>40.301999999999992</v>
      </c>
      <c r="G658" s="79">
        <v>40</v>
      </c>
      <c r="H658" s="76">
        <f>60+100</f>
        <v>160</v>
      </c>
      <c r="I658" s="76">
        <f t="shared" si="102"/>
        <v>0</v>
      </c>
      <c r="J658" s="79">
        <v>100</v>
      </c>
      <c r="K658" s="79">
        <v>300</v>
      </c>
      <c r="L658" s="76">
        <f t="shared" ref="L658:L721" si="105">SUM(C658:K658)</f>
        <v>1150</v>
      </c>
      <c r="M658" s="87">
        <v>600</v>
      </c>
      <c r="N658" s="76">
        <f>100</f>
        <v>100</v>
      </c>
      <c r="O658" s="79">
        <v>240</v>
      </c>
      <c r="P658" s="79">
        <v>40</v>
      </c>
      <c r="Q658" s="79">
        <f t="shared" ref="Q658:Q721" si="106">695-R658-O658-P658</f>
        <v>315</v>
      </c>
      <c r="R658" s="79">
        <f t="shared" ref="R658:R721" si="107">200-J658</f>
        <v>100</v>
      </c>
      <c r="S658" s="76">
        <f t="shared" ref="S658:S721" si="108">SUM(O658:R658)</f>
        <v>695</v>
      </c>
      <c r="T658" s="76">
        <f>50</f>
        <v>50</v>
      </c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</row>
    <row r="659" spans="1:30" ht="15.75" x14ac:dyDescent="0.25">
      <c r="A659" s="31">
        <v>60997</v>
      </c>
      <c r="B659" s="88">
        <f t="shared" si="98"/>
        <v>31</v>
      </c>
      <c r="C659" s="76">
        <f>122.58</f>
        <v>122.58</v>
      </c>
      <c r="D659" s="76">
        <f>297.941</f>
        <v>297.94099999999997</v>
      </c>
      <c r="E659" s="85">
        <f>89.177</f>
        <v>89.177000000000007</v>
      </c>
      <c r="F659" s="76">
        <f>240.302-40-60-100</f>
        <v>40.301999999999992</v>
      </c>
      <c r="G659" s="79">
        <v>40</v>
      </c>
      <c r="H659" s="76">
        <f>60+100</f>
        <v>160</v>
      </c>
      <c r="I659" s="76">
        <f t="shared" si="102"/>
        <v>0</v>
      </c>
      <c r="J659" s="79">
        <v>100</v>
      </c>
      <c r="K659" s="79">
        <v>300</v>
      </c>
      <c r="L659" s="76">
        <f t="shared" si="105"/>
        <v>1150</v>
      </c>
      <c r="M659" s="87">
        <v>600</v>
      </c>
      <c r="N659" s="76">
        <f>100</f>
        <v>100</v>
      </c>
      <c r="O659" s="79">
        <v>240</v>
      </c>
      <c r="P659" s="79">
        <v>40</v>
      </c>
      <c r="Q659" s="79">
        <f t="shared" si="106"/>
        <v>315</v>
      </c>
      <c r="R659" s="79">
        <f t="shared" si="107"/>
        <v>100</v>
      </c>
      <c r="S659" s="76">
        <f t="shared" si="108"/>
        <v>695</v>
      </c>
      <c r="T659" s="76">
        <f>50</f>
        <v>50</v>
      </c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</row>
    <row r="660" spans="1:30" ht="15.75" x14ac:dyDescent="0.25">
      <c r="A660" s="31">
        <v>61028</v>
      </c>
      <c r="B660" s="88">
        <f t="shared" si="98"/>
        <v>31</v>
      </c>
      <c r="C660" s="76">
        <f>122.58</f>
        <v>122.58</v>
      </c>
      <c r="D660" s="76">
        <f>297.941</f>
        <v>297.94099999999997</v>
      </c>
      <c r="E660" s="85">
        <f>89.177</f>
        <v>89.177000000000007</v>
      </c>
      <c r="F660" s="76">
        <f>240.302-40-60-100</f>
        <v>40.301999999999992</v>
      </c>
      <c r="G660" s="79">
        <v>40</v>
      </c>
      <c r="H660" s="76">
        <f>60+100</f>
        <v>160</v>
      </c>
      <c r="I660" s="76">
        <f t="shared" si="102"/>
        <v>0</v>
      </c>
      <c r="J660" s="79">
        <v>100</v>
      </c>
      <c r="K660" s="79">
        <v>300</v>
      </c>
      <c r="L660" s="76">
        <f t="shared" si="105"/>
        <v>1150</v>
      </c>
      <c r="M660" s="87">
        <v>600</v>
      </c>
      <c r="N660" s="76">
        <f>100</f>
        <v>100</v>
      </c>
      <c r="O660" s="79">
        <v>240</v>
      </c>
      <c r="P660" s="79">
        <v>40</v>
      </c>
      <c r="Q660" s="79">
        <f t="shared" si="106"/>
        <v>315</v>
      </c>
      <c r="R660" s="79">
        <f t="shared" si="107"/>
        <v>100</v>
      </c>
      <c r="S660" s="76">
        <f t="shared" si="108"/>
        <v>695</v>
      </c>
      <c r="T660" s="76">
        <f>50</f>
        <v>50</v>
      </c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</row>
    <row r="661" spans="1:30" ht="15.75" x14ac:dyDescent="0.25">
      <c r="A661" s="31">
        <v>61056</v>
      </c>
      <c r="B661" s="88">
        <f t="shared" si="98"/>
        <v>28</v>
      </c>
      <c r="C661" s="76">
        <f>122.58</f>
        <v>122.58</v>
      </c>
      <c r="D661" s="76">
        <f>297.941</f>
        <v>297.94099999999997</v>
      </c>
      <c r="E661" s="85">
        <f>89.177</f>
        <v>89.177000000000007</v>
      </c>
      <c r="F661" s="76">
        <f>240.302-40-60-100</f>
        <v>40.301999999999992</v>
      </c>
      <c r="G661" s="79">
        <v>40</v>
      </c>
      <c r="H661" s="76">
        <f>60+100</f>
        <v>160</v>
      </c>
      <c r="I661" s="76">
        <f t="shared" si="102"/>
        <v>0</v>
      </c>
      <c r="J661" s="79">
        <v>100</v>
      </c>
      <c r="K661" s="79">
        <v>300</v>
      </c>
      <c r="L661" s="76">
        <f t="shared" si="105"/>
        <v>1150</v>
      </c>
      <c r="M661" s="87">
        <v>600</v>
      </c>
      <c r="N661" s="76">
        <f>100</f>
        <v>100</v>
      </c>
      <c r="O661" s="79">
        <v>240</v>
      </c>
      <c r="P661" s="79">
        <v>40</v>
      </c>
      <c r="Q661" s="79">
        <f t="shared" si="106"/>
        <v>315</v>
      </c>
      <c r="R661" s="79">
        <f t="shared" si="107"/>
        <v>100</v>
      </c>
      <c r="S661" s="76">
        <f t="shared" si="108"/>
        <v>695</v>
      </c>
      <c r="T661" s="76">
        <f>50</f>
        <v>50</v>
      </c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</row>
    <row r="662" spans="1:30" ht="15.75" x14ac:dyDescent="0.25">
      <c r="A662" s="31">
        <v>61087</v>
      </c>
      <c r="B662" s="88">
        <f t="shared" si="98"/>
        <v>31</v>
      </c>
      <c r="C662" s="76">
        <f>122.58</f>
        <v>122.58</v>
      </c>
      <c r="D662" s="76">
        <f>297.941</f>
        <v>297.94099999999997</v>
      </c>
      <c r="E662" s="85">
        <f>89.177</f>
        <v>89.177000000000007</v>
      </c>
      <c r="F662" s="76">
        <f>240.302-40-60-100</f>
        <v>40.301999999999992</v>
      </c>
      <c r="G662" s="79">
        <v>40</v>
      </c>
      <c r="H662" s="76">
        <f>60+100</f>
        <v>160</v>
      </c>
      <c r="I662" s="76">
        <f t="shared" si="102"/>
        <v>0</v>
      </c>
      <c r="J662" s="79">
        <v>100</v>
      </c>
      <c r="K662" s="79">
        <v>300</v>
      </c>
      <c r="L662" s="76">
        <f t="shared" si="105"/>
        <v>1150</v>
      </c>
      <c r="M662" s="87">
        <v>600</v>
      </c>
      <c r="N662" s="76">
        <f>100</f>
        <v>100</v>
      </c>
      <c r="O662" s="79">
        <v>240</v>
      </c>
      <c r="P662" s="79">
        <v>40</v>
      </c>
      <c r="Q662" s="79">
        <f t="shared" si="106"/>
        <v>315</v>
      </c>
      <c r="R662" s="79">
        <f t="shared" si="107"/>
        <v>100</v>
      </c>
      <c r="S662" s="76">
        <f t="shared" si="108"/>
        <v>695</v>
      </c>
      <c r="T662" s="76">
        <f>50</f>
        <v>50</v>
      </c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</row>
    <row r="663" spans="1:30" ht="15.75" x14ac:dyDescent="0.25">
      <c r="A663" s="31">
        <v>61117</v>
      </c>
      <c r="B663" s="88">
        <f t="shared" si="98"/>
        <v>30</v>
      </c>
      <c r="C663" s="76">
        <f>141.293</f>
        <v>141.29300000000001</v>
      </c>
      <c r="D663" s="76">
        <f>267.993</f>
        <v>267.99299999999999</v>
      </c>
      <c r="E663" s="85">
        <f>115.016</f>
        <v>115.01600000000001</v>
      </c>
      <c r="F663" s="76">
        <f>314.698-40-25-60-100</f>
        <v>89.697999999999979</v>
      </c>
      <c r="G663" s="79">
        <v>40</v>
      </c>
      <c r="H663" s="76">
        <f t="shared" ref="H663:H669" si="109">25+60+100</f>
        <v>185</v>
      </c>
      <c r="I663" s="76">
        <f t="shared" si="102"/>
        <v>0</v>
      </c>
      <c r="J663" s="79">
        <v>100</v>
      </c>
      <c r="K663" s="79">
        <v>300</v>
      </c>
      <c r="L663" s="76">
        <f t="shared" si="105"/>
        <v>1239</v>
      </c>
      <c r="M663" s="87">
        <v>600</v>
      </c>
      <c r="N663" s="76">
        <f>100</f>
        <v>100</v>
      </c>
      <c r="O663" s="79">
        <v>240</v>
      </c>
      <c r="P663" s="79">
        <v>40</v>
      </c>
      <c r="Q663" s="79">
        <f t="shared" si="106"/>
        <v>315</v>
      </c>
      <c r="R663" s="79">
        <f t="shared" si="107"/>
        <v>100</v>
      </c>
      <c r="S663" s="76">
        <f t="shared" si="108"/>
        <v>695</v>
      </c>
      <c r="T663" s="76">
        <f>50</f>
        <v>50</v>
      </c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</row>
    <row r="664" spans="1:30" ht="15.75" x14ac:dyDescent="0.25">
      <c r="A664" s="31">
        <v>61148</v>
      </c>
      <c r="B664" s="88">
        <f t="shared" ref="B664:B727" si="110">EOMONTH(A664,0)-EOMONTH(A664,-1)</f>
        <v>31</v>
      </c>
      <c r="C664" s="76">
        <f>194.205</f>
        <v>194.20500000000001</v>
      </c>
      <c r="D664" s="76">
        <f>267.466</f>
        <v>267.46600000000001</v>
      </c>
      <c r="E664" s="85">
        <f>133.845</f>
        <v>133.845</v>
      </c>
      <c r="F664" s="76">
        <f>278.484-40-25-60-100</f>
        <v>53.48399999999998</v>
      </c>
      <c r="G664" s="79">
        <v>40</v>
      </c>
      <c r="H664" s="76">
        <f t="shared" si="109"/>
        <v>185</v>
      </c>
      <c r="I664" s="76">
        <f t="shared" si="102"/>
        <v>0</v>
      </c>
      <c r="J664" s="79">
        <v>100</v>
      </c>
      <c r="K664" s="79">
        <v>300</v>
      </c>
      <c r="L664" s="76">
        <f t="shared" si="105"/>
        <v>1274</v>
      </c>
      <c r="M664" s="87">
        <v>600</v>
      </c>
      <c r="N664" s="76">
        <f>75</f>
        <v>75</v>
      </c>
      <c r="O664" s="79">
        <v>240</v>
      </c>
      <c r="P664" s="79">
        <v>40</v>
      </c>
      <c r="Q664" s="79">
        <f t="shared" si="106"/>
        <v>315</v>
      </c>
      <c r="R664" s="79">
        <f t="shared" si="107"/>
        <v>100</v>
      </c>
      <c r="S664" s="76">
        <f t="shared" si="108"/>
        <v>695</v>
      </c>
      <c r="T664" s="76">
        <f>50</f>
        <v>50</v>
      </c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</row>
    <row r="665" spans="1:30" ht="15.75" x14ac:dyDescent="0.25">
      <c r="A665" s="31">
        <v>61178</v>
      </c>
      <c r="B665" s="88">
        <f t="shared" si="110"/>
        <v>30</v>
      </c>
      <c r="C665" s="76">
        <f>194.205</f>
        <v>194.20500000000001</v>
      </c>
      <c r="D665" s="76">
        <f>267.466</f>
        <v>267.46600000000001</v>
      </c>
      <c r="E665" s="85">
        <f>133.845</f>
        <v>133.845</v>
      </c>
      <c r="F665" s="76">
        <f>278.484-40-25-60-100</f>
        <v>53.48399999999998</v>
      </c>
      <c r="G665" s="79">
        <v>40</v>
      </c>
      <c r="H665" s="76">
        <f t="shared" si="109"/>
        <v>185</v>
      </c>
      <c r="I665" s="76">
        <f t="shared" si="102"/>
        <v>0</v>
      </c>
      <c r="J665" s="79">
        <v>100</v>
      </c>
      <c r="K665" s="79">
        <v>300</v>
      </c>
      <c r="L665" s="76">
        <f t="shared" si="105"/>
        <v>1274</v>
      </c>
      <c r="M665" s="87">
        <v>600</v>
      </c>
      <c r="N665" s="76">
        <f>30</f>
        <v>30</v>
      </c>
      <c r="O665" s="79">
        <v>240</v>
      </c>
      <c r="P665" s="79">
        <v>40</v>
      </c>
      <c r="Q665" s="79">
        <f t="shared" si="106"/>
        <v>315</v>
      </c>
      <c r="R665" s="79">
        <f t="shared" si="107"/>
        <v>100</v>
      </c>
      <c r="S665" s="76">
        <f t="shared" si="108"/>
        <v>695</v>
      </c>
      <c r="T665" s="76">
        <f>50</f>
        <v>50</v>
      </c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</row>
    <row r="666" spans="1:30" ht="15.75" x14ac:dyDescent="0.25">
      <c r="A666" s="31">
        <v>61209</v>
      </c>
      <c r="B666" s="88">
        <f t="shared" si="110"/>
        <v>31</v>
      </c>
      <c r="C666" s="76">
        <f>194.205</f>
        <v>194.20500000000001</v>
      </c>
      <c r="D666" s="76">
        <f>267.466</f>
        <v>267.46600000000001</v>
      </c>
      <c r="E666" s="85">
        <f>133.845</f>
        <v>133.845</v>
      </c>
      <c r="F666" s="76">
        <f>278.484-40-25-60-100</f>
        <v>53.48399999999998</v>
      </c>
      <c r="G666" s="79">
        <v>40</v>
      </c>
      <c r="H666" s="76">
        <f t="shared" si="109"/>
        <v>185</v>
      </c>
      <c r="I666" s="76">
        <f t="shared" si="102"/>
        <v>0</v>
      </c>
      <c r="J666" s="79">
        <v>100</v>
      </c>
      <c r="K666" s="79">
        <v>300</v>
      </c>
      <c r="L666" s="76">
        <f t="shared" si="105"/>
        <v>1274</v>
      </c>
      <c r="M666" s="87">
        <v>600</v>
      </c>
      <c r="N666" s="76">
        <f>30</f>
        <v>30</v>
      </c>
      <c r="O666" s="79">
        <v>240</v>
      </c>
      <c r="P666" s="79">
        <v>40</v>
      </c>
      <c r="Q666" s="79">
        <f t="shared" si="106"/>
        <v>315</v>
      </c>
      <c r="R666" s="79">
        <f t="shared" si="107"/>
        <v>100</v>
      </c>
      <c r="S666" s="76">
        <f t="shared" si="108"/>
        <v>695</v>
      </c>
      <c r="T666" s="76">
        <f>0</f>
        <v>0</v>
      </c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</row>
    <row r="667" spans="1:30" ht="15.75" x14ac:dyDescent="0.25">
      <c r="A667" s="31">
        <v>61240</v>
      </c>
      <c r="B667" s="88">
        <f t="shared" si="110"/>
        <v>31</v>
      </c>
      <c r="C667" s="76">
        <f>194.205</f>
        <v>194.20500000000001</v>
      </c>
      <c r="D667" s="76">
        <f>267.466</f>
        <v>267.46600000000001</v>
      </c>
      <c r="E667" s="85">
        <f>133.845</f>
        <v>133.845</v>
      </c>
      <c r="F667" s="76">
        <f>278.484-40-25-60-100</f>
        <v>53.48399999999998</v>
      </c>
      <c r="G667" s="79">
        <v>40</v>
      </c>
      <c r="H667" s="76">
        <f t="shared" si="109"/>
        <v>185</v>
      </c>
      <c r="I667" s="76">
        <f t="shared" si="102"/>
        <v>0</v>
      </c>
      <c r="J667" s="79">
        <v>100</v>
      </c>
      <c r="K667" s="79">
        <v>300</v>
      </c>
      <c r="L667" s="76">
        <f t="shared" si="105"/>
        <v>1274</v>
      </c>
      <c r="M667" s="87">
        <v>600</v>
      </c>
      <c r="N667" s="76">
        <f>30</f>
        <v>30</v>
      </c>
      <c r="O667" s="79">
        <v>240</v>
      </c>
      <c r="P667" s="79">
        <v>40</v>
      </c>
      <c r="Q667" s="79">
        <f t="shared" si="106"/>
        <v>315</v>
      </c>
      <c r="R667" s="79">
        <f t="shared" si="107"/>
        <v>100</v>
      </c>
      <c r="S667" s="76">
        <f t="shared" si="108"/>
        <v>695</v>
      </c>
      <c r="T667" s="76">
        <f>0</f>
        <v>0</v>
      </c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</row>
    <row r="668" spans="1:30" ht="15.75" x14ac:dyDescent="0.25">
      <c r="A668" s="31">
        <v>61270</v>
      </c>
      <c r="B668" s="88">
        <f t="shared" si="110"/>
        <v>30</v>
      </c>
      <c r="C668" s="76">
        <f>194.205</f>
        <v>194.20500000000001</v>
      </c>
      <c r="D668" s="76">
        <f>267.466</f>
        <v>267.46600000000001</v>
      </c>
      <c r="E668" s="85">
        <f>133.845</f>
        <v>133.845</v>
      </c>
      <c r="F668" s="76">
        <f>278.484-40-25-60-100</f>
        <v>53.48399999999998</v>
      </c>
      <c r="G668" s="79">
        <v>40</v>
      </c>
      <c r="H668" s="76">
        <f t="shared" si="109"/>
        <v>185</v>
      </c>
      <c r="I668" s="76">
        <f t="shared" si="102"/>
        <v>0</v>
      </c>
      <c r="J668" s="79">
        <v>100</v>
      </c>
      <c r="K668" s="79">
        <v>300</v>
      </c>
      <c r="L668" s="76">
        <f t="shared" si="105"/>
        <v>1274</v>
      </c>
      <c r="M668" s="87">
        <v>600</v>
      </c>
      <c r="N668" s="76">
        <f>30</f>
        <v>30</v>
      </c>
      <c r="O668" s="79">
        <v>240</v>
      </c>
      <c r="P668" s="79">
        <v>40</v>
      </c>
      <c r="Q668" s="79">
        <f t="shared" si="106"/>
        <v>315</v>
      </c>
      <c r="R668" s="79">
        <f t="shared" si="107"/>
        <v>100</v>
      </c>
      <c r="S668" s="76">
        <f t="shared" si="108"/>
        <v>695</v>
      </c>
      <c r="T668" s="76">
        <f>0</f>
        <v>0</v>
      </c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</row>
    <row r="669" spans="1:30" ht="15.75" x14ac:dyDescent="0.25">
      <c r="A669" s="31">
        <v>61301</v>
      </c>
      <c r="B669" s="88">
        <f t="shared" si="110"/>
        <v>31</v>
      </c>
      <c r="C669" s="76">
        <f>131.881</f>
        <v>131.881</v>
      </c>
      <c r="D669" s="76">
        <f>277.167</f>
        <v>277.16699999999997</v>
      </c>
      <c r="E669" s="85">
        <f>79.08</f>
        <v>79.08</v>
      </c>
      <c r="F669" s="76">
        <f>350.872-40-25-60-100</f>
        <v>125.87200000000001</v>
      </c>
      <c r="G669" s="79">
        <v>40</v>
      </c>
      <c r="H669" s="76">
        <f t="shared" si="109"/>
        <v>185</v>
      </c>
      <c r="I669" s="76">
        <f t="shared" si="102"/>
        <v>0</v>
      </c>
      <c r="J669" s="79">
        <v>100</v>
      </c>
      <c r="K669" s="79">
        <v>300</v>
      </c>
      <c r="L669" s="76">
        <f t="shared" si="105"/>
        <v>1239</v>
      </c>
      <c r="M669" s="87">
        <v>600</v>
      </c>
      <c r="N669" s="76">
        <f>75</f>
        <v>75</v>
      </c>
      <c r="O669" s="79">
        <v>240</v>
      </c>
      <c r="P669" s="79">
        <v>40</v>
      </c>
      <c r="Q669" s="79">
        <f t="shared" si="106"/>
        <v>315</v>
      </c>
      <c r="R669" s="79">
        <f t="shared" si="107"/>
        <v>100</v>
      </c>
      <c r="S669" s="76">
        <f t="shared" si="108"/>
        <v>695</v>
      </c>
      <c r="T669" s="76">
        <f>0</f>
        <v>0</v>
      </c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</row>
    <row r="670" spans="1:30" ht="15.75" x14ac:dyDescent="0.25">
      <c r="A670" s="31">
        <v>61331</v>
      </c>
      <c r="B670" s="88">
        <f t="shared" si="110"/>
        <v>30</v>
      </c>
      <c r="C670" s="76">
        <f>122.58</f>
        <v>122.58</v>
      </c>
      <c r="D670" s="76">
        <f>297.941</f>
        <v>297.94099999999997</v>
      </c>
      <c r="E670" s="85">
        <f>89.177</f>
        <v>89.177000000000007</v>
      </c>
      <c r="F670" s="76">
        <f>240.302-40-60-100</f>
        <v>40.301999999999992</v>
      </c>
      <c r="G670" s="79">
        <v>40</v>
      </c>
      <c r="H670" s="76">
        <f>60+100</f>
        <v>160</v>
      </c>
      <c r="I670" s="76">
        <f t="shared" si="102"/>
        <v>0</v>
      </c>
      <c r="J670" s="79">
        <v>100</v>
      </c>
      <c r="K670" s="79">
        <v>300</v>
      </c>
      <c r="L670" s="76">
        <f t="shared" si="105"/>
        <v>1150</v>
      </c>
      <c r="M670" s="87">
        <v>600</v>
      </c>
      <c r="N670" s="76">
        <f>100</f>
        <v>100</v>
      </c>
      <c r="O670" s="79">
        <v>240</v>
      </c>
      <c r="P670" s="79">
        <v>40</v>
      </c>
      <c r="Q670" s="79">
        <f t="shared" si="106"/>
        <v>315</v>
      </c>
      <c r="R670" s="79">
        <f t="shared" si="107"/>
        <v>100</v>
      </c>
      <c r="S670" s="76">
        <f t="shared" si="108"/>
        <v>695</v>
      </c>
      <c r="T670" s="76">
        <f>50</f>
        <v>50</v>
      </c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</row>
    <row r="671" spans="1:30" ht="15.75" x14ac:dyDescent="0.25">
      <c r="A671" s="31">
        <v>61362</v>
      </c>
      <c r="B671" s="88">
        <f t="shared" si="110"/>
        <v>31</v>
      </c>
      <c r="C671" s="76">
        <f>122.58</f>
        <v>122.58</v>
      </c>
      <c r="D671" s="76">
        <f>297.941</f>
        <v>297.94099999999997</v>
      </c>
      <c r="E671" s="85">
        <f>89.177</f>
        <v>89.177000000000007</v>
      </c>
      <c r="F671" s="76">
        <f>240.302-40-60-100</f>
        <v>40.301999999999992</v>
      </c>
      <c r="G671" s="79">
        <v>40</v>
      </c>
      <c r="H671" s="76">
        <f>60+100</f>
        <v>160</v>
      </c>
      <c r="I671" s="76">
        <f t="shared" si="102"/>
        <v>0</v>
      </c>
      <c r="J671" s="79">
        <v>100</v>
      </c>
      <c r="K671" s="79">
        <v>300</v>
      </c>
      <c r="L671" s="76">
        <f t="shared" si="105"/>
        <v>1150</v>
      </c>
      <c r="M671" s="87">
        <v>600</v>
      </c>
      <c r="N671" s="76">
        <f>100</f>
        <v>100</v>
      </c>
      <c r="O671" s="79">
        <v>240</v>
      </c>
      <c r="P671" s="79">
        <v>40</v>
      </c>
      <c r="Q671" s="79">
        <f t="shared" si="106"/>
        <v>315</v>
      </c>
      <c r="R671" s="79">
        <f t="shared" si="107"/>
        <v>100</v>
      </c>
      <c r="S671" s="76">
        <f t="shared" si="108"/>
        <v>695</v>
      </c>
      <c r="T671" s="76">
        <f>50</f>
        <v>50</v>
      </c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</row>
    <row r="672" spans="1:30" ht="15.75" x14ac:dyDescent="0.25">
      <c r="A672" s="31">
        <v>61393</v>
      </c>
      <c r="B672" s="88">
        <f t="shared" si="110"/>
        <v>31</v>
      </c>
      <c r="C672" s="76">
        <f>122.58</f>
        <v>122.58</v>
      </c>
      <c r="D672" s="76">
        <f>297.941</f>
        <v>297.94099999999997</v>
      </c>
      <c r="E672" s="85">
        <f>89.177</f>
        <v>89.177000000000007</v>
      </c>
      <c r="F672" s="76">
        <f>240.302-40-60-100</f>
        <v>40.301999999999992</v>
      </c>
      <c r="G672" s="79">
        <v>40</v>
      </c>
      <c r="H672" s="76">
        <f>60+100</f>
        <v>160</v>
      </c>
      <c r="I672" s="76">
        <f t="shared" si="102"/>
        <v>0</v>
      </c>
      <c r="J672" s="79">
        <v>100</v>
      </c>
      <c r="K672" s="79">
        <v>300</v>
      </c>
      <c r="L672" s="76">
        <f t="shared" si="105"/>
        <v>1150</v>
      </c>
      <c r="M672" s="87">
        <v>600</v>
      </c>
      <c r="N672" s="76">
        <f>100</f>
        <v>100</v>
      </c>
      <c r="O672" s="79">
        <v>240</v>
      </c>
      <c r="P672" s="79">
        <v>40</v>
      </c>
      <c r="Q672" s="79">
        <f t="shared" si="106"/>
        <v>315</v>
      </c>
      <c r="R672" s="79">
        <f t="shared" si="107"/>
        <v>100</v>
      </c>
      <c r="S672" s="76">
        <f t="shared" si="108"/>
        <v>695</v>
      </c>
      <c r="T672" s="76">
        <f>50</f>
        <v>50</v>
      </c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</row>
    <row r="673" spans="1:30" ht="15.75" x14ac:dyDescent="0.25">
      <c r="A673" s="31">
        <v>61422</v>
      </c>
      <c r="B673" s="88">
        <f t="shared" si="110"/>
        <v>29</v>
      </c>
      <c r="C673" s="76">
        <f>122.58</f>
        <v>122.58</v>
      </c>
      <c r="D673" s="76">
        <f>297.941</f>
        <v>297.94099999999997</v>
      </c>
      <c r="E673" s="85">
        <f>89.177</f>
        <v>89.177000000000007</v>
      </c>
      <c r="F673" s="76">
        <f>240.302-40-60-100</f>
        <v>40.301999999999992</v>
      </c>
      <c r="G673" s="79">
        <v>40</v>
      </c>
      <c r="H673" s="76">
        <f>60+100</f>
        <v>160</v>
      </c>
      <c r="I673" s="76">
        <f t="shared" si="102"/>
        <v>0</v>
      </c>
      <c r="J673" s="79">
        <v>100</v>
      </c>
      <c r="K673" s="79">
        <v>300</v>
      </c>
      <c r="L673" s="76">
        <f t="shared" si="105"/>
        <v>1150</v>
      </c>
      <c r="M673" s="87">
        <v>600</v>
      </c>
      <c r="N673" s="76">
        <f>100</f>
        <v>100</v>
      </c>
      <c r="O673" s="79">
        <v>240</v>
      </c>
      <c r="P673" s="79">
        <v>40</v>
      </c>
      <c r="Q673" s="79">
        <f t="shared" si="106"/>
        <v>315</v>
      </c>
      <c r="R673" s="79">
        <f t="shared" si="107"/>
        <v>100</v>
      </c>
      <c r="S673" s="76">
        <f t="shared" si="108"/>
        <v>695</v>
      </c>
      <c r="T673" s="76">
        <f>50</f>
        <v>50</v>
      </c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</row>
    <row r="674" spans="1:30" ht="15.75" x14ac:dyDescent="0.25">
      <c r="A674" s="31">
        <v>61453</v>
      </c>
      <c r="B674" s="88">
        <f t="shared" si="110"/>
        <v>31</v>
      </c>
      <c r="C674" s="76">
        <f>122.58</f>
        <v>122.58</v>
      </c>
      <c r="D674" s="76">
        <f>297.941</f>
        <v>297.94099999999997</v>
      </c>
      <c r="E674" s="85">
        <f>89.177</f>
        <v>89.177000000000007</v>
      </c>
      <c r="F674" s="76">
        <f>240.302-40-60-100</f>
        <v>40.301999999999992</v>
      </c>
      <c r="G674" s="79">
        <v>40</v>
      </c>
      <c r="H674" s="76">
        <f>60+100</f>
        <v>160</v>
      </c>
      <c r="I674" s="76">
        <f t="shared" si="102"/>
        <v>0</v>
      </c>
      <c r="J674" s="79">
        <v>100</v>
      </c>
      <c r="K674" s="79">
        <v>300</v>
      </c>
      <c r="L674" s="76">
        <f t="shared" si="105"/>
        <v>1150</v>
      </c>
      <c r="M674" s="87">
        <v>600</v>
      </c>
      <c r="N674" s="76">
        <f>100</f>
        <v>100</v>
      </c>
      <c r="O674" s="79">
        <v>240</v>
      </c>
      <c r="P674" s="79">
        <v>40</v>
      </c>
      <c r="Q674" s="79">
        <f t="shared" si="106"/>
        <v>315</v>
      </c>
      <c r="R674" s="79">
        <f t="shared" si="107"/>
        <v>100</v>
      </c>
      <c r="S674" s="76">
        <f t="shared" si="108"/>
        <v>695</v>
      </c>
      <c r="T674" s="76">
        <f>50</f>
        <v>50</v>
      </c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</row>
    <row r="675" spans="1:30" ht="15.75" x14ac:dyDescent="0.25">
      <c r="A675" s="31">
        <v>61483</v>
      </c>
      <c r="B675" s="88">
        <f t="shared" si="110"/>
        <v>30</v>
      </c>
      <c r="C675" s="76">
        <f>141.293</f>
        <v>141.29300000000001</v>
      </c>
      <c r="D675" s="76">
        <f>267.993</f>
        <v>267.99299999999999</v>
      </c>
      <c r="E675" s="85">
        <f>115.016</f>
        <v>115.01600000000001</v>
      </c>
      <c r="F675" s="76">
        <f>314.698-40-25-60-100</f>
        <v>89.697999999999979</v>
      </c>
      <c r="G675" s="79">
        <v>40</v>
      </c>
      <c r="H675" s="76">
        <f t="shared" ref="H675:H681" si="111">25+60+100</f>
        <v>185</v>
      </c>
      <c r="I675" s="76">
        <f t="shared" si="102"/>
        <v>0</v>
      </c>
      <c r="J675" s="79">
        <v>100</v>
      </c>
      <c r="K675" s="79">
        <v>300</v>
      </c>
      <c r="L675" s="76">
        <f t="shared" si="105"/>
        <v>1239</v>
      </c>
      <c r="M675" s="87">
        <v>600</v>
      </c>
      <c r="N675" s="76">
        <f>100</f>
        <v>100</v>
      </c>
      <c r="O675" s="79">
        <v>240</v>
      </c>
      <c r="P675" s="79">
        <v>40</v>
      </c>
      <c r="Q675" s="79">
        <f t="shared" si="106"/>
        <v>315</v>
      </c>
      <c r="R675" s="79">
        <f t="shared" si="107"/>
        <v>100</v>
      </c>
      <c r="S675" s="76">
        <f t="shared" si="108"/>
        <v>695</v>
      </c>
      <c r="T675" s="76">
        <f>50</f>
        <v>50</v>
      </c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</row>
    <row r="676" spans="1:30" ht="15.75" x14ac:dyDescent="0.25">
      <c r="A676" s="31">
        <v>61514</v>
      </c>
      <c r="B676" s="88">
        <f t="shared" si="110"/>
        <v>31</v>
      </c>
      <c r="C676" s="76">
        <f>194.205</f>
        <v>194.20500000000001</v>
      </c>
      <c r="D676" s="76">
        <f>267.466</f>
        <v>267.46600000000001</v>
      </c>
      <c r="E676" s="85">
        <f>133.845</f>
        <v>133.845</v>
      </c>
      <c r="F676" s="76">
        <f>278.484-40-25-60-100</f>
        <v>53.48399999999998</v>
      </c>
      <c r="G676" s="79">
        <v>40</v>
      </c>
      <c r="H676" s="76">
        <f t="shared" si="111"/>
        <v>185</v>
      </c>
      <c r="I676" s="76">
        <f t="shared" si="102"/>
        <v>0</v>
      </c>
      <c r="J676" s="79">
        <v>100</v>
      </c>
      <c r="K676" s="79">
        <v>300</v>
      </c>
      <c r="L676" s="76">
        <f t="shared" si="105"/>
        <v>1274</v>
      </c>
      <c r="M676" s="87">
        <v>600</v>
      </c>
      <c r="N676" s="76">
        <f>75</f>
        <v>75</v>
      </c>
      <c r="O676" s="79">
        <v>240</v>
      </c>
      <c r="P676" s="79">
        <v>40</v>
      </c>
      <c r="Q676" s="79">
        <f t="shared" si="106"/>
        <v>315</v>
      </c>
      <c r="R676" s="79">
        <f t="shared" si="107"/>
        <v>100</v>
      </c>
      <c r="S676" s="76">
        <f t="shared" si="108"/>
        <v>695</v>
      </c>
      <c r="T676" s="76">
        <f>50</f>
        <v>50</v>
      </c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</row>
    <row r="677" spans="1:30" ht="15.75" x14ac:dyDescent="0.25">
      <c r="A677" s="31">
        <v>61544</v>
      </c>
      <c r="B677" s="88">
        <f t="shared" si="110"/>
        <v>30</v>
      </c>
      <c r="C677" s="76">
        <f>194.205</f>
        <v>194.20500000000001</v>
      </c>
      <c r="D677" s="76">
        <f>267.466</f>
        <v>267.46600000000001</v>
      </c>
      <c r="E677" s="85">
        <f>133.845</f>
        <v>133.845</v>
      </c>
      <c r="F677" s="76">
        <f>278.484-40-25-60-100</f>
        <v>53.48399999999998</v>
      </c>
      <c r="G677" s="79">
        <v>40</v>
      </c>
      <c r="H677" s="76">
        <f t="shared" si="111"/>
        <v>185</v>
      </c>
      <c r="I677" s="76">
        <f t="shared" si="102"/>
        <v>0</v>
      </c>
      <c r="J677" s="79">
        <v>100</v>
      </c>
      <c r="K677" s="79">
        <v>300</v>
      </c>
      <c r="L677" s="76">
        <f t="shared" si="105"/>
        <v>1274</v>
      </c>
      <c r="M677" s="87">
        <v>600</v>
      </c>
      <c r="N677" s="76">
        <f>30</f>
        <v>30</v>
      </c>
      <c r="O677" s="79">
        <v>240</v>
      </c>
      <c r="P677" s="79">
        <v>40</v>
      </c>
      <c r="Q677" s="79">
        <f t="shared" si="106"/>
        <v>315</v>
      </c>
      <c r="R677" s="79">
        <f t="shared" si="107"/>
        <v>100</v>
      </c>
      <c r="S677" s="76">
        <f t="shared" si="108"/>
        <v>695</v>
      </c>
      <c r="T677" s="76">
        <f>50</f>
        <v>50</v>
      </c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</row>
    <row r="678" spans="1:30" ht="15.75" x14ac:dyDescent="0.25">
      <c r="A678" s="31">
        <v>61575</v>
      </c>
      <c r="B678" s="88">
        <f t="shared" si="110"/>
        <v>31</v>
      </c>
      <c r="C678" s="76">
        <f>194.205</f>
        <v>194.20500000000001</v>
      </c>
      <c r="D678" s="76">
        <f>267.466</f>
        <v>267.46600000000001</v>
      </c>
      <c r="E678" s="85">
        <f>133.845</f>
        <v>133.845</v>
      </c>
      <c r="F678" s="76">
        <f>278.484-40-25-60-100</f>
        <v>53.48399999999998</v>
      </c>
      <c r="G678" s="79">
        <v>40</v>
      </c>
      <c r="H678" s="76">
        <f t="shared" si="111"/>
        <v>185</v>
      </c>
      <c r="I678" s="76">
        <f t="shared" si="102"/>
        <v>0</v>
      </c>
      <c r="J678" s="79">
        <v>100</v>
      </c>
      <c r="K678" s="79">
        <v>300</v>
      </c>
      <c r="L678" s="76">
        <f t="shared" si="105"/>
        <v>1274</v>
      </c>
      <c r="M678" s="87">
        <v>600</v>
      </c>
      <c r="N678" s="76">
        <f>30</f>
        <v>30</v>
      </c>
      <c r="O678" s="79">
        <v>240</v>
      </c>
      <c r="P678" s="79">
        <v>40</v>
      </c>
      <c r="Q678" s="79">
        <f t="shared" si="106"/>
        <v>315</v>
      </c>
      <c r="R678" s="79">
        <f t="shared" si="107"/>
        <v>100</v>
      </c>
      <c r="S678" s="76">
        <f t="shared" si="108"/>
        <v>695</v>
      </c>
      <c r="T678" s="76">
        <f>0</f>
        <v>0</v>
      </c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</row>
    <row r="679" spans="1:30" ht="15.75" x14ac:dyDescent="0.25">
      <c r="A679" s="31">
        <v>61606</v>
      </c>
      <c r="B679" s="88">
        <f t="shared" si="110"/>
        <v>31</v>
      </c>
      <c r="C679" s="76">
        <f>194.205</f>
        <v>194.20500000000001</v>
      </c>
      <c r="D679" s="76">
        <f>267.466</f>
        <v>267.46600000000001</v>
      </c>
      <c r="E679" s="85">
        <f>133.845</f>
        <v>133.845</v>
      </c>
      <c r="F679" s="76">
        <f>278.484-40-25-60-100</f>
        <v>53.48399999999998</v>
      </c>
      <c r="G679" s="79">
        <v>40</v>
      </c>
      <c r="H679" s="76">
        <f t="shared" si="111"/>
        <v>185</v>
      </c>
      <c r="I679" s="76">
        <f t="shared" si="102"/>
        <v>0</v>
      </c>
      <c r="J679" s="79">
        <v>100</v>
      </c>
      <c r="K679" s="79">
        <v>300</v>
      </c>
      <c r="L679" s="76">
        <f t="shared" si="105"/>
        <v>1274</v>
      </c>
      <c r="M679" s="87">
        <v>600</v>
      </c>
      <c r="N679" s="76">
        <f>30</f>
        <v>30</v>
      </c>
      <c r="O679" s="79">
        <v>240</v>
      </c>
      <c r="P679" s="79">
        <v>40</v>
      </c>
      <c r="Q679" s="79">
        <f t="shared" si="106"/>
        <v>315</v>
      </c>
      <c r="R679" s="79">
        <f t="shared" si="107"/>
        <v>100</v>
      </c>
      <c r="S679" s="76">
        <f t="shared" si="108"/>
        <v>695</v>
      </c>
      <c r="T679" s="76">
        <f>0</f>
        <v>0</v>
      </c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</row>
    <row r="680" spans="1:30" ht="15.75" x14ac:dyDescent="0.25">
      <c r="A680" s="31">
        <v>61636</v>
      </c>
      <c r="B680" s="88">
        <f t="shared" si="110"/>
        <v>30</v>
      </c>
      <c r="C680" s="76">
        <f>194.205</f>
        <v>194.20500000000001</v>
      </c>
      <c r="D680" s="76">
        <f>267.466</f>
        <v>267.46600000000001</v>
      </c>
      <c r="E680" s="85">
        <f>133.845</f>
        <v>133.845</v>
      </c>
      <c r="F680" s="76">
        <f>278.484-40-25-60-100</f>
        <v>53.48399999999998</v>
      </c>
      <c r="G680" s="79">
        <v>40</v>
      </c>
      <c r="H680" s="76">
        <f t="shared" si="111"/>
        <v>185</v>
      </c>
      <c r="I680" s="76">
        <f t="shared" si="102"/>
        <v>0</v>
      </c>
      <c r="J680" s="79">
        <v>100</v>
      </c>
      <c r="K680" s="79">
        <v>300</v>
      </c>
      <c r="L680" s="76">
        <f t="shared" si="105"/>
        <v>1274</v>
      </c>
      <c r="M680" s="87">
        <v>600</v>
      </c>
      <c r="N680" s="76">
        <f>30</f>
        <v>30</v>
      </c>
      <c r="O680" s="79">
        <v>240</v>
      </c>
      <c r="P680" s="79">
        <v>40</v>
      </c>
      <c r="Q680" s="79">
        <f t="shared" si="106"/>
        <v>315</v>
      </c>
      <c r="R680" s="79">
        <f t="shared" si="107"/>
        <v>100</v>
      </c>
      <c r="S680" s="76">
        <f t="shared" si="108"/>
        <v>695</v>
      </c>
      <c r="T680" s="76">
        <f>0</f>
        <v>0</v>
      </c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</row>
    <row r="681" spans="1:30" ht="15.75" x14ac:dyDescent="0.25">
      <c r="A681" s="31">
        <v>61667</v>
      </c>
      <c r="B681" s="88">
        <f t="shared" si="110"/>
        <v>31</v>
      </c>
      <c r="C681" s="76">
        <f>131.881</f>
        <v>131.881</v>
      </c>
      <c r="D681" s="76">
        <f>277.167</f>
        <v>277.16699999999997</v>
      </c>
      <c r="E681" s="85">
        <f>79.08</f>
        <v>79.08</v>
      </c>
      <c r="F681" s="76">
        <f>350.872-40-25-60-100</f>
        <v>125.87200000000001</v>
      </c>
      <c r="G681" s="79">
        <v>40</v>
      </c>
      <c r="H681" s="76">
        <f t="shared" si="111"/>
        <v>185</v>
      </c>
      <c r="I681" s="76">
        <f t="shared" si="102"/>
        <v>0</v>
      </c>
      <c r="J681" s="79">
        <v>100</v>
      </c>
      <c r="K681" s="79">
        <v>300</v>
      </c>
      <c r="L681" s="76">
        <f t="shared" si="105"/>
        <v>1239</v>
      </c>
      <c r="M681" s="87">
        <v>600</v>
      </c>
      <c r="N681" s="76">
        <f>75</f>
        <v>75</v>
      </c>
      <c r="O681" s="79">
        <v>240</v>
      </c>
      <c r="P681" s="79">
        <v>40</v>
      </c>
      <c r="Q681" s="79">
        <f t="shared" si="106"/>
        <v>315</v>
      </c>
      <c r="R681" s="79">
        <f t="shared" si="107"/>
        <v>100</v>
      </c>
      <c r="S681" s="76">
        <f t="shared" si="108"/>
        <v>695</v>
      </c>
      <c r="T681" s="76">
        <f>0</f>
        <v>0</v>
      </c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</row>
    <row r="682" spans="1:30" ht="15.75" x14ac:dyDescent="0.25">
      <c r="A682" s="31">
        <v>61697</v>
      </c>
      <c r="B682" s="88">
        <f t="shared" si="110"/>
        <v>30</v>
      </c>
      <c r="C682" s="76">
        <f>122.58</f>
        <v>122.58</v>
      </c>
      <c r="D682" s="76">
        <f>297.941</f>
        <v>297.94099999999997</v>
      </c>
      <c r="E682" s="85">
        <f>89.177</f>
        <v>89.177000000000007</v>
      </c>
      <c r="F682" s="76">
        <f>240.302-40-60-100</f>
        <v>40.301999999999992</v>
      </c>
      <c r="G682" s="79">
        <v>40</v>
      </c>
      <c r="H682" s="76">
        <f>60+100</f>
        <v>160</v>
      </c>
      <c r="I682" s="76">
        <f t="shared" si="102"/>
        <v>0</v>
      </c>
      <c r="J682" s="79">
        <v>100</v>
      </c>
      <c r="K682" s="79">
        <v>300</v>
      </c>
      <c r="L682" s="76">
        <f t="shared" si="105"/>
        <v>1150</v>
      </c>
      <c r="M682" s="87">
        <v>600</v>
      </c>
      <c r="N682" s="76">
        <f>100</f>
        <v>100</v>
      </c>
      <c r="O682" s="79">
        <v>240</v>
      </c>
      <c r="P682" s="79">
        <v>40</v>
      </c>
      <c r="Q682" s="79">
        <f t="shared" si="106"/>
        <v>315</v>
      </c>
      <c r="R682" s="79">
        <f t="shared" si="107"/>
        <v>100</v>
      </c>
      <c r="S682" s="76">
        <f t="shared" si="108"/>
        <v>695</v>
      </c>
      <c r="T682" s="76">
        <f>50</f>
        <v>50</v>
      </c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</row>
    <row r="683" spans="1:30" ht="15.75" x14ac:dyDescent="0.25">
      <c r="A683" s="31">
        <v>61728</v>
      </c>
      <c r="B683" s="88">
        <f t="shared" si="110"/>
        <v>31</v>
      </c>
      <c r="C683" s="76">
        <f>122.58</f>
        <v>122.58</v>
      </c>
      <c r="D683" s="76">
        <f>297.941</f>
        <v>297.94099999999997</v>
      </c>
      <c r="E683" s="85">
        <f>89.177</f>
        <v>89.177000000000007</v>
      </c>
      <c r="F683" s="76">
        <f>240.302-40-60-100</f>
        <v>40.301999999999992</v>
      </c>
      <c r="G683" s="79">
        <v>40</v>
      </c>
      <c r="H683" s="76">
        <f>60+100</f>
        <v>160</v>
      </c>
      <c r="I683" s="76">
        <f t="shared" si="102"/>
        <v>0</v>
      </c>
      <c r="J683" s="79">
        <v>100</v>
      </c>
      <c r="K683" s="79">
        <v>300</v>
      </c>
      <c r="L683" s="76">
        <f t="shared" si="105"/>
        <v>1150</v>
      </c>
      <c r="M683" s="87">
        <v>600</v>
      </c>
      <c r="N683" s="76">
        <f>100</f>
        <v>100</v>
      </c>
      <c r="O683" s="79">
        <v>240</v>
      </c>
      <c r="P683" s="79">
        <v>40</v>
      </c>
      <c r="Q683" s="79">
        <f t="shared" si="106"/>
        <v>315</v>
      </c>
      <c r="R683" s="79">
        <f t="shared" si="107"/>
        <v>100</v>
      </c>
      <c r="S683" s="76">
        <f t="shared" si="108"/>
        <v>695</v>
      </c>
      <c r="T683" s="76">
        <f>50</f>
        <v>50</v>
      </c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</row>
    <row r="684" spans="1:30" ht="15.75" x14ac:dyDescent="0.25">
      <c r="A684" s="31">
        <v>61759</v>
      </c>
      <c r="B684" s="88">
        <f t="shared" si="110"/>
        <v>31</v>
      </c>
      <c r="C684" s="76">
        <f>122.58</f>
        <v>122.58</v>
      </c>
      <c r="D684" s="76">
        <f>297.941</f>
        <v>297.94099999999997</v>
      </c>
      <c r="E684" s="85">
        <f>89.177</f>
        <v>89.177000000000007</v>
      </c>
      <c r="F684" s="76">
        <f>240.302-40-60-100</f>
        <v>40.301999999999992</v>
      </c>
      <c r="G684" s="79">
        <v>40</v>
      </c>
      <c r="H684" s="76">
        <f>60+100</f>
        <v>160</v>
      </c>
      <c r="I684" s="76">
        <f t="shared" si="102"/>
        <v>0</v>
      </c>
      <c r="J684" s="79">
        <v>100</v>
      </c>
      <c r="K684" s="79">
        <v>300</v>
      </c>
      <c r="L684" s="76">
        <f t="shared" si="105"/>
        <v>1150</v>
      </c>
      <c r="M684" s="87">
        <v>600</v>
      </c>
      <c r="N684" s="76">
        <f>100</f>
        <v>100</v>
      </c>
      <c r="O684" s="79">
        <v>240</v>
      </c>
      <c r="P684" s="79">
        <v>40</v>
      </c>
      <c r="Q684" s="79">
        <f t="shared" si="106"/>
        <v>315</v>
      </c>
      <c r="R684" s="79">
        <f t="shared" si="107"/>
        <v>100</v>
      </c>
      <c r="S684" s="76">
        <f t="shared" si="108"/>
        <v>695</v>
      </c>
      <c r="T684" s="76">
        <f>50</f>
        <v>50</v>
      </c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</row>
    <row r="685" spans="1:30" ht="15.75" x14ac:dyDescent="0.25">
      <c r="A685" s="31">
        <v>61787</v>
      </c>
      <c r="B685" s="88">
        <f t="shared" si="110"/>
        <v>28</v>
      </c>
      <c r="C685" s="76">
        <f>122.58</f>
        <v>122.58</v>
      </c>
      <c r="D685" s="76">
        <f>297.941</f>
        <v>297.94099999999997</v>
      </c>
      <c r="E685" s="85">
        <f>89.177</f>
        <v>89.177000000000007</v>
      </c>
      <c r="F685" s="76">
        <f>240.302-40-60-100</f>
        <v>40.301999999999992</v>
      </c>
      <c r="G685" s="79">
        <v>40</v>
      </c>
      <c r="H685" s="76">
        <f>60+100</f>
        <v>160</v>
      </c>
      <c r="I685" s="76">
        <f t="shared" si="102"/>
        <v>0</v>
      </c>
      <c r="J685" s="79">
        <v>100</v>
      </c>
      <c r="K685" s="79">
        <v>300</v>
      </c>
      <c r="L685" s="76">
        <f t="shared" si="105"/>
        <v>1150</v>
      </c>
      <c r="M685" s="87">
        <v>600</v>
      </c>
      <c r="N685" s="76">
        <f>100</f>
        <v>100</v>
      </c>
      <c r="O685" s="79">
        <v>240</v>
      </c>
      <c r="P685" s="79">
        <v>40</v>
      </c>
      <c r="Q685" s="79">
        <f t="shared" si="106"/>
        <v>315</v>
      </c>
      <c r="R685" s="79">
        <f t="shared" si="107"/>
        <v>100</v>
      </c>
      <c r="S685" s="76">
        <f t="shared" si="108"/>
        <v>695</v>
      </c>
      <c r="T685" s="76">
        <f>50</f>
        <v>50</v>
      </c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</row>
    <row r="686" spans="1:30" ht="15.75" x14ac:dyDescent="0.25">
      <c r="A686" s="31">
        <v>61818</v>
      </c>
      <c r="B686" s="88">
        <f t="shared" si="110"/>
        <v>31</v>
      </c>
      <c r="C686" s="76">
        <f>122.58</f>
        <v>122.58</v>
      </c>
      <c r="D686" s="76">
        <f>297.941</f>
        <v>297.94099999999997</v>
      </c>
      <c r="E686" s="85">
        <f>89.177</f>
        <v>89.177000000000007</v>
      </c>
      <c r="F686" s="76">
        <f>240.302-40-60-100</f>
        <v>40.301999999999992</v>
      </c>
      <c r="G686" s="79">
        <v>40</v>
      </c>
      <c r="H686" s="76">
        <f>60+100</f>
        <v>160</v>
      </c>
      <c r="I686" s="76">
        <f t="shared" si="102"/>
        <v>0</v>
      </c>
      <c r="J686" s="79">
        <v>100</v>
      </c>
      <c r="K686" s="79">
        <v>300</v>
      </c>
      <c r="L686" s="76">
        <f t="shared" si="105"/>
        <v>1150</v>
      </c>
      <c r="M686" s="87">
        <v>600</v>
      </c>
      <c r="N686" s="76">
        <f>100</f>
        <v>100</v>
      </c>
      <c r="O686" s="79">
        <v>240</v>
      </c>
      <c r="P686" s="79">
        <v>40</v>
      </c>
      <c r="Q686" s="79">
        <f t="shared" si="106"/>
        <v>315</v>
      </c>
      <c r="R686" s="79">
        <f t="shared" si="107"/>
        <v>100</v>
      </c>
      <c r="S686" s="76">
        <f t="shared" si="108"/>
        <v>695</v>
      </c>
      <c r="T686" s="76">
        <f>50</f>
        <v>50</v>
      </c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</row>
    <row r="687" spans="1:30" ht="15.75" x14ac:dyDescent="0.25">
      <c r="A687" s="31">
        <v>61848</v>
      </c>
      <c r="B687" s="88">
        <f t="shared" si="110"/>
        <v>30</v>
      </c>
      <c r="C687" s="76">
        <f>141.293</f>
        <v>141.29300000000001</v>
      </c>
      <c r="D687" s="76">
        <f>267.993</f>
        <v>267.99299999999999</v>
      </c>
      <c r="E687" s="85">
        <f>115.016</f>
        <v>115.01600000000001</v>
      </c>
      <c r="F687" s="76">
        <f>314.698-40-25-60-100</f>
        <v>89.697999999999979</v>
      </c>
      <c r="G687" s="79">
        <v>40</v>
      </c>
      <c r="H687" s="76">
        <f t="shared" ref="H687:H693" si="112">25+60+100</f>
        <v>185</v>
      </c>
      <c r="I687" s="76">
        <f t="shared" si="102"/>
        <v>0</v>
      </c>
      <c r="J687" s="79">
        <v>100</v>
      </c>
      <c r="K687" s="79">
        <v>300</v>
      </c>
      <c r="L687" s="76">
        <f t="shared" si="105"/>
        <v>1239</v>
      </c>
      <c r="M687" s="87">
        <v>600</v>
      </c>
      <c r="N687" s="76">
        <f>100</f>
        <v>100</v>
      </c>
      <c r="O687" s="79">
        <v>240</v>
      </c>
      <c r="P687" s="79">
        <v>40</v>
      </c>
      <c r="Q687" s="79">
        <f t="shared" si="106"/>
        <v>315</v>
      </c>
      <c r="R687" s="79">
        <f t="shared" si="107"/>
        <v>100</v>
      </c>
      <c r="S687" s="76">
        <f t="shared" si="108"/>
        <v>695</v>
      </c>
      <c r="T687" s="76">
        <f>50</f>
        <v>50</v>
      </c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</row>
    <row r="688" spans="1:30" ht="15.75" x14ac:dyDescent="0.25">
      <c r="A688" s="31">
        <v>61879</v>
      </c>
      <c r="B688" s="88">
        <f t="shared" si="110"/>
        <v>31</v>
      </c>
      <c r="C688" s="76">
        <f>194.205</f>
        <v>194.20500000000001</v>
      </c>
      <c r="D688" s="76">
        <f>267.466</f>
        <v>267.46600000000001</v>
      </c>
      <c r="E688" s="85">
        <f>133.845</f>
        <v>133.845</v>
      </c>
      <c r="F688" s="76">
        <f>278.484-40-25-60-100</f>
        <v>53.48399999999998</v>
      </c>
      <c r="G688" s="79">
        <v>40</v>
      </c>
      <c r="H688" s="76">
        <f t="shared" si="112"/>
        <v>185</v>
      </c>
      <c r="I688" s="76">
        <f t="shared" si="102"/>
        <v>0</v>
      </c>
      <c r="J688" s="79">
        <v>100</v>
      </c>
      <c r="K688" s="79">
        <v>300</v>
      </c>
      <c r="L688" s="76">
        <f t="shared" si="105"/>
        <v>1274</v>
      </c>
      <c r="M688" s="87">
        <v>600</v>
      </c>
      <c r="N688" s="76">
        <f>75</f>
        <v>75</v>
      </c>
      <c r="O688" s="79">
        <v>240</v>
      </c>
      <c r="P688" s="79">
        <v>40</v>
      </c>
      <c r="Q688" s="79">
        <f t="shared" si="106"/>
        <v>315</v>
      </c>
      <c r="R688" s="79">
        <f t="shared" si="107"/>
        <v>100</v>
      </c>
      <c r="S688" s="76">
        <f t="shared" si="108"/>
        <v>695</v>
      </c>
      <c r="T688" s="76">
        <f>50</f>
        <v>50</v>
      </c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</row>
    <row r="689" spans="1:30" ht="15.75" x14ac:dyDescent="0.25">
      <c r="A689" s="31">
        <v>61909</v>
      </c>
      <c r="B689" s="88">
        <f t="shared" si="110"/>
        <v>30</v>
      </c>
      <c r="C689" s="76">
        <f>194.205</f>
        <v>194.20500000000001</v>
      </c>
      <c r="D689" s="76">
        <f>267.466</f>
        <v>267.46600000000001</v>
      </c>
      <c r="E689" s="85">
        <f>133.845</f>
        <v>133.845</v>
      </c>
      <c r="F689" s="76">
        <f>278.484-40-25-60-100</f>
        <v>53.48399999999998</v>
      </c>
      <c r="G689" s="79">
        <v>40</v>
      </c>
      <c r="H689" s="76">
        <f t="shared" si="112"/>
        <v>185</v>
      </c>
      <c r="I689" s="76">
        <f t="shared" si="102"/>
        <v>0</v>
      </c>
      <c r="J689" s="79">
        <v>100</v>
      </c>
      <c r="K689" s="79">
        <v>300</v>
      </c>
      <c r="L689" s="76">
        <f t="shared" si="105"/>
        <v>1274</v>
      </c>
      <c r="M689" s="87">
        <v>600</v>
      </c>
      <c r="N689" s="76">
        <f>30</f>
        <v>30</v>
      </c>
      <c r="O689" s="79">
        <v>240</v>
      </c>
      <c r="P689" s="79">
        <v>40</v>
      </c>
      <c r="Q689" s="79">
        <f t="shared" si="106"/>
        <v>315</v>
      </c>
      <c r="R689" s="79">
        <f t="shared" si="107"/>
        <v>100</v>
      </c>
      <c r="S689" s="76">
        <f t="shared" si="108"/>
        <v>695</v>
      </c>
      <c r="T689" s="76">
        <f>50</f>
        <v>50</v>
      </c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</row>
    <row r="690" spans="1:30" ht="15.75" x14ac:dyDescent="0.25">
      <c r="A690" s="31">
        <v>61940</v>
      </c>
      <c r="B690" s="88">
        <f t="shared" si="110"/>
        <v>31</v>
      </c>
      <c r="C690" s="76">
        <f>194.205</f>
        <v>194.20500000000001</v>
      </c>
      <c r="D690" s="76">
        <f>267.466</f>
        <v>267.46600000000001</v>
      </c>
      <c r="E690" s="85">
        <f>133.845</f>
        <v>133.845</v>
      </c>
      <c r="F690" s="76">
        <f>278.484-40-25-60-100</f>
        <v>53.48399999999998</v>
      </c>
      <c r="G690" s="79">
        <v>40</v>
      </c>
      <c r="H690" s="76">
        <f t="shared" si="112"/>
        <v>185</v>
      </c>
      <c r="I690" s="76">
        <f t="shared" si="102"/>
        <v>0</v>
      </c>
      <c r="J690" s="79">
        <v>100</v>
      </c>
      <c r="K690" s="79">
        <v>300</v>
      </c>
      <c r="L690" s="76">
        <f t="shared" si="105"/>
        <v>1274</v>
      </c>
      <c r="M690" s="87">
        <v>600</v>
      </c>
      <c r="N690" s="76">
        <f>30</f>
        <v>30</v>
      </c>
      <c r="O690" s="79">
        <v>240</v>
      </c>
      <c r="P690" s="79">
        <v>40</v>
      </c>
      <c r="Q690" s="79">
        <f t="shared" si="106"/>
        <v>315</v>
      </c>
      <c r="R690" s="79">
        <f t="shared" si="107"/>
        <v>100</v>
      </c>
      <c r="S690" s="76">
        <f t="shared" si="108"/>
        <v>695</v>
      </c>
      <c r="T690" s="76">
        <f>0</f>
        <v>0</v>
      </c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</row>
    <row r="691" spans="1:30" ht="15.75" x14ac:dyDescent="0.25">
      <c r="A691" s="31">
        <v>61971</v>
      </c>
      <c r="B691" s="88">
        <f t="shared" si="110"/>
        <v>31</v>
      </c>
      <c r="C691" s="76">
        <f>194.205</f>
        <v>194.20500000000001</v>
      </c>
      <c r="D691" s="76">
        <f>267.466</f>
        <v>267.46600000000001</v>
      </c>
      <c r="E691" s="85">
        <f>133.845</f>
        <v>133.845</v>
      </c>
      <c r="F691" s="76">
        <f>278.484-40-25-60-100</f>
        <v>53.48399999999998</v>
      </c>
      <c r="G691" s="79">
        <v>40</v>
      </c>
      <c r="H691" s="76">
        <f t="shared" si="112"/>
        <v>185</v>
      </c>
      <c r="I691" s="76">
        <f t="shared" si="102"/>
        <v>0</v>
      </c>
      <c r="J691" s="79">
        <v>100</v>
      </c>
      <c r="K691" s="79">
        <v>300</v>
      </c>
      <c r="L691" s="76">
        <f t="shared" si="105"/>
        <v>1274</v>
      </c>
      <c r="M691" s="87">
        <v>600</v>
      </c>
      <c r="N691" s="76">
        <f>30</f>
        <v>30</v>
      </c>
      <c r="O691" s="79">
        <v>240</v>
      </c>
      <c r="P691" s="79">
        <v>40</v>
      </c>
      <c r="Q691" s="79">
        <f t="shared" si="106"/>
        <v>315</v>
      </c>
      <c r="R691" s="79">
        <f t="shared" si="107"/>
        <v>100</v>
      </c>
      <c r="S691" s="76">
        <f t="shared" si="108"/>
        <v>695</v>
      </c>
      <c r="T691" s="76">
        <f>0</f>
        <v>0</v>
      </c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</row>
    <row r="692" spans="1:30" ht="15.75" x14ac:dyDescent="0.25">
      <c r="A692" s="31">
        <v>62001</v>
      </c>
      <c r="B692" s="88">
        <f t="shared" si="110"/>
        <v>30</v>
      </c>
      <c r="C692" s="76">
        <f>194.205</f>
        <v>194.20500000000001</v>
      </c>
      <c r="D692" s="76">
        <f>267.466</f>
        <v>267.46600000000001</v>
      </c>
      <c r="E692" s="85">
        <f>133.845</f>
        <v>133.845</v>
      </c>
      <c r="F692" s="76">
        <f>278.484-40-25-60-100</f>
        <v>53.48399999999998</v>
      </c>
      <c r="G692" s="79">
        <v>40</v>
      </c>
      <c r="H692" s="76">
        <f t="shared" si="112"/>
        <v>185</v>
      </c>
      <c r="I692" s="76">
        <f t="shared" ref="I692:I755" si="113">400-J692-K692</f>
        <v>0</v>
      </c>
      <c r="J692" s="79">
        <v>100</v>
      </c>
      <c r="K692" s="79">
        <v>300</v>
      </c>
      <c r="L692" s="76">
        <f t="shared" si="105"/>
        <v>1274</v>
      </c>
      <c r="M692" s="87">
        <v>600</v>
      </c>
      <c r="N692" s="76">
        <f>30</f>
        <v>30</v>
      </c>
      <c r="O692" s="79">
        <v>240</v>
      </c>
      <c r="P692" s="79">
        <v>40</v>
      </c>
      <c r="Q692" s="79">
        <f t="shared" si="106"/>
        <v>315</v>
      </c>
      <c r="R692" s="79">
        <f t="shared" si="107"/>
        <v>100</v>
      </c>
      <c r="S692" s="76">
        <f t="shared" si="108"/>
        <v>695</v>
      </c>
      <c r="T692" s="76">
        <f>0</f>
        <v>0</v>
      </c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</row>
    <row r="693" spans="1:30" ht="15.75" x14ac:dyDescent="0.25">
      <c r="A693" s="31">
        <v>62032</v>
      </c>
      <c r="B693" s="88">
        <f t="shared" si="110"/>
        <v>31</v>
      </c>
      <c r="C693" s="76">
        <f>131.881</f>
        <v>131.881</v>
      </c>
      <c r="D693" s="76">
        <f>277.167</f>
        <v>277.16699999999997</v>
      </c>
      <c r="E693" s="85">
        <f>79.08</f>
        <v>79.08</v>
      </c>
      <c r="F693" s="76">
        <f>350.872-40-25-60-100</f>
        <v>125.87200000000001</v>
      </c>
      <c r="G693" s="79">
        <v>40</v>
      </c>
      <c r="H693" s="76">
        <f t="shared" si="112"/>
        <v>185</v>
      </c>
      <c r="I693" s="76">
        <f t="shared" si="113"/>
        <v>0</v>
      </c>
      <c r="J693" s="79">
        <v>100</v>
      </c>
      <c r="K693" s="79">
        <v>300</v>
      </c>
      <c r="L693" s="76">
        <f t="shared" si="105"/>
        <v>1239</v>
      </c>
      <c r="M693" s="87">
        <v>600</v>
      </c>
      <c r="N693" s="76">
        <f>75</f>
        <v>75</v>
      </c>
      <c r="O693" s="79">
        <v>240</v>
      </c>
      <c r="P693" s="79">
        <v>40</v>
      </c>
      <c r="Q693" s="79">
        <f t="shared" si="106"/>
        <v>315</v>
      </c>
      <c r="R693" s="79">
        <f t="shared" si="107"/>
        <v>100</v>
      </c>
      <c r="S693" s="76">
        <f t="shared" si="108"/>
        <v>695</v>
      </c>
      <c r="T693" s="76">
        <f>0</f>
        <v>0</v>
      </c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</row>
    <row r="694" spans="1:30" ht="15.75" x14ac:dyDescent="0.25">
      <c r="A694" s="31">
        <v>62062</v>
      </c>
      <c r="B694" s="88">
        <f t="shared" si="110"/>
        <v>30</v>
      </c>
      <c r="C694" s="76">
        <f>122.58</f>
        <v>122.58</v>
      </c>
      <c r="D694" s="76">
        <f>297.941</f>
        <v>297.94099999999997</v>
      </c>
      <c r="E694" s="85">
        <f>89.177</f>
        <v>89.177000000000007</v>
      </c>
      <c r="F694" s="76">
        <f>240.302-40-60-100</f>
        <v>40.301999999999992</v>
      </c>
      <c r="G694" s="79">
        <v>40</v>
      </c>
      <c r="H694" s="76">
        <f>60+100</f>
        <v>160</v>
      </c>
      <c r="I694" s="76">
        <f t="shared" si="113"/>
        <v>0</v>
      </c>
      <c r="J694" s="79">
        <v>100</v>
      </c>
      <c r="K694" s="79">
        <v>300</v>
      </c>
      <c r="L694" s="76">
        <f t="shared" si="105"/>
        <v>1150</v>
      </c>
      <c r="M694" s="87">
        <v>600</v>
      </c>
      <c r="N694" s="76">
        <f>100</f>
        <v>100</v>
      </c>
      <c r="O694" s="79">
        <v>240</v>
      </c>
      <c r="P694" s="79">
        <v>40</v>
      </c>
      <c r="Q694" s="79">
        <f t="shared" si="106"/>
        <v>315</v>
      </c>
      <c r="R694" s="79">
        <f t="shared" si="107"/>
        <v>100</v>
      </c>
      <c r="S694" s="76">
        <f t="shared" si="108"/>
        <v>695</v>
      </c>
      <c r="T694" s="76">
        <f>50</f>
        <v>50</v>
      </c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</row>
    <row r="695" spans="1:30" ht="15.75" x14ac:dyDescent="0.25">
      <c r="A695" s="31">
        <v>62093</v>
      </c>
      <c r="B695" s="88">
        <f t="shared" si="110"/>
        <v>31</v>
      </c>
      <c r="C695" s="76">
        <f>122.58</f>
        <v>122.58</v>
      </c>
      <c r="D695" s="76">
        <f>297.941</f>
        <v>297.94099999999997</v>
      </c>
      <c r="E695" s="85">
        <f>89.177</f>
        <v>89.177000000000007</v>
      </c>
      <c r="F695" s="76">
        <f>240.302-40-60-100</f>
        <v>40.301999999999992</v>
      </c>
      <c r="G695" s="79">
        <v>40</v>
      </c>
      <c r="H695" s="76">
        <f>60+100</f>
        <v>160</v>
      </c>
      <c r="I695" s="76">
        <f t="shared" si="113"/>
        <v>0</v>
      </c>
      <c r="J695" s="79">
        <v>100</v>
      </c>
      <c r="K695" s="79">
        <v>300</v>
      </c>
      <c r="L695" s="76">
        <f t="shared" si="105"/>
        <v>1150</v>
      </c>
      <c r="M695" s="87">
        <v>600</v>
      </c>
      <c r="N695" s="76">
        <f>100</f>
        <v>100</v>
      </c>
      <c r="O695" s="79">
        <v>240</v>
      </c>
      <c r="P695" s="79">
        <v>40</v>
      </c>
      <c r="Q695" s="79">
        <f t="shared" si="106"/>
        <v>315</v>
      </c>
      <c r="R695" s="79">
        <f t="shared" si="107"/>
        <v>100</v>
      </c>
      <c r="S695" s="76">
        <f t="shared" si="108"/>
        <v>695</v>
      </c>
      <c r="T695" s="76">
        <f>50</f>
        <v>50</v>
      </c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</row>
    <row r="696" spans="1:30" ht="15.75" x14ac:dyDescent="0.25">
      <c r="A696" s="31">
        <v>62124</v>
      </c>
      <c r="B696" s="88">
        <f t="shared" si="110"/>
        <v>31</v>
      </c>
      <c r="C696" s="76">
        <f>122.58</f>
        <v>122.58</v>
      </c>
      <c r="D696" s="76">
        <f>297.941</f>
        <v>297.94099999999997</v>
      </c>
      <c r="E696" s="85">
        <f>89.177</f>
        <v>89.177000000000007</v>
      </c>
      <c r="F696" s="76">
        <f>240.302-40-60-100</f>
        <v>40.301999999999992</v>
      </c>
      <c r="G696" s="79">
        <v>40</v>
      </c>
      <c r="H696" s="76">
        <f>60+100</f>
        <v>160</v>
      </c>
      <c r="I696" s="76">
        <f t="shared" si="113"/>
        <v>0</v>
      </c>
      <c r="J696" s="79">
        <v>100</v>
      </c>
      <c r="K696" s="79">
        <v>300</v>
      </c>
      <c r="L696" s="76">
        <f t="shared" si="105"/>
        <v>1150</v>
      </c>
      <c r="M696" s="87">
        <v>600</v>
      </c>
      <c r="N696" s="76">
        <f>100</f>
        <v>100</v>
      </c>
      <c r="O696" s="79">
        <v>240</v>
      </c>
      <c r="P696" s="79">
        <v>40</v>
      </c>
      <c r="Q696" s="79">
        <f t="shared" si="106"/>
        <v>315</v>
      </c>
      <c r="R696" s="79">
        <f t="shared" si="107"/>
        <v>100</v>
      </c>
      <c r="S696" s="76">
        <f t="shared" si="108"/>
        <v>695</v>
      </c>
      <c r="T696" s="76">
        <f>50</f>
        <v>50</v>
      </c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</row>
    <row r="697" spans="1:30" ht="15.75" x14ac:dyDescent="0.25">
      <c r="A697" s="31">
        <v>62152</v>
      </c>
      <c r="B697" s="88">
        <f t="shared" si="110"/>
        <v>28</v>
      </c>
      <c r="C697" s="76">
        <f>122.58</f>
        <v>122.58</v>
      </c>
      <c r="D697" s="76">
        <f>297.941</f>
        <v>297.94099999999997</v>
      </c>
      <c r="E697" s="85">
        <f>89.177</f>
        <v>89.177000000000007</v>
      </c>
      <c r="F697" s="76">
        <f>240.302-40-60-100</f>
        <v>40.301999999999992</v>
      </c>
      <c r="G697" s="79">
        <v>40</v>
      </c>
      <c r="H697" s="76">
        <f>60+100</f>
        <v>160</v>
      </c>
      <c r="I697" s="76">
        <f t="shared" si="113"/>
        <v>0</v>
      </c>
      <c r="J697" s="79">
        <v>100</v>
      </c>
      <c r="K697" s="79">
        <v>300</v>
      </c>
      <c r="L697" s="76">
        <f t="shared" si="105"/>
        <v>1150</v>
      </c>
      <c r="M697" s="87">
        <v>600</v>
      </c>
      <c r="N697" s="76">
        <f>100</f>
        <v>100</v>
      </c>
      <c r="O697" s="79">
        <v>240</v>
      </c>
      <c r="P697" s="79">
        <v>40</v>
      </c>
      <c r="Q697" s="79">
        <f t="shared" si="106"/>
        <v>315</v>
      </c>
      <c r="R697" s="79">
        <f t="shared" si="107"/>
        <v>100</v>
      </c>
      <c r="S697" s="76">
        <f t="shared" si="108"/>
        <v>695</v>
      </c>
      <c r="T697" s="76">
        <f>50</f>
        <v>50</v>
      </c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</row>
    <row r="698" spans="1:30" ht="15.75" x14ac:dyDescent="0.25">
      <c r="A698" s="31">
        <v>62183</v>
      </c>
      <c r="B698" s="88">
        <f t="shared" si="110"/>
        <v>31</v>
      </c>
      <c r="C698" s="76">
        <f>122.58</f>
        <v>122.58</v>
      </c>
      <c r="D698" s="76">
        <f>297.941</f>
        <v>297.94099999999997</v>
      </c>
      <c r="E698" s="85">
        <f>89.177</f>
        <v>89.177000000000007</v>
      </c>
      <c r="F698" s="76">
        <f>240.302-40-60-100</f>
        <v>40.301999999999992</v>
      </c>
      <c r="G698" s="79">
        <v>40</v>
      </c>
      <c r="H698" s="76">
        <f>60+100</f>
        <v>160</v>
      </c>
      <c r="I698" s="76">
        <f t="shared" si="113"/>
        <v>0</v>
      </c>
      <c r="J698" s="79">
        <v>100</v>
      </c>
      <c r="K698" s="79">
        <v>300</v>
      </c>
      <c r="L698" s="76">
        <f t="shared" si="105"/>
        <v>1150</v>
      </c>
      <c r="M698" s="87">
        <v>600</v>
      </c>
      <c r="N698" s="76">
        <f>100</f>
        <v>100</v>
      </c>
      <c r="O698" s="79">
        <v>240</v>
      </c>
      <c r="P698" s="79">
        <v>40</v>
      </c>
      <c r="Q698" s="79">
        <f t="shared" si="106"/>
        <v>315</v>
      </c>
      <c r="R698" s="79">
        <f t="shared" si="107"/>
        <v>100</v>
      </c>
      <c r="S698" s="76">
        <f t="shared" si="108"/>
        <v>695</v>
      </c>
      <c r="T698" s="76">
        <f>50</f>
        <v>50</v>
      </c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</row>
    <row r="699" spans="1:30" ht="15.75" x14ac:dyDescent="0.25">
      <c r="A699" s="31">
        <v>62213</v>
      </c>
      <c r="B699" s="88">
        <f t="shared" si="110"/>
        <v>30</v>
      </c>
      <c r="C699" s="76">
        <f>141.293</f>
        <v>141.29300000000001</v>
      </c>
      <c r="D699" s="76">
        <f>267.993</f>
        <v>267.99299999999999</v>
      </c>
      <c r="E699" s="85">
        <f>115.016</f>
        <v>115.01600000000001</v>
      </c>
      <c r="F699" s="76">
        <f>314.698-40-25-60-100</f>
        <v>89.697999999999979</v>
      </c>
      <c r="G699" s="79">
        <v>40</v>
      </c>
      <c r="H699" s="76">
        <f t="shared" ref="H699:H705" si="114">25+60+100</f>
        <v>185</v>
      </c>
      <c r="I699" s="76">
        <f t="shared" si="113"/>
        <v>0</v>
      </c>
      <c r="J699" s="79">
        <v>100</v>
      </c>
      <c r="K699" s="79">
        <v>300</v>
      </c>
      <c r="L699" s="76">
        <f t="shared" si="105"/>
        <v>1239</v>
      </c>
      <c r="M699" s="87">
        <v>600</v>
      </c>
      <c r="N699" s="76">
        <f>100</f>
        <v>100</v>
      </c>
      <c r="O699" s="79">
        <v>240</v>
      </c>
      <c r="P699" s="79">
        <v>40</v>
      </c>
      <c r="Q699" s="79">
        <f t="shared" si="106"/>
        <v>315</v>
      </c>
      <c r="R699" s="79">
        <f t="shared" si="107"/>
        <v>100</v>
      </c>
      <c r="S699" s="76">
        <f t="shared" si="108"/>
        <v>695</v>
      </c>
      <c r="T699" s="76">
        <f>50</f>
        <v>50</v>
      </c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</row>
    <row r="700" spans="1:30" ht="15.75" x14ac:dyDescent="0.25">
      <c r="A700" s="31">
        <v>62244</v>
      </c>
      <c r="B700" s="88">
        <f t="shared" si="110"/>
        <v>31</v>
      </c>
      <c r="C700" s="76">
        <f>194.205</f>
        <v>194.20500000000001</v>
      </c>
      <c r="D700" s="76">
        <f>267.466</f>
        <v>267.46600000000001</v>
      </c>
      <c r="E700" s="85">
        <f>133.845</f>
        <v>133.845</v>
      </c>
      <c r="F700" s="76">
        <f>278.484-40-25-60-100</f>
        <v>53.48399999999998</v>
      </c>
      <c r="G700" s="79">
        <v>40</v>
      </c>
      <c r="H700" s="76">
        <f t="shared" si="114"/>
        <v>185</v>
      </c>
      <c r="I700" s="76">
        <f t="shared" si="113"/>
        <v>0</v>
      </c>
      <c r="J700" s="79">
        <v>100</v>
      </c>
      <c r="K700" s="79">
        <v>300</v>
      </c>
      <c r="L700" s="76">
        <f t="shared" si="105"/>
        <v>1274</v>
      </c>
      <c r="M700" s="87">
        <v>600</v>
      </c>
      <c r="N700" s="76">
        <f>75</f>
        <v>75</v>
      </c>
      <c r="O700" s="79">
        <v>240</v>
      </c>
      <c r="P700" s="79">
        <v>40</v>
      </c>
      <c r="Q700" s="79">
        <f t="shared" si="106"/>
        <v>315</v>
      </c>
      <c r="R700" s="79">
        <f t="shared" si="107"/>
        <v>100</v>
      </c>
      <c r="S700" s="76">
        <f t="shared" si="108"/>
        <v>695</v>
      </c>
      <c r="T700" s="76">
        <f>50</f>
        <v>50</v>
      </c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</row>
    <row r="701" spans="1:30" ht="15.75" x14ac:dyDescent="0.25">
      <c r="A701" s="31">
        <v>62274</v>
      </c>
      <c r="B701" s="88">
        <f t="shared" si="110"/>
        <v>30</v>
      </c>
      <c r="C701" s="76">
        <f>194.205</f>
        <v>194.20500000000001</v>
      </c>
      <c r="D701" s="76">
        <f>267.466</f>
        <v>267.46600000000001</v>
      </c>
      <c r="E701" s="85">
        <f>133.845</f>
        <v>133.845</v>
      </c>
      <c r="F701" s="76">
        <f>278.484-40-25-60-100</f>
        <v>53.48399999999998</v>
      </c>
      <c r="G701" s="79">
        <v>40</v>
      </c>
      <c r="H701" s="76">
        <f t="shared" si="114"/>
        <v>185</v>
      </c>
      <c r="I701" s="76">
        <f t="shared" si="113"/>
        <v>0</v>
      </c>
      <c r="J701" s="79">
        <v>100</v>
      </c>
      <c r="K701" s="79">
        <v>300</v>
      </c>
      <c r="L701" s="76">
        <f t="shared" si="105"/>
        <v>1274</v>
      </c>
      <c r="M701" s="87">
        <v>600</v>
      </c>
      <c r="N701" s="76">
        <f>30</f>
        <v>30</v>
      </c>
      <c r="O701" s="79">
        <v>240</v>
      </c>
      <c r="P701" s="79">
        <v>40</v>
      </c>
      <c r="Q701" s="79">
        <f t="shared" si="106"/>
        <v>315</v>
      </c>
      <c r="R701" s="79">
        <f t="shared" si="107"/>
        <v>100</v>
      </c>
      <c r="S701" s="76">
        <f t="shared" si="108"/>
        <v>695</v>
      </c>
      <c r="T701" s="76">
        <f>50</f>
        <v>50</v>
      </c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</row>
    <row r="702" spans="1:30" ht="15.75" x14ac:dyDescent="0.25">
      <c r="A702" s="31">
        <v>62305</v>
      </c>
      <c r="B702" s="88">
        <f t="shared" si="110"/>
        <v>31</v>
      </c>
      <c r="C702" s="76">
        <f>194.205</f>
        <v>194.20500000000001</v>
      </c>
      <c r="D702" s="76">
        <f>267.466</f>
        <v>267.46600000000001</v>
      </c>
      <c r="E702" s="85">
        <f>133.845</f>
        <v>133.845</v>
      </c>
      <c r="F702" s="76">
        <f>278.484-40-25-60-100</f>
        <v>53.48399999999998</v>
      </c>
      <c r="G702" s="79">
        <v>40</v>
      </c>
      <c r="H702" s="76">
        <f t="shared" si="114"/>
        <v>185</v>
      </c>
      <c r="I702" s="76">
        <f t="shared" si="113"/>
        <v>0</v>
      </c>
      <c r="J702" s="79">
        <v>100</v>
      </c>
      <c r="K702" s="79">
        <v>300</v>
      </c>
      <c r="L702" s="76">
        <f t="shared" si="105"/>
        <v>1274</v>
      </c>
      <c r="M702" s="87">
        <v>600</v>
      </c>
      <c r="N702" s="76">
        <f>30</f>
        <v>30</v>
      </c>
      <c r="O702" s="79">
        <v>240</v>
      </c>
      <c r="P702" s="79">
        <v>40</v>
      </c>
      <c r="Q702" s="79">
        <f t="shared" si="106"/>
        <v>315</v>
      </c>
      <c r="R702" s="79">
        <f t="shared" si="107"/>
        <v>100</v>
      </c>
      <c r="S702" s="76">
        <f t="shared" si="108"/>
        <v>695</v>
      </c>
      <c r="T702" s="76">
        <f>0</f>
        <v>0</v>
      </c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</row>
    <row r="703" spans="1:30" ht="15.75" x14ac:dyDescent="0.25">
      <c r="A703" s="31">
        <v>62336</v>
      </c>
      <c r="B703" s="88">
        <f t="shared" si="110"/>
        <v>31</v>
      </c>
      <c r="C703" s="76">
        <f>194.205</f>
        <v>194.20500000000001</v>
      </c>
      <c r="D703" s="76">
        <f>267.466</f>
        <v>267.46600000000001</v>
      </c>
      <c r="E703" s="85">
        <f>133.845</f>
        <v>133.845</v>
      </c>
      <c r="F703" s="76">
        <f>278.484-40-25-60-100</f>
        <v>53.48399999999998</v>
      </c>
      <c r="G703" s="79">
        <v>40</v>
      </c>
      <c r="H703" s="76">
        <f t="shared" si="114"/>
        <v>185</v>
      </c>
      <c r="I703" s="76">
        <f t="shared" si="113"/>
        <v>0</v>
      </c>
      <c r="J703" s="79">
        <v>100</v>
      </c>
      <c r="K703" s="79">
        <v>300</v>
      </c>
      <c r="L703" s="76">
        <f t="shared" si="105"/>
        <v>1274</v>
      </c>
      <c r="M703" s="87">
        <v>600</v>
      </c>
      <c r="N703" s="76">
        <f>30</f>
        <v>30</v>
      </c>
      <c r="O703" s="79">
        <v>240</v>
      </c>
      <c r="P703" s="79">
        <v>40</v>
      </c>
      <c r="Q703" s="79">
        <f t="shared" si="106"/>
        <v>315</v>
      </c>
      <c r="R703" s="79">
        <f t="shared" si="107"/>
        <v>100</v>
      </c>
      <c r="S703" s="76">
        <f t="shared" si="108"/>
        <v>695</v>
      </c>
      <c r="T703" s="76">
        <f>0</f>
        <v>0</v>
      </c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</row>
    <row r="704" spans="1:30" ht="15.75" x14ac:dyDescent="0.25">
      <c r="A704" s="31">
        <v>62366</v>
      </c>
      <c r="B704" s="88">
        <f t="shared" si="110"/>
        <v>30</v>
      </c>
      <c r="C704" s="76">
        <f>194.205</f>
        <v>194.20500000000001</v>
      </c>
      <c r="D704" s="76">
        <f>267.466</f>
        <v>267.46600000000001</v>
      </c>
      <c r="E704" s="85">
        <f>133.845</f>
        <v>133.845</v>
      </c>
      <c r="F704" s="76">
        <f>278.484-40-25-60-100</f>
        <v>53.48399999999998</v>
      </c>
      <c r="G704" s="79">
        <v>40</v>
      </c>
      <c r="H704" s="76">
        <f t="shared" si="114"/>
        <v>185</v>
      </c>
      <c r="I704" s="76">
        <f t="shared" si="113"/>
        <v>0</v>
      </c>
      <c r="J704" s="79">
        <v>100</v>
      </c>
      <c r="K704" s="79">
        <v>300</v>
      </c>
      <c r="L704" s="76">
        <f t="shared" si="105"/>
        <v>1274</v>
      </c>
      <c r="M704" s="87">
        <v>600</v>
      </c>
      <c r="N704" s="76">
        <f>30</f>
        <v>30</v>
      </c>
      <c r="O704" s="79">
        <v>240</v>
      </c>
      <c r="P704" s="79">
        <v>40</v>
      </c>
      <c r="Q704" s="79">
        <f t="shared" si="106"/>
        <v>315</v>
      </c>
      <c r="R704" s="79">
        <f t="shared" si="107"/>
        <v>100</v>
      </c>
      <c r="S704" s="76">
        <f t="shared" si="108"/>
        <v>695</v>
      </c>
      <c r="T704" s="76">
        <f>0</f>
        <v>0</v>
      </c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</row>
    <row r="705" spans="1:30" ht="15.75" x14ac:dyDescent="0.25">
      <c r="A705" s="31">
        <v>62397</v>
      </c>
      <c r="B705" s="88">
        <f t="shared" si="110"/>
        <v>31</v>
      </c>
      <c r="C705" s="76">
        <f>131.881</f>
        <v>131.881</v>
      </c>
      <c r="D705" s="76">
        <f>277.167</f>
        <v>277.16699999999997</v>
      </c>
      <c r="E705" s="85">
        <f>79.08</f>
        <v>79.08</v>
      </c>
      <c r="F705" s="76">
        <f>350.872-40-25-60-100</f>
        <v>125.87200000000001</v>
      </c>
      <c r="G705" s="79">
        <v>40</v>
      </c>
      <c r="H705" s="76">
        <f t="shared" si="114"/>
        <v>185</v>
      </c>
      <c r="I705" s="76">
        <f t="shared" si="113"/>
        <v>0</v>
      </c>
      <c r="J705" s="79">
        <v>100</v>
      </c>
      <c r="K705" s="79">
        <v>300</v>
      </c>
      <c r="L705" s="76">
        <f t="shared" si="105"/>
        <v>1239</v>
      </c>
      <c r="M705" s="87">
        <v>600</v>
      </c>
      <c r="N705" s="76">
        <f>75</f>
        <v>75</v>
      </c>
      <c r="O705" s="79">
        <v>240</v>
      </c>
      <c r="P705" s="79">
        <v>40</v>
      </c>
      <c r="Q705" s="79">
        <f t="shared" si="106"/>
        <v>315</v>
      </c>
      <c r="R705" s="79">
        <f t="shared" si="107"/>
        <v>100</v>
      </c>
      <c r="S705" s="76">
        <f t="shared" si="108"/>
        <v>695</v>
      </c>
      <c r="T705" s="76">
        <f>0</f>
        <v>0</v>
      </c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</row>
    <row r="706" spans="1:30" ht="15.75" x14ac:dyDescent="0.25">
      <c r="A706" s="31">
        <v>62427</v>
      </c>
      <c r="B706" s="88">
        <f t="shared" si="110"/>
        <v>30</v>
      </c>
      <c r="C706" s="76">
        <f>122.58</f>
        <v>122.58</v>
      </c>
      <c r="D706" s="76">
        <f>297.941</f>
        <v>297.94099999999997</v>
      </c>
      <c r="E706" s="85">
        <f>89.177</f>
        <v>89.177000000000007</v>
      </c>
      <c r="F706" s="76">
        <f>240.302-40-60-100</f>
        <v>40.301999999999992</v>
      </c>
      <c r="G706" s="79">
        <v>40</v>
      </c>
      <c r="H706" s="76">
        <f>60+100</f>
        <v>160</v>
      </c>
      <c r="I706" s="76">
        <f t="shared" si="113"/>
        <v>0</v>
      </c>
      <c r="J706" s="79">
        <v>100</v>
      </c>
      <c r="K706" s="79">
        <v>300</v>
      </c>
      <c r="L706" s="76">
        <f t="shared" si="105"/>
        <v>1150</v>
      </c>
      <c r="M706" s="87">
        <v>600</v>
      </c>
      <c r="N706" s="76">
        <f>100</f>
        <v>100</v>
      </c>
      <c r="O706" s="79">
        <v>240</v>
      </c>
      <c r="P706" s="79">
        <v>40</v>
      </c>
      <c r="Q706" s="79">
        <f t="shared" si="106"/>
        <v>315</v>
      </c>
      <c r="R706" s="79">
        <f t="shared" si="107"/>
        <v>100</v>
      </c>
      <c r="S706" s="76">
        <f t="shared" si="108"/>
        <v>695</v>
      </c>
      <c r="T706" s="76">
        <f>50</f>
        <v>50</v>
      </c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</row>
    <row r="707" spans="1:30" ht="15.75" x14ac:dyDescent="0.25">
      <c r="A707" s="31">
        <v>62458</v>
      </c>
      <c r="B707" s="88">
        <f t="shared" si="110"/>
        <v>31</v>
      </c>
      <c r="C707" s="76">
        <f>122.58</f>
        <v>122.58</v>
      </c>
      <c r="D707" s="76">
        <f>297.941</f>
        <v>297.94099999999997</v>
      </c>
      <c r="E707" s="85">
        <f>89.177</f>
        <v>89.177000000000007</v>
      </c>
      <c r="F707" s="76">
        <f>240.302-40-60-100</f>
        <v>40.301999999999992</v>
      </c>
      <c r="G707" s="79">
        <v>40</v>
      </c>
      <c r="H707" s="76">
        <f>60+100</f>
        <v>160</v>
      </c>
      <c r="I707" s="76">
        <f t="shared" si="113"/>
        <v>0</v>
      </c>
      <c r="J707" s="79">
        <v>100</v>
      </c>
      <c r="K707" s="79">
        <v>300</v>
      </c>
      <c r="L707" s="76">
        <f t="shared" si="105"/>
        <v>1150</v>
      </c>
      <c r="M707" s="87">
        <v>600</v>
      </c>
      <c r="N707" s="76">
        <f>100</f>
        <v>100</v>
      </c>
      <c r="O707" s="79">
        <v>240</v>
      </c>
      <c r="P707" s="79">
        <v>40</v>
      </c>
      <c r="Q707" s="79">
        <f t="shared" si="106"/>
        <v>315</v>
      </c>
      <c r="R707" s="79">
        <f t="shared" si="107"/>
        <v>100</v>
      </c>
      <c r="S707" s="76">
        <f t="shared" si="108"/>
        <v>695</v>
      </c>
      <c r="T707" s="76">
        <f>50</f>
        <v>50</v>
      </c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</row>
    <row r="708" spans="1:30" ht="15.75" x14ac:dyDescent="0.25">
      <c r="A708" s="31">
        <v>62489</v>
      </c>
      <c r="B708" s="88">
        <f t="shared" si="110"/>
        <v>31</v>
      </c>
      <c r="C708" s="76">
        <f>122.58</f>
        <v>122.58</v>
      </c>
      <c r="D708" s="76">
        <f>297.941</f>
        <v>297.94099999999997</v>
      </c>
      <c r="E708" s="85">
        <f>89.177</f>
        <v>89.177000000000007</v>
      </c>
      <c r="F708" s="76">
        <f>240.302-40-60-100</f>
        <v>40.301999999999992</v>
      </c>
      <c r="G708" s="79">
        <v>40</v>
      </c>
      <c r="H708" s="76">
        <f>60+100</f>
        <v>160</v>
      </c>
      <c r="I708" s="76">
        <f t="shared" si="113"/>
        <v>0</v>
      </c>
      <c r="J708" s="79">
        <v>100</v>
      </c>
      <c r="K708" s="79">
        <v>300</v>
      </c>
      <c r="L708" s="76">
        <f t="shared" si="105"/>
        <v>1150</v>
      </c>
      <c r="M708" s="87">
        <v>600</v>
      </c>
      <c r="N708" s="76">
        <f>100</f>
        <v>100</v>
      </c>
      <c r="O708" s="79">
        <v>240</v>
      </c>
      <c r="P708" s="79">
        <v>40</v>
      </c>
      <c r="Q708" s="79">
        <f t="shared" si="106"/>
        <v>315</v>
      </c>
      <c r="R708" s="79">
        <f t="shared" si="107"/>
        <v>100</v>
      </c>
      <c r="S708" s="76">
        <f t="shared" si="108"/>
        <v>695</v>
      </c>
      <c r="T708" s="76">
        <f>50</f>
        <v>50</v>
      </c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</row>
    <row r="709" spans="1:30" ht="15.75" x14ac:dyDescent="0.25">
      <c r="A709" s="31">
        <v>62517</v>
      </c>
      <c r="B709" s="88">
        <f t="shared" si="110"/>
        <v>28</v>
      </c>
      <c r="C709" s="76">
        <f>122.58</f>
        <v>122.58</v>
      </c>
      <c r="D709" s="76">
        <f>297.941</f>
        <v>297.94099999999997</v>
      </c>
      <c r="E709" s="85">
        <f>89.177</f>
        <v>89.177000000000007</v>
      </c>
      <c r="F709" s="76">
        <f>240.302-40-60-100</f>
        <v>40.301999999999992</v>
      </c>
      <c r="G709" s="79">
        <v>40</v>
      </c>
      <c r="H709" s="76">
        <f>60+100</f>
        <v>160</v>
      </c>
      <c r="I709" s="76">
        <f t="shared" si="113"/>
        <v>0</v>
      </c>
      <c r="J709" s="79">
        <v>100</v>
      </c>
      <c r="K709" s="79">
        <v>300</v>
      </c>
      <c r="L709" s="76">
        <f t="shared" si="105"/>
        <v>1150</v>
      </c>
      <c r="M709" s="87">
        <v>600</v>
      </c>
      <c r="N709" s="76">
        <f>100</f>
        <v>100</v>
      </c>
      <c r="O709" s="79">
        <v>240</v>
      </c>
      <c r="P709" s="79">
        <v>40</v>
      </c>
      <c r="Q709" s="79">
        <f t="shared" si="106"/>
        <v>315</v>
      </c>
      <c r="R709" s="79">
        <f t="shared" si="107"/>
        <v>100</v>
      </c>
      <c r="S709" s="76">
        <f t="shared" si="108"/>
        <v>695</v>
      </c>
      <c r="T709" s="76">
        <f>50</f>
        <v>50</v>
      </c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</row>
    <row r="710" spans="1:30" ht="15.75" x14ac:dyDescent="0.25">
      <c r="A710" s="31">
        <v>62548</v>
      </c>
      <c r="B710" s="88">
        <f t="shared" si="110"/>
        <v>31</v>
      </c>
      <c r="C710" s="76">
        <f>122.58</f>
        <v>122.58</v>
      </c>
      <c r="D710" s="76">
        <f>297.941</f>
        <v>297.94099999999997</v>
      </c>
      <c r="E710" s="85">
        <f>89.177</f>
        <v>89.177000000000007</v>
      </c>
      <c r="F710" s="76">
        <f>240.302-40-60-100</f>
        <v>40.301999999999992</v>
      </c>
      <c r="G710" s="79">
        <v>40</v>
      </c>
      <c r="H710" s="76">
        <f>60+100</f>
        <v>160</v>
      </c>
      <c r="I710" s="76">
        <f t="shared" si="113"/>
        <v>0</v>
      </c>
      <c r="J710" s="79">
        <v>100</v>
      </c>
      <c r="K710" s="79">
        <v>300</v>
      </c>
      <c r="L710" s="76">
        <f t="shared" si="105"/>
        <v>1150</v>
      </c>
      <c r="M710" s="87">
        <v>600</v>
      </c>
      <c r="N710" s="76">
        <f>100</f>
        <v>100</v>
      </c>
      <c r="O710" s="79">
        <v>240</v>
      </c>
      <c r="P710" s="79">
        <v>40</v>
      </c>
      <c r="Q710" s="79">
        <f t="shared" si="106"/>
        <v>315</v>
      </c>
      <c r="R710" s="79">
        <f t="shared" si="107"/>
        <v>100</v>
      </c>
      <c r="S710" s="76">
        <f t="shared" si="108"/>
        <v>695</v>
      </c>
      <c r="T710" s="76">
        <f>50</f>
        <v>50</v>
      </c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</row>
    <row r="711" spans="1:30" ht="15.75" x14ac:dyDescent="0.25">
      <c r="A711" s="31">
        <v>62578</v>
      </c>
      <c r="B711" s="88">
        <f t="shared" si="110"/>
        <v>30</v>
      </c>
      <c r="C711" s="76">
        <f>141.293</f>
        <v>141.29300000000001</v>
      </c>
      <c r="D711" s="76">
        <f>267.993</f>
        <v>267.99299999999999</v>
      </c>
      <c r="E711" s="85">
        <f>115.016</f>
        <v>115.01600000000001</v>
      </c>
      <c r="F711" s="76">
        <f>314.698-40-25-60-100</f>
        <v>89.697999999999979</v>
      </c>
      <c r="G711" s="79">
        <v>40</v>
      </c>
      <c r="H711" s="76">
        <f t="shared" ref="H711:H717" si="115">25+60+100</f>
        <v>185</v>
      </c>
      <c r="I711" s="76">
        <f t="shared" si="113"/>
        <v>0</v>
      </c>
      <c r="J711" s="79">
        <v>100</v>
      </c>
      <c r="K711" s="79">
        <v>300</v>
      </c>
      <c r="L711" s="76">
        <f t="shared" si="105"/>
        <v>1239</v>
      </c>
      <c r="M711" s="87">
        <v>600</v>
      </c>
      <c r="N711" s="76">
        <f>100</f>
        <v>100</v>
      </c>
      <c r="O711" s="79">
        <v>240</v>
      </c>
      <c r="P711" s="79">
        <v>40</v>
      </c>
      <c r="Q711" s="79">
        <f t="shared" si="106"/>
        <v>315</v>
      </c>
      <c r="R711" s="79">
        <f t="shared" si="107"/>
        <v>100</v>
      </c>
      <c r="S711" s="76">
        <f t="shared" si="108"/>
        <v>695</v>
      </c>
      <c r="T711" s="76">
        <f>50</f>
        <v>50</v>
      </c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</row>
    <row r="712" spans="1:30" ht="15.75" x14ac:dyDescent="0.25">
      <c r="A712" s="31">
        <v>62609</v>
      </c>
      <c r="B712" s="88">
        <f t="shared" si="110"/>
        <v>31</v>
      </c>
      <c r="C712" s="76">
        <f>194.205</f>
        <v>194.20500000000001</v>
      </c>
      <c r="D712" s="76">
        <f>267.466</f>
        <v>267.46600000000001</v>
      </c>
      <c r="E712" s="85">
        <f>133.845</f>
        <v>133.845</v>
      </c>
      <c r="F712" s="76">
        <f>278.484-40-25-60-100</f>
        <v>53.48399999999998</v>
      </c>
      <c r="G712" s="79">
        <v>40</v>
      </c>
      <c r="H712" s="76">
        <f t="shared" si="115"/>
        <v>185</v>
      </c>
      <c r="I712" s="76">
        <f t="shared" si="113"/>
        <v>0</v>
      </c>
      <c r="J712" s="79">
        <v>100</v>
      </c>
      <c r="K712" s="79">
        <v>300</v>
      </c>
      <c r="L712" s="76">
        <f t="shared" si="105"/>
        <v>1274</v>
      </c>
      <c r="M712" s="87">
        <v>600</v>
      </c>
      <c r="N712" s="76">
        <f>75</f>
        <v>75</v>
      </c>
      <c r="O712" s="79">
        <v>240</v>
      </c>
      <c r="P712" s="79">
        <v>40</v>
      </c>
      <c r="Q712" s="79">
        <f t="shared" si="106"/>
        <v>315</v>
      </c>
      <c r="R712" s="79">
        <f t="shared" si="107"/>
        <v>100</v>
      </c>
      <c r="S712" s="76">
        <f t="shared" si="108"/>
        <v>695</v>
      </c>
      <c r="T712" s="76">
        <f>50</f>
        <v>50</v>
      </c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</row>
    <row r="713" spans="1:30" ht="15.75" x14ac:dyDescent="0.25">
      <c r="A713" s="31">
        <v>62639</v>
      </c>
      <c r="B713" s="88">
        <f t="shared" si="110"/>
        <v>30</v>
      </c>
      <c r="C713" s="76">
        <f>194.205</f>
        <v>194.20500000000001</v>
      </c>
      <c r="D713" s="76">
        <f>267.466</f>
        <v>267.46600000000001</v>
      </c>
      <c r="E713" s="85">
        <f>133.845</f>
        <v>133.845</v>
      </c>
      <c r="F713" s="76">
        <f>278.484-40-25-60-100</f>
        <v>53.48399999999998</v>
      </c>
      <c r="G713" s="79">
        <v>40</v>
      </c>
      <c r="H713" s="76">
        <f t="shared" si="115"/>
        <v>185</v>
      </c>
      <c r="I713" s="76">
        <f t="shared" si="113"/>
        <v>0</v>
      </c>
      <c r="J713" s="79">
        <v>100</v>
      </c>
      <c r="K713" s="79">
        <v>300</v>
      </c>
      <c r="L713" s="76">
        <f t="shared" si="105"/>
        <v>1274</v>
      </c>
      <c r="M713" s="87">
        <v>600</v>
      </c>
      <c r="N713" s="76">
        <f>30</f>
        <v>30</v>
      </c>
      <c r="O713" s="79">
        <v>240</v>
      </c>
      <c r="P713" s="79">
        <v>40</v>
      </c>
      <c r="Q713" s="79">
        <f t="shared" si="106"/>
        <v>315</v>
      </c>
      <c r="R713" s="79">
        <f t="shared" si="107"/>
        <v>100</v>
      </c>
      <c r="S713" s="76">
        <f t="shared" si="108"/>
        <v>695</v>
      </c>
      <c r="T713" s="76">
        <f>50</f>
        <v>50</v>
      </c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</row>
    <row r="714" spans="1:30" ht="15.75" x14ac:dyDescent="0.25">
      <c r="A714" s="31">
        <v>62670</v>
      </c>
      <c r="B714" s="88">
        <f t="shared" si="110"/>
        <v>31</v>
      </c>
      <c r="C714" s="76">
        <f>194.205</f>
        <v>194.20500000000001</v>
      </c>
      <c r="D714" s="76">
        <f>267.466</f>
        <v>267.46600000000001</v>
      </c>
      <c r="E714" s="85">
        <f>133.845</f>
        <v>133.845</v>
      </c>
      <c r="F714" s="76">
        <f>278.484-40-25-60-100</f>
        <v>53.48399999999998</v>
      </c>
      <c r="G714" s="79">
        <v>40</v>
      </c>
      <c r="H714" s="76">
        <f t="shared" si="115"/>
        <v>185</v>
      </c>
      <c r="I714" s="76">
        <f t="shared" si="113"/>
        <v>0</v>
      </c>
      <c r="J714" s="79">
        <v>100</v>
      </c>
      <c r="K714" s="79">
        <v>300</v>
      </c>
      <c r="L714" s="76">
        <f t="shared" si="105"/>
        <v>1274</v>
      </c>
      <c r="M714" s="87">
        <v>600</v>
      </c>
      <c r="N714" s="76">
        <f>30</f>
        <v>30</v>
      </c>
      <c r="O714" s="79">
        <v>240</v>
      </c>
      <c r="P714" s="79">
        <v>40</v>
      </c>
      <c r="Q714" s="79">
        <f t="shared" si="106"/>
        <v>315</v>
      </c>
      <c r="R714" s="79">
        <f t="shared" si="107"/>
        <v>100</v>
      </c>
      <c r="S714" s="76">
        <f t="shared" si="108"/>
        <v>695</v>
      </c>
      <c r="T714" s="76">
        <f>0</f>
        <v>0</v>
      </c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</row>
    <row r="715" spans="1:30" ht="15.75" x14ac:dyDescent="0.25">
      <c r="A715" s="31">
        <v>62701</v>
      </c>
      <c r="B715" s="88">
        <f t="shared" si="110"/>
        <v>31</v>
      </c>
      <c r="C715" s="76">
        <f>194.205</f>
        <v>194.20500000000001</v>
      </c>
      <c r="D715" s="76">
        <f>267.466</f>
        <v>267.46600000000001</v>
      </c>
      <c r="E715" s="85">
        <f>133.845</f>
        <v>133.845</v>
      </c>
      <c r="F715" s="76">
        <f>278.484-40-25-60-100</f>
        <v>53.48399999999998</v>
      </c>
      <c r="G715" s="79">
        <v>40</v>
      </c>
      <c r="H715" s="76">
        <f t="shared" si="115"/>
        <v>185</v>
      </c>
      <c r="I715" s="76">
        <f t="shared" si="113"/>
        <v>0</v>
      </c>
      <c r="J715" s="79">
        <v>100</v>
      </c>
      <c r="K715" s="79">
        <v>300</v>
      </c>
      <c r="L715" s="76">
        <f t="shared" si="105"/>
        <v>1274</v>
      </c>
      <c r="M715" s="87">
        <v>600</v>
      </c>
      <c r="N715" s="76">
        <f>30</f>
        <v>30</v>
      </c>
      <c r="O715" s="79">
        <v>240</v>
      </c>
      <c r="P715" s="79">
        <v>40</v>
      </c>
      <c r="Q715" s="79">
        <f t="shared" si="106"/>
        <v>315</v>
      </c>
      <c r="R715" s="79">
        <f t="shared" si="107"/>
        <v>100</v>
      </c>
      <c r="S715" s="76">
        <f t="shared" si="108"/>
        <v>695</v>
      </c>
      <c r="T715" s="76">
        <f>0</f>
        <v>0</v>
      </c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</row>
    <row r="716" spans="1:30" ht="15.75" x14ac:dyDescent="0.25">
      <c r="A716" s="31">
        <v>62731</v>
      </c>
      <c r="B716" s="88">
        <f t="shared" si="110"/>
        <v>30</v>
      </c>
      <c r="C716" s="76">
        <f>194.205</f>
        <v>194.20500000000001</v>
      </c>
      <c r="D716" s="76">
        <f>267.466</f>
        <v>267.46600000000001</v>
      </c>
      <c r="E716" s="85">
        <f>133.845</f>
        <v>133.845</v>
      </c>
      <c r="F716" s="76">
        <f>278.484-40-25-60-100</f>
        <v>53.48399999999998</v>
      </c>
      <c r="G716" s="79">
        <v>40</v>
      </c>
      <c r="H716" s="76">
        <f t="shared" si="115"/>
        <v>185</v>
      </c>
      <c r="I716" s="76">
        <f t="shared" si="113"/>
        <v>0</v>
      </c>
      <c r="J716" s="79">
        <v>100</v>
      </c>
      <c r="K716" s="79">
        <v>300</v>
      </c>
      <c r="L716" s="76">
        <f t="shared" si="105"/>
        <v>1274</v>
      </c>
      <c r="M716" s="87">
        <v>600</v>
      </c>
      <c r="N716" s="76">
        <f>30</f>
        <v>30</v>
      </c>
      <c r="O716" s="79">
        <v>240</v>
      </c>
      <c r="P716" s="79">
        <v>40</v>
      </c>
      <c r="Q716" s="79">
        <f t="shared" si="106"/>
        <v>315</v>
      </c>
      <c r="R716" s="79">
        <f t="shared" si="107"/>
        <v>100</v>
      </c>
      <c r="S716" s="76">
        <f t="shared" si="108"/>
        <v>695</v>
      </c>
      <c r="T716" s="76">
        <f>0</f>
        <v>0</v>
      </c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</row>
    <row r="717" spans="1:30" ht="15.75" x14ac:dyDescent="0.25">
      <c r="A717" s="31">
        <v>62762</v>
      </c>
      <c r="B717" s="88">
        <f t="shared" si="110"/>
        <v>31</v>
      </c>
      <c r="C717" s="76">
        <f>131.881</f>
        <v>131.881</v>
      </c>
      <c r="D717" s="76">
        <f>277.167</f>
        <v>277.16699999999997</v>
      </c>
      <c r="E717" s="85">
        <f>79.08</f>
        <v>79.08</v>
      </c>
      <c r="F717" s="76">
        <f>350.872-40-25-60-100</f>
        <v>125.87200000000001</v>
      </c>
      <c r="G717" s="79">
        <v>40</v>
      </c>
      <c r="H717" s="76">
        <f t="shared" si="115"/>
        <v>185</v>
      </c>
      <c r="I717" s="76">
        <f t="shared" si="113"/>
        <v>0</v>
      </c>
      <c r="J717" s="79">
        <v>100</v>
      </c>
      <c r="K717" s="79">
        <v>300</v>
      </c>
      <c r="L717" s="76">
        <f t="shared" si="105"/>
        <v>1239</v>
      </c>
      <c r="M717" s="87">
        <v>600</v>
      </c>
      <c r="N717" s="76">
        <f>75</f>
        <v>75</v>
      </c>
      <c r="O717" s="79">
        <v>240</v>
      </c>
      <c r="P717" s="79">
        <v>40</v>
      </c>
      <c r="Q717" s="79">
        <f t="shared" si="106"/>
        <v>315</v>
      </c>
      <c r="R717" s="79">
        <f t="shared" si="107"/>
        <v>100</v>
      </c>
      <c r="S717" s="76">
        <f t="shared" si="108"/>
        <v>695</v>
      </c>
      <c r="T717" s="76">
        <f>0</f>
        <v>0</v>
      </c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</row>
    <row r="718" spans="1:30" ht="15.75" x14ac:dyDescent="0.25">
      <c r="A718" s="31">
        <v>62792</v>
      </c>
      <c r="B718" s="88">
        <f t="shared" si="110"/>
        <v>30</v>
      </c>
      <c r="C718" s="76">
        <f>122.58</f>
        <v>122.58</v>
      </c>
      <c r="D718" s="76">
        <f>297.941</f>
        <v>297.94099999999997</v>
      </c>
      <c r="E718" s="85">
        <f>89.177</f>
        <v>89.177000000000007</v>
      </c>
      <c r="F718" s="76">
        <f>240.302-40-60-100</f>
        <v>40.301999999999992</v>
      </c>
      <c r="G718" s="79">
        <v>40</v>
      </c>
      <c r="H718" s="76">
        <f>60+100</f>
        <v>160</v>
      </c>
      <c r="I718" s="76">
        <f t="shared" si="113"/>
        <v>0</v>
      </c>
      <c r="J718" s="79">
        <v>100</v>
      </c>
      <c r="K718" s="79">
        <v>300</v>
      </c>
      <c r="L718" s="76">
        <f t="shared" si="105"/>
        <v>1150</v>
      </c>
      <c r="M718" s="87">
        <v>600</v>
      </c>
      <c r="N718" s="76">
        <f>100</f>
        <v>100</v>
      </c>
      <c r="O718" s="79">
        <v>240</v>
      </c>
      <c r="P718" s="79">
        <v>40</v>
      </c>
      <c r="Q718" s="79">
        <f t="shared" si="106"/>
        <v>315</v>
      </c>
      <c r="R718" s="79">
        <f t="shared" si="107"/>
        <v>100</v>
      </c>
      <c r="S718" s="76">
        <f t="shared" si="108"/>
        <v>695</v>
      </c>
      <c r="T718" s="76">
        <f>50</f>
        <v>50</v>
      </c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</row>
    <row r="719" spans="1:30" ht="15.75" x14ac:dyDescent="0.25">
      <c r="A719" s="31">
        <v>62823</v>
      </c>
      <c r="B719" s="88">
        <f t="shared" si="110"/>
        <v>31</v>
      </c>
      <c r="C719" s="76">
        <f>122.58</f>
        <v>122.58</v>
      </c>
      <c r="D719" s="76">
        <f>297.941</f>
        <v>297.94099999999997</v>
      </c>
      <c r="E719" s="85">
        <f>89.177</f>
        <v>89.177000000000007</v>
      </c>
      <c r="F719" s="76">
        <f>240.302-40-60-100</f>
        <v>40.301999999999992</v>
      </c>
      <c r="G719" s="79">
        <v>40</v>
      </c>
      <c r="H719" s="76">
        <f>60+100</f>
        <v>160</v>
      </c>
      <c r="I719" s="76">
        <f t="shared" si="113"/>
        <v>0</v>
      </c>
      <c r="J719" s="79">
        <v>100</v>
      </c>
      <c r="K719" s="79">
        <v>300</v>
      </c>
      <c r="L719" s="76">
        <f t="shared" si="105"/>
        <v>1150</v>
      </c>
      <c r="M719" s="87">
        <v>600</v>
      </c>
      <c r="N719" s="76">
        <f>100</f>
        <v>100</v>
      </c>
      <c r="O719" s="79">
        <v>240</v>
      </c>
      <c r="P719" s="79">
        <v>40</v>
      </c>
      <c r="Q719" s="79">
        <f t="shared" si="106"/>
        <v>315</v>
      </c>
      <c r="R719" s="79">
        <f t="shared" si="107"/>
        <v>100</v>
      </c>
      <c r="S719" s="76">
        <f t="shared" si="108"/>
        <v>695</v>
      </c>
      <c r="T719" s="76">
        <f>50</f>
        <v>50</v>
      </c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</row>
    <row r="720" spans="1:30" ht="15.75" x14ac:dyDescent="0.25">
      <c r="A720" s="31">
        <v>62854</v>
      </c>
      <c r="B720" s="88">
        <f t="shared" si="110"/>
        <v>31</v>
      </c>
      <c r="C720" s="76">
        <f>122.58</f>
        <v>122.58</v>
      </c>
      <c r="D720" s="76">
        <f>297.941</f>
        <v>297.94099999999997</v>
      </c>
      <c r="E720" s="85">
        <f>89.177</f>
        <v>89.177000000000007</v>
      </c>
      <c r="F720" s="76">
        <f>240.302-40-60-100</f>
        <v>40.301999999999992</v>
      </c>
      <c r="G720" s="79">
        <v>40</v>
      </c>
      <c r="H720" s="76">
        <f>60+100</f>
        <v>160</v>
      </c>
      <c r="I720" s="76">
        <f t="shared" si="113"/>
        <v>0</v>
      </c>
      <c r="J720" s="79">
        <v>100</v>
      </c>
      <c r="K720" s="79">
        <v>300</v>
      </c>
      <c r="L720" s="76">
        <f t="shared" si="105"/>
        <v>1150</v>
      </c>
      <c r="M720" s="87">
        <v>600</v>
      </c>
      <c r="N720" s="76">
        <f>100</f>
        <v>100</v>
      </c>
      <c r="O720" s="79">
        <v>240</v>
      </c>
      <c r="P720" s="79">
        <v>40</v>
      </c>
      <c r="Q720" s="79">
        <f t="shared" si="106"/>
        <v>315</v>
      </c>
      <c r="R720" s="79">
        <f t="shared" si="107"/>
        <v>100</v>
      </c>
      <c r="S720" s="76">
        <f t="shared" si="108"/>
        <v>695</v>
      </c>
      <c r="T720" s="76">
        <f>50</f>
        <v>50</v>
      </c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</row>
    <row r="721" spans="1:30" ht="15.75" x14ac:dyDescent="0.25">
      <c r="A721" s="31">
        <v>62883</v>
      </c>
      <c r="B721" s="88">
        <f t="shared" si="110"/>
        <v>29</v>
      </c>
      <c r="C721" s="76">
        <f>122.58</f>
        <v>122.58</v>
      </c>
      <c r="D721" s="76">
        <f>297.941</f>
        <v>297.94099999999997</v>
      </c>
      <c r="E721" s="85">
        <f>89.177</f>
        <v>89.177000000000007</v>
      </c>
      <c r="F721" s="76">
        <f>240.302-40-60-100</f>
        <v>40.301999999999992</v>
      </c>
      <c r="G721" s="79">
        <v>40</v>
      </c>
      <c r="H721" s="76">
        <f>60+100</f>
        <v>160</v>
      </c>
      <c r="I721" s="76">
        <f t="shared" si="113"/>
        <v>0</v>
      </c>
      <c r="J721" s="79">
        <v>100</v>
      </c>
      <c r="K721" s="79">
        <v>300</v>
      </c>
      <c r="L721" s="76">
        <f t="shared" si="105"/>
        <v>1150</v>
      </c>
      <c r="M721" s="87">
        <v>600</v>
      </c>
      <c r="N721" s="76">
        <f>100</f>
        <v>100</v>
      </c>
      <c r="O721" s="79">
        <v>240</v>
      </c>
      <c r="P721" s="79">
        <v>40</v>
      </c>
      <c r="Q721" s="79">
        <f t="shared" si="106"/>
        <v>315</v>
      </c>
      <c r="R721" s="79">
        <f t="shared" si="107"/>
        <v>100</v>
      </c>
      <c r="S721" s="76">
        <f t="shared" si="108"/>
        <v>695</v>
      </c>
      <c r="T721" s="76">
        <f>50</f>
        <v>50</v>
      </c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</row>
    <row r="722" spans="1:30" ht="15.75" x14ac:dyDescent="0.25">
      <c r="A722" s="31">
        <v>62914</v>
      </c>
      <c r="B722" s="88">
        <f t="shared" si="110"/>
        <v>31</v>
      </c>
      <c r="C722" s="76">
        <f>122.58</f>
        <v>122.58</v>
      </c>
      <c r="D722" s="76">
        <f>297.941</f>
        <v>297.94099999999997</v>
      </c>
      <c r="E722" s="85">
        <f>89.177</f>
        <v>89.177000000000007</v>
      </c>
      <c r="F722" s="76">
        <f>240.302-40-60-100</f>
        <v>40.301999999999992</v>
      </c>
      <c r="G722" s="79">
        <v>40</v>
      </c>
      <c r="H722" s="76">
        <f>60+100</f>
        <v>160</v>
      </c>
      <c r="I722" s="76">
        <f t="shared" si="113"/>
        <v>0</v>
      </c>
      <c r="J722" s="79">
        <v>100</v>
      </c>
      <c r="K722" s="79">
        <v>300</v>
      </c>
      <c r="L722" s="76">
        <f t="shared" ref="L722:L785" si="116">SUM(C722:K722)</f>
        <v>1150</v>
      </c>
      <c r="M722" s="87">
        <v>600</v>
      </c>
      <c r="N722" s="76">
        <f>100</f>
        <v>100</v>
      </c>
      <c r="O722" s="79">
        <v>240</v>
      </c>
      <c r="P722" s="79">
        <v>40</v>
      </c>
      <c r="Q722" s="79">
        <f t="shared" ref="Q722:Q785" si="117">695-R722-O722-P722</f>
        <v>315</v>
      </c>
      <c r="R722" s="79">
        <f t="shared" ref="R722:R785" si="118">200-J722</f>
        <v>100</v>
      </c>
      <c r="S722" s="76">
        <f t="shared" ref="S722:S785" si="119">SUM(O722:R722)</f>
        <v>695</v>
      </c>
      <c r="T722" s="76">
        <f>50</f>
        <v>50</v>
      </c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</row>
    <row r="723" spans="1:30" ht="15.75" x14ac:dyDescent="0.25">
      <c r="A723" s="31">
        <v>62944</v>
      </c>
      <c r="B723" s="88">
        <f t="shared" si="110"/>
        <v>30</v>
      </c>
      <c r="C723" s="76">
        <f>141.293</f>
        <v>141.29300000000001</v>
      </c>
      <c r="D723" s="76">
        <f>267.993</f>
        <v>267.99299999999999</v>
      </c>
      <c r="E723" s="85">
        <f>115.016</f>
        <v>115.01600000000001</v>
      </c>
      <c r="F723" s="76">
        <f>314.698-40-25-60-100</f>
        <v>89.697999999999979</v>
      </c>
      <c r="G723" s="79">
        <v>40</v>
      </c>
      <c r="H723" s="76">
        <f t="shared" ref="H723:H729" si="120">25+60+100</f>
        <v>185</v>
      </c>
      <c r="I723" s="76">
        <f t="shared" si="113"/>
        <v>0</v>
      </c>
      <c r="J723" s="79">
        <v>100</v>
      </c>
      <c r="K723" s="79">
        <v>300</v>
      </c>
      <c r="L723" s="76">
        <f t="shared" si="116"/>
        <v>1239</v>
      </c>
      <c r="M723" s="87">
        <v>600</v>
      </c>
      <c r="N723" s="76">
        <f>100</f>
        <v>100</v>
      </c>
      <c r="O723" s="79">
        <v>240</v>
      </c>
      <c r="P723" s="79">
        <v>40</v>
      </c>
      <c r="Q723" s="79">
        <f t="shared" si="117"/>
        <v>315</v>
      </c>
      <c r="R723" s="79">
        <f t="shared" si="118"/>
        <v>100</v>
      </c>
      <c r="S723" s="76">
        <f t="shared" si="119"/>
        <v>695</v>
      </c>
      <c r="T723" s="76">
        <f>50</f>
        <v>50</v>
      </c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</row>
    <row r="724" spans="1:30" ht="15.75" x14ac:dyDescent="0.25">
      <c r="A724" s="31">
        <v>62975</v>
      </c>
      <c r="B724" s="88">
        <f t="shared" si="110"/>
        <v>31</v>
      </c>
      <c r="C724" s="76">
        <f>194.205</f>
        <v>194.20500000000001</v>
      </c>
      <c r="D724" s="76">
        <f>267.466</f>
        <v>267.46600000000001</v>
      </c>
      <c r="E724" s="85">
        <f>133.845</f>
        <v>133.845</v>
      </c>
      <c r="F724" s="76">
        <f>278.484-40-25-60-100</f>
        <v>53.48399999999998</v>
      </c>
      <c r="G724" s="79">
        <v>40</v>
      </c>
      <c r="H724" s="76">
        <f t="shared" si="120"/>
        <v>185</v>
      </c>
      <c r="I724" s="76">
        <f t="shared" si="113"/>
        <v>0</v>
      </c>
      <c r="J724" s="79">
        <v>100</v>
      </c>
      <c r="K724" s="79">
        <v>300</v>
      </c>
      <c r="L724" s="76">
        <f t="shared" si="116"/>
        <v>1274</v>
      </c>
      <c r="M724" s="87">
        <v>600</v>
      </c>
      <c r="N724" s="76">
        <f>75</f>
        <v>75</v>
      </c>
      <c r="O724" s="79">
        <v>240</v>
      </c>
      <c r="P724" s="79">
        <v>40</v>
      </c>
      <c r="Q724" s="79">
        <f t="shared" si="117"/>
        <v>315</v>
      </c>
      <c r="R724" s="79">
        <f t="shared" si="118"/>
        <v>100</v>
      </c>
      <c r="S724" s="76">
        <f t="shared" si="119"/>
        <v>695</v>
      </c>
      <c r="T724" s="76">
        <f>50</f>
        <v>50</v>
      </c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</row>
    <row r="725" spans="1:30" ht="15.75" x14ac:dyDescent="0.25">
      <c r="A725" s="31">
        <v>63005</v>
      </c>
      <c r="B725" s="88">
        <f t="shared" si="110"/>
        <v>30</v>
      </c>
      <c r="C725" s="76">
        <f>194.205</f>
        <v>194.20500000000001</v>
      </c>
      <c r="D725" s="76">
        <f>267.466</f>
        <v>267.46600000000001</v>
      </c>
      <c r="E725" s="85">
        <f>133.845</f>
        <v>133.845</v>
      </c>
      <c r="F725" s="76">
        <f>278.484-40-25-60-100</f>
        <v>53.48399999999998</v>
      </c>
      <c r="G725" s="79">
        <v>40</v>
      </c>
      <c r="H725" s="76">
        <f t="shared" si="120"/>
        <v>185</v>
      </c>
      <c r="I725" s="76">
        <f t="shared" si="113"/>
        <v>0</v>
      </c>
      <c r="J725" s="79">
        <v>100</v>
      </c>
      <c r="K725" s="79">
        <v>300</v>
      </c>
      <c r="L725" s="76">
        <f t="shared" si="116"/>
        <v>1274</v>
      </c>
      <c r="M725" s="87">
        <v>600</v>
      </c>
      <c r="N725" s="76">
        <f>30</f>
        <v>30</v>
      </c>
      <c r="O725" s="79">
        <v>240</v>
      </c>
      <c r="P725" s="79">
        <v>40</v>
      </c>
      <c r="Q725" s="79">
        <f t="shared" si="117"/>
        <v>315</v>
      </c>
      <c r="R725" s="79">
        <f t="shared" si="118"/>
        <v>100</v>
      </c>
      <c r="S725" s="76">
        <f t="shared" si="119"/>
        <v>695</v>
      </c>
      <c r="T725" s="76">
        <f>50</f>
        <v>50</v>
      </c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</row>
    <row r="726" spans="1:30" ht="15.75" x14ac:dyDescent="0.25">
      <c r="A726" s="31">
        <v>63036</v>
      </c>
      <c r="B726" s="88">
        <f t="shared" si="110"/>
        <v>31</v>
      </c>
      <c r="C726" s="76">
        <f>194.205</f>
        <v>194.20500000000001</v>
      </c>
      <c r="D726" s="76">
        <f>267.466</f>
        <v>267.46600000000001</v>
      </c>
      <c r="E726" s="85">
        <f>133.845</f>
        <v>133.845</v>
      </c>
      <c r="F726" s="76">
        <f>278.484-40-25-60-100</f>
        <v>53.48399999999998</v>
      </c>
      <c r="G726" s="79">
        <v>40</v>
      </c>
      <c r="H726" s="76">
        <f t="shared" si="120"/>
        <v>185</v>
      </c>
      <c r="I726" s="76">
        <f t="shared" si="113"/>
        <v>0</v>
      </c>
      <c r="J726" s="79">
        <v>100</v>
      </c>
      <c r="K726" s="79">
        <v>300</v>
      </c>
      <c r="L726" s="76">
        <f t="shared" si="116"/>
        <v>1274</v>
      </c>
      <c r="M726" s="87">
        <v>600</v>
      </c>
      <c r="N726" s="76">
        <f>30</f>
        <v>30</v>
      </c>
      <c r="O726" s="79">
        <v>240</v>
      </c>
      <c r="P726" s="79">
        <v>40</v>
      </c>
      <c r="Q726" s="79">
        <f t="shared" si="117"/>
        <v>315</v>
      </c>
      <c r="R726" s="79">
        <f t="shared" si="118"/>
        <v>100</v>
      </c>
      <c r="S726" s="76">
        <f t="shared" si="119"/>
        <v>695</v>
      </c>
      <c r="T726" s="76">
        <f>0</f>
        <v>0</v>
      </c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</row>
    <row r="727" spans="1:30" ht="15.75" x14ac:dyDescent="0.25">
      <c r="A727" s="31">
        <v>63067</v>
      </c>
      <c r="B727" s="88">
        <f t="shared" si="110"/>
        <v>31</v>
      </c>
      <c r="C727" s="76">
        <f>194.205</f>
        <v>194.20500000000001</v>
      </c>
      <c r="D727" s="76">
        <f>267.466</f>
        <v>267.46600000000001</v>
      </c>
      <c r="E727" s="85">
        <f>133.845</f>
        <v>133.845</v>
      </c>
      <c r="F727" s="76">
        <f>278.484-40-25-60-100</f>
        <v>53.48399999999998</v>
      </c>
      <c r="G727" s="79">
        <v>40</v>
      </c>
      <c r="H727" s="76">
        <f t="shared" si="120"/>
        <v>185</v>
      </c>
      <c r="I727" s="76">
        <f t="shared" si="113"/>
        <v>0</v>
      </c>
      <c r="J727" s="79">
        <v>100</v>
      </c>
      <c r="K727" s="79">
        <v>300</v>
      </c>
      <c r="L727" s="76">
        <f t="shared" si="116"/>
        <v>1274</v>
      </c>
      <c r="M727" s="87">
        <v>600</v>
      </c>
      <c r="N727" s="76">
        <f>30</f>
        <v>30</v>
      </c>
      <c r="O727" s="79">
        <v>240</v>
      </c>
      <c r="P727" s="79">
        <v>40</v>
      </c>
      <c r="Q727" s="79">
        <f t="shared" si="117"/>
        <v>315</v>
      </c>
      <c r="R727" s="79">
        <f t="shared" si="118"/>
        <v>100</v>
      </c>
      <c r="S727" s="76">
        <f t="shared" si="119"/>
        <v>695</v>
      </c>
      <c r="T727" s="76">
        <f>0</f>
        <v>0</v>
      </c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</row>
    <row r="728" spans="1:30" ht="15.75" x14ac:dyDescent="0.25">
      <c r="A728" s="31">
        <v>63097</v>
      </c>
      <c r="B728" s="88">
        <f t="shared" ref="B728:B791" si="121">EOMONTH(A728,0)-EOMONTH(A728,-1)</f>
        <v>30</v>
      </c>
      <c r="C728" s="76">
        <f>194.205</f>
        <v>194.20500000000001</v>
      </c>
      <c r="D728" s="76">
        <f>267.466</f>
        <v>267.46600000000001</v>
      </c>
      <c r="E728" s="85">
        <f>133.845</f>
        <v>133.845</v>
      </c>
      <c r="F728" s="76">
        <f>278.484-40-25-60-100</f>
        <v>53.48399999999998</v>
      </c>
      <c r="G728" s="79">
        <v>40</v>
      </c>
      <c r="H728" s="76">
        <f t="shared" si="120"/>
        <v>185</v>
      </c>
      <c r="I728" s="76">
        <f t="shared" si="113"/>
        <v>0</v>
      </c>
      <c r="J728" s="79">
        <v>100</v>
      </c>
      <c r="K728" s="79">
        <v>300</v>
      </c>
      <c r="L728" s="76">
        <f t="shared" si="116"/>
        <v>1274</v>
      </c>
      <c r="M728" s="87">
        <v>600</v>
      </c>
      <c r="N728" s="76">
        <f>30</f>
        <v>30</v>
      </c>
      <c r="O728" s="79">
        <v>240</v>
      </c>
      <c r="P728" s="79">
        <v>40</v>
      </c>
      <c r="Q728" s="79">
        <f t="shared" si="117"/>
        <v>315</v>
      </c>
      <c r="R728" s="79">
        <f t="shared" si="118"/>
        <v>100</v>
      </c>
      <c r="S728" s="76">
        <f t="shared" si="119"/>
        <v>695</v>
      </c>
      <c r="T728" s="76">
        <f>0</f>
        <v>0</v>
      </c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</row>
    <row r="729" spans="1:30" ht="15.75" x14ac:dyDescent="0.25">
      <c r="A729" s="31">
        <v>63128</v>
      </c>
      <c r="B729" s="88">
        <f t="shared" si="121"/>
        <v>31</v>
      </c>
      <c r="C729" s="76">
        <f>131.881</f>
        <v>131.881</v>
      </c>
      <c r="D729" s="76">
        <f>277.167</f>
        <v>277.16699999999997</v>
      </c>
      <c r="E729" s="85">
        <f>79.08</f>
        <v>79.08</v>
      </c>
      <c r="F729" s="76">
        <f>350.872-40-25-60-100</f>
        <v>125.87200000000001</v>
      </c>
      <c r="G729" s="79">
        <v>40</v>
      </c>
      <c r="H729" s="76">
        <f t="shared" si="120"/>
        <v>185</v>
      </c>
      <c r="I729" s="76">
        <f t="shared" si="113"/>
        <v>0</v>
      </c>
      <c r="J729" s="79">
        <v>100</v>
      </c>
      <c r="K729" s="79">
        <v>300</v>
      </c>
      <c r="L729" s="76">
        <f t="shared" si="116"/>
        <v>1239</v>
      </c>
      <c r="M729" s="87">
        <v>600</v>
      </c>
      <c r="N729" s="76">
        <f>75</f>
        <v>75</v>
      </c>
      <c r="O729" s="79">
        <v>240</v>
      </c>
      <c r="P729" s="79">
        <v>40</v>
      </c>
      <c r="Q729" s="79">
        <f t="shared" si="117"/>
        <v>315</v>
      </c>
      <c r="R729" s="79">
        <f t="shared" si="118"/>
        <v>100</v>
      </c>
      <c r="S729" s="76">
        <f t="shared" si="119"/>
        <v>695</v>
      </c>
      <c r="T729" s="76">
        <f>0</f>
        <v>0</v>
      </c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</row>
    <row r="730" spans="1:30" ht="15.75" x14ac:dyDescent="0.25">
      <c r="A730" s="31">
        <v>63158</v>
      </c>
      <c r="B730" s="88">
        <f t="shared" si="121"/>
        <v>30</v>
      </c>
      <c r="C730" s="76">
        <f>122.58</f>
        <v>122.58</v>
      </c>
      <c r="D730" s="76">
        <f>297.941</f>
        <v>297.94099999999997</v>
      </c>
      <c r="E730" s="85">
        <f>89.177</f>
        <v>89.177000000000007</v>
      </c>
      <c r="F730" s="76">
        <f>240.302-40-60-100</f>
        <v>40.301999999999992</v>
      </c>
      <c r="G730" s="79">
        <v>40</v>
      </c>
      <c r="H730" s="76">
        <f>60+100</f>
        <v>160</v>
      </c>
      <c r="I730" s="76">
        <f t="shared" si="113"/>
        <v>0</v>
      </c>
      <c r="J730" s="79">
        <v>100</v>
      </c>
      <c r="K730" s="79">
        <v>300</v>
      </c>
      <c r="L730" s="76">
        <f t="shared" si="116"/>
        <v>1150</v>
      </c>
      <c r="M730" s="87">
        <v>600</v>
      </c>
      <c r="N730" s="76">
        <f>100</f>
        <v>100</v>
      </c>
      <c r="O730" s="79">
        <v>240</v>
      </c>
      <c r="P730" s="79">
        <v>40</v>
      </c>
      <c r="Q730" s="79">
        <f t="shared" si="117"/>
        <v>315</v>
      </c>
      <c r="R730" s="79">
        <f t="shared" si="118"/>
        <v>100</v>
      </c>
      <c r="S730" s="76">
        <f t="shared" si="119"/>
        <v>695</v>
      </c>
      <c r="T730" s="76">
        <f>50</f>
        <v>50</v>
      </c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</row>
    <row r="731" spans="1:30" ht="15.75" x14ac:dyDescent="0.25">
      <c r="A731" s="31">
        <v>63189</v>
      </c>
      <c r="B731" s="88">
        <f t="shared" si="121"/>
        <v>31</v>
      </c>
      <c r="C731" s="76">
        <f>122.58</f>
        <v>122.58</v>
      </c>
      <c r="D731" s="76">
        <f>297.941</f>
        <v>297.94099999999997</v>
      </c>
      <c r="E731" s="85">
        <f>89.177</f>
        <v>89.177000000000007</v>
      </c>
      <c r="F731" s="76">
        <f>240.302-40-60-100</f>
        <v>40.301999999999992</v>
      </c>
      <c r="G731" s="79">
        <v>40</v>
      </c>
      <c r="H731" s="76">
        <f>60+100</f>
        <v>160</v>
      </c>
      <c r="I731" s="76">
        <f t="shared" si="113"/>
        <v>0</v>
      </c>
      <c r="J731" s="79">
        <v>100</v>
      </c>
      <c r="K731" s="79">
        <v>300</v>
      </c>
      <c r="L731" s="76">
        <f t="shared" si="116"/>
        <v>1150</v>
      </c>
      <c r="M731" s="87">
        <v>600</v>
      </c>
      <c r="N731" s="76">
        <f>100</f>
        <v>100</v>
      </c>
      <c r="O731" s="79">
        <v>240</v>
      </c>
      <c r="P731" s="79">
        <v>40</v>
      </c>
      <c r="Q731" s="79">
        <f t="shared" si="117"/>
        <v>315</v>
      </c>
      <c r="R731" s="79">
        <f t="shared" si="118"/>
        <v>100</v>
      </c>
      <c r="S731" s="76">
        <f t="shared" si="119"/>
        <v>695</v>
      </c>
      <c r="T731" s="76">
        <f>50</f>
        <v>50</v>
      </c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</row>
    <row r="732" spans="1:30" ht="15.75" x14ac:dyDescent="0.25">
      <c r="A732" s="31">
        <v>63220</v>
      </c>
      <c r="B732" s="88">
        <f t="shared" si="121"/>
        <v>31</v>
      </c>
      <c r="C732" s="76">
        <f>122.58</f>
        <v>122.58</v>
      </c>
      <c r="D732" s="76">
        <f>297.941</f>
        <v>297.94099999999997</v>
      </c>
      <c r="E732" s="85">
        <f>89.177</f>
        <v>89.177000000000007</v>
      </c>
      <c r="F732" s="76">
        <f>240.302-40-60-100</f>
        <v>40.301999999999992</v>
      </c>
      <c r="G732" s="79">
        <v>40</v>
      </c>
      <c r="H732" s="76">
        <f>60+100</f>
        <v>160</v>
      </c>
      <c r="I732" s="76">
        <f t="shared" si="113"/>
        <v>0</v>
      </c>
      <c r="J732" s="79">
        <v>100</v>
      </c>
      <c r="K732" s="79">
        <v>300</v>
      </c>
      <c r="L732" s="76">
        <f t="shared" si="116"/>
        <v>1150</v>
      </c>
      <c r="M732" s="87">
        <v>600</v>
      </c>
      <c r="N732" s="76">
        <f>100</f>
        <v>100</v>
      </c>
      <c r="O732" s="79">
        <v>240</v>
      </c>
      <c r="P732" s="79">
        <v>40</v>
      </c>
      <c r="Q732" s="79">
        <f t="shared" si="117"/>
        <v>315</v>
      </c>
      <c r="R732" s="79">
        <f t="shared" si="118"/>
        <v>100</v>
      </c>
      <c r="S732" s="76">
        <f t="shared" si="119"/>
        <v>695</v>
      </c>
      <c r="T732" s="76">
        <f>50</f>
        <v>50</v>
      </c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</row>
    <row r="733" spans="1:30" ht="15.75" x14ac:dyDescent="0.25">
      <c r="A733" s="31">
        <v>63248</v>
      </c>
      <c r="B733" s="88">
        <f t="shared" si="121"/>
        <v>28</v>
      </c>
      <c r="C733" s="76">
        <f>122.58</f>
        <v>122.58</v>
      </c>
      <c r="D733" s="76">
        <f>297.941</f>
        <v>297.94099999999997</v>
      </c>
      <c r="E733" s="85">
        <f>89.177</f>
        <v>89.177000000000007</v>
      </c>
      <c r="F733" s="76">
        <f>240.302-40-60-100</f>
        <v>40.301999999999992</v>
      </c>
      <c r="G733" s="79">
        <v>40</v>
      </c>
      <c r="H733" s="76">
        <f>60+100</f>
        <v>160</v>
      </c>
      <c r="I733" s="76">
        <f t="shared" si="113"/>
        <v>0</v>
      </c>
      <c r="J733" s="79">
        <v>100</v>
      </c>
      <c r="K733" s="79">
        <v>300</v>
      </c>
      <c r="L733" s="76">
        <f t="shared" si="116"/>
        <v>1150</v>
      </c>
      <c r="M733" s="87">
        <v>600</v>
      </c>
      <c r="N733" s="76">
        <f>100</f>
        <v>100</v>
      </c>
      <c r="O733" s="79">
        <v>240</v>
      </c>
      <c r="P733" s="79">
        <v>40</v>
      </c>
      <c r="Q733" s="79">
        <f t="shared" si="117"/>
        <v>315</v>
      </c>
      <c r="R733" s="79">
        <f t="shared" si="118"/>
        <v>100</v>
      </c>
      <c r="S733" s="76">
        <f t="shared" si="119"/>
        <v>695</v>
      </c>
      <c r="T733" s="76">
        <f>50</f>
        <v>50</v>
      </c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</row>
    <row r="734" spans="1:30" ht="15.75" x14ac:dyDescent="0.25">
      <c r="A734" s="31">
        <v>63279</v>
      </c>
      <c r="B734" s="88">
        <f t="shared" si="121"/>
        <v>31</v>
      </c>
      <c r="C734" s="76">
        <f>122.58</f>
        <v>122.58</v>
      </c>
      <c r="D734" s="76">
        <f>297.941</f>
        <v>297.94099999999997</v>
      </c>
      <c r="E734" s="85">
        <f>89.177</f>
        <v>89.177000000000007</v>
      </c>
      <c r="F734" s="76">
        <f>240.302-40-60-100</f>
        <v>40.301999999999992</v>
      </c>
      <c r="G734" s="79">
        <v>40</v>
      </c>
      <c r="H734" s="76">
        <f>60+100</f>
        <v>160</v>
      </c>
      <c r="I734" s="76">
        <f t="shared" si="113"/>
        <v>0</v>
      </c>
      <c r="J734" s="79">
        <v>100</v>
      </c>
      <c r="K734" s="79">
        <v>300</v>
      </c>
      <c r="L734" s="76">
        <f t="shared" si="116"/>
        <v>1150</v>
      </c>
      <c r="M734" s="87">
        <v>600</v>
      </c>
      <c r="N734" s="76">
        <f>100</f>
        <v>100</v>
      </c>
      <c r="O734" s="79">
        <v>240</v>
      </c>
      <c r="P734" s="79">
        <v>40</v>
      </c>
      <c r="Q734" s="79">
        <f t="shared" si="117"/>
        <v>315</v>
      </c>
      <c r="R734" s="79">
        <f t="shared" si="118"/>
        <v>100</v>
      </c>
      <c r="S734" s="76">
        <f t="shared" si="119"/>
        <v>695</v>
      </c>
      <c r="T734" s="76">
        <f>50</f>
        <v>50</v>
      </c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</row>
    <row r="735" spans="1:30" ht="15.75" x14ac:dyDescent="0.25">
      <c r="A735" s="31">
        <v>63309</v>
      </c>
      <c r="B735" s="88">
        <f t="shared" si="121"/>
        <v>30</v>
      </c>
      <c r="C735" s="76">
        <f>141.293</f>
        <v>141.29300000000001</v>
      </c>
      <c r="D735" s="76">
        <f>267.993</f>
        <v>267.99299999999999</v>
      </c>
      <c r="E735" s="85">
        <f>115.016</f>
        <v>115.01600000000001</v>
      </c>
      <c r="F735" s="76">
        <f>314.698-40-25-60-100</f>
        <v>89.697999999999979</v>
      </c>
      <c r="G735" s="79">
        <v>40</v>
      </c>
      <c r="H735" s="76">
        <f t="shared" ref="H735:H741" si="122">25+60+100</f>
        <v>185</v>
      </c>
      <c r="I735" s="76">
        <f t="shared" si="113"/>
        <v>0</v>
      </c>
      <c r="J735" s="79">
        <v>100</v>
      </c>
      <c r="K735" s="79">
        <v>300</v>
      </c>
      <c r="L735" s="76">
        <f t="shared" si="116"/>
        <v>1239</v>
      </c>
      <c r="M735" s="87">
        <v>600</v>
      </c>
      <c r="N735" s="76">
        <f>100</f>
        <v>100</v>
      </c>
      <c r="O735" s="79">
        <v>240</v>
      </c>
      <c r="P735" s="79">
        <v>40</v>
      </c>
      <c r="Q735" s="79">
        <f t="shared" si="117"/>
        <v>315</v>
      </c>
      <c r="R735" s="79">
        <f t="shared" si="118"/>
        <v>100</v>
      </c>
      <c r="S735" s="76">
        <f t="shared" si="119"/>
        <v>695</v>
      </c>
      <c r="T735" s="76">
        <f>50</f>
        <v>50</v>
      </c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</row>
    <row r="736" spans="1:30" ht="15.75" x14ac:dyDescent="0.25">
      <c r="A736" s="31">
        <v>63340</v>
      </c>
      <c r="B736" s="88">
        <f t="shared" si="121"/>
        <v>31</v>
      </c>
      <c r="C736" s="76">
        <f>194.205</f>
        <v>194.20500000000001</v>
      </c>
      <c r="D736" s="76">
        <f>267.466</f>
        <v>267.46600000000001</v>
      </c>
      <c r="E736" s="85">
        <f>133.845</f>
        <v>133.845</v>
      </c>
      <c r="F736" s="76">
        <f>278.484-40-25-60-100</f>
        <v>53.48399999999998</v>
      </c>
      <c r="G736" s="79">
        <v>40</v>
      </c>
      <c r="H736" s="76">
        <f t="shared" si="122"/>
        <v>185</v>
      </c>
      <c r="I736" s="76">
        <f t="shared" si="113"/>
        <v>0</v>
      </c>
      <c r="J736" s="79">
        <v>100</v>
      </c>
      <c r="K736" s="79">
        <v>300</v>
      </c>
      <c r="L736" s="76">
        <f t="shared" si="116"/>
        <v>1274</v>
      </c>
      <c r="M736" s="87">
        <v>600</v>
      </c>
      <c r="N736" s="76">
        <f>75</f>
        <v>75</v>
      </c>
      <c r="O736" s="79">
        <v>240</v>
      </c>
      <c r="P736" s="79">
        <v>40</v>
      </c>
      <c r="Q736" s="79">
        <f t="shared" si="117"/>
        <v>315</v>
      </c>
      <c r="R736" s="79">
        <f t="shared" si="118"/>
        <v>100</v>
      </c>
      <c r="S736" s="76">
        <f t="shared" si="119"/>
        <v>695</v>
      </c>
      <c r="T736" s="76">
        <f>50</f>
        <v>50</v>
      </c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</row>
    <row r="737" spans="1:30" ht="15.75" x14ac:dyDescent="0.25">
      <c r="A737" s="31">
        <v>63370</v>
      </c>
      <c r="B737" s="88">
        <f t="shared" si="121"/>
        <v>30</v>
      </c>
      <c r="C737" s="76">
        <f>194.205</f>
        <v>194.20500000000001</v>
      </c>
      <c r="D737" s="76">
        <f>267.466</f>
        <v>267.46600000000001</v>
      </c>
      <c r="E737" s="85">
        <f>133.845</f>
        <v>133.845</v>
      </c>
      <c r="F737" s="76">
        <f>278.484-40-25-60-100</f>
        <v>53.48399999999998</v>
      </c>
      <c r="G737" s="79">
        <v>40</v>
      </c>
      <c r="H737" s="76">
        <f t="shared" si="122"/>
        <v>185</v>
      </c>
      <c r="I737" s="76">
        <f t="shared" si="113"/>
        <v>0</v>
      </c>
      <c r="J737" s="79">
        <v>100</v>
      </c>
      <c r="K737" s="79">
        <v>300</v>
      </c>
      <c r="L737" s="76">
        <f t="shared" si="116"/>
        <v>1274</v>
      </c>
      <c r="M737" s="87">
        <v>600</v>
      </c>
      <c r="N737" s="76">
        <f>30</f>
        <v>30</v>
      </c>
      <c r="O737" s="79">
        <v>240</v>
      </c>
      <c r="P737" s="79">
        <v>40</v>
      </c>
      <c r="Q737" s="79">
        <f t="shared" si="117"/>
        <v>315</v>
      </c>
      <c r="R737" s="79">
        <f t="shared" si="118"/>
        <v>100</v>
      </c>
      <c r="S737" s="76">
        <f t="shared" si="119"/>
        <v>695</v>
      </c>
      <c r="T737" s="76">
        <f>50</f>
        <v>50</v>
      </c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</row>
    <row r="738" spans="1:30" ht="15.75" x14ac:dyDescent="0.25">
      <c r="A738" s="31">
        <v>63401</v>
      </c>
      <c r="B738" s="88">
        <f t="shared" si="121"/>
        <v>31</v>
      </c>
      <c r="C738" s="76">
        <f>194.205</f>
        <v>194.20500000000001</v>
      </c>
      <c r="D738" s="76">
        <f>267.466</f>
        <v>267.46600000000001</v>
      </c>
      <c r="E738" s="85">
        <f>133.845</f>
        <v>133.845</v>
      </c>
      <c r="F738" s="76">
        <f>278.484-40-25-60-100</f>
        <v>53.48399999999998</v>
      </c>
      <c r="G738" s="79">
        <v>40</v>
      </c>
      <c r="H738" s="76">
        <f t="shared" si="122"/>
        <v>185</v>
      </c>
      <c r="I738" s="76">
        <f t="shared" si="113"/>
        <v>0</v>
      </c>
      <c r="J738" s="79">
        <v>100</v>
      </c>
      <c r="K738" s="79">
        <v>300</v>
      </c>
      <c r="L738" s="76">
        <f t="shared" si="116"/>
        <v>1274</v>
      </c>
      <c r="M738" s="87">
        <v>600</v>
      </c>
      <c r="N738" s="76">
        <f>30</f>
        <v>30</v>
      </c>
      <c r="O738" s="79">
        <v>240</v>
      </c>
      <c r="P738" s="79">
        <v>40</v>
      </c>
      <c r="Q738" s="79">
        <f t="shared" si="117"/>
        <v>315</v>
      </c>
      <c r="R738" s="79">
        <f t="shared" si="118"/>
        <v>100</v>
      </c>
      <c r="S738" s="76">
        <f t="shared" si="119"/>
        <v>695</v>
      </c>
      <c r="T738" s="76">
        <f>0</f>
        <v>0</v>
      </c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</row>
    <row r="739" spans="1:30" ht="15.75" x14ac:dyDescent="0.25">
      <c r="A739" s="31">
        <v>63432</v>
      </c>
      <c r="B739" s="88">
        <f t="shared" si="121"/>
        <v>31</v>
      </c>
      <c r="C739" s="76">
        <f>194.205</f>
        <v>194.20500000000001</v>
      </c>
      <c r="D739" s="76">
        <f>267.466</f>
        <v>267.46600000000001</v>
      </c>
      <c r="E739" s="85">
        <f>133.845</f>
        <v>133.845</v>
      </c>
      <c r="F739" s="76">
        <f>278.484-40-25-60-100</f>
        <v>53.48399999999998</v>
      </c>
      <c r="G739" s="79">
        <v>40</v>
      </c>
      <c r="H739" s="76">
        <f t="shared" si="122"/>
        <v>185</v>
      </c>
      <c r="I739" s="76">
        <f t="shared" si="113"/>
        <v>0</v>
      </c>
      <c r="J739" s="79">
        <v>100</v>
      </c>
      <c r="K739" s="79">
        <v>300</v>
      </c>
      <c r="L739" s="76">
        <f t="shared" si="116"/>
        <v>1274</v>
      </c>
      <c r="M739" s="87">
        <v>600</v>
      </c>
      <c r="N739" s="76">
        <f>30</f>
        <v>30</v>
      </c>
      <c r="O739" s="79">
        <v>240</v>
      </c>
      <c r="P739" s="79">
        <v>40</v>
      </c>
      <c r="Q739" s="79">
        <f t="shared" si="117"/>
        <v>315</v>
      </c>
      <c r="R739" s="79">
        <f t="shared" si="118"/>
        <v>100</v>
      </c>
      <c r="S739" s="76">
        <f t="shared" si="119"/>
        <v>695</v>
      </c>
      <c r="T739" s="76">
        <f>0</f>
        <v>0</v>
      </c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</row>
    <row r="740" spans="1:30" ht="15.75" x14ac:dyDescent="0.25">
      <c r="A740" s="31">
        <v>63462</v>
      </c>
      <c r="B740" s="88">
        <f t="shared" si="121"/>
        <v>30</v>
      </c>
      <c r="C740" s="76">
        <f>194.205</f>
        <v>194.20500000000001</v>
      </c>
      <c r="D740" s="76">
        <f>267.466</f>
        <v>267.46600000000001</v>
      </c>
      <c r="E740" s="85">
        <f>133.845</f>
        <v>133.845</v>
      </c>
      <c r="F740" s="76">
        <f>278.484-40-25-60-100</f>
        <v>53.48399999999998</v>
      </c>
      <c r="G740" s="79">
        <v>40</v>
      </c>
      <c r="H740" s="76">
        <f t="shared" si="122"/>
        <v>185</v>
      </c>
      <c r="I740" s="76">
        <f t="shared" si="113"/>
        <v>0</v>
      </c>
      <c r="J740" s="79">
        <v>100</v>
      </c>
      <c r="K740" s="79">
        <v>300</v>
      </c>
      <c r="L740" s="76">
        <f t="shared" si="116"/>
        <v>1274</v>
      </c>
      <c r="M740" s="87">
        <v>600</v>
      </c>
      <c r="N740" s="76">
        <f>30</f>
        <v>30</v>
      </c>
      <c r="O740" s="79">
        <v>240</v>
      </c>
      <c r="P740" s="79">
        <v>40</v>
      </c>
      <c r="Q740" s="79">
        <f t="shared" si="117"/>
        <v>315</v>
      </c>
      <c r="R740" s="79">
        <f t="shared" si="118"/>
        <v>100</v>
      </c>
      <c r="S740" s="76">
        <f t="shared" si="119"/>
        <v>695</v>
      </c>
      <c r="T740" s="76">
        <f>0</f>
        <v>0</v>
      </c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</row>
    <row r="741" spans="1:30" ht="15.75" x14ac:dyDescent="0.25">
      <c r="A741" s="31">
        <v>63493</v>
      </c>
      <c r="B741" s="88">
        <f t="shared" si="121"/>
        <v>31</v>
      </c>
      <c r="C741" s="76">
        <f>131.881</f>
        <v>131.881</v>
      </c>
      <c r="D741" s="76">
        <f>277.167</f>
        <v>277.16699999999997</v>
      </c>
      <c r="E741" s="85">
        <f>79.08</f>
        <v>79.08</v>
      </c>
      <c r="F741" s="76">
        <f>350.872-40-25-60-100</f>
        <v>125.87200000000001</v>
      </c>
      <c r="G741" s="79">
        <v>40</v>
      </c>
      <c r="H741" s="76">
        <f t="shared" si="122"/>
        <v>185</v>
      </c>
      <c r="I741" s="76">
        <f t="shared" si="113"/>
        <v>0</v>
      </c>
      <c r="J741" s="79">
        <v>100</v>
      </c>
      <c r="K741" s="79">
        <v>300</v>
      </c>
      <c r="L741" s="76">
        <f t="shared" si="116"/>
        <v>1239</v>
      </c>
      <c r="M741" s="87">
        <v>600</v>
      </c>
      <c r="N741" s="76">
        <f>75</f>
        <v>75</v>
      </c>
      <c r="O741" s="79">
        <v>240</v>
      </c>
      <c r="P741" s="79">
        <v>40</v>
      </c>
      <c r="Q741" s="79">
        <f t="shared" si="117"/>
        <v>315</v>
      </c>
      <c r="R741" s="79">
        <f t="shared" si="118"/>
        <v>100</v>
      </c>
      <c r="S741" s="76">
        <f t="shared" si="119"/>
        <v>695</v>
      </c>
      <c r="T741" s="76">
        <f>0</f>
        <v>0</v>
      </c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</row>
    <row r="742" spans="1:30" ht="15.75" x14ac:dyDescent="0.25">
      <c r="A742" s="31">
        <v>63523</v>
      </c>
      <c r="B742" s="88">
        <f t="shared" si="121"/>
        <v>30</v>
      </c>
      <c r="C742" s="76">
        <f>122.58</f>
        <v>122.58</v>
      </c>
      <c r="D742" s="76">
        <f>297.941</f>
        <v>297.94099999999997</v>
      </c>
      <c r="E742" s="85">
        <f>89.177</f>
        <v>89.177000000000007</v>
      </c>
      <c r="F742" s="76">
        <f>240.302-40-60-100</f>
        <v>40.301999999999992</v>
      </c>
      <c r="G742" s="79">
        <v>40</v>
      </c>
      <c r="H742" s="76">
        <f>60+100</f>
        <v>160</v>
      </c>
      <c r="I742" s="76">
        <f t="shared" si="113"/>
        <v>0</v>
      </c>
      <c r="J742" s="79">
        <v>100</v>
      </c>
      <c r="K742" s="79">
        <v>300</v>
      </c>
      <c r="L742" s="76">
        <f t="shared" si="116"/>
        <v>1150</v>
      </c>
      <c r="M742" s="87">
        <v>600</v>
      </c>
      <c r="N742" s="76">
        <f>100</f>
        <v>100</v>
      </c>
      <c r="O742" s="79">
        <v>240</v>
      </c>
      <c r="P742" s="79">
        <v>40</v>
      </c>
      <c r="Q742" s="79">
        <f t="shared" si="117"/>
        <v>315</v>
      </c>
      <c r="R742" s="79">
        <f t="shared" si="118"/>
        <v>100</v>
      </c>
      <c r="S742" s="76">
        <f t="shared" si="119"/>
        <v>695</v>
      </c>
      <c r="T742" s="76">
        <f>50</f>
        <v>50</v>
      </c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</row>
    <row r="743" spans="1:30" ht="15.75" x14ac:dyDescent="0.25">
      <c r="A743" s="31">
        <v>63554</v>
      </c>
      <c r="B743" s="88">
        <f t="shared" si="121"/>
        <v>31</v>
      </c>
      <c r="C743" s="76">
        <f>122.58</f>
        <v>122.58</v>
      </c>
      <c r="D743" s="76">
        <f>297.941</f>
        <v>297.94099999999997</v>
      </c>
      <c r="E743" s="85">
        <f>89.177</f>
        <v>89.177000000000007</v>
      </c>
      <c r="F743" s="76">
        <f>240.302-40-60-100</f>
        <v>40.301999999999992</v>
      </c>
      <c r="G743" s="79">
        <v>40</v>
      </c>
      <c r="H743" s="76">
        <f>60+100</f>
        <v>160</v>
      </c>
      <c r="I743" s="76">
        <f t="shared" si="113"/>
        <v>0</v>
      </c>
      <c r="J743" s="79">
        <v>100</v>
      </c>
      <c r="K743" s="79">
        <v>300</v>
      </c>
      <c r="L743" s="76">
        <f t="shared" si="116"/>
        <v>1150</v>
      </c>
      <c r="M743" s="87">
        <v>600</v>
      </c>
      <c r="N743" s="76">
        <f>100</f>
        <v>100</v>
      </c>
      <c r="O743" s="79">
        <v>240</v>
      </c>
      <c r="P743" s="79">
        <v>40</v>
      </c>
      <c r="Q743" s="79">
        <f t="shared" si="117"/>
        <v>315</v>
      </c>
      <c r="R743" s="79">
        <f t="shared" si="118"/>
        <v>100</v>
      </c>
      <c r="S743" s="76">
        <f t="shared" si="119"/>
        <v>695</v>
      </c>
      <c r="T743" s="76">
        <f>50</f>
        <v>50</v>
      </c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</row>
    <row r="744" spans="1:30" ht="15.75" x14ac:dyDescent="0.25">
      <c r="A744" s="31">
        <v>63585</v>
      </c>
      <c r="B744" s="88">
        <f t="shared" si="121"/>
        <v>31</v>
      </c>
      <c r="C744" s="76">
        <f>122.58</f>
        <v>122.58</v>
      </c>
      <c r="D744" s="76">
        <f>297.941</f>
        <v>297.94099999999997</v>
      </c>
      <c r="E744" s="85">
        <f>89.177</f>
        <v>89.177000000000007</v>
      </c>
      <c r="F744" s="76">
        <f>240.302-40-60-100</f>
        <v>40.301999999999992</v>
      </c>
      <c r="G744" s="79">
        <v>40</v>
      </c>
      <c r="H744" s="76">
        <f>60+100</f>
        <v>160</v>
      </c>
      <c r="I744" s="76">
        <f t="shared" si="113"/>
        <v>0</v>
      </c>
      <c r="J744" s="79">
        <v>100</v>
      </c>
      <c r="K744" s="79">
        <v>300</v>
      </c>
      <c r="L744" s="76">
        <f t="shared" si="116"/>
        <v>1150</v>
      </c>
      <c r="M744" s="87">
        <v>600</v>
      </c>
      <c r="N744" s="76">
        <f>100</f>
        <v>100</v>
      </c>
      <c r="O744" s="79">
        <v>240</v>
      </c>
      <c r="P744" s="79">
        <v>40</v>
      </c>
      <c r="Q744" s="79">
        <f t="shared" si="117"/>
        <v>315</v>
      </c>
      <c r="R744" s="79">
        <f t="shared" si="118"/>
        <v>100</v>
      </c>
      <c r="S744" s="76">
        <f t="shared" si="119"/>
        <v>695</v>
      </c>
      <c r="T744" s="76">
        <f>50</f>
        <v>50</v>
      </c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</row>
    <row r="745" spans="1:30" ht="15.75" x14ac:dyDescent="0.25">
      <c r="A745" s="31">
        <v>63613</v>
      </c>
      <c r="B745" s="88">
        <f t="shared" si="121"/>
        <v>28</v>
      </c>
      <c r="C745" s="76">
        <f>122.58</f>
        <v>122.58</v>
      </c>
      <c r="D745" s="76">
        <f>297.941</f>
        <v>297.94099999999997</v>
      </c>
      <c r="E745" s="85">
        <f>89.177</f>
        <v>89.177000000000007</v>
      </c>
      <c r="F745" s="76">
        <f>240.302-40-60-100</f>
        <v>40.301999999999992</v>
      </c>
      <c r="G745" s="79">
        <v>40</v>
      </c>
      <c r="H745" s="76">
        <f>60+100</f>
        <v>160</v>
      </c>
      <c r="I745" s="76">
        <f t="shared" si="113"/>
        <v>0</v>
      </c>
      <c r="J745" s="79">
        <v>100</v>
      </c>
      <c r="K745" s="79">
        <v>300</v>
      </c>
      <c r="L745" s="76">
        <f t="shared" si="116"/>
        <v>1150</v>
      </c>
      <c r="M745" s="87">
        <v>600</v>
      </c>
      <c r="N745" s="76">
        <f>100</f>
        <v>100</v>
      </c>
      <c r="O745" s="79">
        <v>240</v>
      </c>
      <c r="P745" s="79">
        <v>40</v>
      </c>
      <c r="Q745" s="79">
        <f t="shared" si="117"/>
        <v>315</v>
      </c>
      <c r="R745" s="79">
        <f t="shared" si="118"/>
        <v>100</v>
      </c>
      <c r="S745" s="76">
        <f t="shared" si="119"/>
        <v>695</v>
      </c>
      <c r="T745" s="76">
        <f>50</f>
        <v>50</v>
      </c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</row>
    <row r="746" spans="1:30" ht="15.75" x14ac:dyDescent="0.25">
      <c r="A746" s="31">
        <v>63644</v>
      </c>
      <c r="B746" s="88">
        <f t="shared" si="121"/>
        <v>31</v>
      </c>
      <c r="C746" s="76">
        <f>122.58</f>
        <v>122.58</v>
      </c>
      <c r="D746" s="76">
        <f>297.941</f>
        <v>297.94099999999997</v>
      </c>
      <c r="E746" s="85">
        <f>89.177</f>
        <v>89.177000000000007</v>
      </c>
      <c r="F746" s="76">
        <f>240.302-40-60-100</f>
        <v>40.301999999999992</v>
      </c>
      <c r="G746" s="79">
        <v>40</v>
      </c>
      <c r="H746" s="76">
        <f>60+100</f>
        <v>160</v>
      </c>
      <c r="I746" s="76">
        <f t="shared" si="113"/>
        <v>0</v>
      </c>
      <c r="J746" s="79">
        <v>100</v>
      </c>
      <c r="K746" s="79">
        <v>300</v>
      </c>
      <c r="L746" s="76">
        <f t="shared" si="116"/>
        <v>1150</v>
      </c>
      <c r="M746" s="87">
        <v>600</v>
      </c>
      <c r="N746" s="76">
        <f>100</f>
        <v>100</v>
      </c>
      <c r="O746" s="79">
        <v>240</v>
      </c>
      <c r="P746" s="79">
        <v>40</v>
      </c>
      <c r="Q746" s="79">
        <f t="shared" si="117"/>
        <v>315</v>
      </c>
      <c r="R746" s="79">
        <f t="shared" si="118"/>
        <v>100</v>
      </c>
      <c r="S746" s="76">
        <f t="shared" si="119"/>
        <v>695</v>
      </c>
      <c r="T746" s="76">
        <f>50</f>
        <v>50</v>
      </c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</row>
    <row r="747" spans="1:30" ht="15.75" x14ac:dyDescent="0.25">
      <c r="A747" s="31">
        <v>63674</v>
      </c>
      <c r="B747" s="88">
        <f t="shared" si="121"/>
        <v>30</v>
      </c>
      <c r="C747" s="76">
        <f>141.293</f>
        <v>141.29300000000001</v>
      </c>
      <c r="D747" s="76">
        <f>267.993</f>
        <v>267.99299999999999</v>
      </c>
      <c r="E747" s="85">
        <f>115.016</f>
        <v>115.01600000000001</v>
      </c>
      <c r="F747" s="76">
        <f>314.698-40-25-60-100</f>
        <v>89.697999999999979</v>
      </c>
      <c r="G747" s="79">
        <v>40</v>
      </c>
      <c r="H747" s="76">
        <f t="shared" ref="H747:H753" si="123">25+60+100</f>
        <v>185</v>
      </c>
      <c r="I747" s="76">
        <f t="shared" si="113"/>
        <v>0</v>
      </c>
      <c r="J747" s="79">
        <v>100</v>
      </c>
      <c r="K747" s="79">
        <v>300</v>
      </c>
      <c r="L747" s="76">
        <f t="shared" si="116"/>
        <v>1239</v>
      </c>
      <c r="M747" s="87">
        <v>600</v>
      </c>
      <c r="N747" s="76">
        <f>100</f>
        <v>100</v>
      </c>
      <c r="O747" s="79">
        <v>240</v>
      </c>
      <c r="P747" s="79">
        <v>40</v>
      </c>
      <c r="Q747" s="79">
        <f t="shared" si="117"/>
        <v>315</v>
      </c>
      <c r="R747" s="79">
        <f t="shared" si="118"/>
        <v>100</v>
      </c>
      <c r="S747" s="76">
        <f t="shared" si="119"/>
        <v>695</v>
      </c>
      <c r="T747" s="76">
        <f>50</f>
        <v>50</v>
      </c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</row>
    <row r="748" spans="1:30" ht="15.75" x14ac:dyDescent="0.25">
      <c r="A748" s="31">
        <v>63705</v>
      </c>
      <c r="B748" s="88">
        <f t="shared" si="121"/>
        <v>31</v>
      </c>
      <c r="C748" s="76">
        <f>194.205</f>
        <v>194.20500000000001</v>
      </c>
      <c r="D748" s="76">
        <f>267.466</f>
        <v>267.46600000000001</v>
      </c>
      <c r="E748" s="85">
        <f>133.845</f>
        <v>133.845</v>
      </c>
      <c r="F748" s="76">
        <f>278.484-40-25-60-100</f>
        <v>53.48399999999998</v>
      </c>
      <c r="G748" s="79">
        <v>40</v>
      </c>
      <c r="H748" s="76">
        <f t="shared" si="123"/>
        <v>185</v>
      </c>
      <c r="I748" s="76">
        <f t="shared" si="113"/>
        <v>0</v>
      </c>
      <c r="J748" s="79">
        <v>100</v>
      </c>
      <c r="K748" s="79">
        <v>300</v>
      </c>
      <c r="L748" s="76">
        <f t="shared" si="116"/>
        <v>1274</v>
      </c>
      <c r="M748" s="87">
        <v>600</v>
      </c>
      <c r="N748" s="76">
        <f>75</f>
        <v>75</v>
      </c>
      <c r="O748" s="79">
        <v>240</v>
      </c>
      <c r="P748" s="79">
        <v>40</v>
      </c>
      <c r="Q748" s="79">
        <f t="shared" si="117"/>
        <v>315</v>
      </c>
      <c r="R748" s="79">
        <f t="shared" si="118"/>
        <v>100</v>
      </c>
      <c r="S748" s="76">
        <f t="shared" si="119"/>
        <v>695</v>
      </c>
      <c r="T748" s="76">
        <f>50</f>
        <v>50</v>
      </c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</row>
    <row r="749" spans="1:30" ht="15.75" x14ac:dyDescent="0.25">
      <c r="A749" s="31">
        <v>63735</v>
      </c>
      <c r="B749" s="88">
        <f t="shared" si="121"/>
        <v>30</v>
      </c>
      <c r="C749" s="76">
        <f>194.205</f>
        <v>194.20500000000001</v>
      </c>
      <c r="D749" s="76">
        <f>267.466</f>
        <v>267.46600000000001</v>
      </c>
      <c r="E749" s="85">
        <f>133.845</f>
        <v>133.845</v>
      </c>
      <c r="F749" s="76">
        <f>278.484-40-25-60-100</f>
        <v>53.48399999999998</v>
      </c>
      <c r="G749" s="79">
        <v>40</v>
      </c>
      <c r="H749" s="76">
        <f t="shared" si="123"/>
        <v>185</v>
      </c>
      <c r="I749" s="76">
        <f t="shared" si="113"/>
        <v>0</v>
      </c>
      <c r="J749" s="79">
        <v>100</v>
      </c>
      <c r="K749" s="79">
        <v>300</v>
      </c>
      <c r="L749" s="76">
        <f t="shared" si="116"/>
        <v>1274</v>
      </c>
      <c r="M749" s="87">
        <v>600</v>
      </c>
      <c r="N749" s="76">
        <f>30</f>
        <v>30</v>
      </c>
      <c r="O749" s="79">
        <v>240</v>
      </c>
      <c r="P749" s="79">
        <v>40</v>
      </c>
      <c r="Q749" s="79">
        <f t="shared" si="117"/>
        <v>315</v>
      </c>
      <c r="R749" s="79">
        <f t="shared" si="118"/>
        <v>100</v>
      </c>
      <c r="S749" s="76">
        <f t="shared" si="119"/>
        <v>695</v>
      </c>
      <c r="T749" s="76">
        <f>50</f>
        <v>50</v>
      </c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</row>
    <row r="750" spans="1:30" ht="15.75" x14ac:dyDescent="0.25">
      <c r="A750" s="31">
        <v>63766</v>
      </c>
      <c r="B750" s="88">
        <f t="shared" si="121"/>
        <v>31</v>
      </c>
      <c r="C750" s="76">
        <f>194.205</f>
        <v>194.20500000000001</v>
      </c>
      <c r="D750" s="76">
        <f>267.466</f>
        <v>267.46600000000001</v>
      </c>
      <c r="E750" s="85">
        <f>133.845</f>
        <v>133.845</v>
      </c>
      <c r="F750" s="76">
        <f>278.484-40-25-60-100</f>
        <v>53.48399999999998</v>
      </c>
      <c r="G750" s="79">
        <v>40</v>
      </c>
      <c r="H750" s="76">
        <f t="shared" si="123"/>
        <v>185</v>
      </c>
      <c r="I750" s="76">
        <f t="shared" si="113"/>
        <v>0</v>
      </c>
      <c r="J750" s="79">
        <v>100</v>
      </c>
      <c r="K750" s="79">
        <v>300</v>
      </c>
      <c r="L750" s="76">
        <f t="shared" si="116"/>
        <v>1274</v>
      </c>
      <c r="M750" s="87">
        <v>600</v>
      </c>
      <c r="N750" s="76">
        <f>30</f>
        <v>30</v>
      </c>
      <c r="O750" s="79">
        <v>240</v>
      </c>
      <c r="P750" s="79">
        <v>40</v>
      </c>
      <c r="Q750" s="79">
        <f t="shared" si="117"/>
        <v>315</v>
      </c>
      <c r="R750" s="79">
        <f t="shared" si="118"/>
        <v>100</v>
      </c>
      <c r="S750" s="76">
        <f t="shared" si="119"/>
        <v>695</v>
      </c>
      <c r="T750" s="76">
        <f>0</f>
        <v>0</v>
      </c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</row>
    <row r="751" spans="1:30" ht="15.75" x14ac:dyDescent="0.25">
      <c r="A751" s="31">
        <v>63797</v>
      </c>
      <c r="B751" s="88">
        <f t="shared" si="121"/>
        <v>31</v>
      </c>
      <c r="C751" s="76">
        <f>194.205</f>
        <v>194.20500000000001</v>
      </c>
      <c r="D751" s="76">
        <f>267.466</f>
        <v>267.46600000000001</v>
      </c>
      <c r="E751" s="85">
        <f>133.845</f>
        <v>133.845</v>
      </c>
      <c r="F751" s="76">
        <f>278.484-40-25-60-100</f>
        <v>53.48399999999998</v>
      </c>
      <c r="G751" s="79">
        <v>40</v>
      </c>
      <c r="H751" s="76">
        <f t="shared" si="123"/>
        <v>185</v>
      </c>
      <c r="I751" s="76">
        <f t="shared" si="113"/>
        <v>0</v>
      </c>
      <c r="J751" s="79">
        <v>100</v>
      </c>
      <c r="K751" s="79">
        <v>300</v>
      </c>
      <c r="L751" s="76">
        <f t="shared" si="116"/>
        <v>1274</v>
      </c>
      <c r="M751" s="87">
        <v>600</v>
      </c>
      <c r="N751" s="76">
        <f>30</f>
        <v>30</v>
      </c>
      <c r="O751" s="79">
        <v>240</v>
      </c>
      <c r="P751" s="79">
        <v>40</v>
      </c>
      <c r="Q751" s="79">
        <f t="shared" si="117"/>
        <v>315</v>
      </c>
      <c r="R751" s="79">
        <f t="shared" si="118"/>
        <v>100</v>
      </c>
      <c r="S751" s="76">
        <f t="shared" si="119"/>
        <v>695</v>
      </c>
      <c r="T751" s="76">
        <f>0</f>
        <v>0</v>
      </c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</row>
    <row r="752" spans="1:30" ht="15.75" x14ac:dyDescent="0.25">
      <c r="A752" s="31">
        <v>63827</v>
      </c>
      <c r="B752" s="88">
        <f t="shared" si="121"/>
        <v>30</v>
      </c>
      <c r="C752" s="76">
        <f>194.205</f>
        <v>194.20500000000001</v>
      </c>
      <c r="D752" s="76">
        <f>267.466</f>
        <v>267.46600000000001</v>
      </c>
      <c r="E752" s="85">
        <f>133.845</f>
        <v>133.845</v>
      </c>
      <c r="F752" s="76">
        <f>278.484-40-25-60-100</f>
        <v>53.48399999999998</v>
      </c>
      <c r="G752" s="79">
        <v>40</v>
      </c>
      <c r="H752" s="76">
        <f t="shared" si="123"/>
        <v>185</v>
      </c>
      <c r="I752" s="76">
        <f t="shared" si="113"/>
        <v>0</v>
      </c>
      <c r="J752" s="79">
        <v>100</v>
      </c>
      <c r="K752" s="79">
        <v>300</v>
      </c>
      <c r="L752" s="76">
        <f t="shared" si="116"/>
        <v>1274</v>
      </c>
      <c r="M752" s="87">
        <v>600</v>
      </c>
      <c r="N752" s="76">
        <f>30</f>
        <v>30</v>
      </c>
      <c r="O752" s="79">
        <v>240</v>
      </c>
      <c r="P752" s="79">
        <v>40</v>
      </c>
      <c r="Q752" s="79">
        <f t="shared" si="117"/>
        <v>315</v>
      </c>
      <c r="R752" s="79">
        <f t="shared" si="118"/>
        <v>100</v>
      </c>
      <c r="S752" s="76">
        <f t="shared" si="119"/>
        <v>695</v>
      </c>
      <c r="T752" s="76">
        <f>0</f>
        <v>0</v>
      </c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</row>
    <row r="753" spans="1:30" ht="15.75" x14ac:dyDescent="0.25">
      <c r="A753" s="31">
        <v>63858</v>
      </c>
      <c r="B753" s="88">
        <f t="shared" si="121"/>
        <v>31</v>
      </c>
      <c r="C753" s="76">
        <f>131.881</f>
        <v>131.881</v>
      </c>
      <c r="D753" s="76">
        <f>277.167</f>
        <v>277.16699999999997</v>
      </c>
      <c r="E753" s="85">
        <f>79.08</f>
        <v>79.08</v>
      </c>
      <c r="F753" s="76">
        <f>350.872-40-25-60-100</f>
        <v>125.87200000000001</v>
      </c>
      <c r="G753" s="79">
        <v>40</v>
      </c>
      <c r="H753" s="76">
        <f t="shared" si="123"/>
        <v>185</v>
      </c>
      <c r="I753" s="76">
        <f t="shared" si="113"/>
        <v>0</v>
      </c>
      <c r="J753" s="79">
        <v>100</v>
      </c>
      <c r="K753" s="79">
        <v>300</v>
      </c>
      <c r="L753" s="76">
        <f t="shared" si="116"/>
        <v>1239</v>
      </c>
      <c r="M753" s="87">
        <v>600</v>
      </c>
      <c r="N753" s="76">
        <f>75</f>
        <v>75</v>
      </c>
      <c r="O753" s="79">
        <v>240</v>
      </c>
      <c r="P753" s="79">
        <v>40</v>
      </c>
      <c r="Q753" s="79">
        <f t="shared" si="117"/>
        <v>315</v>
      </c>
      <c r="R753" s="79">
        <f t="shared" si="118"/>
        <v>100</v>
      </c>
      <c r="S753" s="76">
        <f t="shared" si="119"/>
        <v>695</v>
      </c>
      <c r="T753" s="76">
        <f>0</f>
        <v>0</v>
      </c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</row>
    <row r="754" spans="1:30" ht="15.75" x14ac:dyDescent="0.25">
      <c r="A754" s="31">
        <v>63888</v>
      </c>
      <c r="B754" s="88">
        <f t="shared" si="121"/>
        <v>30</v>
      </c>
      <c r="C754" s="76">
        <f>122.58</f>
        <v>122.58</v>
      </c>
      <c r="D754" s="76">
        <f>297.941</f>
        <v>297.94099999999997</v>
      </c>
      <c r="E754" s="85">
        <f>89.177</f>
        <v>89.177000000000007</v>
      </c>
      <c r="F754" s="76">
        <f>240.302-40-60-100</f>
        <v>40.301999999999992</v>
      </c>
      <c r="G754" s="79">
        <v>40</v>
      </c>
      <c r="H754" s="76">
        <f>60+100</f>
        <v>160</v>
      </c>
      <c r="I754" s="76">
        <f t="shared" si="113"/>
        <v>0</v>
      </c>
      <c r="J754" s="79">
        <v>100</v>
      </c>
      <c r="K754" s="79">
        <v>300</v>
      </c>
      <c r="L754" s="76">
        <f t="shared" si="116"/>
        <v>1150</v>
      </c>
      <c r="M754" s="87">
        <v>600</v>
      </c>
      <c r="N754" s="76">
        <f>100</f>
        <v>100</v>
      </c>
      <c r="O754" s="79">
        <v>240</v>
      </c>
      <c r="P754" s="79">
        <v>40</v>
      </c>
      <c r="Q754" s="79">
        <f t="shared" si="117"/>
        <v>315</v>
      </c>
      <c r="R754" s="79">
        <f t="shared" si="118"/>
        <v>100</v>
      </c>
      <c r="S754" s="76">
        <f t="shared" si="119"/>
        <v>695</v>
      </c>
      <c r="T754" s="76">
        <f>50</f>
        <v>50</v>
      </c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</row>
    <row r="755" spans="1:30" ht="15.75" x14ac:dyDescent="0.25">
      <c r="A755" s="31">
        <v>63919</v>
      </c>
      <c r="B755" s="88">
        <f t="shared" si="121"/>
        <v>31</v>
      </c>
      <c r="C755" s="76">
        <f>122.58</f>
        <v>122.58</v>
      </c>
      <c r="D755" s="76">
        <f>297.941</f>
        <v>297.94099999999997</v>
      </c>
      <c r="E755" s="85">
        <f>89.177</f>
        <v>89.177000000000007</v>
      </c>
      <c r="F755" s="76">
        <f>240.302-40-60-100</f>
        <v>40.301999999999992</v>
      </c>
      <c r="G755" s="79">
        <v>40</v>
      </c>
      <c r="H755" s="76">
        <f>60+100</f>
        <v>160</v>
      </c>
      <c r="I755" s="76">
        <f t="shared" si="113"/>
        <v>0</v>
      </c>
      <c r="J755" s="79">
        <v>100</v>
      </c>
      <c r="K755" s="79">
        <v>300</v>
      </c>
      <c r="L755" s="76">
        <f t="shared" si="116"/>
        <v>1150</v>
      </c>
      <c r="M755" s="87">
        <v>600</v>
      </c>
      <c r="N755" s="76">
        <f>100</f>
        <v>100</v>
      </c>
      <c r="O755" s="79">
        <v>240</v>
      </c>
      <c r="P755" s="79">
        <v>40</v>
      </c>
      <c r="Q755" s="79">
        <f t="shared" si="117"/>
        <v>315</v>
      </c>
      <c r="R755" s="79">
        <f t="shared" si="118"/>
        <v>100</v>
      </c>
      <c r="S755" s="76">
        <f t="shared" si="119"/>
        <v>695</v>
      </c>
      <c r="T755" s="76">
        <f>50</f>
        <v>50</v>
      </c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</row>
    <row r="756" spans="1:30" ht="15.75" x14ac:dyDescent="0.25">
      <c r="A756" s="31">
        <v>63950</v>
      </c>
      <c r="B756" s="88">
        <f t="shared" si="121"/>
        <v>31</v>
      </c>
      <c r="C756" s="76">
        <f>122.58</f>
        <v>122.58</v>
      </c>
      <c r="D756" s="76">
        <f>297.941</f>
        <v>297.94099999999997</v>
      </c>
      <c r="E756" s="85">
        <f>89.177</f>
        <v>89.177000000000007</v>
      </c>
      <c r="F756" s="76">
        <f>240.302-40-60-100</f>
        <v>40.301999999999992</v>
      </c>
      <c r="G756" s="79">
        <v>40</v>
      </c>
      <c r="H756" s="76">
        <f>60+100</f>
        <v>160</v>
      </c>
      <c r="I756" s="76">
        <f t="shared" ref="I756:I819" si="124">400-J756-K756</f>
        <v>0</v>
      </c>
      <c r="J756" s="79">
        <v>100</v>
      </c>
      <c r="K756" s="79">
        <v>300</v>
      </c>
      <c r="L756" s="76">
        <f t="shared" si="116"/>
        <v>1150</v>
      </c>
      <c r="M756" s="87">
        <v>600</v>
      </c>
      <c r="N756" s="76">
        <f>100</f>
        <v>100</v>
      </c>
      <c r="O756" s="79">
        <v>240</v>
      </c>
      <c r="P756" s="79">
        <v>40</v>
      </c>
      <c r="Q756" s="79">
        <f t="shared" si="117"/>
        <v>315</v>
      </c>
      <c r="R756" s="79">
        <f t="shared" si="118"/>
        <v>100</v>
      </c>
      <c r="S756" s="76">
        <f t="shared" si="119"/>
        <v>695</v>
      </c>
      <c r="T756" s="76">
        <f>50</f>
        <v>50</v>
      </c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</row>
    <row r="757" spans="1:30" ht="15.75" x14ac:dyDescent="0.25">
      <c r="A757" s="31">
        <v>63978</v>
      </c>
      <c r="B757" s="88">
        <f t="shared" si="121"/>
        <v>28</v>
      </c>
      <c r="C757" s="76">
        <f>122.58</f>
        <v>122.58</v>
      </c>
      <c r="D757" s="76">
        <f>297.941</f>
        <v>297.94099999999997</v>
      </c>
      <c r="E757" s="85">
        <f>89.177</f>
        <v>89.177000000000007</v>
      </c>
      <c r="F757" s="76">
        <f>240.302-40-60-100</f>
        <v>40.301999999999992</v>
      </c>
      <c r="G757" s="79">
        <v>40</v>
      </c>
      <c r="H757" s="76">
        <f>60+100</f>
        <v>160</v>
      </c>
      <c r="I757" s="76">
        <f t="shared" si="124"/>
        <v>0</v>
      </c>
      <c r="J757" s="79">
        <v>100</v>
      </c>
      <c r="K757" s="79">
        <v>300</v>
      </c>
      <c r="L757" s="76">
        <f t="shared" si="116"/>
        <v>1150</v>
      </c>
      <c r="M757" s="87">
        <v>600</v>
      </c>
      <c r="N757" s="76">
        <f>100</f>
        <v>100</v>
      </c>
      <c r="O757" s="79">
        <v>240</v>
      </c>
      <c r="P757" s="79">
        <v>40</v>
      </c>
      <c r="Q757" s="79">
        <f t="shared" si="117"/>
        <v>315</v>
      </c>
      <c r="R757" s="79">
        <f t="shared" si="118"/>
        <v>100</v>
      </c>
      <c r="S757" s="76">
        <f t="shared" si="119"/>
        <v>695</v>
      </c>
      <c r="T757" s="76">
        <f>50</f>
        <v>50</v>
      </c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</row>
    <row r="758" spans="1:30" ht="15.75" x14ac:dyDescent="0.25">
      <c r="A758" s="31">
        <v>64009</v>
      </c>
      <c r="B758" s="88">
        <f t="shared" si="121"/>
        <v>31</v>
      </c>
      <c r="C758" s="76">
        <f>122.58</f>
        <v>122.58</v>
      </c>
      <c r="D758" s="76">
        <f>297.941</f>
        <v>297.94099999999997</v>
      </c>
      <c r="E758" s="85">
        <f>89.177</f>
        <v>89.177000000000007</v>
      </c>
      <c r="F758" s="76">
        <f>240.302-40-60-100</f>
        <v>40.301999999999992</v>
      </c>
      <c r="G758" s="79">
        <v>40</v>
      </c>
      <c r="H758" s="76">
        <f>60+100</f>
        <v>160</v>
      </c>
      <c r="I758" s="76">
        <f t="shared" si="124"/>
        <v>0</v>
      </c>
      <c r="J758" s="79">
        <v>100</v>
      </c>
      <c r="K758" s="79">
        <v>300</v>
      </c>
      <c r="L758" s="76">
        <f t="shared" si="116"/>
        <v>1150</v>
      </c>
      <c r="M758" s="87">
        <v>600</v>
      </c>
      <c r="N758" s="76">
        <f>100</f>
        <v>100</v>
      </c>
      <c r="O758" s="79">
        <v>240</v>
      </c>
      <c r="P758" s="79">
        <v>40</v>
      </c>
      <c r="Q758" s="79">
        <f t="shared" si="117"/>
        <v>315</v>
      </c>
      <c r="R758" s="79">
        <f t="shared" si="118"/>
        <v>100</v>
      </c>
      <c r="S758" s="76">
        <f t="shared" si="119"/>
        <v>695</v>
      </c>
      <c r="T758" s="76">
        <f>50</f>
        <v>50</v>
      </c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</row>
    <row r="759" spans="1:30" ht="15.75" x14ac:dyDescent="0.25">
      <c r="A759" s="31">
        <v>64039</v>
      </c>
      <c r="B759" s="88">
        <f t="shared" si="121"/>
        <v>30</v>
      </c>
      <c r="C759" s="76">
        <f>141.293</f>
        <v>141.29300000000001</v>
      </c>
      <c r="D759" s="76">
        <f>267.993</f>
        <v>267.99299999999999</v>
      </c>
      <c r="E759" s="85">
        <f>115.016</f>
        <v>115.01600000000001</v>
      </c>
      <c r="F759" s="76">
        <f>314.698-40-25-60-100</f>
        <v>89.697999999999979</v>
      </c>
      <c r="G759" s="79">
        <v>40</v>
      </c>
      <c r="H759" s="76">
        <f t="shared" ref="H759:H765" si="125">25+60+100</f>
        <v>185</v>
      </c>
      <c r="I759" s="76">
        <f t="shared" si="124"/>
        <v>0</v>
      </c>
      <c r="J759" s="79">
        <v>100</v>
      </c>
      <c r="K759" s="79">
        <v>300</v>
      </c>
      <c r="L759" s="76">
        <f t="shared" si="116"/>
        <v>1239</v>
      </c>
      <c r="M759" s="87">
        <v>600</v>
      </c>
      <c r="N759" s="76">
        <f>100</f>
        <v>100</v>
      </c>
      <c r="O759" s="79">
        <v>240</v>
      </c>
      <c r="P759" s="79">
        <v>40</v>
      </c>
      <c r="Q759" s="79">
        <f t="shared" si="117"/>
        <v>315</v>
      </c>
      <c r="R759" s="79">
        <f t="shared" si="118"/>
        <v>100</v>
      </c>
      <c r="S759" s="76">
        <f t="shared" si="119"/>
        <v>695</v>
      </c>
      <c r="T759" s="76">
        <f>50</f>
        <v>50</v>
      </c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</row>
    <row r="760" spans="1:30" ht="15.75" x14ac:dyDescent="0.25">
      <c r="A760" s="31">
        <v>64070</v>
      </c>
      <c r="B760" s="88">
        <f t="shared" si="121"/>
        <v>31</v>
      </c>
      <c r="C760" s="76">
        <f>194.205</f>
        <v>194.20500000000001</v>
      </c>
      <c r="D760" s="76">
        <f>267.466</f>
        <v>267.46600000000001</v>
      </c>
      <c r="E760" s="85">
        <f>133.845</f>
        <v>133.845</v>
      </c>
      <c r="F760" s="76">
        <f>278.484-40-25-60-100</f>
        <v>53.48399999999998</v>
      </c>
      <c r="G760" s="79">
        <v>40</v>
      </c>
      <c r="H760" s="76">
        <f t="shared" si="125"/>
        <v>185</v>
      </c>
      <c r="I760" s="76">
        <f t="shared" si="124"/>
        <v>0</v>
      </c>
      <c r="J760" s="79">
        <v>100</v>
      </c>
      <c r="K760" s="79">
        <v>300</v>
      </c>
      <c r="L760" s="76">
        <f t="shared" si="116"/>
        <v>1274</v>
      </c>
      <c r="M760" s="87">
        <v>600</v>
      </c>
      <c r="N760" s="76">
        <f>75</f>
        <v>75</v>
      </c>
      <c r="O760" s="79">
        <v>240</v>
      </c>
      <c r="P760" s="79">
        <v>40</v>
      </c>
      <c r="Q760" s="79">
        <f t="shared" si="117"/>
        <v>315</v>
      </c>
      <c r="R760" s="79">
        <f t="shared" si="118"/>
        <v>100</v>
      </c>
      <c r="S760" s="76">
        <f t="shared" si="119"/>
        <v>695</v>
      </c>
      <c r="T760" s="76">
        <f>50</f>
        <v>50</v>
      </c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</row>
    <row r="761" spans="1:30" ht="15.75" x14ac:dyDescent="0.25">
      <c r="A761" s="31">
        <v>64100</v>
      </c>
      <c r="B761" s="88">
        <f t="shared" si="121"/>
        <v>30</v>
      </c>
      <c r="C761" s="76">
        <f>194.205</f>
        <v>194.20500000000001</v>
      </c>
      <c r="D761" s="76">
        <f>267.466</f>
        <v>267.46600000000001</v>
      </c>
      <c r="E761" s="85">
        <f>133.845</f>
        <v>133.845</v>
      </c>
      <c r="F761" s="76">
        <f>278.484-40-25-60-100</f>
        <v>53.48399999999998</v>
      </c>
      <c r="G761" s="79">
        <v>40</v>
      </c>
      <c r="H761" s="76">
        <f t="shared" si="125"/>
        <v>185</v>
      </c>
      <c r="I761" s="76">
        <f t="shared" si="124"/>
        <v>0</v>
      </c>
      <c r="J761" s="79">
        <v>100</v>
      </c>
      <c r="K761" s="79">
        <v>300</v>
      </c>
      <c r="L761" s="76">
        <f t="shared" si="116"/>
        <v>1274</v>
      </c>
      <c r="M761" s="87">
        <v>600</v>
      </c>
      <c r="N761" s="76">
        <f>30</f>
        <v>30</v>
      </c>
      <c r="O761" s="79">
        <v>240</v>
      </c>
      <c r="P761" s="79">
        <v>40</v>
      </c>
      <c r="Q761" s="79">
        <f t="shared" si="117"/>
        <v>315</v>
      </c>
      <c r="R761" s="79">
        <f t="shared" si="118"/>
        <v>100</v>
      </c>
      <c r="S761" s="76">
        <f t="shared" si="119"/>
        <v>695</v>
      </c>
      <c r="T761" s="76">
        <f>50</f>
        <v>50</v>
      </c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</row>
    <row r="762" spans="1:30" ht="15.75" x14ac:dyDescent="0.25">
      <c r="A762" s="31">
        <v>64131</v>
      </c>
      <c r="B762" s="88">
        <f t="shared" si="121"/>
        <v>31</v>
      </c>
      <c r="C762" s="76">
        <f>194.205</f>
        <v>194.20500000000001</v>
      </c>
      <c r="D762" s="76">
        <f>267.466</f>
        <v>267.46600000000001</v>
      </c>
      <c r="E762" s="85">
        <f>133.845</f>
        <v>133.845</v>
      </c>
      <c r="F762" s="76">
        <f>278.484-40-25-60-100</f>
        <v>53.48399999999998</v>
      </c>
      <c r="G762" s="79">
        <v>40</v>
      </c>
      <c r="H762" s="76">
        <f t="shared" si="125"/>
        <v>185</v>
      </c>
      <c r="I762" s="76">
        <f t="shared" si="124"/>
        <v>0</v>
      </c>
      <c r="J762" s="79">
        <v>100</v>
      </c>
      <c r="K762" s="79">
        <v>300</v>
      </c>
      <c r="L762" s="76">
        <f t="shared" si="116"/>
        <v>1274</v>
      </c>
      <c r="M762" s="87">
        <v>600</v>
      </c>
      <c r="N762" s="76">
        <f>30</f>
        <v>30</v>
      </c>
      <c r="O762" s="79">
        <v>240</v>
      </c>
      <c r="P762" s="79">
        <v>40</v>
      </c>
      <c r="Q762" s="79">
        <f t="shared" si="117"/>
        <v>315</v>
      </c>
      <c r="R762" s="79">
        <f t="shared" si="118"/>
        <v>100</v>
      </c>
      <c r="S762" s="76">
        <f t="shared" si="119"/>
        <v>695</v>
      </c>
      <c r="T762" s="76">
        <f>0</f>
        <v>0</v>
      </c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</row>
    <row r="763" spans="1:30" ht="15.75" x14ac:dyDescent="0.25">
      <c r="A763" s="31">
        <v>64162</v>
      </c>
      <c r="B763" s="88">
        <f t="shared" si="121"/>
        <v>31</v>
      </c>
      <c r="C763" s="76">
        <f>194.205</f>
        <v>194.20500000000001</v>
      </c>
      <c r="D763" s="76">
        <f>267.466</f>
        <v>267.46600000000001</v>
      </c>
      <c r="E763" s="85">
        <f>133.845</f>
        <v>133.845</v>
      </c>
      <c r="F763" s="76">
        <f>278.484-40-25-60-100</f>
        <v>53.48399999999998</v>
      </c>
      <c r="G763" s="79">
        <v>40</v>
      </c>
      <c r="H763" s="76">
        <f t="shared" si="125"/>
        <v>185</v>
      </c>
      <c r="I763" s="76">
        <f t="shared" si="124"/>
        <v>0</v>
      </c>
      <c r="J763" s="79">
        <v>100</v>
      </c>
      <c r="K763" s="79">
        <v>300</v>
      </c>
      <c r="L763" s="76">
        <f t="shared" si="116"/>
        <v>1274</v>
      </c>
      <c r="M763" s="87">
        <v>600</v>
      </c>
      <c r="N763" s="76">
        <f>30</f>
        <v>30</v>
      </c>
      <c r="O763" s="79">
        <v>240</v>
      </c>
      <c r="P763" s="79">
        <v>40</v>
      </c>
      <c r="Q763" s="79">
        <f t="shared" si="117"/>
        <v>315</v>
      </c>
      <c r="R763" s="79">
        <f t="shared" si="118"/>
        <v>100</v>
      </c>
      <c r="S763" s="76">
        <f t="shared" si="119"/>
        <v>695</v>
      </c>
      <c r="T763" s="76">
        <f>0</f>
        <v>0</v>
      </c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</row>
    <row r="764" spans="1:30" ht="15.75" x14ac:dyDescent="0.25">
      <c r="A764" s="31">
        <v>64192</v>
      </c>
      <c r="B764" s="88">
        <f t="shared" si="121"/>
        <v>30</v>
      </c>
      <c r="C764" s="76">
        <f>194.205</f>
        <v>194.20500000000001</v>
      </c>
      <c r="D764" s="76">
        <f>267.466</f>
        <v>267.46600000000001</v>
      </c>
      <c r="E764" s="85">
        <f>133.845</f>
        <v>133.845</v>
      </c>
      <c r="F764" s="76">
        <f>278.484-40-25-60-100</f>
        <v>53.48399999999998</v>
      </c>
      <c r="G764" s="79">
        <v>40</v>
      </c>
      <c r="H764" s="76">
        <f t="shared" si="125"/>
        <v>185</v>
      </c>
      <c r="I764" s="76">
        <f t="shared" si="124"/>
        <v>0</v>
      </c>
      <c r="J764" s="79">
        <v>100</v>
      </c>
      <c r="K764" s="79">
        <v>300</v>
      </c>
      <c r="L764" s="76">
        <f t="shared" si="116"/>
        <v>1274</v>
      </c>
      <c r="M764" s="87">
        <v>600</v>
      </c>
      <c r="N764" s="76">
        <f>30</f>
        <v>30</v>
      </c>
      <c r="O764" s="79">
        <v>240</v>
      </c>
      <c r="P764" s="79">
        <v>40</v>
      </c>
      <c r="Q764" s="79">
        <f t="shared" si="117"/>
        <v>315</v>
      </c>
      <c r="R764" s="79">
        <f t="shared" si="118"/>
        <v>100</v>
      </c>
      <c r="S764" s="76">
        <f t="shared" si="119"/>
        <v>695</v>
      </c>
      <c r="T764" s="76">
        <f>0</f>
        <v>0</v>
      </c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</row>
    <row r="765" spans="1:30" ht="15.75" x14ac:dyDescent="0.25">
      <c r="A765" s="31">
        <v>64223</v>
      </c>
      <c r="B765" s="88">
        <f t="shared" si="121"/>
        <v>31</v>
      </c>
      <c r="C765" s="76">
        <f>131.881</f>
        <v>131.881</v>
      </c>
      <c r="D765" s="76">
        <f>277.167</f>
        <v>277.16699999999997</v>
      </c>
      <c r="E765" s="85">
        <f>79.08</f>
        <v>79.08</v>
      </c>
      <c r="F765" s="76">
        <f>350.872-40-25-60-100</f>
        <v>125.87200000000001</v>
      </c>
      <c r="G765" s="79">
        <v>40</v>
      </c>
      <c r="H765" s="76">
        <f t="shared" si="125"/>
        <v>185</v>
      </c>
      <c r="I765" s="76">
        <f t="shared" si="124"/>
        <v>0</v>
      </c>
      <c r="J765" s="79">
        <v>100</v>
      </c>
      <c r="K765" s="79">
        <v>300</v>
      </c>
      <c r="L765" s="76">
        <f t="shared" si="116"/>
        <v>1239</v>
      </c>
      <c r="M765" s="87">
        <v>600</v>
      </c>
      <c r="N765" s="76">
        <f>75</f>
        <v>75</v>
      </c>
      <c r="O765" s="79">
        <v>240</v>
      </c>
      <c r="P765" s="79">
        <v>40</v>
      </c>
      <c r="Q765" s="79">
        <f t="shared" si="117"/>
        <v>315</v>
      </c>
      <c r="R765" s="79">
        <f t="shared" si="118"/>
        <v>100</v>
      </c>
      <c r="S765" s="76">
        <f t="shared" si="119"/>
        <v>695</v>
      </c>
      <c r="T765" s="76">
        <f>0</f>
        <v>0</v>
      </c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</row>
    <row r="766" spans="1:30" ht="15.75" x14ac:dyDescent="0.25">
      <c r="A766" s="31">
        <v>64253</v>
      </c>
      <c r="B766" s="88">
        <f t="shared" si="121"/>
        <v>30</v>
      </c>
      <c r="C766" s="76">
        <f>122.58</f>
        <v>122.58</v>
      </c>
      <c r="D766" s="76">
        <f>297.941</f>
        <v>297.94099999999997</v>
      </c>
      <c r="E766" s="85">
        <f>89.177</f>
        <v>89.177000000000007</v>
      </c>
      <c r="F766" s="76">
        <f>240.302-40-60-100</f>
        <v>40.301999999999992</v>
      </c>
      <c r="G766" s="79">
        <v>40</v>
      </c>
      <c r="H766" s="76">
        <f>60+100</f>
        <v>160</v>
      </c>
      <c r="I766" s="76">
        <f t="shared" si="124"/>
        <v>0</v>
      </c>
      <c r="J766" s="79">
        <v>100</v>
      </c>
      <c r="K766" s="79">
        <v>300</v>
      </c>
      <c r="L766" s="76">
        <f t="shared" si="116"/>
        <v>1150</v>
      </c>
      <c r="M766" s="87">
        <v>600</v>
      </c>
      <c r="N766" s="76">
        <f>100</f>
        <v>100</v>
      </c>
      <c r="O766" s="79">
        <v>240</v>
      </c>
      <c r="P766" s="79">
        <v>40</v>
      </c>
      <c r="Q766" s="79">
        <f t="shared" si="117"/>
        <v>315</v>
      </c>
      <c r="R766" s="79">
        <f t="shared" si="118"/>
        <v>100</v>
      </c>
      <c r="S766" s="76">
        <f t="shared" si="119"/>
        <v>695</v>
      </c>
      <c r="T766" s="76">
        <f>50</f>
        <v>50</v>
      </c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</row>
    <row r="767" spans="1:30" ht="15.75" x14ac:dyDescent="0.25">
      <c r="A767" s="31">
        <v>64284</v>
      </c>
      <c r="B767" s="88">
        <f t="shared" si="121"/>
        <v>31</v>
      </c>
      <c r="C767" s="76">
        <f>122.58</f>
        <v>122.58</v>
      </c>
      <c r="D767" s="76">
        <f>297.941</f>
        <v>297.94099999999997</v>
      </c>
      <c r="E767" s="85">
        <f>89.177</f>
        <v>89.177000000000007</v>
      </c>
      <c r="F767" s="76">
        <f>240.302-40-60-100</f>
        <v>40.301999999999992</v>
      </c>
      <c r="G767" s="79">
        <v>40</v>
      </c>
      <c r="H767" s="76">
        <f>60+100</f>
        <v>160</v>
      </c>
      <c r="I767" s="76">
        <f t="shared" si="124"/>
        <v>0</v>
      </c>
      <c r="J767" s="79">
        <v>100</v>
      </c>
      <c r="K767" s="79">
        <v>300</v>
      </c>
      <c r="L767" s="76">
        <f t="shared" si="116"/>
        <v>1150</v>
      </c>
      <c r="M767" s="87">
        <v>600</v>
      </c>
      <c r="N767" s="76">
        <f>100</f>
        <v>100</v>
      </c>
      <c r="O767" s="79">
        <v>240</v>
      </c>
      <c r="P767" s="79">
        <v>40</v>
      </c>
      <c r="Q767" s="79">
        <f t="shared" si="117"/>
        <v>315</v>
      </c>
      <c r="R767" s="79">
        <f t="shared" si="118"/>
        <v>100</v>
      </c>
      <c r="S767" s="76">
        <f t="shared" si="119"/>
        <v>695</v>
      </c>
      <c r="T767" s="76">
        <f>50</f>
        <v>50</v>
      </c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</row>
    <row r="768" spans="1:30" ht="15.75" x14ac:dyDescent="0.25">
      <c r="A768" s="31">
        <v>64315</v>
      </c>
      <c r="B768" s="88">
        <f t="shared" si="121"/>
        <v>31</v>
      </c>
      <c r="C768" s="76">
        <f>122.58</f>
        <v>122.58</v>
      </c>
      <c r="D768" s="76">
        <f>297.941</f>
        <v>297.94099999999997</v>
      </c>
      <c r="E768" s="85">
        <f>89.177</f>
        <v>89.177000000000007</v>
      </c>
      <c r="F768" s="76">
        <f>240.302-40-60-100</f>
        <v>40.301999999999992</v>
      </c>
      <c r="G768" s="79">
        <v>40</v>
      </c>
      <c r="H768" s="76">
        <f>60+100</f>
        <v>160</v>
      </c>
      <c r="I768" s="76">
        <f t="shared" si="124"/>
        <v>0</v>
      </c>
      <c r="J768" s="79">
        <v>100</v>
      </c>
      <c r="K768" s="79">
        <v>300</v>
      </c>
      <c r="L768" s="76">
        <f t="shared" si="116"/>
        <v>1150</v>
      </c>
      <c r="M768" s="87">
        <v>600</v>
      </c>
      <c r="N768" s="76">
        <f>100</f>
        <v>100</v>
      </c>
      <c r="O768" s="79">
        <v>240</v>
      </c>
      <c r="P768" s="79">
        <v>40</v>
      </c>
      <c r="Q768" s="79">
        <f t="shared" si="117"/>
        <v>315</v>
      </c>
      <c r="R768" s="79">
        <f t="shared" si="118"/>
        <v>100</v>
      </c>
      <c r="S768" s="76">
        <f t="shared" si="119"/>
        <v>695</v>
      </c>
      <c r="T768" s="76">
        <f>50</f>
        <v>50</v>
      </c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</row>
    <row r="769" spans="1:30" ht="15.75" x14ac:dyDescent="0.25">
      <c r="A769" s="31">
        <v>64344</v>
      </c>
      <c r="B769" s="88">
        <f t="shared" si="121"/>
        <v>29</v>
      </c>
      <c r="C769" s="76">
        <f>122.58</f>
        <v>122.58</v>
      </c>
      <c r="D769" s="76">
        <f>297.941</f>
        <v>297.94099999999997</v>
      </c>
      <c r="E769" s="85">
        <f>89.177</f>
        <v>89.177000000000007</v>
      </c>
      <c r="F769" s="76">
        <f>240.302-40-60-100</f>
        <v>40.301999999999992</v>
      </c>
      <c r="G769" s="79">
        <v>40</v>
      </c>
      <c r="H769" s="76">
        <f>60+100</f>
        <v>160</v>
      </c>
      <c r="I769" s="76">
        <f t="shared" si="124"/>
        <v>0</v>
      </c>
      <c r="J769" s="79">
        <v>100</v>
      </c>
      <c r="K769" s="79">
        <v>300</v>
      </c>
      <c r="L769" s="76">
        <f t="shared" si="116"/>
        <v>1150</v>
      </c>
      <c r="M769" s="87">
        <v>600</v>
      </c>
      <c r="N769" s="76">
        <f>100</f>
        <v>100</v>
      </c>
      <c r="O769" s="79">
        <v>240</v>
      </c>
      <c r="P769" s="79">
        <v>40</v>
      </c>
      <c r="Q769" s="79">
        <f t="shared" si="117"/>
        <v>315</v>
      </c>
      <c r="R769" s="79">
        <f t="shared" si="118"/>
        <v>100</v>
      </c>
      <c r="S769" s="76">
        <f t="shared" si="119"/>
        <v>695</v>
      </c>
      <c r="T769" s="76">
        <f>50</f>
        <v>50</v>
      </c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</row>
    <row r="770" spans="1:30" ht="15.75" x14ac:dyDescent="0.25">
      <c r="A770" s="31">
        <v>64375</v>
      </c>
      <c r="B770" s="88">
        <f t="shared" si="121"/>
        <v>31</v>
      </c>
      <c r="C770" s="76">
        <f>122.58</f>
        <v>122.58</v>
      </c>
      <c r="D770" s="76">
        <f>297.941</f>
        <v>297.94099999999997</v>
      </c>
      <c r="E770" s="85">
        <f>89.177</f>
        <v>89.177000000000007</v>
      </c>
      <c r="F770" s="76">
        <f>240.302-40-60-100</f>
        <v>40.301999999999992</v>
      </c>
      <c r="G770" s="79">
        <v>40</v>
      </c>
      <c r="H770" s="76">
        <f>60+100</f>
        <v>160</v>
      </c>
      <c r="I770" s="76">
        <f t="shared" si="124"/>
        <v>0</v>
      </c>
      <c r="J770" s="79">
        <v>100</v>
      </c>
      <c r="K770" s="79">
        <v>300</v>
      </c>
      <c r="L770" s="76">
        <f t="shared" si="116"/>
        <v>1150</v>
      </c>
      <c r="M770" s="87">
        <v>600</v>
      </c>
      <c r="N770" s="76">
        <f>100</f>
        <v>100</v>
      </c>
      <c r="O770" s="79">
        <v>240</v>
      </c>
      <c r="P770" s="79">
        <v>40</v>
      </c>
      <c r="Q770" s="79">
        <f t="shared" si="117"/>
        <v>315</v>
      </c>
      <c r="R770" s="79">
        <f t="shared" si="118"/>
        <v>100</v>
      </c>
      <c r="S770" s="76">
        <f t="shared" si="119"/>
        <v>695</v>
      </c>
      <c r="T770" s="76">
        <f>50</f>
        <v>50</v>
      </c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</row>
    <row r="771" spans="1:30" ht="15.75" x14ac:dyDescent="0.25">
      <c r="A771" s="31">
        <v>64405</v>
      </c>
      <c r="B771" s="88">
        <f t="shared" si="121"/>
        <v>30</v>
      </c>
      <c r="C771" s="76">
        <f>141.293</f>
        <v>141.29300000000001</v>
      </c>
      <c r="D771" s="76">
        <f>267.993</f>
        <v>267.99299999999999</v>
      </c>
      <c r="E771" s="85">
        <f>115.016</f>
        <v>115.01600000000001</v>
      </c>
      <c r="F771" s="76">
        <f>314.698-40-25-60-100</f>
        <v>89.697999999999979</v>
      </c>
      <c r="G771" s="79">
        <v>40</v>
      </c>
      <c r="H771" s="76">
        <f t="shared" ref="H771:H777" si="126">25+60+100</f>
        <v>185</v>
      </c>
      <c r="I771" s="76">
        <f t="shared" si="124"/>
        <v>0</v>
      </c>
      <c r="J771" s="79">
        <v>100</v>
      </c>
      <c r="K771" s="79">
        <v>300</v>
      </c>
      <c r="L771" s="76">
        <f t="shared" si="116"/>
        <v>1239</v>
      </c>
      <c r="M771" s="87">
        <v>600</v>
      </c>
      <c r="N771" s="76">
        <f>100</f>
        <v>100</v>
      </c>
      <c r="O771" s="79">
        <v>240</v>
      </c>
      <c r="P771" s="79">
        <v>40</v>
      </c>
      <c r="Q771" s="79">
        <f t="shared" si="117"/>
        <v>315</v>
      </c>
      <c r="R771" s="79">
        <f t="shared" si="118"/>
        <v>100</v>
      </c>
      <c r="S771" s="76">
        <f t="shared" si="119"/>
        <v>695</v>
      </c>
      <c r="T771" s="76">
        <f>50</f>
        <v>50</v>
      </c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</row>
    <row r="772" spans="1:30" ht="15.75" x14ac:dyDescent="0.25">
      <c r="A772" s="31">
        <v>64436</v>
      </c>
      <c r="B772" s="88">
        <f t="shared" si="121"/>
        <v>31</v>
      </c>
      <c r="C772" s="76">
        <f>194.205</f>
        <v>194.20500000000001</v>
      </c>
      <c r="D772" s="76">
        <f>267.466</f>
        <v>267.46600000000001</v>
      </c>
      <c r="E772" s="85">
        <f>133.845</f>
        <v>133.845</v>
      </c>
      <c r="F772" s="76">
        <f>278.484-40-25-60-100</f>
        <v>53.48399999999998</v>
      </c>
      <c r="G772" s="79">
        <v>40</v>
      </c>
      <c r="H772" s="76">
        <f t="shared" si="126"/>
        <v>185</v>
      </c>
      <c r="I772" s="76">
        <f t="shared" si="124"/>
        <v>0</v>
      </c>
      <c r="J772" s="79">
        <v>100</v>
      </c>
      <c r="K772" s="79">
        <v>300</v>
      </c>
      <c r="L772" s="76">
        <f t="shared" si="116"/>
        <v>1274</v>
      </c>
      <c r="M772" s="87">
        <v>600</v>
      </c>
      <c r="N772" s="76">
        <f>75</f>
        <v>75</v>
      </c>
      <c r="O772" s="79">
        <v>240</v>
      </c>
      <c r="P772" s="79">
        <v>40</v>
      </c>
      <c r="Q772" s="79">
        <f t="shared" si="117"/>
        <v>315</v>
      </c>
      <c r="R772" s="79">
        <f t="shared" si="118"/>
        <v>100</v>
      </c>
      <c r="S772" s="76">
        <f t="shared" si="119"/>
        <v>695</v>
      </c>
      <c r="T772" s="76">
        <f>50</f>
        <v>50</v>
      </c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</row>
    <row r="773" spans="1:30" ht="15.75" x14ac:dyDescent="0.25">
      <c r="A773" s="31">
        <v>64466</v>
      </c>
      <c r="B773" s="88">
        <f t="shared" si="121"/>
        <v>30</v>
      </c>
      <c r="C773" s="76">
        <f>194.205</f>
        <v>194.20500000000001</v>
      </c>
      <c r="D773" s="76">
        <f>267.466</f>
        <v>267.46600000000001</v>
      </c>
      <c r="E773" s="85">
        <f>133.845</f>
        <v>133.845</v>
      </c>
      <c r="F773" s="76">
        <f>278.484-40-25-60-100</f>
        <v>53.48399999999998</v>
      </c>
      <c r="G773" s="79">
        <v>40</v>
      </c>
      <c r="H773" s="76">
        <f t="shared" si="126"/>
        <v>185</v>
      </c>
      <c r="I773" s="76">
        <f t="shared" si="124"/>
        <v>0</v>
      </c>
      <c r="J773" s="79">
        <v>100</v>
      </c>
      <c r="K773" s="79">
        <v>300</v>
      </c>
      <c r="L773" s="76">
        <f t="shared" si="116"/>
        <v>1274</v>
      </c>
      <c r="M773" s="87">
        <v>600</v>
      </c>
      <c r="N773" s="76">
        <f>30</f>
        <v>30</v>
      </c>
      <c r="O773" s="79">
        <v>240</v>
      </c>
      <c r="P773" s="79">
        <v>40</v>
      </c>
      <c r="Q773" s="79">
        <f t="shared" si="117"/>
        <v>315</v>
      </c>
      <c r="R773" s="79">
        <f t="shared" si="118"/>
        <v>100</v>
      </c>
      <c r="S773" s="76">
        <f t="shared" si="119"/>
        <v>695</v>
      </c>
      <c r="T773" s="76">
        <f>50</f>
        <v>50</v>
      </c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</row>
    <row r="774" spans="1:30" ht="15.75" x14ac:dyDescent="0.25">
      <c r="A774" s="31">
        <v>64497</v>
      </c>
      <c r="B774" s="88">
        <f t="shared" si="121"/>
        <v>31</v>
      </c>
      <c r="C774" s="76">
        <f>194.205</f>
        <v>194.20500000000001</v>
      </c>
      <c r="D774" s="76">
        <f>267.466</f>
        <v>267.46600000000001</v>
      </c>
      <c r="E774" s="85">
        <f>133.845</f>
        <v>133.845</v>
      </c>
      <c r="F774" s="76">
        <f>278.484-40-25-60-100</f>
        <v>53.48399999999998</v>
      </c>
      <c r="G774" s="79">
        <v>40</v>
      </c>
      <c r="H774" s="76">
        <f t="shared" si="126"/>
        <v>185</v>
      </c>
      <c r="I774" s="76">
        <f t="shared" si="124"/>
        <v>0</v>
      </c>
      <c r="J774" s="79">
        <v>100</v>
      </c>
      <c r="K774" s="79">
        <v>300</v>
      </c>
      <c r="L774" s="76">
        <f t="shared" si="116"/>
        <v>1274</v>
      </c>
      <c r="M774" s="87">
        <v>600</v>
      </c>
      <c r="N774" s="76">
        <f>30</f>
        <v>30</v>
      </c>
      <c r="O774" s="79">
        <v>240</v>
      </c>
      <c r="P774" s="79">
        <v>40</v>
      </c>
      <c r="Q774" s="79">
        <f t="shared" si="117"/>
        <v>315</v>
      </c>
      <c r="R774" s="79">
        <f t="shared" si="118"/>
        <v>100</v>
      </c>
      <c r="S774" s="76">
        <f t="shared" si="119"/>
        <v>695</v>
      </c>
      <c r="T774" s="76">
        <f>0</f>
        <v>0</v>
      </c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</row>
    <row r="775" spans="1:30" ht="15.75" x14ac:dyDescent="0.25">
      <c r="A775" s="31">
        <v>64528</v>
      </c>
      <c r="B775" s="88">
        <f t="shared" si="121"/>
        <v>31</v>
      </c>
      <c r="C775" s="76">
        <f>194.205</f>
        <v>194.20500000000001</v>
      </c>
      <c r="D775" s="76">
        <f>267.466</f>
        <v>267.46600000000001</v>
      </c>
      <c r="E775" s="85">
        <f>133.845</f>
        <v>133.845</v>
      </c>
      <c r="F775" s="76">
        <f>278.484-40-25-60-100</f>
        <v>53.48399999999998</v>
      </c>
      <c r="G775" s="79">
        <v>40</v>
      </c>
      <c r="H775" s="76">
        <f t="shared" si="126"/>
        <v>185</v>
      </c>
      <c r="I775" s="76">
        <f t="shared" si="124"/>
        <v>0</v>
      </c>
      <c r="J775" s="79">
        <v>100</v>
      </c>
      <c r="K775" s="79">
        <v>300</v>
      </c>
      <c r="L775" s="76">
        <f t="shared" si="116"/>
        <v>1274</v>
      </c>
      <c r="M775" s="87">
        <v>600</v>
      </c>
      <c r="N775" s="76">
        <f>30</f>
        <v>30</v>
      </c>
      <c r="O775" s="79">
        <v>240</v>
      </c>
      <c r="P775" s="79">
        <v>40</v>
      </c>
      <c r="Q775" s="79">
        <f t="shared" si="117"/>
        <v>315</v>
      </c>
      <c r="R775" s="79">
        <f t="shared" si="118"/>
        <v>100</v>
      </c>
      <c r="S775" s="76">
        <f t="shared" si="119"/>
        <v>695</v>
      </c>
      <c r="T775" s="76">
        <f>0</f>
        <v>0</v>
      </c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</row>
    <row r="776" spans="1:30" ht="15.75" x14ac:dyDescent="0.25">
      <c r="A776" s="31">
        <v>64558</v>
      </c>
      <c r="B776" s="88">
        <f t="shared" si="121"/>
        <v>30</v>
      </c>
      <c r="C776" s="76">
        <f>194.205</f>
        <v>194.20500000000001</v>
      </c>
      <c r="D776" s="76">
        <f>267.466</f>
        <v>267.46600000000001</v>
      </c>
      <c r="E776" s="85">
        <f>133.845</f>
        <v>133.845</v>
      </c>
      <c r="F776" s="76">
        <f>278.484-40-25-60-100</f>
        <v>53.48399999999998</v>
      </c>
      <c r="G776" s="79">
        <v>40</v>
      </c>
      <c r="H776" s="76">
        <f t="shared" si="126"/>
        <v>185</v>
      </c>
      <c r="I776" s="76">
        <f t="shared" si="124"/>
        <v>0</v>
      </c>
      <c r="J776" s="79">
        <v>100</v>
      </c>
      <c r="K776" s="79">
        <v>300</v>
      </c>
      <c r="L776" s="76">
        <f t="shared" si="116"/>
        <v>1274</v>
      </c>
      <c r="M776" s="87">
        <v>600</v>
      </c>
      <c r="N776" s="76">
        <f>30</f>
        <v>30</v>
      </c>
      <c r="O776" s="79">
        <v>240</v>
      </c>
      <c r="P776" s="79">
        <v>40</v>
      </c>
      <c r="Q776" s="79">
        <f t="shared" si="117"/>
        <v>315</v>
      </c>
      <c r="R776" s="79">
        <f t="shared" si="118"/>
        <v>100</v>
      </c>
      <c r="S776" s="76">
        <f t="shared" si="119"/>
        <v>695</v>
      </c>
      <c r="T776" s="76">
        <f>0</f>
        <v>0</v>
      </c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</row>
    <row r="777" spans="1:30" ht="15.75" x14ac:dyDescent="0.25">
      <c r="A777" s="31">
        <v>64589</v>
      </c>
      <c r="B777" s="88">
        <f t="shared" si="121"/>
        <v>31</v>
      </c>
      <c r="C777" s="76">
        <f>131.881</f>
        <v>131.881</v>
      </c>
      <c r="D777" s="76">
        <f>277.167</f>
        <v>277.16699999999997</v>
      </c>
      <c r="E777" s="85">
        <f>79.08</f>
        <v>79.08</v>
      </c>
      <c r="F777" s="76">
        <f>350.872-40-25-60-100</f>
        <v>125.87200000000001</v>
      </c>
      <c r="G777" s="79">
        <v>40</v>
      </c>
      <c r="H777" s="76">
        <f t="shared" si="126"/>
        <v>185</v>
      </c>
      <c r="I777" s="76">
        <f t="shared" si="124"/>
        <v>0</v>
      </c>
      <c r="J777" s="79">
        <v>100</v>
      </c>
      <c r="K777" s="79">
        <v>300</v>
      </c>
      <c r="L777" s="76">
        <f t="shared" si="116"/>
        <v>1239</v>
      </c>
      <c r="M777" s="87">
        <v>600</v>
      </c>
      <c r="N777" s="76">
        <f>75</f>
        <v>75</v>
      </c>
      <c r="O777" s="79">
        <v>240</v>
      </c>
      <c r="P777" s="79">
        <v>40</v>
      </c>
      <c r="Q777" s="79">
        <f t="shared" si="117"/>
        <v>315</v>
      </c>
      <c r="R777" s="79">
        <f t="shared" si="118"/>
        <v>100</v>
      </c>
      <c r="S777" s="76">
        <f t="shared" si="119"/>
        <v>695</v>
      </c>
      <c r="T777" s="76">
        <f>0</f>
        <v>0</v>
      </c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</row>
    <row r="778" spans="1:30" ht="15.75" x14ac:dyDescent="0.25">
      <c r="A778" s="31">
        <v>64619</v>
      </c>
      <c r="B778" s="88">
        <f t="shared" si="121"/>
        <v>30</v>
      </c>
      <c r="C778" s="76">
        <f>122.58</f>
        <v>122.58</v>
      </c>
      <c r="D778" s="76">
        <f>297.941</f>
        <v>297.94099999999997</v>
      </c>
      <c r="E778" s="85">
        <f>89.177</f>
        <v>89.177000000000007</v>
      </c>
      <c r="F778" s="76">
        <f>240.302-40-60-100</f>
        <v>40.301999999999992</v>
      </c>
      <c r="G778" s="79">
        <v>40</v>
      </c>
      <c r="H778" s="76">
        <f>60+100</f>
        <v>160</v>
      </c>
      <c r="I778" s="76">
        <f t="shared" si="124"/>
        <v>0</v>
      </c>
      <c r="J778" s="79">
        <v>100</v>
      </c>
      <c r="K778" s="79">
        <v>300</v>
      </c>
      <c r="L778" s="76">
        <f t="shared" si="116"/>
        <v>1150</v>
      </c>
      <c r="M778" s="87">
        <v>600</v>
      </c>
      <c r="N778" s="76">
        <f>100</f>
        <v>100</v>
      </c>
      <c r="O778" s="79">
        <v>240</v>
      </c>
      <c r="P778" s="79">
        <v>40</v>
      </c>
      <c r="Q778" s="79">
        <f t="shared" si="117"/>
        <v>315</v>
      </c>
      <c r="R778" s="79">
        <f t="shared" si="118"/>
        <v>100</v>
      </c>
      <c r="S778" s="76">
        <f t="shared" si="119"/>
        <v>695</v>
      </c>
      <c r="T778" s="76">
        <f>50</f>
        <v>50</v>
      </c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</row>
    <row r="779" spans="1:30" ht="15.75" x14ac:dyDescent="0.25">
      <c r="A779" s="31">
        <v>64650</v>
      </c>
      <c r="B779" s="88">
        <f t="shared" si="121"/>
        <v>31</v>
      </c>
      <c r="C779" s="76">
        <f>122.58</f>
        <v>122.58</v>
      </c>
      <c r="D779" s="76">
        <f>297.941</f>
        <v>297.94099999999997</v>
      </c>
      <c r="E779" s="85">
        <f>89.177</f>
        <v>89.177000000000007</v>
      </c>
      <c r="F779" s="76">
        <f>240.302-40-60-100</f>
        <v>40.301999999999992</v>
      </c>
      <c r="G779" s="79">
        <v>40</v>
      </c>
      <c r="H779" s="76">
        <f>60+100</f>
        <v>160</v>
      </c>
      <c r="I779" s="76">
        <f t="shared" si="124"/>
        <v>0</v>
      </c>
      <c r="J779" s="79">
        <v>100</v>
      </c>
      <c r="K779" s="79">
        <v>300</v>
      </c>
      <c r="L779" s="76">
        <f t="shared" si="116"/>
        <v>1150</v>
      </c>
      <c r="M779" s="87">
        <v>600</v>
      </c>
      <c r="N779" s="76">
        <f>100</f>
        <v>100</v>
      </c>
      <c r="O779" s="79">
        <v>240</v>
      </c>
      <c r="P779" s="79">
        <v>40</v>
      </c>
      <c r="Q779" s="79">
        <f t="shared" si="117"/>
        <v>315</v>
      </c>
      <c r="R779" s="79">
        <f t="shared" si="118"/>
        <v>100</v>
      </c>
      <c r="S779" s="76">
        <f t="shared" si="119"/>
        <v>695</v>
      </c>
      <c r="T779" s="76">
        <f>50</f>
        <v>50</v>
      </c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</row>
    <row r="780" spans="1:30" ht="15.75" x14ac:dyDescent="0.25">
      <c r="A780" s="31">
        <v>64681</v>
      </c>
      <c r="B780" s="88">
        <f t="shared" si="121"/>
        <v>31</v>
      </c>
      <c r="C780" s="76">
        <f>122.58</f>
        <v>122.58</v>
      </c>
      <c r="D780" s="76">
        <f>297.941</f>
        <v>297.94099999999997</v>
      </c>
      <c r="E780" s="85">
        <f>89.177</f>
        <v>89.177000000000007</v>
      </c>
      <c r="F780" s="76">
        <f>240.302-40-60-100</f>
        <v>40.301999999999992</v>
      </c>
      <c r="G780" s="79">
        <v>40</v>
      </c>
      <c r="H780" s="76">
        <f>60+100</f>
        <v>160</v>
      </c>
      <c r="I780" s="76">
        <f t="shared" si="124"/>
        <v>0</v>
      </c>
      <c r="J780" s="79">
        <v>100</v>
      </c>
      <c r="K780" s="79">
        <v>300</v>
      </c>
      <c r="L780" s="76">
        <f t="shared" si="116"/>
        <v>1150</v>
      </c>
      <c r="M780" s="87">
        <v>600</v>
      </c>
      <c r="N780" s="76">
        <f>100</f>
        <v>100</v>
      </c>
      <c r="O780" s="79">
        <v>240</v>
      </c>
      <c r="P780" s="79">
        <v>40</v>
      </c>
      <c r="Q780" s="79">
        <f t="shared" si="117"/>
        <v>315</v>
      </c>
      <c r="R780" s="79">
        <f t="shared" si="118"/>
        <v>100</v>
      </c>
      <c r="S780" s="76">
        <f t="shared" si="119"/>
        <v>695</v>
      </c>
      <c r="T780" s="76">
        <f>50</f>
        <v>50</v>
      </c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</row>
    <row r="781" spans="1:30" ht="15.75" x14ac:dyDescent="0.25">
      <c r="A781" s="31">
        <v>64709</v>
      </c>
      <c r="B781" s="88">
        <f t="shared" si="121"/>
        <v>28</v>
      </c>
      <c r="C781" s="76">
        <f>122.58</f>
        <v>122.58</v>
      </c>
      <c r="D781" s="76">
        <f>297.941</f>
        <v>297.94099999999997</v>
      </c>
      <c r="E781" s="85">
        <f>89.177</f>
        <v>89.177000000000007</v>
      </c>
      <c r="F781" s="76">
        <f>240.302-40-60-100</f>
        <v>40.301999999999992</v>
      </c>
      <c r="G781" s="79">
        <v>40</v>
      </c>
      <c r="H781" s="76">
        <f>60+100</f>
        <v>160</v>
      </c>
      <c r="I781" s="76">
        <f t="shared" si="124"/>
        <v>0</v>
      </c>
      <c r="J781" s="79">
        <v>100</v>
      </c>
      <c r="K781" s="79">
        <v>300</v>
      </c>
      <c r="L781" s="76">
        <f t="shared" si="116"/>
        <v>1150</v>
      </c>
      <c r="M781" s="87">
        <v>600</v>
      </c>
      <c r="N781" s="76">
        <f>100</f>
        <v>100</v>
      </c>
      <c r="O781" s="79">
        <v>240</v>
      </c>
      <c r="P781" s="79">
        <v>40</v>
      </c>
      <c r="Q781" s="79">
        <f t="shared" si="117"/>
        <v>315</v>
      </c>
      <c r="R781" s="79">
        <f t="shared" si="118"/>
        <v>100</v>
      </c>
      <c r="S781" s="76">
        <f t="shared" si="119"/>
        <v>695</v>
      </c>
      <c r="T781" s="76">
        <f>50</f>
        <v>50</v>
      </c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</row>
    <row r="782" spans="1:30" ht="15.75" x14ac:dyDescent="0.25">
      <c r="A782" s="31">
        <v>64740</v>
      </c>
      <c r="B782" s="88">
        <f t="shared" si="121"/>
        <v>31</v>
      </c>
      <c r="C782" s="76">
        <f>122.58</f>
        <v>122.58</v>
      </c>
      <c r="D782" s="76">
        <f>297.941</f>
        <v>297.94099999999997</v>
      </c>
      <c r="E782" s="85">
        <f>89.177</f>
        <v>89.177000000000007</v>
      </c>
      <c r="F782" s="76">
        <f>240.302-40-60-100</f>
        <v>40.301999999999992</v>
      </c>
      <c r="G782" s="79">
        <v>40</v>
      </c>
      <c r="H782" s="76">
        <f>60+100</f>
        <v>160</v>
      </c>
      <c r="I782" s="76">
        <f t="shared" si="124"/>
        <v>0</v>
      </c>
      <c r="J782" s="79">
        <v>100</v>
      </c>
      <c r="K782" s="79">
        <v>300</v>
      </c>
      <c r="L782" s="76">
        <f t="shared" si="116"/>
        <v>1150</v>
      </c>
      <c r="M782" s="87">
        <v>600</v>
      </c>
      <c r="N782" s="76">
        <f>100</f>
        <v>100</v>
      </c>
      <c r="O782" s="79">
        <v>240</v>
      </c>
      <c r="P782" s="79">
        <v>40</v>
      </c>
      <c r="Q782" s="79">
        <f t="shared" si="117"/>
        <v>315</v>
      </c>
      <c r="R782" s="79">
        <f t="shared" si="118"/>
        <v>100</v>
      </c>
      <c r="S782" s="76">
        <f t="shared" si="119"/>
        <v>695</v>
      </c>
      <c r="T782" s="76">
        <f>50</f>
        <v>50</v>
      </c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</row>
    <row r="783" spans="1:30" ht="15.75" x14ac:dyDescent="0.25">
      <c r="A783" s="31">
        <v>64770</v>
      </c>
      <c r="B783" s="88">
        <f t="shared" si="121"/>
        <v>30</v>
      </c>
      <c r="C783" s="76">
        <f>141.293</f>
        <v>141.29300000000001</v>
      </c>
      <c r="D783" s="76">
        <f>267.993</f>
        <v>267.99299999999999</v>
      </c>
      <c r="E783" s="85">
        <f>115.016</f>
        <v>115.01600000000001</v>
      </c>
      <c r="F783" s="76">
        <f>314.698-40-25-60-100</f>
        <v>89.697999999999979</v>
      </c>
      <c r="G783" s="79">
        <v>40</v>
      </c>
      <c r="H783" s="76">
        <f t="shared" ref="H783:H789" si="127">25+60+100</f>
        <v>185</v>
      </c>
      <c r="I783" s="76">
        <f t="shared" si="124"/>
        <v>0</v>
      </c>
      <c r="J783" s="79">
        <v>100</v>
      </c>
      <c r="K783" s="79">
        <v>300</v>
      </c>
      <c r="L783" s="76">
        <f t="shared" si="116"/>
        <v>1239</v>
      </c>
      <c r="M783" s="87">
        <v>600</v>
      </c>
      <c r="N783" s="76">
        <f>100</f>
        <v>100</v>
      </c>
      <c r="O783" s="79">
        <v>240</v>
      </c>
      <c r="P783" s="79">
        <v>40</v>
      </c>
      <c r="Q783" s="79">
        <f t="shared" si="117"/>
        <v>315</v>
      </c>
      <c r="R783" s="79">
        <f t="shared" si="118"/>
        <v>100</v>
      </c>
      <c r="S783" s="76">
        <f t="shared" si="119"/>
        <v>695</v>
      </c>
      <c r="T783" s="76">
        <f>50</f>
        <v>50</v>
      </c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</row>
    <row r="784" spans="1:30" ht="15.75" x14ac:dyDescent="0.25">
      <c r="A784" s="31">
        <v>64801</v>
      </c>
      <c r="B784" s="88">
        <f t="shared" si="121"/>
        <v>31</v>
      </c>
      <c r="C784" s="76">
        <f>194.205</f>
        <v>194.20500000000001</v>
      </c>
      <c r="D784" s="76">
        <f>267.466</f>
        <v>267.46600000000001</v>
      </c>
      <c r="E784" s="85">
        <f>133.845</f>
        <v>133.845</v>
      </c>
      <c r="F784" s="76">
        <f>278.484-40-25-60-100</f>
        <v>53.48399999999998</v>
      </c>
      <c r="G784" s="79">
        <v>40</v>
      </c>
      <c r="H784" s="76">
        <f t="shared" si="127"/>
        <v>185</v>
      </c>
      <c r="I784" s="76">
        <f t="shared" si="124"/>
        <v>0</v>
      </c>
      <c r="J784" s="79">
        <v>100</v>
      </c>
      <c r="K784" s="79">
        <v>300</v>
      </c>
      <c r="L784" s="76">
        <f t="shared" si="116"/>
        <v>1274</v>
      </c>
      <c r="M784" s="87">
        <v>600</v>
      </c>
      <c r="N784" s="76">
        <f>75</f>
        <v>75</v>
      </c>
      <c r="O784" s="79">
        <v>240</v>
      </c>
      <c r="P784" s="79">
        <v>40</v>
      </c>
      <c r="Q784" s="79">
        <f t="shared" si="117"/>
        <v>315</v>
      </c>
      <c r="R784" s="79">
        <f t="shared" si="118"/>
        <v>100</v>
      </c>
      <c r="S784" s="76">
        <f t="shared" si="119"/>
        <v>695</v>
      </c>
      <c r="T784" s="76">
        <f>50</f>
        <v>50</v>
      </c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</row>
    <row r="785" spans="1:30" ht="15.75" x14ac:dyDescent="0.25">
      <c r="A785" s="31">
        <v>64831</v>
      </c>
      <c r="B785" s="88">
        <f t="shared" si="121"/>
        <v>30</v>
      </c>
      <c r="C785" s="76">
        <f>194.205</f>
        <v>194.20500000000001</v>
      </c>
      <c r="D785" s="76">
        <f>267.466</f>
        <v>267.46600000000001</v>
      </c>
      <c r="E785" s="85">
        <f>133.845</f>
        <v>133.845</v>
      </c>
      <c r="F785" s="76">
        <f>278.484-40-25-60-100</f>
        <v>53.48399999999998</v>
      </c>
      <c r="G785" s="79">
        <v>40</v>
      </c>
      <c r="H785" s="76">
        <f t="shared" si="127"/>
        <v>185</v>
      </c>
      <c r="I785" s="76">
        <f t="shared" si="124"/>
        <v>0</v>
      </c>
      <c r="J785" s="79">
        <v>100</v>
      </c>
      <c r="K785" s="79">
        <v>300</v>
      </c>
      <c r="L785" s="76">
        <f t="shared" si="116"/>
        <v>1274</v>
      </c>
      <c r="M785" s="87">
        <v>600</v>
      </c>
      <c r="N785" s="76">
        <f>30</f>
        <v>30</v>
      </c>
      <c r="O785" s="79">
        <v>240</v>
      </c>
      <c r="P785" s="79">
        <v>40</v>
      </c>
      <c r="Q785" s="79">
        <f t="shared" si="117"/>
        <v>315</v>
      </c>
      <c r="R785" s="79">
        <f t="shared" si="118"/>
        <v>100</v>
      </c>
      <c r="S785" s="76">
        <f t="shared" si="119"/>
        <v>695</v>
      </c>
      <c r="T785" s="76">
        <f>50</f>
        <v>50</v>
      </c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</row>
    <row r="786" spans="1:30" ht="15.75" x14ac:dyDescent="0.25">
      <c r="A786" s="31">
        <v>64862</v>
      </c>
      <c r="B786" s="88">
        <f t="shared" si="121"/>
        <v>31</v>
      </c>
      <c r="C786" s="76">
        <f>194.205</f>
        <v>194.20500000000001</v>
      </c>
      <c r="D786" s="76">
        <f>267.466</f>
        <v>267.46600000000001</v>
      </c>
      <c r="E786" s="85">
        <f>133.845</f>
        <v>133.845</v>
      </c>
      <c r="F786" s="76">
        <f>278.484-40-25-60-100</f>
        <v>53.48399999999998</v>
      </c>
      <c r="G786" s="79">
        <v>40</v>
      </c>
      <c r="H786" s="76">
        <f t="shared" si="127"/>
        <v>185</v>
      </c>
      <c r="I786" s="76">
        <f t="shared" si="124"/>
        <v>0</v>
      </c>
      <c r="J786" s="79">
        <v>100</v>
      </c>
      <c r="K786" s="79">
        <v>300</v>
      </c>
      <c r="L786" s="76">
        <f t="shared" ref="L786:L849" si="128">SUM(C786:K786)</f>
        <v>1274</v>
      </c>
      <c r="M786" s="87">
        <v>600</v>
      </c>
      <c r="N786" s="76">
        <f>30</f>
        <v>30</v>
      </c>
      <c r="O786" s="79">
        <v>240</v>
      </c>
      <c r="P786" s="79">
        <v>40</v>
      </c>
      <c r="Q786" s="79">
        <f t="shared" ref="Q786:Q849" si="129">695-R786-O786-P786</f>
        <v>315</v>
      </c>
      <c r="R786" s="79">
        <f t="shared" ref="R786:R849" si="130">200-J786</f>
        <v>100</v>
      </c>
      <c r="S786" s="76">
        <f t="shared" ref="S786:S849" si="131">SUM(O786:R786)</f>
        <v>695</v>
      </c>
      <c r="T786" s="76">
        <f>0</f>
        <v>0</v>
      </c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</row>
    <row r="787" spans="1:30" ht="15.75" x14ac:dyDescent="0.25">
      <c r="A787" s="31">
        <v>64893</v>
      </c>
      <c r="B787" s="88">
        <f t="shared" si="121"/>
        <v>31</v>
      </c>
      <c r="C787" s="76">
        <f>194.205</f>
        <v>194.20500000000001</v>
      </c>
      <c r="D787" s="76">
        <f>267.466</f>
        <v>267.46600000000001</v>
      </c>
      <c r="E787" s="85">
        <f>133.845</f>
        <v>133.845</v>
      </c>
      <c r="F787" s="76">
        <f>278.484-40-25-60-100</f>
        <v>53.48399999999998</v>
      </c>
      <c r="G787" s="79">
        <v>40</v>
      </c>
      <c r="H787" s="76">
        <f t="shared" si="127"/>
        <v>185</v>
      </c>
      <c r="I787" s="76">
        <f t="shared" si="124"/>
        <v>0</v>
      </c>
      <c r="J787" s="79">
        <v>100</v>
      </c>
      <c r="K787" s="79">
        <v>300</v>
      </c>
      <c r="L787" s="76">
        <f t="shared" si="128"/>
        <v>1274</v>
      </c>
      <c r="M787" s="87">
        <v>600</v>
      </c>
      <c r="N787" s="76">
        <f>30</f>
        <v>30</v>
      </c>
      <c r="O787" s="79">
        <v>240</v>
      </c>
      <c r="P787" s="79">
        <v>40</v>
      </c>
      <c r="Q787" s="79">
        <f t="shared" si="129"/>
        <v>315</v>
      </c>
      <c r="R787" s="79">
        <f t="shared" si="130"/>
        <v>100</v>
      </c>
      <c r="S787" s="76">
        <f t="shared" si="131"/>
        <v>695</v>
      </c>
      <c r="T787" s="76">
        <f>0</f>
        <v>0</v>
      </c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</row>
    <row r="788" spans="1:30" ht="15.75" x14ac:dyDescent="0.25">
      <c r="A788" s="31">
        <v>64923</v>
      </c>
      <c r="B788" s="88">
        <f t="shared" si="121"/>
        <v>30</v>
      </c>
      <c r="C788" s="76">
        <f>194.205</f>
        <v>194.20500000000001</v>
      </c>
      <c r="D788" s="76">
        <f>267.466</f>
        <v>267.46600000000001</v>
      </c>
      <c r="E788" s="85">
        <f>133.845</f>
        <v>133.845</v>
      </c>
      <c r="F788" s="76">
        <f>278.484-40-25-60-100</f>
        <v>53.48399999999998</v>
      </c>
      <c r="G788" s="79">
        <v>40</v>
      </c>
      <c r="H788" s="76">
        <f t="shared" si="127"/>
        <v>185</v>
      </c>
      <c r="I788" s="76">
        <f t="shared" si="124"/>
        <v>0</v>
      </c>
      <c r="J788" s="79">
        <v>100</v>
      </c>
      <c r="K788" s="79">
        <v>300</v>
      </c>
      <c r="L788" s="76">
        <f t="shared" si="128"/>
        <v>1274</v>
      </c>
      <c r="M788" s="87">
        <v>600</v>
      </c>
      <c r="N788" s="76">
        <f>30</f>
        <v>30</v>
      </c>
      <c r="O788" s="79">
        <v>240</v>
      </c>
      <c r="P788" s="79">
        <v>40</v>
      </c>
      <c r="Q788" s="79">
        <f t="shared" si="129"/>
        <v>315</v>
      </c>
      <c r="R788" s="79">
        <f t="shared" si="130"/>
        <v>100</v>
      </c>
      <c r="S788" s="76">
        <f t="shared" si="131"/>
        <v>695</v>
      </c>
      <c r="T788" s="76">
        <f>0</f>
        <v>0</v>
      </c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</row>
    <row r="789" spans="1:30" ht="15.75" x14ac:dyDescent="0.25">
      <c r="A789" s="31">
        <v>64954</v>
      </c>
      <c r="B789" s="88">
        <f t="shared" si="121"/>
        <v>31</v>
      </c>
      <c r="C789" s="76">
        <f>131.881</f>
        <v>131.881</v>
      </c>
      <c r="D789" s="76">
        <f>277.167</f>
        <v>277.16699999999997</v>
      </c>
      <c r="E789" s="85">
        <f>79.08</f>
        <v>79.08</v>
      </c>
      <c r="F789" s="76">
        <f>350.872-40-25-60-100</f>
        <v>125.87200000000001</v>
      </c>
      <c r="G789" s="79">
        <v>40</v>
      </c>
      <c r="H789" s="76">
        <f t="shared" si="127"/>
        <v>185</v>
      </c>
      <c r="I789" s="76">
        <f t="shared" si="124"/>
        <v>0</v>
      </c>
      <c r="J789" s="79">
        <v>100</v>
      </c>
      <c r="K789" s="79">
        <v>300</v>
      </c>
      <c r="L789" s="76">
        <f t="shared" si="128"/>
        <v>1239</v>
      </c>
      <c r="M789" s="87">
        <v>600</v>
      </c>
      <c r="N789" s="76">
        <f>75</f>
        <v>75</v>
      </c>
      <c r="O789" s="79">
        <v>240</v>
      </c>
      <c r="P789" s="79">
        <v>40</v>
      </c>
      <c r="Q789" s="79">
        <f t="shared" si="129"/>
        <v>315</v>
      </c>
      <c r="R789" s="79">
        <f t="shared" si="130"/>
        <v>100</v>
      </c>
      <c r="S789" s="76">
        <f t="shared" si="131"/>
        <v>695</v>
      </c>
      <c r="T789" s="76">
        <f>0</f>
        <v>0</v>
      </c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</row>
    <row r="790" spans="1:30" ht="15.75" x14ac:dyDescent="0.25">
      <c r="A790" s="31">
        <v>64984</v>
      </c>
      <c r="B790" s="88">
        <f t="shared" si="121"/>
        <v>30</v>
      </c>
      <c r="C790" s="76">
        <f>122.58</f>
        <v>122.58</v>
      </c>
      <c r="D790" s="76">
        <f>297.941</f>
        <v>297.94099999999997</v>
      </c>
      <c r="E790" s="85">
        <f>89.177</f>
        <v>89.177000000000007</v>
      </c>
      <c r="F790" s="76">
        <f>240.302-40-60-100</f>
        <v>40.301999999999992</v>
      </c>
      <c r="G790" s="79">
        <v>40</v>
      </c>
      <c r="H790" s="76">
        <f>60+100</f>
        <v>160</v>
      </c>
      <c r="I790" s="76">
        <f t="shared" si="124"/>
        <v>0</v>
      </c>
      <c r="J790" s="79">
        <v>100</v>
      </c>
      <c r="K790" s="79">
        <v>300</v>
      </c>
      <c r="L790" s="76">
        <f t="shared" si="128"/>
        <v>1150</v>
      </c>
      <c r="M790" s="87">
        <v>600</v>
      </c>
      <c r="N790" s="76">
        <f>100</f>
        <v>100</v>
      </c>
      <c r="O790" s="79">
        <v>240</v>
      </c>
      <c r="P790" s="79">
        <v>40</v>
      </c>
      <c r="Q790" s="79">
        <f t="shared" si="129"/>
        <v>315</v>
      </c>
      <c r="R790" s="79">
        <f t="shared" si="130"/>
        <v>100</v>
      </c>
      <c r="S790" s="76">
        <f t="shared" si="131"/>
        <v>695</v>
      </c>
      <c r="T790" s="76">
        <f>50</f>
        <v>50</v>
      </c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</row>
    <row r="791" spans="1:30" ht="15.75" x14ac:dyDescent="0.25">
      <c r="A791" s="31">
        <v>65015</v>
      </c>
      <c r="B791" s="88">
        <f t="shared" si="121"/>
        <v>31</v>
      </c>
      <c r="C791" s="76">
        <f>122.58</f>
        <v>122.58</v>
      </c>
      <c r="D791" s="76">
        <f>297.941</f>
        <v>297.94099999999997</v>
      </c>
      <c r="E791" s="85">
        <f>89.177</f>
        <v>89.177000000000007</v>
      </c>
      <c r="F791" s="76">
        <f>240.302-40-60-100</f>
        <v>40.301999999999992</v>
      </c>
      <c r="G791" s="79">
        <v>40</v>
      </c>
      <c r="H791" s="76">
        <f>60+100</f>
        <v>160</v>
      </c>
      <c r="I791" s="76">
        <f t="shared" si="124"/>
        <v>0</v>
      </c>
      <c r="J791" s="79">
        <v>100</v>
      </c>
      <c r="K791" s="79">
        <v>300</v>
      </c>
      <c r="L791" s="76">
        <f t="shared" si="128"/>
        <v>1150</v>
      </c>
      <c r="M791" s="87">
        <v>600</v>
      </c>
      <c r="N791" s="76">
        <f>100</f>
        <v>100</v>
      </c>
      <c r="O791" s="79">
        <v>240</v>
      </c>
      <c r="P791" s="79">
        <v>40</v>
      </c>
      <c r="Q791" s="79">
        <f t="shared" si="129"/>
        <v>315</v>
      </c>
      <c r="R791" s="79">
        <f t="shared" si="130"/>
        <v>100</v>
      </c>
      <c r="S791" s="76">
        <f t="shared" si="131"/>
        <v>695</v>
      </c>
      <c r="T791" s="76">
        <f>50</f>
        <v>50</v>
      </c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</row>
    <row r="792" spans="1:30" ht="15.75" x14ac:dyDescent="0.25">
      <c r="A792" s="31">
        <v>65046</v>
      </c>
      <c r="B792" s="88">
        <f t="shared" ref="B792:B855" si="132">EOMONTH(A792,0)-EOMONTH(A792,-1)</f>
        <v>31</v>
      </c>
      <c r="C792" s="76">
        <f>122.58</f>
        <v>122.58</v>
      </c>
      <c r="D792" s="76">
        <f>297.941</f>
        <v>297.94099999999997</v>
      </c>
      <c r="E792" s="85">
        <f>89.177</f>
        <v>89.177000000000007</v>
      </c>
      <c r="F792" s="76">
        <f>240.302-40-60-100</f>
        <v>40.301999999999992</v>
      </c>
      <c r="G792" s="79">
        <v>40</v>
      </c>
      <c r="H792" s="76">
        <f>60+100</f>
        <v>160</v>
      </c>
      <c r="I792" s="76">
        <f t="shared" si="124"/>
        <v>0</v>
      </c>
      <c r="J792" s="79">
        <v>100</v>
      </c>
      <c r="K792" s="79">
        <v>300</v>
      </c>
      <c r="L792" s="76">
        <f t="shared" si="128"/>
        <v>1150</v>
      </c>
      <c r="M792" s="87">
        <v>600</v>
      </c>
      <c r="N792" s="76">
        <f>100</f>
        <v>100</v>
      </c>
      <c r="O792" s="79">
        <v>240</v>
      </c>
      <c r="P792" s="79">
        <v>40</v>
      </c>
      <c r="Q792" s="79">
        <f t="shared" si="129"/>
        <v>315</v>
      </c>
      <c r="R792" s="79">
        <f t="shared" si="130"/>
        <v>100</v>
      </c>
      <c r="S792" s="76">
        <f t="shared" si="131"/>
        <v>695</v>
      </c>
      <c r="T792" s="76">
        <f>50</f>
        <v>50</v>
      </c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</row>
    <row r="793" spans="1:30" ht="15.75" x14ac:dyDescent="0.25">
      <c r="A793" s="31">
        <v>65074</v>
      </c>
      <c r="B793" s="88">
        <f t="shared" si="132"/>
        <v>28</v>
      </c>
      <c r="C793" s="76">
        <f>122.58</f>
        <v>122.58</v>
      </c>
      <c r="D793" s="76">
        <f>297.941</f>
        <v>297.94099999999997</v>
      </c>
      <c r="E793" s="85">
        <f>89.177</f>
        <v>89.177000000000007</v>
      </c>
      <c r="F793" s="76">
        <f>240.302-40-60-100</f>
        <v>40.301999999999992</v>
      </c>
      <c r="G793" s="79">
        <v>40</v>
      </c>
      <c r="H793" s="76">
        <f>60+100</f>
        <v>160</v>
      </c>
      <c r="I793" s="76">
        <f t="shared" si="124"/>
        <v>0</v>
      </c>
      <c r="J793" s="79">
        <v>100</v>
      </c>
      <c r="K793" s="79">
        <v>300</v>
      </c>
      <c r="L793" s="76">
        <f t="shared" si="128"/>
        <v>1150</v>
      </c>
      <c r="M793" s="87">
        <v>600</v>
      </c>
      <c r="N793" s="76">
        <f>100</f>
        <v>100</v>
      </c>
      <c r="O793" s="79">
        <v>240</v>
      </c>
      <c r="P793" s="79">
        <v>40</v>
      </c>
      <c r="Q793" s="79">
        <f t="shared" si="129"/>
        <v>315</v>
      </c>
      <c r="R793" s="79">
        <f t="shared" si="130"/>
        <v>100</v>
      </c>
      <c r="S793" s="76">
        <f t="shared" si="131"/>
        <v>695</v>
      </c>
      <c r="T793" s="76">
        <f>50</f>
        <v>50</v>
      </c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</row>
    <row r="794" spans="1:30" ht="15.75" x14ac:dyDescent="0.25">
      <c r="A794" s="31">
        <v>65105</v>
      </c>
      <c r="B794" s="88">
        <f t="shared" si="132"/>
        <v>31</v>
      </c>
      <c r="C794" s="76">
        <f>122.58</f>
        <v>122.58</v>
      </c>
      <c r="D794" s="76">
        <f>297.941</f>
        <v>297.94099999999997</v>
      </c>
      <c r="E794" s="85">
        <f>89.177</f>
        <v>89.177000000000007</v>
      </c>
      <c r="F794" s="76">
        <f>240.302-40-60-100</f>
        <v>40.301999999999992</v>
      </c>
      <c r="G794" s="79">
        <v>40</v>
      </c>
      <c r="H794" s="76">
        <f>60+100</f>
        <v>160</v>
      </c>
      <c r="I794" s="76">
        <f t="shared" si="124"/>
        <v>0</v>
      </c>
      <c r="J794" s="79">
        <v>100</v>
      </c>
      <c r="K794" s="79">
        <v>300</v>
      </c>
      <c r="L794" s="76">
        <f t="shared" si="128"/>
        <v>1150</v>
      </c>
      <c r="M794" s="87">
        <v>600</v>
      </c>
      <c r="N794" s="76">
        <f>100</f>
        <v>100</v>
      </c>
      <c r="O794" s="79">
        <v>240</v>
      </c>
      <c r="P794" s="79">
        <v>40</v>
      </c>
      <c r="Q794" s="79">
        <f t="shared" si="129"/>
        <v>315</v>
      </c>
      <c r="R794" s="79">
        <f t="shared" si="130"/>
        <v>100</v>
      </c>
      <c r="S794" s="76">
        <f t="shared" si="131"/>
        <v>695</v>
      </c>
      <c r="T794" s="76">
        <f>50</f>
        <v>50</v>
      </c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</row>
    <row r="795" spans="1:30" ht="15.75" x14ac:dyDescent="0.25">
      <c r="A795" s="31">
        <v>65135</v>
      </c>
      <c r="B795" s="88">
        <f t="shared" si="132"/>
        <v>30</v>
      </c>
      <c r="C795" s="76">
        <f>141.293</f>
        <v>141.29300000000001</v>
      </c>
      <c r="D795" s="76">
        <f>267.993</f>
        <v>267.99299999999999</v>
      </c>
      <c r="E795" s="85">
        <f>115.016</f>
        <v>115.01600000000001</v>
      </c>
      <c r="F795" s="76">
        <f>314.698-40-25-60-100</f>
        <v>89.697999999999979</v>
      </c>
      <c r="G795" s="79">
        <v>40</v>
      </c>
      <c r="H795" s="76">
        <f t="shared" ref="H795:H801" si="133">25+60+100</f>
        <v>185</v>
      </c>
      <c r="I795" s="76">
        <f t="shared" si="124"/>
        <v>0</v>
      </c>
      <c r="J795" s="79">
        <v>100</v>
      </c>
      <c r="K795" s="79">
        <v>300</v>
      </c>
      <c r="L795" s="76">
        <f t="shared" si="128"/>
        <v>1239</v>
      </c>
      <c r="M795" s="87">
        <v>600</v>
      </c>
      <c r="N795" s="76">
        <f>100</f>
        <v>100</v>
      </c>
      <c r="O795" s="79">
        <v>240</v>
      </c>
      <c r="P795" s="79">
        <v>40</v>
      </c>
      <c r="Q795" s="79">
        <f t="shared" si="129"/>
        <v>315</v>
      </c>
      <c r="R795" s="79">
        <f t="shared" si="130"/>
        <v>100</v>
      </c>
      <c r="S795" s="76">
        <f t="shared" si="131"/>
        <v>695</v>
      </c>
      <c r="T795" s="76">
        <f>50</f>
        <v>50</v>
      </c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</row>
    <row r="796" spans="1:30" ht="15.75" x14ac:dyDescent="0.25">
      <c r="A796" s="31">
        <v>65166</v>
      </c>
      <c r="B796" s="88">
        <f t="shared" si="132"/>
        <v>31</v>
      </c>
      <c r="C796" s="76">
        <f>194.205</f>
        <v>194.20500000000001</v>
      </c>
      <c r="D796" s="76">
        <f>267.466</f>
        <v>267.46600000000001</v>
      </c>
      <c r="E796" s="85">
        <f>133.845</f>
        <v>133.845</v>
      </c>
      <c r="F796" s="76">
        <f>278.484-40-25-60-100</f>
        <v>53.48399999999998</v>
      </c>
      <c r="G796" s="79">
        <v>40</v>
      </c>
      <c r="H796" s="76">
        <f t="shared" si="133"/>
        <v>185</v>
      </c>
      <c r="I796" s="76">
        <f t="shared" si="124"/>
        <v>0</v>
      </c>
      <c r="J796" s="79">
        <v>100</v>
      </c>
      <c r="K796" s="79">
        <v>300</v>
      </c>
      <c r="L796" s="76">
        <f t="shared" si="128"/>
        <v>1274</v>
      </c>
      <c r="M796" s="87">
        <v>600</v>
      </c>
      <c r="N796" s="76">
        <f>75</f>
        <v>75</v>
      </c>
      <c r="O796" s="79">
        <v>240</v>
      </c>
      <c r="P796" s="79">
        <v>40</v>
      </c>
      <c r="Q796" s="79">
        <f t="shared" si="129"/>
        <v>315</v>
      </c>
      <c r="R796" s="79">
        <f t="shared" si="130"/>
        <v>100</v>
      </c>
      <c r="S796" s="76">
        <f t="shared" si="131"/>
        <v>695</v>
      </c>
      <c r="T796" s="76">
        <f>50</f>
        <v>50</v>
      </c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</row>
    <row r="797" spans="1:30" ht="15.75" x14ac:dyDescent="0.25">
      <c r="A797" s="31">
        <v>65196</v>
      </c>
      <c r="B797" s="88">
        <f t="shared" si="132"/>
        <v>30</v>
      </c>
      <c r="C797" s="76">
        <f>194.205</f>
        <v>194.20500000000001</v>
      </c>
      <c r="D797" s="76">
        <f>267.466</f>
        <v>267.46600000000001</v>
      </c>
      <c r="E797" s="85">
        <f>133.845</f>
        <v>133.845</v>
      </c>
      <c r="F797" s="76">
        <f>278.484-40-25-60-100</f>
        <v>53.48399999999998</v>
      </c>
      <c r="G797" s="79">
        <v>40</v>
      </c>
      <c r="H797" s="76">
        <f t="shared" si="133"/>
        <v>185</v>
      </c>
      <c r="I797" s="76">
        <f t="shared" si="124"/>
        <v>0</v>
      </c>
      <c r="J797" s="79">
        <v>100</v>
      </c>
      <c r="K797" s="79">
        <v>300</v>
      </c>
      <c r="L797" s="76">
        <f t="shared" si="128"/>
        <v>1274</v>
      </c>
      <c r="M797" s="87">
        <v>600</v>
      </c>
      <c r="N797" s="76">
        <f>30</f>
        <v>30</v>
      </c>
      <c r="O797" s="79">
        <v>240</v>
      </c>
      <c r="P797" s="79">
        <v>40</v>
      </c>
      <c r="Q797" s="79">
        <f t="shared" si="129"/>
        <v>315</v>
      </c>
      <c r="R797" s="79">
        <f t="shared" si="130"/>
        <v>100</v>
      </c>
      <c r="S797" s="76">
        <f t="shared" si="131"/>
        <v>695</v>
      </c>
      <c r="T797" s="76">
        <f>50</f>
        <v>50</v>
      </c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</row>
    <row r="798" spans="1:30" ht="15.75" x14ac:dyDescent="0.25">
      <c r="A798" s="31">
        <v>65227</v>
      </c>
      <c r="B798" s="88">
        <f t="shared" si="132"/>
        <v>31</v>
      </c>
      <c r="C798" s="76">
        <f>194.205</f>
        <v>194.20500000000001</v>
      </c>
      <c r="D798" s="76">
        <f>267.466</f>
        <v>267.46600000000001</v>
      </c>
      <c r="E798" s="85">
        <f>133.845</f>
        <v>133.845</v>
      </c>
      <c r="F798" s="76">
        <f>278.484-40-25-60-100</f>
        <v>53.48399999999998</v>
      </c>
      <c r="G798" s="79">
        <v>40</v>
      </c>
      <c r="H798" s="76">
        <f t="shared" si="133"/>
        <v>185</v>
      </c>
      <c r="I798" s="76">
        <f t="shared" si="124"/>
        <v>0</v>
      </c>
      <c r="J798" s="79">
        <v>100</v>
      </c>
      <c r="K798" s="79">
        <v>300</v>
      </c>
      <c r="L798" s="76">
        <f t="shared" si="128"/>
        <v>1274</v>
      </c>
      <c r="M798" s="87">
        <v>600</v>
      </c>
      <c r="N798" s="76">
        <f>30</f>
        <v>30</v>
      </c>
      <c r="O798" s="79">
        <v>240</v>
      </c>
      <c r="P798" s="79">
        <v>40</v>
      </c>
      <c r="Q798" s="79">
        <f t="shared" si="129"/>
        <v>315</v>
      </c>
      <c r="R798" s="79">
        <f t="shared" si="130"/>
        <v>100</v>
      </c>
      <c r="S798" s="76">
        <f t="shared" si="131"/>
        <v>695</v>
      </c>
      <c r="T798" s="76">
        <f>0</f>
        <v>0</v>
      </c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</row>
    <row r="799" spans="1:30" ht="15.75" x14ac:dyDescent="0.25">
      <c r="A799" s="31">
        <v>65258</v>
      </c>
      <c r="B799" s="88">
        <f t="shared" si="132"/>
        <v>31</v>
      </c>
      <c r="C799" s="76">
        <f>194.205</f>
        <v>194.20500000000001</v>
      </c>
      <c r="D799" s="76">
        <f>267.466</f>
        <v>267.46600000000001</v>
      </c>
      <c r="E799" s="85">
        <f>133.845</f>
        <v>133.845</v>
      </c>
      <c r="F799" s="76">
        <f>278.484-40-25-60-100</f>
        <v>53.48399999999998</v>
      </c>
      <c r="G799" s="79">
        <v>40</v>
      </c>
      <c r="H799" s="76">
        <f t="shared" si="133"/>
        <v>185</v>
      </c>
      <c r="I799" s="76">
        <f t="shared" si="124"/>
        <v>0</v>
      </c>
      <c r="J799" s="79">
        <v>100</v>
      </c>
      <c r="K799" s="79">
        <v>300</v>
      </c>
      <c r="L799" s="76">
        <f t="shared" si="128"/>
        <v>1274</v>
      </c>
      <c r="M799" s="87">
        <v>600</v>
      </c>
      <c r="N799" s="76">
        <f>30</f>
        <v>30</v>
      </c>
      <c r="O799" s="79">
        <v>240</v>
      </c>
      <c r="P799" s="79">
        <v>40</v>
      </c>
      <c r="Q799" s="79">
        <f t="shared" si="129"/>
        <v>315</v>
      </c>
      <c r="R799" s="79">
        <f t="shared" si="130"/>
        <v>100</v>
      </c>
      <c r="S799" s="76">
        <f t="shared" si="131"/>
        <v>695</v>
      </c>
      <c r="T799" s="76">
        <f>0</f>
        <v>0</v>
      </c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</row>
    <row r="800" spans="1:30" ht="15.75" x14ac:dyDescent="0.25">
      <c r="A800" s="31">
        <v>65288</v>
      </c>
      <c r="B800" s="88">
        <f t="shared" si="132"/>
        <v>30</v>
      </c>
      <c r="C800" s="76">
        <f>194.205</f>
        <v>194.20500000000001</v>
      </c>
      <c r="D800" s="76">
        <f>267.466</f>
        <v>267.46600000000001</v>
      </c>
      <c r="E800" s="85">
        <f>133.845</f>
        <v>133.845</v>
      </c>
      <c r="F800" s="76">
        <f>278.484-40-25-60-100</f>
        <v>53.48399999999998</v>
      </c>
      <c r="G800" s="79">
        <v>40</v>
      </c>
      <c r="H800" s="76">
        <f t="shared" si="133"/>
        <v>185</v>
      </c>
      <c r="I800" s="76">
        <f t="shared" si="124"/>
        <v>0</v>
      </c>
      <c r="J800" s="79">
        <v>100</v>
      </c>
      <c r="K800" s="79">
        <v>300</v>
      </c>
      <c r="L800" s="76">
        <f t="shared" si="128"/>
        <v>1274</v>
      </c>
      <c r="M800" s="87">
        <v>600</v>
      </c>
      <c r="N800" s="76">
        <f>30</f>
        <v>30</v>
      </c>
      <c r="O800" s="79">
        <v>240</v>
      </c>
      <c r="P800" s="79">
        <v>40</v>
      </c>
      <c r="Q800" s="79">
        <f t="shared" si="129"/>
        <v>315</v>
      </c>
      <c r="R800" s="79">
        <f t="shared" si="130"/>
        <v>100</v>
      </c>
      <c r="S800" s="76">
        <f t="shared" si="131"/>
        <v>695</v>
      </c>
      <c r="T800" s="76">
        <f>0</f>
        <v>0</v>
      </c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</row>
    <row r="801" spans="1:30" ht="15.75" x14ac:dyDescent="0.25">
      <c r="A801" s="31">
        <v>65319</v>
      </c>
      <c r="B801" s="88">
        <f t="shared" si="132"/>
        <v>31</v>
      </c>
      <c r="C801" s="76">
        <f>131.881</f>
        <v>131.881</v>
      </c>
      <c r="D801" s="76">
        <f>277.167</f>
        <v>277.16699999999997</v>
      </c>
      <c r="E801" s="85">
        <f>79.08</f>
        <v>79.08</v>
      </c>
      <c r="F801" s="76">
        <f>350.872-40-25-60-100</f>
        <v>125.87200000000001</v>
      </c>
      <c r="G801" s="79">
        <v>40</v>
      </c>
      <c r="H801" s="76">
        <f t="shared" si="133"/>
        <v>185</v>
      </c>
      <c r="I801" s="76">
        <f t="shared" si="124"/>
        <v>0</v>
      </c>
      <c r="J801" s="79">
        <v>100</v>
      </c>
      <c r="K801" s="79">
        <v>300</v>
      </c>
      <c r="L801" s="76">
        <f t="shared" si="128"/>
        <v>1239</v>
      </c>
      <c r="M801" s="87">
        <v>600</v>
      </c>
      <c r="N801" s="76">
        <f>75</f>
        <v>75</v>
      </c>
      <c r="O801" s="79">
        <v>240</v>
      </c>
      <c r="P801" s="79">
        <v>40</v>
      </c>
      <c r="Q801" s="79">
        <f t="shared" si="129"/>
        <v>315</v>
      </c>
      <c r="R801" s="79">
        <f t="shared" si="130"/>
        <v>100</v>
      </c>
      <c r="S801" s="76">
        <f t="shared" si="131"/>
        <v>695</v>
      </c>
      <c r="T801" s="76">
        <f>0</f>
        <v>0</v>
      </c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</row>
    <row r="802" spans="1:30" ht="15.75" x14ac:dyDescent="0.25">
      <c r="A802" s="31">
        <v>65349</v>
      </c>
      <c r="B802" s="88">
        <f t="shared" si="132"/>
        <v>30</v>
      </c>
      <c r="C802" s="76">
        <f>122.58</f>
        <v>122.58</v>
      </c>
      <c r="D802" s="76">
        <f>297.941</f>
        <v>297.94099999999997</v>
      </c>
      <c r="E802" s="85">
        <f>89.177</f>
        <v>89.177000000000007</v>
      </c>
      <c r="F802" s="76">
        <f>240.302-40-60-100</f>
        <v>40.301999999999992</v>
      </c>
      <c r="G802" s="79">
        <v>40</v>
      </c>
      <c r="H802" s="76">
        <f>60+100</f>
        <v>160</v>
      </c>
      <c r="I802" s="76">
        <f t="shared" si="124"/>
        <v>0</v>
      </c>
      <c r="J802" s="79">
        <v>100</v>
      </c>
      <c r="K802" s="79">
        <v>300</v>
      </c>
      <c r="L802" s="76">
        <f t="shared" si="128"/>
        <v>1150</v>
      </c>
      <c r="M802" s="87">
        <v>600</v>
      </c>
      <c r="N802" s="76">
        <f>100</f>
        <v>100</v>
      </c>
      <c r="O802" s="79">
        <v>240</v>
      </c>
      <c r="P802" s="79">
        <v>40</v>
      </c>
      <c r="Q802" s="79">
        <f t="shared" si="129"/>
        <v>315</v>
      </c>
      <c r="R802" s="79">
        <f t="shared" si="130"/>
        <v>100</v>
      </c>
      <c r="S802" s="76">
        <f t="shared" si="131"/>
        <v>695</v>
      </c>
      <c r="T802" s="76">
        <f>50</f>
        <v>50</v>
      </c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</row>
    <row r="803" spans="1:30" ht="15.75" x14ac:dyDescent="0.25">
      <c r="A803" s="31">
        <v>65380</v>
      </c>
      <c r="B803" s="88">
        <f t="shared" si="132"/>
        <v>31</v>
      </c>
      <c r="C803" s="76">
        <f>122.58</f>
        <v>122.58</v>
      </c>
      <c r="D803" s="76">
        <f>297.941</f>
        <v>297.94099999999997</v>
      </c>
      <c r="E803" s="85">
        <f>89.177</f>
        <v>89.177000000000007</v>
      </c>
      <c r="F803" s="76">
        <f>240.302-40-60-100</f>
        <v>40.301999999999992</v>
      </c>
      <c r="G803" s="79">
        <v>40</v>
      </c>
      <c r="H803" s="76">
        <f>60+100</f>
        <v>160</v>
      </c>
      <c r="I803" s="76">
        <f t="shared" si="124"/>
        <v>0</v>
      </c>
      <c r="J803" s="79">
        <v>100</v>
      </c>
      <c r="K803" s="79">
        <v>300</v>
      </c>
      <c r="L803" s="76">
        <f t="shared" si="128"/>
        <v>1150</v>
      </c>
      <c r="M803" s="87">
        <v>600</v>
      </c>
      <c r="N803" s="76">
        <f>100</f>
        <v>100</v>
      </c>
      <c r="O803" s="79">
        <v>240</v>
      </c>
      <c r="P803" s="79">
        <v>40</v>
      </c>
      <c r="Q803" s="79">
        <f t="shared" si="129"/>
        <v>315</v>
      </c>
      <c r="R803" s="79">
        <f t="shared" si="130"/>
        <v>100</v>
      </c>
      <c r="S803" s="76">
        <f t="shared" si="131"/>
        <v>695</v>
      </c>
      <c r="T803" s="76">
        <f>50</f>
        <v>50</v>
      </c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</row>
    <row r="804" spans="1:30" ht="15.75" x14ac:dyDescent="0.25">
      <c r="A804" s="31">
        <v>65411</v>
      </c>
      <c r="B804" s="88">
        <f t="shared" si="132"/>
        <v>31</v>
      </c>
      <c r="C804" s="76">
        <f>122.58</f>
        <v>122.58</v>
      </c>
      <c r="D804" s="76">
        <f>297.941</f>
        <v>297.94099999999997</v>
      </c>
      <c r="E804" s="85">
        <f>89.177</f>
        <v>89.177000000000007</v>
      </c>
      <c r="F804" s="76">
        <f>240.302-40-60-100</f>
        <v>40.301999999999992</v>
      </c>
      <c r="G804" s="79">
        <v>40</v>
      </c>
      <c r="H804" s="76">
        <f>60+100</f>
        <v>160</v>
      </c>
      <c r="I804" s="76">
        <f t="shared" si="124"/>
        <v>0</v>
      </c>
      <c r="J804" s="79">
        <v>100</v>
      </c>
      <c r="K804" s="79">
        <v>300</v>
      </c>
      <c r="L804" s="76">
        <f t="shared" si="128"/>
        <v>1150</v>
      </c>
      <c r="M804" s="87">
        <v>600</v>
      </c>
      <c r="N804" s="76">
        <f>100</f>
        <v>100</v>
      </c>
      <c r="O804" s="79">
        <v>240</v>
      </c>
      <c r="P804" s="79">
        <v>40</v>
      </c>
      <c r="Q804" s="79">
        <f t="shared" si="129"/>
        <v>315</v>
      </c>
      <c r="R804" s="79">
        <f t="shared" si="130"/>
        <v>100</v>
      </c>
      <c r="S804" s="76">
        <f t="shared" si="131"/>
        <v>695</v>
      </c>
      <c r="T804" s="76">
        <f>50</f>
        <v>50</v>
      </c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</row>
    <row r="805" spans="1:30" ht="15.75" x14ac:dyDescent="0.25">
      <c r="A805" s="31">
        <v>65439</v>
      </c>
      <c r="B805" s="88">
        <f t="shared" si="132"/>
        <v>28</v>
      </c>
      <c r="C805" s="76">
        <f>122.58</f>
        <v>122.58</v>
      </c>
      <c r="D805" s="76">
        <f>297.941</f>
        <v>297.94099999999997</v>
      </c>
      <c r="E805" s="85">
        <f>89.177</f>
        <v>89.177000000000007</v>
      </c>
      <c r="F805" s="76">
        <f>240.302-40-60-100</f>
        <v>40.301999999999992</v>
      </c>
      <c r="G805" s="79">
        <v>40</v>
      </c>
      <c r="H805" s="76">
        <f>60+100</f>
        <v>160</v>
      </c>
      <c r="I805" s="76">
        <f t="shared" si="124"/>
        <v>0</v>
      </c>
      <c r="J805" s="79">
        <v>100</v>
      </c>
      <c r="K805" s="79">
        <v>300</v>
      </c>
      <c r="L805" s="76">
        <f t="shared" si="128"/>
        <v>1150</v>
      </c>
      <c r="M805" s="87">
        <v>600</v>
      </c>
      <c r="N805" s="76">
        <f>100</f>
        <v>100</v>
      </c>
      <c r="O805" s="79">
        <v>240</v>
      </c>
      <c r="P805" s="79">
        <v>40</v>
      </c>
      <c r="Q805" s="79">
        <f t="shared" si="129"/>
        <v>315</v>
      </c>
      <c r="R805" s="79">
        <f t="shared" si="130"/>
        <v>100</v>
      </c>
      <c r="S805" s="76">
        <f t="shared" si="131"/>
        <v>695</v>
      </c>
      <c r="T805" s="76">
        <f>50</f>
        <v>50</v>
      </c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</row>
    <row r="806" spans="1:30" ht="15.75" x14ac:dyDescent="0.25">
      <c r="A806" s="31">
        <v>65470</v>
      </c>
      <c r="B806" s="88">
        <f t="shared" si="132"/>
        <v>31</v>
      </c>
      <c r="C806" s="76">
        <f>122.58</f>
        <v>122.58</v>
      </c>
      <c r="D806" s="76">
        <f>297.941</f>
        <v>297.94099999999997</v>
      </c>
      <c r="E806" s="85">
        <f>89.177</f>
        <v>89.177000000000007</v>
      </c>
      <c r="F806" s="76">
        <f>240.302-40-60-100</f>
        <v>40.301999999999992</v>
      </c>
      <c r="G806" s="79">
        <v>40</v>
      </c>
      <c r="H806" s="76">
        <f>60+100</f>
        <v>160</v>
      </c>
      <c r="I806" s="76">
        <f t="shared" si="124"/>
        <v>0</v>
      </c>
      <c r="J806" s="79">
        <v>100</v>
      </c>
      <c r="K806" s="79">
        <v>300</v>
      </c>
      <c r="L806" s="76">
        <f t="shared" si="128"/>
        <v>1150</v>
      </c>
      <c r="M806" s="87">
        <v>600</v>
      </c>
      <c r="N806" s="76">
        <f>100</f>
        <v>100</v>
      </c>
      <c r="O806" s="79">
        <v>240</v>
      </c>
      <c r="P806" s="79">
        <v>40</v>
      </c>
      <c r="Q806" s="79">
        <f t="shared" si="129"/>
        <v>315</v>
      </c>
      <c r="R806" s="79">
        <f t="shared" si="130"/>
        <v>100</v>
      </c>
      <c r="S806" s="76">
        <f t="shared" si="131"/>
        <v>695</v>
      </c>
      <c r="T806" s="76">
        <f>50</f>
        <v>50</v>
      </c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</row>
    <row r="807" spans="1:30" ht="15.75" x14ac:dyDescent="0.25">
      <c r="A807" s="31">
        <v>65500</v>
      </c>
      <c r="B807" s="88">
        <f t="shared" si="132"/>
        <v>30</v>
      </c>
      <c r="C807" s="76">
        <f>141.293</f>
        <v>141.29300000000001</v>
      </c>
      <c r="D807" s="76">
        <f>267.993</f>
        <v>267.99299999999999</v>
      </c>
      <c r="E807" s="85">
        <f>115.016</f>
        <v>115.01600000000001</v>
      </c>
      <c r="F807" s="76">
        <f>314.698-40-25-60-100</f>
        <v>89.697999999999979</v>
      </c>
      <c r="G807" s="79">
        <v>40</v>
      </c>
      <c r="H807" s="76">
        <f t="shared" ref="H807:H813" si="134">25+60+100</f>
        <v>185</v>
      </c>
      <c r="I807" s="76">
        <f t="shared" si="124"/>
        <v>0</v>
      </c>
      <c r="J807" s="79">
        <v>100</v>
      </c>
      <c r="K807" s="79">
        <v>300</v>
      </c>
      <c r="L807" s="76">
        <f t="shared" si="128"/>
        <v>1239</v>
      </c>
      <c r="M807" s="87">
        <v>600</v>
      </c>
      <c r="N807" s="76">
        <f>100</f>
        <v>100</v>
      </c>
      <c r="O807" s="79">
        <v>240</v>
      </c>
      <c r="P807" s="79">
        <v>40</v>
      </c>
      <c r="Q807" s="79">
        <f t="shared" si="129"/>
        <v>315</v>
      </c>
      <c r="R807" s="79">
        <f t="shared" si="130"/>
        <v>100</v>
      </c>
      <c r="S807" s="76">
        <f t="shared" si="131"/>
        <v>695</v>
      </c>
      <c r="T807" s="76">
        <f>50</f>
        <v>50</v>
      </c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</row>
    <row r="808" spans="1:30" ht="15.75" x14ac:dyDescent="0.25">
      <c r="A808" s="31">
        <v>65531</v>
      </c>
      <c r="B808" s="88">
        <f t="shared" si="132"/>
        <v>31</v>
      </c>
      <c r="C808" s="76">
        <f>194.205</f>
        <v>194.20500000000001</v>
      </c>
      <c r="D808" s="76">
        <f>267.466</f>
        <v>267.46600000000001</v>
      </c>
      <c r="E808" s="85">
        <f>133.845</f>
        <v>133.845</v>
      </c>
      <c r="F808" s="76">
        <f>278.484-40-25-60-100</f>
        <v>53.48399999999998</v>
      </c>
      <c r="G808" s="79">
        <v>40</v>
      </c>
      <c r="H808" s="76">
        <f t="shared" si="134"/>
        <v>185</v>
      </c>
      <c r="I808" s="76">
        <f t="shared" si="124"/>
        <v>0</v>
      </c>
      <c r="J808" s="79">
        <v>100</v>
      </c>
      <c r="K808" s="79">
        <v>300</v>
      </c>
      <c r="L808" s="76">
        <f t="shared" si="128"/>
        <v>1274</v>
      </c>
      <c r="M808" s="87">
        <v>600</v>
      </c>
      <c r="N808" s="76">
        <f>75</f>
        <v>75</v>
      </c>
      <c r="O808" s="79">
        <v>240</v>
      </c>
      <c r="P808" s="79">
        <v>40</v>
      </c>
      <c r="Q808" s="79">
        <f t="shared" si="129"/>
        <v>315</v>
      </c>
      <c r="R808" s="79">
        <f t="shared" si="130"/>
        <v>100</v>
      </c>
      <c r="S808" s="76">
        <f t="shared" si="131"/>
        <v>695</v>
      </c>
      <c r="T808" s="76">
        <f>50</f>
        <v>50</v>
      </c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</row>
    <row r="809" spans="1:30" ht="15.75" x14ac:dyDescent="0.25">
      <c r="A809" s="31">
        <v>65561</v>
      </c>
      <c r="B809" s="88">
        <f t="shared" si="132"/>
        <v>30</v>
      </c>
      <c r="C809" s="76">
        <f>194.205</f>
        <v>194.20500000000001</v>
      </c>
      <c r="D809" s="76">
        <f>267.466</f>
        <v>267.46600000000001</v>
      </c>
      <c r="E809" s="85">
        <f>133.845</f>
        <v>133.845</v>
      </c>
      <c r="F809" s="76">
        <f>278.484-40-25-60-100</f>
        <v>53.48399999999998</v>
      </c>
      <c r="G809" s="79">
        <v>40</v>
      </c>
      <c r="H809" s="76">
        <f t="shared" si="134"/>
        <v>185</v>
      </c>
      <c r="I809" s="76">
        <f t="shared" si="124"/>
        <v>0</v>
      </c>
      <c r="J809" s="79">
        <v>100</v>
      </c>
      <c r="K809" s="79">
        <v>300</v>
      </c>
      <c r="L809" s="76">
        <f t="shared" si="128"/>
        <v>1274</v>
      </c>
      <c r="M809" s="87">
        <v>600</v>
      </c>
      <c r="N809" s="76">
        <f>30</f>
        <v>30</v>
      </c>
      <c r="O809" s="79">
        <v>240</v>
      </c>
      <c r="P809" s="79">
        <v>40</v>
      </c>
      <c r="Q809" s="79">
        <f t="shared" si="129"/>
        <v>315</v>
      </c>
      <c r="R809" s="79">
        <f t="shared" si="130"/>
        <v>100</v>
      </c>
      <c r="S809" s="76">
        <f t="shared" si="131"/>
        <v>695</v>
      </c>
      <c r="T809" s="76">
        <f>50</f>
        <v>50</v>
      </c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</row>
    <row r="810" spans="1:30" ht="15.75" x14ac:dyDescent="0.25">
      <c r="A810" s="31">
        <v>65592</v>
      </c>
      <c r="B810" s="88">
        <f t="shared" si="132"/>
        <v>31</v>
      </c>
      <c r="C810" s="76">
        <f>194.205</f>
        <v>194.20500000000001</v>
      </c>
      <c r="D810" s="76">
        <f>267.466</f>
        <v>267.46600000000001</v>
      </c>
      <c r="E810" s="85">
        <f>133.845</f>
        <v>133.845</v>
      </c>
      <c r="F810" s="76">
        <f>278.484-40-25-60-100</f>
        <v>53.48399999999998</v>
      </c>
      <c r="G810" s="79">
        <v>40</v>
      </c>
      <c r="H810" s="76">
        <f t="shared" si="134"/>
        <v>185</v>
      </c>
      <c r="I810" s="76">
        <f t="shared" si="124"/>
        <v>0</v>
      </c>
      <c r="J810" s="79">
        <v>100</v>
      </c>
      <c r="K810" s="79">
        <v>300</v>
      </c>
      <c r="L810" s="76">
        <f t="shared" si="128"/>
        <v>1274</v>
      </c>
      <c r="M810" s="87">
        <v>600</v>
      </c>
      <c r="N810" s="76">
        <f>30</f>
        <v>30</v>
      </c>
      <c r="O810" s="79">
        <v>240</v>
      </c>
      <c r="P810" s="79">
        <v>40</v>
      </c>
      <c r="Q810" s="79">
        <f t="shared" si="129"/>
        <v>315</v>
      </c>
      <c r="R810" s="79">
        <f t="shared" si="130"/>
        <v>100</v>
      </c>
      <c r="S810" s="76">
        <f t="shared" si="131"/>
        <v>695</v>
      </c>
      <c r="T810" s="76">
        <f>0</f>
        <v>0</v>
      </c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</row>
    <row r="811" spans="1:30" ht="15.75" x14ac:dyDescent="0.25">
      <c r="A811" s="31">
        <v>65623</v>
      </c>
      <c r="B811" s="88">
        <f t="shared" si="132"/>
        <v>31</v>
      </c>
      <c r="C811" s="76">
        <f>194.205</f>
        <v>194.20500000000001</v>
      </c>
      <c r="D811" s="76">
        <f>267.466</f>
        <v>267.46600000000001</v>
      </c>
      <c r="E811" s="85">
        <f>133.845</f>
        <v>133.845</v>
      </c>
      <c r="F811" s="76">
        <f>278.484-40-25-60-100</f>
        <v>53.48399999999998</v>
      </c>
      <c r="G811" s="79">
        <v>40</v>
      </c>
      <c r="H811" s="76">
        <f t="shared" si="134"/>
        <v>185</v>
      </c>
      <c r="I811" s="76">
        <f t="shared" si="124"/>
        <v>0</v>
      </c>
      <c r="J811" s="79">
        <v>100</v>
      </c>
      <c r="K811" s="79">
        <v>300</v>
      </c>
      <c r="L811" s="76">
        <f t="shared" si="128"/>
        <v>1274</v>
      </c>
      <c r="M811" s="87">
        <v>600</v>
      </c>
      <c r="N811" s="76">
        <f>30</f>
        <v>30</v>
      </c>
      <c r="O811" s="79">
        <v>240</v>
      </c>
      <c r="P811" s="79">
        <v>40</v>
      </c>
      <c r="Q811" s="79">
        <f t="shared" si="129"/>
        <v>315</v>
      </c>
      <c r="R811" s="79">
        <f t="shared" si="130"/>
        <v>100</v>
      </c>
      <c r="S811" s="76">
        <f t="shared" si="131"/>
        <v>695</v>
      </c>
      <c r="T811" s="76">
        <f>0</f>
        <v>0</v>
      </c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</row>
    <row r="812" spans="1:30" ht="15.75" x14ac:dyDescent="0.25">
      <c r="A812" s="31">
        <v>65653</v>
      </c>
      <c r="B812" s="88">
        <f t="shared" si="132"/>
        <v>30</v>
      </c>
      <c r="C812" s="76">
        <f>194.205</f>
        <v>194.20500000000001</v>
      </c>
      <c r="D812" s="76">
        <f>267.466</f>
        <v>267.46600000000001</v>
      </c>
      <c r="E812" s="85">
        <f>133.845</f>
        <v>133.845</v>
      </c>
      <c r="F812" s="76">
        <f>278.484-40-25-60-100</f>
        <v>53.48399999999998</v>
      </c>
      <c r="G812" s="79">
        <v>40</v>
      </c>
      <c r="H812" s="76">
        <f t="shared" si="134"/>
        <v>185</v>
      </c>
      <c r="I812" s="76">
        <f t="shared" si="124"/>
        <v>0</v>
      </c>
      <c r="J812" s="79">
        <v>100</v>
      </c>
      <c r="K812" s="79">
        <v>300</v>
      </c>
      <c r="L812" s="76">
        <f t="shared" si="128"/>
        <v>1274</v>
      </c>
      <c r="M812" s="87">
        <v>600</v>
      </c>
      <c r="N812" s="76">
        <f>30</f>
        <v>30</v>
      </c>
      <c r="O812" s="79">
        <v>240</v>
      </c>
      <c r="P812" s="79">
        <v>40</v>
      </c>
      <c r="Q812" s="79">
        <f t="shared" si="129"/>
        <v>315</v>
      </c>
      <c r="R812" s="79">
        <f t="shared" si="130"/>
        <v>100</v>
      </c>
      <c r="S812" s="76">
        <f t="shared" si="131"/>
        <v>695</v>
      </c>
      <c r="T812" s="76">
        <f>0</f>
        <v>0</v>
      </c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</row>
    <row r="813" spans="1:30" ht="15.75" x14ac:dyDescent="0.25">
      <c r="A813" s="31">
        <v>65684</v>
      </c>
      <c r="B813" s="88">
        <f t="shared" si="132"/>
        <v>31</v>
      </c>
      <c r="C813" s="76">
        <f>131.881</f>
        <v>131.881</v>
      </c>
      <c r="D813" s="76">
        <f>277.167</f>
        <v>277.16699999999997</v>
      </c>
      <c r="E813" s="85">
        <f>79.08</f>
        <v>79.08</v>
      </c>
      <c r="F813" s="76">
        <f>350.872-40-25-60-100</f>
        <v>125.87200000000001</v>
      </c>
      <c r="G813" s="79">
        <v>40</v>
      </c>
      <c r="H813" s="76">
        <f t="shared" si="134"/>
        <v>185</v>
      </c>
      <c r="I813" s="76">
        <f t="shared" si="124"/>
        <v>0</v>
      </c>
      <c r="J813" s="79">
        <v>100</v>
      </c>
      <c r="K813" s="79">
        <v>300</v>
      </c>
      <c r="L813" s="76">
        <f t="shared" si="128"/>
        <v>1239</v>
      </c>
      <c r="M813" s="87">
        <v>600</v>
      </c>
      <c r="N813" s="76">
        <f>75</f>
        <v>75</v>
      </c>
      <c r="O813" s="79">
        <v>240</v>
      </c>
      <c r="P813" s="79">
        <v>40</v>
      </c>
      <c r="Q813" s="79">
        <f t="shared" si="129"/>
        <v>315</v>
      </c>
      <c r="R813" s="79">
        <f t="shared" si="130"/>
        <v>100</v>
      </c>
      <c r="S813" s="76">
        <f t="shared" si="131"/>
        <v>695</v>
      </c>
      <c r="T813" s="76">
        <f>0</f>
        <v>0</v>
      </c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</row>
    <row r="814" spans="1:30" ht="15.75" x14ac:dyDescent="0.25">
      <c r="A814" s="31">
        <v>65714</v>
      </c>
      <c r="B814" s="88">
        <f t="shared" si="132"/>
        <v>30</v>
      </c>
      <c r="C814" s="76">
        <f>122.58</f>
        <v>122.58</v>
      </c>
      <c r="D814" s="76">
        <f>297.941</f>
        <v>297.94099999999997</v>
      </c>
      <c r="E814" s="85">
        <f>89.177</f>
        <v>89.177000000000007</v>
      </c>
      <c r="F814" s="76">
        <f>240.302-40-60-100</f>
        <v>40.301999999999992</v>
      </c>
      <c r="G814" s="79">
        <v>40</v>
      </c>
      <c r="H814" s="76">
        <f>60+100</f>
        <v>160</v>
      </c>
      <c r="I814" s="76">
        <f t="shared" si="124"/>
        <v>0</v>
      </c>
      <c r="J814" s="79">
        <v>100</v>
      </c>
      <c r="K814" s="79">
        <v>300</v>
      </c>
      <c r="L814" s="76">
        <f t="shared" si="128"/>
        <v>1150</v>
      </c>
      <c r="M814" s="87">
        <v>600</v>
      </c>
      <c r="N814" s="76">
        <f>100</f>
        <v>100</v>
      </c>
      <c r="O814" s="79">
        <v>240</v>
      </c>
      <c r="P814" s="79">
        <v>40</v>
      </c>
      <c r="Q814" s="79">
        <f t="shared" si="129"/>
        <v>315</v>
      </c>
      <c r="R814" s="79">
        <f t="shared" si="130"/>
        <v>100</v>
      </c>
      <c r="S814" s="76">
        <f t="shared" si="131"/>
        <v>695</v>
      </c>
      <c r="T814" s="76">
        <f>50</f>
        <v>50</v>
      </c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</row>
    <row r="815" spans="1:30" ht="15.75" x14ac:dyDescent="0.25">
      <c r="A815" s="31">
        <v>65745</v>
      </c>
      <c r="B815" s="88">
        <f t="shared" si="132"/>
        <v>31</v>
      </c>
      <c r="C815" s="76">
        <f>122.58</f>
        <v>122.58</v>
      </c>
      <c r="D815" s="76">
        <f>297.941</f>
        <v>297.94099999999997</v>
      </c>
      <c r="E815" s="85">
        <f>89.177</f>
        <v>89.177000000000007</v>
      </c>
      <c r="F815" s="76">
        <f>240.302-40-60-100</f>
        <v>40.301999999999992</v>
      </c>
      <c r="G815" s="79">
        <v>40</v>
      </c>
      <c r="H815" s="76">
        <f>60+100</f>
        <v>160</v>
      </c>
      <c r="I815" s="76">
        <f t="shared" si="124"/>
        <v>0</v>
      </c>
      <c r="J815" s="79">
        <v>100</v>
      </c>
      <c r="K815" s="79">
        <v>300</v>
      </c>
      <c r="L815" s="76">
        <f t="shared" si="128"/>
        <v>1150</v>
      </c>
      <c r="M815" s="87">
        <v>600</v>
      </c>
      <c r="N815" s="76">
        <f>100</f>
        <v>100</v>
      </c>
      <c r="O815" s="79">
        <v>240</v>
      </c>
      <c r="P815" s="79">
        <v>40</v>
      </c>
      <c r="Q815" s="79">
        <f t="shared" si="129"/>
        <v>315</v>
      </c>
      <c r="R815" s="79">
        <f t="shared" si="130"/>
        <v>100</v>
      </c>
      <c r="S815" s="76">
        <f t="shared" si="131"/>
        <v>695</v>
      </c>
      <c r="T815" s="76">
        <f>50</f>
        <v>50</v>
      </c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</row>
    <row r="816" spans="1:30" ht="15.75" x14ac:dyDescent="0.25">
      <c r="A816" s="31">
        <v>65776</v>
      </c>
      <c r="B816" s="88">
        <f t="shared" si="132"/>
        <v>31</v>
      </c>
      <c r="C816" s="76">
        <f>122.58</f>
        <v>122.58</v>
      </c>
      <c r="D816" s="76">
        <f>297.941</f>
        <v>297.94099999999997</v>
      </c>
      <c r="E816" s="85">
        <f>89.177</f>
        <v>89.177000000000007</v>
      </c>
      <c r="F816" s="76">
        <f>240.302-40-60-100</f>
        <v>40.301999999999992</v>
      </c>
      <c r="G816" s="79">
        <v>40</v>
      </c>
      <c r="H816" s="76">
        <f>60+100</f>
        <v>160</v>
      </c>
      <c r="I816" s="76">
        <f t="shared" si="124"/>
        <v>0</v>
      </c>
      <c r="J816" s="79">
        <v>100</v>
      </c>
      <c r="K816" s="79">
        <v>300</v>
      </c>
      <c r="L816" s="76">
        <f t="shared" si="128"/>
        <v>1150</v>
      </c>
      <c r="M816" s="87">
        <v>600</v>
      </c>
      <c r="N816" s="76">
        <f>100</f>
        <v>100</v>
      </c>
      <c r="O816" s="79">
        <v>240</v>
      </c>
      <c r="P816" s="79">
        <v>40</v>
      </c>
      <c r="Q816" s="79">
        <f t="shared" si="129"/>
        <v>315</v>
      </c>
      <c r="R816" s="79">
        <f t="shared" si="130"/>
        <v>100</v>
      </c>
      <c r="S816" s="76">
        <f t="shared" si="131"/>
        <v>695</v>
      </c>
      <c r="T816" s="76">
        <f>50</f>
        <v>50</v>
      </c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</row>
    <row r="817" spans="1:30" ht="15.75" x14ac:dyDescent="0.25">
      <c r="A817" s="31">
        <v>65805</v>
      </c>
      <c r="B817" s="88">
        <f t="shared" si="132"/>
        <v>29</v>
      </c>
      <c r="C817" s="76">
        <f>122.58</f>
        <v>122.58</v>
      </c>
      <c r="D817" s="76">
        <f>297.941</f>
        <v>297.94099999999997</v>
      </c>
      <c r="E817" s="85">
        <f>89.177</f>
        <v>89.177000000000007</v>
      </c>
      <c r="F817" s="76">
        <f>240.302-40-60-100</f>
        <v>40.301999999999992</v>
      </c>
      <c r="G817" s="79">
        <v>40</v>
      </c>
      <c r="H817" s="76">
        <f>60+100</f>
        <v>160</v>
      </c>
      <c r="I817" s="76">
        <f t="shared" si="124"/>
        <v>0</v>
      </c>
      <c r="J817" s="79">
        <v>100</v>
      </c>
      <c r="K817" s="79">
        <v>300</v>
      </c>
      <c r="L817" s="76">
        <f t="shared" si="128"/>
        <v>1150</v>
      </c>
      <c r="M817" s="87">
        <v>600</v>
      </c>
      <c r="N817" s="76">
        <f>100</f>
        <v>100</v>
      </c>
      <c r="O817" s="79">
        <v>240</v>
      </c>
      <c r="P817" s="79">
        <v>40</v>
      </c>
      <c r="Q817" s="79">
        <f t="shared" si="129"/>
        <v>315</v>
      </c>
      <c r="R817" s="79">
        <f t="shared" si="130"/>
        <v>100</v>
      </c>
      <c r="S817" s="76">
        <f t="shared" si="131"/>
        <v>695</v>
      </c>
      <c r="T817" s="76">
        <f>50</f>
        <v>50</v>
      </c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</row>
    <row r="818" spans="1:30" ht="15.75" x14ac:dyDescent="0.25">
      <c r="A818" s="31">
        <v>65836</v>
      </c>
      <c r="B818" s="88">
        <f t="shared" si="132"/>
        <v>31</v>
      </c>
      <c r="C818" s="76">
        <f>122.58</f>
        <v>122.58</v>
      </c>
      <c r="D818" s="76">
        <f>297.941</f>
        <v>297.94099999999997</v>
      </c>
      <c r="E818" s="85">
        <f>89.177</f>
        <v>89.177000000000007</v>
      </c>
      <c r="F818" s="76">
        <f>240.302-40-60-100</f>
        <v>40.301999999999992</v>
      </c>
      <c r="G818" s="79">
        <v>40</v>
      </c>
      <c r="H818" s="76">
        <f>60+100</f>
        <v>160</v>
      </c>
      <c r="I818" s="76">
        <f t="shared" si="124"/>
        <v>0</v>
      </c>
      <c r="J818" s="79">
        <v>100</v>
      </c>
      <c r="K818" s="79">
        <v>300</v>
      </c>
      <c r="L818" s="76">
        <f t="shared" si="128"/>
        <v>1150</v>
      </c>
      <c r="M818" s="87">
        <v>600</v>
      </c>
      <c r="N818" s="76">
        <f>100</f>
        <v>100</v>
      </c>
      <c r="O818" s="79">
        <v>240</v>
      </c>
      <c r="P818" s="79">
        <v>40</v>
      </c>
      <c r="Q818" s="79">
        <f t="shared" si="129"/>
        <v>315</v>
      </c>
      <c r="R818" s="79">
        <f t="shared" si="130"/>
        <v>100</v>
      </c>
      <c r="S818" s="76">
        <f t="shared" si="131"/>
        <v>695</v>
      </c>
      <c r="T818" s="76">
        <f>50</f>
        <v>50</v>
      </c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</row>
    <row r="819" spans="1:30" ht="15.75" x14ac:dyDescent="0.25">
      <c r="A819" s="31">
        <v>65866</v>
      </c>
      <c r="B819" s="88">
        <f t="shared" si="132"/>
        <v>30</v>
      </c>
      <c r="C819" s="76">
        <f>141.293</f>
        <v>141.29300000000001</v>
      </c>
      <c r="D819" s="76">
        <f>267.993</f>
        <v>267.99299999999999</v>
      </c>
      <c r="E819" s="85">
        <f>115.016</f>
        <v>115.01600000000001</v>
      </c>
      <c r="F819" s="76">
        <f>314.698-40-25-60-100</f>
        <v>89.697999999999979</v>
      </c>
      <c r="G819" s="79">
        <v>40</v>
      </c>
      <c r="H819" s="76">
        <f t="shared" ref="H819:H825" si="135">25+60+100</f>
        <v>185</v>
      </c>
      <c r="I819" s="76">
        <f t="shared" si="124"/>
        <v>0</v>
      </c>
      <c r="J819" s="79">
        <v>100</v>
      </c>
      <c r="K819" s="79">
        <v>300</v>
      </c>
      <c r="L819" s="76">
        <f t="shared" si="128"/>
        <v>1239</v>
      </c>
      <c r="M819" s="87">
        <v>600</v>
      </c>
      <c r="N819" s="76">
        <f>100</f>
        <v>100</v>
      </c>
      <c r="O819" s="79">
        <v>240</v>
      </c>
      <c r="P819" s="79">
        <v>40</v>
      </c>
      <c r="Q819" s="79">
        <f t="shared" si="129"/>
        <v>315</v>
      </c>
      <c r="R819" s="79">
        <f t="shared" si="130"/>
        <v>100</v>
      </c>
      <c r="S819" s="76">
        <f t="shared" si="131"/>
        <v>695</v>
      </c>
      <c r="T819" s="76">
        <f>50</f>
        <v>50</v>
      </c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</row>
    <row r="820" spans="1:30" ht="15.75" x14ac:dyDescent="0.25">
      <c r="A820" s="31">
        <v>65897</v>
      </c>
      <c r="B820" s="88">
        <f t="shared" si="132"/>
        <v>31</v>
      </c>
      <c r="C820" s="76">
        <f>194.205</f>
        <v>194.20500000000001</v>
      </c>
      <c r="D820" s="76">
        <f>267.466</f>
        <v>267.46600000000001</v>
      </c>
      <c r="E820" s="85">
        <f>133.845</f>
        <v>133.845</v>
      </c>
      <c r="F820" s="76">
        <f>278.484-40-25-60-100</f>
        <v>53.48399999999998</v>
      </c>
      <c r="G820" s="79">
        <v>40</v>
      </c>
      <c r="H820" s="76">
        <f t="shared" si="135"/>
        <v>185</v>
      </c>
      <c r="I820" s="76">
        <f t="shared" ref="I820:I883" si="136">400-J820-K820</f>
        <v>0</v>
      </c>
      <c r="J820" s="79">
        <v>100</v>
      </c>
      <c r="K820" s="79">
        <v>300</v>
      </c>
      <c r="L820" s="76">
        <f t="shared" si="128"/>
        <v>1274</v>
      </c>
      <c r="M820" s="87">
        <v>600</v>
      </c>
      <c r="N820" s="76">
        <f>75</f>
        <v>75</v>
      </c>
      <c r="O820" s="79">
        <v>240</v>
      </c>
      <c r="P820" s="79">
        <v>40</v>
      </c>
      <c r="Q820" s="79">
        <f t="shared" si="129"/>
        <v>315</v>
      </c>
      <c r="R820" s="79">
        <f t="shared" si="130"/>
        <v>100</v>
      </c>
      <c r="S820" s="76">
        <f t="shared" si="131"/>
        <v>695</v>
      </c>
      <c r="T820" s="76">
        <f>50</f>
        <v>50</v>
      </c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</row>
    <row r="821" spans="1:30" ht="15.75" x14ac:dyDescent="0.25">
      <c r="A821" s="31">
        <v>65927</v>
      </c>
      <c r="B821" s="88">
        <f t="shared" si="132"/>
        <v>30</v>
      </c>
      <c r="C821" s="76">
        <f>194.205</f>
        <v>194.20500000000001</v>
      </c>
      <c r="D821" s="76">
        <f>267.466</f>
        <v>267.46600000000001</v>
      </c>
      <c r="E821" s="85">
        <f>133.845</f>
        <v>133.845</v>
      </c>
      <c r="F821" s="76">
        <f>278.484-40-25-60-100</f>
        <v>53.48399999999998</v>
      </c>
      <c r="G821" s="79">
        <v>40</v>
      </c>
      <c r="H821" s="76">
        <f t="shared" si="135"/>
        <v>185</v>
      </c>
      <c r="I821" s="76">
        <f t="shared" si="136"/>
        <v>0</v>
      </c>
      <c r="J821" s="79">
        <v>100</v>
      </c>
      <c r="K821" s="79">
        <v>300</v>
      </c>
      <c r="L821" s="76">
        <f t="shared" si="128"/>
        <v>1274</v>
      </c>
      <c r="M821" s="87">
        <v>600</v>
      </c>
      <c r="N821" s="76">
        <f>30</f>
        <v>30</v>
      </c>
      <c r="O821" s="79">
        <v>240</v>
      </c>
      <c r="P821" s="79">
        <v>40</v>
      </c>
      <c r="Q821" s="79">
        <f t="shared" si="129"/>
        <v>315</v>
      </c>
      <c r="R821" s="79">
        <f t="shared" si="130"/>
        <v>100</v>
      </c>
      <c r="S821" s="76">
        <f t="shared" si="131"/>
        <v>695</v>
      </c>
      <c r="T821" s="76">
        <f>50</f>
        <v>50</v>
      </c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</row>
    <row r="822" spans="1:30" ht="15.75" x14ac:dyDescent="0.25">
      <c r="A822" s="31">
        <v>65958</v>
      </c>
      <c r="B822" s="88">
        <f t="shared" si="132"/>
        <v>31</v>
      </c>
      <c r="C822" s="76">
        <f>194.205</f>
        <v>194.20500000000001</v>
      </c>
      <c r="D822" s="76">
        <f>267.466</f>
        <v>267.46600000000001</v>
      </c>
      <c r="E822" s="85">
        <f>133.845</f>
        <v>133.845</v>
      </c>
      <c r="F822" s="76">
        <f>278.484-40-25-60-100</f>
        <v>53.48399999999998</v>
      </c>
      <c r="G822" s="79">
        <v>40</v>
      </c>
      <c r="H822" s="76">
        <f t="shared" si="135"/>
        <v>185</v>
      </c>
      <c r="I822" s="76">
        <f t="shared" si="136"/>
        <v>0</v>
      </c>
      <c r="J822" s="79">
        <v>100</v>
      </c>
      <c r="K822" s="79">
        <v>300</v>
      </c>
      <c r="L822" s="76">
        <f t="shared" si="128"/>
        <v>1274</v>
      </c>
      <c r="M822" s="87">
        <v>600</v>
      </c>
      <c r="N822" s="76">
        <f>30</f>
        <v>30</v>
      </c>
      <c r="O822" s="79">
        <v>240</v>
      </c>
      <c r="P822" s="79">
        <v>40</v>
      </c>
      <c r="Q822" s="79">
        <f t="shared" si="129"/>
        <v>315</v>
      </c>
      <c r="R822" s="79">
        <f t="shared" si="130"/>
        <v>100</v>
      </c>
      <c r="S822" s="76">
        <f t="shared" si="131"/>
        <v>695</v>
      </c>
      <c r="T822" s="76">
        <f>0</f>
        <v>0</v>
      </c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</row>
    <row r="823" spans="1:30" ht="15.75" x14ac:dyDescent="0.25">
      <c r="A823" s="31">
        <v>65989</v>
      </c>
      <c r="B823" s="88">
        <f t="shared" si="132"/>
        <v>31</v>
      </c>
      <c r="C823" s="76">
        <f>194.205</f>
        <v>194.20500000000001</v>
      </c>
      <c r="D823" s="76">
        <f>267.466</f>
        <v>267.46600000000001</v>
      </c>
      <c r="E823" s="85">
        <f>133.845</f>
        <v>133.845</v>
      </c>
      <c r="F823" s="76">
        <f>278.484-40-25-60-100</f>
        <v>53.48399999999998</v>
      </c>
      <c r="G823" s="79">
        <v>40</v>
      </c>
      <c r="H823" s="76">
        <f t="shared" si="135"/>
        <v>185</v>
      </c>
      <c r="I823" s="76">
        <f t="shared" si="136"/>
        <v>0</v>
      </c>
      <c r="J823" s="79">
        <v>100</v>
      </c>
      <c r="K823" s="79">
        <v>300</v>
      </c>
      <c r="L823" s="76">
        <f t="shared" si="128"/>
        <v>1274</v>
      </c>
      <c r="M823" s="87">
        <v>600</v>
      </c>
      <c r="N823" s="76">
        <f>30</f>
        <v>30</v>
      </c>
      <c r="O823" s="79">
        <v>240</v>
      </c>
      <c r="P823" s="79">
        <v>40</v>
      </c>
      <c r="Q823" s="79">
        <f t="shared" si="129"/>
        <v>315</v>
      </c>
      <c r="R823" s="79">
        <f t="shared" si="130"/>
        <v>100</v>
      </c>
      <c r="S823" s="76">
        <f t="shared" si="131"/>
        <v>695</v>
      </c>
      <c r="T823" s="76">
        <f>0</f>
        <v>0</v>
      </c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</row>
    <row r="824" spans="1:30" ht="15.75" x14ac:dyDescent="0.25">
      <c r="A824" s="31">
        <v>66019</v>
      </c>
      <c r="B824" s="88">
        <f t="shared" si="132"/>
        <v>30</v>
      </c>
      <c r="C824" s="76">
        <f>194.205</f>
        <v>194.20500000000001</v>
      </c>
      <c r="D824" s="76">
        <f>267.466</f>
        <v>267.46600000000001</v>
      </c>
      <c r="E824" s="85">
        <f>133.845</f>
        <v>133.845</v>
      </c>
      <c r="F824" s="76">
        <f>278.484-40-25-60-100</f>
        <v>53.48399999999998</v>
      </c>
      <c r="G824" s="79">
        <v>40</v>
      </c>
      <c r="H824" s="76">
        <f t="shared" si="135"/>
        <v>185</v>
      </c>
      <c r="I824" s="76">
        <f t="shared" si="136"/>
        <v>0</v>
      </c>
      <c r="J824" s="79">
        <v>100</v>
      </c>
      <c r="K824" s="79">
        <v>300</v>
      </c>
      <c r="L824" s="76">
        <f t="shared" si="128"/>
        <v>1274</v>
      </c>
      <c r="M824" s="87">
        <v>600</v>
      </c>
      <c r="N824" s="76">
        <f>30</f>
        <v>30</v>
      </c>
      <c r="O824" s="79">
        <v>240</v>
      </c>
      <c r="P824" s="79">
        <v>40</v>
      </c>
      <c r="Q824" s="79">
        <f t="shared" si="129"/>
        <v>315</v>
      </c>
      <c r="R824" s="79">
        <f t="shared" si="130"/>
        <v>100</v>
      </c>
      <c r="S824" s="76">
        <f t="shared" si="131"/>
        <v>695</v>
      </c>
      <c r="T824" s="76">
        <f>0</f>
        <v>0</v>
      </c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</row>
    <row r="825" spans="1:30" ht="15.75" x14ac:dyDescent="0.25">
      <c r="A825" s="31">
        <v>66050</v>
      </c>
      <c r="B825" s="88">
        <f t="shared" si="132"/>
        <v>31</v>
      </c>
      <c r="C825" s="76">
        <f>131.881</f>
        <v>131.881</v>
      </c>
      <c r="D825" s="76">
        <f>277.167</f>
        <v>277.16699999999997</v>
      </c>
      <c r="E825" s="85">
        <f>79.08</f>
        <v>79.08</v>
      </c>
      <c r="F825" s="76">
        <f>350.872-40-25-60-100</f>
        <v>125.87200000000001</v>
      </c>
      <c r="G825" s="79">
        <v>40</v>
      </c>
      <c r="H825" s="76">
        <f t="shared" si="135"/>
        <v>185</v>
      </c>
      <c r="I825" s="76">
        <f t="shared" si="136"/>
        <v>0</v>
      </c>
      <c r="J825" s="79">
        <v>100</v>
      </c>
      <c r="K825" s="79">
        <v>300</v>
      </c>
      <c r="L825" s="76">
        <f t="shared" si="128"/>
        <v>1239</v>
      </c>
      <c r="M825" s="87">
        <v>600</v>
      </c>
      <c r="N825" s="76">
        <f>75</f>
        <v>75</v>
      </c>
      <c r="O825" s="79">
        <v>240</v>
      </c>
      <c r="P825" s="79">
        <v>40</v>
      </c>
      <c r="Q825" s="79">
        <f t="shared" si="129"/>
        <v>315</v>
      </c>
      <c r="R825" s="79">
        <f t="shared" si="130"/>
        <v>100</v>
      </c>
      <c r="S825" s="76">
        <f t="shared" si="131"/>
        <v>695</v>
      </c>
      <c r="T825" s="76">
        <f>0</f>
        <v>0</v>
      </c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</row>
    <row r="826" spans="1:30" ht="15.75" x14ac:dyDescent="0.25">
      <c r="A826" s="31">
        <v>66080</v>
      </c>
      <c r="B826" s="88">
        <f t="shared" si="132"/>
        <v>30</v>
      </c>
      <c r="C826" s="76">
        <f>122.58</f>
        <v>122.58</v>
      </c>
      <c r="D826" s="76">
        <f>297.941</f>
        <v>297.94099999999997</v>
      </c>
      <c r="E826" s="85">
        <f>89.177</f>
        <v>89.177000000000007</v>
      </c>
      <c r="F826" s="76">
        <f>240.302-40-60-100</f>
        <v>40.301999999999992</v>
      </c>
      <c r="G826" s="79">
        <v>40</v>
      </c>
      <c r="H826" s="76">
        <f>60+100</f>
        <v>160</v>
      </c>
      <c r="I826" s="76">
        <f t="shared" si="136"/>
        <v>0</v>
      </c>
      <c r="J826" s="79">
        <v>100</v>
      </c>
      <c r="K826" s="79">
        <v>300</v>
      </c>
      <c r="L826" s="76">
        <f t="shared" si="128"/>
        <v>1150</v>
      </c>
      <c r="M826" s="87">
        <v>600</v>
      </c>
      <c r="N826" s="76">
        <f>100</f>
        <v>100</v>
      </c>
      <c r="O826" s="79">
        <v>240</v>
      </c>
      <c r="P826" s="79">
        <v>40</v>
      </c>
      <c r="Q826" s="79">
        <f t="shared" si="129"/>
        <v>315</v>
      </c>
      <c r="R826" s="79">
        <f t="shared" si="130"/>
        <v>100</v>
      </c>
      <c r="S826" s="76">
        <f t="shared" si="131"/>
        <v>695</v>
      </c>
      <c r="T826" s="76">
        <f>50</f>
        <v>50</v>
      </c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</row>
    <row r="827" spans="1:30" ht="15.75" x14ac:dyDescent="0.25">
      <c r="A827" s="31">
        <v>66111</v>
      </c>
      <c r="B827" s="88">
        <f t="shared" si="132"/>
        <v>31</v>
      </c>
      <c r="C827" s="76">
        <f>122.58</f>
        <v>122.58</v>
      </c>
      <c r="D827" s="76">
        <f>297.941</f>
        <v>297.94099999999997</v>
      </c>
      <c r="E827" s="85">
        <f>89.177</f>
        <v>89.177000000000007</v>
      </c>
      <c r="F827" s="76">
        <f>240.302-40-60-100</f>
        <v>40.301999999999992</v>
      </c>
      <c r="G827" s="79">
        <v>40</v>
      </c>
      <c r="H827" s="76">
        <f>60+100</f>
        <v>160</v>
      </c>
      <c r="I827" s="76">
        <f t="shared" si="136"/>
        <v>0</v>
      </c>
      <c r="J827" s="79">
        <v>100</v>
      </c>
      <c r="K827" s="79">
        <v>300</v>
      </c>
      <c r="L827" s="76">
        <f t="shared" si="128"/>
        <v>1150</v>
      </c>
      <c r="M827" s="87">
        <v>600</v>
      </c>
      <c r="N827" s="76">
        <f>100</f>
        <v>100</v>
      </c>
      <c r="O827" s="79">
        <v>240</v>
      </c>
      <c r="P827" s="79">
        <v>40</v>
      </c>
      <c r="Q827" s="79">
        <f t="shared" si="129"/>
        <v>315</v>
      </c>
      <c r="R827" s="79">
        <f t="shared" si="130"/>
        <v>100</v>
      </c>
      <c r="S827" s="76">
        <f t="shared" si="131"/>
        <v>695</v>
      </c>
      <c r="T827" s="76">
        <f>50</f>
        <v>50</v>
      </c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</row>
    <row r="828" spans="1:30" ht="15.75" x14ac:dyDescent="0.25">
      <c r="A828" s="31">
        <v>66142</v>
      </c>
      <c r="B828" s="88">
        <f t="shared" si="132"/>
        <v>31</v>
      </c>
      <c r="C828" s="76">
        <f>122.58</f>
        <v>122.58</v>
      </c>
      <c r="D828" s="76">
        <f>297.941</f>
        <v>297.94099999999997</v>
      </c>
      <c r="E828" s="85">
        <f>89.177</f>
        <v>89.177000000000007</v>
      </c>
      <c r="F828" s="76">
        <f>240.302-40-60-100</f>
        <v>40.301999999999992</v>
      </c>
      <c r="G828" s="79">
        <v>40</v>
      </c>
      <c r="H828" s="76">
        <f>60+100</f>
        <v>160</v>
      </c>
      <c r="I828" s="76">
        <f t="shared" si="136"/>
        <v>0</v>
      </c>
      <c r="J828" s="79">
        <v>100</v>
      </c>
      <c r="K828" s="79">
        <v>300</v>
      </c>
      <c r="L828" s="76">
        <f t="shared" si="128"/>
        <v>1150</v>
      </c>
      <c r="M828" s="87">
        <v>600</v>
      </c>
      <c r="N828" s="76">
        <f>100</f>
        <v>100</v>
      </c>
      <c r="O828" s="79">
        <v>240</v>
      </c>
      <c r="P828" s="79">
        <v>40</v>
      </c>
      <c r="Q828" s="79">
        <f t="shared" si="129"/>
        <v>315</v>
      </c>
      <c r="R828" s="79">
        <f t="shared" si="130"/>
        <v>100</v>
      </c>
      <c r="S828" s="76">
        <f t="shared" si="131"/>
        <v>695</v>
      </c>
      <c r="T828" s="76">
        <f>50</f>
        <v>50</v>
      </c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</row>
    <row r="829" spans="1:30" ht="15.75" x14ac:dyDescent="0.25">
      <c r="A829" s="31">
        <v>66170</v>
      </c>
      <c r="B829" s="88">
        <f t="shared" si="132"/>
        <v>28</v>
      </c>
      <c r="C829" s="76">
        <f>122.58</f>
        <v>122.58</v>
      </c>
      <c r="D829" s="76">
        <f>297.941</f>
        <v>297.94099999999997</v>
      </c>
      <c r="E829" s="85">
        <f>89.177</f>
        <v>89.177000000000007</v>
      </c>
      <c r="F829" s="76">
        <f>240.302-40-60-100</f>
        <v>40.301999999999992</v>
      </c>
      <c r="G829" s="79">
        <v>40</v>
      </c>
      <c r="H829" s="76">
        <f>60+100</f>
        <v>160</v>
      </c>
      <c r="I829" s="76">
        <f t="shared" si="136"/>
        <v>0</v>
      </c>
      <c r="J829" s="79">
        <v>100</v>
      </c>
      <c r="K829" s="79">
        <v>300</v>
      </c>
      <c r="L829" s="76">
        <f t="shared" si="128"/>
        <v>1150</v>
      </c>
      <c r="M829" s="87">
        <v>600</v>
      </c>
      <c r="N829" s="76">
        <f>100</f>
        <v>100</v>
      </c>
      <c r="O829" s="79">
        <v>240</v>
      </c>
      <c r="P829" s="79">
        <v>40</v>
      </c>
      <c r="Q829" s="79">
        <f t="shared" si="129"/>
        <v>315</v>
      </c>
      <c r="R829" s="79">
        <f t="shared" si="130"/>
        <v>100</v>
      </c>
      <c r="S829" s="76">
        <f t="shared" si="131"/>
        <v>695</v>
      </c>
      <c r="T829" s="76">
        <f>50</f>
        <v>50</v>
      </c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</row>
    <row r="830" spans="1:30" ht="15.75" x14ac:dyDescent="0.25">
      <c r="A830" s="31">
        <v>66201</v>
      </c>
      <c r="B830" s="88">
        <f t="shared" si="132"/>
        <v>31</v>
      </c>
      <c r="C830" s="76">
        <f>122.58</f>
        <v>122.58</v>
      </c>
      <c r="D830" s="76">
        <f>297.941</f>
        <v>297.94099999999997</v>
      </c>
      <c r="E830" s="85">
        <f>89.177</f>
        <v>89.177000000000007</v>
      </c>
      <c r="F830" s="76">
        <f>240.302-40-60-100</f>
        <v>40.301999999999992</v>
      </c>
      <c r="G830" s="79">
        <v>40</v>
      </c>
      <c r="H830" s="76">
        <f>60+100</f>
        <v>160</v>
      </c>
      <c r="I830" s="76">
        <f t="shared" si="136"/>
        <v>0</v>
      </c>
      <c r="J830" s="79">
        <v>100</v>
      </c>
      <c r="K830" s="79">
        <v>300</v>
      </c>
      <c r="L830" s="76">
        <f t="shared" si="128"/>
        <v>1150</v>
      </c>
      <c r="M830" s="87">
        <v>600</v>
      </c>
      <c r="N830" s="76">
        <f>100</f>
        <v>100</v>
      </c>
      <c r="O830" s="79">
        <v>240</v>
      </c>
      <c r="P830" s="79">
        <v>40</v>
      </c>
      <c r="Q830" s="79">
        <f t="shared" si="129"/>
        <v>315</v>
      </c>
      <c r="R830" s="79">
        <f t="shared" si="130"/>
        <v>100</v>
      </c>
      <c r="S830" s="76">
        <f t="shared" si="131"/>
        <v>695</v>
      </c>
      <c r="T830" s="76">
        <f>50</f>
        <v>50</v>
      </c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</row>
    <row r="831" spans="1:30" ht="15.75" x14ac:dyDescent="0.25">
      <c r="A831" s="31">
        <v>66231</v>
      </c>
      <c r="B831" s="88">
        <f t="shared" si="132"/>
        <v>30</v>
      </c>
      <c r="C831" s="76">
        <f>141.293</f>
        <v>141.29300000000001</v>
      </c>
      <c r="D831" s="76">
        <f>267.993</f>
        <v>267.99299999999999</v>
      </c>
      <c r="E831" s="85">
        <f>115.016</f>
        <v>115.01600000000001</v>
      </c>
      <c r="F831" s="76">
        <f>314.698-40-25-60-100</f>
        <v>89.697999999999979</v>
      </c>
      <c r="G831" s="79">
        <v>40</v>
      </c>
      <c r="H831" s="76">
        <f t="shared" ref="H831:H837" si="137">25+60+100</f>
        <v>185</v>
      </c>
      <c r="I831" s="76">
        <f t="shared" si="136"/>
        <v>0</v>
      </c>
      <c r="J831" s="79">
        <v>100</v>
      </c>
      <c r="K831" s="79">
        <v>300</v>
      </c>
      <c r="L831" s="76">
        <f t="shared" si="128"/>
        <v>1239</v>
      </c>
      <c r="M831" s="87">
        <v>600</v>
      </c>
      <c r="N831" s="76">
        <f>100</f>
        <v>100</v>
      </c>
      <c r="O831" s="79">
        <v>240</v>
      </c>
      <c r="P831" s="79">
        <v>40</v>
      </c>
      <c r="Q831" s="79">
        <f t="shared" si="129"/>
        <v>315</v>
      </c>
      <c r="R831" s="79">
        <f t="shared" si="130"/>
        <v>100</v>
      </c>
      <c r="S831" s="76">
        <f t="shared" si="131"/>
        <v>695</v>
      </c>
      <c r="T831" s="76">
        <f>50</f>
        <v>50</v>
      </c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</row>
    <row r="832" spans="1:30" ht="15.75" x14ac:dyDescent="0.25">
      <c r="A832" s="31">
        <v>66262</v>
      </c>
      <c r="B832" s="88">
        <f t="shared" si="132"/>
        <v>31</v>
      </c>
      <c r="C832" s="76">
        <f>194.205</f>
        <v>194.20500000000001</v>
      </c>
      <c r="D832" s="76">
        <f>267.466</f>
        <v>267.46600000000001</v>
      </c>
      <c r="E832" s="85">
        <f>133.845</f>
        <v>133.845</v>
      </c>
      <c r="F832" s="76">
        <f>278.484-40-25-60-100</f>
        <v>53.48399999999998</v>
      </c>
      <c r="G832" s="79">
        <v>40</v>
      </c>
      <c r="H832" s="76">
        <f t="shared" si="137"/>
        <v>185</v>
      </c>
      <c r="I832" s="76">
        <f t="shared" si="136"/>
        <v>0</v>
      </c>
      <c r="J832" s="79">
        <v>100</v>
      </c>
      <c r="K832" s="79">
        <v>300</v>
      </c>
      <c r="L832" s="76">
        <f t="shared" si="128"/>
        <v>1274</v>
      </c>
      <c r="M832" s="87">
        <v>600</v>
      </c>
      <c r="N832" s="76">
        <f>75</f>
        <v>75</v>
      </c>
      <c r="O832" s="79">
        <v>240</v>
      </c>
      <c r="P832" s="79">
        <v>40</v>
      </c>
      <c r="Q832" s="79">
        <f t="shared" si="129"/>
        <v>315</v>
      </c>
      <c r="R832" s="79">
        <f t="shared" si="130"/>
        <v>100</v>
      </c>
      <c r="S832" s="76">
        <f t="shared" si="131"/>
        <v>695</v>
      </c>
      <c r="T832" s="76">
        <f>50</f>
        <v>50</v>
      </c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</row>
    <row r="833" spans="1:30" ht="15.75" x14ac:dyDescent="0.25">
      <c r="A833" s="31">
        <v>66292</v>
      </c>
      <c r="B833" s="88">
        <f t="shared" si="132"/>
        <v>30</v>
      </c>
      <c r="C833" s="76">
        <f>194.205</f>
        <v>194.20500000000001</v>
      </c>
      <c r="D833" s="76">
        <f>267.466</f>
        <v>267.46600000000001</v>
      </c>
      <c r="E833" s="85">
        <f>133.845</f>
        <v>133.845</v>
      </c>
      <c r="F833" s="76">
        <f>278.484-40-25-60-100</f>
        <v>53.48399999999998</v>
      </c>
      <c r="G833" s="79">
        <v>40</v>
      </c>
      <c r="H833" s="76">
        <f t="shared" si="137"/>
        <v>185</v>
      </c>
      <c r="I833" s="76">
        <f t="shared" si="136"/>
        <v>0</v>
      </c>
      <c r="J833" s="79">
        <v>100</v>
      </c>
      <c r="K833" s="79">
        <v>300</v>
      </c>
      <c r="L833" s="76">
        <f t="shared" si="128"/>
        <v>1274</v>
      </c>
      <c r="M833" s="87">
        <v>600</v>
      </c>
      <c r="N833" s="76">
        <f>30</f>
        <v>30</v>
      </c>
      <c r="O833" s="79">
        <v>240</v>
      </c>
      <c r="P833" s="79">
        <v>40</v>
      </c>
      <c r="Q833" s="79">
        <f t="shared" si="129"/>
        <v>315</v>
      </c>
      <c r="R833" s="79">
        <f t="shared" si="130"/>
        <v>100</v>
      </c>
      <c r="S833" s="76">
        <f t="shared" si="131"/>
        <v>695</v>
      </c>
      <c r="T833" s="76">
        <f>50</f>
        <v>50</v>
      </c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</row>
    <row r="834" spans="1:30" ht="15.75" x14ac:dyDescent="0.25">
      <c r="A834" s="31">
        <v>66323</v>
      </c>
      <c r="B834" s="88">
        <f t="shared" si="132"/>
        <v>31</v>
      </c>
      <c r="C834" s="76">
        <f>194.205</f>
        <v>194.20500000000001</v>
      </c>
      <c r="D834" s="76">
        <f>267.466</f>
        <v>267.46600000000001</v>
      </c>
      <c r="E834" s="85">
        <f>133.845</f>
        <v>133.845</v>
      </c>
      <c r="F834" s="76">
        <f>278.484-40-25-60-100</f>
        <v>53.48399999999998</v>
      </c>
      <c r="G834" s="79">
        <v>40</v>
      </c>
      <c r="H834" s="76">
        <f t="shared" si="137"/>
        <v>185</v>
      </c>
      <c r="I834" s="76">
        <f t="shared" si="136"/>
        <v>0</v>
      </c>
      <c r="J834" s="79">
        <v>100</v>
      </c>
      <c r="K834" s="79">
        <v>300</v>
      </c>
      <c r="L834" s="76">
        <f t="shared" si="128"/>
        <v>1274</v>
      </c>
      <c r="M834" s="87">
        <v>600</v>
      </c>
      <c r="N834" s="76">
        <f>30</f>
        <v>30</v>
      </c>
      <c r="O834" s="79">
        <v>240</v>
      </c>
      <c r="P834" s="79">
        <v>40</v>
      </c>
      <c r="Q834" s="79">
        <f t="shared" si="129"/>
        <v>315</v>
      </c>
      <c r="R834" s="79">
        <f t="shared" si="130"/>
        <v>100</v>
      </c>
      <c r="S834" s="76">
        <f t="shared" si="131"/>
        <v>695</v>
      </c>
      <c r="T834" s="76">
        <f>0</f>
        <v>0</v>
      </c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</row>
    <row r="835" spans="1:30" ht="15.75" x14ac:dyDescent="0.25">
      <c r="A835" s="31">
        <v>66354</v>
      </c>
      <c r="B835" s="88">
        <f t="shared" si="132"/>
        <v>31</v>
      </c>
      <c r="C835" s="76">
        <f>194.205</f>
        <v>194.20500000000001</v>
      </c>
      <c r="D835" s="76">
        <f>267.466</f>
        <v>267.46600000000001</v>
      </c>
      <c r="E835" s="85">
        <f>133.845</f>
        <v>133.845</v>
      </c>
      <c r="F835" s="76">
        <f>278.484-40-25-60-100</f>
        <v>53.48399999999998</v>
      </c>
      <c r="G835" s="79">
        <v>40</v>
      </c>
      <c r="H835" s="76">
        <f t="shared" si="137"/>
        <v>185</v>
      </c>
      <c r="I835" s="76">
        <f t="shared" si="136"/>
        <v>0</v>
      </c>
      <c r="J835" s="79">
        <v>100</v>
      </c>
      <c r="K835" s="79">
        <v>300</v>
      </c>
      <c r="L835" s="76">
        <f t="shared" si="128"/>
        <v>1274</v>
      </c>
      <c r="M835" s="87">
        <v>600</v>
      </c>
      <c r="N835" s="76">
        <f>30</f>
        <v>30</v>
      </c>
      <c r="O835" s="79">
        <v>240</v>
      </c>
      <c r="P835" s="79">
        <v>40</v>
      </c>
      <c r="Q835" s="79">
        <f t="shared" si="129"/>
        <v>315</v>
      </c>
      <c r="R835" s="79">
        <f t="shared" si="130"/>
        <v>100</v>
      </c>
      <c r="S835" s="76">
        <f t="shared" si="131"/>
        <v>695</v>
      </c>
      <c r="T835" s="76">
        <f>0</f>
        <v>0</v>
      </c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</row>
    <row r="836" spans="1:30" ht="15.75" x14ac:dyDescent="0.25">
      <c r="A836" s="31">
        <v>66384</v>
      </c>
      <c r="B836" s="88">
        <f t="shared" si="132"/>
        <v>30</v>
      </c>
      <c r="C836" s="76">
        <f>194.205</f>
        <v>194.20500000000001</v>
      </c>
      <c r="D836" s="76">
        <f>267.466</f>
        <v>267.46600000000001</v>
      </c>
      <c r="E836" s="85">
        <f>133.845</f>
        <v>133.845</v>
      </c>
      <c r="F836" s="76">
        <f>278.484-40-25-60-100</f>
        <v>53.48399999999998</v>
      </c>
      <c r="G836" s="79">
        <v>40</v>
      </c>
      <c r="H836" s="76">
        <f t="shared" si="137"/>
        <v>185</v>
      </c>
      <c r="I836" s="76">
        <f t="shared" si="136"/>
        <v>0</v>
      </c>
      <c r="J836" s="79">
        <v>100</v>
      </c>
      <c r="K836" s="79">
        <v>300</v>
      </c>
      <c r="L836" s="76">
        <f t="shared" si="128"/>
        <v>1274</v>
      </c>
      <c r="M836" s="87">
        <v>600</v>
      </c>
      <c r="N836" s="76">
        <f>30</f>
        <v>30</v>
      </c>
      <c r="O836" s="79">
        <v>240</v>
      </c>
      <c r="P836" s="79">
        <v>40</v>
      </c>
      <c r="Q836" s="79">
        <f t="shared" si="129"/>
        <v>315</v>
      </c>
      <c r="R836" s="79">
        <f t="shared" si="130"/>
        <v>100</v>
      </c>
      <c r="S836" s="76">
        <f t="shared" si="131"/>
        <v>695</v>
      </c>
      <c r="T836" s="76">
        <f>0</f>
        <v>0</v>
      </c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</row>
    <row r="837" spans="1:30" ht="15.75" x14ac:dyDescent="0.25">
      <c r="A837" s="31">
        <v>66415</v>
      </c>
      <c r="B837" s="88">
        <f t="shared" si="132"/>
        <v>31</v>
      </c>
      <c r="C837" s="76">
        <f>131.881</f>
        <v>131.881</v>
      </c>
      <c r="D837" s="76">
        <f>277.167</f>
        <v>277.16699999999997</v>
      </c>
      <c r="E837" s="85">
        <f>79.08</f>
        <v>79.08</v>
      </c>
      <c r="F837" s="76">
        <f>350.872-40-25-60-100</f>
        <v>125.87200000000001</v>
      </c>
      <c r="G837" s="79">
        <v>40</v>
      </c>
      <c r="H837" s="76">
        <f t="shared" si="137"/>
        <v>185</v>
      </c>
      <c r="I837" s="76">
        <f t="shared" si="136"/>
        <v>0</v>
      </c>
      <c r="J837" s="79">
        <v>100</v>
      </c>
      <c r="K837" s="79">
        <v>300</v>
      </c>
      <c r="L837" s="76">
        <f t="shared" si="128"/>
        <v>1239</v>
      </c>
      <c r="M837" s="87">
        <v>600</v>
      </c>
      <c r="N837" s="76">
        <f>75</f>
        <v>75</v>
      </c>
      <c r="O837" s="79">
        <v>240</v>
      </c>
      <c r="P837" s="79">
        <v>40</v>
      </c>
      <c r="Q837" s="79">
        <f t="shared" si="129"/>
        <v>315</v>
      </c>
      <c r="R837" s="79">
        <f t="shared" si="130"/>
        <v>100</v>
      </c>
      <c r="S837" s="76">
        <f t="shared" si="131"/>
        <v>695</v>
      </c>
      <c r="T837" s="76">
        <f>0</f>
        <v>0</v>
      </c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</row>
    <row r="838" spans="1:30" ht="15.75" x14ac:dyDescent="0.25">
      <c r="A838" s="31">
        <v>66445</v>
      </c>
      <c r="B838" s="88">
        <f t="shared" si="132"/>
        <v>30</v>
      </c>
      <c r="C838" s="76">
        <f>122.58</f>
        <v>122.58</v>
      </c>
      <c r="D838" s="76">
        <f>297.941</f>
        <v>297.94099999999997</v>
      </c>
      <c r="E838" s="85">
        <f>89.177</f>
        <v>89.177000000000007</v>
      </c>
      <c r="F838" s="76">
        <f>240.302-40-60-100</f>
        <v>40.301999999999992</v>
      </c>
      <c r="G838" s="79">
        <v>40</v>
      </c>
      <c r="H838" s="76">
        <f>60+100</f>
        <v>160</v>
      </c>
      <c r="I838" s="76">
        <f t="shared" si="136"/>
        <v>0</v>
      </c>
      <c r="J838" s="79">
        <v>100</v>
      </c>
      <c r="K838" s="79">
        <v>300</v>
      </c>
      <c r="L838" s="76">
        <f t="shared" si="128"/>
        <v>1150</v>
      </c>
      <c r="M838" s="87">
        <v>600</v>
      </c>
      <c r="N838" s="76">
        <f>100</f>
        <v>100</v>
      </c>
      <c r="O838" s="79">
        <v>240</v>
      </c>
      <c r="P838" s="79">
        <v>40</v>
      </c>
      <c r="Q838" s="79">
        <f t="shared" si="129"/>
        <v>315</v>
      </c>
      <c r="R838" s="79">
        <f t="shared" si="130"/>
        <v>100</v>
      </c>
      <c r="S838" s="76">
        <f t="shared" si="131"/>
        <v>695</v>
      </c>
      <c r="T838" s="76">
        <f>50</f>
        <v>50</v>
      </c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</row>
    <row r="839" spans="1:30" ht="15.75" x14ac:dyDescent="0.25">
      <c r="A839" s="31">
        <v>66476</v>
      </c>
      <c r="B839" s="88">
        <f t="shared" si="132"/>
        <v>31</v>
      </c>
      <c r="C839" s="76">
        <f>122.58</f>
        <v>122.58</v>
      </c>
      <c r="D839" s="76">
        <f>297.941</f>
        <v>297.94099999999997</v>
      </c>
      <c r="E839" s="85">
        <f>89.177</f>
        <v>89.177000000000007</v>
      </c>
      <c r="F839" s="76">
        <f>240.302-40-60-100</f>
        <v>40.301999999999992</v>
      </c>
      <c r="G839" s="79">
        <v>40</v>
      </c>
      <c r="H839" s="76">
        <f>60+100</f>
        <v>160</v>
      </c>
      <c r="I839" s="76">
        <f t="shared" si="136"/>
        <v>0</v>
      </c>
      <c r="J839" s="79">
        <v>100</v>
      </c>
      <c r="K839" s="79">
        <v>300</v>
      </c>
      <c r="L839" s="76">
        <f t="shared" si="128"/>
        <v>1150</v>
      </c>
      <c r="M839" s="87">
        <v>600</v>
      </c>
      <c r="N839" s="76">
        <f>100</f>
        <v>100</v>
      </c>
      <c r="O839" s="79">
        <v>240</v>
      </c>
      <c r="P839" s="79">
        <v>40</v>
      </c>
      <c r="Q839" s="79">
        <f t="shared" si="129"/>
        <v>315</v>
      </c>
      <c r="R839" s="79">
        <f t="shared" si="130"/>
        <v>100</v>
      </c>
      <c r="S839" s="76">
        <f t="shared" si="131"/>
        <v>695</v>
      </c>
      <c r="T839" s="76">
        <f>50</f>
        <v>50</v>
      </c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</row>
    <row r="840" spans="1:30" ht="15.75" x14ac:dyDescent="0.25">
      <c r="A840" s="31">
        <v>66507</v>
      </c>
      <c r="B840" s="88">
        <f t="shared" si="132"/>
        <v>31</v>
      </c>
      <c r="C840" s="76">
        <f>122.58</f>
        <v>122.58</v>
      </c>
      <c r="D840" s="76">
        <f>297.941</f>
        <v>297.94099999999997</v>
      </c>
      <c r="E840" s="85">
        <f>89.177</f>
        <v>89.177000000000007</v>
      </c>
      <c r="F840" s="76">
        <f>240.302-40-60-100</f>
        <v>40.301999999999992</v>
      </c>
      <c r="G840" s="79">
        <v>40</v>
      </c>
      <c r="H840" s="76">
        <f>60+100</f>
        <v>160</v>
      </c>
      <c r="I840" s="76">
        <f t="shared" si="136"/>
        <v>0</v>
      </c>
      <c r="J840" s="79">
        <v>100</v>
      </c>
      <c r="K840" s="79">
        <v>300</v>
      </c>
      <c r="L840" s="76">
        <f t="shared" si="128"/>
        <v>1150</v>
      </c>
      <c r="M840" s="87">
        <v>600</v>
      </c>
      <c r="N840" s="76">
        <f>100</f>
        <v>100</v>
      </c>
      <c r="O840" s="79">
        <v>240</v>
      </c>
      <c r="P840" s="79">
        <v>40</v>
      </c>
      <c r="Q840" s="79">
        <f t="shared" si="129"/>
        <v>315</v>
      </c>
      <c r="R840" s="79">
        <f t="shared" si="130"/>
        <v>100</v>
      </c>
      <c r="S840" s="76">
        <f t="shared" si="131"/>
        <v>695</v>
      </c>
      <c r="T840" s="76">
        <f>50</f>
        <v>50</v>
      </c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</row>
    <row r="841" spans="1:30" ht="15.75" x14ac:dyDescent="0.25">
      <c r="A841" s="31">
        <v>66535</v>
      </c>
      <c r="B841" s="88">
        <f t="shared" si="132"/>
        <v>28</v>
      </c>
      <c r="C841" s="76">
        <f>122.58</f>
        <v>122.58</v>
      </c>
      <c r="D841" s="76">
        <f>297.941</f>
        <v>297.94099999999997</v>
      </c>
      <c r="E841" s="85">
        <f>89.177</f>
        <v>89.177000000000007</v>
      </c>
      <c r="F841" s="76">
        <f>240.302-40-60-100</f>
        <v>40.301999999999992</v>
      </c>
      <c r="G841" s="79">
        <v>40</v>
      </c>
      <c r="H841" s="76">
        <f>60+100</f>
        <v>160</v>
      </c>
      <c r="I841" s="76">
        <f t="shared" si="136"/>
        <v>0</v>
      </c>
      <c r="J841" s="79">
        <v>100</v>
      </c>
      <c r="K841" s="79">
        <v>300</v>
      </c>
      <c r="L841" s="76">
        <f t="shared" si="128"/>
        <v>1150</v>
      </c>
      <c r="M841" s="87">
        <v>600</v>
      </c>
      <c r="N841" s="76">
        <f>100</f>
        <v>100</v>
      </c>
      <c r="O841" s="79">
        <v>240</v>
      </c>
      <c r="P841" s="79">
        <v>40</v>
      </c>
      <c r="Q841" s="79">
        <f t="shared" si="129"/>
        <v>315</v>
      </c>
      <c r="R841" s="79">
        <f t="shared" si="130"/>
        <v>100</v>
      </c>
      <c r="S841" s="76">
        <f t="shared" si="131"/>
        <v>695</v>
      </c>
      <c r="T841" s="76">
        <f>50</f>
        <v>50</v>
      </c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</row>
    <row r="842" spans="1:30" ht="15.75" x14ac:dyDescent="0.25">
      <c r="A842" s="31">
        <v>66566</v>
      </c>
      <c r="B842" s="88">
        <f t="shared" si="132"/>
        <v>31</v>
      </c>
      <c r="C842" s="76">
        <f>122.58</f>
        <v>122.58</v>
      </c>
      <c r="D842" s="76">
        <f>297.941</f>
        <v>297.94099999999997</v>
      </c>
      <c r="E842" s="85">
        <f>89.177</f>
        <v>89.177000000000007</v>
      </c>
      <c r="F842" s="76">
        <f>240.302-40-60-100</f>
        <v>40.301999999999992</v>
      </c>
      <c r="G842" s="79">
        <v>40</v>
      </c>
      <c r="H842" s="76">
        <f>60+100</f>
        <v>160</v>
      </c>
      <c r="I842" s="76">
        <f t="shared" si="136"/>
        <v>0</v>
      </c>
      <c r="J842" s="79">
        <v>100</v>
      </c>
      <c r="K842" s="79">
        <v>300</v>
      </c>
      <c r="L842" s="76">
        <f t="shared" si="128"/>
        <v>1150</v>
      </c>
      <c r="M842" s="87">
        <v>600</v>
      </c>
      <c r="N842" s="76">
        <f>100</f>
        <v>100</v>
      </c>
      <c r="O842" s="79">
        <v>240</v>
      </c>
      <c r="P842" s="79">
        <v>40</v>
      </c>
      <c r="Q842" s="79">
        <f t="shared" si="129"/>
        <v>315</v>
      </c>
      <c r="R842" s="79">
        <f t="shared" si="130"/>
        <v>100</v>
      </c>
      <c r="S842" s="76">
        <f t="shared" si="131"/>
        <v>695</v>
      </c>
      <c r="T842" s="76">
        <f>50</f>
        <v>50</v>
      </c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</row>
    <row r="843" spans="1:30" ht="15.75" x14ac:dyDescent="0.25">
      <c r="A843" s="31">
        <v>66596</v>
      </c>
      <c r="B843" s="88">
        <f t="shared" si="132"/>
        <v>30</v>
      </c>
      <c r="C843" s="76">
        <f>141.293</f>
        <v>141.29300000000001</v>
      </c>
      <c r="D843" s="76">
        <f>267.993</f>
        <v>267.99299999999999</v>
      </c>
      <c r="E843" s="85">
        <f>115.016</f>
        <v>115.01600000000001</v>
      </c>
      <c r="F843" s="76">
        <f>314.698-40-25-60-100</f>
        <v>89.697999999999979</v>
      </c>
      <c r="G843" s="79">
        <v>40</v>
      </c>
      <c r="H843" s="76">
        <f t="shared" ref="H843:H849" si="138">25+60+100</f>
        <v>185</v>
      </c>
      <c r="I843" s="76">
        <f t="shared" si="136"/>
        <v>0</v>
      </c>
      <c r="J843" s="79">
        <v>100</v>
      </c>
      <c r="K843" s="79">
        <v>300</v>
      </c>
      <c r="L843" s="76">
        <f t="shared" si="128"/>
        <v>1239</v>
      </c>
      <c r="M843" s="87">
        <v>600</v>
      </c>
      <c r="N843" s="76">
        <f>100</f>
        <v>100</v>
      </c>
      <c r="O843" s="79">
        <v>240</v>
      </c>
      <c r="P843" s="79">
        <v>40</v>
      </c>
      <c r="Q843" s="79">
        <f t="shared" si="129"/>
        <v>315</v>
      </c>
      <c r="R843" s="79">
        <f t="shared" si="130"/>
        <v>100</v>
      </c>
      <c r="S843" s="76">
        <f t="shared" si="131"/>
        <v>695</v>
      </c>
      <c r="T843" s="76">
        <f>50</f>
        <v>50</v>
      </c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</row>
    <row r="844" spans="1:30" ht="15.75" x14ac:dyDescent="0.25">
      <c r="A844" s="31">
        <v>66627</v>
      </c>
      <c r="B844" s="88">
        <f t="shared" si="132"/>
        <v>31</v>
      </c>
      <c r="C844" s="76">
        <f>194.205</f>
        <v>194.20500000000001</v>
      </c>
      <c r="D844" s="76">
        <f>267.466</f>
        <v>267.46600000000001</v>
      </c>
      <c r="E844" s="85">
        <f>133.845</f>
        <v>133.845</v>
      </c>
      <c r="F844" s="76">
        <f>278.484-40-25-60-100</f>
        <v>53.48399999999998</v>
      </c>
      <c r="G844" s="79">
        <v>40</v>
      </c>
      <c r="H844" s="76">
        <f t="shared" si="138"/>
        <v>185</v>
      </c>
      <c r="I844" s="76">
        <f t="shared" si="136"/>
        <v>0</v>
      </c>
      <c r="J844" s="79">
        <v>100</v>
      </c>
      <c r="K844" s="79">
        <v>300</v>
      </c>
      <c r="L844" s="76">
        <f t="shared" si="128"/>
        <v>1274</v>
      </c>
      <c r="M844" s="87">
        <v>600</v>
      </c>
      <c r="N844" s="76">
        <f>75</f>
        <v>75</v>
      </c>
      <c r="O844" s="79">
        <v>240</v>
      </c>
      <c r="P844" s="79">
        <v>40</v>
      </c>
      <c r="Q844" s="79">
        <f t="shared" si="129"/>
        <v>315</v>
      </c>
      <c r="R844" s="79">
        <f t="shared" si="130"/>
        <v>100</v>
      </c>
      <c r="S844" s="76">
        <f t="shared" si="131"/>
        <v>695</v>
      </c>
      <c r="T844" s="76">
        <f>50</f>
        <v>50</v>
      </c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</row>
    <row r="845" spans="1:30" ht="15.75" x14ac:dyDescent="0.25">
      <c r="A845" s="31">
        <v>66657</v>
      </c>
      <c r="B845" s="88">
        <f t="shared" si="132"/>
        <v>30</v>
      </c>
      <c r="C845" s="76">
        <f>194.205</f>
        <v>194.20500000000001</v>
      </c>
      <c r="D845" s="76">
        <f>267.466</f>
        <v>267.46600000000001</v>
      </c>
      <c r="E845" s="85">
        <f>133.845</f>
        <v>133.845</v>
      </c>
      <c r="F845" s="76">
        <f>278.484-40-25-60-100</f>
        <v>53.48399999999998</v>
      </c>
      <c r="G845" s="79">
        <v>40</v>
      </c>
      <c r="H845" s="76">
        <f t="shared" si="138"/>
        <v>185</v>
      </c>
      <c r="I845" s="76">
        <f t="shared" si="136"/>
        <v>0</v>
      </c>
      <c r="J845" s="79">
        <v>100</v>
      </c>
      <c r="K845" s="79">
        <v>300</v>
      </c>
      <c r="L845" s="76">
        <f t="shared" si="128"/>
        <v>1274</v>
      </c>
      <c r="M845" s="87">
        <v>600</v>
      </c>
      <c r="N845" s="76">
        <f>30</f>
        <v>30</v>
      </c>
      <c r="O845" s="79">
        <v>240</v>
      </c>
      <c r="P845" s="79">
        <v>40</v>
      </c>
      <c r="Q845" s="79">
        <f t="shared" si="129"/>
        <v>315</v>
      </c>
      <c r="R845" s="79">
        <f t="shared" si="130"/>
        <v>100</v>
      </c>
      <c r="S845" s="76">
        <f t="shared" si="131"/>
        <v>695</v>
      </c>
      <c r="T845" s="76">
        <f>50</f>
        <v>50</v>
      </c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</row>
    <row r="846" spans="1:30" ht="15.75" x14ac:dyDescent="0.25">
      <c r="A846" s="31">
        <v>66688</v>
      </c>
      <c r="B846" s="88">
        <f t="shared" si="132"/>
        <v>31</v>
      </c>
      <c r="C846" s="76">
        <f>194.205</f>
        <v>194.20500000000001</v>
      </c>
      <c r="D846" s="76">
        <f>267.466</f>
        <v>267.46600000000001</v>
      </c>
      <c r="E846" s="85">
        <f>133.845</f>
        <v>133.845</v>
      </c>
      <c r="F846" s="76">
        <f>278.484-40-25-60-100</f>
        <v>53.48399999999998</v>
      </c>
      <c r="G846" s="79">
        <v>40</v>
      </c>
      <c r="H846" s="76">
        <f t="shared" si="138"/>
        <v>185</v>
      </c>
      <c r="I846" s="76">
        <f t="shared" si="136"/>
        <v>0</v>
      </c>
      <c r="J846" s="79">
        <v>100</v>
      </c>
      <c r="K846" s="79">
        <v>300</v>
      </c>
      <c r="L846" s="76">
        <f t="shared" si="128"/>
        <v>1274</v>
      </c>
      <c r="M846" s="87">
        <v>600</v>
      </c>
      <c r="N846" s="76">
        <f>30</f>
        <v>30</v>
      </c>
      <c r="O846" s="79">
        <v>240</v>
      </c>
      <c r="P846" s="79">
        <v>40</v>
      </c>
      <c r="Q846" s="79">
        <f t="shared" si="129"/>
        <v>315</v>
      </c>
      <c r="R846" s="79">
        <f t="shared" si="130"/>
        <v>100</v>
      </c>
      <c r="S846" s="76">
        <f t="shared" si="131"/>
        <v>695</v>
      </c>
      <c r="T846" s="76">
        <f>0</f>
        <v>0</v>
      </c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</row>
    <row r="847" spans="1:30" ht="15.75" x14ac:dyDescent="0.25">
      <c r="A847" s="31">
        <v>66719</v>
      </c>
      <c r="B847" s="88">
        <f t="shared" si="132"/>
        <v>31</v>
      </c>
      <c r="C847" s="76">
        <f>194.205</f>
        <v>194.20500000000001</v>
      </c>
      <c r="D847" s="76">
        <f>267.466</f>
        <v>267.46600000000001</v>
      </c>
      <c r="E847" s="85">
        <f>133.845</f>
        <v>133.845</v>
      </c>
      <c r="F847" s="76">
        <f>278.484-40-25-60-100</f>
        <v>53.48399999999998</v>
      </c>
      <c r="G847" s="79">
        <v>40</v>
      </c>
      <c r="H847" s="76">
        <f t="shared" si="138"/>
        <v>185</v>
      </c>
      <c r="I847" s="76">
        <f t="shared" si="136"/>
        <v>0</v>
      </c>
      <c r="J847" s="79">
        <v>100</v>
      </c>
      <c r="K847" s="79">
        <v>300</v>
      </c>
      <c r="L847" s="76">
        <f t="shared" si="128"/>
        <v>1274</v>
      </c>
      <c r="M847" s="87">
        <v>600</v>
      </c>
      <c r="N847" s="76">
        <f>30</f>
        <v>30</v>
      </c>
      <c r="O847" s="79">
        <v>240</v>
      </c>
      <c r="P847" s="79">
        <v>40</v>
      </c>
      <c r="Q847" s="79">
        <f t="shared" si="129"/>
        <v>315</v>
      </c>
      <c r="R847" s="79">
        <f t="shared" si="130"/>
        <v>100</v>
      </c>
      <c r="S847" s="76">
        <f t="shared" si="131"/>
        <v>695</v>
      </c>
      <c r="T847" s="76">
        <f>0</f>
        <v>0</v>
      </c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</row>
    <row r="848" spans="1:30" ht="15.75" x14ac:dyDescent="0.25">
      <c r="A848" s="31">
        <v>66749</v>
      </c>
      <c r="B848" s="88">
        <f t="shared" si="132"/>
        <v>30</v>
      </c>
      <c r="C848" s="76">
        <f>194.205</f>
        <v>194.20500000000001</v>
      </c>
      <c r="D848" s="76">
        <f>267.466</f>
        <v>267.46600000000001</v>
      </c>
      <c r="E848" s="85">
        <f>133.845</f>
        <v>133.845</v>
      </c>
      <c r="F848" s="76">
        <f>278.484-40-25-60-100</f>
        <v>53.48399999999998</v>
      </c>
      <c r="G848" s="79">
        <v>40</v>
      </c>
      <c r="H848" s="76">
        <f t="shared" si="138"/>
        <v>185</v>
      </c>
      <c r="I848" s="76">
        <f t="shared" si="136"/>
        <v>0</v>
      </c>
      <c r="J848" s="79">
        <v>100</v>
      </c>
      <c r="K848" s="79">
        <v>300</v>
      </c>
      <c r="L848" s="76">
        <f t="shared" si="128"/>
        <v>1274</v>
      </c>
      <c r="M848" s="87">
        <v>600</v>
      </c>
      <c r="N848" s="76">
        <f>30</f>
        <v>30</v>
      </c>
      <c r="O848" s="79">
        <v>240</v>
      </c>
      <c r="P848" s="79">
        <v>40</v>
      </c>
      <c r="Q848" s="79">
        <f t="shared" si="129"/>
        <v>315</v>
      </c>
      <c r="R848" s="79">
        <f t="shared" si="130"/>
        <v>100</v>
      </c>
      <c r="S848" s="76">
        <f t="shared" si="131"/>
        <v>695</v>
      </c>
      <c r="T848" s="76">
        <f>0</f>
        <v>0</v>
      </c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</row>
    <row r="849" spans="1:30" ht="15.75" x14ac:dyDescent="0.25">
      <c r="A849" s="31">
        <v>66780</v>
      </c>
      <c r="B849" s="88">
        <f t="shared" si="132"/>
        <v>31</v>
      </c>
      <c r="C849" s="76">
        <f>131.881</f>
        <v>131.881</v>
      </c>
      <c r="D849" s="76">
        <f>277.167</f>
        <v>277.16699999999997</v>
      </c>
      <c r="E849" s="85">
        <f>79.08</f>
        <v>79.08</v>
      </c>
      <c r="F849" s="76">
        <f>350.872-40-25-60-100</f>
        <v>125.87200000000001</v>
      </c>
      <c r="G849" s="79">
        <v>40</v>
      </c>
      <c r="H849" s="76">
        <f t="shared" si="138"/>
        <v>185</v>
      </c>
      <c r="I849" s="76">
        <f t="shared" si="136"/>
        <v>0</v>
      </c>
      <c r="J849" s="79">
        <v>100</v>
      </c>
      <c r="K849" s="79">
        <v>300</v>
      </c>
      <c r="L849" s="76">
        <f t="shared" si="128"/>
        <v>1239</v>
      </c>
      <c r="M849" s="87">
        <v>600</v>
      </c>
      <c r="N849" s="76">
        <f>75</f>
        <v>75</v>
      </c>
      <c r="O849" s="79">
        <v>240</v>
      </c>
      <c r="P849" s="79">
        <v>40</v>
      </c>
      <c r="Q849" s="79">
        <f t="shared" si="129"/>
        <v>315</v>
      </c>
      <c r="R849" s="79">
        <f t="shared" si="130"/>
        <v>100</v>
      </c>
      <c r="S849" s="76">
        <f t="shared" si="131"/>
        <v>695</v>
      </c>
      <c r="T849" s="76">
        <f>0</f>
        <v>0</v>
      </c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</row>
    <row r="850" spans="1:30" ht="15.75" x14ac:dyDescent="0.25">
      <c r="A850" s="31">
        <v>66810</v>
      </c>
      <c r="B850" s="88">
        <f t="shared" si="132"/>
        <v>30</v>
      </c>
      <c r="C850" s="76">
        <f>122.58</f>
        <v>122.58</v>
      </c>
      <c r="D850" s="76">
        <f>297.941</f>
        <v>297.94099999999997</v>
      </c>
      <c r="E850" s="85">
        <f>89.177</f>
        <v>89.177000000000007</v>
      </c>
      <c r="F850" s="76">
        <f>240.302-40-60-100</f>
        <v>40.301999999999992</v>
      </c>
      <c r="G850" s="79">
        <v>40</v>
      </c>
      <c r="H850" s="76">
        <f>60+100</f>
        <v>160</v>
      </c>
      <c r="I850" s="76">
        <f t="shared" si="136"/>
        <v>0</v>
      </c>
      <c r="J850" s="79">
        <v>100</v>
      </c>
      <c r="K850" s="79">
        <v>300</v>
      </c>
      <c r="L850" s="76">
        <f t="shared" ref="L850:L913" si="139">SUM(C850:K850)</f>
        <v>1150</v>
      </c>
      <c r="M850" s="87">
        <v>600</v>
      </c>
      <c r="N850" s="76">
        <f>100</f>
        <v>100</v>
      </c>
      <c r="O850" s="79">
        <v>240</v>
      </c>
      <c r="P850" s="79">
        <v>40</v>
      </c>
      <c r="Q850" s="79">
        <f t="shared" ref="Q850:Q913" si="140">695-R850-O850-P850</f>
        <v>315</v>
      </c>
      <c r="R850" s="79">
        <f t="shared" ref="R850:R913" si="141">200-J850</f>
        <v>100</v>
      </c>
      <c r="S850" s="76">
        <f t="shared" ref="S850:S913" si="142">SUM(O850:R850)</f>
        <v>695</v>
      </c>
      <c r="T850" s="76">
        <f>50</f>
        <v>50</v>
      </c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</row>
    <row r="851" spans="1:30" ht="15.75" x14ac:dyDescent="0.25">
      <c r="A851" s="31">
        <v>66841</v>
      </c>
      <c r="B851" s="88">
        <f t="shared" si="132"/>
        <v>31</v>
      </c>
      <c r="C851" s="76">
        <f>122.58</f>
        <v>122.58</v>
      </c>
      <c r="D851" s="76">
        <f>297.941</f>
        <v>297.94099999999997</v>
      </c>
      <c r="E851" s="85">
        <f>89.177</f>
        <v>89.177000000000007</v>
      </c>
      <c r="F851" s="76">
        <f>240.302-40-60-100</f>
        <v>40.301999999999992</v>
      </c>
      <c r="G851" s="79">
        <v>40</v>
      </c>
      <c r="H851" s="76">
        <f>60+100</f>
        <v>160</v>
      </c>
      <c r="I851" s="76">
        <f t="shared" si="136"/>
        <v>0</v>
      </c>
      <c r="J851" s="79">
        <v>100</v>
      </c>
      <c r="K851" s="79">
        <v>300</v>
      </c>
      <c r="L851" s="76">
        <f t="shared" si="139"/>
        <v>1150</v>
      </c>
      <c r="M851" s="87">
        <v>600</v>
      </c>
      <c r="N851" s="76">
        <f>100</f>
        <v>100</v>
      </c>
      <c r="O851" s="79">
        <v>240</v>
      </c>
      <c r="P851" s="79">
        <v>40</v>
      </c>
      <c r="Q851" s="79">
        <f t="shared" si="140"/>
        <v>315</v>
      </c>
      <c r="R851" s="79">
        <f t="shared" si="141"/>
        <v>100</v>
      </c>
      <c r="S851" s="76">
        <f t="shared" si="142"/>
        <v>695</v>
      </c>
      <c r="T851" s="76">
        <f>50</f>
        <v>50</v>
      </c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</row>
    <row r="852" spans="1:30" ht="15.75" x14ac:dyDescent="0.25">
      <c r="A852" s="31">
        <v>66872</v>
      </c>
      <c r="B852" s="88">
        <f t="shared" si="132"/>
        <v>31</v>
      </c>
      <c r="C852" s="76">
        <f>122.58</f>
        <v>122.58</v>
      </c>
      <c r="D852" s="76">
        <f>297.941</f>
        <v>297.94099999999997</v>
      </c>
      <c r="E852" s="85">
        <f>89.177</f>
        <v>89.177000000000007</v>
      </c>
      <c r="F852" s="76">
        <f>240.302-40-60-100</f>
        <v>40.301999999999992</v>
      </c>
      <c r="G852" s="79">
        <v>40</v>
      </c>
      <c r="H852" s="76">
        <f>60+100</f>
        <v>160</v>
      </c>
      <c r="I852" s="76">
        <f t="shared" si="136"/>
        <v>0</v>
      </c>
      <c r="J852" s="79">
        <v>100</v>
      </c>
      <c r="K852" s="79">
        <v>300</v>
      </c>
      <c r="L852" s="76">
        <f t="shared" si="139"/>
        <v>1150</v>
      </c>
      <c r="M852" s="87">
        <v>600</v>
      </c>
      <c r="N852" s="76">
        <f>100</f>
        <v>100</v>
      </c>
      <c r="O852" s="79">
        <v>240</v>
      </c>
      <c r="P852" s="79">
        <v>40</v>
      </c>
      <c r="Q852" s="79">
        <f t="shared" si="140"/>
        <v>315</v>
      </c>
      <c r="R852" s="79">
        <f t="shared" si="141"/>
        <v>100</v>
      </c>
      <c r="S852" s="76">
        <f t="shared" si="142"/>
        <v>695</v>
      </c>
      <c r="T852" s="76">
        <f>50</f>
        <v>50</v>
      </c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</row>
    <row r="853" spans="1:30" ht="15.75" x14ac:dyDescent="0.25">
      <c r="A853" s="31">
        <v>66900</v>
      </c>
      <c r="B853" s="88">
        <f t="shared" si="132"/>
        <v>28</v>
      </c>
      <c r="C853" s="76">
        <f>122.58</f>
        <v>122.58</v>
      </c>
      <c r="D853" s="76">
        <f>297.941</f>
        <v>297.94099999999997</v>
      </c>
      <c r="E853" s="85">
        <f>89.177</f>
        <v>89.177000000000007</v>
      </c>
      <c r="F853" s="76">
        <f>240.302-40-60-100</f>
        <v>40.301999999999992</v>
      </c>
      <c r="G853" s="79">
        <v>40</v>
      </c>
      <c r="H853" s="76">
        <f>60+100</f>
        <v>160</v>
      </c>
      <c r="I853" s="76">
        <f t="shared" si="136"/>
        <v>0</v>
      </c>
      <c r="J853" s="79">
        <v>100</v>
      </c>
      <c r="K853" s="79">
        <v>300</v>
      </c>
      <c r="L853" s="76">
        <f t="shared" si="139"/>
        <v>1150</v>
      </c>
      <c r="M853" s="87">
        <v>600</v>
      </c>
      <c r="N853" s="76">
        <f>100</f>
        <v>100</v>
      </c>
      <c r="O853" s="79">
        <v>240</v>
      </c>
      <c r="P853" s="79">
        <v>40</v>
      </c>
      <c r="Q853" s="79">
        <f t="shared" si="140"/>
        <v>315</v>
      </c>
      <c r="R853" s="79">
        <f t="shared" si="141"/>
        <v>100</v>
      </c>
      <c r="S853" s="76">
        <f t="shared" si="142"/>
        <v>695</v>
      </c>
      <c r="T853" s="76">
        <f>50</f>
        <v>50</v>
      </c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</row>
    <row r="854" spans="1:30" ht="15.75" x14ac:dyDescent="0.25">
      <c r="A854" s="31">
        <v>66931</v>
      </c>
      <c r="B854" s="88">
        <f t="shared" si="132"/>
        <v>31</v>
      </c>
      <c r="C854" s="76">
        <f>122.58</f>
        <v>122.58</v>
      </c>
      <c r="D854" s="76">
        <f>297.941</f>
        <v>297.94099999999997</v>
      </c>
      <c r="E854" s="85">
        <f>89.177</f>
        <v>89.177000000000007</v>
      </c>
      <c r="F854" s="76">
        <f>240.302-40-60-100</f>
        <v>40.301999999999992</v>
      </c>
      <c r="G854" s="79">
        <v>40</v>
      </c>
      <c r="H854" s="76">
        <f>60+100</f>
        <v>160</v>
      </c>
      <c r="I854" s="76">
        <f t="shared" si="136"/>
        <v>0</v>
      </c>
      <c r="J854" s="79">
        <v>100</v>
      </c>
      <c r="K854" s="79">
        <v>300</v>
      </c>
      <c r="L854" s="76">
        <f t="shared" si="139"/>
        <v>1150</v>
      </c>
      <c r="M854" s="87">
        <v>600</v>
      </c>
      <c r="N854" s="76">
        <f>100</f>
        <v>100</v>
      </c>
      <c r="O854" s="79">
        <v>240</v>
      </c>
      <c r="P854" s="79">
        <v>40</v>
      </c>
      <c r="Q854" s="79">
        <f t="shared" si="140"/>
        <v>315</v>
      </c>
      <c r="R854" s="79">
        <f t="shared" si="141"/>
        <v>100</v>
      </c>
      <c r="S854" s="76">
        <f t="shared" si="142"/>
        <v>695</v>
      </c>
      <c r="T854" s="76">
        <f>50</f>
        <v>50</v>
      </c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</row>
    <row r="855" spans="1:30" ht="15.75" x14ac:dyDescent="0.25">
      <c r="A855" s="31">
        <v>66961</v>
      </c>
      <c r="B855" s="88">
        <f t="shared" si="132"/>
        <v>30</v>
      </c>
      <c r="C855" s="76">
        <f>141.293</f>
        <v>141.29300000000001</v>
      </c>
      <c r="D855" s="76">
        <f>267.993</f>
        <v>267.99299999999999</v>
      </c>
      <c r="E855" s="85">
        <f>115.016</f>
        <v>115.01600000000001</v>
      </c>
      <c r="F855" s="76">
        <f>314.698-40-25-60-100</f>
        <v>89.697999999999979</v>
      </c>
      <c r="G855" s="79">
        <v>40</v>
      </c>
      <c r="H855" s="76">
        <f t="shared" ref="H855:H861" si="143">25+60+100</f>
        <v>185</v>
      </c>
      <c r="I855" s="76">
        <f t="shared" si="136"/>
        <v>0</v>
      </c>
      <c r="J855" s="79">
        <v>100</v>
      </c>
      <c r="K855" s="79">
        <v>300</v>
      </c>
      <c r="L855" s="76">
        <f t="shared" si="139"/>
        <v>1239</v>
      </c>
      <c r="M855" s="87">
        <v>600</v>
      </c>
      <c r="N855" s="76">
        <f>100</f>
        <v>100</v>
      </c>
      <c r="O855" s="79">
        <v>240</v>
      </c>
      <c r="P855" s="79">
        <v>40</v>
      </c>
      <c r="Q855" s="79">
        <f t="shared" si="140"/>
        <v>315</v>
      </c>
      <c r="R855" s="79">
        <f t="shared" si="141"/>
        <v>100</v>
      </c>
      <c r="S855" s="76">
        <f t="shared" si="142"/>
        <v>695</v>
      </c>
      <c r="T855" s="76">
        <f>50</f>
        <v>50</v>
      </c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</row>
    <row r="856" spans="1:30" ht="15.75" x14ac:dyDescent="0.25">
      <c r="A856" s="31">
        <v>66992</v>
      </c>
      <c r="B856" s="88">
        <f t="shared" ref="B856:B919" si="144">EOMONTH(A856,0)-EOMONTH(A856,-1)</f>
        <v>31</v>
      </c>
      <c r="C856" s="76">
        <f>194.205</f>
        <v>194.20500000000001</v>
      </c>
      <c r="D856" s="76">
        <f>267.466</f>
        <v>267.46600000000001</v>
      </c>
      <c r="E856" s="85">
        <f>133.845</f>
        <v>133.845</v>
      </c>
      <c r="F856" s="76">
        <f>278.484-40-25-60-100</f>
        <v>53.48399999999998</v>
      </c>
      <c r="G856" s="79">
        <v>40</v>
      </c>
      <c r="H856" s="76">
        <f t="shared" si="143"/>
        <v>185</v>
      </c>
      <c r="I856" s="76">
        <f t="shared" si="136"/>
        <v>0</v>
      </c>
      <c r="J856" s="79">
        <v>100</v>
      </c>
      <c r="K856" s="79">
        <v>300</v>
      </c>
      <c r="L856" s="76">
        <f t="shared" si="139"/>
        <v>1274</v>
      </c>
      <c r="M856" s="87">
        <v>600</v>
      </c>
      <c r="N856" s="76">
        <f>75</f>
        <v>75</v>
      </c>
      <c r="O856" s="79">
        <v>240</v>
      </c>
      <c r="P856" s="79">
        <v>40</v>
      </c>
      <c r="Q856" s="79">
        <f t="shared" si="140"/>
        <v>315</v>
      </c>
      <c r="R856" s="79">
        <f t="shared" si="141"/>
        <v>100</v>
      </c>
      <c r="S856" s="76">
        <f t="shared" si="142"/>
        <v>695</v>
      </c>
      <c r="T856" s="76">
        <f>50</f>
        <v>50</v>
      </c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</row>
    <row r="857" spans="1:30" ht="15.75" x14ac:dyDescent="0.25">
      <c r="A857" s="31">
        <v>67022</v>
      </c>
      <c r="B857" s="88">
        <f t="shared" si="144"/>
        <v>30</v>
      </c>
      <c r="C857" s="76">
        <f>194.205</f>
        <v>194.20500000000001</v>
      </c>
      <c r="D857" s="76">
        <f>267.466</f>
        <v>267.46600000000001</v>
      </c>
      <c r="E857" s="85">
        <f>133.845</f>
        <v>133.845</v>
      </c>
      <c r="F857" s="76">
        <f>278.484-40-25-60-100</f>
        <v>53.48399999999998</v>
      </c>
      <c r="G857" s="79">
        <v>40</v>
      </c>
      <c r="H857" s="76">
        <f t="shared" si="143"/>
        <v>185</v>
      </c>
      <c r="I857" s="76">
        <f t="shared" si="136"/>
        <v>0</v>
      </c>
      <c r="J857" s="79">
        <v>100</v>
      </c>
      <c r="K857" s="79">
        <v>300</v>
      </c>
      <c r="L857" s="76">
        <f t="shared" si="139"/>
        <v>1274</v>
      </c>
      <c r="M857" s="87">
        <v>600</v>
      </c>
      <c r="N857" s="76">
        <f>30</f>
        <v>30</v>
      </c>
      <c r="O857" s="79">
        <v>240</v>
      </c>
      <c r="P857" s="79">
        <v>40</v>
      </c>
      <c r="Q857" s="79">
        <f t="shared" si="140"/>
        <v>315</v>
      </c>
      <c r="R857" s="79">
        <f t="shared" si="141"/>
        <v>100</v>
      </c>
      <c r="S857" s="76">
        <f t="shared" si="142"/>
        <v>695</v>
      </c>
      <c r="T857" s="76">
        <f>50</f>
        <v>50</v>
      </c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</row>
    <row r="858" spans="1:30" ht="15.75" x14ac:dyDescent="0.25">
      <c r="A858" s="31">
        <v>67053</v>
      </c>
      <c r="B858" s="88">
        <f t="shared" si="144"/>
        <v>31</v>
      </c>
      <c r="C858" s="76">
        <f>194.205</f>
        <v>194.20500000000001</v>
      </c>
      <c r="D858" s="76">
        <f>267.466</f>
        <v>267.46600000000001</v>
      </c>
      <c r="E858" s="85">
        <f>133.845</f>
        <v>133.845</v>
      </c>
      <c r="F858" s="76">
        <f>278.484-40-25-60-100</f>
        <v>53.48399999999998</v>
      </c>
      <c r="G858" s="79">
        <v>40</v>
      </c>
      <c r="H858" s="76">
        <f t="shared" si="143"/>
        <v>185</v>
      </c>
      <c r="I858" s="76">
        <f t="shared" si="136"/>
        <v>0</v>
      </c>
      <c r="J858" s="79">
        <v>100</v>
      </c>
      <c r="K858" s="79">
        <v>300</v>
      </c>
      <c r="L858" s="76">
        <f t="shared" si="139"/>
        <v>1274</v>
      </c>
      <c r="M858" s="87">
        <v>600</v>
      </c>
      <c r="N858" s="76">
        <f>30</f>
        <v>30</v>
      </c>
      <c r="O858" s="79">
        <v>240</v>
      </c>
      <c r="P858" s="79">
        <v>40</v>
      </c>
      <c r="Q858" s="79">
        <f t="shared" si="140"/>
        <v>315</v>
      </c>
      <c r="R858" s="79">
        <f t="shared" si="141"/>
        <v>100</v>
      </c>
      <c r="S858" s="76">
        <f t="shared" si="142"/>
        <v>695</v>
      </c>
      <c r="T858" s="76">
        <f>0</f>
        <v>0</v>
      </c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</row>
    <row r="859" spans="1:30" ht="15.75" x14ac:dyDescent="0.25">
      <c r="A859" s="31">
        <v>67084</v>
      </c>
      <c r="B859" s="88">
        <f t="shared" si="144"/>
        <v>31</v>
      </c>
      <c r="C859" s="76">
        <f>194.205</f>
        <v>194.20500000000001</v>
      </c>
      <c r="D859" s="76">
        <f>267.466</f>
        <v>267.46600000000001</v>
      </c>
      <c r="E859" s="85">
        <f>133.845</f>
        <v>133.845</v>
      </c>
      <c r="F859" s="76">
        <f>278.484-40-25-60-100</f>
        <v>53.48399999999998</v>
      </c>
      <c r="G859" s="79">
        <v>40</v>
      </c>
      <c r="H859" s="76">
        <f t="shared" si="143"/>
        <v>185</v>
      </c>
      <c r="I859" s="76">
        <f t="shared" si="136"/>
        <v>0</v>
      </c>
      <c r="J859" s="79">
        <v>100</v>
      </c>
      <c r="K859" s="79">
        <v>300</v>
      </c>
      <c r="L859" s="76">
        <f t="shared" si="139"/>
        <v>1274</v>
      </c>
      <c r="M859" s="87">
        <v>600</v>
      </c>
      <c r="N859" s="76">
        <f>30</f>
        <v>30</v>
      </c>
      <c r="O859" s="79">
        <v>240</v>
      </c>
      <c r="P859" s="79">
        <v>40</v>
      </c>
      <c r="Q859" s="79">
        <f t="shared" si="140"/>
        <v>315</v>
      </c>
      <c r="R859" s="79">
        <f t="shared" si="141"/>
        <v>100</v>
      </c>
      <c r="S859" s="76">
        <f t="shared" si="142"/>
        <v>695</v>
      </c>
      <c r="T859" s="76">
        <f>0</f>
        <v>0</v>
      </c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</row>
    <row r="860" spans="1:30" ht="15.75" x14ac:dyDescent="0.25">
      <c r="A860" s="31">
        <v>67114</v>
      </c>
      <c r="B860" s="88">
        <f t="shared" si="144"/>
        <v>30</v>
      </c>
      <c r="C860" s="76">
        <f>194.205</f>
        <v>194.20500000000001</v>
      </c>
      <c r="D860" s="76">
        <f>267.466</f>
        <v>267.46600000000001</v>
      </c>
      <c r="E860" s="85">
        <f>133.845</f>
        <v>133.845</v>
      </c>
      <c r="F860" s="76">
        <f>278.484-40-25-60-100</f>
        <v>53.48399999999998</v>
      </c>
      <c r="G860" s="79">
        <v>40</v>
      </c>
      <c r="H860" s="76">
        <f t="shared" si="143"/>
        <v>185</v>
      </c>
      <c r="I860" s="76">
        <f t="shared" si="136"/>
        <v>0</v>
      </c>
      <c r="J860" s="79">
        <v>100</v>
      </c>
      <c r="K860" s="79">
        <v>300</v>
      </c>
      <c r="L860" s="76">
        <f t="shared" si="139"/>
        <v>1274</v>
      </c>
      <c r="M860" s="87">
        <v>600</v>
      </c>
      <c r="N860" s="76">
        <f>30</f>
        <v>30</v>
      </c>
      <c r="O860" s="79">
        <v>240</v>
      </c>
      <c r="P860" s="79">
        <v>40</v>
      </c>
      <c r="Q860" s="79">
        <f t="shared" si="140"/>
        <v>315</v>
      </c>
      <c r="R860" s="79">
        <f t="shared" si="141"/>
        <v>100</v>
      </c>
      <c r="S860" s="76">
        <f t="shared" si="142"/>
        <v>695</v>
      </c>
      <c r="T860" s="76">
        <f>0</f>
        <v>0</v>
      </c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</row>
    <row r="861" spans="1:30" ht="15.75" x14ac:dyDescent="0.25">
      <c r="A861" s="31">
        <v>67145</v>
      </c>
      <c r="B861" s="88">
        <f t="shared" si="144"/>
        <v>31</v>
      </c>
      <c r="C861" s="76">
        <f>131.881</f>
        <v>131.881</v>
      </c>
      <c r="D861" s="76">
        <f>277.167</f>
        <v>277.16699999999997</v>
      </c>
      <c r="E861" s="85">
        <f>79.08</f>
        <v>79.08</v>
      </c>
      <c r="F861" s="76">
        <f>350.872-40-25-60-100</f>
        <v>125.87200000000001</v>
      </c>
      <c r="G861" s="79">
        <v>40</v>
      </c>
      <c r="H861" s="76">
        <f t="shared" si="143"/>
        <v>185</v>
      </c>
      <c r="I861" s="76">
        <f t="shared" si="136"/>
        <v>0</v>
      </c>
      <c r="J861" s="79">
        <v>100</v>
      </c>
      <c r="K861" s="79">
        <v>300</v>
      </c>
      <c r="L861" s="76">
        <f t="shared" si="139"/>
        <v>1239</v>
      </c>
      <c r="M861" s="87">
        <v>600</v>
      </c>
      <c r="N861" s="76">
        <f>75</f>
        <v>75</v>
      </c>
      <c r="O861" s="79">
        <v>240</v>
      </c>
      <c r="P861" s="79">
        <v>40</v>
      </c>
      <c r="Q861" s="79">
        <f t="shared" si="140"/>
        <v>315</v>
      </c>
      <c r="R861" s="79">
        <f t="shared" si="141"/>
        <v>100</v>
      </c>
      <c r="S861" s="76">
        <f t="shared" si="142"/>
        <v>695</v>
      </c>
      <c r="T861" s="76">
        <f>0</f>
        <v>0</v>
      </c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</row>
    <row r="862" spans="1:30" ht="15.75" x14ac:dyDescent="0.25">
      <c r="A862" s="31">
        <v>67175</v>
      </c>
      <c r="B862" s="88">
        <f t="shared" si="144"/>
        <v>30</v>
      </c>
      <c r="C862" s="76">
        <f>122.58</f>
        <v>122.58</v>
      </c>
      <c r="D862" s="76">
        <f>297.941</f>
        <v>297.94099999999997</v>
      </c>
      <c r="E862" s="85">
        <f>89.177</f>
        <v>89.177000000000007</v>
      </c>
      <c r="F862" s="76">
        <f>240.302-40-60-100</f>
        <v>40.301999999999992</v>
      </c>
      <c r="G862" s="79">
        <v>40</v>
      </c>
      <c r="H862" s="76">
        <f>60+100</f>
        <v>160</v>
      </c>
      <c r="I862" s="76">
        <f t="shared" si="136"/>
        <v>0</v>
      </c>
      <c r="J862" s="79">
        <v>100</v>
      </c>
      <c r="K862" s="79">
        <v>300</v>
      </c>
      <c r="L862" s="76">
        <f t="shared" si="139"/>
        <v>1150</v>
      </c>
      <c r="M862" s="87">
        <v>600</v>
      </c>
      <c r="N862" s="76">
        <f>100</f>
        <v>100</v>
      </c>
      <c r="O862" s="79">
        <v>240</v>
      </c>
      <c r="P862" s="79">
        <v>40</v>
      </c>
      <c r="Q862" s="79">
        <f t="shared" si="140"/>
        <v>315</v>
      </c>
      <c r="R862" s="79">
        <f t="shared" si="141"/>
        <v>100</v>
      </c>
      <c r="S862" s="76">
        <f t="shared" si="142"/>
        <v>695</v>
      </c>
      <c r="T862" s="76">
        <f>50</f>
        <v>50</v>
      </c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</row>
    <row r="863" spans="1:30" ht="15.75" x14ac:dyDescent="0.25">
      <c r="A863" s="31">
        <v>67206</v>
      </c>
      <c r="B863" s="88">
        <f t="shared" si="144"/>
        <v>31</v>
      </c>
      <c r="C863" s="76">
        <f>122.58</f>
        <v>122.58</v>
      </c>
      <c r="D863" s="76">
        <f>297.941</f>
        <v>297.94099999999997</v>
      </c>
      <c r="E863" s="85">
        <f>89.177</f>
        <v>89.177000000000007</v>
      </c>
      <c r="F863" s="76">
        <f>240.302-40-60-100</f>
        <v>40.301999999999992</v>
      </c>
      <c r="G863" s="79">
        <v>40</v>
      </c>
      <c r="H863" s="76">
        <f>60+100</f>
        <v>160</v>
      </c>
      <c r="I863" s="76">
        <f t="shared" si="136"/>
        <v>0</v>
      </c>
      <c r="J863" s="79">
        <v>100</v>
      </c>
      <c r="K863" s="79">
        <v>300</v>
      </c>
      <c r="L863" s="76">
        <f t="shared" si="139"/>
        <v>1150</v>
      </c>
      <c r="M863" s="87">
        <v>600</v>
      </c>
      <c r="N863" s="76">
        <f>100</f>
        <v>100</v>
      </c>
      <c r="O863" s="79">
        <v>240</v>
      </c>
      <c r="P863" s="79">
        <v>40</v>
      </c>
      <c r="Q863" s="79">
        <f t="shared" si="140"/>
        <v>315</v>
      </c>
      <c r="R863" s="79">
        <f t="shared" si="141"/>
        <v>100</v>
      </c>
      <c r="S863" s="76">
        <f t="shared" si="142"/>
        <v>695</v>
      </c>
      <c r="T863" s="76">
        <f>50</f>
        <v>50</v>
      </c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</row>
    <row r="864" spans="1:30" ht="15.75" x14ac:dyDescent="0.25">
      <c r="A864" s="31">
        <v>67237</v>
      </c>
      <c r="B864" s="88">
        <f t="shared" si="144"/>
        <v>31</v>
      </c>
      <c r="C864" s="76">
        <f>122.58</f>
        <v>122.58</v>
      </c>
      <c r="D864" s="76">
        <f>297.941</f>
        <v>297.94099999999997</v>
      </c>
      <c r="E864" s="85">
        <f>89.177</f>
        <v>89.177000000000007</v>
      </c>
      <c r="F864" s="76">
        <f>240.302-40-60-100</f>
        <v>40.301999999999992</v>
      </c>
      <c r="G864" s="79">
        <v>40</v>
      </c>
      <c r="H864" s="76">
        <f>60+100</f>
        <v>160</v>
      </c>
      <c r="I864" s="76">
        <f t="shared" si="136"/>
        <v>0</v>
      </c>
      <c r="J864" s="79">
        <v>100</v>
      </c>
      <c r="K864" s="79">
        <v>300</v>
      </c>
      <c r="L864" s="76">
        <f t="shared" si="139"/>
        <v>1150</v>
      </c>
      <c r="M864" s="87">
        <v>600</v>
      </c>
      <c r="N864" s="76">
        <f>100</f>
        <v>100</v>
      </c>
      <c r="O864" s="79">
        <v>240</v>
      </c>
      <c r="P864" s="79">
        <v>40</v>
      </c>
      <c r="Q864" s="79">
        <f t="shared" si="140"/>
        <v>315</v>
      </c>
      <c r="R864" s="79">
        <f t="shared" si="141"/>
        <v>100</v>
      </c>
      <c r="S864" s="76">
        <f t="shared" si="142"/>
        <v>695</v>
      </c>
      <c r="T864" s="76">
        <f>50</f>
        <v>50</v>
      </c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</row>
    <row r="865" spans="1:30" ht="15.75" x14ac:dyDescent="0.25">
      <c r="A865" s="31">
        <v>67266</v>
      </c>
      <c r="B865" s="88">
        <f t="shared" si="144"/>
        <v>29</v>
      </c>
      <c r="C865" s="76">
        <f>122.58</f>
        <v>122.58</v>
      </c>
      <c r="D865" s="76">
        <f>297.941</f>
        <v>297.94099999999997</v>
      </c>
      <c r="E865" s="85">
        <f>89.177</f>
        <v>89.177000000000007</v>
      </c>
      <c r="F865" s="76">
        <f>240.302-40-60-100</f>
        <v>40.301999999999992</v>
      </c>
      <c r="G865" s="79">
        <v>40</v>
      </c>
      <c r="H865" s="76">
        <f>60+100</f>
        <v>160</v>
      </c>
      <c r="I865" s="76">
        <f t="shared" si="136"/>
        <v>0</v>
      </c>
      <c r="J865" s="79">
        <v>100</v>
      </c>
      <c r="K865" s="79">
        <v>300</v>
      </c>
      <c r="L865" s="76">
        <f t="shared" si="139"/>
        <v>1150</v>
      </c>
      <c r="M865" s="87">
        <v>600</v>
      </c>
      <c r="N865" s="76">
        <f>100</f>
        <v>100</v>
      </c>
      <c r="O865" s="79">
        <v>240</v>
      </c>
      <c r="P865" s="79">
        <v>40</v>
      </c>
      <c r="Q865" s="79">
        <f t="shared" si="140"/>
        <v>315</v>
      </c>
      <c r="R865" s="79">
        <f t="shared" si="141"/>
        <v>100</v>
      </c>
      <c r="S865" s="76">
        <f t="shared" si="142"/>
        <v>695</v>
      </c>
      <c r="T865" s="76">
        <f>50</f>
        <v>50</v>
      </c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</row>
    <row r="866" spans="1:30" ht="15.75" x14ac:dyDescent="0.25">
      <c r="A866" s="31">
        <v>67297</v>
      </c>
      <c r="B866" s="88">
        <f t="shared" si="144"/>
        <v>31</v>
      </c>
      <c r="C866" s="76">
        <f>122.58</f>
        <v>122.58</v>
      </c>
      <c r="D866" s="76">
        <f>297.941</f>
        <v>297.94099999999997</v>
      </c>
      <c r="E866" s="85">
        <f>89.177</f>
        <v>89.177000000000007</v>
      </c>
      <c r="F866" s="76">
        <f>240.302-40-60-100</f>
        <v>40.301999999999992</v>
      </c>
      <c r="G866" s="79">
        <v>40</v>
      </c>
      <c r="H866" s="76">
        <f>60+100</f>
        <v>160</v>
      </c>
      <c r="I866" s="76">
        <f t="shared" si="136"/>
        <v>0</v>
      </c>
      <c r="J866" s="79">
        <v>100</v>
      </c>
      <c r="K866" s="79">
        <v>300</v>
      </c>
      <c r="L866" s="76">
        <f t="shared" si="139"/>
        <v>1150</v>
      </c>
      <c r="M866" s="87">
        <v>600</v>
      </c>
      <c r="N866" s="76">
        <f>100</f>
        <v>100</v>
      </c>
      <c r="O866" s="79">
        <v>240</v>
      </c>
      <c r="P866" s="79">
        <v>40</v>
      </c>
      <c r="Q866" s="79">
        <f t="shared" si="140"/>
        <v>315</v>
      </c>
      <c r="R866" s="79">
        <f t="shared" si="141"/>
        <v>100</v>
      </c>
      <c r="S866" s="76">
        <f t="shared" si="142"/>
        <v>695</v>
      </c>
      <c r="T866" s="76">
        <f>50</f>
        <v>50</v>
      </c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</row>
    <row r="867" spans="1:30" ht="15.75" x14ac:dyDescent="0.25">
      <c r="A867" s="31">
        <v>67327</v>
      </c>
      <c r="B867" s="88">
        <f t="shared" si="144"/>
        <v>30</v>
      </c>
      <c r="C867" s="76">
        <f>141.293</f>
        <v>141.29300000000001</v>
      </c>
      <c r="D867" s="76">
        <f>267.993</f>
        <v>267.99299999999999</v>
      </c>
      <c r="E867" s="85">
        <f>115.016</f>
        <v>115.01600000000001</v>
      </c>
      <c r="F867" s="76">
        <f>314.698-40-25-60-100</f>
        <v>89.697999999999979</v>
      </c>
      <c r="G867" s="79">
        <v>40</v>
      </c>
      <c r="H867" s="76">
        <f t="shared" ref="H867:H873" si="145">25+60+100</f>
        <v>185</v>
      </c>
      <c r="I867" s="76">
        <f t="shared" si="136"/>
        <v>0</v>
      </c>
      <c r="J867" s="79">
        <v>100</v>
      </c>
      <c r="K867" s="79">
        <v>300</v>
      </c>
      <c r="L867" s="76">
        <f t="shared" si="139"/>
        <v>1239</v>
      </c>
      <c r="M867" s="87">
        <v>600</v>
      </c>
      <c r="N867" s="76">
        <f>100</f>
        <v>100</v>
      </c>
      <c r="O867" s="79">
        <v>240</v>
      </c>
      <c r="P867" s="79">
        <v>40</v>
      </c>
      <c r="Q867" s="79">
        <f t="shared" si="140"/>
        <v>315</v>
      </c>
      <c r="R867" s="79">
        <f t="shared" si="141"/>
        <v>100</v>
      </c>
      <c r="S867" s="76">
        <f t="shared" si="142"/>
        <v>695</v>
      </c>
      <c r="T867" s="76">
        <f>50</f>
        <v>50</v>
      </c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</row>
    <row r="868" spans="1:30" ht="15.75" x14ac:dyDescent="0.25">
      <c r="A868" s="31">
        <v>67358</v>
      </c>
      <c r="B868" s="88">
        <f t="shared" si="144"/>
        <v>31</v>
      </c>
      <c r="C868" s="76">
        <f>194.205</f>
        <v>194.20500000000001</v>
      </c>
      <c r="D868" s="76">
        <f>267.466</f>
        <v>267.46600000000001</v>
      </c>
      <c r="E868" s="85">
        <f>133.845</f>
        <v>133.845</v>
      </c>
      <c r="F868" s="76">
        <f>278.484-40-25-60-100</f>
        <v>53.48399999999998</v>
      </c>
      <c r="G868" s="79">
        <v>40</v>
      </c>
      <c r="H868" s="76">
        <f t="shared" si="145"/>
        <v>185</v>
      </c>
      <c r="I868" s="76">
        <f t="shared" si="136"/>
        <v>0</v>
      </c>
      <c r="J868" s="79">
        <v>100</v>
      </c>
      <c r="K868" s="79">
        <v>300</v>
      </c>
      <c r="L868" s="76">
        <f t="shared" si="139"/>
        <v>1274</v>
      </c>
      <c r="M868" s="87">
        <v>600</v>
      </c>
      <c r="N868" s="76">
        <f>75</f>
        <v>75</v>
      </c>
      <c r="O868" s="79">
        <v>240</v>
      </c>
      <c r="P868" s="79">
        <v>40</v>
      </c>
      <c r="Q868" s="79">
        <f t="shared" si="140"/>
        <v>315</v>
      </c>
      <c r="R868" s="79">
        <f t="shared" si="141"/>
        <v>100</v>
      </c>
      <c r="S868" s="76">
        <f t="shared" si="142"/>
        <v>695</v>
      </c>
      <c r="T868" s="76">
        <f>50</f>
        <v>50</v>
      </c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</row>
    <row r="869" spans="1:30" ht="15.75" x14ac:dyDescent="0.25">
      <c r="A869" s="31">
        <v>67388</v>
      </c>
      <c r="B869" s="88">
        <f t="shared" si="144"/>
        <v>30</v>
      </c>
      <c r="C869" s="76">
        <f>194.205</f>
        <v>194.20500000000001</v>
      </c>
      <c r="D869" s="76">
        <f>267.466</f>
        <v>267.46600000000001</v>
      </c>
      <c r="E869" s="85">
        <f>133.845</f>
        <v>133.845</v>
      </c>
      <c r="F869" s="76">
        <f>278.484-40-25-60-100</f>
        <v>53.48399999999998</v>
      </c>
      <c r="G869" s="79">
        <v>40</v>
      </c>
      <c r="H869" s="76">
        <f t="shared" si="145"/>
        <v>185</v>
      </c>
      <c r="I869" s="76">
        <f t="shared" si="136"/>
        <v>0</v>
      </c>
      <c r="J869" s="79">
        <v>100</v>
      </c>
      <c r="K869" s="79">
        <v>300</v>
      </c>
      <c r="L869" s="76">
        <f t="shared" si="139"/>
        <v>1274</v>
      </c>
      <c r="M869" s="87">
        <v>600</v>
      </c>
      <c r="N869" s="76">
        <f>30</f>
        <v>30</v>
      </c>
      <c r="O869" s="79">
        <v>240</v>
      </c>
      <c r="P869" s="79">
        <v>40</v>
      </c>
      <c r="Q869" s="79">
        <f t="shared" si="140"/>
        <v>315</v>
      </c>
      <c r="R869" s="79">
        <f t="shared" si="141"/>
        <v>100</v>
      </c>
      <c r="S869" s="76">
        <f t="shared" si="142"/>
        <v>695</v>
      </c>
      <c r="T869" s="76">
        <f>50</f>
        <v>50</v>
      </c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</row>
    <row r="870" spans="1:30" ht="15.75" x14ac:dyDescent="0.25">
      <c r="A870" s="31">
        <v>67419</v>
      </c>
      <c r="B870" s="88">
        <f t="shared" si="144"/>
        <v>31</v>
      </c>
      <c r="C870" s="76">
        <f>194.205</f>
        <v>194.20500000000001</v>
      </c>
      <c r="D870" s="76">
        <f>267.466</f>
        <v>267.46600000000001</v>
      </c>
      <c r="E870" s="85">
        <f>133.845</f>
        <v>133.845</v>
      </c>
      <c r="F870" s="76">
        <f>278.484-40-25-60-100</f>
        <v>53.48399999999998</v>
      </c>
      <c r="G870" s="79">
        <v>40</v>
      </c>
      <c r="H870" s="76">
        <f t="shared" si="145"/>
        <v>185</v>
      </c>
      <c r="I870" s="76">
        <f t="shared" si="136"/>
        <v>0</v>
      </c>
      <c r="J870" s="79">
        <v>100</v>
      </c>
      <c r="K870" s="79">
        <v>300</v>
      </c>
      <c r="L870" s="76">
        <f t="shared" si="139"/>
        <v>1274</v>
      </c>
      <c r="M870" s="87">
        <v>600</v>
      </c>
      <c r="N870" s="76">
        <f>30</f>
        <v>30</v>
      </c>
      <c r="O870" s="79">
        <v>240</v>
      </c>
      <c r="P870" s="79">
        <v>40</v>
      </c>
      <c r="Q870" s="79">
        <f t="shared" si="140"/>
        <v>315</v>
      </c>
      <c r="R870" s="79">
        <f t="shared" si="141"/>
        <v>100</v>
      </c>
      <c r="S870" s="76">
        <f t="shared" si="142"/>
        <v>695</v>
      </c>
      <c r="T870" s="76">
        <f>0</f>
        <v>0</v>
      </c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</row>
    <row r="871" spans="1:30" ht="15.75" x14ac:dyDescent="0.25">
      <c r="A871" s="31">
        <v>67450</v>
      </c>
      <c r="B871" s="88">
        <f t="shared" si="144"/>
        <v>31</v>
      </c>
      <c r="C871" s="76">
        <f>194.205</f>
        <v>194.20500000000001</v>
      </c>
      <c r="D871" s="76">
        <f>267.466</f>
        <v>267.46600000000001</v>
      </c>
      <c r="E871" s="85">
        <f>133.845</f>
        <v>133.845</v>
      </c>
      <c r="F871" s="76">
        <f>278.484-40-25-60-100</f>
        <v>53.48399999999998</v>
      </c>
      <c r="G871" s="79">
        <v>40</v>
      </c>
      <c r="H871" s="76">
        <f t="shared" si="145"/>
        <v>185</v>
      </c>
      <c r="I871" s="76">
        <f t="shared" si="136"/>
        <v>0</v>
      </c>
      <c r="J871" s="79">
        <v>100</v>
      </c>
      <c r="K871" s="79">
        <v>300</v>
      </c>
      <c r="L871" s="76">
        <f t="shared" si="139"/>
        <v>1274</v>
      </c>
      <c r="M871" s="87">
        <v>600</v>
      </c>
      <c r="N871" s="76">
        <f>30</f>
        <v>30</v>
      </c>
      <c r="O871" s="79">
        <v>240</v>
      </c>
      <c r="P871" s="79">
        <v>40</v>
      </c>
      <c r="Q871" s="79">
        <f t="shared" si="140"/>
        <v>315</v>
      </c>
      <c r="R871" s="79">
        <f t="shared" si="141"/>
        <v>100</v>
      </c>
      <c r="S871" s="76">
        <f t="shared" si="142"/>
        <v>695</v>
      </c>
      <c r="T871" s="76">
        <f>0</f>
        <v>0</v>
      </c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</row>
    <row r="872" spans="1:30" ht="15.75" x14ac:dyDescent="0.25">
      <c r="A872" s="31">
        <v>67480</v>
      </c>
      <c r="B872" s="88">
        <f t="shared" si="144"/>
        <v>30</v>
      </c>
      <c r="C872" s="76">
        <f>194.205</f>
        <v>194.20500000000001</v>
      </c>
      <c r="D872" s="76">
        <f>267.466</f>
        <v>267.46600000000001</v>
      </c>
      <c r="E872" s="85">
        <f>133.845</f>
        <v>133.845</v>
      </c>
      <c r="F872" s="76">
        <f>278.484-40-25-60-100</f>
        <v>53.48399999999998</v>
      </c>
      <c r="G872" s="79">
        <v>40</v>
      </c>
      <c r="H872" s="76">
        <f t="shared" si="145"/>
        <v>185</v>
      </c>
      <c r="I872" s="76">
        <f t="shared" si="136"/>
        <v>0</v>
      </c>
      <c r="J872" s="79">
        <v>100</v>
      </c>
      <c r="K872" s="79">
        <v>300</v>
      </c>
      <c r="L872" s="76">
        <f t="shared" si="139"/>
        <v>1274</v>
      </c>
      <c r="M872" s="87">
        <v>600</v>
      </c>
      <c r="N872" s="76">
        <f>30</f>
        <v>30</v>
      </c>
      <c r="O872" s="79">
        <v>240</v>
      </c>
      <c r="P872" s="79">
        <v>40</v>
      </c>
      <c r="Q872" s="79">
        <f t="shared" si="140"/>
        <v>315</v>
      </c>
      <c r="R872" s="79">
        <f t="shared" si="141"/>
        <v>100</v>
      </c>
      <c r="S872" s="76">
        <f t="shared" si="142"/>
        <v>695</v>
      </c>
      <c r="T872" s="76">
        <f>0</f>
        <v>0</v>
      </c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</row>
    <row r="873" spans="1:30" ht="15.75" x14ac:dyDescent="0.25">
      <c r="A873" s="31">
        <v>67511</v>
      </c>
      <c r="B873" s="88">
        <f t="shared" si="144"/>
        <v>31</v>
      </c>
      <c r="C873" s="76">
        <f>131.881</f>
        <v>131.881</v>
      </c>
      <c r="D873" s="76">
        <f>277.167</f>
        <v>277.16699999999997</v>
      </c>
      <c r="E873" s="85">
        <f>79.08</f>
        <v>79.08</v>
      </c>
      <c r="F873" s="76">
        <f>350.872-40-25-60-100</f>
        <v>125.87200000000001</v>
      </c>
      <c r="G873" s="79">
        <v>40</v>
      </c>
      <c r="H873" s="76">
        <f t="shared" si="145"/>
        <v>185</v>
      </c>
      <c r="I873" s="76">
        <f t="shared" si="136"/>
        <v>0</v>
      </c>
      <c r="J873" s="79">
        <v>100</v>
      </c>
      <c r="K873" s="79">
        <v>300</v>
      </c>
      <c r="L873" s="76">
        <f t="shared" si="139"/>
        <v>1239</v>
      </c>
      <c r="M873" s="87">
        <v>600</v>
      </c>
      <c r="N873" s="76">
        <f>75</f>
        <v>75</v>
      </c>
      <c r="O873" s="79">
        <v>240</v>
      </c>
      <c r="P873" s="79">
        <v>40</v>
      </c>
      <c r="Q873" s="79">
        <f t="shared" si="140"/>
        <v>315</v>
      </c>
      <c r="R873" s="79">
        <f t="shared" si="141"/>
        <v>100</v>
      </c>
      <c r="S873" s="76">
        <f t="shared" si="142"/>
        <v>695</v>
      </c>
      <c r="T873" s="76">
        <f>0</f>
        <v>0</v>
      </c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</row>
    <row r="874" spans="1:30" ht="15.75" x14ac:dyDescent="0.25">
      <c r="A874" s="31">
        <v>67541</v>
      </c>
      <c r="B874" s="88">
        <f t="shared" si="144"/>
        <v>30</v>
      </c>
      <c r="C874" s="76">
        <f>122.58</f>
        <v>122.58</v>
      </c>
      <c r="D874" s="76">
        <f>297.941</f>
        <v>297.94099999999997</v>
      </c>
      <c r="E874" s="85">
        <f>89.177</f>
        <v>89.177000000000007</v>
      </c>
      <c r="F874" s="76">
        <f>240.302-40-60-100</f>
        <v>40.301999999999992</v>
      </c>
      <c r="G874" s="79">
        <v>40</v>
      </c>
      <c r="H874" s="76">
        <f>60+100</f>
        <v>160</v>
      </c>
      <c r="I874" s="76">
        <f t="shared" si="136"/>
        <v>0</v>
      </c>
      <c r="J874" s="79">
        <v>100</v>
      </c>
      <c r="K874" s="79">
        <v>300</v>
      </c>
      <c r="L874" s="76">
        <f t="shared" si="139"/>
        <v>1150</v>
      </c>
      <c r="M874" s="87">
        <v>600</v>
      </c>
      <c r="N874" s="76">
        <f>100</f>
        <v>100</v>
      </c>
      <c r="O874" s="79">
        <v>240</v>
      </c>
      <c r="P874" s="79">
        <v>40</v>
      </c>
      <c r="Q874" s="79">
        <f t="shared" si="140"/>
        <v>315</v>
      </c>
      <c r="R874" s="79">
        <f t="shared" si="141"/>
        <v>100</v>
      </c>
      <c r="S874" s="76">
        <f t="shared" si="142"/>
        <v>695</v>
      </c>
      <c r="T874" s="76">
        <f>50</f>
        <v>50</v>
      </c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</row>
    <row r="875" spans="1:30" ht="15.75" x14ac:dyDescent="0.25">
      <c r="A875" s="31">
        <v>67572</v>
      </c>
      <c r="B875" s="88">
        <f t="shared" si="144"/>
        <v>31</v>
      </c>
      <c r="C875" s="76">
        <f>122.58</f>
        <v>122.58</v>
      </c>
      <c r="D875" s="76">
        <f>297.941</f>
        <v>297.94099999999997</v>
      </c>
      <c r="E875" s="85">
        <f>89.177</f>
        <v>89.177000000000007</v>
      </c>
      <c r="F875" s="76">
        <f>240.302-40-60-100</f>
        <v>40.301999999999992</v>
      </c>
      <c r="G875" s="79">
        <v>40</v>
      </c>
      <c r="H875" s="76">
        <f>60+100</f>
        <v>160</v>
      </c>
      <c r="I875" s="76">
        <f t="shared" si="136"/>
        <v>0</v>
      </c>
      <c r="J875" s="79">
        <v>100</v>
      </c>
      <c r="K875" s="79">
        <v>300</v>
      </c>
      <c r="L875" s="76">
        <f t="shared" si="139"/>
        <v>1150</v>
      </c>
      <c r="M875" s="87">
        <v>600</v>
      </c>
      <c r="N875" s="76">
        <f>100</f>
        <v>100</v>
      </c>
      <c r="O875" s="79">
        <v>240</v>
      </c>
      <c r="P875" s="79">
        <v>40</v>
      </c>
      <c r="Q875" s="79">
        <f t="shared" si="140"/>
        <v>315</v>
      </c>
      <c r="R875" s="79">
        <f t="shared" si="141"/>
        <v>100</v>
      </c>
      <c r="S875" s="76">
        <f t="shared" si="142"/>
        <v>695</v>
      </c>
      <c r="T875" s="76">
        <f>50</f>
        <v>50</v>
      </c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</row>
    <row r="876" spans="1:30" ht="15.75" x14ac:dyDescent="0.25">
      <c r="A876" s="31">
        <v>67603</v>
      </c>
      <c r="B876" s="88">
        <f t="shared" si="144"/>
        <v>31</v>
      </c>
      <c r="C876" s="76">
        <f>122.58</f>
        <v>122.58</v>
      </c>
      <c r="D876" s="76">
        <f>297.941</f>
        <v>297.94099999999997</v>
      </c>
      <c r="E876" s="85">
        <f>89.177</f>
        <v>89.177000000000007</v>
      </c>
      <c r="F876" s="76">
        <f>240.302-40-60-100</f>
        <v>40.301999999999992</v>
      </c>
      <c r="G876" s="79">
        <v>40</v>
      </c>
      <c r="H876" s="76">
        <f>60+100</f>
        <v>160</v>
      </c>
      <c r="I876" s="76">
        <f t="shared" si="136"/>
        <v>0</v>
      </c>
      <c r="J876" s="79">
        <v>100</v>
      </c>
      <c r="K876" s="79">
        <v>300</v>
      </c>
      <c r="L876" s="76">
        <f t="shared" si="139"/>
        <v>1150</v>
      </c>
      <c r="M876" s="87">
        <v>600</v>
      </c>
      <c r="N876" s="76">
        <f>100</f>
        <v>100</v>
      </c>
      <c r="O876" s="79">
        <v>240</v>
      </c>
      <c r="P876" s="79">
        <v>40</v>
      </c>
      <c r="Q876" s="79">
        <f t="shared" si="140"/>
        <v>315</v>
      </c>
      <c r="R876" s="79">
        <f t="shared" si="141"/>
        <v>100</v>
      </c>
      <c r="S876" s="76">
        <f t="shared" si="142"/>
        <v>695</v>
      </c>
      <c r="T876" s="76">
        <f>50</f>
        <v>50</v>
      </c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</row>
    <row r="877" spans="1:30" ht="15.75" x14ac:dyDescent="0.25">
      <c r="A877" s="31">
        <v>67631</v>
      </c>
      <c r="B877" s="88">
        <f t="shared" si="144"/>
        <v>28</v>
      </c>
      <c r="C877" s="76">
        <f>122.58</f>
        <v>122.58</v>
      </c>
      <c r="D877" s="76">
        <f>297.941</f>
        <v>297.94099999999997</v>
      </c>
      <c r="E877" s="85">
        <f>89.177</f>
        <v>89.177000000000007</v>
      </c>
      <c r="F877" s="76">
        <f>240.302-40-60-100</f>
        <v>40.301999999999992</v>
      </c>
      <c r="G877" s="79">
        <v>40</v>
      </c>
      <c r="H877" s="76">
        <f>60+100</f>
        <v>160</v>
      </c>
      <c r="I877" s="76">
        <f t="shared" si="136"/>
        <v>0</v>
      </c>
      <c r="J877" s="79">
        <v>100</v>
      </c>
      <c r="K877" s="79">
        <v>300</v>
      </c>
      <c r="L877" s="76">
        <f t="shared" si="139"/>
        <v>1150</v>
      </c>
      <c r="M877" s="87">
        <v>600</v>
      </c>
      <c r="N877" s="76">
        <f>100</f>
        <v>100</v>
      </c>
      <c r="O877" s="79">
        <v>240</v>
      </c>
      <c r="P877" s="79">
        <v>40</v>
      </c>
      <c r="Q877" s="79">
        <f t="shared" si="140"/>
        <v>315</v>
      </c>
      <c r="R877" s="79">
        <f t="shared" si="141"/>
        <v>100</v>
      </c>
      <c r="S877" s="76">
        <f t="shared" si="142"/>
        <v>695</v>
      </c>
      <c r="T877" s="76">
        <f>50</f>
        <v>50</v>
      </c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</row>
    <row r="878" spans="1:30" ht="15.75" x14ac:dyDescent="0.25">
      <c r="A878" s="31">
        <v>67662</v>
      </c>
      <c r="B878" s="88">
        <f t="shared" si="144"/>
        <v>31</v>
      </c>
      <c r="C878" s="76">
        <f>122.58</f>
        <v>122.58</v>
      </c>
      <c r="D878" s="76">
        <f>297.941</f>
        <v>297.94099999999997</v>
      </c>
      <c r="E878" s="85">
        <f>89.177</f>
        <v>89.177000000000007</v>
      </c>
      <c r="F878" s="76">
        <f>240.302-40-60-100</f>
        <v>40.301999999999992</v>
      </c>
      <c r="G878" s="79">
        <v>40</v>
      </c>
      <c r="H878" s="76">
        <f>60+100</f>
        <v>160</v>
      </c>
      <c r="I878" s="76">
        <f t="shared" si="136"/>
        <v>0</v>
      </c>
      <c r="J878" s="79">
        <v>100</v>
      </c>
      <c r="K878" s="79">
        <v>300</v>
      </c>
      <c r="L878" s="76">
        <f t="shared" si="139"/>
        <v>1150</v>
      </c>
      <c r="M878" s="87">
        <v>600</v>
      </c>
      <c r="N878" s="76">
        <f>100</f>
        <v>100</v>
      </c>
      <c r="O878" s="79">
        <v>240</v>
      </c>
      <c r="P878" s="79">
        <v>40</v>
      </c>
      <c r="Q878" s="79">
        <f t="shared" si="140"/>
        <v>315</v>
      </c>
      <c r="R878" s="79">
        <f t="shared" si="141"/>
        <v>100</v>
      </c>
      <c r="S878" s="76">
        <f t="shared" si="142"/>
        <v>695</v>
      </c>
      <c r="T878" s="76">
        <f>50</f>
        <v>50</v>
      </c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</row>
    <row r="879" spans="1:30" ht="15.75" x14ac:dyDescent="0.25">
      <c r="A879" s="31">
        <v>67692</v>
      </c>
      <c r="B879" s="88">
        <f t="shared" si="144"/>
        <v>30</v>
      </c>
      <c r="C879" s="76">
        <f>141.293</f>
        <v>141.29300000000001</v>
      </c>
      <c r="D879" s="76">
        <f>267.993</f>
        <v>267.99299999999999</v>
      </c>
      <c r="E879" s="85">
        <f>115.016</f>
        <v>115.01600000000001</v>
      </c>
      <c r="F879" s="76">
        <f>314.698-40-25-60-100</f>
        <v>89.697999999999979</v>
      </c>
      <c r="G879" s="79">
        <v>40</v>
      </c>
      <c r="H879" s="76">
        <f t="shared" ref="H879:H885" si="146">25+60+100</f>
        <v>185</v>
      </c>
      <c r="I879" s="76">
        <f t="shared" si="136"/>
        <v>0</v>
      </c>
      <c r="J879" s="79">
        <v>100</v>
      </c>
      <c r="K879" s="79">
        <v>300</v>
      </c>
      <c r="L879" s="76">
        <f t="shared" si="139"/>
        <v>1239</v>
      </c>
      <c r="M879" s="87">
        <v>600</v>
      </c>
      <c r="N879" s="76">
        <f>100</f>
        <v>100</v>
      </c>
      <c r="O879" s="79">
        <v>240</v>
      </c>
      <c r="P879" s="79">
        <v>40</v>
      </c>
      <c r="Q879" s="79">
        <f t="shared" si="140"/>
        <v>315</v>
      </c>
      <c r="R879" s="79">
        <f t="shared" si="141"/>
        <v>100</v>
      </c>
      <c r="S879" s="76">
        <f t="shared" si="142"/>
        <v>695</v>
      </c>
      <c r="T879" s="76">
        <f>50</f>
        <v>50</v>
      </c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</row>
    <row r="880" spans="1:30" ht="15.75" x14ac:dyDescent="0.25">
      <c r="A880" s="31">
        <v>67723</v>
      </c>
      <c r="B880" s="88">
        <f t="shared" si="144"/>
        <v>31</v>
      </c>
      <c r="C880" s="76">
        <f>194.205</f>
        <v>194.20500000000001</v>
      </c>
      <c r="D880" s="76">
        <f>267.466</f>
        <v>267.46600000000001</v>
      </c>
      <c r="E880" s="85">
        <f>133.845</f>
        <v>133.845</v>
      </c>
      <c r="F880" s="76">
        <f>278.484-40-25-60-100</f>
        <v>53.48399999999998</v>
      </c>
      <c r="G880" s="79">
        <v>40</v>
      </c>
      <c r="H880" s="76">
        <f t="shared" si="146"/>
        <v>185</v>
      </c>
      <c r="I880" s="76">
        <f t="shared" si="136"/>
        <v>0</v>
      </c>
      <c r="J880" s="79">
        <v>100</v>
      </c>
      <c r="K880" s="79">
        <v>300</v>
      </c>
      <c r="L880" s="76">
        <f t="shared" si="139"/>
        <v>1274</v>
      </c>
      <c r="M880" s="87">
        <v>600</v>
      </c>
      <c r="N880" s="76">
        <f>75</f>
        <v>75</v>
      </c>
      <c r="O880" s="79">
        <v>240</v>
      </c>
      <c r="P880" s="79">
        <v>40</v>
      </c>
      <c r="Q880" s="79">
        <f t="shared" si="140"/>
        <v>315</v>
      </c>
      <c r="R880" s="79">
        <f t="shared" si="141"/>
        <v>100</v>
      </c>
      <c r="S880" s="76">
        <f t="shared" si="142"/>
        <v>695</v>
      </c>
      <c r="T880" s="76">
        <f>50</f>
        <v>50</v>
      </c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</row>
    <row r="881" spans="1:30" ht="15.75" x14ac:dyDescent="0.25">
      <c r="A881" s="31">
        <v>67753</v>
      </c>
      <c r="B881" s="88">
        <f t="shared" si="144"/>
        <v>30</v>
      </c>
      <c r="C881" s="76">
        <f>194.205</f>
        <v>194.20500000000001</v>
      </c>
      <c r="D881" s="76">
        <f>267.466</f>
        <v>267.46600000000001</v>
      </c>
      <c r="E881" s="85">
        <f>133.845</f>
        <v>133.845</v>
      </c>
      <c r="F881" s="76">
        <f>278.484-40-25-60-100</f>
        <v>53.48399999999998</v>
      </c>
      <c r="G881" s="79">
        <v>40</v>
      </c>
      <c r="H881" s="76">
        <f t="shared" si="146"/>
        <v>185</v>
      </c>
      <c r="I881" s="76">
        <f t="shared" si="136"/>
        <v>0</v>
      </c>
      <c r="J881" s="79">
        <v>100</v>
      </c>
      <c r="K881" s="79">
        <v>300</v>
      </c>
      <c r="L881" s="76">
        <f t="shared" si="139"/>
        <v>1274</v>
      </c>
      <c r="M881" s="87">
        <v>600</v>
      </c>
      <c r="N881" s="76">
        <f>30</f>
        <v>30</v>
      </c>
      <c r="O881" s="79">
        <v>240</v>
      </c>
      <c r="P881" s="79">
        <v>40</v>
      </c>
      <c r="Q881" s="79">
        <f t="shared" si="140"/>
        <v>315</v>
      </c>
      <c r="R881" s="79">
        <f t="shared" si="141"/>
        <v>100</v>
      </c>
      <c r="S881" s="76">
        <f t="shared" si="142"/>
        <v>695</v>
      </c>
      <c r="T881" s="76">
        <f>50</f>
        <v>50</v>
      </c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</row>
    <row r="882" spans="1:30" ht="15.75" x14ac:dyDescent="0.25">
      <c r="A882" s="31">
        <v>67784</v>
      </c>
      <c r="B882" s="88">
        <f t="shared" si="144"/>
        <v>31</v>
      </c>
      <c r="C882" s="76">
        <f>194.205</f>
        <v>194.20500000000001</v>
      </c>
      <c r="D882" s="76">
        <f>267.466</f>
        <v>267.46600000000001</v>
      </c>
      <c r="E882" s="85">
        <f>133.845</f>
        <v>133.845</v>
      </c>
      <c r="F882" s="76">
        <f>278.484-40-25-60-100</f>
        <v>53.48399999999998</v>
      </c>
      <c r="G882" s="79">
        <v>40</v>
      </c>
      <c r="H882" s="76">
        <f t="shared" si="146"/>
        <v>185</v>
      </c>
      <c r="I882" s="76">
        <f t="shared" si="136"/>
        <v>0</v>
      </c>
      <c r="J882" s="79">
        <v>100</v>
      </c>
      <c r="K882" s="79">
        <v>300</v>
      </c>
      <c r="L882" s="76">
        <f t="shared" si="139"/>
        <v>1274</v>
      </c>
      <c r="M882" s="87">
        <v>600</v>
      </c>
      <c r="N882" s="76">
        <f>30</f>
        <v>30</v>
      </c>
      <c r="O882" s="79">
        <v>240</v>
      </c>
      <c r="P882" s="79">
        <v>40</v>
      </c>
      <c r="Q882" s="79">
        <f t="shared" si="140"/>
        <v>315</v>
      </c>
      <c r="R882" s="79">
        <f t="shared" si="141"/>
        <v>100</v>
      </c>
      <c r="S882" s="76">
        <f t="shared" si="142"/>
        <v>695</v>
      </c>
      <c r="T882" s="76">
        <f>0</f>
        <v>0</v>
      </c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</row>
    <row r="883" spans="1:30" ht="15.75" x14ac:dyDescent="0.25">
      <c r="A883" s="31">
        <v>67815</v>
      </c>
      <c r="B883" s="88">
        <f t="shared" si="144"/>
        <v>31</v>
      </c>
      <c r="C883" s="76">
        <f>194.205</f>
        <v>194.20500000000001</v>
      </c>
      <c r="D883" s="76">
        <f>267.466</f>
        <v>267.46600000000001</v>
      </c>
      <c r="E883" s="85">
        <f>133.845</f>
        <v>133.845</v>
      </c>
      <c r="F883" s="76">
        <f>278.484-40-25-60-100</f>
        <v>53.48399999999998</v>
      </c>
      <c r="G883" s="79">
        <v>40</v>
      </c>
      <c r="H883" s="76">
        <f t="shared" si="146"/>
        <v>185</v>
      </c>
      <c r="I883" s="76">
        <f t="shared" si="136"/>
        <v>0</v>
      </c>
      <c r="J883" s="79">
        <v>100</v>
      </c>
      <c r="K883" s="79">
        <v>300</v>
      </c>
      <c r="L883" s="76">
        <f t="shared" si="139"/>
        <v>1274</v>
      </c>
      <c r="M883" s="87">
        <v>600</v>
      </c>
      <c r="N883" s="76">
        <f>30</f>
        <v>30</v>
      </c>
      <c r="O883" s="79">
        <v>240</v>
      </c>
      <c r="P883" s="79">
        <v>40</v>
      </c>
      <c r="Q883" s="79">
        <f t="shared" si="140"/>
        <v>315</v>
      </c>
      <c r="R883" s="79">
        <f t="shared" si="141"/>
        <v>100</v>
      </c>
      <c r="S883" s="76">
        <f t="shared" si="142"/>
        <v>695</v>
      </c>
      <c r="T883" s="76">
        <f>0</f>
        <v>0</v>
      </c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</row>
    <row r="884" spans="1:30" ht="15.75" x14ac:dyDescent="0.25">
      <c r="A884" s="31">
        <v>67845</v>
      </c>
      <c r="B884" s="88">
        <f t="shared" si="144"/>
        <v>30</v>
      </c>
      <c r="C884" s="76">
        <f>194.205</f>
        <v>194.20500000000001</v>
      </c>
      <c r="D884" s="76">
        <f>267.466</f>
        <v>267.46600000000001</v>
      </c>
      <c r="E884" s="85">
        <f>133.845</f>
        <v>133.845</v>
      </c>
      <c r="F884" s="76">
        <f>278.484-40-25-60-100</f>
        <v>53.48399999999998</v>
      </c>
      <c r="G884" s="79">
        <v>40</v>
      </c>
      <c r="H884" s="76">
        <f t="shared" si="146"/>
        <v>185</v>
      </c>
      <c r="I884" s="76">
        <f t="shared" ref="I884:I947" si="147">400-J884-K884</f>
        <v>0</v>
      </c>
      <c r="J884" s="79">
        <v>100</v>
      </c>
      <c r="K884" s="79">
        <v>300</v>
      </c>
      <c r="L884" s="76">
        <f t="shared" si="139"/>
        <v>1274</v>
      </c>
      <c r="M884" s="87">
        <v>600</v>
      </c>
      <c r="N884" s="76">
        <f>30</f>
        <v>30</v>
      </c>
      <c r="O884" s="79">
        <v>240</v>
      </c>
      <c r="P884" s="79">
        <v>40</v>
      </c>
      <c r="Q884" s="79">
        <f t="shared" si="140"/>
        <v>315</v>
      </c>
      <c r="R884" s="79">
        <f t="shared" si="141"/>
        <v>100</v>
      </c>
      <c r="S884" s="76">
        <f t="shared" si="142"/>
        <v>695</v>
      </c>
      <c r="T884" s="76">
        <f>0</f>
        <v>0</v>
      </c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</row>
    <row r="885" spans="1:30" ht="15.75" x14ac:dyDescent="0.25">
      <c r="A885" s="31">
        <v>67876</v>
      </c>
      <c r="B885" s="88">
        <f t="shared" si="144"/>
        <v>31</v>
      </c>
      <c r="C885" s="76">
        <f>131.881</f>
        <v>131.881</v>
      </c>
      <c r="D885" s="76">
        <f>277.167</f>
        <v>277.16699999999997</v>
      </c>
      <c r="E885" s="85">
        <f>79.08</f>
        <v>79.08</v>
      </c>
      <c r="F885" s="76">
        <f>350.872-40-25-60-100</f>
        <v>125.87200000000001</v>
      </c>
      <c r="G885" s="79">
        <v>40</v>
      </c>
      <c r="H885" s="76">
        <f t="shared" si="146"/>
        <v>185</v>
      </c>
      <c r="I885" s="76">
        <f t="shared" si="147"/>
        <v>0</v>
      </c>
      <c r="J885" s="79">
        <v>100</v>
      </c>
      <c r="K885" s="79">
        <v>300</v>
      </c>
      <c r="L885" s="76">
        <f t="shared" si="139"/>
        <v>1239</v>
      </c>
      <c r="M885" s="87">
        <v>600</v>
      </c>
      <c r="N885" s="76">
        <f>75</f>
        <v>75</v>
      </c>
      <c r="O885" s="79">
        <v>240</v>
      </c>
      <c r="P885" s="79">
        <v>40</v>
      </c>
      <c r="Q885" s="79">
        <f t="shared" si="140"/>
        <v>315</v>
      </c>
      <c r="R885" s="79">
        <f t="shared" si="141"/>
        <v>100</v>
      </c>
      <c r="S885" s="76">
        <f t="shared" si="142"/>
        <v>695</v>
      </c>
      <c r="T885" s="76">
        <f>0</f>
        <v>0</v>
      </c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</row>
    <row r="886" spans="1:30" ht="15.75" x14ac:dyDescent="0.25">
      <c r="A886" s="31">
        <v>67906</v>
      </c>
      <c r="B886" s="88">
        <f t="shared" si="144"/>
        <v>30</v>
      </c>
      <c r="C886" s="76">
        <f>122.58</f>
        <v>122.58</v>
      </c>
      <c r="D886" s="76">
        <f>297.941</f>
        <v>297.94099999999997</v>
      </c>
      <c r="E886" s="85">
        <f>89.177</f>
        <v>89.177000000000007</v>
      </c>
      <c r="F886" s="76">
        <f>240.302-40-60-100</f>
        <v>40.301999999999992</v>
      </c>
      <c r="G886" s="79">
        <v>40</v>
      </c>
      <c r="H886" s="76">
        <f>60+100</f>
        <v>160</v>
      </c>
      <c r="I886" s="76">
        <f t="shared" si="147"/>
        <v>0</v>
      </c>
      <c r="J886" s="79">
        <v>100</v>
      </c>
      <c r="K886" s="79">
        <v>300</v>
      </c>
      <c r="L886" s="76">
        <f t="shared" si="139"/>
        <v>1150</v>
      </c>
      <c r="M886" s="87">
        <v>600</v>
      </c>
      <c r="N886" s="76">
        <f>100</f>
        <v>100</v>
      </c>
      <c r="O886" s="79">
        <v>240</v>
      </c>
      <c r="P886" s="79">
        <v>40</v>
      </c>
      <c r="Q886" s="79">
        <f t="shared" si="140"/>
        <v>315</v>
      </c>
      <c r="R886" s="79">
        <f t="shared" si="141"/>
        <v>100</v>
      </c>
      <c r="S886" s="76">
        <f t="shared" si="142"/>
        <v>695</v>
      </c>
      <c r="T886" s="76">
        <f>50</f>
        <v>50</v>
      </c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</row>
    <row r="887" spans="1:30" ht="15.75" x14ac:dyDescent="0.25">
      <c r="A887" s="31">
        <v>67937</v>
      </c>
      <c r="B887" s="88">
        <f t="shared" si="144"/>
        <v>31</v>
      </c>
      <c r="C887" s="76">
        <f>122.58</f>
        <v>122.58</v>
      </c>
      <c r="D887" s="76">
        <f>297.941</f>
        <v>297.94099999999997</v>
      </c>
      <c r="E887" s="85">
        <f>89.177</f>
        <v>89.177000000000007</v>
      </c>
      <c r="F887" s="76">
        <f>240.302-40-60-100</f>
        <v>40.301999999999992</v>
      </c>
      <c r="G887" s="79">
        <v>40</v>
      </c>
      <c r="H887" s="76">
        <f>60+100</f>
        <v>160</v>
      </c>
      <c r="I887" s="76">
        <f t="shared" si="147"/>
        <v>0</v>
      </c>
      <c r="J887" s="79">
        <v>100</v>
      </c>
      <c r="K887" s="79">
        <v>300</v>
      </c>
      <c r="L887" s="76">
        <f t="shared" si="139"/>
        <v>1150</v>
      </c>
      <c r="M887" s="87">
        <v>600</v>
      </c>
      <c r="N887" s="76">
        <f>100</f>
        <v>100</v>
      </c>
      <c r="O887" s="79">
        <v>240</v>
      </c>
      <c r="P887" s="79">
        <v>40</v>
      </c>
      <c r="Q887" s="79">
        <f t="shared" si="140"/>
        <v>315</v>
      </c>
      <c r="R887" s="79">
        <f t="shared" si="141"/>
        <v>100</v>
      </c>
      <c r="S887" s="76">
        <f t="shared" si="142"/>
        <v>695</v>
      </c>
      <c r="T887" s="76">
        <f>50</f>
        <v>50</v>
      </c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</row>
    <row r="888" spans="1:30" ht="15.75" x14ac:dyDescent="0.25">
      <c r="A888" s="31">
        <v>67968</v>
      </c>
      <c r="B888" s="88">
        <f t="shared" si="144"/>
        <v>31</v>
      </c>
      <c r="C888" s="76">
        <f>122.58</f>
        <v>122.58</v>
      </c>
      <c r="D888" s="76">
        <f>297.941</f>
        <v>297.94099999999997</v>
      </c>
      <c r="E888" s="85">
        <f>89.177</f>
        <v>89.177000000000007</v>
      </c>
      <c r="F888" s="76">
        <f>240.302-40-60-100</f>
        <v>40.301999999999992</v>
      </c>
      <c r="G888" s="79">
        <v>40</v>
      </c>
      <c r="H888" s="76">
        <f>60+100</f>
        <v>160</v>
      </c>
      <c r="I888" s="76">
        <f t="shared" si="147"/>
        <v>0</v>
      </c>
      <c r="J888" s="79">
        <v>100</v>
      </c>
      <c r="K888" s="79">
        <v>300</v>
      </c>
      <c r="L888" s="76">
        <f t="shared" si="139"/>
        <v>1150</v>
      </c>
      <c r="M888" s="87">
        <v>600</v>
      </c>
      <c r="N888" s="76">
        <f>100</f>
        <v>100</v>
      </c>
      <c r="O888" s="79">
        <v>240</v>
      </c>
      <c r="P888" s="79">
        <v>40</v>
      </c>
      <c r="Q888" s="79">
        <f t="shared" si="140"/>
        <v>315</v>
      </c>
      <c r="R888" s="79">
        <f t="shared" si="141"/>
        <v>100</v>
      </c>
      <c r="S888" s="76">
        <f t="shared" si="142"/>
        <v>695</v>
      </c>
      <c r="T888" s="76">
        <f>50</f>
        <v>50</v>
      </c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</row>
    <row r="889" spans="1:30" ht="15.75" x14ac:dyDescent="0.25">
      <c r="A889" s="31">
        <v>67996</v>
      </c>
      <c r="B889" s="88">
        <f t="shared" si="144"/>
        <v>28</v>
      </c>
      <c r="C889" s="76">
        <f>122.58</f>
        <v>122.58</v>
      </c>
      <c r="D889" s="76">
        <f>297.941</f>
        <v>297.94099999999997</v>
      </c>
      <c r="E889" s="85">
        <f>89.177</f>
        <v>89.177000000000007</v>
      </c>
      <c r="F889" s="76">
        <f>240.302-40-60-100</f>
        <v>40.301999999999992</v>
      </c>
      <c r="G889" s="79">
        <v>40</v>
      </c>
      <c r="H889" s="76">
        <f>60+100</f>
        <v>160</v>
      </c>
      <c r="I889" s="76">
        <f t="shared" si="147"/>
        <v>0</v>
      </c>
      <c r="J889" s="79">
        <v>100</v>
      </c>
      <c r="K889" s="79">
        <v>300</v>
      </c>
      <c r="L889" s="76">
        <f t="shared" si="139"/>
        <v>1150</v>
      </c>
      <c r="M889" s="87">
        <v>600</v>
      </c>
      <c r="N889" s="76">
        <f>100</f>
        <v>100</v>
      </c>
      <c r="O889" s="79">
        <v>240</v>
      </c>
      <c r="P889" s="79">
        <v>40</v>
      </c>
      <c r="Q889" s="79">
        <f t="shared" si="140"/>
        <v>315</v>
      </c>
      <c r="R889" s="79">
        <f t="shared" si="141"/>
        <v>100</v>
      </c>
      <c r="S889" s="76">
        <f t="shared" si="142"/>
        <v>695</v>
      </c>
      <c r="T889" s="76">
        <f>50</f>
        <v>50</v>
      </c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</row>
    <row r="890" spans="1:30" ht="15.75" x14ac:dyDescent="0.25">
      <c r="A890" s="31">
        <v>68027</v>
      </c>
      <c r="B890" s="88">
        <f t="shared" si="144"/>
        <v>31</v>
      </c>
      <c r="C890" s="76">
        <f>122.58</f>
        <v>122.58</v>
      </c>
      <c r="D890" s="76">
        <f>297.941</f>
        <v>297.94099999999997</v>
      </c>
      <c r="E890" s="85">
        <f>89.177</f>
        <v>89.177000000000007</v>
      </c>
      <c r="F890" s="76">
        <f>240.302-40-60-100</f>
        <v>40.301999999999992</v>
      </c>
      <c r="G890" s="79">
        <v>40</v>
      </c>
      <c r="H890" s="76">
        <f>60+100</f>
        <v>160</v>
      </c>
      <c r="I890" s="76">
        <f t="shared" si="147"/>
        <v>0</v>
      </c>
      <c r="J890" s="79">
        <v>100</v>
      </c>
      <c r="K890" s="79">
        <v>300</v>
      </c>
      <c r="L890" s="76">
        <f t="shared" si="139"/>
        <v>1150</v>
      </c>
      <c r="M890" s="87">
        <v>600</v>
      </c>
      <c r="N890" s="76">
        <f>100</f>
        <v>100</v>
      </c>
      <c r="O890" s="79">
        <v>240</v>
      </c>
      <c r="P890" s="79">
        <v>40</v>
      </c>
      <c r="Q890" s="79">
        <f t="shared" si="140"/>
        <v>315</v>
      </c>
      <c r="R890" s="79">
        <f t="shared" si="141"/>
        <v>100</v>
      </c>
      <c r="S890" s="76">
        <f t="shared" si="142"/>
        <v>695</v>
      </c>
      <c r="T890" s="76">
        <f>50</f>
        <v>50</v>
      </c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</row>
    <row r="891" spans="1:30" ht="15.75" x14ac:dyDescent="0.25">
      <c r="A891" s="31">
        <v>68057</v>
      </c>
      <c r="B891" s="88">
        <f t="shared" si="144"/>
        <v>30</v>
      </c>
      <c r="C891" s="76">
        <f>141.293</f>
        <v>141.29300000000001</v>
      </c>
      <c r="D891" s="76">
        <f>267.993</f>
        <v>267.99299999999999</v>
      </c>
      <c r="E891" s="85">
        <f>115.016</f>
        <v>115.01600000000001</v>
      </c>
      <c r="F891" s="76">
        <f>314.698-40-25-60-100</f>
        <v>89.697999999999979</v>
      </c>
      <c r="G891" s="79">
        <v>40</v>
      </c>
      <c r="H891" s="76">
        <f t="shared" ref="H891:H897" si="148">25+60+100</f>
        <v>185</v>
      </c>
      <c r="I891" s="76">
        <f t="shared" si="147"/>
        <v>0</v>
      </c>
      <c r="J891" s="79">
        <v>100</v>
      </c>
      <c r="K891" s="79">
        <v>300</v>
      </c>
      <c r="L891" s="76">
        <f t="shared" si="139"/>
        <v>1239</v>
      </c>
      <c r="M891" s="87">
        <v>600</v>
      </c>
      <c r="N891" s="76">
        <f>100</f>
        <v>100</v>
      </c>
      <c r="O891" s="79">
        <v>240</v>
      </c>
      <c r="P891" s="79">
        <v>40</v>
      </c>
      <c r="Q891" s="79">
        <f t="shared" si="140"/>
        <v>315</v>
      </c>
      <c r="R891" s="79">
        <f t="shared" si="141"/>
        <v>100</v>
      </c>
      <c r="S891" s="76">
        <f t="shared" si="142"/>
        <v>695</v>
      </c>
      <c r="T891" s="76">
        <f>50</f>
        <v>50</v>
      </c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</row>
    <row r="892" spans="1:30" ht="15.75" x14ac:dyDescent="0.25">
      <c r="A892" s="31">
        <v>68088</v>
      </c>
      <c r="B892" s="88">
        <f t="shared" si="144"/>
        <v>31</v>
      </c>
      <c r="C892" s="76">
        <f>194.205</f>
        <v>194.20500000000001</v>
      </c>
      <c r="D892" s="76">
        <f>267.466</f>
        <v>267.46600000000001</v>
      </c>
      <c r="E892" s="85">
        <f>133.845</f>
        <v>133.845</v>
      </c>
      <c r="F892" s="76">
        <f>278.484-40-25-60-100</f>
        <v>53.48399999999998</v>
      </c>
      <c r="G892" s="79">
        <v>40</v>
      </c>
      <c r="H892" s="76">
        <f t="shared" si="148"/>
        <v>185</v>
      </c>
      <c r="I892" s="76">
        <f t="shared" si="147"/>
        <v>0</v>
      </c>
      <c r="J892" s="79">
        <v>100</v>
      </c>
      <c r="K892" s="79">
        <v>300</v>
      </c>
      <c r="L892" s="76">
        <f t="shared" si="139"/>
        <v>1274</v>
      </c>
      <c r="M892" s="87">
        <v>600</v>
      </c>
      <c r="N892" s="76">
        <f>75</f>
        <v>75</v>
      </c>
      <c r="O892" s="79">
        <v>240</v>
      </c>
      <c r="P892" s="79">
        <v>40</v>
      </c>
      <c r="Q892" s="79">
        <f t="shared" si="140"/>
        <v>315</v>
      </c>
      <c r="R892" s="79">
        <f t="shared" si="141"/>
        <v>100</v>
      </c>
      <c r="S892" s="76">
        <f t="shared" si="142"/>
        <v>695</v>
      </c>
      <c r="T892" s="76">
        <f>50</f>
        <v>50</v>
      </c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</row>
    <row r="893" spans="1:30" ht="15.75" x14ac:dyDescent="0.25">
      <c r="A893" s="31">
        <v>68118</v>
      </c>
      <c r="B893" s="88">
        <f t="shared" si="144"/>
        <v>30</v>
      </c>
      <c r="C893" s="76">
        <f>194.205</f>
        <v>194.20500000000001</v>
      </c>
      <c r="D893" s="76">
        <f>267.466</f>
        <v>267.46600000000001</v>
      </c>
      <c r="E893" s="85">
        <f>133.845</f>
        <v>133.845</v>
      </c>
      <c r="F893" s="76">
        <f>278.484-40-25-60-100</f>
        <v>53.48399999999998</v>
      </c>
      <c r="G893" s="79">
        <v>40</v>
      </c>
      <c r="H893" s="76">
        <f t="shared" si="148"/>
        <v>185</v>
      </c>
      <c r="I893" s="76">
        <f t="shared" si="147"/>
        <v>0</v>
      </c>
      <c r="J893" s="79">
        <v>100</v>
      </c>
      <c r="K893" s="79">
        <v>300</v>
      </c>
      <c r="L893" s="76">
        <f t="shared" si="139"/>
        <v>1274</v>
      </c>
      <c r="M893" s="87">
        <v>600</v>
      </c>
      <c r="N893" s="76">
        <f>30</f>
        <v>30</v>
      </c>
      <c r="O893" s="79">
        <v>240</v>
      </c>
      <c r="P893" s="79">
        <v>40</v>
      </c>
      <c r="Q893" s="79">
        <f t="shared" si="140"/>
        <v>315</v>
      </c>
      <c r="R893" s="79">
        <f t="shared" si="141"/>
        <v>100</v>
      </c>
      <c r="S893" s="76">
        <f t="shared" si="142"/>
        <v>695</v>
      </c>
      <c r="T893" s="76">
        <f>50</f>
        <v>50</v>
      </c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</row>
    <row r="894" spans="1:30" ht="15.75" x14ac:dyDescent="0.25">
      <c r="A894" s="31">
        <v>68149</v>
      </c>
      <c r="B894" s="88">
        <f t="shared" si="144"/>
        <v>31</v>
      </c>
      <c r="C894" s="76">
        <f>194.205</f>
        <v>194.20500000000001</v>
      </c>
      <c r="D894" s="76">
        <f>267.466</f>
        <v>267.46600000000001</v>
      </c>
      <c r="E894" s="85">
        <f>133.845</f>
        <v>133.845</v>
      </c>
      <c r="F894" s="76">
        <f>278.484-40-25-60-100</f>
        <v>53.48399999999998</v>
      </c>
      <c r="G894" s="79">
        <v>40</v>
      </c>
      <c r="H894" s="76">
        <f t="shared" si="148"/>
        <v>185</v>
      </c>
      <c r="I894" s="76">
        <f t="shared" si="147"/>
        <v>0</v>
      </c>
      <c r="J894" s="79">
        <v>100</v>
      </c>
      <c r="K894" s="79">
        <v>300</v>
      </c>
      <c r="L894" s="76">
        <f t="shared" si="139"/>
        <v>1274</v>
      </c>
      <c r="M894" s="87">
        <v>600</v>
      </c>
      <c r="N894" s="76">
        <f>30</f>
        <v>30</v>
      </c>
      <c r="O894" s="79">
        <v>240</v>
      </c>
      <c r="P894" s="79">
        <v>40</v>
      </c>
      <c r="Q894" s="79">
        <f t="shared" si="140"/>
        <v>315</v>
      </c>
      <c r="R894" s="79">
        <f t="shared" si="141"/>
        <v>100</v>
      </c>
      <c r="S894" s="76">
        <f t="shared" si="142"/>
        <v>695</v>
      </c>
      <c r="T894" s="76">
        <f>0</f>
        <v>0</v>
      </c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</row>
    <row r="895" spans="1:30" ht="15.75" x14ac:dyDescent="0.25">
      <c r="A895" s="31">
        <v>68180</v>
      </c>
      <c r="B895" s="88">
        <f t="shared" si="144"/>
        <v>31</v>
      </c>
      <c r="C895" s="76">
        <f>194.205</f>
        <v>194.20500000000001</v>
      </c>
      <c r="D895" s="76">
        <f>267.466</f>
        <v>267.46600000000001</v>
      </c>
      <c r="E895" s="85">
        <f>133.845</f>
        <v>133.845</v>
      </c>
      <c r="F895" s="76">
        <f>278.484-40-25-60-100</f>
        <v>53.48399999999998</v>
      </c>
      <c r="G895" s="79">
        <v>40</v>
      </c>
      <c r="H895" s="76">
        <f t="shared" si="148"/>
        <v>185</v>
      </c>
      <c r="I895" s="76">
        <f t="shared" si="147"/>
        <v>0</v>
      </c>
      <c r="J895" s="79">
        <v>100</v>
      </c>
      <c r="K895" s="79">
        <v>300</v>
      </c>
      <c r="L895" s="76">
        <f t="shared" si="139"/>
        <v>1274</v>
      </c>
      <c r="M895" s="87">
        <v>600</v>
      </c>
      <c r="N895" s="76">
        <f>30</f>
        <v>30</v>
      </c>
      <c r="O895" s="79">
        <v>240</v>
      </c>
      <c r="P895" s="79">
        <v>40</v>
      </c>
      <c r="Q895" s="79">
        <f t="shared" si="140"/>
        <v>315</v>
      </c>
      <c r="R895" s="79">
        <f t="shared" si="141"/>
        <v>100</v>
      </c>
      <c r="S895" s="76">
        <f t="shared" si="142"/>
        <v>695</v>
      </c>
      <c r="T895" s="76">
        <f>0</f>
        <v>0</v>
      </c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</row>
    <row r="896" spans="1:30" ht="15.75" x14ac:dyDescent="0.25">
      <c r="A896" s="31">
        <v>68210</v>
      </c>
      <c r="B896" s="88">
        <f t="shared" si="144"/>
        <v>30</v>
      </c>
      <c r="C896" s="76">
        <f>194.205</f>
        <v>194.20500000000001</v>
      </c>
      <c r="D896" s="76">
        <f>267.466</f>
        <v>267.46600000000001</v>
      </c>
      <c r="E896" s="85">
        <f>133.845</f>
        <v>133.845</v>
      </c>
      <c r="F896" s="76">
        <f>278.484-40-25-60-100</f>
        <v>53.48399999999998</v>
      </c>
      <c r="G896" s="79">
        <v>40</v>
      </c>
      <c r="H896" s="76">
        <f t="shared" si="148"/>
        <v>185</v>
      </c>
      <c r="I896" s="76">
        <f t="shared" si="147"/>
        <v>0</v>
      </c>
      <c r="J896" s="79">
        <v>100</v>
      </c>
      <c r="K896" s="79">
        <v>300</v>
      </c>
      <c r="L896" s="76">
        <f t="shared" si="139"/>
        <v>1274</v>
      </c>
      <c r="M896" s="87">
        <v>600</v>
      </c>
      <c r="N896" s="76">
        <f>30</f>
        <v>30</v>
      </c>
      <c r="O896" s="79">
        <v>240</v>
      </c>
      <c r="P896" s="79">
        <v>40</v>
      </c>
      <c r="Q896" s="79">
        <f t="shared" si="140"/>
        <v>315</v>
      </c>
      <c r="R896" s="79">
        <f t="shared" si="141"/>
        <v>100</v>
      </c>
      <c r="S896" s="76">
        <f t="shared" si="142"/>
        <v>695</v>
      </c>
      <c r="T896" s="76">
        <f>0</f>
        <v>0</v>
      </c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</row>
    <row r="897" spans="1:30" ht="15.75" x14ac:dyDescent="0.25">
      <c r="A897" s="31">
        <v>68241</v>
      </c>
      <c r="B897" s="88">
        <f t="shared" si="144"/>
        <v>31</v>
      </c>
      <c r="C897" s="76">
        <f>131.881</f>
        <v>131.881</v>
      </c>
      <c r="D897" s="76">
        <f>277.167</f>
        <v>277.16699999999997</v>
      </c>
      <c r="E897" s="85">
        <f>79.08</f>
        <v>79.08</v>
      </c>
      <c r="F897" s="76">
        <f>350.872-40-25-60-100</f>
        <v>125.87200000000001</v>
      </c>
      <c r="G897" s="79">
        <v>40</v>
      </c>
      <c r="H897" s="76">
        <f t="shared" si="148"/>
        <v>185</v>
      </c>
      <c r="I897" s="76">
        <f t="shared" si="147"/>
        <v>0</v>
      </c>
      <c r="J897" s="79">
        <v>100</v>
      </c>
      <c r="K897" s="79">
        <v>300</v>
      </c>
      <c r="L897" s="76">
        <f t="shared" si="139"/>
        <v>1239</v>
      </c>
      <c r="M897" s="87">
        <v>600</v>
      </c>
      <c r="N897" s="76">
        <f>75</f>
        <v>75</v>
      </c>
      <c r="O897" s="79">
        <v>240</v>
      </c>
      <c r="P897" s="79">
        <v>40</v>
      </c>
      <c r="Q897" s="79">
        <f t="shared" si="140"/>
        <v>315</v>
      </c>
      <c r="R897" s="79">
        <f t="shared" si="141"/>
        <v>100</v>
      </c>
      <c r="S897" s="76">
        <f t="shared" si="142"/>
        <v>695</v>
      </c>
      <c r="T897" s="76">
        <f>0</f>
        <v>0</v>
      </c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</row>
    <row r="898" spans="1:30" ht="15.75" x14ac:dyDescent="0.25">
      <c r="A898" s="31">
        <v>68271</v>
      </c>
      <c r="B898" s="88">
        <f t="shared" si="144"/>
        <v>30</v>
      </c>
      <c r="C898" s="76">
        <f>122.58</f>
        <v>122.58</v>
      </c>
      <c r="D898" s="76">
        <f>297.941</f>
        <v>297.94099999999997</v>
      </c>
      <c r="E898" s="85">
        <f>89.177</f>
        <v>89.177000000000007</v>
      </c>
      <c r="F898" s="76">
        <f>240.302-40-60-100</f>
        <v>40.301999999999992</v>
      </c>
      <c r="G898" s="79">
        <v>40</v>
      </c>
      <c r="H898" s="76">
        <f>60+100</f>
        <v>160</v>
      </c>
      <c r="I898" s="76">
        <f t="shared" si="147"/>
        <v>0</v>
      </c>
      <c r="J898" s="79">
        <v>100</v>
      </c>
      <c r="K898" s="79">
        <v>300</v>
      </c>
      <c r="L898" s="76">
        <f t="shared" si="139"/>
        <v>1150</v>
      </c>
      <c r="M898" s="87">
        <v>600</v>
      </c>
      <c r="N898" s="76">
        <f>100</f>
        <v>100</v>
      </c>
      <c r="O898" s="79">
        <v>240</v>
      </c>
      <c r="P898" s="79">
        <v>40</v>
      </c>
      <c r="Q898" s="79">
        <f t="shared" si="140"/>
        <v>315</v>
      </c>
      <c r="R898" s="79">
        <f t="shared" si="141"/>
        <v>100</v>
      </c>
      <c r="S898" s="76">
        <f t="shared" si="142"/>
        <v>695</v>
      </c>
      <c r="T898" s="76">
        <f>50</f>
        <v>50</v>
      </c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</row>
    <row r="899" spans="1:30" ht="15.75" x14ac:dyDescent="0.25">
      <c r="A899" s="31">
        <v>68302</v>
      </c>
      <c r="B899" s="88">
        <f t="shared" si="144"/>
        <v>31</v>
      </c>
      <c r="C899" s="76">
        <f>122.58</f>
        <v>122.58</v>
      </c>
      <c r="D899" s="76">
        <f>297.941</f>
        <v>297.94099999999997</v>
      </c>
      <c r="E899" s="85">
        <f>89.177</f>
        <v>89.177000000000007</v>
      </c>
      <c r="F899" s="76">
        <f>240.302-40-60-100</f>
        <v>40.301999999999992</v>
      </c>
      <c r="G899" s="79">
        <v>40</v>
      </c>
      <c r="H899" s="76">
        <f>60+100</f>
        <v>160</v>
      </c>
      <c r="I899" s="76">
        <f t="shared" si="147"/>
        <v>0</v>
      </c>
      <c r="J899" s="79">
        <v>100</v>
      </c>
      <c r="K899" s="79">
        <v>300</v>
      </c>
      <c r="L899" s="76">
        <f t="shared" si="139"/>
        <v>1150</v>
      </c>
      <c r="M899" s="87">
        <v>600</v>
      </c>
      <c r="N899" s="76">
        <f>100</f>
        <v>100</v>
      </c>
      <c r="O899" s="79">
        <v>240</v>
      </c>
      <c r="P899" s="79">
        <v>40</v>
      </c>
      <c r="Q899" s="79">
        <f t="shared" si="140"/>
        <v>315</v>
      </c>
      <c r="R899" s="79">
        <f t="shared" si="141"/>
        <v>100</v>
      </c>
      <c r="S899" s="76">
        <f t="shared" si="142"/>
        <v>695</v>
      </c>
      <c r="T899" s="76">
        <f>50</f>
        <v>50</v>
      </c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</row>
    <row r="900" spans="1:30" ht="15.75" x14ac:dyDescent="0.25">
      <c r="A900" s="31">
        <v>68333</v>
      </c>
      <c r="B900" s="88">
        <f t="shared" si="144"/>
        <v>31</v>
      </c>
      <c r="C900" s="76">
        <f>122.58</f>
        <v>122.58</v>
      </c>
      <c r="D900" s="76">
        <f>297.941</f>
        <v>297.94099999999997</v>
      </c>
      <c r="E900" s="85">
        <f>89.177</f>
        <v>89.177000000000007</v>
      </c>
      <c r="F900" s="76">
        <f>240.302-40-60-100</f>
        <v>40.301999999999992</v>
      </c>
      <c r="G900" s="79">
        <v>40</v>
      </c>
      <c r="H900" s="76">
        <f>60+100</f>
        <v>160</v>
      </c>
      <c r="I900" s="76">
        <f t="shared" si="147"/>
        <v>0</v>
      </c>
      <c r="J900" s="79">
        <v>100</v>
      </c>
      <c r="K900" s="79">
        <v>300</v>
      </c>
      <c r="L900" s="76">
        <f t="shared" si="139"/>
        <v>1150</v>
      </c>
      <c r="M900" s="87">
        <v>600</v>
      </c>
      <c r="N900" s="76">
        <f>100</f>
        <v>100</v>
      </c>
      <c r="O900" s="79">
        <v>240</v>
      </c>
      <c r="P900" s="79">
        <v>40</v>
      </c>
      <c r="Q900" s="79">
        <f t="shared" si="140"/>
        <v>315</v>
      </c>
      <c r="R900" s="79">
        <f t="shared" si="141"/>
        <v>100</v>
      </c>
      <c r="S900" s="76">
        <f t="shared" si="142"/>
        <v>695</v>
      </c>
      <c r="T900" s="76">
        <f>50</f>
        <v>50</v>
      </c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</row>
    <row r="901" spans="1:30" ht="15.75" x14ac:dyDescent="0.25">
      <c r="A901" s="31">
        <v>68361</v>
      </c>
      <c r="B901" s="88">
        <f t="shared" si="144"/>
        <v>28</v>
      </c>
      <c r="C901" s="76">
        <f>122.58</f>
        <v>122.58</v>
      </c>
      <c r="D901" s="76">
        <f>297.941</f>
        <v>297.94099999999997</v>
      </c>
      <c r="E901" s="85">
        <f>89.177</f>
        <v>89.177000000000007</v>
      </c>
      <c r="F901" s="76">
        <f>240.302-40-60-100</f>
        <v>40.301999999999992</v>
      </c>
      <c r="G901" s="79">
        <v>40</v>
      </c>
      <c r="H901" s="76">
        <f>60+100</f>
        <v>160</v>
      </c>
      <c r="I901" s="76">
        <f t="shared" si="147"/>
        <v>0</v>
      </c>
      <c r="J901" s="79">
        <v>100</v>
      </c>
      <c r="K901" s="79">
        <v>300</v>
      </c>
      <c r="L901" s="76">
        <f t="shared" si="139"/>
        <v>1150</v>
      </c>
      <c r="M901" s="87">
        <v>600</v>
      </c>
      <c r="N901" s="76">
        <f>100</f>
        <v>100</v>
      </c>
      <c r="O901" s="79">
        <v>240</v>
      </c>
      <c r="P901" s="79">
        <v>40</v>
      </c>
      <c r="Q901" s="79">
        <f t="shared" si="140"/>
        <v>315</v>
      </c>
      <c r="R901" s="79">
        <f t="shared" si="141"/>
        <v>100</v>
      </c>
      <c r="S901" s="76">
        <f t="shared" si="142"/>
        <v>695</v>
      </c>
      <c r="T901" s="76">
        <f>50</f>
        <v>50</v>
      </c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</row>
    <row r="902" spans="1:30" ht="15.75" x14ac:dyDescent="0.25">
      <c r="A902" s="31">
        <v>68392</v>
      </c>
      <c r="B902" s="88">
        <f t="shared" si="144"/>
        <v>31</v>
      </c>
      <c r="C902" s="76">
        <f>122.58</f>
        <v>122.58</v>
      </c>
      <c r="D902" s="76">
        <f>297.941</f>
        <v>297.94099999999997</v>
      </c>
      <c r="E902" s="85">
        <f>89.177</f>
        <v>89.177000000000007</v>
      </c>
      <c r="F902" s="76">
        <f>240.302-40-60-100</f>
        <v>40.301999999999992</v>
      </c>
      <c r="G902" s="79">
        <v>40</v>
      </c>
      <c r="H902" s="76">
        <f>60+100</f>
        <v>160</v>
      </c>
      <c r="I902" s="76">
        <f t="shared" si="147"/>
        <v>0</v>
      </c>
      <c r="J902" s="79">
        <v>100</v>
      </c>
      <c r="K902" s="79">
        <v>300</v>
      </c>
      <c r="L902" s="76">
        <f t="shared" si="139"/>
        <v>1150</v>
      </c>
      <c r="M902" s="87">
        <v>600</v>
      </c>
      <c r="N902" s="76">
        <f>100</f>
        <v>100</v>
      </c>
      <c r="O902" s="79">
        <v>240</v>
      </c>
      <c r="P902" s="79">
        <v>40</v>
      </c>
      <c r="Q902" s="79">
        <f t="shared" si="140"/>
        <v>315</v>
      </c>
      <c r="R902" s="79">
        <f t="shared" si="141"/>
        <v>100</v>
      </c>
      <c r="S902" s="76">
        <f t="shared" si="142"/>
        <v>695</v>
      </c>
      <c r="T902" s="76">
        <f>50</f>
        <v>50</v>
      </c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</row>
    <row r="903" spans="1:30" ht="15.75" x14ac:dyDescent="0.25">
      <c r="A903" s="31">
        <v>68422</v>
      </c>
      <c r="B903" s="88">
        <f t="shared" si="144"/>
        <v>30</v>
      </c>
      <c r="C903" s="76">
        <f>141.293</f>
        <v>141.29300000000001</v>
      </c>
      <c r="D903" s="76">
        <f>267.993</f>
        <v>267.99299999999999</v>
      </c>
      <c r="E903" s="85">
        <f>115.016</f>
        <v>115.01600000000001</v>
      </c>
      <c r="F903" s="76">
        <f>314.698-40-25-60-100</f>
        <v>89.697999999999979</v>
      </c>
      <c r="G903" s="79">
        <v>40</v>
      </c>
      <c r="H903" s="76">
        <f t="shared" ref="H903:H909" si="149">25+60+100</f>
        <v>185</v>
      </c>
      <c r="I903" s="76">
        <f t="shared" si="147"/>
        <v>0</v>
      </c>
      <c r="J903" s="79">
        <v>100</v>
      </c>
      <c r="K903" s="79">
        <v>300</v>
      </c>
      <c r="L903" s="76">
        <f t="shared" si="139"/>
        <v>1239</v>
      </c>
      <c r="M903" s="87">
        <v>600</v>
      </c>
      <c r="N903" s="76">
        <f>100</f>
        <v>100</v>
      </c>
      <c r="O903" s="79">
        <v>240</v>
      </c>
      <c r="P903" s="79">
        <v>40</v>
      </c>
      <c r="Q903" s="79">
        <f t="shared" si="140"/>
        <v>315</v>
      </c>
      <c r="R903" s="79">
        <f t="shared" si="141"/>
        <v>100</v>
      </c>
      <c r="S903" s="76">
        <f t="shared" si="142"/>
        <v>695</v>
      </c>
      <c r="T903" s="76">
        <f>50</f>
        <v>50</v>
      </c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</row>
    <row r="904" spans="1:30" ht="15.75" x14ac:dyDescent="0.25">
      <c r="A904" s="31">
        <v>68453</v>
      </c>
      <c r="B904" s="88">
        <f t="shared" si="144"/>
        <v>31</v>
      </c>
      <c r="C904" s="76">
        <f>194.205</f>
        <v>194.20500000000001</v>
      </c>
      <c r="D904" s="76">
        <f>267.466</f>
        <v>267.46600000000001</v>
      </c>
      <c r="E904" s="85">
        <f>133.845</f>
        <v>133.845</v>
      </c>
      <c r="F904" s="76">
        <f>278.484-40-25-60-100</f>
        <v>53.48399999999998</v>
      </c>
      <c r="G904" s="79">
        <v>40</v>
      </c>
      <c r="H904" s="76">
        <f t="shared" si="149"/>
        <v>185</v>
      </c>
      <c r="I904" s="76">
        <f t="shared" si="147"/>
        <v>0</v>
      </c>
      <c r="J904" s="79">
        <v>100</v>
      </c>
      <c r="K904" s="79">
        <v>300</v>
      </c>
      <c r="L904" s="76">
        <f t="shared" si="139"/>
        <v>1274</v>
      </c>
      <c r="M904" s="87">
        <v>600</v>
      </c>
      <c r="N904" s="76">
        <f>75</f>
        <v>75</v>
      </c>
      <c r="O904" s="79">
        <v>240</v>
      </c>
      <c r="P904" s="79">
        <v>40</v>
      </c>
      <c r="Q904" s="79">
        <f t="shared" si="140"/>
        <v>315</v>
      </c>
      <c r="R904" s="79">
        <f t="shared" si="141"/>
        <v>100</v>
      </c>
      <c r="S904" s="76">
        <f t="shared" si="142"/>
        <v>695</v>
      </c>
      <c r="T904" s="76">
        <f>50</f>
        <v>50</v>
      </c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</row>
    <row r="905" spans="1:30" ht="15.75" x14ac:dyDescent="0.25">
      <c r="A905" s="31">
        <v>68483</v>
      </c>
      <c r="B905" s="88">
        <f t="shared" si="144"/>
        <v>30</v>
      </c>
      <c r="C905" s="76">
        <f>194.205</f>
        <v>194.20500000000001</v>
      </c>
      <c r="D905" s="76">
        <f>267.466</f>
        <v>267.46600000000001</v>
      </c>
      <c r="E905" s="85">
        <f>133.845</f>
        <v>133.845</v>
      </c>
      <c r="F905" s="76">
        <f>278.484-40-25-60-100</f>
        <v>53.48399999999998</v>
      </c>
      <c r="G905" s="79">
        <v>40</v>
      </c>
      <c r="H905" s="76">
        <f t="shared" si="149"/>
        <v>185</v>
      </c>
      <c r="I905" s="76">
        <f t="shared" si="147"/>
        <v>0</v>
      </c>
      <c r="J905" s="79">
        <v>100</v>
      </c>
      <c r="K905" s="79">
        <v>300</v>
      </c>
      <c r="L905" s="76">
        <f t="shared" si="139"/>
        <v>1274</v>
      </c>
      <c r="M905" s="87">
        <v>600</v>
      </c>
      <c r="N905" s="76">
        <f>30</f>
        <v>30</v>
      </c>
      <c r="O905" s="79">
        <v>240</v>
      </c>
      <c r="P905" s="79">
        <v>40</v>
      </c>
      <c r="Q905" s="79">
        <f t="shared" si="140"/>
        <v>315</v>
      </c>
      <c r="R905" s="79">
        <f t="shared" si="141"/>
        <v>100</v>
      </c>
      <c r="S905" s="76">
        <f t="shared" si="142"/>
        <v>695</v>
      </c>
      <c r="T905" s="76">
        <f>50</f>
        <v>50</v>
      </c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</row>
    <row r="906" spans="1:30" ht="15.75" x14ac:dyDescent="0.25">
      <c r="A906" s="31">
        <v>68514</v>
      </c>
      <c r="B906" s="88">
        <f t="shared" si="144"/>
        <v>31</v>
      </c>
      <c r="C906" s="76">
        <f>194.205</f>
        <v>194.20500000000001</v>
      </c>
      <c r="D906" s="76">
        <f>267.466</f>
        <v>267.46600000000001</v>
      </c>
      <c r="E906" s="85">
        <f>133.845</f>
        <v>133.845</v>
      </c>
      <c r="F906" s="76">
        <f>278.484-40-25-60-100</f>
        <v>53.48399999999998</v>
      </c>
      <c r="G906" s="79">
        <v>40</v>
      </c>
      <c r="H906" s="76">
        <f t="shared" si="149"/>
        <v>185</v>
      </c>
      <c r="I906" s="76">
        <f t="shared" si="147"/>
        <v>0</v>
      </c>
      <c r="J906" s="79">
        <v>100</v>
      </c>
      <c r="K906" s="79">
        <v>300</v>
      </c>
      <c r="L906" s="76">
        <f t="shared" si="139"/>
        <v>1274</v>
      </c>
      <c r="M906" s="87">
        <v>600</v>
      </c>
      <c r="N906" s="76">
        <f>30</f>
        <v>30</v>
      </c>
      <c r="O906" s="79">
        <v>240</v>
      </c>
      <c r="P906" s="79">
        <v>40</v>
      </c>
      <c r="Q906" s="79">
        <f t="shared" si="140"/>
        <v>315</v>
      </c>
      <c r="R906" s="79">
        <f t="shared" si="141"/>
        <v>100</v>
      </c>
      <c r="S906" s="76">
        <f t="shared" si="142"/>
        <v>695</v>
      </c>
      <c r="T906" s="76">
        <f>0</f>
        <v>0</v>
      </c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</row>
    <row r="907" spans="1:30" ht="15.75" x14ac:dyDescent="0.25">
      <c r="A907" s="31">
        <v>68545</v>
      </c>
      <c r="B907" s="88">
        <f t="shared" si="144"/>
        <v>31</v>
      </c>
      <c r="C907" s="76">
        <f>194.205</f>
        <v>194.20500000000001</v>
      </c>
      <c r="D907" s="76">
        <f>267.466</f>
        <v>267.46600000000001</v>
      </c>
      <c r="E907" s="85">
        <f>133.845</f>
        <v>133.845</v>
      </c>
      <c r="F907" s="76">
        <f>278.484-40-25-60-100</f>
        <v>53.48399999999998</v>
      </c>
      <c r="G907" s="79">
        <v>40</v>
      </c>
      <c r="H907" s="76">
        <f t="shared" si="149"/>
        <v>185</v>
      </c>
      <c r="I907" s="76">
        <f t="shared" si="147"/>
        <v>0</v>
      </c>
      <c r="J907" s="79">
        <v>100</v>
      </c>
      <c r="K907" s="79">
        <v>300</v>
      </c>
      <c r="L907" s="76">
        <f t="shared" si="139"/>
        <v>1274</v>
      </c>
      <c r="M907" s="87">
        <v>600</v>
      </c>
      <c r="N907" s="76">
        <f>30</f>
        <v>30</v>
      </c>
      <c r="O907" s="79">
        <v>240</v>
      </c>
      <c r="P907" s="79">
        <v>40</v>
      </c>
      <c r="Q907" s="79">
        <f t="shared" si="140"/>
        <v>315</v>
      </c>
      <c r="R907" s="79">
        <f t="shared" si="141"/>
        <v>100</v>
      </c>
      <c r="S907" s="76">
        <f t="shared" si="142"/>
        <v>695</v>
      </c>
      <c r="T907" s="76">
        <f>0</f>
        <v>0</v>
      </c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</row>
    <row r="908" spans="1:30" ht="15.75" x14ac:dyDescent="0.25">
      <c r="A908" s="31">
        <v>68575</v>
      </c>
      <c r="B908" s="88">
        <f t="shared" si="144"/>
        <v>30</v>
      </c>
      <c r="C908" s="76">
        <f>194.205</f>
        <v>194.20500000000001</v>
      </c>
      <c r="D908" s="76">
        <f>267.466</f>
        <v>267.46600000000001</v>
      </c>
      <c r="E908" s="85">
        <f>133.845</f>
        <v>133.845</v>
      </c>
      <c r="F908" s="76">
        <f>278.484-40-25-60-100</f>
        <v>53.48399999999998</v>
      </c>
      <c r="G908" s="79">
        <v>40</v>
      </c>
      <c r="H908" s="76">
        <f t="shared" si="149"/>
        <v>185</v>
      </c>
      <c r="I908" s="76">
        <f t="shared" si="147"/>
        <v>0</v>
      </c>
      <c r="J908" s="79">
        <v>100</v>
      </c>
      <c r="K908" s="79">
        <v>300</v>
      </c>
      <c r="L908" s="76">
        <f t="shared" si="139"/>
        <v>1274</v>
      </c>
      <c r="M908" s="87">
        <v>600</v>
      </c>
      <c r="N908" s="76">
        <f>30</f>
        <v>30</v>
      </c>
      <c r="O908" s="79">
        <v>240</v>
      </c>
      <c r="P908" s="79">
        <v>40</v>
      </c>
      <c r="Q908" s="79">
        <f t="shared" si="140"/>
        <v>315</v>
      </c>
      <c r="R908" s="79">
        <f t="shared" si="141"/>
        <v>100</v>
      </c>
      <c r="S908" s="76">
        <f t="shared" si="142"/>
        <v>695</v>
      </c>
      <c r="T908" s="76">
        <f>0</f>
        <v>0</v>
      </c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</row>
    <row r="909" spans="1:30" ht="15.75" x14ac:dyDescent="0.25">
      <c r="A909" s="31">
        <v>68606</v>
      </c>
      <c r="B909" s="88">
        <f t="shared" si="144"/>
        <v>31</v>
      </c>
      <c r="C909" s="76">
        <f>131.881</f>
        <v>131.881</v>
      </c>
      <c r="D909" s="76">
        <f>277.167</f>
        <v>277.16699999999997</v>
      </c>
      <c r="E909" s="85">
        <f>79.08</f>
        <v>79.08</v>
      </c>
      <c r="F909" s="76">
        <f>350.872-40-25-60-100</f>
        <v>125.87200000000001</v>
      </c>
      <c r="G909" s="79">
        <v>40</v>
      </c>
      <c r="H909" s="76">
        <f t="shared" si="149"/>
        <v>185</v>
      </c>
      <c r="I909" s="76">
        <f t="shared" si="147"/>
        <v>0</v>
      </c>
      <c r="J909" s="79">
        <v>100</v>
      </c>
      <c r="K909" s="79">
        <v>300</v>
      </c>
      <c r="L909" s="76">
        <f t="shared" si="139"/>
        <v>1239</v>
      </c>
      <c r="M909" s="87">
        <v>600</v>
      </c>
      <c r="N909" s="76">
        <f>75</f>
        <v>75</v>
      </c>
      <c r="O909" s="79">
        <v>240</v>
      </c>
      <c r="P909" s="79">
        <v>40</v>
      </c>
      <c r="Q909" s="79">
        <f t="shared" si="140"/>
        <v>315</v>
      </c>
      <c r="R909" s="79">
        <f t="shared" si="141"/>
        <v>100</v>
      </c>
      <c r="S909" s="76">
        <f t="shared" si="142"/>
        <v>695</v>
      </c>
      <c r="T909" s="76">
        <f>0</f>
        <v>0</v>
      </c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</row>
    <row r="910" spans="1:30" ht="15.75" x14ac:dyDescent="0.25">
      <c r="A910" s="31">
        <v>68636</v>
      </c>
      <c r="B910" s="88">
        <f t="shared" si="144"/>
        <v>30</v>
      </c>
      <c r="C910" s="76">
        <f>122.58</f>
        <v>122.58</v>
      </c>
      <c r="D910" s="76">
        <f>297.941</f>
        <v>297.94099999999997</v>
      </c>
      <c r="E910" s="85">
        <f>89.177</f>
        <v>89.177000000000007</v>
      </c>
      <c r="F910" s="76">
        <f>240.302-40-60-100</f>
        <v>40.301999999999992</v>
      </c>
      <c r="G910" s="79">
        <v>40</v>
      </c>
      <c r="H910" s="76">
        <f>60+100</f>
        <v>160</v>
      </c>
      <c r="I910" s="76">
        <f t="shared" si="147"/>
        <v>0</v>
      </c>
      <c r="J910" s="79">
        <v>100</v>
      </c>
      <c r="K910" s="79">
        <v>300</v>
      </c>
      <c r="L910" s="76">
        <f t="shared" si="139"/>
        <v>1150</v>
      </c>
      <c r="M910" s="87">
        <v>600</v>
      </c>
      <c r="N910" s="76">
        <f>100</f>
        <v>100</v>
      </c>
      <c r="O910" s="79">
        <v>240</v>
      </c>
      <c r="P910" s="79">
        <v>40</v>
      </c>
      <c r="Q910" s="79">
        <f t="shared" si="140"/>
        <v>315</v>
      </c>
      <c r="R910" s="79">
        <f t="shared" si="141"/>
        <v>100</v>
      </c>
      <c r="S910" s="76">
        <f t="shared" si="142"/>
        <v>695</v>
      </c>
      <c r="T910" s="76">
        <f>50</f>
        <v>50</v>
      </c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</row>
    <row r="911" spans="1:30" ht="15.75" x14ac:dyDescent="0.25">
      <c r="A911" s="31">
        <v>68667</v>
      </c>
      <c r="B911" s="88">
        <f t="shared" si="144"/>
        <v>31</v>
      </c>
      <c r="C911" s="76">
        <f>122.58</f>
        <v>122.58</v>
      </c>
      <c r="D911" s="76">
        <f>297.941</f>
        <v>297.94099999999997</v>
      </c>
      <c r="E911" s="85">
        <f>89.177</f>
        <v>89.177000000000007</v>
      </c>
      <c r="F911" s="76">
        <f>240.302-40-60-100</f>
        <v>40.301999999999992</v>
      </c>
      <c r="G911" s="79">
        <v>40</v>
      </c>
      <c r="H911" s="76">
        <f>60+100</f>
        <v>160</v>
      </c>
      <c r="I911" s="76">
        <f t="shared" si="147"/>
        <v>0</v>
      </c>
      <c r="J911" s="79">
        <v>100</v>
      </c>
      <c r="K911" s="79">
        <v>300</v>
      </c>
      <c r="L911" s="76">
        <f t="shared" si="139"/>
        <v>1150</v>
      </c>
      <c r="M911" s="87">
        <v>600</v>
      </c>
      <c r="N911" s="76">
        <f>100</f>
        <v>100</v>
      </c>
      <c r="O911" s="79">
        <v>240</v>
      </c>
      <c r="P911" s="79">
        <v>40</v>
      </c>
      <c r="Q911" s="79">
        <f t="shared" si="140"/>
        <v>315</v>
      </c>
      <c r="R911" s="79">
        <f t="shared" si="141"/>
        <v>100</v>
      </c>
      <c r="S911" s="76">
        <f t="shared" si="142"/>
        <v>695</v>
      </c>
      <c r="T911" s="76">
        <f>50</f>
        <v>50</v>
      </c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</row>
    <row r="912" spans="1:30" ht="15.75" x14ac:dyDescent="0.25">
      <c r="A912" s="31">
        <v>68698</v>
      </c>
      <c r="B912" s="88">
        <f t="shared" si="144"/>
        <v>31</v>
      </c>
      <c r="C912" s="76">
        <f>122.58</f>
        <v>122.58</v>
      </c>
      <c r="D912" s="76">
        <f>297.941</f>
        <v>297.94099999999997</v>
      </c>
      <c r="E912" s="85">
        <f>89.177</f>
        <v>89.177000000000007</v>
      </c>
      <c r="F912" s="76">
        <f>240.302-40-60-100</f>
        <v>40.301999999999992</v>
      </c>
      <c r="G912" s="79">
        <v>40</v>
      </c>
      <c r="H912" s="76">
        <f>60+100</f>
        <v>160</v>
      </c>
      <c r="I912" s="76">
        <f t="shared" si="147"/>
        <v>0</v>
      </c>
      <c r="J912" s="79">
        <v>100</v>
      </c>
      <c r="K912" s="79">
        <v>300</v>
      </c>
      <c r="L912" s="76">
        <f t="shared" si="139"/>
        <v>1150</v>
      </c>
      <c r="M912" s="87">
        <v>600</v>
      </c>
      <c r="N912" s="76">
        <f>100</f>
        <v>100</v>
      </c>
      <c r="O912" s="79">
        <v>240</v>
      </c>
      <c r="P912" s="79">
        <v>40</v>
      </c>
      <c r="Q912" s="79">
        <f t="shared" si="140"/>
        <v>315</v>
      </c>
      <c r="R912" s="79">
        <f t="shared" si="141"/>
        <v>100</v>
      </c>
      <c r="S912" s="76">
        <f t="shared" si="142"/>
        <v>695</v>
      </c>
      <c r="T912" s="76">
        <f>50</f>
        <v>50</v>
      </c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</row>
    <row r="913" spans="1:30" ht="15.75" x14ac:dyDescent="0.25">
      <c r="A913" s="31">
        <v>68727</v>
      </c>
      <c r="B913" s="88">
        <f t="shared" si="144"/>
        <v>29</v>
      </c>
      <c r="C913" s="76">
        <f>122.58</f>
        <v>122.58</v>
      </c>
      <c r="D913" s="76">
        <f>297.941</f>
        <v>297.94099999999997</v>
      </c>
      <c r="E913" s="85">
        <f>89.177</f>
        <v>89.177000000000007</v>
      </c>
      <c r="F913" s="76">
        <f>240.302-40-60-100</f>
        <v>40.301999999999992</v>
      </c>
      <c r="G913" s="79">
        <v>40</v>
      </c>
      <c r="H913" s="76">
        <f>60+100</f>
        <v>160</v>
      </c>
      <c r="I913" s="76">
        <f t="shared" si="147"/>
        <v>0</v>
      </c>
      <c r="J913" s="79">
        <v>100</v>
      </c>
      <c r="K913" s="79">
        <v>300</v>
      </c>
      <c r="L913" s="76">
        <f t="shared" si="139"/>
        <v>1150</v>
      </c>
      <c r="M913" s="87">
        <v>600</v>
      </c>
      <c r="N913" s="76">
        <f>100</f>
        <v>100</v>
      </c>
      <c r="O913" s="79">
        <v>240</v>
      </c>
      <c r="P913" s="79">
        <v>40</v>
      </c>
      <c r="Q913" s="79">
        <f t="shared" si="140"/>
        <v>315</v>
      </c>
      <c r="R913" s="79">
        <f t="shared" si="141"/>
        <v>100</v>
      </c>
      <c r="S913" s="76">
        <f t="shared" si="142"/>
        <v>695</v>
      </c>
      <c r="T913" s="76">
        <f>50</f>
        <v>50</v>
      </c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</row>
    <row r="914" spans="1:30" ht="15.75" x14ac:dyDescent="0.25">
      <c r="A914" s="31">
        <v>68758</v>
      </c>
      <c r="B914" s="88">
        <f t="shared" si="144"/>
        <v>31</v>
      </c>
      <c r="C914" s="76">
        <f>122.58</f>
        <v>122.58</v>
      </c>
      <c r="D914" s="76">
        <f>297.941</f>
        <v>297.94099999999997</v>
      </c>
      <c r="E914" s="85">
        <f>89.177</f>
        <v>89.177000000000007</v>
      </c>
      <c r="F914" s="76">
        <f>240.302-40-60-100</f>
        <v>40.301999999999992</v>
      </c>
      <c r="G914" s="79">
        <v>40</v>
      </c>
      <c r="H914" s="76">
        <f>60+100</f>
        <v>160</v>
      </c>
      <c r="I914" s="76">
        <f t="shared" si="147"/>
        <v>0</v>
      </c>
      <c r="J914" s="79">
        <v>100</v>
      </c>
      <c r="K914" s="79">
        <v>300</v>
      </c>
      <c r="L914" s="76">
        <f t="shared" ref="L914:L977" si="150">SUM(C914:K914)</f>
        <v>1150</v>
      </c>
      <c r="M914" s="87">
        <v>600</v>
      </c>
      <c r="N914" s="76">
        <f>100</f>
        <v>100</v>
      </c>
      <c r="O914" s="79">
        <v>240</v>
      </c>
      <c r="P914" s="79">
        <v>40</v>
      </c>
      <c r="Q914" s="79">
        <f t="shared" ref="Q914:Q977" si="151">695-R914-O914-P914</f>
        <v>315</v>
      </c>
      <c r="R914" s="79">
        <f t="shared" ref="R914:R977" si="152">200-J914</f>
        <v>100</v>
      </c>
      <c r="S914" s="76">
        <f t="shared" ref="S914:S977" si="153">SUM(O914:R914)</f>
        <v>695</v>
      </c>
      <c r="T914" s="76">
        <f>50</f>
        <v>50</v>
      </c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</row>
    <row r="915" spans="1:30" ht="15.75" x14ac:dyDescent="0.25">
      <c r="A915" s="31">
        <v>68788</v>
      </c>
      <c r="B915" s="88">
        <f t="shared" si="144"/>
        <v>30</v>
      </c>
      <c r="C915" s="76">
        <f>141.293</f>
        <v>141.29300000000001</v>
      </c>
      <c r="D915" s="76">
        <f>267.993</f>
        <v>267.99299999999999</v>
      </c>
      <c r="E915" s="85">
        <f>115.016</f>
        <v>115.01600000000001</v>
      </c>
      <c r="F915" s="76">
        <f>314.698-40-25-60-100</f>
        <v>89.697999999999979</v>
      </c>
      <c r="G915" s="79">
        <v>40</v>
      </c>
      <c r="H915" s="76">
        <f t="shared" ref="H915:H921" si="154">25+60+100</f>
        <v>185</v>
      </c>
      <c r="I915" s="76">
        <f t="shared" si="147"/>
        <v>0</v>
      </c>
      <c r="J915" s="79">
        <v>100</v>
      </c>
      <c r="K915" s="79">
        <v>300</v>
      </c>
      <c r="L915" s="76">
        <f t="shared" si="150"/>
        <v>1239</v>
      </c>
      <c r="M915" s="87">
        <v>600</v>
      </c>
      <c r="N915" s="76">
        <f>100</f>
        <v>100</v>
      </c>
      <c r="O915" s="79">
        <v>240</v>
      </c>
      <c r="P915" s="79">
        <v>40</v>
      </c>
      <c r="Q915" s="79">
        <f t="shared" si="151"/>
        <v>315</v>
      </c>
      <c r="R915" s="79">
        <f t="shared" si="152"/>
        <v>100</v>
      </c>
      <c r="S915" s="76">
        <f t="shared" si="153"/>
        <v>695</v>
      </c>
      <c r="T915" s="76">
        <f>50</f>
        <v>50</v>
      </c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</row>
    <row r="916" spans="1:30" ht="15.75" x14ac:dyDescent="0.25">
      <c r="A916" s="31">
        <v>68819</v>
      </c>
      <c r="B916" s="88">
        <f t="shared" si="144"/>
        <v>31</v>
      </c>
      <c r="C916" s="76">
        <f>194.205</f>
        <v>194.20500000000001</v>
      </c>
      <c r="D916" s="76">
        <f>267.466</f>
        <v>267.46600000000001</v>
      </c>
      <c r="E916" s="85">
        <f>133.845</f>
        <v>133.845</v>
      </c>
      <c r="F916" s="76">
        <f>278.484-40-25-60-100</f>
        <v>53.48399999999998</v>
      </c>
      <c r="G916" s="79">
        <v>40</v>
      </c>
      <c r="H916" s="76">
        <f t="shared" si="154"/>
        <v>185</v>
      </c>
      <c r="I916" s="76">
        <f t="shared" si="147"/>
        <v>0</v>
      </c>
      <c r="J916" s="79">
        <v>100</v>
      </c>
      <c r="K916" s="79">
        <v>300</v>
      </c>
      <c r="L916" s="76">
        <f t="shared" si="150"/>
        <v>1274</v>
      </c>
      <c r="M916" s="87">
        <v>600</v>
      </c>
      <c r="N916" s="76">
        <f>75</f>
        <v>75</v>
      </c>
      <c r="O916" s="79">
        <v>240</v>
      </c>
      <c r="P916" s="79">
        <v>40</v>
      </c>
      <c r="Q916" s="79">
        <f t="shared" si="151"/>
        <v>315</v>
      </c>
      <c r="R916" s="79">
        <f t="shared" si="152"/>
        <v>100</v>
      </c>
      <c r="S916" s="76">
        <f t="shared" si="153"/>
        <v>695</v>
      </c>
      <c r="T916" s="76">
        <f>50</f>
        <v>50</v>
      </c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</row>
    <row r="917" spans="1:30" ht="15.75" x14ac:dyDescent="0.25">
      <c r="A917" s="31">
        <v>68849</v>
      </c>
      <c r="B917" s="88">
        <f t="shared" si="144"/>
        <v>30</v>
      </c>
      <c r="C917" s="76">
        <f>194.205</f>
        <v>194.20500000000001</v>
      </c>
      <c r="D917" s="76">
        <f>267.466</f>
        <v>267.46600000000001</v>
      </c>
      <c r="E917" s="85">
        <f>133.845</f>
        <v>133.845</v>
      </c>
      <c r="F917" s="76">
        <f>278.484-40-25-60-100</f>
        <v>53.48399999999998</v>
      </c>
      <c r="G917" s="79">
        <v>40</v>
      </c>
      <c r="H917" s="76">
        <f t="shared" si="154"/>
        <v>185</v>
      </c>
      <c r="I917" s="76">
        <f t="shared" si="147"/>
        <v>0</v>
      </c>
      <c r="J917" s="79">
        <v>100</v>
      </c>
      <c r="K917" s="79">
        <v>300</v>
      </c>
      <c r="L917" s="76">
        <f t="shared" si="150"/>
        <v>1274</v>
      </c>
      <c r="M917" s="87">
        <v>600</v>
      </c>
      <c r="N917" s="76">
        <f>30</f>
        <v>30</v>
      </c>
      <c r="O917" s="79">
        <v>240</v>
      </c>
      <c r="P917" s="79">
        <v>40</v>
      </c>
      <c r="Q917" s="79">
        <f t="shared" si="151"/>
        <v>315</v>
      </c>
      <c r="R917" s="79">
        <f t="shared" si="152"/>
        <v>100</v>
      </c>
      <c r="S917" s="76">
        <f t="shared" si="153"/>
        <v>695</v>
      </c>
      <c r="T917" s="76">
        <f>50</f>
        <v>50</v>
      </c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</row>
    <row r="918" spans="1:30" ht="15.75" x14ac:dyDescent="0.25">
      <c r="A918" s="31">
        <v>68880</v>
      </c>
      <c r="B918" s="88">
        <f t="shared" si="144"/>
        <v>31</v>
      </c>
      <c r="C918" s="76">
        <f>194.205</f>
        <v>194.20500000000001</v>
      </c>
      <c r="D918" s="76">
        <f>267.466</f>
        <v>267.46600000000001</v>
      </c>
      <c r="E918" s="85">
        <f>133.845</f>
        <v>133.845</v>
      </c>
      <c r="F918" s="76">
        <f>278.484-40-25-60-100</f>
        <v>53.48399999999998</v>
      </c>
      <c r="G918" s="79">
        <v>40</v>
      </c>
      <c r="H918" s="76">
        <f t="shared" si="154"/>
        <v>185</v>
      </c>
      <c r="I918" s="76">
        <f t="shared" si="147"/>
        <v>0</v>
      </c>
      <c r="J918" s="79">
        <v>100</v>
      </c>
      <c r="K918" s="79">
        <v>300</v>
      </c>
      <c r="L918" s="76">
        <f t="shared" si="150"/>
        <v>1274</v>
      </c>
      <c r="M918" s="87">
        <v>600</v>
      </c>
      <c r="N918" s="76">
        <f>30</f>
        <v>30</v>
      </c>
      <c r="O918" s="79">
        <v>240</v>
      </c>
      <c r="P918" s="79">
        <v>40</v>
      </c>
      <c r="Q918" s="79">
        <f t="shared" si="151"/>
        <v>315</v>
      </c>
      <c r="R918" s="79">
        <f t="shared" si="152"/>
        <v>100</v>
      </c>
      <c r="S918" s="76">
        <f t="shared" si="153"/>
        <v>695</v>
      </c>
      <c r="T918" s="76">
        <f>0</f>
        <v>0</v>
      </c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</row>
    <row r="919" spans="1:30" ht="15.75" x14ac:dyDescent="0.25">
      <c r="A919" s="31">
        <v>68911</v>
      </c>
      <c r="B919" s="88">
        <f t="shared" si="144"/>
        <v>31</v>
      </c>
      <c r="C919" s="76">
        <f>194.205</f>
        <v>194.20500000000001</v>
      </c>
      <c r="D919" s="76">
        <f>267.466</f>
        <v>267.46600000000001</v>
      </c>
      <c r="E919" s="85">
        <f>133.845</f>
        <v>133.845</v>
      </c>
      <c r="F919" s="76">
        <f>278.484-40-25-60-100</f>
        <v>53.48399999999998</v>
      </c>
      <c r="G919" s="79">
        <v>40</v>
      </c>
      <c r="H919" s="76">
        <f t="shared" si="154"/>
        <v>185</v>
      </c>
      <c r="I919" s="76">
        <f t="shared" si="147"/>
        <v>0</v>
      </c>
      <c r="J919" s="79">
        <v>100</v>
      </c>
      <c r="K919" s="79">
        <v>300</v>
      </c>
      <c r="L919" s="76">
        <f t="shared" si="150"/>
        <v>1274</v>
      </c>
      <c r="M919" s="87">
        <v>600</v>
      </c>
      <c r="N919" s="76">
        <f>30</f>
        <v>30</v>
      </c>
      <c r="O919" s="79">
        <v>240</v>
      </c>
      <c r="P919" s="79">
        <v>40</v>
      </c>
      <c r="Q919" s="79">
        <f t="shared" si="151"/>
        <v>315</v>
      </c>
      <c r="R919" s="79">
        <f t="shared" si="152"/>
        <v>100</v>
      </c>
      <c r="S919" s="76">
        <f t="shared" si="153"/>
        <v>695</v>
      </c>
      <c r="T919" s="76">
        <f>0</f>
        <v>0</v>
      </c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</row>
    <row r="920" spans="1:30" ht="15.75" x14ac:dyDescent="0.25">
      <c r="A920" s="31">
        <v>68941</v>
      </c>
      <c r="B920" s="88">
        <f t="shared" ref="B920:B983" si="155">EOMONTH(A920,0)-EOMONTH(A920,-1)</f>
        <v>30</v>
      </c>
      <c r="C920" s="76">
        <f>194.205</f>
        <v>194.20500000000001</v>
      </c>
      <c r="D920" s="76">
        <f>267.466</f>
        <v>267.46600000000001</v>
      </c>
      <c r="E920" s="85">
        <f>133.845</f>
        <v>133.845</v>
      </c>
      <c r="F920" s="76">
        <f>278.484-40-25-60-100</f>
        <v>53.48399999999998</v>
      </c>
      <c r="G920" s="79">
        <v>40</v>
      </c>
      <c r="H920" s="76">
        <f t="shared" si="154"/>
        <v>185</v>
      </c>
      <c r="I920" s="76">
        <f t="shared" si="147"/>
        <v>0</v>
      </c>
      <c r="J920" s="79">
        <v>100</v>
      </c>
      <c r="K920" s="79">
        <v>300</v>
      </c>
      <c r="L920" s="76">
        <f t="shared" si="150"/>
        <v>1274</v>
      </c>
      <c r="M920" s="87">
        <v>600</v>
      </c>
      <c r="N920" s="76">
        <f>30</f>
        <v>30</v>
      </c>
      <c r="O920" s="79">
        <v>240</v>
      </c>
      <c r="P920" s="79">
        <v>40</v>
      </c>
      <c r="Q920" s="79">
        <f t="shared" si="151"/>
        <v>315</v>
      </c>
      <c r="R920" s="79">
        <f t="shared" si="152"/>
        <v>100</v>
      </c>
      <c r="S920" s="76">
        <f t="shared" si="153"/>
        <v>695</v>
      </c>
      <c r="T920" s="76">
        <f>0</f>
        <v>0</v>
      </c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</row>
    <row r="921" spans="1:30" ht="15.75" x14ac:dyDescent="0.25">
      <c r="A921" s="31">
        <v>68972</v>
      </c>
      <c r="B921" s="88">
        <f t="shared" si="155"/>
        <v>31</v>
      </c>
      <c r="C921" s="76">
        <f>131.881</f>
        <v>131.881</v>
      </c>
      <c r="D921" s="76">
        <f>277.167</f>
        <v>277.16699999999997</v>
      </c>
      <c r="E921" s="85">
        <f>79.08</f>
        <v>79.08</v>
      </c>
      <c r="F921" s="76">
        <f>350.872-40-25-60-100</f>
        <v>125.87200000000001</v>
      </c>
      <c r="G921" s="79">
        <v>40</v>
      </c>
      <c r="H921" s="76">
        <f t="shared" si="154"/>
        <v>185</v>
      </c>
      <c r="I921" s="76">
        <f t="shared" si="147"/>
        <v>0</v>
      </c>
      <c r="J921" s="79">
        <v>100</v>
      </c>
      <c r="K921" s="79">
        <v>300</v>
      </c>
      <c r="L921" s="76">
        <f t="shared" si="150"/>
        <v>1239</v>
      </c>
      <c r="M921" s="87">
        <v>600</v>
      </c>
      <c r="N921" s="76">
        <f>75</f>
        <v>75</v>
      </c>
      <c r="O921" s="79">
        <v>240</v>
      </c>
      <c r="P921" s="79">
        <v>40</v>
      </c>
      <c r="Q921" s="79">
        <f t="shared" si="151"/>
        <v>315</v>
      </c>
      <c r="R921" s="79">
        <f t="shared" si="152"/>
        <v>100</v>
      </c>
      <c r="S921" s="76">
        <f t="shared" si="153"/>
        <v>695</v>
      </c>
      <c r="T921" s="76">
        <f>0</f>
        <v>0</v>
      </c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</row>
    <row r="922" spans="1:30" ht="15.75" x14ac:dyDescent="0.25">
      <c r="A922" s="31">
        <v>69002</v>
      </c>
      <c r="B922" s="88">
        <f t="shared" si="155"/>
        <v>30</v>
      </c>
      <c r="C922" s="76">
        <f>122.58</f>
        <v>122.58</v>
      </c>
      <c r="D922" s="76">
        <f>297.941</f>
        <v>297.94099999999997</v>
      </c>
      <c r="E922" s="85">
        <f>89.177</f>
        <v>89.177000000000007</v>
      </c>
      <c r="F922" s="76">
        <f>240.302-40-60-100</f>
        <v>40.301999999999992</v>
      </c>
      <c r="G922" s="79">
        <v>40</v>
      </c>
      <c r="H922" s="76">
        <f>60+100</f>
        <v>160</v>
      </c>
      <c r="I922" s="76">
        <f t="shared" si="147"/>
        <v>0</v>
      </c>
      <c r="J922" s="79">
        <v>100</v>
      </c>
      <c r="K922" s="79">
        <v>300</v>
      </c>
      <c r="L922" s="76">
        <f t="shared" si="150"/>
        <v>1150</v>
      </c>
      <c r="M922" s="87">
        <v>600</v>
      </c>
      <c r="N922" s="76">
        <f>100</f>
        <v>100</v>
      </c>
      <c r="O922" s="79">
        <v>240</v>
      </c>
      <c r="P922" s="79">
        <v>40</v>
      </c>
      <c r="Q922" s="79">
        <f t="shared" si="151"/>
        <v>315</v>
      </c>
      <c r="R922" s="79">
        <f t="shared" si="152"/>
        <v>100</v>
      </c>
      <c r="S922" s="76">
        <f t="shared" si="153"/>
        <v>695</v>
      </c>
      <c r="T922" s="76">
        <f>50</f>
        <v>50</v>
      </c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</row>
    <row r="923" spans="1:30" ht="15.75" x14ac:dyDescent="0.25">
      <c r="A923" s="31">
        <v>69033</v>
      </c>
      <c r="B923" s="88">
        <f t="shared" si="155"/>
        <v>31</v>
      </c>
      <c r="C923" s="76">
        <f>122.58</f>
        <v>122.58</v>
      </c>
      <c r="D923" s="76">
        <f>297.941</f>
        <v>297.94099999999997</v>
      </c>
      <c r="E923" s="85">
        <f>89.177</f>
        <v>89.177000000000007</v>
      </c>
      <c r="F923" s="76">
        <f>240.302-40-60-100</f>
        <v>40.301999999999992</v>
      </c>
      <c r="G923" s="79">
        <v>40</v>
      </c>
      <c r="H923" s="76">
        <f>60+100</f>
        <v>160</v>
      </c>
      <c r="I923" s="76">
        <f t="shared" si="147"/>
        <v>0</v>
      </c>
      <c r="J923" s="79">
        <v>100</v>
      </c>
      <c r="K923" s="79">
        <v>300</v>
      </c>
      <c r="L923" s="76">
        <f t="shared" si="150"/>
        <v>1150</v>
      </c>
      <c r="M923" s="87">
        <v>600</v>
      </c>
      <c r="N923" s="76">
        <f>100</f>
        <v>100</v>
      </c>
      <c r="O923" s="79">
        <v>240</v>
      </c>
      <c r="P923" s="79">
        <v>40</v>
      </c>
      <c r="Q923" s="79">
        <f t="shared" si="151"/>
        <v>315</v>
      </c>
      <c r="R923" s="79">
        <f t="shared" si="152"/>
        <v>100</v>
      </c>
      <c r="S923" s="76">
        <f t="shared" si="153"/>
        <v>695</v>
      </c>
      <c r="T923" s="76">
        <f>50</f>
        <v>50</v>
      </c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</row>
    <row r="924" spans="1:30" ht="15.75" x14ac:dyDescent="0.25">
      <c r="A924" s="31">
        <v>69064</v>
      </c>
      <c r="B924" s="88">
        <f t="shared" si="155"/>
        <v>31</v>
      </c>
      <c r="C924" s="76">
        <f>122.58</f>
        <v>122.58</v>
      </c>
      <c r="D924" s="76">
        <f>297.941</f>
        <v>297.94099999999997</v>
      </c>
      <c r="E924" s="85">
        <f>89.177</f>
        <v>89.177000000000007</v>
      </c>
      <c r="F924" s="76">
        <f>240.302-40-60-100</f>
        <v>40.301999999999992</v>
      </c>
      <c r="G924" s="79">
        <v>40</v>
      </c>
      <c r="H924" s="76">
        <f>60+100</f>
        <v>160</v>
      </c>
      <c r="I924" s="76">
        <f t="shared" si="147"/>
        <v>0</v>
      </c>
      <c r="J924" s="79">
        <v>100</v>
      </c>
      <c r="K924" s="79">
        <v>300</v>
      </c>
      <c r="L924" s="76">
        <f t="shared" si="150"/>
        <v>1150</v>
      </c>
      <c r="M924" s="87">
        <v>600</v>
      </c>
      <c r="N924" s="76">
        <f>100</f>
        <v>100</v>
      </c>
      <c r="O924" s="79">
        <v>240</v>
      </c>
      <c r="P924" s="79">
        <v>40</v>
      </c>
      <c r="Q924" s="79">
        <f t="shared" si="151"/>
        <v>315</v>
      </c>
      <c r="R924" s="79">
        <f t="shared" si="152"/>
        <v>100</v>
      </c>
      <c r="S924" s="76">
        <f t="shared" si="153"/>
        <v>695</v>
      </c>
      <c r="T924" s="76">
        <f>50</f>
        <v>50</v>
      </c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</row>
    <row r="925" spans="1:30" ht="15.75" x14ac:dyDescent="0.25">
      <c r="A925" s="31">
        <v>69092</v>
      </c>
      <c r="B925" s="88">
        <f t="shared" si="155"/>
        <v>28</v>
      </c>
      <c r="C925" s="76">
        <f>122.58</f>
        <v>122.58</v>
      </c>
      <c r="D925" s="76">
        <f>297.941</f>
        <v>297.94099999999997</v>
      </c>
      <c r="E925" s="85">
        <f>89.177</f>
        <v>89.177000000000007</v>
      </c>
      <c r="F925" s="76">
        <f>240.302-40-60-100</f>
        <v>40.301999999999992</v>
      </c>
      <c r="G925" s="79">
        <v>40</v>
      </c>
      <c r="H925" s="76">
        <f>60+100</f>
        <v>160</v>
      </c>
      <c r="I925" s="76">
        <f t="shared" si="147"/>
        <v>0</v>
      </c>
      <c r="J925" s="79">
        <v>100</v>
      </c>
      <c r="K925" s="79">
        <v>300</v>
      </c>
      <c r="L925" s="76">
        <f t="shared" si="150"/>
        <v>1150</v>
      </c>
      <c r="M925" s="87">
        <v>600</v>
      </c>
      <c r="N925" s="76">
        <f>100</f>
        <v>100</v>
      </c>
      <c r="O925" s="79">
        <v>240</v>
      </c>
      <c r="P925" s="79">
        <v>40</v>
      </c>
      <c r="Q925" s="79">
        <f t="shared" si="151"/>
        <v>315</v>
      </c>
      <c r="R925" s="79">
        <f t="shared" si="152"/>
        <v>100</v>
      </c>
      <c r="S925" s="76">
        <f t="shared" si="153"/>
        <v>695</v>
      </c>
      <c r="T925" s="76">
        <f>50</f>
        <v>50</v>
      </c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</row>
    <row r="926" spans="1:30" ht="15.75" x14ac:dyDescent="0.25">
      <c r="A926" s="31">
        <v>69123</v>
      </c>
      <c r="B926" s="88">
        <f t="shared" si="155"/>
        <v>31</v>
      </c>
      <c r="C926" s="76">
        <f>122.58</f>
        <v>122.58</v>
      </c>
      <c r="D926" s="76">
        <f>297.941</f>
        <v>297.94099999999997</v>
      </c>
      <c r="E926" s="85">
        <f>89.177</f>
        <v>89.177000000000007</v>
      </c>
      <c r="F926" s="76">
        <f>240.302-40-60-100</f>
        <v>40.301999999999992</v>
      </c>
      <c r="G926" s="79">
        <v>40</v>
      </c>
      <c r="H926" s="76">
        <f>60+100</f>
        <v>160</v>
      </c>
      <c r="I926" s="76">
        <f t="shared" si="147"/>
        <v>0</v>
      </c>
      <c r="J926" s="79">
        <v>100</v>
      </c>
      <c r="K926" s="79">
        <v>300</v>
      </c>
      <c r="L926" s="76">
        <f t="shared" si="150"/>
        <v>1150</v>
      </c>
      <c r="M926" s="87">
        <v>600</v>
      </c>
      <c r="N926" s="76">
        <f>100</f>
        <v>100</v>
      </c>
      <c r="O926" s="79">
        <v>240</v>
      </c>
      <c r="P926" s="79">
        <v>40</v>
      </c>
      <c r="Q926" s="79">
        <f t="shared" si="151"/>
        <v>315</v>
      </c>
      <c r="R926" s="79">
        <f t="shared" si="152"/>
        <v>100</v>
      </c>
      <c r="S926" s="76">
        <f t="shared" si="153"/>
        <v>695</v>
      </c>
      <c r="T926" s="76">
        <f>50</f>
        <v>50</v>
      </c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</row>
    <row r="927" spans="1:30" ht="15.75" x14ac:dyDescent="0.25">
      <c r="A927" s="31">
        <v>69153</v>
      </c>
      <c r="B927" s="88">
        <f t="shared" si="155"/>
        <v>30</v>
      </c>
      <c r="C927" s="76">
        <f>141.293</f>
        <v>141.29300000000001</v>
      </c>
      <c r="D927" s="76">
        <f>267.993</f>
        <v>267.99299999999999</v>
      </c>
      <c r="E927" s="85">
        <f>115.016</f>
        <v>115.01600000000001</v>
      </c>
      <c r="F927" s="76">
        <f>314.698-40-25-60-100</f>
        <v>89.697999999999979</v>
      </c>
      <c r="G927" s="79">
        <v>40</v>
      </c>
      <c r="H927" s="76">
        <f t="shared" ref="H927:H933" si="156">25+60+100</f>
        <v>185</v>
      </c>
      <c r="I927" s="76">
        <f t="shared" si="147"/>
        <v>0</v>
      </c>
      <c r="J927" s="79">
        <v>100</v>
      </c>
      <c r="K927" s="79">
        <v>300</v>
      </c>
      <c r="L927" s="76">
        <f t="shared" si="150"/>
        <v>1239</v>
      </c>
      <c r="M927" s="87">
        <v>600</v>
      </c>
      <c r="N927" s="76">
        <f>100</f>
        <v>100</v>
      </c>
      <c r="O927" s="79">
        <v>240</v>
      </c>
      <c r="P927" s="79">
        <v>40</v>
      </c>
      <c r="Q927" s="79">
        <f t="shared" si="151"/>
        <v>315</v>
      </c>
      <c r="R927" s="79">
        <f t="shared" si="152"/>
        <v>100</v>
      </c>
      <c r="S927" s="76">
        <f t="shared" si="153"/>
        <v>695</v>
      </c>
      <c r="T927" s="76">
        <f>50</f>
        <v>50</v>
      </c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</row>
    <row r="928" spans="1:30" ht="15.75" x14ac:dyDescent="0.25">
      <c r="A928" s="31">
        <v>69184</v>
      </c>
      <c r="B928" s="88">
        <f t="shared" si="155"/>
        <v>31</v>
      </c>
      <c r="C928" s="76">
        <f>194.205</f>
        <v>194.20500000000001</v>
      </c>
      <c r="D928" s="76">
        <f>267.466</f>
        <v>267.46600000000001</v>
      </c>
      <c r="E928" s="85">
        <f>133.845</f>
        <v>133.845</v>
      </c>
      <c r="F928" s="76">
        <f>278.484-40-25-60-100</f>
        <v>53.48399999999998</v>
      </c>
      <c r="G928" s="79">
        <v>40</v>
      </c>
      <c r="H928" s="76">
        <f t="shared" si="156"/>
        <v>185</v>
      </c>
      <c r="I928" s="76">
        <f t="shared" si="147"/>
        <v>0</v>
      </c>
      <c r="J928" s="79">
        <v>100</v>
      </c>
      <c r="K928" s="79">
        <v>300</v>
      </c>
      <c r="L928" s="76">
        <f t="shared" si="150"/>
        <v>1274</v>
      </c>
      <c r="M928" s="87">
        <v>600</v>
      </c>
      <c r="N928" s="76">
        <f>75</f>
        <v>75</v>
      </c>
      <c r="O928" s="79">
        <v>240</v>
      </c>
      <c r="P928" s="79">
        <v>40</v>
      </c>
      <c r="Q928" s="79">
        <f t="shared" si="151"/>
        <v>315</v>
      </c>
      <c r="R928" s="79">
        <f t="shared" si="152"/>
        <v>100</v>
      </c>
      <c r="S928" s="76">
        <f t="shared" si="153"/>
        <v>695</v>
      </c>
      <c r="T928" s="76">
        <f>50</f>
        <v>50</v>
      </c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</row>
    <row r="929" spans="1:30" ht="15.75" x14ac:dyDescent="0.25">
      <c r="A929" s="31">
        <v>69214</v>
      </c>
      <c r="B929" s="88">
        <f t="shared" si="155"/>
        <v>30</v>
      </c>
      <c r="C929" s="76">
        <f>194.205</f>
        <v>194.20500000000001</v>
      </c>
      <c r="D929" s="76">
        <f>267.466</f>
        <v>267.46600000000001</v>
      </c>
      <c r="E929" s="85">
        <f>133.845</f>
        <v>133.845</v>
      </c>
      <c r="F929" s="76">
        <f>278.484-40-25-60-100</f>
        <v>53.48399999999998</v>
      </c>
      <c r="G929" s="79">
        <v>40</v>
      </c>
      <c r="H929" s="76">
        <f t="shared" si="156"/>
        <v>185</v>
      </c>
      <c r="I929" s="76">
        <f t="shared" si="147"/>
        <v>0</v>
      </c>
      <c r="J929" s="79">
        <v>100</v>
      </c>
      <c r="K929" s="79">
        <v>300</v>
      </c>
      <c r="L929" s="76">
        <f t="shared" si="150"/>
        <v>1274</v>
      </c>
      <c r="M929" s="87">
        <v>600</v>
      </c>
      <c r="N929" s="76">
        <f>30</f>
        <v>30</v>
      </c>
      <c r="O929" s="79">
        <v>240</v>
      </c>
      <c r="P929" s="79">
        <v>40</v>
      </c>
      <c r="Q929" s="79">
        <f t="shared" si="151"/>
        <v>315</v>
      </c>
      <c r="R929" s="79">
        <f t="shared" si="152"/>
        <v>100</v>
      </c>
      <c r="S929" s="76">
        <f t="shared" si="153"/>
        <v>695</v>
      </c>
      <c r="T929" s="76">
        <f>50</f>
        <v>50</v>
      </c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</row>
    <row r="930" spans="1:30" ht="15.75" x14ac:dyDescent="0.25">
      <c r="A930" s="31">
        <v>69245</v>
      </c>
      <c r="B930" s="88">
        <f t="shared" si="155"/>
        <v>31</v>
      </c>
      <c r="C930" s="76">
        <f>194.205</f>
        <v>194.20500000000001</v>
      </c>
      <c r="D930" s="76">
        <f>267.466</f>
        <v>267.46600000000001</v>
      </c>
      <c r="E930" s="85">
        <f>133.845</f>
        <v>133.845</v>
      </c>
      <c r="F930" s="76">
        <f>278.484-40-25-60-100</f>
        <v>53.48399999999998</v>
      </c>
      <c r="G930" s="79">
        <v>40</v>
      </c>
      <c r="H930" s="76">
        <f t="shared" si="156"/>
        <v>185</v>
      </c>
      <c r="I930" s="76">
        <f t="shared" si="147"/>
        <v>0</v>
      </c>
      <c r="J930" s="79">
        <v>100</v>
      </c>
      <c r="K930" s="79">
        <v>300</v>
      </c>
      <c r="L930" s="76">
        <f t="shared" si="150"/>
        <v>1274</v>
      </c>
      <c r="M930" s="87">
        <v>600</v>
      </c>
      <c r="N930" s="76">
        <f>30</f>
        <v>30</v>
      </c>
      <c r="O930" s="79">
        <v>240</v>
      </c>
      <c r="P930" s="79">
        <v>40</v>
      </c>
      <c r="Q930" s="79">
        <f t="shared" si="151"/>
        <v>315</v>
      </c>
      <c r="R930" s="79">
        <f t="shared" si="152"/>
        <v>100</v>
      </c>
      <c r="S930" s="76">
        <f t="shared" si="153"/>
        <v>695</v>
      </c>
      <c r="T930" s="76">
        <f>0</f>
        <v>0</v>
      </c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</row>
    <row r="931" spans="1:30" ht="15.75" x14ac:dyDescent="0.25">
      <c r="A931" s="31">
        <v>69276</v>
      </c>
      <c r="B931" s="88">
        <f t="shared" si="155"/>
        <v>31</v>
      </c>
      <c r="C931" s="76">
        <f>194.205</f>
        <v>194.20500000000001</v>
      </c>
      <c r="D931" s="76">
        <f>267.466</f>
        <v>267.46600000000001</v>
      </c>
      <c r="E931" s="85">
        <f>133.845</f>
        <v>133.845</v>
      </c>
      <c r="F931" s="76">
        <f>278.484-40-25-60-100</f>
        <v>53.48399999999998</v>
      </c>
      <c r="G931" s="79">
        <v>40</v>
      </c>
      <c r="H931" s="76">
        <f t="shared" si="156"/>
        <v>185</v>
      </c>
      <c r="I931" s="76">
        <f t="shared" si="147"/>
        <v>0</v>
      </c>
      <c r="J931" s="79">
        <v>100</v>
      </c>
      <c r="K931" s="79">
        <v>300</v>
      </c>
      <c r="L931" s="76">
        <f t="shared" si="150"/>
        <v>1274</v>
      </c>
      <c r="M931" s="87">
        <v>600</v>
      </c>
      <c r="N931" s="76">
        <f>30</f>
        <v>30</v>
      </c>
      <c r="O931" s="79">
        <v>240</v>
      </c>
      <c r="P931" s="79">
        <v>40</v>
      </c>
      <c r="Q931" s="79">
        <f t="shared" si="151"/>
        <v>315</v>
      </c>
      <c r="R931" s="79">
        <f t="shared" si="152"/>
        <v>100</v>
      </c>
      <c r="S931" s="76">
        <f t="shared" si="153"/>
        <v>695</v>
      </c>
      <c r="T931" s="76">
        <f>0</f>
        <v>0</v>
      </c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</row>
    <row r="932" spans="1:30" ht="15.75" x14ac:dyDescent="0.25">
      <c r="A932" s="31">
        <v>69306</v>
      </c>
      <c r="B932" s="88">
        <f t="shared" si="155"/>
        <v>30</v>
      </c>
      <c r="C932" s="76">
        <f>194.205</f>
        <v>194.20500000000001</v>
      </c>
      <c r="D932" s="76">
        <f>267.466</f>
        <v>267.46600000000001</v>
      </c>
      <c r="E932" s="85">
        <f>133.845</f>
        <v>133.845</v>
      </c>
      <c r="F932" s="76">
        <f>278.484-40-25-60-100</f>
        <v>53.48399999999998</v>
      </c>
      <c r="G932" s="79">
        <v>40</v>
      </c>
      <c r="H932" s="76">
        <f t="shared" si="156"/>
        <v>185</v>
      </c>
      <c r="I932" s="76">
        <f t="shared" si="147"/>
        <v>0</v>
      </c>
      <c r="J932" s="79">
        <v>100</v>
      </c>
      <c r="K932" s="79">
        <v>300</v>
      </c>
      <c r="L932" s="76">
        <f t="shared" si="150"/>
        <v>1274</v>
      </c>
      <c r="M932" s="87">
        <v>600</v>
      </c>
      <c r="N932" s="76">
        <f>30</f>
        <v>30</v>
      </c>
      <c r="O932" s="79">
        <v>240</v>
      </c>
      <c r="P932" s="79">
        <v>40</v>
      </c>
      <c r="Q932" s="79">
        <f t="shared" si="151"/>
        <v>315</v>
      </c>
      <c r="R932" s="79">
        <f t="shared" si="152"/>
        <v>100</v>
      </c>
      <c r="S932" s="76">
        <f t="shared" si="153"/>
        <v>695</v>
      </c>
      <c r="T932" s="76">
        <f>0</f>
        <v>0</v>
      </c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</row>
    <row r="933" spans="1:30" ht="15.75" x14ac:dyDescent="0.25">
      <c r="A933" s="31">
        <v>69337</v>
      </c>
      <c r="B933" s="88">
        <f t="shared" si="155"/>
        <v>31</v>
      </c>
      <c r="C933" s="76">
        <f>131.881</f>
        <v>131.881</v>
      </c>
      <c r="D933" s="76">
        <f>277.167</f>
        <v>277.16699999999997</v>
      </c>
      <c r="E933" s="85">
        <f>79.08</f>
        <v>79.08</v>
      </c>
      <c r="F933" s="76">
        <f>350.872-40-25-60-100</f>
        <v>125.87200000000001</v>
      </c>
      <c r="G933" s="79">
        <v>40</v>
      </c>
      <c r="H933" s="76">
        <f t="shared" si="156"/>
        <v>185</v>
      </c>
      <c r="I933" s="76">
        <f t="shared" si="147"/>
        <v>0</v>
      </c>
      <c r="J933" s="79">
        <v>100</v>
      </c>
      <c r="K933" s="79">
        <v>300</v>
      </c>
      <c r="L933" s="76">
        <f t="shared" si="150"/>
        <v>1239</v>
      </c>
      <c r="M933" s="87">
        <v>600</v>
      </c>
      <c r="N933" s="76">
        <f>75</f>
        <v>75</v>
      </c>
      <c r="O933" s="79">
        <v>240</v>
      </c>
      <c r="P933" s="79">
        <v>40</v>
      </c>
      <c r="Q933" s="79">
        <f t="shared" si="151"/>
        <v>315</v>
      </c>
      <c r="R933" s="79">
        <f t="shared" si="152"/>
        <v>100</v>
      </c>
      <c r="S933" s="76">
        <f t="shared" si="153"/>
        <v>695</v>
      </c>
      <c r="T933" s="76">
        <f>0</f>
        <v>0</v>
      </c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</row>
    <row r="934" spans="1:30" ht="15.75" x14ac:dyDescent="0.25">
      <c r="A934" s="31">
        <v>69367</v>
      </c>
      <c r="B934" s="88">
        <f t="shared" si="155"/>
        <v>30</v>
      </c>
      <c r="C934" s="76">
        <f>122.58</f>
        <v>122.58</v>
      </c>
      <c r="D934" s="76">
        <f>297.941</f>
        <v>297.94099999999997</v>
      </c>
      <c r="E934" s="85">
        <f>89.177</f>
        <v>89.177000000000007</v>
      </c>
      <c r="F934" s="76">
        <f>240.302-40-60-100</f>
        <v>40.301999999999992</v>
      </c>
      <c r="G934" s="79">
        <v>40</v>
      </c>
      <c r="H934" s="76">
        <f>60+100</f>
        <v>160</v>
      </c>
      <c r="I934" s="76">
        <f t="shared" si="147"/>
        <v>0</v>
      </c>
      <c r="J934" s="79">
        <v>100</v>
      </c>
      <c r="K934" s="79">
        <v>300</v>
      </c>
      <c r="L934" s="76">
        <f t="shared" si="150"/>
        <v>1150</v>
      </c>
      <c r="M934" s="87">
        <v>600</v>
      </c>
      <c r="N934" s="76">
        <f>100</f>
        <v>100</v>
      </c>
      <c r="O934" s="79">
        <v>240</v>
      </c>
      <c r="P934" s="79">
        <v>40</v>
      </c>
      <c r="Q934" s="79">
        <f t="shared" si="151"/>
        <v>315</v>
      </c>
      <c r="R934" s="79">
        <f t="shared" si="152"/>
        <v>100</v>
      </c>
      <c r="S934" s="76">
        <f t="shared" si="153"/>
        <v>695</v>
      </c>
      <c r="T934" s="76">
        <f>50</f>
        <v>50</v>
      </c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</row>
    <row r="935" spans="1:30" ht="15.75" x14ac:dyDescent="0.25">
      <c r="A935" s="31">
        <v>69398</v>
      </c>
      <c r="B935" s="88">
        <f t="shared" si="155"/>
        <v>31</v>
      </c>
      <c r="C935" s="76">
        <f>122.58</f>
        <v>122.58</v>
      </c>
      <c r="D935" s="76">
        <f>297.941</f>
        <v>297.94099999999997</v>
      </c>
      <c r="E935" s="85">
        <f>89.177</f>
        <v>89.177000000000007</v>
      </c>
      <c r="F935" s="76">
        <f>240.302-40-60-100</f>
        <v>40.301999999999992</v>
      </c>
      <c r="G935" s="79">
        <v>40</v>
      </c>
      <c r="H935" s="76">
        <f>60+100</f>
        <v>160</v>
      </c>
      <c r="I935" s="76">
        <f t="shared" si="147"/>
        <v>0</v>
      </c>
      <c r="J935" s="79">
        <v>100</v>
      </c>
      <c r="K935" s="79">
        <v>300</v>
      </c>
      <c r="L935" s="76">
        <f t="shared" si="150"/>
        <v>1150</v>
      </c>
      <c r="M935" s="87">
        <v>600</v>
      </c>
      <c r="N935" s="76">
        <f>100</f>
        <v>100</v>
      </c>
      <c r="O935" s="79">
        <v>240</v>
      </c>
      <c r="P935" s="79">
        <v>40</v>
      </c>
      <c r="Q935" s="79">
        <f t="shared" si="151"/>
        <v>315</v>
      </c>
      <c r="R935" s="79">
        <f t="shared" si="152"/>
        <v>100</v>
      </c>
      <c r="S935" s="76">
        <f t="shared" si="153"/>
        <v>695</v>
      </c>
      <c r="T935" s="76">
        <f>50</f>
        <v>50</v>
      </c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</row>
    <row r="936" spans="1:30" ht="15.75" x14ac:dyDescent="0.25">
      <c r="A936" s="31">
        <v>69429</v>
      </c>
      <c r="B936" s="88">
        <f t="shared" si="155"/>
        <v>31</v>
      </c>
      <c r="C936" s="76">
        <f>122.58</f>
        <v>122.58</v>
      </c>
      <c r="D936" s="76">
        <f>297.941</f>
        <v>297.94099999999997</v>
      </c>
      <c r="E936" s="85">
        <f>89.177</f>
        <v>89.177000000000007</v>
      </c>
      <c r="F936" s="76">
        <f>240.302-40-60-100</f>
        <v>40.301999999999992</v>
      </c>
      <c r="G936" s="79">
        <v>40</v>
      </c>
      <c r="H936" s="76">
        <f>60+100</f>
        <v>160</v>
      </c>
      <c r="I936" s="76">
        <f t="shared" si="147"/>
        <v>0</v>
      </c>
      <c r="J936" s="79">
        <v>100</v>
      </c>
      <c r="K936" s="79">
        <v>300</v>
      </c>
      <c r="L936" s="76">
        <f t="shared" si="150"/>
        <v>1150</v>
      </c>
      <c r="M936" s="87">
        <v>600</v>
      </c>
      <c r="N936" s="76">
        <f>100</f>
        <v>100</v>
      </c>
      <c r="O936" s="79">
        <v>240</v>
      </c>
      <c r="P936" s="79">
        <v>40</v>
      </c>
      <c r="Q936" s="79">
        <f t="shared" si="151"/>
        <v>315</v>
      </c>
      <c r="R936" s="79">
        <f t="shared" si="152"/>
        <v>100</v>
      </c>
      <c r="S936" s="76">
        <f t="shared" si="153"/>
        <v>695</v>
      </c>
      <c r="T936" s="76">
        <f>50</f>
        <v>50</v>
      </c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</row>
    <row r="937" spans="1:30" ht="15.75" x14ac:dyDescent="0.25">
      <c r="A937" s="31">
        <v>69457</v>
      </c>
      <c r="B937" s="88">
        <f t="shared" si="155"/>
        <v>28</v>
      </c>
      <c r="C937" s="76">
        <f>122.58</f>
        <v>122.58</v>
      </c>
      <c r="D937" s="76">
        <f>297.941</f>
        <v>297.94099999999997</v>
      </c>
      <c r="E937" s="85">
        <f>89.177</f>
        <v>89.177000000000007</v>
      </c>
      <c r="F937" s="76">
        <f>240.302-40-60-100</f>
        <v>40.301999999999992</v>
      </c>
      <c r="G937" s="79">
        <v>40</v>
      </c>
      <c r="H937" s="76">
        <f>60+100</f>
        <v>160</v>
      </c>
      <c r="I937" s="76">
        <f t="shared" si="147"/>
        <v>0</v>
      </c>
      <c r="J937" s="79">
        <v>100</v>
      </c>
      <c r="K937" s="79">
        <v>300</v>
      </c>
      <c r="L937" s="76">
        <f t="shared" si="150"/>
        <v>1150</v>
      </c>
      <c r="M937" s="87">
        <v>600</v>
      </c>
      <c r="N937" s="76">
        <f>100</f>
        <v>100</v>
      </c>
      <c r="O937" s="79">
        <v>240</v>
      </c>
      <c r="P937" s="79">
        <v>40</v>
      </c>
      <c r="Q937" s="79">
        <f t="shared" si="151"/>
        <v>315</v>
      </c>
      <c r="R937" s="79">
        <f t="shared" si="152"/>
        <v>100</v>
      </c>
      <c r="S937" s="76">
        <f t="shared" si="153"/>
        <v>695</v>
      </c>
      <c r="T937" s="76">
        <f>50</f>
        <v>50</v>
      </c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</row>
    <row r="938" spans="1:30" ht="15.75" x14ac:dyDescent="0.25">
      <c r="A938" s="31">
        <v>69488</v>
      </c>
      <c r="B938" s="88">
        <f t="shared" si="155"/>
        <v>31</v>
      </c>
      <c r="C938" s="76">
        <f>122.58</f>
        <v>122.58</v>
      </c>
      <c r="D938" s="76">
        <f>297.941</f>
        <v>297.94099999999997</v>
      </c>
      <c r="E938" s="85">
        <f>89.177</f>
        <v>89.177000000000007</v>
      </c>
      <c r="F938" s="76">
        <f>240.302-40-60-100</f>
        <v>40.301999999999992</v>
      </c>
      <c r="G938" s="79">
        <v>40</v>
      </c>
      <c r="H938" s="76">
        <f>60+100</f>
        <v>160</v>
      </c>
      <c r="I938" s="76">
        <f t="shared" si="147"/>
        <v>0</v>
      </c>
      <c r="J938" s="79">
        <v>100</v>
      </c>
      <c r="K938" s="79">
        <v>300</v>
      </c>
      <c r="L938" s="76">
        <f t="shared" si="150"/>
        <v>1150</v>
      </c>
      <c r="M938" s="87">
        <v>600</v>
      </c>
      <c r="N938" s="76">
        <f>100</f>
        <v>100</v>
      </c>
      <c r="O938" s="79">
        <v>240</v>
      </c>
      <c r="P938" s="79">
        <v>40</v>
      </c>
      <c r="Q938" s="79">
        <f t="shared" si="151"/>
        <v>315</v>
      </c>
      <c r="R938" s="79">
        <f t="shared" si="152"/>
        <v>100</v>
      </c>
      <c r="S938" s="76">
        <f t="shared" si="153"/>
        <v>695</v>
      </c>
      <c r="T938" s="76">
        <f>50</f>
        <v>50</v>
      </c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</row>
    <row r="939" spans="1:30" ht="15.75" x14ac:dyDescent="0.25">
      <c r="A939" s="31">
        <v>69518</v>
      </c>
      <c r="B939" s="88">
        <f t="shared" si="155"/>
        <v>30</v>
      </c>
      <c r="C939" s="76">
        <f>141.293</f>
        <v>141.29300000000001</v>
      </c>
      <c r="D939" s="76">
        <f>267.993</f>
        <v>267.99299999999999</v>
      </c>
      <c r="E939" s="85">
        <f>115.016</f>
        <v>115.01600000000001</v>
      </c>
      <c r="F939" s="76">
        <f>314.698-40-25-60-100</f>
        <v>89.697999999999979</v>
      </c>
      <c r="G939" s="79">
        <v>40</v>
      </c>
      <c r="H939" s="76">
        <f t="shared" ref="H939:H945" si="157">25+60+100</f>
        <v>185</v>
      </c>
      <c r="I939" s="76">
        <f t="shared" si="147"/>
        <v>0</v>
      </c>
      <c r="J939" s="79">
        <v>100</v>
      </c>
      <c r="K939" s="79">
        <v>300</v>
      </c>
      <c r="L939" s="76">
        <f t="shared" si="150"/>
        <v>1239</v>
      </c>
      <c r="M939" s="87">
        <v>600</v>
      </c>
      <c r="N939" s="76">
        <f>100</f>
        <v>100</v>
      </c>
      <c r="O939" s="79">
        <v>240</v>
      </c>
      <c r="P939" s="79">
        <v>40</v>
      </c>
      <c r="Q939" s="79">
        <f t="shared" si="151"/>
        <v>315</v>
      </c>
      <c r="R939" s="79">
        <f t="shared" si="152"/>
        <v>100</v>
      </c>
      <c r="S939" s="76">
        <f t="shared" si="153"/>
        <v>695</v>
      </c>
      <c r="T939" s="76">
        <f>50</f>
        <v>50</v>
      </c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</row>
    <row r="940" spans="1:30" ht="15.75" x14ac:dyDescent="0.25">
      <c r="A940" s="31">
        <v>69549</v>
      </c>
      <c r="B940" s="88">
        <f t="shared" si="155"/>
        <v>31</v>
      </c>
      <c r="C940" s="76">
        <f>194.205</f>
        <v>194.20500000000001</v>
      </c>
      <c r="D940" s="76">
        <f>267.466</f>
        <v>267.46600000000001</v>
      </c>
      <c r="E940" s="85">
        <f>133.845</f>
        <v>133.845</v>
      </c>
      <c r="F940" s="76">
        <f>278.484-40-25-60-100</f>
        <v>53.48399999999998</v>
      </c>
      <c r="G940" s="79">
        <v>40</v>
      </c>
      <c r="H940" s="76">
        <f t="shared" si="157"/>
        <v>185</v>
      </c>
      <c r="I940" s="76">
        <f t="shared" si="147"/>
        <v>0</v>
      </c>
      <c r="J940" s="79">
        <v>100</v>
      </c>
      <c r="K940" s="79">
        <v>300</v>
      </c>
      <c r="L940" s="76">
        <f t="shared" si="150"/>
        <v>1274</v>
      </c>
      <c r="M940" s="87">
        <v>600</v>
      </c>
      <c r="N940" s="76">
        <f>75</f>
        <v>75</v>
      </c>
      <c r="O940" s="79">
        <v>240</v>
      </c>
      <c r="P940" s="79">
        <v>40</v>
      </c>
      <c r="Q940" s="79">
        <f t="shared" si="151"/>
        <v>315</v>
      </c>
      <c r="R940" s="79">
        <f t="shared" si="152"/>
        <v>100</v>
      </c>
      <c r="S940" s="76">
        <f t="shared" si="153"/>
        <v>695</v>
      </c>
      <c r="T940" s="76">
        <f>50</f>
        <v>50</v>
      </c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</row>
    <row r="941" spans="1:30" ht="15.75" x14ac:dyDescent="0.25">
      <c r="A941" s="31">
        <v>69579</v>
      </c>
      <c r="B941" s="88">
        <f t="shared" si="155"/>
        <v>30</v>
      </c>
      <c r="C941" s="76">
        <f>194.205</f>
        <v>194.20500000000001</v>
      </c>
      <c r="D941" s="76">
        <f>267.466</f>
        <v>267.46600000000001</v>
      </c>
      <c r="E941" s="85">
        <f>133.845</f>
        <v>133.845</v>
      </c>
      <c r="F941" s="76">
        <f>278.484-40-25-60-100</f>
        <v>53.48399999999998</v>
      </c>
      <c r="G941" s="79">
        <v>40</v>
      </c>
      <c r="H941" s="76">
        <f t="shared" si="157"/>
        <v>185</v>
      </c>
      <c r="I941" s="76">
        <f t="shared" si="147"/>
        <v>0</v>
      </c>
      <c r="J941" s="79">
        <v>100</v>
      </c>
      <c r="K941" s="79">
        <v>300</v>
      </c>
      <c r="L941" s="76">
        <f t="shared" si="150"/>
        <v>1274</v>
      </c>
      <c r="M941" s="87">
        <v>600</v>
      </c>
      <c r="N941" s="76">
        <f>30</f>
        <v>30</v>
      </c>
      <c r="O941" s="79">
        <v>240</v>
      </c>
      <c r="P941" s="79">
        <v>40</v>
      </c>
      <c r="Q941" s="79">
        <f t="shared" si="151"/>
        <v>315</v>
      </c>
      <c r="R941" s="79">
        <f t="shared" si="152"/>
        <v>100</v>
      </c>
      <c r="S941" s="76">
        <f t="shared" si="153"/>
        <v>695</v>
      </c>
      <c r="T941" s="76">
        <f>50</f>
        <v>50</v>
      </c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</row>
    <row r="942" spans="1:30" ht="15.75" x14ac:dyDescent="0.25">
      <c r="A942" s="31">
        <v>69610</v>
      </c>
      <c r="B942" s="88">
        <f t="shared" si="155"/>
        <v>31</v>
      </c>
      <c r="C942" s="76">
        <f>194.205</f>
        <v>194.20500000000001</v>
      </c>
      <c r="D942" s="76">
        <f>267.466</f>
        <v>267.46600000000001</v>
      </c>
      <c r="E942" s="85">
        <f>133.845</f>
        <v>133.845</v>
      </c>
      <c r="F942" s="76">
        <f>278.484-40-25-60-100</f>
        <v>53.48399999999998</v>
      </c>
      <c r="G942" s="79">
        <v>40</v>
      </c>
      <c r="H942" s="76">
        <f t="shared" si="157"/>
        <v>185</v>
      </c>
      <c r="I942" s="76">
        <f t="shared" si="147"/>
        <v>0</v>
      </c>
      <c r="J942" s="79">
        <v>100</v>
      </c>
      <c r="K942" s="79">
        <v>300</v>
      </c>
      <c r="L942" s="76">
        <f t="shared" si="150"/>
        <v>1274</v>
      </c>
      <c r="M942" s="87">
        <v>600</v>
      </c>
      <c r="N942" s="76">
        <f>30</f>
        <v>30</v>
      </c>
      <c r="O942" s="79">
        <v>240</v>
      </c>
      <c r="P942" s="79">
        <v>40</v>
      </c>
      <c r="Q942" s="79">
        <f t="shared" si="151"/>
        <v>315</v>
      </c>
      <c r="R942" s="79">
        <f t="shared" si="152"/>
        <v>100</v>
      </c>
      <c r="S942" s="76">
        <f t="shared" si="153"/>
        <v>695</v>
      </c>
      <c r="T942" s="76">
        <f>0</f>
        <v>0</v>
      </c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</row>
    <row r="943" spans="1:30" ht="15.75" x14ac:dyDescent="0.25">
      <c r="A943" s="31">
        <v>69641</v>
      </c>
      <c r="B943" s="88">
        <f t="shared" si="155"/>
        <v>31</v>
      </c>
      <c r="C943" s="76">
        <f>194.205</f>
        <v>194.20500000000001</v>
      </c>
      <c r="D943" s="76">
        <f>267.466</f>
        <v>267.46600000000001</v>
      </c>
      <c r="E943" s="85">
        <f>133.845</f>
        <v>133.845</v>
      </c>
      <c r="F943" s="76">
        <f>278.484-40-25-60-100</f>
        <v>53.48399999999998</v>
      </c>
      <c r="G943" s="79">
        <v>40</v>
      </c>
      <c r="H943" s="76">
        <f t="shared" si="157"/>
        <v>185</v>
      </c>
      <c r="I943" s="76">
        <f t="shared" si="147"/>
        <v>0</v>
      </c>
      <c r="J943" s="79">
        <v>100</v>
      </c>
      <c r="K943" s="79">
        <v>300</v>
      </c>
      <c r="L943" s="76">
        <f t="shared" si="150"/>
        <v>1274</v>
      </c>
      <c r="M943" s="87">
        <v>600</v>
      </c>
      <c r="N943" s="76">
        <f>30</f>
        <v>30</v>
      </c>
      <c r="O943" s="79">
        <v>240</v>
      </c>
      <c r="P943" s="79">
        <v>40</v>
      </c>
      <c r="Q943" s="79">
        <f t="shared" si="151"/>
        <v>315</v>
      </c>
      <c r="R943" s="79">
        <f t="shared" si="152"/>
        <v>100</v>
      </c>
      <c r="S943" s="76">
        <f t="shared" si="153"/>
        <v>695</v>
      </c>
      <c r="T943" s="76">
        <f>0</f>
        <v>0</v>
      </c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</row>
    <row r="944" spans="1:30" ht="15.75" x14ac:dyDescent="0.25">
      <c r="A944" s="31">
        <v>69671</v>
      </c>
      <c r="B944" s="88">
        <f t="shared" si="155"/>
        <v>30</v>
      </c>
      <c r="C944" s="76">
        <f>194.205</f>
        <v>194.20500000000001</v>
      </c>
      <c r="D944" s="76">
        <f>267.466</f>
        <v>267.46600000000001</v>
      </c>
      <c r="E944" s="85">
        <f>133.845</f>
        <v>133.845</v>
      </c>
      <c r="F944" s="76">
        <f>278.484-40-25-60-100</f>
        <v>53.48399999999998</v>
      </c>
      <c r="G944" s="79">
        <v>40</v>
      </c>
      <c r="H944" s="76">
        <f t="shared" si="157"/>
        <v>185</v>
      </c>
      <c r="I944" s="76">
        <f t="shared" si="147"/>
        <v>0</v>
      </c>
      <c r="J944" s="79">
        <v>100</v>
      </c>
      <c r="K944" s="79">
        <v>300</v>
      </c>
      <c r="L944" s="76">
        <f t="shared" si="150"/>
        <v>1274</v>
      </c>
      <c r="M944" s="87">
        <v>600</v>
      </c>
      <c r="N944" s="76">
        <f>30</f>
        <v>30</v>
      </c>
      <c r="O944" s="79">
        <v>240</v>
      </c>
      <c r="P944" s="79">
        <v>40</v>
      </c>
      <c r="Q944" s="79">
        <f t="shared" si="151"/>
        <v>315</v>
      </c>
      <c r="R944" s="79">
        <f t="shared" si="152"/>
        <v>100</v>
      </c>
      <c r="S944" s="76">
        <f t="shared" si="153"/>
        <v>695</v>
      </c>
      <c r="T944" s="76">
        <f>0</f>
        <v>0</v>
      </c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</row>
    <row r="945" spans="1:30" ht="15.75" x14ac:dyDescent="0.25">
      <c r="A945" s="31">
        <v>69702</v>
      </c>
      <c r="B945" s="88">
        <f t="shared" si="155"/>
        <v>31</v>
      </c>
      <c r="C945" s="76">
        <f>131.881</f>
        <v>131.881</v>
      </c>
      <c r="D945" s="76">
        <f>277.167</f>
        <v>277.16699999999997</v>
      </c>
      <c r="E945" s="85">
        <f>79.08</f>
        <v>79.08</v>
      </c>
      <c r="F945" s="76">
        <f>350.872-40-25-60-100</f>
        <v>125.87200000000001</v>
      </c>
      <c r="G945" s="79">
        <v>40</v>
      </c>
      <c r="H945" s="76">
        <f t="shared" si="157"/>
        <v>185</v>
      </c>
      <c r="I945" s="76">
        <f t="shared" si="147"/>
        <v>0</v>
      </c>
      <c r="J945" s="79">
        <v>100</v>
      </c>
      <c r="K945" s="79">
        <v>300</v>
      </c>
      <c r="L945" s="76">
        <f t="shared" si="150"/>
        <v>1239</v>
      </c>
      <c r="M945" s="87">
        <v>600</v>
      </c>
      <c r="N945" s="76">
        <f>75</f>
        <v>75</v>
      </c>
      <c r="O945" s="79">
        <v>240</v>
      </c>
      <c r="P945" s="79">
        <v>40</v>
      </c>
      <c r="Q945" s="79">
        <f t="shared" si="151"/>
        <v>315</v>
      </c>
      <c r="R945" s="79">
        <f t="shared" si="152"/>
        <v>100</v>
      </c>
      <c r="S945" s="76">
        <f t="shared" si="153"/>
        <v>695</v>
      </c>
      <c r="T945" s="76">
        <f>0</f>
        <v>0</v>
      </c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</row>
    <row r="946" spans="1:30" ht="15.75" x14ac:dyDescent="0.25">
      <c r="A946" s="31">
        <v>69732</v>
      </c>
      <c r="B946" s="88">
        <f t="shared" si="155"/>
        <v>30</v>
      </c>
      <c r="C946" s="76">
        <f>122.58</f>
        <v>122.58</v>
      </c>
      <c r="D946" s="76">
        <f>297.941</f>
        <v>297.94099999999997</v>
      </c>
      <c r="E946" s="85">
        <f>89.177</f>
        <v>89.177000000000007</v>
      </c>
      <c r="F946" s="76">
        <f>240.302-40-60-100</f>
        <v>40.301999999999992</v>
      </c>
      <c r="G946" s="79">
        <v>40</v>
      </c>
      <c r="H946" s="76">
        <f>60+100</f>
        <v>160</v>
      </c>
      <c r="I946" s="76">
        <f t="shared" si="147"/>
        <v>0</v>
      </c>
      <c r="J946" s="79">
        <v>100</v>
      </c>
      <c r="K946" s="79">
        <v>300</v>
      </c>
      <c r="L946" s="76">
        <f t="shared" si="150"/>
        <v>1150</v>
      </c>
      <c r="M946" s="87">
        <v>600</v>
      </c>
      <c r="N946" s="76">
        <f>100</f>
        <v>100</v>
      </c>
      <c r="O946" s="79">
        <v>240</v>
      </c>
      <c r="P946" s="79">
        <v>40</v>
      </c>
      <c r="Q946" s="79">
        <f t="shared" si="151"/>
        <v>315</v>
      </c>
      <c r="R946" s="79">
        <f t="shared" si="152"/>
        <v>100</v>
      </c>
      <c r="S946" s="76">
        <f t="shared" si="153"/>
        <v>695</v>
      </c>
      <c r="T946" s="76">
        <f>50</f>
        <v>50</v>
      </c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</row>
    <row r="947" spans="1:30" ht="15.75" x14ac:dyDescent="0.25">
      <c r="A947" s="31">
        <v>69763</v>
      </c>
      <c r="B947" s="88">
        <f t="shared" si="155"/>
        <v>31</v>
      </c>
      <c r="C947" s="76">
        <f>122.58</f>
        <v>122.58</v>
      </c>
      <c r="D947" s="76">
        <f>297.941</f>
        <v>297.94099999999997</v>
      </c>
      <c r="E947" s="85">
        <f>89.177</f>
        <v>89.177000000000007</v>
      </c>
      <c r="F947" s="76">
        <f>240.302-40-60-100</f>
        <v>40.301999999999992</v>
      </c>
      <c r="G947" s="79">
        <v>40</v>
      </c>
      <c r="H947" s="76">
        <f>60+100</f>
        <v>160</v>
      </c>
      <c r="I947" s="76">
        <f t="shared" si="147"/>
        <v>0</v>
      </c>
      <c r="J947" s="79">
        <v>100</v>
      </c>
      <c r="K947" s="79">
        <v>300</v>
      </c>
      <c r="L947" s="76">
        <f t="shared" si="150"/>
        <v>1150</v>
      </c>
      <c r="M947" s="87">
        <v>600</v>
      </c>
      <c r="N947" s="76">
        <f>100</f>
        <v>100</v>
      </c>
      <c r="O947" s="79">
        <v>240</v>
      </c>
      <c r="P947" s="79">
        <v>40</v>
      </c>
      <c r="Q947" s="79">
        <f t="shared" si="151"/>
        <v>315</v>
      </c>
      <c r="R947" s="79">
        <f t="shared" si="152"/>
        <v>100</v>
      </c>
      <c r="S947" s="76">
        <f t="shared" si="153"/>
        <v>695</v>
      </c>
      <c r="T947" s="76">
        <f>50</f>
        <v>50</v>
      </c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</row>
    <row r="948" spans="1:30" ht="15.75" x14ac:dyDescent="0.25">
      <c r="A948" s="31">
        <v>69794</v>
      </c>
      <c r="B948" s="88">
        <f t="shared" si="155"/>
        <v>31</v>
      </c>
      <c r="C948" s="76">
        <f>122.58</f>
        <v>122.58</v>
      </c>
      <c r="D948" s="76">
        <f>297.941</f>
        <v>297.94099999999997</v>
      </c>
      <c r="E948" s="85">
        <f>89.177</f>
        <v>89.177000000000007</v>
      </c>
      <c r="F948" s="76">
        <f>240.302-40-60-100</f>
        <v>40.301999999999992</v>
      </c>
      <c r="G948" s="79">
        <v>40</v>
      </c>
      <c r="H948" s="76">
        <f>60+100</f>
        <v>160</v>
      </c>
      <c r="I948" s="76">
        <f t="shared" ref="I948:I1011" si="158">400-J948-K948</f>
        <v>0</v>
      </c>
      <c r="J948" s="79">
        <v>100</v>
      </c>
      <c r="K948" s="79">
        <v>300</v>
      </c>
      <c r="L948" s="76">
        <f t="shared" si="150"/>
        <v>1150</v>
      </c>
      <c r="M948" s="87">
        <v>600</v>
      </c>
      <c r="N948" s="76">
        <f>100</f>
        <v>100</v>
      </c>
      <c r="O948" s="79">
        <v>240</v>
      </c>
      <c r="P948" s="79">
        <v>40</v>
      </c>
      <c r="Q948" s="79">
        <f t="shared" si="151"/>
        <v>315</v>
      </c>
      <c r="R948" s="79">
        <f t="shared" si="152"/>
        <v>100</v>
      </c>
      <c r="S948" s="76">
        <f t="shared" si="153"/>
        <v>695</v>
      </c>
      <c r="T948" s="76">
        <f>50</f>
        <v>50</v>
      </c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</row>
    <row r="949" spans="1:30" ht="15.75" x14ac:dyDescent="0.25">
      <c r="A949" s="31">
        <v>69822</v>
      </c>
      <c r="B949" s="88">
        <f t="shared" si="155"/>
        <v>28</v>
      </c>
      <c r="C949" s="76">
        <f>122.58</f>
        <v>122.58</v>
      </c>
      <c r="D949" s="76">
        <f>297.941</f>
        <v>297.94099999999997</v>
      </c>
      <c r="E949" s="85">
        <f>89.177</f>
        <v>89.177000000000007</v>
      </c>
      <c r="F949" s="76">
        <f>240.302-40-60-100</f>
        <v>40.301999999999992</v>
      </c>
      <c r="G949" s="79">
        <v>40</v>
      </c>
      <c r="H949" s="76">
        <f>60+100</f>
        <v>160</v>
      </c>
      <c r="I949" s="76">
        <f t="shared" si="158"/>
        <v>0</v>
      </c>
      <c r="J949" s="79">
        <v>100</v>
      </c>
      <c r="K949" s="79">
        <v>300</v>
      </c>
      <c r="L949" s="76">
        <f t="shared" si="150"/>
        <v>1150</v>
      </c>
      <c r="M949" s="87">
        <v>600</v>
      </c>
      <c r="N949" s="76">
        <f>100</f>
        <v>100</v>
      </c>
      <c r="O949" s="79">
        <v>240</v>
      </c>
      <c r="P949" s="79">
        <v>40</v>
      </c>
      <c r="Q949" s="79">
        <f t="shared" si="151"/>
        <v>315</v>
      </c>
      <c r="R949" s="79">
        <f t="shared" si="152"/>
        <v>100</v>
      </c>
      <c r="S949" s="76">
        <f t="shared" si="153"/>
        <v>695</v>
      </c>
      <c r="T949" s="76">
        <f>50</f>
        <v>50</v>
      </c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</row>
    <row r="950" spans="1:30" ht="15.75" x14ac:dyDescent="0.25">
      <c r="A950" s="31">
        <v>69853</v>
      </c>
      <c r="B950" s="88">
        <f t="shared" si="155"/>
        <v>31</v>
      </c>
      <c r="C950" s="76">
        <f>122.58</f>
        <v>122.58</v>
      </c>
      <c r="D950" s="76">
        <f>297.941</f>
        <v>297.94099999999997</v>
      </c>
      <c r="E950" s="85">
        <f>89.177</f>
        <v>89.177000000000007</v>
      </c>
      <c r="F950" s="76">
        <f>240.302-40-60-100</f>
        <v>40.301999999999992</v>
      </c>
      <c r="G950" s="79">
        <v>40</v>
      </c>
      <c r="H950" s="76">
        <f>60+100</f>
        <v>160</v>
      </c>
      <c r="I950" s="76">
        <f t="shared" si="158"/>
        <v>0</v>
      </c>
      <c r="J950" s="79">
        <v>100</v>
      </c>
      <c r="K950" s="79">
        <v>300</v>
      </c>
      <c r="L950" s="76">
        <f t="shared" si="150"/>
        <v>1150</v>
      </c>
      <c r="M950" s="87">
        <v>600</v>
      </c>
      <c r="N950" s="76">
        <f>100</f>
        <v>100</v>
      </c>
      <c r="O950" s="79">
        <v>240</v>
      </c>
      <c r="P950" s="79">
        <v>40</v>
      </c>
      <c r="Q950" s="79">
        <f t="shared" si="151"/>
        <v>315</v>
      </c>
      <c r="R950" s="79">
        <f t="shared" si="152"/>
        <v>100</v>
      </c>
      <c r="S950" s="76">
        <f t="shared" si="153"/>
        <v>695</v>
      </c>
      <c r="T950" s="76">
        <f>50</f>
        <v>50</v>
      </c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</row>
    <row r="951" spans="1:30" ht="15.75" x14ac:dyDescent="0.25">
      <c r="A951" s="31">
        <v>69883</v>
      </c>
      <c r="B951" s="88">
        <f t="shared" si="155"/>
        <v>30</v>
      </c>
      <c r="C951" s="76">
        <f>141.293</f>
        <v>141.29300000000001</v>
      </c>
      <c r="D951" s="76">
        <f>267.993</f>
        <v>267.99299999999999</v>
      </c>
      <c r="E951" s="85">
        <f>115.016</f>
        <v>115.01600000000001</v>
      </c>
      <c r="F951" s="76">
        <f>314.698-40-25-60-100</f>
        <v>89.697999999999979</v>
      </c>
      <c r="G951" s="79">
        <v>40</v>
      </c>
      <c r="H951" s="76">
        <f t="shared" ref="H951:H957" si="159">25+60+100</f>
        <v>185</v>
      </c>
      <c r="I951" s="76">
        <f t="shared" si="158"/>
        <v>0</v>
      </c>
      <c r="J951" s="79">
        <v>100</v>
      </c>
      <c r="K951" s="79">
        <v>300</v>
      </c>
      <c r="L951" s="76">
        <f t="shared" si="150"/>
        <v>1239</v>
      </c>
      <c r="M951" s="87">
        <v>600</v>
      </c>
      <c r="N951" s="76">
        <f>100</f>
        <v>100</v>
      </c>
      <c r="O951" s="79">
        <v>240</v>
      </c>
      <c r="P951" s="79">
        <v>40</v>
      </c>
      <c r="Q951" s="79">
        <f t="shared" si="151"/>
        <v>315</v>
      </c>
      <c r="R951" s="79">
        <f t="shared" si="152"/>
        <v>100</v>
      </c>
      <c r="S951" s="76">
        <f t="shared" si="153"/>
        <v>695</v>
      </c>
      <c r="T951" s="76">
        <f>50</f>
        <v>50</v>
      </c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</row>
    <row r="952" spans="1:30" ht="15.75" x14ac:dyDescent="0.25">
      <c r="A952" s="31">
        <v>69914</v>
      </c>
      <c r="B952" s="88">
        <f t="shared" si="155"/>
        <v>31</v>
      </c>
      <c r="C952" s="76">
        <f>194.205</f>
        <v>194.20500000000001</v>
      </c>
      <c r="D952" s="76">
        <f>267.466</f>
        <v>267.46600000000001</v>
      </c>
      <c r="E952" s="85">
        <f>133.845</f>
        <v>133.845</v>
      </c>
      <c r="F952" s="76">
        <f>278.484-40-25-60-100</f>
        <v>53.48399999999998</v>
      </c>
      <c r="G952" s="79">
        <v>40</v>
      </c>
      <c r="H952" s="76">
        <f t="shared" si="159"/>
        <v>185</v>
      </c>
      <c r="I952" s="76">
        <f t="shared" si="158"/>
        <v>0</v>
      </c>
      <c r="J952" s="79">
        <v>100</v>
      </c>
      <c r="K952" s="79">
        <v>300</v>
      </c>
      <c r="L952" s="76">
        <f t="shared" si="150"/>
        <v>1274</v>
      </c>
      <c r="M952" s="87">
        <v>600</v>
      </c>
      <c r="N952" s="76">
        <f>75</f>
        <v>75</v>
      </c>
      <c r="O952" s="79">
        <v>240</v>
      </c>
      <c r="P952" s="79">
        <v>40</v>
      </c>
      <c r="Q952" s="79">
        <f t="shared" si="151"/>
        <v>315</v>
      </c>
      <c r="R952" s="79">
        <f t="shared" si="152"/>
        <v>100</v>
      </c>
      <c r="S952" s="76">
        <f t="shared" si="153"/>
        <v>695</v>
      </c>
      <c r="T952" s="76">
        <f>50</f>
        <v>50</v>
      </c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</row>
    <row r="953" spans="1:30" ht="15.75" x14ac:dyDescent="0.25">
      <c r="A953" s="31">
        <v>69944</v>
      </c>
      <c r="B953" s="88">
        <f t="shared" si="155"/>
        <v>30</v>
      </c>
      <c r="C953" s="76">
        <f>194.205</f>
        <v>194.20500000000001</v>
      </c>
      <c r="D953" s="76">
        <f>267.466</f>
        <v>267.46600000000001</v>
      </c>
      <c r="E953" s="85">
        <f>133.845</f>
        <v>133.845</v>
      </c>
      <c r="F953" s="76">
        <f>278.484-40-25-60-100</f>
        <v>53.48399999999998</v>
      </c>
      <c r="G953" s="79">
        <v>40</v>
      </c>
      <c r="H953" s="76">
        <f t="shared" si="159"/>
        <v>185</v>
      </c>
      <c r="I953" s="76">
        <f t="shared" si="158"/>
        <v>0</v>
      </c>
      <c r="J953" s="79">
        <v>100</v>
      </c>
      <c r="K953" s="79">
        <v>300</v>
      </c>
      <c r="L953" s="76">
        <f t="shared" si="150"/>
        <v>1274</v>
      </c>
      <c r="M953" s="87">
        <v>600</v>
      </c>
      <c r="N953" s="76">
        <f>30</f>
        <v>30</v>
      </c>
      <c r="O953" s="79">
        <v>240</v>
      </c>
      <c r="P953" s="79">
        <v>40</v>
      </c>
      <c r="Q953" s="79">
        <f t="shared" si="151"/>
        <v>315</v>
      </c>
      <c r="R953" s="79">
        <f t="shared" si="152"/>
        <v>100</v>
      </c>
      <c r="S953" s="76">
        <f t="shared" si="153"/>
        <v>695</v>
      </c>
      <c r="T953" s="76">
        <f>50</f>
        <v>50</v>
      </c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</row>
    <row r="954" spans="1:30" ht="15.75" x14ac:dyDescent="0.25">
      <c r="A954" s="31">
        <v>69975</v>
      </c>
      <c r="B954" s="88">
        <f t="shared" si="155"/>
        <v>31</v>
      </c>
      <c r="C954" s="76">
        <f>194.205</f>
        <v>194.20500000000001</v>
      </c>
      <c r="D954" s="76">
        <f>267.466</f>
        <v>267.46600000000001</v>
      </c>
      <c r="E954" s="85">
        <f>133.845</f>
        <v>133.845</v>
      </c>
      <c r="F954" s="76">
        <f>278.484-40-25-60-100</f>
        <v>53.48399999999998</v>
      </c>
      <c r="G954" s="79">
        <v>40</v>
      </c>
      <c r="H954" s="76">
        <f t="shared" si="159"/>
        <v>185</v>
      </c>
      <c r="I954" s="76">
        <f t="shared" si="158"/>
        <v>0</v>
      </c>
      <c r="J954" s="79">
        <v>100</v>
      </c>
      <c r="K954" s="79">
        <v>300</v>
      </c>
      <c r="L954" s="76">
        <f t="shared" si="150"/>
        <v>1274</v>
      </c>
      <c r="M954" s="87">
        <v>600</v>
      </c>
      <c r="N954" s="76">
        <f>30</f>
        <v>30</v>
      </c>
      <c r="O954" s="79">
        <v>240</v>
      </c>
      <c r="P954" s="79">
        <v>40</v>
      </c>
      <c r="Q954" s="79">
        <f t="shared" si="151"/>
        <v>315</v>
      </c>
      <c r="R954" s="79">
        <f t="shared" si="152"/>
        <v>100</v>
      </c>
      <c r="S954" s="76">
        <f t="shared" si="153"/>
        <v>695</v>
      </c>
      <c r="T954" s="76">
        <f>0</f>
        <v>0</v>
      </c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</row>
    <row r="955" spans="1:30" ht="15.75" x14ac:dyDescent="0.25">
      <c r="A955" s="31">
        <v>70006</v>
      </c>
      <c r="B955" s="88">
        <f t="shared" si="155"/>
        <v>31</v>
      </c>
      <c r="C955" s="76">
        <f>194.205</f>
        <v>194.20500000000001</v>
      </c>
      <c r="D955" s="76">
        <f>267.466</f>
        <v>267.46600000000001</v>
      </c>
      <c r="E955" s="85">
        <f>133.845</f>
        <v>133.845</v>
      </c>
      <c r="F955" s="76">
        <f>278.484-40-25-60-100</f>
        <v>53.48399999999998</v>
      </c>
      <c r="G955" s="79">
        <v>40</v>
      </c>
      <c r="H955" s="76">
        <f t="shared" si="159"/>
        <v>185</v>
      </c>
      <c r="I955" s="76">
        <f t="shared" si="158"/>
        <v>0</v>
      </c>
      <c r="J955" s="79">
        <v>100</v>
      </c>
      <c r="K955" s="79">
        <v>300</v>
      </c>
      <c r="L955" s="76">
        <f t="shared" si="150"/>
        <v>1274</v>
      </c>
      <c r="M955" s="87">
        <v>600</v>
      </c>
      <c r="N955" s="76">
        <f>30</f>
        <v>30</v>
      </c>
      <c r="O955" s="79">
        <v>240</v>
      </c>
      <c r="P955" s="79">
        <v>40</v>
      </c>
      <c r="Q955" s="79">
        <f t="shared" si="151"/>
        <v>315</v>
      </c>
      <c r="R955" s="79">
        <f t="shared" si="152"/>
        <v>100</v>
      </c>
      <c r="S955" s="76">
        <f t="shared" si="153"/>
        <v>695</v>
      </c>
      <c r="T955" s="76">
        <f>0</f>
        <v>0</v>
      </c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</row>
    <row r="956" spans="1:30" ht="15.75" x14ac:dyDescent="0.25">
      <c r="A956" s="31">
        <v>70036</v>
      </c>
      <c r="B956" s="88">
        <f t="shared" si="155"/>
        <v>30</v>
      </c>
      <c r="C956" s="76">
        <f>194.205</f>
        <v>194.20500000000001</v>
      </c>
      <c r="D956" s="76">
        <f>267.466</f>
        <v>267.46600000000001</v>
      </c>
      <c r="E956" s="85">
        <f>133.845</f>
        <v>133.845</v>
      </c>
      <c r="F956" s="76">
        <f>278.484-40-25-60-100</f>
        <v>53.48399999999998</v>
      </c>
      <c r="G956" s="79">
        <v>40</v>
      </c>
      <c r="H956" s="76">
        <f t="shared" si="159"/>
        <v>185</v>
      </c>
      <c r="I956" s="76">
        <f t="shared" si="158"/>
        <v>0</v>
      </c>
      <c r="J956" s="79">
        <v>100</v>
      </c>
      <c r="K956" s="79">
        <v>300</v>
      </c>
      <c r="L956" s="76">
        <f t="shared" si="150"/>
        <v>1274</v>
      </c>
      <c r="M956" s="87">
        <v>600</v>
      </c>
      <c r="N956" s="76">
        <f>30</f>
        <v>30</v>
      </c>
      <c r="O956" s="79">
        <v>240</v>
      </c>
      <c r="P956" s="79">
        <v>40</v>
      </c>
      <c r="Q956" s="79">
        <f t="shared" si="151"/>
        <v>315</v>
      </c>
      <c r="R956" s="79">
        <f t="shared" si="152"/>
        <v>100</v>
      </c>
      <c r="S956" s="76">
        <f t="shared" si="153"/>
        <v>695</v>
      </c>
      <c r="T956" s="76">
        <f>0</f>
        <v>0</v>
      </c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</row>
    <row r="957" spans="1:30" ht="15.75" x14ac:dyDescent="0.25">
      <c r="A957" s="31">
        <v>70067</v>
      </c>
      <c r="B957" s="88">
        <f t="shared" si="155"/>
        <v>31</v>
      </c>
      <c r="C957" s="76">
        <f>131.881</f>
        <v>131.881</v>
      </c>
      <c r="D957" s="76">
        <f>277.167</f>
        <v>277.16699999999997</v>
      </c>
      <c r="E957" s="85">
        <f>79.08</f>
        <v>79.08</v>
      </c>
      <c r="F957" s="76">
        <f>350.872-40-25-60-100</f>
        <v>125.87200000000001</v>
      </c>
      <c r="G957" s="79">
        <v>40</v>
      </c>
      <c r="H957" s="76">
        <f t="shared" si="159"/>
        <v>185</v>
      </c>
      <c r="I957" s="76">
        <f t="shared" si="158"/>
        <v>0</v>
      </c>
      <c r="J957" s="79">
        <v>100</v>
      </c>
      <c r="K957" s="79">
        <v>300</v>
      </c>
      <c r="L957" s="76">
        <f t="shared" si="150"/>
        <v>1239</v>
      </c>
      <c r="M957" s="87">
        <v>600</v>
      </c>
      <c r="N957" s="76">
        <f>75</f>
        <v>75</v>
      </c>
      <c r="O957" s="79">
        <v>240</v>
      </c>
      <c r="P957" s="79">
        <v>40</v>
      </c>
      <c r="Q957" s="79">
        <f t="shared" si="151"/>
        <v>315</v>
      </c>
      <c r="R957" s="79">
        <f t="shared" si="152"/>
        <v>100</v>
      </c>
      <c r="S957" s="76">
        <f t="shared" si="153"/>
        <v>695</v>
      </c>
      <c r="T957" s="76">
        <f>0</f>
        <v>0</v>
      </c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</row>
    <row r="958" spans="1:30" ht="15.75" x14ac:dyDescent="0.25">
      <c r="A958" s="31">
        <v>70097</v>
      </c>
      <c r="B958" s="88">
        <f t="shared" si="155"/>
        <v>30</v>
      </c>
      <c r="C958" s="76">
        <f>122.58</f>
        <v>122.58</v>
      </c>
      <c r="D958" s="76">
        <f>297.941</f>
        <v>297.94099999999997</v>
      </c>
      <c r="E958" s="85">
        <f>89.177</f>
        <v>89.177000000000007</v>
      </c>
      <c r="F958" s="76">
        <f>240.302-40-60-100</f>
        <v>40.301999999999992</v>
      </c>
      <c r="G958" s="79">
        <v>40</v>
      </c>
      <c r="H958" s="76">
        <f>60+100</f>
        <v>160</v>
      </c>
      <c r="I958" s="76">
        <f t="shared" si="158"/>
        <v>0</v>
      </c>
      <c r="J958" s="79">
        <v>100</v>
      </c>
      <c r="K958" s="79">
        <v>300</v>
      </c>
      <c r="L958" s="76">
        <f t="shared" si="150"/>
        <v>1150</v>
      </c>
      <c r="M958" s="87">
        <v>600</v>
      </c>
      <c r="N958" s="76">
        <f>100</f>
        <v>100</v>
      </c>
      <c r="O958" s="79">
        <v>240</v>
      </c>
      <c r="P958" s="79">
        <v>40</v>
      </c>
      <c r="Q958" s="79">
        <f t="shared" si="151"/>
        <v>315</v>
      </c>
      <c r="R958" s="79">
        <f t="shared" si="152"/>
        <v>100</v>
      </c>
      <c r="S958" s="76">
        <f t="shared" si="153"/>
        <v>695</v>
      </c>
      <c r="T958" s="76">
        <f>50</f>
        <v>50</v>
      </c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</row>
    <row r="959" spans="1:30" ht="15.75" x14ac:dyDescent="0.25">
      <c r="A959" s="31">
        <v>70128</v>
      </c>
      <c r="B959" s="88">
        <f t="shared" si="155"/>
        <v>31</v>
      </c>
      <c r="C959" s="76">
        <f>122.58</f>
        <v>122.58</v>
      </c>
      <c r="D959" s="76">
        <f>297.941</f>
        <v>297.94099999999997</v>
      </c>
      <c r="E959" s="85">
        <f>89.177</f>
        <v>89.177000000000007</v>
      </c>
      <c r="F959" s="76">
        <f>240.302-40-60-100</f>
        <v>40.301999999999992</v>
      </c>
      <c r="G959" s="79">
        <v>40</v>
      </c>
      <c r="H959" s="76">
        <f>60+100</f>
        <v>160</v>
      </c>
      <c r="I959" s="76">
        <f t="shared" si="158"/>
        <v>0</v>
      </c>
      <c r="J959" s="79">
        <v>100</v>
      </c>
      <c r="K959" s="79">
        <v>300</v>
      </c>
      <c r="L959" s="76">
        <f t="shared" si="150"/>
        <v>1150</v>
      </c>
      <c r="M959" s="87">
        <v>600</v>
      </c>
      <c r="N959" s="76">
        <f>100</f>
        <v>100</v>
      </c>
      <c r="O959" s="79">
        <v>240</v>
      </c>
      <c r="P959" s="79">
        <v>40</v>
      </c>
      <c r="Q959" s="79">
        <f t="shared" si="151"/>
        <v>315</v>
      </c>
      <c r="R959" s="79">
        <f t="shared" si="152"/>
        <v>100</v>
      </c>
      <c r="S959" s="76">
        <f t="shared" si="153"/>
        <v>695</v>
      </c>
      <c r="T959" s="76">
        <f>50</f>
        <v>50</v>
      </c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</row>
    <row r="960" spans="1:30" ht="15.75" x14ac:dyDescent="0.25">
      <c r="A960" s="31">
        <v>70159</v>
      </c>
      <c r="B960" s="88">
        <f t="shared" si="155"/>
        <v>31</v>
      </c>
      <c r="C960" s="76">
        <f>122.58</f>
        <v>122.58</v>
      </c>
      <c r="D960" s="76">
        <f>297.941</f>
        <v>297.94099999999997</v>
      </c>
      <c r="E960" s="85">
        <f>89.177</f>
        <v>89.177000000000007</v>
      </c>
      <c r="F960" s="76">
        <f>240.302-40-60-100</f>
        <v>40.301999999999992</v>
      </c>
      <c r="G960" s="79">
        <v>40</v>
      </c>
      <c r="H960" s="76">
        <f>60+100</f>
        <v>160</v>
      </c>
      <c r="I960" s="76">
        <f t="shared" si="158"/>
        <v>0</v>
      </c>
      <c r="J960" s="79">
        <v>100</v>
      </c>
      <c r="K960" s="79">
        <v>300</v>
      </c>
      <c r="L960" s="76">
        <f t="shared" si="150"/>
        <v>1150</v>
      </c>
      <c r="M960" s="87">
        <v>600</v>
      </c>
      <c r="N960" s="76">
        <f>100</f>
        <v>100</v>
      </c>
      <c r="O960" s="79">
        <v>240</v>
      </c>
      <c r="P960" s="79">
        <v>40</v>
      </c>
      <c r="Q960" s="79">
        <f t="shared" si="151"/>
        <v>315</v>
      </c>
      <c r="R960" s="79">
        <f t="shared" si="152"/>
        <v>100</v>
      </c>
      <c r="S960" s="76">
        <f t="shared" si="153"/>
        <v>695</v>
      </c>
      <c r="T960" s="76">
        <f>50</f>
        <v>50</v>
      </c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</row>
    <row r="961" spans="1:30" ht="15.75" x14ac:dyDescent="0.25">
      <c r="A961" s="31">
        <v>70188</v>
      </c>
      <c r="B961" s="88">
        <f t="shared" si="155"/>
        <v>29</v>
      </c>
      <c r="C961" s="76">
        <f>122.58</f>
        <v>122.58</v>
      </c>
      <c r="D961" s="76">
        <f>297.941</f>
        <v>297.94099999999997</v>
      </c>
      <c r="E961" s="85">
        <f>89.177</f>
        <v>89.177000000000007</v>
      </c>
      <c r="F961" s="76">
        <f>240.302-40-60-100</f>
        <v>40.301999999999992</v>
      </c>
      <c r="G961" s="79">
        <v>40</v>
      </c>
      <c r="H961" s="76">
        <f>60+100</f>
        <v>160</v>
      </c>
      <c r="I961" s="76">
        <f t="shared" si="158"/>
        <v>0</v>
      </c>
      <c r="J961" s="79">
        <v>100</v>
      </c>
      <c r="K961" s="79">
        <v>300</v>
      </c>
      <c r="L961" s="76">
        <f t="shared" si="150"/>
        <v>1150</v>
      </c>
      <c r="M961" s="87">
        <v>600</v>
      </c>
      <c r="N961" s="76">
        <f>100</f>
        <v>100</v>
      </c>
      <c r="O961" s="79">
        <v>240</v>
      </c>
      <c r="P961" s="79">
        <v>40</v>
      </c>
      <c r="Q961" s="79">
        <f t="shared" si="151"/>
        <v>315</v>
      </c>
      <c r="R961" s="79">
        <f t="shared" si="152"/>
        <v>100</v>
      </c>
      <c r="S961" s="76">
        <f t="shared" si="153"/>
        <v>695</v>
      </c>
      <c r="T961" s="76">
        <f>50</f>
        <v>50</v>
      </c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</row>
    <row r="962" spans="1:30" ht="15.75" x14ac:dyDescent="0.25">
      <c r="A962" s="31">
        <v>70219</v>
      </c>
      <c r="B962" s="88">
        <f t="shared" si="155"/>
        <v>31</v>
      </c>
      <c r="C962" s="76">
        <f>122.58</f>
        <v>122.58</v>
      </c>
      <c r="D962" s="76">
        <f>297.941</f>
        <v>297.94099999999997</v>
      </c>
      <c r="E962" s="85">
        <f>89.177</f>
        <v>89.177000000000007</v>
      </c>
      <c r="F962" s="76">
        <f>240.302-40-60-100</f>
        <v>40.301999999999992</v>
      </c>
      <c r="G962" s="79">
        <v>40</v>
      </c>
      <c r="H962" s="76">
        <f>60+100</f>
        <v>160</v>
      </c>
      <c r="I962" s="76">
        <f t="shared" si="158"/>
        <v>0</v>
      </c>
      <c r="J962" s="79">
        <v>100</v>
      </c>
      <c r="K962" s="79">
        <v>300</v>
      </c>
      <c r="L962" s="76">
        <f t="shared" si="150"/>
        <v>1150</v>
      </c>
      <c r="M962" s="87">
        <v>600</v>
      </c>
      <c r="N962" s="76">
        <f>100</f>
        <v>100</v>
      </c>
      <c r="O962" s="79">
        <v>240</v>
      </c>
      <c r="P962" s="79">
        <v>40</v>
      </c>
      <c r="Q962" s="79">
        <f t="shared" si="151"/>
        <v>315</v>
      </c>
      <c r="R962" s="79">
        <f t="shared" si="152"/>
        <v>100</v>
      </c>
      <c r="S962" s="76">
        <f t="shared" si="153"/>
        <v>695</v>
      </c>
      <c r="T962" s="76">
        <f>50</f>
        <v>50</v>
      </c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</row>
    <row r="963" spans="1:30" ht="15.75" x14ac:dyDescent="0.25">
      <c r="A963" s="31">
        <v>70249</v>
      </c>
      <c r="B963" s="88">
        <f t="shared" si="155"/>
        <v>30</v>
      </c>
      <c r="C963" s="76">
        <f>141.293</f>
        <v>141.29300000000001</v>
      </c>
      <c r="D963" s="76">
        <f>267.993</f>
        <v>267.99299999999999</v>
      </c>
      <c r="E963" s="85">
        <f>115.016</f>
        <v>115.01600000000001</v>
      </c>
      <c r="F963" s="76">
        <f>314.698-40-25-60-100</f>
        <v>89.697999999999979</v>
      </c>
      <c r="G963" s="79">
        <v>40</v>
      </c>
      <c r="H963" s="76">
        <f t="shared" ref="H963:H969" si="160">25+60+100</f>
        <v>185</v>
      </c>
      <c r="I963" s="76">
        <f t="shared" si="158"/>
        <v>0</v>
      </c>
      <c r="J963" s="79">
        <v>100</v>
      </c>
      <c r="K963" s="79">
        <v>300</v>
      </c>
      <c r="L963" s="76">
        <f t="shared" si="150"/>
        <v>1239</v>
      </c>
      <c r="M963" s="87">
        <v>600</v>
      </c>
      <c r="N963" s="76">
        <f>100</f>
        <v>100</v>
      </c>
      <c r="O963" s="79">
        <v>240</v>
      </c>
      <c r="P963" s="79">
        <v>40</v>
      </c>
      <c r="Q963" s="79">
        <f t="shared" si="151"/>
        <v>315</v>
      </c>
      <c r="R963" s="79">
        <f t="shared" si="152"/>
        <v>100</v>
      </c>
      <c r="S963" s="76">
        <f t="shared" si="153"/>
        <v>695</v>
      </c>
      <c r="T963" s="76">
        <f>50</f>
        <v>50</v>
      </c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</row>
    <row r="964" spans="1:30" ht="15.75" x14ac:dyDescent="0.25">
      <c r="A964" s="31">
        <v>70280</v>
      </c>
      <c r="B964" s="88">
        <f t="shared" si="155"/>
        <v>31</v>
      </c>
      <c r="C964" s="76">
        <f>194.205</f>
        <v>194.20500000000001</v>
      </c>
      <c r="D964" s="76">
        <f>267.466</f>
        <v>267.46600000000001</v>
      </c>
      <c r="E964" s="85">
        <f>133.845</f>
        <v>133.845</v>
      </c>
      <c r="F964" s="76">
        <f>278.484-40-25-60-100</f>
        <v>53.48399999999998</v>
      </c>
      <c r="G964" s="79">
        <v>40</v>
      </c>
      <c r="H964" s="76">
        <f t="shared" si="160"/>
        <v>185</v>
      </c>
      <c r="I964" s="76">
        <f t="shared" si="158"/>
        <v>0</v>
      </c>
      <c r="J964" s="79">
        <v>100</v>
      </c>
      <c r="K964" s="79">
        <v>300</v>
      </c>
      <c r="L964" s="76">
        <f t="shared" si="150"/>
        <v>1274</v>
      </c>
      <c r="M964" s="87">
        <v>600</v>
      </c>
      <c r="N964" s="76">
        <f>75</f>
        <v>75</v>
      </c>
      <c r="O964" s="79">
        <v>240</v>
      </c>
      <c r="P964" s="79">
        <v>40</v>
      </c>
      <c r="Q964" s="79">
        <f t="shared" si="151"/>
        <v>315</v>
      </c>
      <c r="R964" s="79">
        <f t="shared" si="152"/>
        <v>100</v>
      </c>
      <c r="S964" s="76">
        <f t="shared" si="153"/>
        <v>695</v>
      </c>
      <c r="T964" s="76">
        <f>50</f>
        <v>50</v>
      </c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</row>
    <row r="965" spans="1:30" ht="15.75" x14ac:dyDescent="0.25">
      <c r="A965" s="31">
        <v>70310</v>
      </c>
      <c r="B965" s="88">
        <f t="shared" si="155"/>
        <v>30</v>
      </c>
      <c r="C965" s="76">
        <f>194.205</f>
        <v>194.20500000000001</v>
      </c>
      <c r="D965" s="76">
        <f>267.466</f>
        <v>267.46600000000001</v>
      </c>
      <c r="E965" s="85">
        <f>133.845</f>
        <v>133.845</v>
      </c>
      <c r="F965" s="76">
        <f>278.484-40-25-60-100</f>
        <v>53.48399999999998</v>
      </c>
      <c r="G965" s="79">
        <v>40</v>
      </c>
      <c r="H965" s="76">
        <f t="shared" si="160"/>
        <v>185</v>
      </c>
      <c r="I965" s="76">
        <f t="shared" si="158"/>
        <v>0</v>
      </c>
      <c r="J965" s="79">
        <v>100</v>
      </c>
      <c r="K965" s="79">
        <v>300</v>
      </c>
      <c r="L965" s="76">
        <f t="shared" si="150"/>
        <v>1274</v>
      </c>
      <c r="M965" s="87">
        <v>600</v>
      </c>
      <c r="N965" s="76">
        <f>30</f>
        <v>30</v>
      </c>
      <c r="O965" s="79">
        <v>240</v>
      </c>
      <c r="P965" s="79">
        <v>40</v>
      </c>
      <c r="Q965" s="79">
        <f t="shared" si="151"/>
        <v>315</v>
      </c>
      <c r="R965" s="79">
        <f t="shared" si="152"/>
        <v>100</v>
      </c>
      <c r="S965" s="76">
        <f t="shared" si="153"/>
        <v>695</v>
      </c>
      <c r="T965" s="76">
        <f>50</f>
        <v>50</v>
      </c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</row>
    <row r="966" spans="1:30" ht="15.75" x14ac:dyDescent="0.25">
      <c r="A966" s="31">
        <v>70341</v>
      </c>
      <c r="B966" s="88">
        <f t="shared" si="155"/>
        <v>31</v>
      </c>
      <c r="C966" s="76">
        <f>194.205</f>
        <v>194.20500000000001</v>
      </c>
      <c r="D966" s="76">
        <f>267.466</f>
        <v>267.46600000000001</v>
      </c>
      <c r="E966" s="85">
        <f>133.845</f>
        <v>133.845</v>
      </c>
      <c r="F966" s="76">
        <f>278.484-40-25-60-100</f>
        <v>53.48399999999998</v>
      </c>
      <c r="G966" s="79">
        <v>40</v>
      </c>
      <c r="H966" s="76">
        <f t="shared" si="160"/>
        <v>185</v>
      </c>
      <c r="I966" s="76">
        <f t="shared" si="158"/>
        <v>0</v>
      </c>
      <c r="J966" s="79">
        <v>100</v>
      </c>
      <c r="K966" s="79">
        <v>300</v>
      </c>
      <c r="L966" s="76">
        <f t="shared" si="150"/>
        <v>1274</v>
      </c>
      <c r="M966" s="87">
        <v>600</v>
      </c>
      <c r="N966" s="76">
        <f>30</f>
        <v>30</v>
      </c>
      <c r="O966" s="79">
        <v>240</v>
      </c>
      <c r="P966" s="79">
        <v>40</v>
      </c>
      <c r="Q966" s="79">
        <f t="shared" si="151"/>
        <v>315</v>
      </c>
      <c r="R966" s="79">
        <f t="shared" si="152"/>
        <v>100</v>
      </c>
      <c r="S966" s="76">
        <f t="shared" si="153"/>
        <v>695</v>
      </c>
      <c r="T966" s="76">
        <f>0</f>
        <v>0</v>
      </c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</row>
    <row r="967" spans="1:30" ht="15.75" x14ac:dyDescent="0.25">
      <c r="A967" s="31">
        <v>70372</v>
      </c>
      <c r="B967" s="88">
        <f t="shared" si="155"/>
        <v>31</v>
      </c>
      <c r="C967" s="76">
        <f>194.205</f>
        <v>194.20500000000001</v>
      </c>
      <c r="D967" s="76">
        <f>267.466</f>
        <v>267.46600000000001</v>
      </c>
      <c r="E967" s="85">
        <f>133.845</f>
        <v>133.845</v>
      </c>
      <c r="F967" s="76">
        <f>278.484-40-25-60-100</f>
        <v>53.48399999999998</v>
      </c>
      <c r="G967" s="79">
        <v>40</v>
      </c>
      <c r="H967" s="76">
        <f t="shared" si="160"/>
        <v>185</v>
      </c>
      <c r="I967" s="76">
        <f t="shared" si="158"/>
        <v>0</v>
      </c>
      <c r="J967" s="79">
        <v>100</v>
      </c>
      <c r="K967" s="79">
        <v>300</v>
      </c>
      <c r="L967" s="76">
        <f t="shared" si="150"/>
        <v>1274</v>
      </c>
      <c r="M967" s="87">
        <v>600</v>
      </c>
      <c r="N967" s="76">
        <f>30</f>
        <v>30</v>
      </c>
      <c r="O967" s="79">
        <v>240</v>
      </c>
      <c r="P967" s="79">
        <v>40</v>
      </c>
      <c r="Q967" s="79">
        <f t="shared" si="151"/>
        <v>315</v>
      </c>
      <c r="R967" s="79">
        <f t="shared" si="152"/>
        <v>100</v>
      </c>
      <c r="S967" s="76">
        <f t="shared" si="153"/>
        <v>695</v>
      </c>
      <c r="T967" s="76">
        <f>0</f>
        <v>0</v>
      </c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</row>
    <row r="968" spans="1:30" ht="15.75" x14ac:dyDescent="0.25">
      <c r="A968" s="31">
        <v>70402</v>
      </c>
      <c r="B968" s="88">
        <f t="shared" si="155"/>
        <v>30</v>
      </c>
      <c r="C968" s="76">
        <f>194.205</f>
        <v>194.20500000000001</v>
      </c>
      <c r="D968" s="76">
        <f>267.466</f>
        <v>267.46600000000001</v>
      </c>
      <c r="E968" s="85">
        <f>133.845</f>
        <v>133.845</v>
      </c>
      <c r="F968" s="76">
        <f>278.484-40-25-60-100</f>
        <v>53.48399999999998</v>
      </c>
      <c r="G968" s="79">
        <v>40</v>
      </c>
      <c r="H968" s="76">
        <f t="shared" si="160"/>
        <v>185</v>
      </c>
      <c r="I968" s="76">
        <f t="shared" si="158"/>
        <v>0</v>
      </c>
      <c r="J968" s="79">
        <v>100</v>
      </c>
      <c r="K968" s="79">
        <v>300</v>
      </c>
      <c r="L968" s="76">
        <f t="shared" si="150"/>
        <v>1274</v>
      </c>
      <c r="M968" s="87">
        <v>600</v>
      </c>
      <c r="N968" s="76">
        <f>30</f>
        <v>30</v>
      </c>
      <c r="O968" s="79">
        <v>240</v>
      </c>
      <c r="P968" s="79">
        <v>40</v>
      </c>
      <c r="Q968" s="79">
        <f t="shared" si="151"/>
        <v>315</v>
      </c>
      <c r="R968" s="79">
        <f t="shared" si="152"/>
        <v>100</v>
      </c>
      <c r="S968" s="76">
        <f t="shared" si="153"/>
        <v>695</v>
      </c>
      <c r="T968" s="76">
        <f>0</f>
        <v>0</v>
      </c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</row>
    <row r="969" spans="1:30" ht="15.75" x14ac:dyDescent="0.25">
      <c r="A969" s="31">
        <v>70433</v>
      </c>
      <c r="B969" s="88">
        <f t="shared" si="155"/>
        <v>31</v>
      </c>
      <c r="C969" s="76">
        <f>131.881</f>
        <v>131.881</v>
      </c>
      <c r="D969" s="76">
        <f>277.167</f>
        <v>277.16699999999997</v>
      </c>
      <c r="E969" s="85">
        <f>79.08</f>
        <v>79.08</v>
      </c>
      <c r="F969" s="76">
        <f>350.872-40-25-60-100</f>
        <v>125.87200000000001</v>
      </c>
      <c r="G969" s="79">
        <v>40</v>
      </c>
      <c r="H969" s="76">
        <f t="shared" si="160"/>
        <v>185</v>
      </c>
      <c r="I969" s="76">
        <f t="shared" si="158"/>
        <v>0</v>
      </c>
      <c r="J969" s="79">
        <v>100</v>
      </c>
      <c r="K969" s="79">
        <v>300</v>
      </c>
      <c r="L969" s="76">
        <f t="shared" si="150"/>
        <v>1239</v>
      </c>
      <c r="M969" s="87">
        <v>600</v>
      </c>
      <c r="N969" s="76">
        <f>75</f>
        <v>75</v>
      </c>
      <c r="O969" s="79">
        <v>240</v>
      </c>
      <c r="P969" s="79">
        <v>40</v>
      </c>
      <c r="Q969" s="79">
        <f t="shared" si="151"/>
        <v>315</v>
      </c>
      <c r="R969" s="79">
        <f t="shared" si="152"/>
        <v>100</v>
      </c>
      <c r="S969" s="76">
        <f t="shared" si="153"/>
        <v>695</v>
      </c>
      <c r="T969" s="76">
        <f>0</f>
        <v>0</v>
      </c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</row>
    <row r="970" spans="1:30" ht="15.75" x14ac:dyDescent="0.25">
      <c r="A970" s="31">
        <v>70463</v>
      </c>
      <c r="B970" s="88">
        <f t="shared" si="155"/>
        <v>30</v>
      </c>
      <c r="C970" s="76">
        <f>122.58</f>
        <v>122.58</v>
      </c>
      <c r="D970" s="76">
        <f>297.941</f>
        <v>297.94099999999997</v>
      </c>
      <c r="E970" s="85">
        <f>89.177</f>
        <v>89.177000000000007</v>
      </c>
      <c r="F970" s="76">
        <f>240.302-40-60-100</f>
        <v>40.301999999999992</v>
      </c>
      <c r="G970" s="79">
        <v>40</v>
      </c>
      <c r="H970" s="76">
        <f>60+100</f>
        <v>160</v>
      </c>
      <c r="I970" s="76">
        <f t="shared" si="158"/>
        <v>0</v>
      </c>
      <c r="J970" s="79">
        <v>100</v>
      </c>
      <c r="K970" s="79">
        <v>300</v>
      </c>
      <c r="L970" s="76">
        <f t="shared" si="150"/>
        <v>1150</v>
      </c>
      <c r="M970" s="87">
        <v>600</v>
      </c>
      <c r="N970" s="76">
        <f>100</f>
        <v>100</v>
      </c>
      <c r="O970" s="79">
        <v>240</v>
      </c>
      <c r="P970" s="79">
        <v>40</v>
      </c>
      <c r="Q970" s="79">
        <f t="shared" si="151"/>
        <v>315</v>
      </c>
      <c r="R970" s="79">
        <f t="shared" si="152"/>
        <v>100</v>
      </c>
      <c r="S970" s="76">
        <f t="shared" si="153"/>
        <v>695</v>
      </c>
      <c r="T970" s="76">
        <f>50</f>
        <v>50</v>
      </c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</row>
    <row r="971" spans="1:30" ht="15.75" x14ac:dyDescent="0.25">
      <c r="A971" s="31">
        <v>70494</v>
      </c>
      <c r="B971" s="88">
        <f t="shared" si="155"/>
        <v>31</v>
      </c>
      <c r="C971" s="76">
        <f>122.58</f>
        <v>122.58</v>
      </c>
      <c r="D971" s="76">
        <f>297.941</f>
        <v>297.94099999999997</v>
      </c>
      <c r="E971" s="85">
        <f>89.177</f>
        <v>89.177000000000007</v>
      </c>
      <c r="F971" s="76">
        <f>240.302-40-60-100</f>
        <v>40.301999999999992</v>
      </c>
      <c r="G971" s="79">
        <v>40</v>
      </c>
      <c r="H971" s="76">
        <f>60+100</f>
        <v>160</v>
      </c>
      <c r="I971" s="76">
        <f t="shared" si="158"/>
        <v>0</v>
      </c>
      <c r="J971" s="79">
        <v>100</v>
      </c>
      <c r="K971" s="79">
        <v>300</v>
      </c>
      <c r="L971" s="76">
        <f t="shared" si="150"/>
        <v>1150</v>
      </c>
      <c r="M971" s="87">
        <v>600</v>
      </c>
      <c r="N971" s="76">
        <f>100</f>
        <v>100</v>
      </c>
      <c r="O971" s="79">
        <v>240</v>
      </c>
      <c r="P971" s="79">
        <v>40</v>
      </c>
      <c r="Q971" s="79">
        <f t="shared" si="151"/>
        <v>315</v>
      </c>
      <c r="R971" s="79">
        <f t="shared" si="152"/>
        <v>100</v>
      </c>
      <c r="S971" s="76">
        <f t="shared" si="153"/>
        <v>695</v>
      </c>
      <c r="T971" s="76">
        <f>50</f>
        <v>50</v>
      </c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</row>
    <row r="972" spans="1:30" ht="15.75" x14ac:dyDescent="0.25">
      <c r="A972" s="31">
        <v>70525</v>
      </c>
      <c r="B972" s="88">
        <f t="shared" si="155"/>
        <v>31</v>
      </c>
      <c r="C972" s="76">
        <f>122.58</f>
        <v>122.58</v>
      </c>
      <c r="D972" s="76">
        <f>297.941</f>
        <v>297.94099999999997</v>
      </c>
      <c r="E972" s="85">
        <f>89.177</f>
        <v>89.177000000000007</v>
      </c>
      <c r="F972" s="76">
        <f>240.302-40-60-100</f>
        <v>40.301999999999992</v>
      </c>
      <c r="G972" s="79">
        <v>40</v>
      </c>
      <c r="H972" s="76">
        <f>60+100</f>
        <v>160</v>
      </c>
      <c r="I972" s="76">
        <f t="shared" si="158"/>
        <v>0</v>
      </c>
      <c r="J972" s="79">
        <v>100</v>
      </c>
      <c r="K972" s="79">
        <v>300</v>
      </c>
      <c r="L972" s="76">
        <f t="shared" si="150"/>
        <v>1150</v>
      </c>
      <c r="M972" s="87">
        <v>600</v>
      </c>
      <c r="N972" s="76">
        <f>100</f>
        <v>100</v>
      </c>
      <c r="O972" s="79">
        <v>240</v>
      </c>
      <c r="P972" s="79">
        <v>40</v>
      </c>
      <c r="Q972" s="79">
        <f t="shared" si="151"/>
        <v>315</v>
      </c>
      <c r="R972" s="79">
        <f t="shared" si="152"/>
        <v>100</v>
      </c>
      <c r="S972" s="76">
        <f t="shared" si="153"/>
        <v>695</v>
      </c>
      <c r="T972" s="76">
        <f>50</f>
        <v>50</v>
      </c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</row>
    <row r="973" spans="1:30" ht="15.75" x14ac:dyDescent="0.25">
      <c r="A973" s="31">
        <v>70553</v>
      </c>
      <c r="B973" s="88">
        <f t="shared" si="155"/>
        <v>28</v>
      </c>
      <c r="C973" s="76">
        <f>122.58</f>
        <v>122.58</v>
      </c>
      <c r="D973" s="76">
        <f>297.941</f>
        <v>297.94099999999997</v>
      </c>
      <c r="E973" s="85">
        <f>89.177</f>
        <v>89.177000000000007</v>
      </c>
      <c r="F973" s="76">
        <f>240.302-40-60-100</f>
        <v>40.301999999999992</v>
      </c>
      <c r="G973" s="79">
        <v>40</v>
      </c>
      <c r="H973" s="76">
        <f>60+100</f>
        <v>160</v>
      </c>
      <c r="I973" s="76">
        <f t="shared" si="158"/>
        <v>0</v>
      </c>
      <c r="J973" s="79">
        <v>100</v>
      </c>
      <c r="K973" s="79">
        <v>300</v>
      </c>
      <c r="L973" s="76">
        <f t="shared" si="150"/>
        <v>1150</v>
      </c>
      <c r="M973" s="87">
        <v>600</v>
      </c>
      <c r="N973" s="76">
        <f>100</f>
        <v>100</v>
      </c>
      <c r="O973" s="79">
        <v>240</v>
      </c>
      <c r="P973" s="79">
        <v>40</v>
      </c>
      <c r="Q973" s="79">
        <f t="shared" si="151"/>
        <v>315</v>
      </c>
      <c r="R973" s="79">
        <f t="shared" si="152"/>
        <v>100</v>
      </c>
      <c r="S973" s="76">
        <f t="shared" si="153"/>
        <v>695</v>
      </c>
      <c r="T973" s="76">
        <f>50</f>
        <v>50</v>
      </c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</row>
    <row r="974" spans="1:30" ht="15.75" x14ac:dyDescent="0.25">
      <c r="A974" s="31">
        <v>70584</v>
      </c>
      <c r="B974" s="88">
        <f t="shared" si="155"/>
        <v>31</v>
      </c>
      <c r="C974" s="76">
        <f>122.58</f>
        <v>122.58</v>
      </c>
      <c r="D974" s="76">
        <f>297.941</f>
        <v>297.94099999999997</v>
      </c>
      <c r="E974" s="85">
        <f>89.177</f>
        <v>89.177000000000007</v>
      </c>
      <c r="F974" s="76">
        <f>240.302-40-60-100</f>
        <v>40.301999999999992</v>
      </c>
      <c r="G974" s="79">
        <v>40</v>
      </c>
      <c r="H974" s="76">
        <f>60+100</f>
        <v>160</v>
      </c>
      <c r="I974" s="76">
        <f t="shared" si="158"/>
        <v>0</v>
      </c>
      <c r="J974" s="79">
        <v>100</v>
      </c>
      <c r="K974" s="79">
        <v>300</v>
      </c>
      <c r="L974" s="76">
        <f t="shared" si="150"/>
        <v>1150</v>
      </c>
      <c r="M974" s="87">
        <v>600</v>
      </c>
      <c r="N974" s="76">
        <f>100</f>
        <v>100</v>
      </c>
      <c r="O974" s="79">
        <v>240</v>
      </c>
      <c r="P974" s="79">
        <v>40</v>
      </c>
      <c r="Q974" s="79">
        <f t="shared" si="151"/>
        <v>315</v>
      </c>
      <c r="R974" s="79">
        <f t="shared" si="152"/>
        <v>100</v>
      </c>
      <c r="S974" s="76">
        <f t="shared" si="153"/>
        <v>695</v>
      </c>
      <c r="T974" s="76">
        <f>50</f>
        <v>50</v>
      </c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</row>
    <row r="975" spans="1:30" ht="15.75" x14ac:dyDescent="0.25">
      <c r="A975" s="31">
        <v>70614</v>
      </c>
      <c r="B975" s="88">
        <f t="shared" si="155"/>
        <v>30</v>
      </c>
      <c r="C975" s="76">
        <f>141.293</f>
        <v>141.29300000000001</v>
      </c>
      <c r="D975" s="76">
        <f>267.993</f>
        <v>267.99299999999999</v>
      </c>
      <c r="E975" s="85">
        <f>115.016</f>
        <v>115.01600000000001</v>
      </c>
      <c r="F975" s="76">
        <f>314.698-40-25-60-100</f>
        <v>89.697999999999979</v>
      </c>
      <c r="G975" s="79">
        <v>40</v>
      </c>
      <c r="H975" s="76">
        <f t="shared" ref="H975:H981" si="161">25+60+100</f>
        <v>185</v>
      </c>
      <c r="I975" s="76">
        <f t="shared" si="158"/>
        <v>0</v>
      </c>
      <c r="J975" s="79">
        <v>100</v>
      </c>
      <c r="K975" s="79">
        <v>300</v>
      </c>
      <c r="L975" s="76">
        <f t="shared" si="150"/>
        <v>1239</v>
      </c>
      <c r="M975" s="87">
        <v>600</v>
      </c>
      <c r="N975" s="76">
        <f>100</f>
        <v>100</v>
      </c>
      <c r="O975" s="79">
        <v>240</v>
      </c>
      <c r="P975" s="79">
        <v>40</v>
      </c>
      <c r="Q975" s="79">
        <f t="shared" si="151"/>
        <v>315</v>
      </c>
      <c r="R975" s="79">
        <f t="shared" si="152"/>
        <v>100</v>
      </c>
      <c r="S975" s="76">
        <f t="shared" si="153"/>
        <v>695</v>
      </c>
      <c r="T975" s="76">
        <f>50</f>
        <v>50</v>
      </c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</row>
    <row r="976" spans="1:30" ht="15.75" x14ac:dyDescent="0.25">
      <c r="A976" s="31">
        <v>70645</v>
      </c>
      <c r="B976" s="88">
        <f t="shared" si="155"/>
        <v>31</v>
      </c>
      <c r="C976" s="76">
        <f>194.205</f>
        <v>194.20500000000001</v>
      </c>
      <c r="D976" s="76">
        <f>267.466</f>
        <v>267.46600000000001</v>
      </c>
      <c r="E976" s="85">
        <f>133.845</f>
        <v>133.845</v>
      </c>
      <c r="F976" s="76">
        <f>278.484-40-25-60-100</f>
        <v>53.48399999999998</v>
      </c>
      <c r="G976" s="79">
        <v>40</v>
      </c>
      <c r="H976" s="76">
        <f t="shared" si="161"/>
        <v>185</v>
      </c>
      <c r="I976" s="76">
        <f t="shared" si="158"/>
        <v>0</v>
      </c>
      <c r="J976" s="79">
        <v>100</v>
      </c>
      <c r="K976" s="79">
        <v>300</v>
      </c>
      <c r="L976" s="76">
        <f t="shared" si="150"/>
        <v>1274</v>
      </c>
      <c r="M976" s="87">
        <v>600</v>
      </c>
      <c r="N976" s="76">
        <f>75</f>
        <v>75</v>
      </c>
      <c r="O976" s="79">
        <v>240</v>
      </c>
      <c r="P976" s="79">
        <v>40</v>
      </c>
      <c r="Q976" s="79">
        <f t="shared" si="151"/>
        <v>315</v>
      </c>
      <c r="R976" s="79">
        <f t="shared" si="152"/>
        <v>100</v>
      </c>
      <c r="S976" s="76">
        <f t="shared" si="153"/>
        <v>695</v>
      </c>
      <c r="T976" s="76">
        <f>50</f>
        <v>50</v>
      </c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</row>
    <row r="977" spans="1:30" ht="15.75" x14ac:dyDescent="0.25">
      <c r="A977" s="31">
        <v>70675</v>
      </c>
      <c r="B977" s="88">
        <f t="shared" si="155"/>
        <v>30</v>
      </c>
      <c r="C977" s="76">
        <f>194.205</f>
        <v>194.20500000000001</v>
      </c>
      <c r="D977" s="76">
        <f>267.466</f>
        <v>267.46600000000001</v>
      </c>
      <c r="E977" s="85">
        <f>133.845</f>
        <v>133.845</v>
      </c>
      <c r="F977" s="76">
        <f>278.484-40-25-60-100</f>
        <v>53.48399999999998</v>
      </c>
      <c r="G977" s="79">
        <v>40</v>
      </c>
      <c r="H977" s="76">
        <f t="shared" si="161"/>
        <v>185</v>
      </c>
      <c r="I977" s="76">
        <f t="shared" si="158"/>
        <v>0</v>
      </c>
      <c r="J977" s="79">
        <v>100</v>
      </c>
      <c r="K977" s="79">
        <v>300</v>
      </c>
      <c r="L977" s="76">
        <f t="shared" si="150"/>
        <v>1274</v>
      </c>
      <c r="M977" s="87">
        <v>600</v>
      </c>
      <c r="N977" s="76">
        <f>30</f>
        <v>30</v>
      </c>
      <c r="O977" s="79">
        <v>240</v>
      </c>
      <c r="P977" s="79">
        <v>40</v>
      </c>
      <c r="Q977" s="79">
        <f t="shared" si="151"/>
        <v>315</v>
      </c>
      <c r="R977" s="79">
        <f t="shared" si="152"/>
        <v>100</v>
      </c>
      <c r="S977" s="76">
        <f t="shared" si="153"/>
        <v>695</v>
      </c>
      <c r="T977" s="76">
        <f>50</f>
        <v>50</v>
      </c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</row>
    <row r="978" spans="1:30" ht="15.75" x14ac:dyDescent="0.25">
      <c r="A978" s="31">
        <v>70706</v>
      </c>
      <c r="B978" s="88">
        <f t="shared" si="155"/>
        <v>31</v>
      </c>
      <c r="C978" s="76">
        <f>194.205</f>
        <v>194.20500000000001</v>
      </c>
      <c r="D978" s="76">
        <f>267.466</f>
        <v>267.46600000000001</v>
      </c>
      <c r="E978" s="85">
        <f>133.845</f>
        <v>133.845</v>
      </c>
      <c r="F978" s="76">
        <f>278.484-40-25-60-100</f>
        <v>53.48399999999998</v>
      </c>
      <c r="G978" s="79">
        <v>40</v>
      </c>
      <c r="H978" s="76">
        <f t="shared" si="161"/>
        <v>185</v>
      </c>
      <c r="I978" s="76">
        <f t="shared" si="158"/>
        <v>0</v>
      </c>
      <c r="J978" s="79">
        <v>100</v>
      </c>
      <c r="K978" s="79">
        <v>300</v>
      </c>
      <c r="L978" s="76">
        <f t="shared" ref="L978:L1041" si="162">SUM(C978:K978)</f>
        <v>1274</v>
      </c>
      <c r="M978" s="87">
        <v>600</v>
      </c>
      <c r="N978" s="76">
        <f>30</f>
        <v>30</v>
      </c>
      <c r="O978" s="79">
        <v>240</v>
      </c>
      <c r="P978" s="79">
        <v>40</v>
      </c>
      <c r="Q978" s="79">
        <f t="shared" ref="Q978:Q1041" si="163">695-R978-O978-P978</f>
        <v>315</v>
      </c>
      <c r="R978" s="79">
        <f t="shared" ref="R978:R1041" si="164">200-J978</f>
        <v>100</v>
      </c>
      <c r="S978" s="76">
        <f t="shared" ref="S978:S1041" si="165">SUM(O978:R978)</f>
        <v>695</v>
      </c>
      <c r="T978" s="76">
        <f>0</f>
        <v>0</v>
      </c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</row>
    <row r="979" spans="1:30" ht="15.75" x14ac:dyDescent="0.25">
      <c r="A979" s="31">
        <v>70737</v>
      </c>
      <c r="B979" s="88">
        <f t="shared" si="155"/>
        <v>31</v>
      </c>
      <c r="C979" s="76">
        <f>194.205</f>
        <v>194.20500000000001</v>
      </c>
      <c r="D979" s="76">
        <f>267.466</f>
        <v>267.46600000000001</v>
      </c>
      <c r="E979" s="85">
        <f>133.845</f>
        <v>133.845</v>
      </c>
      <c r="F979" s="76">
        <f>278.484-40-25-60-100</f>
        <v>53.48399999999998</v>
      </c>
      <c r="G979" s="79">
        <v>40</v>
      </c>
      <c r="H979" s="76">
        <f t="shared" si="161"/>
        <v>185</v>
      </c>
      <c r="I979" s="76">
        <f t="shared" si="158"/>
        <v>0</v>
      </c>
      <c r="J979" s="79">
        <v>100</v>
      </c>
      <c r="K979" s="79">
        <v>300</v>
      </c>
      <c r="L979" s="76">
        <f t="shared" si="162"/>
        <v>1274</v>
      </c>
      <c r="M979" s="87">
        <v>600</v>
      </c>
      <c r="N979" s="76">
        <f>30</f>
        <v>30</v>
      </c>
      <c r="O979" s="79">
        <v>240</v>
      </c>
      <c r="P979" s="79">
        <v>40</v>
      </c>
      <c r="Q979" s="79">
        <f t="shared" si="163"/>
        <v>315</v>
      </c>
      <c r="R979" s="79">
        <f t="shared" si="164"/>
        <v>100</v>
      </c>
      <c r="S979" s="76">
        <f t="shared" si="165"/>
        <v>695</v>
      </c>
      <c r="T979" s="76">
        <f>0</f>
        <v>0</v>
      </c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</row>
    <row r="980" spans="1:30" ht="15.75" x14ac:dyDescent="0.25">
      <c r="A980" s="31">
        <v>70767</v>
      </c>
      <c r="B980" s="88">
        <f t="shared" si="155"/>
        <v>30</v>
      </c>
      <c r="C980" s="76">
        <f>194.205</f>
        <v>194.20500000000001</v>
      </c>
      <c r="D980" s="76">
        <f>267.466</f>
        <v>267.46600000000001</v>
      </c>
      <c r="E980" s="85">
        <f>133.845</f>
        <v>133.845</v>
      </c>
      <c r="F980" s="76">
        <f>278.484-40-25-60-100</f>
        <v>53.48399999999998</v>
      </c>
      <c r="G980" s="79">
        <v>40</v>
      </c>
      <c r="H980" s="76">
        <f t="shared" si="161"/>
        <v>185</v>
      </c>
      <c r="I980" s="76">
        <f t="shared" si="158"/>
        <v>0</v>
      </c>
      <c r="J980" s="79">
        <v>100</v>
      </c>
      <c r="K980" s="79">
        <v>300</v>
      </c>
      <c r="L980" s="76">
        <f t="shared" si="162"/>
        <v>1274</v>
      </c>
      <c r="M980" s="87">
        <v>600</v>
      </c>
      <c r="N980" s="76">
        <f>30</f>
        <v>30</v>
      </c>
      <c r="O980" s="79">
        <v>240</v>
      </c>
      <c r="P980" s="79">
        <v>40</v>
      </c>
      <c r="Q980" s="79">
        <f t="shared" si="163"/>
        <v>315</v>
      </c>
      <c r="R980" s="79">
        <f t="shared" si="164"/>
        <v>100</v>
      </c>
      <c r="S980" s="76">
        <f t="shared" si="165"/>
        <v>695</v>
      </c>
      <c r="T980" s="76">
        <f>0</f>
        <v>0</v>
      </c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</row>
    <row r="981" spans="1:30" ht="15.75" x14ac:dyDescent="0.25">
      <c r="A981" s="31">
        <v>70798</v>
      </c>
      <c r="B981" s="88">
        <f t="shared" si="155"/>
        <v>31</v>
      </c>
      <c r="C981" s="76">
        <f>131.881</f>
        <v>131.881</v>
      </c>
      <c r="D981" s="76">
        <f>277.167</f>
        <v>277.16699999999997</v>
      </c>
      <c r="E981" s="85">
        <f>79.08</f>
        <v>79.08</v>
      </c>
      <c r="F981" s="76">
        <f>350.872-40-25-60-100</f>
        <v>125.87200000000001</v>
      </c>
      <c r="G981" s="79">
        <v>40</v>
      </c>
      <c r="H981" s="76">
        <f t="shared" si="161"/>
        <v>185</v>
      </c>
      <c r="I981" s="76">
        <f t="shared" si="158"/>
        <v>0</v>
      </c>
      <c r="J981" s="79">
        <v>100</v>
      </c>
      <c r="K981" s="79">
        <v>300</v>
      </c>
      <c r="L981" s="76">
        <f t="shared" si="162"/>
        <v>1239</v>
      </c>
      <c r="M981" s="87">
        <v>600</v>
      </c>
      <c r="N981" s="76">
        <f>75</f>
        <v>75</v>
      </c>
      <c r="O981" s="79">
        <v>240</v>
      </c>
      <c r="P981" s="79">
        <v>40</v>
      </c>
      <c r="Q981" s="79">
        <f t="shared" si="163"/>
        <v>315</v>
      </c>
      <c r="R981" s="79">
        <f t="shared" si="164"/>
        <v>100</v>
      </c>
      <c r="S981" s="76">
        <f t="shared" si="165"/>
        <v>695</v>
      </c>
      <c r="T981" s="76">
        <f>0</f>
        <v>0</v>
      </c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</row>
    <row r="982" spans="1:30" ht="15.75" x14ac:dyDescent="0.25">
      <c r="A982" s="31">
        <v>70828</v>
      </c>
      <c r="B982" s="88">
        <f t="shared" si="155"/>
        <v>30</v>
      </c>
      <c r="C982" s="76">
        <f>122.58</f>
        <v>122.58</v>
      </c>
      <c r="D982" s="76">
        <f>297.941</f>
        <v>297.94099999999997</v>
      </c>
      <c r="E982" s="85">
        <f>89.177</f>
        <v>89.177000000000007</v>
      </c>
      <c r="F982" s="76">
        <f>240.302-40-60-100</f>
        <v>40.301999999999992</v>
      </c>
      <c r="G982" s="79">
        <v>40</v>
      </c>
      <c r="H982" s="76">
        <f>60+100</f>
        <v>160</v>
      </c>
      <c r="I982" s="76">
        <f t="shared" si="158"/>
        <v>0</v>
      </c>
      <c r="J982" s="79">
        <v>100</v>
      </c>
      <c r="K982" s="79">
        <v>300</v>
      </c>
      <c r="L982" s="76">
        <f t="shared" si="162"/>
        <v>1150</v>
      </c>
      <c r="M982" s="87">
        <v>600</v>
      </c>
      <c r="N982" s="76">
        <f>100</f>
        <v>100</v>
      </c>
      <c r="O982" s="79">
        <v>240</v>
      </c>
      <c r="P982" s="79">
        <v>40</v>
      </c>
      <c r="Q982" s="79">
        <f t="shared" si="163"/>
        <v>315</v>
      </c>
      <c r="R982" s="79">
        <f t="shared" si="164"/>
        <v>100</v>
      </c>
      <c r="S982" s="76">
        <f t="shared" si="165"/>
        <v>695</v>
      </c>
      <c r="T982" s="76">
        <f>50</f>
        <v>50</v>
      </c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</row>
    <row r="983" spans="1:30" ht="15.75" x14ac:dyDescent="0.25">
      <c r="A983" s="31">
        <v>70859</v>
      </c>
      <c r="B983" s="88">
        <f t="shared" si="155"/>
        <v>31</v>
      </c>
      <c r="C983" s="76">
        <f>122.58</f>
        <v>122.58</v>
      </c>
      <c r="D983" s="76">
        <f>297.941</f>
        <v>297.94099999999997</v>
      </c>
      <c r="E983" s="85">
        <f>89.177</f>
        <v>89.177000000000007</v>
      </c>
      <c r="F983" s="76">
        <f>240.302-40-60-100</f>
        <v>40.301999999999992</v>
      </c>
      <c r="G983" s="79">
        <v>40</v>
      </c>
      <c r="H983" s="76">
        <f>60+100</f>
        <v>160</v>
      </c>
      <c r="I983" s="76">
        <f t="shared" si="158"/>
        <v>0</v>
      </c>
      <c r="J983" s="79">
        <v>100</v>
      </c>
      <c r="K983" s="79">
        <v>300</v>
      </c>
      <c r="L983" s="76">
        <f t="shared" si="162"/>
        <v>1150</v>
      </c>
      <c r="M983" s="87">
        <v>600</v>
      </c>
      <c r="N983" s="76">
        <f>100</f>
        <v>100</v>
      </c>
      <c r="O983" s="79">
        <v>240</v>
      </c>
      <c r="P983" s="79">
        <v>40</v>
      </c>
      <c r="Q983" s="79">
        <f t="shared" si="163"/>
        <v>315</v>
      </c>
      <c r="R983" s="79">
        <f t="shared" si="164"/>
        <v>100</v>
      </c>
      <c r="S983" s="76">
        <f t="shared" si="165"/>
        <v>695</v>
      </c>
      <c r="T983" s="76">
        <f>50</f>
        <v>50</v>
      </c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</row>
    <row r="984" spans="1:30" ht="15.75" x14ac:dyDescent="0.25">
      <c r="A984" s="31">
        <v>70890</v>
      </c>
      <c r="B984" s="88">
        <f t="shared" ref="B984:B1047" si="166">EOMONTH(A984,0)-EOMONTH(A984,-1)</f>
        <v>31</v>
      </c>
      <c r="C984" s="76">
        <f>122.58</f>
        <v>122.58</v>
      </c>
      <c r="D984" s="76">
        <f>297.941</f>
        <v>297.94099999999997</v>
      </c>
      <c r="E984" s="85">
        <f>89.177</f>
        <v>89.177000000000007</v>
      </c>
      <c r="F984" s="76">
        <f>240.302-40-60-100</f>
        <v>40.301999999999992</v>
      </c>
      <c r="G984" s="79">
        <v>40</v>
      </c>
      <c r="H984" s="76">
        <f>60+100</f>
        <v>160</v>
      </c>
      <c r="I984" s="76">
        <f t="shared" si="158"/>
        <v>0</v>
      </c>
      <c r="J984" s="79">
        <v>100</v>
      </c>
      <c r="K984" s="79">
        <v>300</v>
      </c>
      <c r="L984" s="76">
        <f t="shared" si="162"/>
        <v>1150</v>
      </c>
      <c r="M984" s="87">
        <v>600</v>
      </c>
      <c r="N984" s="76">
        <f>100</f>
        <v>100</v>
      </c>
      <c r="O984" s="79">
        <v>240</v>
      </c>
      <c r="P984" s="79">
        <v>40</v>
      </c>
      <c r="Q984" s="79">
        <f t="shared" si="163"/>
        <v>315</v>
      </c>
      <c r="R984" s="79">
        <f t="shared" si="164"/>
        <v>100</v>
      </c>
      <c r="S984" s="76">
        <f t="shared" si="165"/>
        <v>695</v>
      </c>
      <c r="T984" s="76">
        <f>50</f>
        <v>50</v>
      </c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</row>
    <row r="985" spans="1:30" ht="15.75" x14ac:dyDescent="0.25">
      <c r="A985" s="31">
        <v>70918</v>
      </c>
      <c r="B985" s="88">
        <f t="shared" si="166"/>
        <v>28</v>
      </c>
      <c r="C985" s="76">
        <f>122.58</f>
        <v>122.58</v>
      </c>
      <c r="D985" s="76">
        <f>297.941</f>
        <v>297.94099999999997</v>
      </c>
      <c r="E985" s="85">
        <f>89.177</f>
        <v>89.177000000000007</v>
      </c>
      <c r="F985" s="76">
        <f>240.302-40-60-100</f>
        <v>40.301999999999992</v>
      </c>
      <c r="G985" s="79">
        <v>40</v>
      </c>
      <c r="H985" s="76">
        <f>60+100</f>
        <v>160</v>
      </c>
      <c r="I985" s="76">
        <f t="shared" si="158"/>
        <v>0</v>
      </c>
      <c r="J985" s="79">
        <v>100</v>
      </c>
      <c r="K985" s="79">
        <v>300</v>
      </c>
      <c r="L985" s="76">
        <f t="shared" si="162"/>
        <v>1150</v>
      </c>
      <c r="M985" s="87">
        <v>600</v>
      </c>
      <c r="N985" s="76">
        <f>100</f>
        <v>100</v>
      </c>
      <c r="O985" s="79">
        <v>240</v>
      </c>
      <c r="P985" s="79">
        <v>40</v>
      </c>
      <c r="Q985" s="79">
        <f t="shared" si="163"/>
        <v>315</v>
      </c>
      <c r="R985" s="79">
        <f t="shared" si="164"/>
        <v>100</v>
      </c>
      <c r="S985" s="76">
        <f t="shared" si="165"/>
        <v>695</v>
      </c>
      <c r="T985" s="76">
        <f>50</f>
        <v>50</v>
      </c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</row>
    <row r="986" spans="1:30" ht="15.75" x14ac:dyDescent="0.25">
      <c r="A986" s="31">
        <v>70949</v>
      </c>
      <c r="B986" s="88">
        <f t="shared" si="166"/>
        <v>31</v>
      </c>
      <c r="C986" s="76">
        <f>122.58</f>
        <v>122.58</v>
      </c>
      <c r="D986" s="76">
        <f>297.941</f>
        <v>297.94099999999997</v>
      </c>
      <c r="E986" s="85">
        <f>89.177</f>
        <v>89.177000000000007</v>
      </c>
      <c r="F986" s="76">
        <f>240.302-40-60-100</f>
        <v>40.301999999999992</v>
      </c>
      <c r="G986" s="79">
        <v>40</v>
      </c>
      <c r="H986" s="76">
        <f>60+100</f>
        <v>160</v>
      </c>
      <c r="I986" s="76">
        <f t="shared" si="158"/>
        <v>0</v>
      </c>
      <c r="J986" s="79">
        <v>100</v>
      </c>
      <c r="K986" s="79">
        <v>300</v>
      </c>
      <c r="L986" s="76">
        <f t="shared" si="162"/>
        <v>1150</v>
      </c>
      <c r="M986" s="87">
        <v>600</v>
      </c>
      <c r="N986" s="76">
        <f>100</f>
        <v>100</v>
      </c>
      <c r="O986" s="79">
        <v>240</v>
      </c>
      <c r="P986" s="79">
        <v>40</v>
      </c>
      <c r="Q986" s="79">
        <f t="shared" si="163"/>
        <v>315</v>
      </c>
      <c r="R986" s="79">
        <f t="shared" si="164"/>
        <v>100</v>
      </c>
      <c r="S986" s="76">
        <f t="shared" si="165"/>
        <v>695</v>
      </c>
      <c r="T986" s="76">
        <f>50</f>
        <v>50</v>
      </c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</row>
    <row r="987" spans="1:30" ht="15.75" x14ac:dyDescent="0.25">
      <c r="A987" s="31">
        <v>70979</v>
      </c>
      <c r="B987" s="88">
        <f t="shared" si="166"/>
        <v>30</v>
      </c>
      <c r="C987" s="76">
        <f>141.293</f>
        <v>141.29300000000001</v>
      </c>
      <c r="D987" s="76">
        <f>267.993</f>
        <v>267.99299999999999</v>
      </c>
      <c r="E987" s="85">
        <f>115.016</f>
        <v>115.01600000000001</v>
      </c>
      <c r="F987" s="76">
        <f>314.698-40-25-60-100</f>
        <v>89.697999999999979</v>
      </c>
      <c r="G987" s="79">
        <v>40</v>
      </c>
      <c r="H987" s="76">
        <f t="shared" ref="H987:H993" si="167">25+60+100</f>
        <v>185</v>
      </c>
      <c r="I987" s="76">
        <f t="shared" si="158"/>
        <v>0</v>
      </c>
      <c r="J987" s="79">
        <v>100</v>
      </c>
      <c r="K987" s="79">
        <v>300</v>
      </c>
      <c r="L987" s="76">
        <f t="shared" si="162"/>
        <v>1239</v>
      </c>
      <c r="M987" s="87">
        <v>600</v>
      </c>
      <c r="N987" s="76">
        <f>100</f>
        <v>100</v>
      </c>
      <c r="O987" s="79">
        <v>240</v>
      </c>
      <c r="P987" s="79">
        <v>40</v>
      </c>
      <c r="Q987" s="79">
        <f t="shared" si="163"/>
        <v>315</v>
      </c>
      <c r="R987" s="79">
        <f t="shared" si="164"/>
        <v>100</v>
      </c>
      <c r="S987" s="76">
        <f t="shared" si="165"/>
        <v>695</v>
      </c>
      <c r="T987" s="76">
        <f>50</f>
        <v>50</v>
      </c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</row>
    <row r="988" spans="1:30" ht="15.75" x14ac:dyDescent="0.25">
      <c r="A988" s="31">
        <v>71010</v>
      </c>
      <c r="B988" s="88">
        <f t="shared" si="166"/>
        <v>31</v>
      </c>
      <c r="C988" s="76">
        <f>194.205</f>
        <v>194.20500000000001</v>
      </c>
      <c r="D988" s="76">
        <f>267.466</f>
        <v>267.46600000000001</v>
      </c>
      <c r="E988" s="85">
        <f>133.845</f>
        <v>133.845</v>
      </c>
      <c r="F988" s="76">
        <f>278.484-40-25-60-100</f>
        <v>53.48399999999998</v>
      </c>
      <c r="G988" s="79">
        <v>40</v>
      </c>
      <c r="H988" s="76">
        <f t="shared" si="167"/>
        <v>185</v>
      </c>
      <c r="I988" s="76">
        <f t="shared" si="158"/>
        <v>0</v>
      </c>
      <c r="J988" s="79">
        <v>100</v>
      </c>
      <c r="K988" s="79">
        <v>300</v>
      </c>
      <c r="L988" s="76">
        <f t="shared" si="162"/>
        <v>1274</v>
      </c>
      <c r="M988" s="87">
        <v>600</v>
      </c>
      <c r="N988" s="76">
        <f>75</f>
        <v>75</v>
      </c>
      <c r="O988" s="79">
        <v>240</v>
      </c>
      <c r="P988" s="79">
        <v>40</v>
      </c>
      <c r="Q988" s="79">
        <f t="shared" si="163"/>
        <v>315</v>
      </c>
      <c r="R988" s="79">
        <f t="shared" si="164"/>
        <v>100</v>
      </c>
      <c r="S988" s="76">
        <f t="shared" si="165"/>
        <v>695</v>
      </c>
      <c r="T988" s="76">
        <f>50</f>
        <v>50</v>
      </c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</row>
    <row r="989" spans="1:30" ht="15.75" x14ac:dyDescent="0.25">
      <c r="A989" s="31">
        <v>71040</v>
      </c>
      <c r="B989" s="88">
        <f t="shared" si="166"/>
        <v>30</v>
      </c>
      <c r="C989" s="76">
        <f>194.205</f>
        <v>194.20500000000001</v>
      </c>
      <c r="D989" s="76">
        <f>267.466</f>
        <v>267.46600000000001</v>
      </c>
      <c r="E989" s="85">
        <f>133.845</f>
        <v>133.845</v>
      </c>
      <c r="F989" s="76">
        <f>278.484-40-25-60-100</f>
        <v>53.48399999999998</v>
      </c>
      <c r="G989" s="79">
        <v>40</v>
      </c>
      <c r="H989" s="76">
        <f t="shared" si="167"/>
        <v>185</v>
      </c>
      <c r="I989" s="76">
        <f t="shared" si="158"/>
        <v>0</v>
      </c>
      <c r="J989" s="79">
        <v>100</v>
      </c>
      <c r="K989" s="79">
        <v>300</v>
      </c>
      <c r="L989" s="76">
        <f t="shared" si="162"/>
        <v>1274</v>
      </c>
      <c r="M989" s="87">
        <v>600</v>
      </c>
      <c r="N989" s="76">
        <f>30</f>
        <v>30</v>
      </c>
      <c r="O989" s="79">
        <v>240</v>
      </c>
      <c r="P989" s="79">
        <v>40</v>
      </c>
      <c r="Q989" s="79">
        <f t="shared" si="163"/>
        <v>315</v>
      </c>
      <c r="R989" s="79">
        <f t="shared" si="164"/>
        <v>100</v>
      </c>
      <c r="S989" s="76">
        <f t="shared" si="165"/>
        <v>695</v>
      </c>
      <c r="T989" s="76">
        <f>50</f>
        <v>50</v>
      </c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</row>
    <row r="990" spans="1:30" ht="15.75" x14ac:dyDescent="0.25">
      <c r="A990" s="31">
        <v>71071</v>
      </c>
      <c r="B990" s="88">
        <f t="shared" si="166"/>
        <v>31</v>
      </c>
      <c r="C990" s="76">
        <f>194.205</f>
        <v>194.20500000000001</v>
      </c>
      <c r="D990" s="76">
        <f>267.466</f>
        <v>267.46600000000001</v>
      </c>
      <c r="E990" s="85">
        <f>133.845</f>
        <v>133.845</v>
      </c>
      <c r="F990" s="76">
        <f>278.484-40-25-60-100</f>
        <v>53.48399999999998</v>
      </c>
      <c r="G990" s="79">
        <v>40</v>
      </c>
      <c r="H990" s="76">
        <f t="shared" si="167"/>
        <v>185</v>
      </c>
      <c r="I990" s="76">
        <f t="shared" si="158"/>
        <v>0</v>
      </c>
      <c r="J990" s="79">
        <v>100</v>
      </c>
      <c r="K990" s="79">
        <v>300</v>
      </c>
      <c r="L990" s="76">
        <f t="shared" si="162"/>
        <v>1274</v>
      </c>
      <c r="M990" s="87">
        <v>600</v>
      </c>
      <c r="N990" s="76">
        <f>30</f>
        <v>30</v>
      </c>
      <c r="O990" s="79">
        <v>240</v>
      </c>
      <c r="P990" s="79">
        <v>40</v>
      </c>
      <c r="Q990" s="79">
        <f t="shared" si="163"/>
        <v>315</v>
      </c>
      <c r="R990" s="79">
        <f t="shared" si="164"/>
        <v>100</v>
      </c>
      <c r="S990" s="76">
        <f t="shared" si="165"/>
        <v>695</v>
      </c>
      <c r="T990" s="76">
        <f>0</f>
        <v>0</v>
      </c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</row>
    <row r="991" spans="1:30" ht="15.75" x14ac:dyDescent="0.25">
      <c r="A991" s="31">
        <v>71102</v>
      </c>
      <c r="B991" s="88">
        <f t="shared" si="166"/>
        <v>31</v>
      </c>
      <c r="C991" s="76">
        <f>194.205</f>
        <v>194.20500000000001</v>
      </c>
      <c r="D991" s="76">
        <f>267.466</f>
        <v>267.46600000000001</v>
      </c>
      <c r="E991" s="85">
        <f>133.845</f>
        <v>133.845</v>
      </c>
      <c r="F991" s="76">
        <f>278.484-40-25-60-100</f>
        <v>53.48399999999998</v>
      </c>
      <c r="G991" s="79">
        <v>40</v>
      </c>
      <c r="H991" s="76">
        <f t="shared" si="167"/>
        <v>185</v>
      </c>
      <c r="I991" s="76">
        <f t="shared" si="158"/>
        <v>0</v>
      </c>
      <c r="J991" s="79">
        <v>100</v>
      </c>
      <c r="K991" s="79">
        <v>300</v>
      </c>
      <c r="L991" s="76">
        <f t="shared" si="162"/>
        <v>1274</v>
      </c>
      <c r="M991" s="87">
        <v>600</v>
      </c>
      <c r="N991" s="76">
        <f>30</f>
        <v>30</v>
      </c>
      <c r="O991" s="79">
        <v>240</v>
      </c>
      <c r="P991" s="79">
        <v>40</v>
      </c>
      <c r="Q991" s="79">
        <f t="shared" si="163"/>
        <v>315</v>
      </c>
      <c r="R991" s="79">
        <f t="shared" si="164"/>
        <v>100</v>
      </c>
      <c r="S991" s="76">
        <f t="shared" si="165"/>
        <v>695</v>
      </c>
      <c r="T991" s="76">
        <f>0</f>
        <v>0</v>
      </c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</row>
    <row r="992" spans="1:30" ht="15.75" x14ac:dyDescent="0.25">
      <c r="A992" s="31">
        <v>71132</v>
      </c>
      <c r="B992" s="88">
        <f t="shared" si="166"/>
        <v>30</v>
      </c>
      <c r="C992" s="76">
        <f>194.205</f>
        <v>194.20500000000001</v>
      </c>
      <c r="D992" s="76">
        <f>267.466</f>
        <v>267.46600000000001</v>
      </c>
      <c r="E992" s="85">
        <f>133.845</f>
        <v>133.845</v>
      </c>
      <c r="F992" s="76">
        <f>278.484-40-25-60-100</f>
        <v>53.48399999999998</v>
      </c>
      <c r="G992" s="79">
        <v>40</v>
      </c>
      <c r="H992" s="76">
        <f t="shared" si="167"/>
        <v>185</v>
      </c>
      <c r="I992" s="76">
        <f t="shared" si="158"/>
        <v>0</v>
      </c>
      <c r="J992" s="79">
        <v>100</v>
      </c>
      <c r="K992" s="79">
        <v>300</v>
      </c>
      <c r="L992" s="76">
        <f t="shared" si="162"/>
        <v>1274</v>
      </c>
      <c r="M992" s="87">
        <v>600</v>
      </c>
      <c r="N992" s="76">
        <f>30</f>
        <v>30</v>
      </c>
      <c r="O992" s="79">
        <v>240</v>
      </c>
      <c r="P992" s="79">
        <v>40</v>
      </c>
      <c r="Q992" s="79">
        <f t="shared" si="163"/>
        <v>315</v>
      </c>
      <c r="R992" s="79">
        <f t="shared" si="164"/>
        <v>100</v>
      </c>
      <c r="S992" s="76">
        <f t="shared" si="165"/>
        <v>695</v>
      </c>
      <c r="T992" s="76">
        <f>0</f>
        <v>0</v>
      </c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</row>
    <row r="993" spans="1:30" ht="15.75" x14ac:dyDescent="0.25">
      <c r="A993" s="31">
        <v>71163</v>
      </c>
      <c r="B993" s="88">
        <f t="shared" si="166"/>
        <v>31</v>
      </c>
      <c r="C993" s="76">
        <f>131.881</f>
        <v>131.881</v>
      </c>
      <c r="D993" s="76">
        <f>277.167</f>
        <v>277.16699999999997</v>
      </c>
      <c r="E993" s="85">
        <f>79.08</f>
        <v>79.08</v>
      </c>
      <c r="F993" s="76">
        <f>350.872-40-25-60-100</f>
        <v>125.87200000000001</v>
      </c>
      <c r="G993" s="79">
        <v>40</v>
      </c>
      <c r="H993" s="76">
        <f t="shared" si="167"/>
        <v>185</v>
      </c>
      <c r="I993" s="76">
        <f t="shared" si="158"/>
        <v>0</v>
      </c>
      <c r="J993" s="79">
        <v>100</v>
      </c>
      <c r="K993" s="79">
        <v>300</v>
      </c>
      <c r="L993" s="76">
        <f t="shared" si="162"/>
        <v>1239</v>
      </c>
      <c r="M993" s="87">
        <v>600</v>
      </c>
      <c r="N993" s="76">
        <f>75</f>
        <v>75</v>
      </c>
      <c r="O993" s="79">
        <v>240</v>
      </c>
      <c r="P993" s="79">
        <v>40</v>
      </c>
      <c r="Q993" s="79">
        <f t="shared" si="163"/>
        <v>315</v>
      </c>
      <c r="R993" s="79">
        <f t="shared" si="164"/>
        <v>100</v>
      </c>
      <c r="S993" s="76">
        <f t="shared" si="165"/>
        <v>695</v>
      </c>
      <c r="T993" s="76">
        <f>0</f>
        <v>0</v>
      </c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</row>
    <row r="994" spans="1:30" ht="15.75" x14ac:dyDescent="0.25">
      <c r="A994" s="31">
        <v>71193</v>
      </c>
      <c r="B994" s="88">
        <f t="shared" si="166"/>
        <v>30</v>
      </c>
      <c r="C994" s="76">
        <f>122.58</f>
        <v>122.58</v>
      </c>
      <c r="D994" s="76">
        <f>297.941</f>
        <v>297.94099999999997</v>
      </c>
      <c r="E994" s="85">
        <f>89.177</f>
        <v>89.177000000000007</v>
      </c>
      <c r="F994" s="76">
        <f>240.302-40-60-100</f>
        <v>40.301999999999992</v>
      </c>
      <c r="G994" s="79">
        <v>40</v>
      </c>
      <c r="H994" s="76">
        <f>60+100</f>
        <v>160</v>
      </c>
      <c r="I994" s="76">
        <f t="shared" si="158"/>
        <v>0</v>
      </c>
      <c r="J994" s="79">
        <v>100</v>
      </c>
      <c r="K994" s="79">
        <v>300</v>
      </c>
      <c r="L994" s="76">
        <f t="shared" si="162"/>
        <v>1150</v>
      </c>
      <c r="M994" s="87">
        <v>600</v>
      </c>
      <c r="N994" s="76">
        <f>100</f>
        <v>100</v>
      </c>
      <c r="O994" s="79">
        <v>240</v>
      </c>
      <c r="P994" s="79">
        <v>40</v>
      </c>
      <c r="Q994" s="79">
        <f t="shared" si="163"/>
        <v>315</v>
      </c>
      <c r="R994" s="79">
        <f t="shared" si="164"/>
        <v>100</v>
      </c>
      <c r="S994" s="76">
        <f t="shared" si="165"/>
        <v>695</v>
      </c>
      <c r="T994" s="76">
        <f>50</f>
        <v>50</v>
      </c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</row>
    <row r="995" spans="1:30" ht="15.75" x14ac:dyDescent="0.25">
      <c r="A995" s="31">
        <v>71224</v>
      </c>
      <c r="B995" s="88">
        <f t="shared" si="166"/>
        <v>31</v>
      </c>
      <c r="C995" s="76">
        <f>122.58</f>
        <v>122.58</v>
      </c>
      <c r="D995" s="76">
        <f>297.941</f>
        <v>297.94099999999997</v>
      </c>
      <c r="E995" s="85">
        <f>89.177</f>
        <v>89.177000000000007</v>
      </c>
      <c r="F995" s="76">
        <f>240.302-40-60-100</f>
        <v>40.301999999999992</v>
      </c>
      <c r="G995" s="79">
        <v>40</v>
      </c>
      <c r="H995" s="76">
        <f>60+100</f>
        <v>160</v>
      </c>
      <c r="I995" s="76">
        <f t="shared" si="158"/>
        <v>0</v>
      </c>
      <c r="J995" s="79">
        <v>100</v>
      </c>
      <c r="K995" s="79">
        <v>300</v>
      </c>
      <c r="L995" s="76">
        <f t="shared" si="162"/>
        <v>1150</v>
      </c>
      <c r="M995" s="87">
        <v>600</v>
      </c>
      <c r="N995" s="76">
        <f>100</f>
        <v>100</v>
      </c>
      <c r="O995" s="79">
        <v>240</v>
      </c>
      <c r="P995" s="79">
        <v>40</v>
      </c>
      <c r="Q995" s="79">
        <f t="shared" si="163"/>
        <v>315</v>
      </c>
      <c r="R995" s="79">
        <f t="shared" si="164"/>
        <v>100</v>
      </c>
      <c r="S995" s="76">
        <f t="shared" si="165"/>
        <v>695</v>
      </c>
      <c r="T995" s="76">
        <f>50</f>
        <v>50</v>
      </c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</row>
    <row r="996" spans="1:30" ht="15.75" x14ac:dyDescent="0.25">
      <c r="A996" s="31">
        <v>71255</v>
      </c>
      <c r="B996" s="88">
        <f t="shared" si="166"/>
        <v>31</v>
      </c>
      <c r="C996" s="76">
        <f>122.58</f>
        <v>122.58</v>
      </c>
      <c r="D996" s="76">
        <f>297.941</f>
        <v>297.94099999999997</v>
      </c>
      <c r="E996" s="85">
        <f>89.177</f>
        <v>89.177000000000007</v>
      </c>
      <c r="F996" s="76">
        <f>240.302-40-60-100</f>
        <v>40.301999999999992</v>
      </c>
      <c r="G996" s="79">
        <v>40</v>
      </c>
      <c r="H996" s="76">
        <f>60+100</f>
        <v>160</v>
      </c>
      <c r="I996" s="76">
        <f t="shared" si="158"/>
        <v>0</v>
      </c>
      <c r="J996" s="79">
        <v>100</v>
      </c>
      <c r="K996" s="79">
        <v>300</v>
      </c>
      <c r="L996" s="76">
        <f t="shared" si="162"/>
        <v>1150</v>
      </c>
      <c r="M996" s="87">
        <v>600</v>
      </c>
      <c r="N996" s="76">
        <f>100</f>
        <v>100</v>
      </c>
      <c r="O996" s="79">
        <v>240</v>
      </c>
      <c r="P996" s="79">
        <v>40</v>
      </c>
      <c r="Q996" s="79">
        <f t="shared" si="163"/>
        <v>315</v>
      </c>
      <c r="R996" s="79">
        <f t="shared" si="164"/>
        <v>100</v>
      </c>
      <c r="S996" s="76">
        <f t="shared" si="165"/>
        <v>695</v>
      </c>
      <c r="T996" s="76">
        <f>50</f>
        <v>50</v>
      </c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</row>
    <row r="997" spans="1:30" ht="15.75" x14ac:dyDescent="0.25">
      <c r="A997" s="31">
        <v>71283</v>
      </c>
      <c r="B997" s="88">
        <f t="shared" si="166"/>
        <v>28</v>
      </c>
      <c r="C997" s="76">
        <f>122.58</f>
        <v>122.58</v>
      </c>
      <c r="D997" s="76">
        <f>297.941</f>
        <v>297.94099999999997</v>
      </c>
      <c r="E997" s="85">
        <f>89.177</f>
        <v>89.177000000000007</v>
      </c>
      <c r="F997" s="76">
        <f>240.302-40-60-100</f>
        <v>40.301999999999992</v>
      </c>
      <c r="G997" s="79">
        <v>40</v>
      </c>
      <c r="H997" s="76">
        <f>60+100</f>
        <v>160</v>
      </c>
      <c r="I997" s="76">
        <f t="shared" si="158"/>
        <v>0</v>
      </c>
      <c r="J997" s="79">
        <v>100</v>
      </c>
      <c r="K997" s="79">
        <v>300</v>
      </c>
      <c r="L997" s="76">
        <f t="shared" si="162"/>
        <v>1150</v>
      </c>
      <c r="M997" s="87">
        <v>600</v>
      </c>
      <c r="N997" s="76">
        <f>100</f>
        <v>100</v>
      </c>
      <c r="O997" s="79">
        <v>240</v>
      </c>
      <c r="P997" s="79">
        <v>40</v>
      </c>
      <c r="Q997" s="79">
        <f t="shared" si="163"/>
        <v>315</v>
      </c>
      <c r="R997" s="79">
        <f t="shared" si="164"/>
        <v>100</v>
      </c>
      <c r="S997" s="76">
        <f t="shared" si="165"/>
        <v>695</v>
      </c>
      <c r="T997" s="76">
        <f>50</f>
        <v>50</v>
      </c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</row>
    <row r="998" spans="1:30" ht="15.75" x14ac:dyDescent="0.25">
      <c r="A998" s="31">
        <v>71314</v>
      </c>
      <c r="B998" s="88">
        <f t="shared" si="166"/>
        <v>31</v>
      </c>
      <c r="C998" s="76">
        <f>122.58</f>
        <v>122.58</v>
      </c>
      <c r="D998" s="76">
        <f>297.941</f>
        <v>297.94099999999997</v>
      </c>
      <c r="E998" s="85">
        <f>89.177</f>
        <v>89.177000000000007</v>
      </c>
      <c r="F998" s="76">
        <f>240.302-40-60-100</f>
        <v>40.301999999999992</v>
      </c>
      <c r="G998" s="79">
        <v>40</v>
      </c>
      <c r="H998" s="76">
        <f>60+100</f>
        <v>160</v>
      </c>
      <c r="I998" s="76">
        <f t="shared" si="158"/>
        <v>0</v>
      </c>
      <c r="J998" s="79">
        <v>100</v>
      </c>
      <c r="K998" s="79">
        <v>300</v>
      </c>
      <c r="L998" s="76">
        <f t="shared" si="162"/>
        <v>1150</v>
      </c>
      <c r="M998" s="87">
        <v>600</v>
      </c>
      <c r="N998" s="76">
        <f>100</f>
        <v>100</v>
      </c>
      <c r="O998" s="79">
        <v>240</v>
      </c>
      <c r="P998" s="79">
        <v>40</v>
      </c>
      <c r="Q998" s="79">
        <f t="shared" si="163"/>
        <v>315</v>
      </c>
      <c r="R998" s="79">
        <f t="shared" si="164"/>
        <v>100</v>
      </c>
      <c r="S998" s="76">
        <f t="shared" si="165"/>
        <v>695</v>
      </c>
      <c r="T998" s="76">
        <f>50</f>
        <v>50</v>
      </c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</row>
    <row r="999" spans="1:30" ht="15.75" x14ac:dyDescent="0.25">
      <c r="A999" s="31">
        <v>71344</v>
      </c>
      <c r="B999" s="88">
        <f t="shared" si="166"/>
        <v>30</v>
      </c>
      <c r="C999" s="76">
        <f>141.293</f>
        <v>141.29300000000001</v>
      </c>
      <c r="D999" s="76">
        <f>267.993</f>
        <v>267.99299999999999</v>
      </c>
      <c r="E999" s="85">
        <f>115.016</f>
        <v>115.01600000000001</v>
      </c>
      <c r="F999" s="76">
        <f>314.698-40-25-60-100</f>
        <v>89.697999999999979</v>
      </c>
      <c r="G999" s="79">
        <v>40</v>
      </c>
      <c r="H999" s="76">
        <f t="shared" ref="H999:H1005" si="168">25+60+100</f>
        <v>185</v>
      </c>
      <c r="I999" s="76">
        <f t="shared" si="158"/>
        <v>0</v>
      </c>
      <c r="J999" s="79">
        <v>100</v>
      </c>
      <c r="K999" s="79">
        <v>300</v>
      </c>
      <c r="L999" s="76">
        <f t="shared" si="162"/>
        <v>1239</v>
      </c>
      <c r="M999" s="87">
        <v>600</v>
      </c>
      <c r="N999" s="76">
        <f>100</f>
        <v>100</v>
      </c>
      <c r="O999" s="79">
        <v>240</v>
      </c>
      <c r="P999" s="79">
        <v>40</v>
      </c>
      <c r="Q999" s="79">
        <f t="shared" si="163"/>
        <v>315</v>
      </c>
      <c r="R999" s="79">
        <f t="shared" si="164"/>
        <v>100</v>
      </c>
      <c r="S999" s="76">
        <f t="shared" si="165"/>
        <v>695</v>
      </c>
      <c r="T999" s="76">
        <f>50</f>
        <v>50</v>
      </c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</row>
    <row r="1000" spans="1:30" ht="15.75" x14ac:dyDescent="0.25">
      <c r="A1000" s="31">
        <v>71375</v>
      </c>
      <c r="B1000" s="88">
        <f t="shared" si="166"/>
        <v>31</v>
      </c>
      <c r="C1000" s="76">
        <f>194.205</f>
        <v>194.20500000000001</v>
      </c>
      <c r="D1000" s="76">
        <f>267.466</f>
        <v>267.46600000000001</v>
      </c>
      <c r="E1000" s="85">
        <f>133.845</f>
        <v>133.845</v>
      </c>
      <c r="F1000" s="76">
        <f>278.484-40-25-60-100</f>
        <v>53.48399999999998</v>
      </c>
      <c r="G1000" s="79">
        <v>40</v>
      </c>
      <c r="H1000" s="76">
        <f t="shared" si="168"/>
        <v>185</v>
      </c>
      <c r="I1000" s="76">
        <f t="shared" si="158"/>
        <v>0</v>
      </c>
      <c r="J1000" s="79">
        <v>100</v>
      </c>
      <c r="K1000" s="79">
        <v>300</v>
      </c>
      <c r="L1000" s="76">
        <f t="shared" si="162"/>
        <v>1274</v>
      </c>
      <c r="M1000" s="87">
        <v>600</v>
      </c>
      <c r="N1000" s="76">
        <f>75</f>
        <v>75</v>
      </c>
      <c r="O1000" s="79">
        <v>240</v>
      </c>
      <c r="P1000" s="79">
        <v>40</v>
      </c>
      <c r="Q1000" s="79">
        <f t="shared" si="163"/>
        <v>315</v>
      </c>
      <c r="R1000" s="79">
        <f t="shared" si="164"/>
        <v>100</v>
      </c>
      <c r="S1000" s="76">
        <f t="shared" si="165"/>
        <v>695</v>
      </c>
      <c r="T1000" s="76">
        <f>50</f>
        <v>50</v>
      </c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</row>
    <row r="1001" spans="1:30" ht="15.75" x14ac:dyDescent="0.25">
      <c r="A1001" s="31">
        <v>71405</v>
      </c>
      <c r="B1001" s="88">
        <f t="shared" si="166"/>
        <v>30</v>
      </c>
      <c r="C1001" s="76">
        <f>194.205</f>
        <v>194.20500000000001</v>
      </c>
      <c r="D1001" s="76">
        <f>267.466</f>
        <v>267.46600000000001</v>
      </c>
      <c r="E1001" s="85">
        <f>133.845</f>
        <v>133.845</v>
      </c>
      <c r="F1001" s="76">
        <f>278.484-40-25-60-100</f>
        <v>53.48399999999998</v>
      </c>
      <c r="G1001" s="79">
        <v>40</v>
      </c>
      <c r="H1001" s="76">
        <f t="shared" si="168"/>
        <v>185</v>
      </c>
      <c r="I1001" s="76">
        <f t="shared" si="158"/>
        <v>0</v>
      </c>
      <c r="J1001" s="79">
        <v>100</v>
      </c>
      <c r="K1001" s="79">
        <v>300</v>
      </c>
      <c r="L1001" s="76">
        <f t="shared" si="162"/>
        <v>1274</v>
      </c>
      <c r="M1001" s="87">
        <v>600</v>
      </c>
      <c r="N1001" s="76">
        <f>30</f>
        <v>30</v>
      </c>
      <c r="O1001" s="79">
        <v>240</v>
      </c>
      <c r="P1001" s="79">
        <v>40</v>
      </c>
      <c r="Q1001" s="79">
        <f t="shared" si="163"/>
        <v>315</v>
      </c>
      <c r="R1001" s="79">
        <f t="shared" si="164"/>
        <v>100</v>
      </c>
      <c r="S1001" s="76">
        <f t="shared" si="165"/>
        <v>695</v>
      </c>
      <c r="T1001" s="76">
        <f>50</f>
        <v>50</v>
      </c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</row>
    <row r="1002" spans="1:30" ht="15.75" x14ac:dyDescent="0.25">
      <c r="A1002" s="31">
        <v>71436</v>
      </c>
      <c r="B1002" s="88">
        <f t="shared" si="166"/>
        <v>31</v>
      </c>
      <c r="C1002" s="76">
        <f>194.205</f>
        <v>194.20500000000001</v>
      </c>
      <c r="D1002" s="76">
        <f>267.466</f>
        <v>267.46600000000001</v>
      </c>
      <c r="E1002" s="85">
        <f>133.845</f>
        <v>133.845</v>
      </c>
      <c r="F1002" s="76">
        <f>278.484-40-25-60-100</f>
        <v>53.48399999999998</v>
      </c>
      <c r="G1002" s="79">
        <v>40</v>
      </c>
      <c r="H1002" s="76">
        <f t="shared" si="168"/>
        <v>185</v>
      </c>
      <c r="I1002" s="76">
        <f t="shared" si="158"/>
        <v>0</v>
      </c>
      <c r="J1002" s="79">
        <v>100</v>
      </c>
      <c r="K1002" s="79">
        <v>300</v>
      </c>
      <c r="L1002" s="76">
        <f t="shared" si="162"/>
        <v>1274</v>
      </c>
      <c r="M1002" s="87">
        <v>600</v>
      </c>
      <c r="N1002" s="76">
        <f>30</f>
        <v>30</v>
      </c>
      <c r="O1002" s="79">
        <v>240</v>
      </c>
      <c r="P1002" s="79">
        <v>40</v>
      </c>
      <c r="Q1002" s="79">
        <f t="shared" si="163"/>
        <v>315</v>
      </c>
      <c r="R1002" s="79">
        <f t="shared" si="164"/>
        <v>100</v>
      </c>
      <c r="S1002" s="76">
        <f t="shared" si="165"/>
        <v>695</v>
      </c>
      <c r="T1002" s="76">
        <f>0</f>
        <v>0</v>
      </c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</row>
    <row r="1003" spans="1:30" ht="15.75" x14ac:dyDescent="0.25">
      <c r="A1003" s="31">
        <v>71467</v>
      </c>
      <c r="B1003" s="88">
        <f t="shared" si="166"/>
        <v>31</v>
      </c>
      <c r="C1003" s="76">
        <f>194.205</f>
        <v>194.20500000000001</v>
      </c>
      <c r="D1003" s="76">
        <f>267.466</f>
        <v>267.46600000000001</v>
      </c>
      <c r="E1003" s="85">
        <f>133.845</f>
        <v>133.845</v>
      </c>
      <c r="F1003" s="76">
        <f>278.484-40-25-60-100</f>
        <v>53.48399999999998</v>
      </c>
      <c r="G1003" s="79">
        <v>40</v>
      </c>
      <c r="H1003" s="76">
        <f t="shared" si="168"/>
        <v>185</v>
      </c>
      <c r="I1003" s="76">
        <f t="shared" si="158"/>
        <v>0</v>
      </c>
      <c r="J1003" s="79">
        <v>100</v>
      </c>
      <c r="K1003" s="79">
        <v>300</v>
      </c>
      <c r="L1003" s="76">
        <f t="shared" si="162"/>
        <v>1274</v>
      </c>
      <c r="M1003" s="87">
        <v>600</v>
      </c>
      <c r="N1003" s="76">
        <f>30</f>
        <v>30</v>
      </c>
      <c r="O1003" s="79">
        <v>240</v>
      </c>
      <c r="P1003" s="79">
        <v>40</v>
      </c>
      <c r="Q1003" s="79">
        <f t="shared" si="163"/>
        <v>315</v>
      </c>
      <c r="R1003" s="79">
        <f t="shared" si="164"/>
        <v>100</v>
      </c>
      <c r="S1003" s="76">
        <f t="shared" si="165"/>
        <v>695</v>
      </c>
      <c r="T1003" s="76">
        <f>0</f>
        <v>0</v>
      </c>
      <c r="U1003" s="77"/>
      <c r="V1003" s="77"/>
      <c r="W1003" s="77"/>
      <c r="X1003" s="77"/>
      <c r="Y1003" s="77"/>
      <c r="Z1003" s="77"/>
      <c r="AA1003" s="77"/>
      <c r="AB1003" s="77"/>
      <c r="AC1003" s="77"/>
      <c r="AD1003" s="77"/>
    </row>
    <row r="1004" spans="1:30" ht="15.75" x14ac:dyDescent="0.25">
      <c r="A1004" s="31">
        <v>71497</v>
      </c>
      <c r="B1004" s="88">
        <f t="shared" si="166"/>
        <v>30</v>
      </c>
      <c r="C1004" s="76">
        <f>194.205</f>
        <v>194.20500000000001</v>
      </c>
      <c r="D1004" s="76">
        <f>267.466</f>
        <v>267.46600000000001</v>
      </c>
      <c r="E1004" s="85">
        <f>133.845</f>
        <v>133.845</v>
      </c>
      <c r="F1004" s="76">
        <f>278.484-40-25-60-100</f>
        <v>53.48399999999998</v>
      </c>
      <c r="G1004" s="79">
        <v>40</v>
      </c>
      <c r="H1004" s="76">
        <f t="shared" si="168"/>
        <v>185</v>
      </c>
      <c r="I1004" s="76">
        <f t="shared" si="158"/>
        <v>0</v>
      </c>
      <c r="J1004" s="79">
        <v>100</v>
      </c>
      <c r="K1004" s="79">
        <v>300</v>
      </c>
      <c r="L1004" s="76">
        <f t="shared" si="162"/>
        <v>1274</v>
      </c>
      <c r="M1004" s="87">
        <v>600</v>
      </c>
      <c r="N1004" s="76">
        <f>30</f>
        <v>30</v>
      </c>
      <c r="O1004" s="79">
        <v>240</v>
      </c>
      <c r="P1004" s="79">
        <v>40</v>
      </c>
      <c r="Q1004" s="79">
        <f t="shared" si="163"/>
        <v>315</v>
      </c>
      <c r="R1004" s="79">
        <f t="shared" si="164"/>
        <v>100</v>
      </c>
      <c r="S1004" s="76">
        <f t="shared" si="165"/>
        <v>695</v>
      </c>
      <c r="T1004" s="76">
        <f>0</f>
        <v>0</v>
      </c>
      <c r="U1004" s="77"/>
      <c r="V1004" s="77"/>
      <c r="W1004" s="77"/>
      <c r="X1004" s="77"/>
      <c r="Y1004" s="77"/>
      <c r="Z1004" s="77"/>
      <c r="AA1004" s="77"/>
      <c r="AB1004" s="77"/>
      <c r="AC1004" s="77"/>
      <c r="AD1004" s="77"/>
    </row>
    <row r="1005" spans="1:30" ht="15.75" x14ac:dyDescent="0.25">
      <c r="A1005" s="31">
        <v>71528</v>
      </c>
      <c r="B1005" s="88">
        <f t="shared" si="166"/>
        <v>31</v>
      </c>
      <c r="C1005" s="76">
        <f>131.881</f>
        <v>131.881</v>
      </c>
      <c r="D1005" s="76">
        <f>277.167</f>
        <v>277.16699999999997</v>
      </c>
      <c r="E1005" s="85">
        <f>79.08</f>
        <v>79.08</v>
      </c>
      <c r="F1005" s="76">
        <f>350.872-40-25-60-100</f>
        <v>125.87200000000001</v>
      </c>
      <c r="G1005" s="79">
        <v>40</v>
      </c>
      <c r="H1005" s="76">
        <f t="shared" si="168"/>
        <v>185</v>
      </c>
      <c r="I1005" s="76">
        <f t="shared" si="158"/>
        <v>0</v>
      </c>
      <c r="J1005" s="79">
        <v>100</v>
      </c>
      <c r="K1005" s="79">
        <v>300</v>
      </c>
      <c r="L1005" s="76">
        <f t="shared" si="162"/>
        <v>1239</v>
      </c>
      <c r="M1005" s="87">
        <v>600</v>
      </c>
      <c r="N1005" s="76">
        <f>75</f>
        <v>75</v>
      </c>
      <c r="O1005" s="79">
        <v>240</v>
      </c>
      <c r="P1005" s="79">
        <v>40</v>
      </c>
      <c r="Q1005" s="79">
        <f t="shared" si="163"/>
        <v>315</v>
      </c>
      <c r="R1005" s="79">
        <f t="shared" si="164"/>
        <v>100</v>
      </c>
      <c r="S1005" s="76">
        <f t="shared" si="165"/>
        <v>695</v>
      </c>
      <c r="T1005" s="76">
        <f>0</f>
        <v>0</v>
      </c>
      <c r="U1005" s="77"/>
      <c r="V1005" s="77"/>
      <c r="W1005" s="77"/>
      <c r="X1005" s="77"/>
      <c r="Y1005" s="77"/>
      <c r="Z1005" s="77"/>
      <c r="AA1005" s="77"/>
      <c r="AB1005" s="77"/>
      <c r="AC1005" s="77"/>
      <c r="AD1005" s="77"/>
    </row>
    <row r="1006" spans="1:30" ht="15.75" x14ac:dyDescent="0.25">
      <c r="A1006" s="31">
        <v>71558</v>
      </c>
      <c r="B1006" s="88">
        <f t="shared" si="166"/>
        <v>30</v>
      </c>
      <c r="C1006" s="76">
        <f>122.58</f>
        <v>122.58</v>
      </c>
      <c r="D1006" s="76">
        <f>297.941</f>
        <v>297.94099999999997</v>
      </c>
      <c r="E1006" s="85">
        <f>89.177</f>
        <v>89.177000000000007</v>
      </c>
      <c r="F1006" s="76">
        <f>240.302-40-60-100</f>
        <v>40.301999999999992</v>
      </c>
      <c r="G1006" s="79">
        <v>40</v>
      </c>
      <c r="H1006" s="76">
        <f>60+100</f>
        <v>160</v>
      </c>
      <c r="I1006" s="76">
        <f t="shared" si="158"/>
        <v>0</v>
      </c>
      <c r="J1006" s="79">
        <v>100</v>
      </c>
      <c r="K1006" s="79">
        <v>300</v>
      </c>
      <c r="L1006" s="76">
        <f t="shared" si="162"/>
        <v>1150</v>
      </c>
      <c r="M1006" s="87">
        <v>600</v>
      </c>
      <c r="N1006" s="76">
        <f>100</f>
        <v>100</v>
      </c>
      <c r="O1006" s="79">
        <v>240</v>
      </c>
      <c r="P1006" s="79">
        <v>40</v>
      </c>
      <c r="Q1006" s="79">
        <f t="shared" si="163"/>
        <v>315</v>
      </c>
      <c r="R1006" s="79">
        <f t="shared" si="164"/>
        <v>100</v>
      </c>
      <c r="S1006" s="76">
        <f t="shared" si="165"/>
        <v>695</v>
      </c>
      <c r="T1006" s="76">
        <f>50</f>
        <v>50</v>
      </c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</row>
    <row r="1007" spans="1:30" ht="15.75" x14ac:dyDescent="0.25">
      <c r="A1007" s="31">
        <v>71589</v>
      </c>
      <c r="B1007" s="88">
        <f t="shared" si="166"/>
        <v>31</v>
      </c>
      <c r="C1007" s="76">
        <f>122.58</f>
        <v>122.58</v>
      </c>
      <c r="D1007" s="76">
        <f>297.941</f>
        <v>297.94099999999997</v>
      </c>
      <c r="E1007" s="85">
        <f>89.177</f>
        <v>89.177000000000007</v>
      </c>
      <c r="F1007" s="76">
        <f>240.302-40-60-100</f>
        <v>40.301999999999992</v>
      </c>
      <c r="G1007" s="79">
        <v>40</v>
      </c>
      <c r="H1007" s="76">
        <f>60+100</f>
        <v>160</v>
      </c>
      <c r="I1007" s="76">
        <f t="shared" si="158"/>
        <v>0</v>
      </c>
      <c r="J1007" s="79">
        <v>100</v>
      </c>
      <c r="K1007" s="79">
        <v>300</v>
      </c>
      <c r="L1007" s="76">
        <f t="shared" si="162"/>
        <v>1150</v>
      </c>
      <c r="M1007" s="87">
        <v>600</v>
      </c>
      <c r="N1007" s="76">
        <f>100</f>
        <v>100</v>
      </c>
      <c r="O1007" s="79">
        <v>240</v>
      </c>
      <c r="P1007" s="79">
        <v>40</v>
      </c>
      <c r="Q1007" s="79">
        <f t="shared" si="163"/>
        <v>315</v>
      </c>
      <c r="R1007" s="79">
        <f t="shared" si="164"/>
        <v>100</v>
      </c>
      <c r="S1007" s="76">
        <f t="shared" si="165"/>
        <v>695</v>
      </c>
      <c r="T1007" s="76">
        <f>50</f>
        <v>50</v>
      </c>
      <c r="U1007" s="77"/>
      <c r="V1007" s="77"/>
      <c r="W1007" s="77"/>
      <c r="X1007" s="77"/>
      <c r="Y1007" s="77"/>
      <c r="Z1007" s="77"/>
      <c r="AA1007" s="77"/>
      <c r="AB1007" s="77"/>
      <c r="AC1007" s="77"/>
      <c r="AD1007" s="77"/>
    </row>
    <row r="1008" spans="1:30" ht="15.75" x14ac:dyDescent="0.25">
      <c r="A1008" s="31">
        <v>71620</v>
      </c>
      <c r="B1008" s="88">
        <f t="shared" si="166"/>
        <v>31</v>
      </c>
      <c r="C1008" s="76">
        <f>122.58</f>
        <v>122.58</v>
      </c>
      <c r="D1008" s="76">
        <f>297.941</f>
        <v>297.94099999999997</v>
      </c>
      <c r="E1008" s="85">
        <f>89.177</f>
        <v>89.177000000000007</v>
      </c>
      <c r="F1008" s="76">
        <f>240.302-40-60-100</f>
        <v>40.301999999999992</v>
      </c>
      <c r="G1008" s="79">
        <v>40</v>
      </c>
      <c r="H1008" s="76">
        <f>60+100</f>
        <v>160</v>
      </c>
      <c r="I1008" s="76">
        <f t="shared" si="158"/>
        <v>0</v>
      </c>
      <c r="J1008" s="79">
        <v>100</v>
      </c>
      <c r="K1008" s="79">
        <v>300</v>
      </c>
      <c r="L1008" s="76">
        <f t="shared" si="162"/>
        <v>1150</v>
      </c>
      <c r="M1008" s="87">
        <v>600</v>
      </c>
      <c r="N1008" s="76">
        <f>100</f>
        <v>100</v>
      </c>
      <c r="O1008" s="79">
        <v>240</v>
      </c>
      <c r="P1008" s="79">
        <v>40</v>
      </c>
      <c r="Q1008" s="79">
        <f t="shared" si="163"/>
        <v>315</v>
      </c>
      <c r="R1008" s="79">
        <f t="shared" si="164"/>
        <v>100</v>
      </c>
      <c r="S1008" s="76">
        <f t="shared" si="165"/>
        <v>695</v>
      </c>
      <c r="T1008" s="76">
        <f>50</f>
        <v>50</v>
      </c>
      <c r="U1008" s="77"/>
      <c r="V1008" s="77"/>
      <c r="W1008" s="77"/>
      <c r="X1008" s="77"/>
      <c r="Y1008" s="77"/>
      <c r="Z1008" s="77"/>
      <c r="AA1008" s="77"/>
      <c r="AB1008" s="77"/>
      <c r="AC1008" s="77"/>
      <c r="AD1008" s="77"/>
    </row>
    <row r="1009" spans="1:30" ht="15.75" x14ac:dyDescent="0.25">
      <c r="A1009" s="31">
        <v>71649</v>
      </c>
      <c r="B1009" s="88">
        <f t="shared" si="166"/>
        <v>29</v>
      </c>
      <c r="C1009" s="76">
        <f>122.58</f>
        <v>122.58</v>
      </c>
      <c r="D1009" s="76">
        <f>297.941</f>
        <v>297.94099999999997</v>
      </c>
      <c r="E1009" s="85">
        <f>89.177</f>
        <v>89.177000000000007</v>
      </c>
      <c r="F1009" s="76">
        <f>240.302-40-60-100</f>
        <v>40.301999999999992</v>
      </c>
      <c r="G1009" s="79">
        <v>40</v>
      </c>
      <c r="H1009" s="76">
        <f>60+100</f>
        <v>160</v>
      </c>
      <c r="I1009" s="76">
        <f t="shared" si="158"/>
        <v>0</v>
      </c>
      <c r="J1009" s="79">
        <v>100</v>
      </c>
      <c r="K1009" s="79">
        <v>300</v>
      </c>
      <c r="L1009" s="76">
        <f t="shared" si="162"/>
        <v>1150</v>
      </c>
      <c r="M1009" s="87">
        <v>600</v>
      </c>
      <c r="N1009" s="76">
        <f>100</f>
        <v>100</v>
      </c>
      <c r="O1009" s="79">
        <v>240</v>
      </c>
      <c r="P1009" s="79">
        <v>40</v>
      </c>
      <c r="Q1009" s="79">
        <f t="shared" si="163"/>
        <v>315</v>
      </c>
      <c r="R1009" s="79">
        <f t="shared" si="164"/>
        <v>100</v>
      </c>
      <c r="S1009" s="76">
        <f t="shared" si="165"/>
        <v>695</v>
      </c>
      <c r="T1009" s="76">
        <f>50</f>
        <v>50</v>
      </c>
      <c r="U1009" s="77"/>
      <c r="V1009" s="77"/>
      <c r="W1009" s="77"/>
      <c r="X1009" s="77"/>
      <c r="Y1009" s="77"/>
      <c r="Z1009" s="77"/>
      <c r="AA1009" s="77"/>
      <c r="AB1009" s="77"/>
      <c r="AC1009" s="77"/>
      <c r="AD1009" s="77"/>
    </row>
    <row r="1010" spans="1:30" ht="15.75" x14ac:dyDescent="0.25">
      <c r="A1010" s="31">
        <v>71680</v>
      </c>
      <c r="B1010" s="88">
        <f t="shared" si="166"/>
        <v>31</v>
      </c>
      <c r="C1010" s="76">
        <f>122.58</f>
        <v>122.58</v>
      </c>
      <c r="D1010" s="76">
        <f>297.941</f>
        <v>297.94099999999997</v>
      </c>
      <c r="E1010" s="85">
        <f>89.177</f>
        <v>89.177000000000007</v>
      </c>
      <c r="F1010" s="76">
        <f>240.302-40-60-100</f>
        <v>40.301999999999992</v>
      </c>
      <c r="G1010" s="79">
        <v>40</v>
      </c>
      <c r="H1010" s="76">
        <f>60+100</f>
        <v>160</v>
      </c>
      <c r="I1010" s="76">
        <f t="shared" si="158"/>
        <v>0</v>
      </c>
      <c r="J1010" s="79">
        <v>100</v>
      </c>
      <c r="K1010" s="79">
        <v>300</v>
      </c>
      <c r="L1010" s="76">
        <f t="shared" si="162"/>
        <v>1150</v>
      </c>
      <c r="M1010" s="87">
        <v>600</v>
      </c>
      <c r="N1010" s="76">
        <f>100</f>
        <v>100</v>
      </c>
      <c r="O1010" s="79">
        <v>240</v>
      </c>
      <c r="P1010" s="79">
        <v>40</v>
      </c>
      <c r="Q1010" s="79">
        <f t="shared" si="163"/>
        <v>315</v>
      </c>
      <c r="R1010" s="79">
        <f t="shared" si="164"/>
        <v>100</v>
      </c>
      <c r="S1010" s="76">
        <f t="shared" si="165"/>
        <v>695</v>
      </c>
      <c r="T1010" s="76">
        <f>50</f>
        <v>50</v>
      </c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</row>
    <row r="1011" spans="1:30" ht="15.75" x14ac:dyDescent="0.25">
      <c r="A1011" s="31">
        <v>71710</v>
      </c>
      <c r="B1011" s="88">
        <f t="shared" si="166"/>
        <v>30</v>
      </c>
      <c r="C1011" s="76">
        <f>141.293</f>
        <v>141.29300000000001</v>
      </c>
      <c r="D1011" s="76">
        <f>267.993</f>
        <v>267.99299999999999</v>
      </c>
      <c r="E1011" s="85">
        <f>115.016</f>
        <v>115.01600000000001</v>
      </c>
      <c r="F1011" s="76">
        <f>314.698-40-25-60-100</f>
        <v>89.697999999999979</v>
      </c>
      <c r="G1011" s="79">
        <v>40</v>
      </c>
      <c r="H1011" s="76">
        <f t="shared" ref="H1011:H1017" si="169">25+60+100</f>
        <v>185</v>
      </c>
      <c r="I1011" s="76">
        <f t="shared" si="158"/>
        <v>0</v>
      </c>
      <c r="J1011" s="79">
        <v>100</v>
      </c>
      <c r="K1011" s="79">
        <v>300</v>
      </c>
      <c r="L1011" s="76">
        <f t="shared" si="162"/>
        <v>1239</v>
      </c>
      <c r="M1011" s="87">
        <v>600</v>
      </c>
      <c r="N1011" s="76">
        <f>100</f>
        <v>100</v>
      </c>
      <c r="O1011" s="79">
        <v>240</v>
      </c>
      <c r="P1011" s="79">
        <v>40</v>
      </c>
      <c r="Q1011" s="79">
        <f t="shared" si="163"/>
        <v>315</v>
      </c>
      <c r="R1011" s="79">
        <f t="shared" si="164"/>
        <v>100</v>
      </c>
      <c r="S1011" s="76">
        <f t="shared" si="165"/>
        <v>695</v>
      </c>
      <c r="T1011" s="76">
        <f>50</f>
        <v>50</v>
      </c>
      <c r="U1011" s="77"/>
      <c r="V1011" s="77"/>
      <c r="W1011" s="77"/>
      <c r="X1011" s="77"/>
      <c r="Y1011" s="77"/>
      <c r="Z1011" s="77"/>
      <c r="AA1011" s="77"/>
      <c r="AB1011" s="77"/>
      <c r="AC1011" s="77"/>
      <c r="AD1011" s="77"/>
    </row>
    <row r="1012" spans="1:30" ht="15.75" x14ac:dyDescent="0.25">
      <c r="A1012" s="31">
        <v>71741</v>
      </c>
      <c r="B1012" s="88">
        <f t="shared" si="166"/>
        <v>31</v>
      </c>
      <c r="C1012" s="76">
        <f>194.205</f>
        <v>194.20500000000001</v>
      </c>
      <c r="D1012" s="76">
        <f>267.466</f>
        <v>267.46600000000001</v>
      </c>
      <c r="E1012" s="85">
        <f>133.845</f>
        <v>133.845</v>
      </c>
      <c r="F1012" s="76">
        <f>278.484-40-25-60-100</f>
        <v>53.48399999999998</v>
      </c>
      <c r="G1012" s="79">
        <v>40</v>
      </c>
      <c r="H1012" s="76">
        <f t="shared" si="169"/>
        <v>185</v>
      </c>
      <c r="I1012" s="76">
        <f t="shared" ref="I1012:I1067" si="170">400-J1012-K1012</f>
        <v>0</v>
      </c>
      <c r="J1012" s="79">
        <v>100</v>
      </c>
      <c r="K1012" s="79">
        <v>300</v>
      </c>
      <c r="L1012" s="76">
        <f t="shared" si="162"/>
        <v>1274</v>
      </c>
      <c r="M1012" s="87">
        <v>600</v>
      </c>
      <c r="N1012" s="76">
        <f>75</f>
        <v>75</v>
      </c>
      <c r="O1012" s="79">
        <v>240</v>
      </c>
      <c r="P1012" s="79">
        <v>40</v>
      </c>
      <c r="Q1012" s="79">
        <f t="shared" si="163"/>
        <v>315</v>
      </c>
      <c r="R1012" s="79">
        <f t="shared" si="164"/>
        <v>100</v>
      </c>
      <c r="S1012" s="76">
        <f t="shared" si="165"/>
        <v>695</v>
      </c>
      <c r="T1012" s="76">
        <f>50</f>
        <v>50</v>
      </c>
      <c r="U1012" s="77"/>
      <c r="V1012" s="77"/>
      <c r="W1012" s="77"/>
      <c r="X1012" s="77"/>
      <c r="Y1012" s="77"/>
      <c r="Z1012" s="77"/>
      <c r="AA1012" s="77"/>
      <c r="AB1012" s="77"/>
      <c r="AC1012" s="77"/>
      <c r="AD1012" s="77"/>
    </row>
    <row r="1013" spans="1:30" ht="15.75" x14ac:dyDescent="0.25">
      <c r="A1013" s="31">
        <v>71771</v>
      </c>
      <c r="B1013" s="88">
        <f t="shared" si="166"/>
        <v>30</v>
      </c>
      <c r="C1013" s="76">
        <f>194.205</f>
        <v>194.20500000000001</v>
      </c>
      <c r="D1013" s="76">
        <f>267.466</f>
        <v>267.46600000000001</v>
      </c>
      <c r="E1013" s="85">
        <f>133.845</f>
        <v>133.845</v>
      </c>
      <c r="F1013" s="76">
        <f>278.484-40-25-60-100</f>
        <v>53.48399999999998</v>
      </c>
      <c r="G1013" s="79">
        <v>40</v>
      </c>
      <c r="H1013" s="76">
        <f t="shared" si="169"/>
        <v>185</v>
      </c>
      <c r="I1013" s="76">
        <f t="shared" si="170"/>
        <v>0</v>
      </c>
      <c r="J1013" s="79">
        <v>100</v>
      </c>
      <c r="K1013" s="79">
        <v>300</v>
      </c>
      <c r="L1013" s="76">
        <f t="shared" si="162"/>
        <v>1274</v>
      </c>
      <c r="M1013" s="87">
        <v>600</v>
      </c>
      <c r="N1013" s="76">
        <f>30</f>
        <v>30</v>
      </c>
      <c r="O1013" s="79">
        <v>240</v>
      </c>
      <c r="P1013" s="79">
        <v>40</v>
      </c>
      <c r="Q1013" s="79">
        <f t="shared" si="163"/>
        <v>315</v>
      </c>
      <c r="R1013" s="79">
        <f t="shared" si="164"/>
        <v>100</v>
      </c>
      <c r="S1013" s="76">
        <f t="shared" si="165"/>
        <v>695</v>
      </c>
      <c r="T1013" s="76">
        <f>50</f>
        <v>50</v>
      </c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</row>
    <row r="1014" spans="1:30" ht="15.75" x14ac:dyDescent="0.25">
      <c r="A1014" s="31">
        <v>71802</v>
      </c>
      <c r="B1014" s="88">
        <f t="shared" si="166"/>
        <v>31</v>
      </c>
      <c r="C1014" s="76">
        <f>194.205</f>
        <v>194.20500000000001</v>
      </c>
      <c r="D1014" s="76">
        <f>267.466</f>
        <v>267.46600000000001</v>
      </c>
      <c r="E1014" s="85">
        <f>133.845</f>
        <v>133.845</v>
      </c>
      <c r="F1014" s="76">
        <f>278.484-40-25-60-100</f>
        <v>53.48399999999998</v>
      </c>
      <c r="G1014" s="79">
        <v>40</v>
      </c>
      <c r="H1014" s="76">
        <f t="shared" si="169"/>
        <v>185</v>
      </c>
      <c r="I1014" s="76">
        <f t="shared" si="170"/>
        <v>0</v>
      </c>
      <c r="J1014" s="79">
        <v>100</v>
      </c>
      <c r="K1014" s="79">
        <v>300</v>
      </c>
      <c r="L1014" s="76">
        <f t="shared" si="162"/>
        <v>1274</v>
      </c>
      <c r="M1014" s="87">
        <v>600</v>
      </c>
      <c r="N1014" s="76">
        <f>30</f>
        <v>30</v>
      </c>
      <c r="O1014" s="79">
        <v>240</v>
      </c>
      <c r="P1014" s="79">
        <v>40</v>
      </c>
      <c r="Q1014" s="79">
        <f t="shared" si="163"/>
        <v>315</v>
      </c>
      <c r="R1014" s="79">
        <f t="shared" si="164"/>
        <v>100</v>
      </c>
      <c r="S1014" s="76">
        <f t="shared" si="165"/>
        <v>695</v>
      </c>
      <c r="T1014" s="76">
        <f>0</f>
        <v>0</v>
      </c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</row>
    <row r="1015" spans="1:30" ht="15.75" x14ac:dyDescent="0.25">
      <c r="A1015" s="31">
        <v>71833</v>
      </c>
      <c r="B1015" s="88">
        <f t="shared" si="166"/>
        <v>31</v>
      </c>
      <c r="C1015" s="76">
        <f>194.205</f>
        <v>194.20500000000001</v>
      </c>
      <c r="D1015" s="76">
        <f>267.466</f>
        <v>267.46600000000001</v>
      </c>
      <c r="E1015" s="85">
        <f>133.845</f>
        <v>133.845</v>
      </c>
      <c r="F1015" s="76">
        <f>278.484-40-25-60-100</f>
        <v>53.48399999999998</v>
      </c>
      <c r="G1015" s="79">
        <v>40</v>
      </c>
      <c r="H1015" s="76">
        <f t="shared" si="169"/>
        <v>185</v>
      </c>
      <c r="I1015" s="76">
        <f t="shared" si="170"/>
        <v>0</v>
      </c>
      <c r="J1015" s="79">
        <v>100</v>
      </c>
      <c r="K1015" s="79">
        <v>300</v>
      </c>
      <c r="L1015" s="76">
        <f t="shared" si="162"/>
        <v>1274</v>
      </c>
      <c r="M1015" s="87">
        <v>600</v>
      </c>
      <c r="N1015" s="76">
        <f>30</f>
        <v>30</v>
      </c>
      <c r="O1015" s="79">
        <v>240</v>
      </c>
      <c r="P1015" s="79">
        <v>40</v>
      </c>
      <c r="Q1015" s="79">
        <f t="shared" si="163"/>
        <v>315</v>
      </c>
      <c r="R1015" s="79">
        <f t="shared" si="164"/>
        <v>100</v>
      </c>
      <c r="S1015" s="76">
        <f t="shared" si="165"/>
        <v>695</v>
      </c>
      <c r="T1015" s="76">
        <f>0</f>
        <v>0</v>
      </c>
      <c r="U1015" s="77"/>
      <c r="V1015" s="77"/>
      <c r="W1015" s="77"/>
      <c r="X1015" s="77"/>
      <c r="Y1015" s="77"/>
      <c r="Z1015" s="77"/>
      <c r="AA1015" s="77"/>
      <c r="AB1015" s="77"/>
      <c r="AC1015" s="77"/>
      <c r="AD1015" s="77"/>
    </row>
    <row r="1016" spans="1:30" ht="15.75" x14ac:dyDescent="0.25">
      <c r="A1016" s="31">
        <v>71863</v>
      </c>
      <c r="B1016" s="88">
        <f t="shared" si="166"/>
        <v>30</v>
      </c>
      <c r="C1016" s="76">
        <f>194.205</f>
        <v>194.20500000000001</v>
      </c>
      <c r="D1016" s="76">
        <f>267.466</f>
        <v>267.46600000000001</v>
      </c>
      <c r="E1016" s="85">
        <f>133.845</f>
        <v>133.845</v>
      </c>
      <c r="F1016" s="76">
        <f>278.484-40-25-60-100</f>
        <v>53.48399999999998</v>
      </c>
      <c r="G1016" s="79">
        <v>40</v>
      </c>
      <c r="H1016" s="76">
        <f t="shared" si="169"/>
        <v>185</v>
      </c>
      <c r="I1016" s="76">
        <f t="shared" si="170"/>
        <v>0</v>
      </c>
      <c r="J1016" s="79">
        <v>100</v>
      </c>
      <c r="K1016" s="79">
        <v>300</v>
      </c>
      <c r="L1016" s="76">
        <f t="shared" si="162"/>
        <v>1274</v>
      </c>
      <c r="M1016" s="87">
        <v>600</v>
      </c>
      <c r="N1016" s="76">
        <f>30</f>
        <v>30</v>
      </c>
      <c r="O1016" s="79">
        <v>240</v>
      </c>
      <c r="P1016" s="79">
        <v>40</v>
      </c>
      <c r="Q1016" s="79">
        <f t="shared" si="163"/>
        <v>315</v>
      </c>
      <c r="R1016" s="79">
        <f t="shared" si="164"/>
        <v>100</v>
      </c>
      <c r="S1016" s="76">
        <f t="shared" si="165"/>
        <v>695</v>
      </c>
      <c r="T1016" s="76">
        <f>0</f>
        <v>0</v>
      </c>
      <c r="U1016" s="77"/>
      <c r="V1016" s="77"/>
      <c r="W1016" s="77"/>
      <c r="X1016" s="77"/>
      <c r="Y1016" s="77"/>
      <c r="Z1016" s="77"/>
      <c r="AA1016" s="77"/>
      <c r="AB1016" s="77"/>
      <c r="AC1016" s="77"/>
      <c r="AD1016" s="77"/>
    </row>
    <row r="1017" spans="1:30" ht="15.75" x14ac:dyDescent="0.25">
      <c r="A1017" s="31">
        <v>71894</v>
      </c>
      <c r="B1017" s="88">
        <f t="shared" si="166"/>
        <v>31</v>
      </c>
      <c r="C1017" s="76">
        <f>131.881</f>
        <v>131.881</v>
      </c>
      <c r="D1017" s="76">
        <f>277.167</f>
        <v>277.16699999999997</v>
      </c>
      <c r="E1017" s="85">
        <f>79.08</f>
        <v>79.08</v>
      </c>
      <c r="F1017" s="76">
        <f>350.872-40-25-60-100</f>
        <v>125.87200000000001</v>
      </c>
      <c r="G1017" s="79">
        <v>40</v>
      </c>
      <c r="H1017" s="76">
        <f t="shared" si="169"/>
        <v>185</v>
      </c>
      <c r="I1017" s="76">
        <f t="shared" si="170"/>
        <v>0</v>
      </c>
      <c r="J1017" s="79">
        <v>100</v>
      </c>
      <c r="K1017" s="79">
        <v>300</v>
      </c>
      <c r="L1017" s="76">
        <f t="shared" si="162"/>
        <v>1239</v>
      </c>
      <c r="M1017" s="87">
        <v>600</v>
      </c>
      <c r="N1017" s="76">
        <f>75</f>
        <v>75</v>
      </c>
      <c r="O1017" s="79">
        <v>240</v>
      </c>
      <c r="P1017" s="79">
        <v>40</v>
      </c>
      <c r="Q1017" s="79">
        <f t="shared" si="163"/>
        <v>315</v>
      </c>
      <c r="R1017" s="79">
        <f t="shared" si="164"/>
        <v>100</v>
      </c>
      <c r="S1017" s="76">
        <f t="shared" si="165"/>
        <v>695</v>
      </c>
      <c r="T1017" s="76">
        <f>0</f>
        <v>0</v>
      </c>
      <c r="U1017" s="77"/>
      <c r="V1017" s="77"/>
      <c r="W1017" s="77"/>
      <c r="X1017" s="77"/>
      <c r="Y1017" s="77"/>
      <c r="Z1017" s="77"/>
      <c r="AA1017" s="77"/>
      <c r="AB1017" s="77"/>
      <c r="AC1017" s="77"/>
      <c r="AD1017" s="77"/>
    </row>
    <row r="1018" spans="1:30" ht="15.75" x14ac:dyDescent="0.25">
      <c r="A1018" s="31">
        <v>71924</v>
      </c>
      <c r="B1018" s="88">
        <f t="shared" si="166"/>
        <v>30</v>
      </c>
      <c r="C1018" s="76">
        <f>122.58</f>
        <v>122.58</v>
      </c>
      <c r="D1018" s="76">
        <f>297.941</f>
        <v>297.94099999999997</v>
      </c>
      <c r="E1018" s="85">
        <f>89.177</f>
        <v>89.177000000000007</v>
      </c>
      <c r="F1018" s="76">
        <f>240.302-40-60-100</f>
        <v>40.301999999999992</v>
      </c>
      <c r="G1018" s="79">
        <v>40</v>
      </c>
      <c r="H1018" s="76">
        <f>60+100</f>
        <v>160</v>
      </c>
      <c r="I1018" s="76">
        <f t="shared" si="170"/>
        <v>0</v>
      </c>
      <c r="J1018" s="79">
        <v>100</v>
      </c>
      <c r="K1018" s="79">
        <v>300</v>
      </c>
      <c r="L1018" s="76">
        <f t="shared" si="162"/>
        <v>1150</v>
      </c>
      <c r="M1018" s="87">
        <v>600</v>
      </c>
      <c r="N1018" s="76">
        <f>100</f>
        <v>100</v>
      </c>
      <c r="O1018" s="79">
        <v>240</v>
      </c>
      <c r="P1018" s="79">
        <v>40</v>
      </c>
      <c r="Q1018" s="79">
        <f t="shared" si="163"/>
        <v>315</v>
      </c>
      <c r="R1018" s="79">
        <f t="shared" si="164"/>
        <v>100</v>
      </c>
      <c r="S1018" s="76">
        <f t="shared" si="165"/>
        <v>695</v>
      </c>
      <c r="T1018" s="76">
        <f>50</f>
        <v>50</v>
      </c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</row>
    <row r="1019" spans="1:30" ht="15.75" x14ac:dyDescent="0.25">
      <c r="A1019" s="31">
        <v>71955</v>
      </c>
      <c r="B1019" s="88">
        <f t="shared" si="166"/>
        <v>31</v>
      </c>
      <c r="C1019" s="76">
        <f>122.58</f>
        <v>122.58</v>
      </c>
      <c r="D1019" s="76">
        <f>297.941</f>
        <v>297.94099999999997</v>
      </c>
      <c r="E1019" s="85">
        <f>89.177</f>
        <v>89.177000000000007</v>
      </c>
      <c r="F1019" s="76">
        <f>240.302-40-60-100</f>
        <v>40.301999999999992</v>
      </c>
      <c r="G1019" s="79">
        <v>40</v>
      </c>
      <c r="H1019" s="76">
        <f>60+100</f>
        <v>160</v>
      </c>
      <c r="I1019" s="76">
        <f t="shared" si="170"/>
        <v>0</v>
      </c>
      <c r="J1019" s="79">
        <v>100</v>
      </c>
      <c r="K1019" s="79">
        <v>300</v>
      </c>
      <c r="L1019" s="76">
        <f t="shared" si="162"/>
        <v>1150</v>
      </c>
      <c r="M1019" s="87">
        <v>600</v>
      </c>
      <c r="N1019" s="76">
        <f>100</f>
        <v>100</v>
      </c>
      <c r="O1019" s="79">
        <v>240</v>
      </c>
      <c r="P1019" s="79">
        <v>40</v>
      </c>
      <c r="Q1019" s="79">
        <f t="shared" si="163"/>
        <v>315</v>
      </c>
      <c r="R1019" s="79">
        <f t="shared" si="164"/>
        <v>100</v>
      </c>
      <c r="S1019" s="76">
        <f t="shared" si="165"/>
        <v>695</v>
      </c>
      <c r="T1019" s="76">
        <f>50</f>
        <v>50</v>
      </c>
      <c r="U1019" s="77"/>
      <c r="V1019" s="77"/>
      <c r="W1019" s="77"/>
      <c r="X1019" s="77"/>
      <c r="Y1019" s="77"/>
      <c r="Z1019" s="77"/>
      <c r="AA1019" s="77"/>
      <c r="AB1019" s="77"/>
      <c r="AC1019" s="77"/>
      <c r="AD1019" s="77"/>
    </row>
    <row r="1020" spans="1:30" ht="15.75" x14ac:dyDescent="0.25">
      <c r="A1020" s="31">
        <v>71986</v>
      </c>
      <c r="B1020" s="88">
        <f t="shared" si="166"/>
        <v>31</v>
      </c>
      <c r="C1020" s="76">
        <f>122.58</f>
        <v>122.58</v>
      </c>
      <c r="D1020" s="76">
        <f>297.941</f>
        <v>297.94099999999997</v>
      </c>
      <c r="E1020" s="85">
        <f>89.177</f>
        <v>89.177000000000007</v>
      </c>
      <c r="F1020" s="76">
        <f>240.302-40-60-100</f>
        <v>40.301999999999992</v>
      </c>
      <c r="G1020" s="79">
        <v>40</v>
      </c>
      <c r="H1020" s="76">
        <f>60+100</f>
        <v>160</v>
      </c>
      <c r="I1020" s="76">
        <f t="shared" si="170"/>
        <v>0</v>
      </c>
      <c r="J1020" s="79">
        <v>100</v>
      </c>
      <c r="K1020" s="79">
        <v>300</v>
      </c>
      <c r="L1020" s="76">
        <f t="shared" si="162"/>
        <v>1150</v>
      </c>
      <c r="M1020" s="87">
        <v>600</v>
      </c>
      <c r="N1020" s="76">
        <f>100</f>
        <v>100</v>
      </c>
      <c r="O1020" s="79">
        <v>240</v>
      </c>
      <c r="P1020" s="79">
        <v>40</v>
      </c>
      <c r="Q1020" s="79">
        <f t="shared" si="163"/>
        <v>315</v>
      </c>
      <c r="R1020" s="79">
        <f t="shared" si="164"/>
        <v>100</v>
      </c>
      <c r="S1020" s="76">
        <f t="shared" si="165"/>
        <v>695</v>
      </c>
      <c r="T1020" s="76">
        <f>50</f>
        <v>50</v>
      </c>
      <c r="U1020" s="77"/>
      <c r="V1020" s="77"/>
      <c r="W1020" s="77"/>
      <c r="X1020" s="77"/>
      <c r="Y1020" s="77"/>
      <c r="Z1020" s="77"/>
      <c r="AA1020" s="77"/>
      <c r="AB1020" s="77"/>
      <c r="AC1020" s="77"/>
      <c r="AD1020" s="77"/>
    </row>
    <row r="1021" spans="1:30" ht="15.75" x14ac:dyDescent="0.25">
      <c r="A1021" s="31">
        <v>72014</v>
      </c>
      <c r="B1021" s="88">
        <f t="shared" si="166"/>
        <v>28</v>
      </c>
      <c r="C1021" s="76">
        <f>122.58</f>
        <v>122.58</v>
      </c>
      <c r="D1021" s="76">
        <f>297.941</f>
        <v>297.94099999999997</v>
      </c>
      <c r="E1021" s="85">
        <f>89.177</f>
        <v>89.177000000000007</v>
      </c>
      <c r="F1021" s="76">
        <f>240.302-40-60-100</f>
        <v>40.301999999999992</v>
      </c>
      <c r="G1021" s="79">
        <v>40</v>
      </c>
      <c r="H1021" s="76">
        <f>60+100</f>
        <v>160</v>
      </c>
      <c r="I1021" s="76">
        <f t="shared" si="170"/>
        <v>0</v>
      </c>
      <c r="J1021" s="79">
        <v>100</v>
      </c>
      <c r="K1021" s="79">
        <v>300</v>
      </c>
      <c r="L1021" s="76">
        <f t="shared" si="162"/>
        <v>1150</v>
      </c>
      <c r="M1021" s="87">
        <v>600</v>
      </c>
      <c r="N1021" s="76">
        <f>100</f>
        <v>100</v>
      </c>
      <c r="O1021" s="79">
        <v>240</v>
      </c>
      <c r="P1021" s="79">
        <v>40</v>
      </c>
      <c r="Q1021" s="79">
        <f t="shared" si="163"/>
        <v>315</v>
      </c>
      <c r="R1021" s="79">
        <f t="shared" si="164"/>
        <v>100</v>
      </c>
      <c r="S1021" s="76">
        <f t="shared" si="165"/>
        <v>695</v>
      </c>
      <c r="T1021" s="76">
        <f>50</f>
        <v>50</v>
      </c>
      <c r="U1021" s="77"/>
      <c r="V1021" s="77"/>
      <c r="W1021" s="77"/>
      <c r="X1021" s="77"/>
      <c r="Y1021" s="77"/>
      <c r="Z1021" s="77"/>
      <c r="AA1021" s="77"/>
      <c r="AB1021" s="77"/>
      <c r="AC1021" s="77"/>
      <c r="AD1021" s="77"/>
    </row>
    <row r="1022" spans="1:30" ht="15.75" x14ac:dyDescent="0.25">
      <c r="A1022" s="31">
        <v>72045</v>
      </c>
      <c r="B1022" s="88">
        <f t="shared" si="166"/>
        <v>31</v>
      </c>
      <c r="C1022" s="76">
        <f>122.58</f>
        <v>122.58</v>
      </c>
      <c r="D1022" s="76">
        <f>297.941</f>
        <v>297.94099999999997</v>
      </c>
      <c r="E1022" s="85">
        <f>89.177</f>
        <v>89.177000000000007</v>
      </c>
      <c r="F1022" s="76">
        <f>240.302-40-60-100</f>
        <v>40.301999999999992</v>
      </c>
      <c r="G1022" s="79">
        <v>40</v>
      </c>
      <c r="H1022" s="76">
        <f>60+100</f>
        <v>160</v>
      </c>
      <c r="I1022" s="76">
        <f t="shared" si="170"/>
        <v>0</v>
      </c>
      <c r="J1022" s="79">
        <v>100</v>
      </c>
      <c r="K1022" s="79">
        <v>300</v>
      </c>
      <c r="L1022" s="76">
        <f t="shared" si="162"/>
        <v>1150</v>
      </c>
      <c r="M1022" s="87">
        <v>600</v>
      </c>
      <c r="N1022" s="76">
        <f>100</f>
        <v>100</v>
      </c>
      <c r="O1022" s="79">
        <v>240</v>
      </c>
      <c r="P1022" s="79">
        <v>40</v>
      </c>
      <c r="Q1022" s="79">
        <f t="shared" si="163"/>
        <v>315</v>
      </c>
      <c r="R1022" s="79">
        <f t="shared" si="164"/>
        <v>100</v>
      </c>
      <c r="S1022" s="76">
        <f t="shared" si="165"/>
        <v>695</v>
      </c>
      <c r="T1022" s="76">
        <f>50</f>
        <v>50</v>
      </c>
      <c r="U1022" s="77"/>
      <c r="V1022" s="77"/>
      <c r="W1022" s="77"/>
      <c r="X1022" s="77"/>
      <c r="Y1022" s="77"/>
      <c r="Z1022" s="77"/>
      <c r="AA1022" s="77"/>
      <c r="AB1022" s="77"/>
      <c r="AC1022" s="77"/>
      <c r="AD1022" s="77"/>
    </row>
    <row r="1023" spans="1:30" ht="15.75" x14ac:dyDescent="0.25">
      <c r="A1023" s="31">
        <v>72075</v>
      </c>
      <c r="B1023" s="88">
        <f t="shared" si="166"/>
        <v>30</v>
      </c>
      <c r="C1023" s="76">
        <f>141.293</f>
        <v>141.29300000000001</v>
      </c>
      <c r="D1023" s="76">
        <f>267.993</f>
        <v>267.99299999999999</v>
      </c>
      <c r="E1023" s="85">
        <f>115.016</f>
        <v>115.01600000000001</v>
      </c>
      <c r="F1023" s="76">
        <f>314.698-40-25-60-100</f>
        <v>89.697999999999979</v>
      </c>
      <c r="G1023" s="79">
        <v>40</v>
      </c>
      <c r="H1023" s="76">
        <f t="shared" ref="H1023:H1029" si="171">25+60+100</f>
        <v>185</v>
      </c>
      <c r="I1023" s="76">
        <f t="shared" si="170"/>
        <v>0</v>
      </c>
      <c r="J1023" s="79">
        <v>100</v>
      </c>
      <c r="K1023" s="79">
        <v>300</v>
      </c>
      <c r="L1023" s="76">
        <f t="shared" si="162"/>
        <v>1239</v>
      </c>
      <c r="M1023" s="87">
        <v>600</v>
      </c>
      <c r="N1023" s="76">
        <f>100</f>
        <v>100</v>
      </c>
      <c r="O1023" s="79">
        <v>240</v>
      </c>
      <c r="P1023" s="79">
        <v>40</v>
      </c>
      <c r="Q1023" s="79">
        <f t="shared" si="163"/>
        <v>315</v>
      </c>
      <c r="R1023" s="79">
        <f t="shared" si="164"/>
        <v>100</v>
      </c>
      <c r="S1023" s="76">
        <f t="shared" si="165"/>
        <v>695</v>
      </c>
      <c r="T1023" s="76">
        <f>50</f>
        <v>50</v>
      </c>
      <c r="U1023" s="77"/>
      <c r="V1023" s="77"/>
      <c r="W1023" s="77"/>
      <c r="X1023" s="77"/>
      <c r="Y1023" s="77"/>
      <c r="Z1023" s="77"/>
      <c r="AA1023" s="77"/>
      <c r="AB1023" s="77"/>
      <c r="AC1023" s="77"/>
      <c r="AD1023" s="77"/>
    </row>
    <row r="1024" spans="1:30" ht="15.75" x14ac:dyDescent="0.25">
      <c r="A1024" s="31">
        <v>72106</v>
      </c>
      <c r="B1024" s="88">
        <f t="shared" si="166"/>
        <v>31</v>
      </c>
      <c r="C1024" s="76">
        <f>194.205</f>
        <v>194.20500000000001</v>
      </c>
      <c r="D1024" s="76">
        <f>267.466</f>
        <v>267.46600000000001</v>
      </c>
      <c r="E1024" s="85">
        <f>133.845</f>
        <v>133.845</v>
      </c>
      <c r="F1024" s="76">
        <f>278.484-40-25-60-100</f>
        <v>53.48399999999998</v>
      </c>
      <c r="G1024" s="79">
        <v>40</v>
      </c>
      <c r="H1024" s="76">
        <f t="shared" si="171"/>
        <v>185</v>
      </c>
      <c r="I1024" s="76">
        <f t="shared" si="170"/>
        <v>0</v>
      </c>
      <c r="J1024" s="79">
        <v>100</v>
      </c>
      <c r="K1024" s="79">
        <v>300</v>
      </c>
      <c r="L1024" s="76">
        <f t="shared" si="162"/>
        <v>1274</v>
      </c>
      <c r="M1024" s="87">
        <v>600</v>
      </c>
      <c r="N1024" s="76">
        <f>75</f>
        <v>75</v>
      </c>
      <c r="O1024" s="79">
        <v>240</v>
      </c>
      <c r="P1024" s="79">
        <v>40</v>
      </c>
      <c r="Q1024" s="79">
        <f t="shared" si="163"/>
        <v>315</v>
      </c>
      <c r="R1024" s="79">
        <f t="shared" si="164"/>
        <v>100</v>
      </c>
      <c r="S1024" s="76">
        <f t="shared" si="165"/>
        <v>695</v>
      </c>
      <c r="T1024" s="76">
        <f>50</f>
        <v>50</v>
      </c>
      <c r="U1024" s="77"/>
      <c r="V1024" s="77"/>
      <c r="W1024" s="77"/>
      <c r="X1024" s="77"/>
      <c r="Y1024" s="77"/>
      <c r="Z1024" s="77"/>
      <c r="AA1024" s="77"/>
      <c r="AB1024" s="77"/>
      <c r="AC1024" s="77"/>
      <c r="AD1024" s="77"/>
    </row>
    <row r="1025" spans="1:30" ht="15.75" x14ac:dyDescent="0.25">
      <c r="A1025" s="31">
        <v>72136</v>
      </c>
      <c r="B1025" s="88">
        <f t="shared" si="166"/>
        <v>30</v>
      </c>
      <c r="C1025" s="76">
        <f>194.205</f>
        <v>194.20500000000001</v>
      </c>
      <c r="D1025" s="76">
        <f>267.466</f>
        <v>267.46600000000001</v>
      </c>
      <c r="E1025" s="85">
        <f>133.845</f>
        <v>133.845</v>
      </c>
      <c r="F1025" s="76">
        <f>278.484-40-25-60-100</f>
        <v>53.48399999999998</v>
      </c>
      <c r="G1025" s="79">
        <v>40</v>
      </c>
      <c r="H1025" s="76">
        <f t="shared" si="171"/>
        <v>185</v>
      </c>
      <c r="I1025" s="76">
        <f t="shared" si="170"/>
        <v>0</v>
      </c>
      <c r="J1025" s="79">
        <v>100</v>
      </c>
      <c r="K1025" s="79">
        <v>300</v>
      </c>
      <c r="L1025" s="76">
        <f t="shared" si="162"/>
        <v>1274</v>
      </c>
      <c r="M1025" s="87">
        <v>600</v>
      </c>
      <c r="N1025" s="76">
        <f>30</f>
        <v>30</v>
      </c>
      <c r="O1025" s="79">
        <v>240</v>
      </c>
      <c r="P1025" s="79">
        <v>40</v>
      </c>
      <c r="Q1025" s="79">
        <f t="shared" si="163"/>
        <v>315</v>
      </c>
      <c r="R1025" s="79">
        <f t="shared" si="164"/>
        <v>100</v>
      </c>
      <c r="S1025" s="76">
        <f t="shared" si="165"/>
        <v>695</v>
      </c>
      <c r="T1025" s="76">
        <f>50</f>
        <v>50</v>
      </c>
      <c r="U1025" s="77"/>
      <c r="V1025" s="77"/>
      <c r="W1025" s="77"/>
      <c r="X1025" s="77"/>
      <c r="Y1025" s="77"/>
      <c r="Z1025" s="77"/>
      <c r="AA1025" s="77"/>
      <c r="AB1025" s="77"/>
      <c r="AC1025" s="77"/>
      <c r="AD1025" s="77"/>
    </row>
    <row r="1026" spans="1:30" ht="15.75" x14ac:dyDescent="0.25">
      <c r="A1026" s="31">
        <v>72167</v>
      </c>
      <c r="B1026" s="88">
        <f t="shared" si="166"/>
        <v>31</v>
      </c>
      <c r="C1026" s="76">
        <f>194.205</f>
        <v>194.20500000000001</v>
      </c>
      <c r="D1026" s="76">
        <f>267.466</f>
        <v>267.46600000000001</v>
      </c>
      <c r="E1026" s="85">
        <f>133.845</f>
        <v>133.845</v>
      </c>
      <c r="F1026" s="76">
        <f>278.484-40-25-60-100</f>
        <v>53.48399999999998</v>
      </c>
      <c r="G1026" s="79">
        <v>40</v>
      </c>
      <c r="H1026" s="76">
        <f t="shared" si="171"/>
        <v>185</v>
      </c>
      <c r="I1026" s="76">
        <f t="shared" si="170"/>
        <v>0</v>
      </c>
      <c r="J1026" s="79">
        <v>100</v>
      </c>
      <c r="K1026" s="79">
        <v>300</v>
      </c>
      <c r="L1026" s="76">
        <f t="shared" si="162"/>
        <v>1274</v>
      </c>
      <c r="M1026" s="87">
        <v>600</v>
      </c>
      <c r="N1026" s="76">
        <f>30</f>
        <v>30</v>
      </c>
      <c r="O1026" s="79">
        <v>240</v>
      </c>
      <c r="P1026" s="79">
        <v>40</v>
      </c>
      <c r="Q1026" s="79">
        <f t="shared" si="163"/>
        <v>315</v>
      </c>
      <c r="R1026" s="79">
        <f t="shared" si="164"/>
        <v>100</v>
      </c>
      <c r="S1026" s="76">
        <f t="shared" si="165"/>
        <v>695</v>
      </c>
      <c r="T1026" s="76">
        <f>0</f>
        <v>0</v>
      </c>
      <c r="U1026" s="77"/>
      <c r="V1026" s="77"/>
      <c r="W1026" s="77"/>
      <c r="X1026" s="77"/>
      <c r="Y1026" s="77"/>
      <c r="Z1026" s="77"/>
      <c r="AA1026" s="77"/>
      <c r="AB1026" s="77"/>
      <c r="AC1026" s="77"/>
      <c r="AD1026" s="77"/>
    </row>
    <row r="1027" spans="1:30" ht="15.75" x14ac:dyDescent="0.25">
      <c r="A1027" s="31">
        <v>72198</v>
      </c>
      <c r="B1027" s="88">
        <f t="shared" si="166"/>
        <v>31</v>
      </c>
      <c r="C1027" s="76">
        <f>194.205</f>
        <v>194.20500000000001</v>
      </c>
      <c r="D1027" s="76">
        <f>267.466</f>
        <v>267.46600000000001</v>
      </c>
      <c r="E1027" s="85">
        <f>133.845</f>
        <v>133.845</v>
      </c>
      <c r="F1027" s="76">
        <f>278.484-40-25-60-100</f>
        <v>53.48399999999998</v>
      </c>
      <c r="G1027" s="79">
        <v>40</v>
      </c>
      <c r="H1027" s="76">
        <f t="shared" si="171"/>
        <v>185</v>
      </c>
      <c r="I1027" s="76">
        <f t="shared" si="170"/>
        <v>0</v>
      </c>
      <c r="J1027" s="79">
        <v>100</v>
      </c>
      <c r="K1027" s="79">
        <v>300</v>
      </c>
      <c r="L1027" s="76">
        <f t="shared" si="162"/>
        <v>1274</v>
      </c>
      <c r="M1027" s="87">
        <v>600</v>
      </c>
      <c r="N1027" s="76">
        <f>30</f>
        <v>30</v>
      </c>
      <c r="O1027" s="79">
        <v>240</v>
      </c>
      <c r="P1027" s="79">
        <v>40</v>
      </c>
      <c r="Q1027" s="79">
        <f t="shared" si="163"/>
        <v>315</v>
      </c>
      <c r="R1027" s="79">
        <f t="shared" si="164"/>
        <v>100</v>
      </c>
      <c r="S1027" s="76">
        <f t="shared" si="165"/>
        <v>695</v>
      </c>
      <c r="T1027" s="76">
        <f>0</f>
        <v>0</v>
      </c>
      <c r="U1027" s="77"/>
      <c r="V1027" s="77"/>
      <c r="W1027" s="77"/>
      <c r="X1027" s="77"/>
      <c r="Y1027" s="77"/>
      <c r="Z1027" s="77"/>
      <c r="AA1027" s="77"/>
      <c r="AB1027" s="77"/>
      <c r="AC1027" s="77"/>
      <c r="AD1027" s="77"/>
    </row>
    <row r="1028" spans="1:30" ht="15.75" x14ac:dyDescent="0.25">
      <c r="A1028" s="31">
        <v>72228</v>
      </c>
      <c r="B1028" s="88">
        <f t="shared" si="166"/>
        <v>30</v>
      </c>
      <c r="C1028" s="76">
        <f>194.205</f>
        <v>194.20500000000001</v>
      </c>
      <c r="D1028" s="76">
        <f>267.466</f>
        <v>267.46600000000001</v>
      </c>
      <c r="E1028" s="85">
        <f>133.845</f>
        <v>133.845</v>
      </c>
      <c r="F1028" s="76">
        <f>278.484-40-25-60-100</f>
        <v>53.48399999999998</v>
      </c>
      <c r="G1028" s="79">
        <v>40</v>
      </c>
      <c r="H1028" s="76">
        <f t="shared" si="171"/>
        <v>185</v>
      </c>
      <c r="I1028" s="76">
        <f t="shared" si="170"/>
        <v>0</v>
      </c>
      <c r="J1028" s="79">
        <v>100</v>
      </c>
      <c r="K1028" s="79">
        <v>300</v>
      </c>
      <c r="L1028" s="76">
        <f t="shared" si="162"/>
        <v>1274</v>
      </c>
      <c r="M1028" s="87">
        <v>600</v>
      </c>
      <c r="N1028" s="76">
        <f>30</f>
        <v>30</v>
      </c>
      <c r="O1028" s="79">
        <v>240</v>
      </c>
      <c r="P1028" s="79">
        <v>40</v>
      </c>
      <c r="Q1028" s="79">
        <f t="shared" si="163"/>
        <v>315</v>
      </c>
      <c r="R1028" s="79">
        <f t="shared" si="164"/>
        <v>100</v>
      </c>
      <c r="S1028" s="76">
        <f t="shared" si="165"/>
        <v>695</v>
      </c>
      <c r="T1028" s="76">
        <f>0</f>
        <v>0</v>
      </c>
      <c r="U1028" s="77"/>
      <c r="V1028" s="77"/>
      <c r="W1028" s="77"/>
      <c r="X1028" s="77"/>
      <c r="Y1028" s="77"/>
      <c r="Z1028" s="77"/>
      <c r="AA1028" s="77"/>
      <c r="AB1028" s="77"/>
      <c r="AC1028" s="77"/>
      <c r="AD1028" s="77"/>
    </row>
    <row r="1029" spans="1:30" ht="15.75" x14ac:dyDescent="0.25">
      <c r="A1029" s="31">
        <v>72259</v>
      </c>
      <c r="B1029" s="88">
        <f t="shared" si="166"/>
        <v>31</v>
      </c>
      <c r="C1029" s="76">
        <f>131.881</f>
        <v>131.881</v>
      </c>
      <c r="D1029" s="76">
        <f>277.167</f>
        <v>277.16699999999997</v>
      </c>
      <c r="E1029" s="85">
        <f>79.08</f>
        <v>79.08</v>
      </c>
      <c r="F1029" s="76">
        <f>350.872-40-25-60-100</f>
        <v>125.87200000000001</v>
      </c>
      <c r="G1029" s="79">
        <v>40</v>
      </c>
      <c r="H1029" s="76">
        <f t="shared" si="171"/>
        <v>185</v>
      </c>
      <c r="I1029" s="76">
        <f t="shared" si="170"/>
        <v>0</v>
      </c>
      <c r="J1029" s="79">
        <v>100</v>
      </c>
      <c r="K1029" s="79">
        <v>300</v>
      </c>
      <c r="L1029" s="76">
        <f t="shared" si="162"/>
        <v>1239</v>
      </c>
      <c r="M1029" s="87">
        <v>600</v>
      </c>
      <c r="N1029" s="76">
        <f>75</f>
        <v>75</v>
      </c>
      <c r="O1029" s="79">
        <v>240</v>
      </c>
      <c r="P1029" s="79">
        <v>40</v>
      </c>
      <c r="Q1029" s="79">
        <f t="shared" si="163"/>
        <v>315</v>
      </c>
      <c r="R1029" s="79">
        <f t="shared" si="164"/>
        <v>100</v>
      </c>
      <c r="S1029" s="76">
        <f t="shared" si="165"/>
        <v>695</v>
      </c>
      <c r="T1029" s="76">
        <f>0</f>
        <v>0</v>
      </c>
      <c r="U1029" s="77"/>
      <c r="V1029" s="77"/>
      <c r="W1029" s="77"/>
      <c r="X1029" s="77"/>
      <c r="Y1029" s="77"/>
      <c r="Z1029" s="77"/>
      <c r="AA1029" s="77"/>
      <c r="AB1029" s="77"/>
      <c r="AC1029" s="77"/>
      <c r="AD1029" s="77"/>
    </row>
    <row r="1030" spans="1:30" ht="15.75" x14ac:dyDescent="0.25">
      <c r="A1030" s="31">
        <v>72289</v>
      </c>
      <c r="B1030" s="88">
        <f t="shared" si="166"/>
        <v>30</v>
      </c>
      <c r="C1030" s="76">
        <f>122.58</f>
        <v>122.58</v>
      </c>
      <c r="D1030" s="76">
        <f>297.941</f>
        <v>297.94099999999997</v>
      </c>
      <c r="E1030" s="85">
        <f>89.177</f>
        <v>89.177000000000007</v>
      </c>
      <c r="F1030" s="76">
        <f>240.302-40-60-100</f>
        <v>40.301999999999992</v>
      </c>
      <c r="G1030" s="79">
        <v>40</v>
      </c>
      <c r="H1030" s="76">
        <f>60+100</f>
        <v>160</v>
      </c>
      <c r="I1030" s="76">
        <f t="shared" si="170"/>
        <v>0</v>
      </c>
      <c r="J1030" s="79">
        <v>100</v>
      </c>
      <c r="K1030" s="79">
        <v>300</v>
      </c>
      <c r="L1030" s="76">
        <f t="shared" si="162"/>
        <v>1150</v>
      </c>
      <c r="M1030" s="87">
        <v>600</v>
      </c>
      <c r="N1030" s="76">
        <f>100</f>
        <v>100</v>
      </c>
      <c r="O1030" s="79">
        <v>240</v>
      </c>
      <c r="P1030" s="79">
        <v>40</v>
      </c>
      <c r="Q1030" s="79">
        <f t="shared" si="163"/>
        <v>315</v>
      </c>
      <c r="R1030" s="79">
        <f t="shared" si="164"/>
        <v>100</v>
      </c>
      <c r="S1030" s="76">
        <f t="shared" si="165"/>
        <v>695</v>
      </c>
      <c r="T1030" s="76">
        <f>50</f>
        <v>50</v>
      </c>
      <c r="U1030" s="77"/>
      <c r="V1030" s="77"/>
      <c r="W1030" s="77"/>
      <c r="X1030" s="77"/>
      <c r="Y1030" s="77"/>
      <c r="Z1030" s="77"/>
      <c r="AA1030" s="77"/>
      <c r="AB1030" s="77"/>
      <c r="AC1030" s="77"/>
      <c r="AD1030" s="77"/>
    </row>
    <row r="1031" spans="1:30" ht="15.75" x14ac:dyDescent="0.25">
      <c r="A1031" s="31">
        <v>72320</v>
      </c>
      <c r="B1031" s="88">
        <f t="shared" si="166"/>
        <v>31</v>
      </c>
      <c r="C1031" s="76">
        <f>122.58</f>
        <v>122.58</v>
      </c>
      <c r="D1031" s="76">
        <f>297.941</f>
        <v>297.94099999999997</v>
      </c>
      <c r="E1031" s="85">
        <f>89.177</f>
        <v>89.177000000000007</v>
      </c>
      <c r="F1031" s="76">
        <f>240.302-40-60-100</f>
        <v>40.301999999999992</v>
      </c>
      <c r="G1031" s="79">
        <v>40</v>
      </c>
      <c r="H1031" s="76">
        <f>60+100</f>
        <v>160</v>
      </c>
      <c r="I1031" s="76">
        <f t="shared" si="170"/>
        <v>0</v>
      </c>
      <c r="J1031" s="79">
        <v>100</v>
      </c>
      <c r="K1031" s="79">
        <v>300</v>
      </c>
      <c r="L1031" s="76">
        <f t="shared" si="162"/>
        <v>1150</v>
      </c>
      <c r="M1031" s="87">
        <v>600</v>
      </c>
      <c r="N1031" s="76">
        <f>100</f>
        <v>100</v>
      </c>
      <c r="O1031" s="79">
        <v>240</v>
      </c>
      <c r="P1031" s="79">
        <v>40</v>
      </c>
      <c r="Q1031" s="79">
        <f t="shared" si="163"/>
        <v>315</v>
      </c>
      <c r="R1031" s="79">
        <f t="shared" si="164"/>
        <v>100</v>
      </c>
      <c r="S1031" s="76">
        <f t="shared" si="165"/>
        <v>695</v>
      </c>
      <c r="T1031" s="76">
        <f>50</f>
        <v>50</v>
      </c>
      <c r="U1031" s="77"/>
      <c r="V1031" s="77"/>
      <c r="W1031" s="77"/>
      <c r="X1031" s="77"/>
      <c r="Y1031" s="77"/>
      <c r="Z1031" s="77"/>
      <c r="AA1031" s="77"/>
      <c r="AB1031" s="77"/>
      <c r="AC1031" s="77"/>
      <c r="AD1031" s="77"/>
    </row>
    <row r="1032" spans="1:30" ht="15.75" x14ac:dyDescent="0.25">
      <c r="A1032" s="31">
        <v>72351</v>
      </c>
      <c r="B1032" s="88">
        <f t="shared" si="166"/>
        <v>31</v>
      </c>
      <c r="C1032" s="76">
        <f>122.58</f>
        <v>122.58</v>
      </c>
      <c r="D1032" s="76">
        <f>297.941</f>
        <v>297.94099999999997</v>
      </c>
      <c r="E1032" s="85">
        <f>89.177</f>
        <v>89.177000000000007</v>
      </c>
      <c r="F1032" s="76">
        <f>240.302-40-60-100</f>
        <v>40.301999999999992</v>
      </c>
      <c r="G1032" s="79">
        <v>40</v>
      </c>
      <c r="H1032" s="76">
        <f>60+100</f>
        <v>160</v>
      </c>
      <c r="I1032" s="76">
        <f t="shared" si="170"/>
        <v>0</v>
      </c>
      <c r="J1032" s="79">
        <v>100</v>
      </c>
      <c r="K1032" s="79">
        <v>300</v>
      </c>
      <c r="L1032" s="76">
        <f t="shared" si="162"/>
        <v>1150</v>
      </c>
      <c r="M1032" s="87">
        <v>600</v>
      </c>
      <c r="N1032" s="76">
        <f>100</f>
        <v>100</v>
      </c>
      <c r="O1032" s="79">
        <v>240</v>
      </c>
      <c r="P1032" s="79">
        <v>40</v>
      </c>
      <c r="Q1032" s="79">
        <f t="shared" si="163"/>
        <v>315</v>
      </c>
      <c r="R1032" s="79">
        <f t="shared" si="164"/>
        <v>100</v>
      </c>
      <c r="S1032" s="76">
        <f t="shared" si="165"/>
        <v>695</v>
      </c>
      <c r="T1032" s="76">
        <f>50</f>
        <v>50</v>
      </c>
      <c r="U1032" s="77"/>
      <c r="V1032" s="77"/>
      <c r="W1032" s="77"/>
      <c r="X1032" s="77"/>
      <c r="Y1032" s="77"/>
      <c r="Z1032" s="77"/>
      <c r="AA1032" s="77"/>
      <c r="AB1032" s="77"/>
      <c r="AC1032" s="77"/>
      <c r="AD1032" s="77"/>
    </row>
    <row r="1033" spans="1:30" ht="15.75" x14ac:dyDescent="0.25">
      <c r="A1033" s="31">
        <v>72379</v>
      </c>
      <c r="B1033" s="88">
        <f t="shared" si="166"/>
        <v>28</v>
      </c>
      <c r="C1033" s="76">
        <f>122.58</f>
        <v>122.58</v>
      </c>
      <c r="D1033" s="76">
        <f>297.941</f>
        <v>297.94099999999997</v>
      </c>
      <c r="E1033" s="85">
        <f>89.177</f>
        <v>89.177000000000007</v>
      </c>
      <c r="F1033" s="76">
        <f>240.302-40-60-100</f>
        <v>40.301999999999992</v>
      </c>
      <c r="G1033" s="79">
        <v>40</v>
      </c>
      <c r="H1033" s="76">
        <f>60+100</f>
        <v>160</v>
      </c>
      <c r="I1033" s="76">
        <f t="shared" si="170"/>
        <v>0</v>
      </c>
      <c r="J1033" s="79">
        <v>100</v>
      </c>
      <c r="K1033" s="79">
        <v>300</v>
      </c>
      <c r="L1033" s="76">
        <f t="shared" si="162"/>
        <v>1150</v>
      </c>
      <c r="M1033" s="87">
        <v>600</v>
      </c>
      <c r="N1033" s="76">
        <f>100</f>
        <v>100</v>
      </c>
      <c r="O1033" s="79">
        <v>240</v>
      </c>
      <c r="P1033" s="79">
        <v>40</v>
      </c>
      <c r="Q1033" s="79">
        <f t="shared" si="163"/>
        <v>315</v>
      </c>
      <c r="R1033" s="79">
        <f t="shared" si="164"/>
        <v>100</v>
      </c>
      <c r="S1033" s="76">
        <f t="shared" si="165"/>
        <v>695</v>
      </c>
      <c r="T1033" s="76">
        <f>50</f>
        <v>50</v>
      </c>
      <c r="U1033" s="77"/>
      <c r="V1033" s="77"/>
      <c r="W1033" s="77"/>
      <c r="X1033" s="77"/>
      <c r="Y1033" s="77"/>
      <c r="Z1033" s="77"/>
      <c r="AA1033" s="77"/>
      <c r="AB1033" s="77"/>
      <c r="AC1033" s="77"/>
      <c r="AD1033" s="77"/>
    </row>
    <row r="1034" spans="1:30" ht="15.75" x14ac:dyDescent="0.25">
      <c r="A1034" s="31">
        <v>72410</v>
      </c>
      <c r="B1034" s="88">
        <f t="shared" si="166"/>
        <v>31</v>
      </c>
      <c r="C1034" s="76">
        <f>122.58</f>
        <v>122.58</v>
      </c>
      <c r="D1034" s="76">
        <f>297.941</f>
        <v>297.94099999999997</v>
      </c>
      <c r="E1034" s="85">
        <f>89.177</f>
        <v>89.177000000000007</v>
      </c>
      <c r="F1034" s="76">
        <f>240.302-40-60-100</f>
        <v>40.301999999999992</v>
      </c>
      <c r="G1034" s="79">
        <v>40</v>
      </c>
      <c r="H1034" s="76">
        <f>60+100</f>
        <v>160</v>
      </c>
      <c r="I1034" s="76">
        <f t="shared" si="170"/>
        <v>0</v>
      </c>
      <c r="J1034" s="79">
        <v>100</v>
      </c>
      <c r="K1034" s="79">
        <v>300</v>
      </c>
      <c r="L1034" s="76">
        <f t="shared" si="162"/>
        <v>1150</v>
      </c>
      <c r="M1034" s="87">
        <v>600</v>
      </c>
      <c r="N1034" s="76">
        <f>100</f>
        <v>100</v>
      </c>
      <c r="O1034" s="79">
        <v>240</v>
      </c>
      <c r="P1034" s="79">
        <v>40</v>
      </c>
      <c r="Q1034" s="79">
        <f t="shared" si="163"/>
        <v>315</v>
      </c>
      <c r="R1034" s="79">
        <f t="shared" si="164"/>
        <v>100</v>
      </c>
      <c r="S1034" s="76">
        <f t="shared" si="165"/>
        <v>695</v>
      </c>
      <c r="T1034" s="76">
        <f>50</f>
        <v>50</v>
      </c>
      <c r="U1034" s="77"/>
      <c r="V1034" s="77"/>
      <c r="W1034" s="77"/>
      <c r="X1034" s="77"/>
      <c r="Y1034" s="77"/>
      <c r="Z1034" s="77"/>
      <c r="AA1034" s="77"/>
      <c r="AB1034" s="77"/>
      <c r="AC1034" s="77"/>
      <c r="AD1034" s="77"/>
    </row>
    <row r="1035" spans="1:30" ht="15.75" x14ac:dyDescent="0.25">
      <c r="A1035" s="31">
        <v>72440</v>
      </c>
      <c r="B1035" s="88">
        <f t="shared" si="166"/>
        <v>30</v>
      </c>
      <c r="C1035" s="76">
        <f>141.293</f>
        <v>141.29300000000001</v>
      </c>
      <c r="D1035" s="76">
        <f>267.993</f>
        <v>267.99299999999999</v>
      </c>
      <c r="E1035" s="85">
        <f>115.016</f>
        <v>115.01600000000001</v>
      </c>
      <c r="F1035" s="76">
        <f>314.698-40-25-60-100</f>
        <v>89.697999999999979</v>
      </c>
      <c r="G1035" s="79">
        <v>40</v>
      </c>
      <c r="H1035" s="76">
        <f t="shared" ref="H1035:H1041" si="172">25+60+100</f>
        <v>185</v>
      </c>
      <c r="I1035" s="76">
        <f t="shared" si="170"/>
        <v>0</v>
      </c>
      <c r="J1035" s="79">
        <v>100</v>
      </c>
      <c r="K1035" s="79">
        <v>300</v>
      </c>
      <c r="L1035" s="76">
        <f t="shared" si="162"/>
        <v>1239</v>
      </c>
      <c r="M1035" s="87">
        <v>600</v>
      </c>
      <c r="N1035" s="76">
        <f>100</f>
        <v>100</v>
      </c>
      <c r="O1035" s="79">
        <v>240</v>
      </c>
      <c r="P1035" s="79">
        <v>40</v>
      </c>
      <c r="Q1035" s="79">
        <f t="shared" si="163"/>
        <v>315</v>
      </c>
      <c r="R1035" s="79">
        <f t="shared" si="164"/>
        <v>100</v>
      </c>
      <c r="S1035" s="76">
        <f t="shared" si="165"/>
        <v>695</v>
      </c>
      <c r="T1035" s="76">
        <f>50</f>
        <v>50</v>
      </c>
      <c r="U1035" s="77"/>
      <c r="V1035" s="77"/>
      <c r="W1035" s="77"/>
      <c r="X1035" s="77"/>
      <c r="Y1035" s="77"/>
      <c r="Z1035" s="77"/>
      <c r="AA1035" s="77"/>
      <c r="AB1035" s="77"/>
      <c r="AC1035" s="77"/>
      <c r="AD1035" s="77"/>
    </row>
    <row r="1036" spans="1:30" ht="15.75" x14ac:dyDescent="0.25">
      <c r="A1036" s="31">
        <v>72471</v>
      </c>
      <c r="B1036" s="88">
        <f t="shared" si="166"/>
        <v>31</v>
      </c>
      <c r="C1036" s="76">
        <f>194.205</f>
        <v>194.20500000000001</v>
      </c>
      <c r="D1036" s="76">
        <f>267.466</f>
        <v>267.46600000000001</v>
      </c>
      <c r="E1036" s="85">
        <f>133.845</f>
        <v>133.845</v>
      </c>
      <c r="F1036" s="76">
        <f>278.484-40-25-60-100</f>
        <v>53.48399999999998</v>
      </c>
      <c r="G1036" s="79">
        <v>40</v>
      </c>
      <c r="H1036" s="76">
        <f t="shared" si="172"/>
        <v>185</v>
      </c>
      <c r="I1036" s="76">
        <f t="shared" si="170"/>
        <v>0</v>
      </c>
      <c r="J1036" s="79">
        <v>100</v>
      </c>
      <c r="K1036" s="79">
        <v>300</v>
      </c>
      <c r="L1036" s="76">
        <f t="shared" si="162"/>
        <v>1274</v>
      </c>
      <c r="M1036" s="87">
        <v>600</v>
      </c>
      <c r="N1036" s="76">
        <f>75</f>
        <v>75</v>
      </c>
      <c r="O1036" s="79">
        <v>240</v>
      </c>
      <c r="P1036" s="79">
        <v>40</v>
      </c>
      <c r="Q1036" s="79">
        <f t="shared" si="163"/>
        <v>315</v>
      </c>
      <c r="R1036" s="79">
        <f t="shared" si="164"/>
        <v>100</v>
      </c>
      <c r="S1036" s="76">
        <f t="shared" si="165"/>
        <v>695</v>
      </c>
      <c r="T1036" s="76">
        <f>50</f>
        <v>50</v>
      </c>
      <c r="U1036" s="77"/>
      <c r="V1036" s="77"/>
      <c r="W1036" s="77"/>
      <c r="X1036" s="77"/>
      <c r="Y1036" s="77"/>
      <c r="Z1036" s="77"/>
      <c r="AA1036" s="77"/>
      <c r="AB1036" s="77"/>
      <c r="AC1036" s="77"/>
      <c r="AD1036" s="77"/>
    </row>
    <row r="1037" spans="1:30" ht="15.75" x14ac:dyDescent="0.25">
      <c r="A1037" s="31">
        <v>72501</v>
      </c>
      <c r="B1037" s="88">
        <f t="shared" si="166"/>
        <v>30</v>
      </c>
      <c r="C1037" s="76">
        <f>194.205</f>
        <v>194.20500000000001</v>
      </c>
      <c r="D1037" s="76">
        <f>267.466</f>
        <v>267.46600000000001</v>
      </c>
      <c r="E1037" s="85">
        <f>133.845</f>
        <v>133.845</v>
      </c>
      <c r="F1037" s="76">
        <f>278.484-40-25-60-100</f>
        <v>53.48399999999998</v>
      </c>
      <c r="G1037" s="79">
        <v>40</v>
      </c>
      <c r="H1037" s="76">
        <f t="shared" si="172"/>
        <v>185</v>
      </c>
      <c r="I1037" s="76">
        <f t="shared" si="170"/>
        <v>0</v>
      </c>
      <c r="J1037" s="79">
        <v>100</v>
      </c>
      <c r="K1037" s="79">
        <v>300</v>
      </c>
      <c r="L1037" s="76">
        <f t="shared" si="162"/>
        <v>1274</v>
      </c>
      <c r="M1037" s="87">
        <v>600</v>
      </c>
      <c r="N1037" s="76">
        <f>30</f>
        <v>30</v>
      </c>
      <c r="O1037" s="79">
        <v>240</v>
      </c>
      <c r="P1037" s="79">
        <v>40</v>
      </c>
      <c r="Q1037" s="79">
        <f t="shared" si="163"/>
        <v>315</v>
      </c>
      <c r="R1037" s="79">
        <f t="shared" si="164"/>
        <v>100</v>
      </c>
      <c r="S1037" s="76">
        <f t="shared" si="165"/>
        <v>695</v>
      </c>
      <c r="T1037" s="76">
        <f>50</f>
        <v>50</v>
      </c>
      <c r="U1037" s="77"/>
      <c r="V1037" s="77"/>
      <c r="W1037" s="77"/>
      <c r="X1037" s="77"/>
      <c r="Y1037" s="77"/>
      <c r="Z1037" s="77"/>
      <c r="AA1037" s="77"/>
      <c r="AB1037" s="77"/>
      <c r="AC1037" s="77"/>
      <c r="AD1037" s="77"/>
    </row>
    <row r="1038" spans="1:30" ht="15.75" x14ac:dyDescent="0.25">
      <c r="A1038" s="31">
        <v>72532</v>
      </c>
      <c r="B1038" s="88">
        <f t="shared" si="166"/>
        <v>31</v>
      </c>
      <c r="C1038" s="76">
        <f>194.205</f>
        <v>194.20500000000001</v>
      </c>
      <c r="D1038" s="76">
        <f>267.466</f>
        <v>267.46600000000001</v>
      </c>
      <c r="E1038" s="85">
        <f>133.845</f>
        <v>133.845</v>
      </c>
      <c r="F1038" s="76">
        <f>278.484-40-25-60-100</f>
        <v>53.48399999999998</v>
      </c>
      <c r="G1038" s="79">
        <v>40</v>
      </c>
      <c r="H1038" s="76">
        <f t="shared" si="172"/>
        <v>185</v>
      </c>
      <c r="I1038" s="76">
        <f t="shared" si="170"/>
        <v>0</v>
      </c>
      <c r="J1038" s="79">
        <v>100</v>
      </c>
      <c r="K1038" s="79">
        <v>300</v>
      </c>
      <c r="L1038" s="76">
        <f t="shared" si="162"/>
        <v>1274</v>
      </c>
      <c r="M1038" s="87">
        <v>600</v>
      </c>
      <c r="N1038" s="76">
        <f>30</f>
        <v>30</v>
      </c>
      <c r="O1038" s="79">
        <v>240</v>
      </c>
      <c r="P1038" s="79">
        <v>40</v>
      </c>
      <c r="Q1038" s="79">
        <f t="shared" si="163"/>
        <v>315</v>
      </c>
      <c r="R1038" s="79">
        <f t="shared" si="164"/>
        <v>100</v>
      </c>
      <c r="S1038" s="76">
        <f t="shared" si="165"/>
        <v>695</v>
      </c>
      <c r="T1038" s="76">
        <f>0</f>
        <v>0</v>
      </c>
      <c r="U1038" s="77"/>
      <c r="V1038" s="77"/>
      <c r="W1038" s="77"/>
      <c r="X1038" s="77"/>
      <c r="Y1038" s="77"/>
      <c r="Z1038" s="77"/>
      <c r="AA1038" s="77"/>
      <c r="AB1038" s="77"/>
      <c r="AC1038" s="77"/>
      <c r="AD1038" s="77"/>
    </row>
    <row r="1039" spans="1:30" ht="15.75" x14ac:dyDescent="0.25">
      <c r="A1039" s="31">
        <v>72563</v>
      </c>
      <c r="B1039" s="88">
        <f t="shared" si="166"/>
        <v>31</v>
      </c>
      <c r="C1039" s="76">
        <f>194.205</f>
        <v>194.20500000000001</v>
      </c>
      <c r="D1039" s="76">
        <f>267.466</f>
        <v>267.46600000000001</v>
      </c>
      <c r="E1039" s="85">
        <f>133.845</f>
        <v>133.845</v>
      </c>
      <c r="F1039" s="76">
        <f>278.484-40-25-60-100</f>
        <v>53.48399999999998</v>
      </c>
      <c r="G1039" s="79">
        <v>40</v>
      </c>
      <c r="H1039" s="76">
        <f t="shared" si="172"/>
        <v>185</v>
      </c>
      <c r="I1039" s="76">
        <f t="shared" si="170"/>
        <v>0</v>
      </c>
      <c r="J1039" s="79">
        <v>100</v>
      </c>
      <c r="K1039" s="79">
        <v>300</v>
      </c>
      <c r="L1039" s="76">
        <f t="shared" si="162"/>
        <v>1274</v>
      </c>
      <c r="M1039" s="87">
        <v>600</v>
      </c>
      <c r="N1039" s="76">
        <f>30</f>
        <v>30</v>
      </c>
      <c r="O1039" s="79">
        <v>240</v>
      </c>
      <c r="P1039" s="79">
        <v>40</v>
      </c>
      <c r="Q1039" s="79">
        <f t="shared" si="163"/>
        <v>315</v>
      </c>
      <c r="R1039" s="79">
        <f t="shared" si="164"/>
        <v>100</v>
      </c>
      <c r="S1039" s="76">
        <f t="shared" si="165"/>
        <v>695</v>
      </c>
      <c r="T1039" s="76">
        <f>0</f>
        <v>0</v>
      </c>
      <c r="U1039" s="77"/>
      <c r="V1039" s="77"/>
      <c r="W1039" s="77"/>
      <c r="X1039" s="77"/>
      <c r="Y1039" s="77"/>
      <c r="Z1039" s="77"/>
      <c r="AA1039" s="77"/>
      <c r="AB1039" s="77"/>
      <c r="AC1039" s="77"/>
      <c r="AD1039" s="77"/>
    </row>
    <row r="1040" spans="1:30" ht="15.75" x14ac:dyDescent="0.25">
      <c r="A1040" s="31">
        <v>72593</v>
      </c>
      <c r="B1040" s="88">
        <f t="shared" si="166"/>
        <v>30</v>
      </c>
      <c r="C1040" s="76">
        <f>194.205</f>
        <v>194.20500000000001</v>
      </c>
      <c r="D1040" s="76">
        <f>267.466</f>
        <v>267.46600000000001</v>
      </c>
      <c r="E1040" s="85">
        <f>133.845</f>
        <v>133.845</v>
      </c>
      <c r="F1040" s="76">
        <f>278.484-40-25-60-100</f>
        <v>53.48399999999998</v>
      </c>
      <c r="G1040" s="79">
        <v>40</v>
      </c>
      <c r="H1040" s="76">
        <f t="shared" si="172"/>
        <v>185</v>
      </c>
      <c r="I1040" s="76">
        <f t="shared" si="170"/>
        <v>0</v>
      </c>
      <c r="J1040" s="79">
        <v>100</v>
      </c>
      <c r="K1040" s="79">
        <v>300</v>
      </c>
      <c r="L1040" s="76">
        <f t="shared" si="162"/>
        <v>1274</v>
      </c>
      <c r="M1040" s="87">
        <v>600</v>
      </c>
      <c r="N1040" s="76">
        <f>30</f>
        <v>30</v>
      </c>
      <c r="O1040" s="79">
        <v>240</v>
      </c>
      <c r="P1040" s="79">
        <v>40</v>
      </c>
      <c r="Q1040" s="79">
        <f t="shared" si="163"/>
        <v>315</v>
      </c>
      <c r="R1040" s="79">
        <f t="shared" si="164"/>
        <v>100</v>
      </c>
      <c r="S1040" s="76">
        <f t="shared" si="165"/>
        <v>695</v>
      </c>
      <c r="T1040" s="76">
        <f>0</f>
        <v>0</v>
      </c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</row>
    <row r="1041" spans="1:30" ht="15.75" x14ac:dyDescent="0.25">
      <c r="A1041" s="31">
        <v>72624</v>
      </c>
      <c r="B1041" s="88">
        <f t="shared" si="166"/>
        <v>31</v>
      </c>
      <c r="C1041" s="76">
        <f>131.881</f>
        <v>131.881</v>
      </c>
      <c r="D1041" s="76">
        <f>277.167</f>
        <v>277.16699999999997</v>
      </c>
      <c r="E1041" s="85">
        <f>79.08</f>
        <v>79.08</v>
      </c>
      <c r="F1041" s="76">
        <f>350.872-40-25-60-100</f>
        <v>125.87200000000001</v>
      </c>
      <c r="G1041" s="79">
        <v>40</v>
      </c>
      <c r="H1041" s="76">
        <f t="shared" si="172"/>
        <v>185</v>
      </c>
      <c r="I1041" s="76">
        <f t="shared" si="170"/>
        <v>0</v>
      </c>
      <c r="J1041" s="79">
        <v>100</v>
      </c>
      <c r="K1041" s="79">
        <v>300</v>
      </c>
      <c r="L1041" s="76">
        <f t="shared" si="162"/>
        <v>1239</v>
      </c>
      <c r="M1041" s="87">
        <v>600</v>
      </c>
      <c r="N1041" s="76">
        <f>75</f>
        <v>75</v>
      </c>
      <c r="O1041" s="79">
        <v>240</v>
      </c>
      <c r="P1041" s="79">
        <v>40</v>
      </c>
      <c r="Q1041" s="79">
        <f t="shared" si="163"/>
        <v>315</v>
      </c>
      <c r="R1041" s="79">
        <f t="shared" si="164"/>
        <v>100</v>
      </c>
      <c r="S1041" s="76">
        <f t="shared" si="165"/>
        <v>695</v>
      </c>
      <c r="T1041" s="76">
        <f>0</f>
        <v>0</v>
      </c>
      <c r="U1041" s="77"/>
      <c r="V1041" s="77"/>
      <c r="W1041" s="77"/>
      <c r="X1041" s="77"/>
      <c r="Y1041" s="77"/>
      <c r="Z1041" s="77"/>
      <c r="AA1041" s="77"/>
      <c r="AB1041" s="77"/>
      <c r="AC1041" s="77"/>
      <c r="AD1041" s="77"/>
    </row>
    <row r="1042" spans="1:30" ht="15.75" x14ac:dyDescent="0.25">
      <c r="A1042" s="31">
        <v>72654</v>
      </c>
      <c r="B1042" s="88">
        <f t="shared" si="166"/>
        <v>30</v>
      </c>
      <c r="C1042" s="76">
        <f>122.58</f>
        <v>122.58</v>
      </c>
      <c r="D1042" s="76">
        <f>297.941</f>
        <v>297.94099999999997</v>
      </c>
      <c r="E1042" s="85">
        <f>89.177</f>
        <v>89.177000000000007</v>
      </c>
      <c r="F1042" s="76">
        <f>240.302-40-60-100</f>
        <v>40.301999999999992</v>
      </c>
      <c r="G1042" s="79">
        <v>40</v>
      </c>
      <c r="H1042" s="76">
        <f>60+100</f>
        <v>160</v>
      </c>
      <c r="I1042" s="76">
        <f t="shared" si="170"/>
        <v>0</v>
      </c>
      <c r="J1042" s="79">
        <v>100</v>
      </c>
      <c r="K1042" s="79">
        <v>300</v>
      </c>
      <c r="L1042" s="76">
        <f t="shared" ref="L1042:L1067" si="173">SUM(C1042:K1042)</f>
        <v>1150</v>
      </c>
      <c r="M1042" s="87">
        <v>600</v>
      </c>
      <c r="N1042" s="76">
        <f>100</f>
        <v>100</v>
      </c>
      <c r="O1042" s="79">
        <v>240</v>
      </c>
      <c r="P1042" s="79">
        <v>40</v>
      </c>
      <c r="Q1042" s="79">
        <f t="shared" ref="Q1042:Q1067" si="174">695-R1042-O1042-P1042</f>
        <v>315</v>
      </c>
      <c r="R1042" s="79">
        <f t="shared" ref="R1042:R1067" si="175">200-J1042</f>
        <v>100</v>
      </c>
      <c r="S1042" s="76">
        <f t="shared" ref="S1042:S1067" si="176">SUM(O1042:R1042)</f>
        <v>695</v>
      </c>
      <c r="T1042" s="76">
        <f>50</f>
        <v>50</v>
      </c>
      <c r="U1042" s="77"/>
      <c r="V1042" s="77"/>
      <c r="W1042" s="77"/>
      <c r="X1042" s="77"/>
      <c r="Y1042" s="77"/>
      <c r="Z1042" s="77"/>
      <c r="AA1042" s="77"/>
      <c r="AB1042" s="77"/>
      <c r="AC1042" s="77"/>
      <c r="AD1042" s="77"/>
    </row>
    <row r="1043" spans="1:30" ht="15.75" x14ac:dyDescent="0.25">
      <c r="A1043" s="31">
        <v>72685</v>
      </c>
      <c r="B1043" s="88">
        <f t="shared" si="166"/>
        <v>31</v>
      </c>
      <c r="C1043" s="76">
        <f>122.58</f>
        <v>122.58</v>
      </c>
      <c r="D1043" s="76">
        <f>297.941</f>
        <v>297.94099999999997</v>
      </c>
      <c r="E1043" s="85">
        <f>89.177</f>
        <v>89.177000000000007</v>
      </c>
      <c r="F1043" s="76">
        <f>240.302-40-60-100</f>
        <v>40.301999999999992</v>
      </c>
      <c r="G1043" s="79">
        <v>40</v>
      </c>
      <c r="H1043" s="76">
        <f>60+100</f>
        <v>160</v>
      </c>
      <c r="I1043" s="76">
        <f t="shared" si="170"/>
        <v>0</v>
      </c>
      <c r="J1043" s="79">
        <v>100</v>
      </c>
      <c r="K1043" s="79">
        <v>300</v>
      </c>
      <c r="L1043" s="76">
        <f t="shared" si="173"/>
        <v>1150</v>
      </c>
      <c r="M1043" s="87">
        <v>600</v>
      </c>
      <c r="N1043" s="76">
        <f>100</f>
        <v>100</v>
      </c>
      <c r="O1043" s="79">
        <v>240</v>
      </c>
      <c r="P1043" s="79">
        <v>40</v>
      </c>
      <c r="Q1043" s="79">
        <f t="shared" si="174"/>
        <v>315</v>
      </c>
      <c r="R1043" s="79">
        <f t="shared" si="175"/>
        <v>100</v>
      </c>
      <c r="S1043" s="76">
        <f t="shared" si="176"/>
        <v>695</v>
      </c>
      <c r="T1043" s="76">
        <f>50</f>
        <v>50</v>
      </c>
      <c r="U1043" s="77"/>
      <c r="V1043" s="77"/>
      <c r="W1043" s="77"/>
      <c r="X1043" s="77"/>
      <c r="Y1043" s="77"/>
      <c r="Z1043" s="77"/>
      <c r="AA1043" s="77"/>
      <c r="AB1043" s="77"/>
      <c r="AC1043" s="77"/>
      <c r="AD1043" s="77"/>
    </row>
    <row r="1044" spans="1:30" ht="15.75" x14ac:dyDescent="0.25">
      <c r="A1044" s="31">
        <v>72716</v>
      </c>
      <c r="B1044" s="88">
        <f t="shared" si="166"/>
        <v>31</v>
      </c>
      <c r="C1044" s="76">
        <f>122.58</f>
        <v>122.58</v>
      </c>
      <c r="D1044" s="76">
        <f>297.941</f>
        <v>297.94099999999997</v>
      </c>
      <c r="E1044" s="85">
        <f>89.177</f>
        <v>89.177000000000007</v>
      </c>
      <c r="F1044" s="76">
        <f>240.302-40-60-100</f>
        <v>40.301999999999992</v>
      </c>
      <c r="G1044" s="79">
        <v>40</v>
      </c>
      <c r="H1044" s="76">
        <f>60+100</f>
        <v>160</v>
      </c>
      <c r="I1044" s="76">
        <f t="shared" si="170"/>
        <v>0</v>
      </c>
      <c r="J1044" s="79">
        <v>100</v>
      </c>
      <c r="K1044" s="79">
        <v>300</v>
      </c>
      <c r="L1044" s="76">
        <f t="shared" si="173"/>
        <v>1150</v>
      </c>
      <c r="M1044" s="87">
        <v>600</v>
      </c>
      <c r="N1044" s="76">
        <f>100</f>
        <v>100</v>
      </c>
      <c r="O1044" s="79">
        <v>240</v>
      </c>
      <c r="P1044" s="79">
        <v>40</v>
      </c>
      <c r="Q1044" s="79">
        <f t="shared" si="174"/>
        <v>315</v>
      </c>
      <c r="R1044" s="79">
        <f t="shared" si="175"/>
        <v>100</v>
      </c>
      <c r="S1044" s="76">
        <f t="shared" si="176"/>
        <v>695</v>
      </c>
      <c r="T1044" s="76">
        <f>50</f>
        <v>50</v>
      </c>
      <c r="U1044" s="77"/>
      <c r="V1044" s="77"/>
      <c r="W1044" s="77"/>
      <c r="X1044" s="77"/>
      <c r="Y1044" s="77"/>
      <c r="Z1044" s="77"/>
      <c r="AA1044" s="77"/>
      <c r="AB1044" s="77"/>
      <c r="AC1044" s="77"/>
      <c r="AD1044" s="77"/>
    </row>
    <row r="1045" spans="1:30" ht="15.75" x14ac:dyDescent="0.25">
      <c r="A1045" s="31">
        <v>72744</v>
      </c>
      <c r="B1045" s="88">
        <f t="shared" si="166"/>
        <v>28</v>
      </c>
      <c r="C1045" s="76">
        <f>122.58</f>
        <v>122.58</v>
      </c>
      <c r="D1045" s="76">
        <f>297.941</f>
        <v>297.94099999999997</v>
      </c>
      <c r="E1045" s="85">
        <f>89.177</f>
        <v>89.177000000000007</v>
      </c>
      <c r="F1045" s="76">
        <f>240.302-40-60-100</f>
        <v>40.301999999999992</v>
      </c>
      <c r="G1045" s="79">
        <v>40</v>
      </c>
      <c r="H1045" s="76">
        <f>60+100</f>
        <v>160</v>
      </c>
      <c r="I1045" s="76">
        <f t="shared" si="170"/>
        <v>0</v>
      </c>
      <c r="J1045" s="79">
        <v>100</v>
      </c>
      <c r="K1045" s="79">
        <v>300</v>
      </c>
      <c r="L1045" s="76">
        <f t="shared" si="173"/>
        <v>1150</v>
      </c>
      <c r="M1045" s="87">
        <v>600</v>
      </c>
      <c r="N1045" s="76">
        <f>100</f>
        <v>100</v>
      </c>
      <c r="O1045" s="79">
        <v>240</v>
      </c>
      <c r="P1045" s="79">
        <v>40</v>
      </c>
      <c r="Q1045" s="79">
        <f t="shared" si="174"/>
        <v>315</v>
      </c>
      <c r="R1045" s="79">
        <f t="shared" si="175"/>
        <v>100</v>
      </c>
      <c r="S1045" s="76">
        <f t="shared" si="176"/>
        <v>695</v>
      </c>
      <c r="T1045" s="76">
        <f>50</f>
        <v>50</v>
      </c>
      <c r="U1045" s="77"/>
      <c r="V1045" s="77"/>
      <c r="W1045" s="77"/>
      <c r="X1045" s="77"/>
      <c r="Y1045" s="77"/>
      <c r="Z1045" s="77"/>
      <c r="AA1045" s="77"/>
      <c r="AB1045" s="77"/>
      <c r="AC1045" s="77"/>
      <c r="AD1045" s="77"/>
    </row>
    <row r="1046" spans="1:30" ht="15.75" x14ac:dyDescent="0.25">
      <c r="A1046" s="31">
        <v>72775</v>
      </c>
      <c r="B1046" s="88">
        <f t="shared" si="166"/>
        <v>31</v>
      </c>
      <c r="C1046" s="76">
        <f>122.58</f>
        <v>122.58</v>
      </c>
      <c r="D1046" s="76">
        <f>297.941</f>
        <v>297.94099999999997</v>
      </c>
      <c r="E1046" s="85">
        <f>89.177</f>
        <v>89.177000000000007</v>
      </c>
      <c r="F1046" s="76">
        <f>240.302-40-60-100</f>
        <v>40.301999999999992</v>
      </c>
      <c r="G1046" s="79">
        <v>40</v>
      </c>
      <c r="H1046" s="76">
        <f>60+100</f>
        <v>160</v>
      </c>
      <c r="I1046" s="76">
        <f t="shared" si="170"/>
        <v>0</v>
      </c>
      <c r="J1046" s="79">
        <v>100</v>
      </c>
      <c r="K1046" s="79">
        <v>300</v>
      </c>
      <c r="L1046" s="76">
        <f t="shared" si="173"/>
        <v>1150</v>
      </c>
      <c r="M1046" s="87">
        <v>600</v>
      </c>
      <c r="N1046" s="76">
        <f>100</f>
        <v>100</v>
      </c>
      <c r="O1046" s="79">
        <v>240</v>
      </c>
      <c r="P1046" s="79">
        <v>40</v>
      </c>
      <c r="Q1046" s="79">
        <f t="shared" si="174"/>
        <v>315</v>
      </c>
      <c r="R1046" s="79">
        <f t="shared" si="175"/>
        <v>100</v>
      </c>
      <c r="S1046" s="76">
        <f t="shared" si="176"/>
        <v>695</v>
      </c>
      <c r="T1046" s="76">
        <f>50</f>
        <v>50</v>
      </c>
      <c r="U1046" s="77"/>
      <c r="V1046" s="77"/>
      <c r="W1046" s="77"/>
      <c r="X1046" s="77"/>
      <c r="Y1046" s="77"/>
      <c r="Z1046" s="77"/>
      <c r="AA1046" s="77"/>
      <c r="AB1046" s="77"/>
      <c r="AC1046" s="77"/>
      <c r="AD1046" s="77"/>
    </row>
    <row r="1047" spans="1:30" ht="15.75" x14ac:dyDescent="0.25">
      <c r="A1047" s="31">
        <v>72805</v>
      </c>
      <c r="B1047" s="88">
        <f t="shared" si="166"/>
        <v>30</v>
      </c>
      <c r="C1047" s="76">
        <f>141.293</f>
        <v>141.29300000000001</v>
      </c>
      <c r="D1047" s="76">
        <f>267.993</f>
        <v>267.99299999999999</v>
      </c>
      <c r="E1047" s="85">
        <f>115.016</f>
        <v>115.01600000000001</v>
      </c>
      <c r="F1047" s="76">
        <f>314.698-40-25-60-100</f>
        <v>89.697999999999979</v>
      </c>
      <c r="G1047" s="79">
        <v>40</v>
      </c>
      <c r="H1047" s="76">
        <f t="shared" ref="H1047:H1053" si="177">25+60+100</f>
        <v>185</v>
      </c>
      <c r="I1047" s="76">
        <f t="shared" si="170"/>
        <v>0</v>
      </c>
      <c r="J1047" s="79">
        <v>100</v>
      </c>
      <c r="K1047" s="79">
        <v>300</v>
      </c>
      <c r="L1047" s="76">
        <f t="shared" si="173"/>
        <v>1239</v>
      </c>
      <c r="M1047" s="87">
        <v>600</v>
      </c>
      <c r="N1047" s="76">
        <f>100</f>
        <v>100</v>
      </c>
      <c r="O1047" s="79">
        <v>240</v>
      </c>
      <c r="P1047" s="79">
        <v>40</v>
      </c>
      <c r="Q1047" s="79">
        <f t="shared" si="174"/>
        <v>315</v>
      </c>
      <c r="R1047" s="79">
        <f t="shared" si="175"/>
        <v>100</v>
      </c>
      <c r="S1047" s="76">
        <f t="shared" si="176"/>
        <v>695</v>
      </c>
      <c r="T1047" s="76">
        <f>50</f>
        <v>50</v>
      </c>
      <c r="U1047" s="77"/>
      <c r="V1047" s="77"/>
      <c r="W1047" s="77"/>
      <c r="X1047" s="77"/>
      <c r="Y1047" s="77"/>
      <c r="Z1047" s="77"/>
      <c r="AA1047" s="77"/>
      <c r="AB1047" s="77"/>
      <c r="AC1047" s="77"/>
      <c r="AD1047" s="77"/>
    </row>
    <row r="1048" spans="1:30" ht="15.75" x14ac:dyDescent="0.25">
      <c r="A1048" s="31">
        <v>72836</v>
      </c>
      <c r="B1048" s="88">
        <f t="shared" ref="B1048:B1067" si="178">EOMONTH(A1048,0)-EOMONTH(A1048,-1)</f>
        <v>31</v>
      </c>
      <c r="C1048" s="76">
        <f>194.205</f>
        <v>194.20500000000001</v>
      </c>
      <c r="D1048" s="76">
        <f>267.466</f>
        <v>267.46600000000001</v>
      </c>
      <c r="E1048" s="85">
        <f>133.845</f>
        <v>133.845</v>
      </c>
      <c r="F1048" s="76">
        <f>278.484-40-25-60-100</f>
        <v>53.48399999999998</v>
      </c>
      <c r="G1048" s="79">
        <v>40</v>
      </c>
      <c r="H1048" s="76">
        <f t="shared" si="177"/>
        <v>185</v>
      </c>
      <c r="I1048" s="76">
        <f t="shared" si="170"/>
        <v>0</v>
      </c>
      <c r="J1048" s="79">
        <v>100</v>
      </c>
      <c r="K1048" s="79">
        <v>300</v>
      </c>
      <c r="L1048" s="76">
        <f t="shared" si="173"/>
        <v>1274</v>
      </c>
      <c r="M1048" s="87">
        <v>600</v>
      </c>
      <c r="N1048" s="76">
        <f>75</f>
        <v>75</v>
      </c>
      <c r="O1048" s="79">
        <v>240</v>
      </c>
      <c r="P1048" s="79">
        <v>40</v>
      </c>
      <c r="Q1048" s="79">
        <f t="shared" si="174"/>
        <v>315</v>
      </c>
      <c r="R1048" s="79">
        <f t="shared" si="175"/>
        <v>100</v>
      </c>
      <c r="S1048" s="76">
        <f t="shared" si="176"/>
        <v>695</v>
      </c>
      <c r="T1048" s="76">
        <f>50</f>
        <v>50</v>
      </c>
      <c r="U1048" s="77"/>
      <c r="V1048" s="77"/>
      <c r="W1048" s="77"/>
      <c r="X1048" s="77"/>
      <c r="Y1048" s="77"/>
      <c r="Z1048" s="77"/>
      <c r="AA1048" s="77"/>
      <c r="AB1048" s="77"/>
      <c r="AC1048" s="77"/>
      <c r="AD1048" s="77"/>
    </row>
    <row r="1049" spans="1:30" ht="15.75" x14ac:dyDescent="0.25">
      <c r="A1049" s="31">
        <v>72866</v>
      </c>
      <c r="B1049" s="88">
        <f t="shared" si="178"/>
        <v>30</v>
      </c>
      <c r="C1049" s="76">
        <f>194.205</f>
        <v>194.20500000000001</v>
      </c>
      <c r="D1049" s="76">
        <f>267.466</f>
        <v>267.46600000000001</v>
      </c>
      <c r="E1049" s="85">
        <f>133.845</f>
        <v>133.845</v>
      </c>
      <c r="F1049" s="76">
        <f>278.484-40-25-60-100</f>
        <v>53.48399999999998</v>
      </c>
      <c r="G1049" s="79">
        <v>40</v>
      </c>
      <c r="H1049" s="76">
        <f t="shared" si="177"/>
        <v>185</v>
      </c>
      <c r="I1049" s="76">
        <f t="shared" si="170"/>
        <v>0</v>
      </c>
      <c r="J1049" s="79">
        <v>100</v>
      </c>
      <c r="K1049" s="79">
        <v>300</v>
      </c>
      <c r="L1049" s="76">
        <f t="shared" si="173"/>
        <v>1274</v>
      </c>
      <c r="M1049" s="87">
        <v>600</v>
      </c>
      <c r="N1049" s="76">
        <f>30</f>
        <v>30</v>
      </c>
      <c r="O1049" s="79">
        <v>240</v>
      </c>
      <c r="P1049" s="79">
        <v>40</v>
      </c>
      <c r="Q1049" s="79">
        <f t="shared" si="174"/>
        <v>315</v>
      </c>
      <c r="R1049" s="79">
        <f t="shared" si="175"/>
        <v>100</v>
      </c>
      <c r="S1049" s="76">
        <f t="shared" si="176"/>
        <v>695</v>
      </c>
      <c r="T1049" s="76">
        <f>50</f>
        <v>50</v>
      </c>
      <c r="U1049" s="77"/>
      <c r="V1049" s="77"/>
      <c r="W1049" s="77"/>
      <c r="X1049" s="77"/>
      <c r="Y1049" s="77"/>
      <c r="Z1049" s="77"/>
      <c r="AA1049" s="77"/>
      <c r="AB1049" s="77"/>
      <c r="AC1049" s="77"/>
      <c r="AD1049" s="77"/>
    </row>
    <row r="1050" spans="1:30" ht="15.75" x14ac:dyDescent="0.25">
      <c r="A1050" s="31">
        <v>72897</v>
      </c>
      <c r="B1050" s="88">
        <f t="shared" si="178"/>
        <v>31</v>
      </c>
      <c r="C1050" s="76">
        <f>194.205</f>
        <v>194.20500000000001</v>
      </c>
      <c r="D1050" s="76">
        <f>267.466</f>
        <v>267.46600000000001</v>
      </c>
      <c r="E1050" s="85">
        <f>133.845</f>
        <v>133.845</v>
      </c>
      <c r="F1050" s="76">
        <f>278.484-40-25-60-100</f>
        <v>53.48399999999998</v>
      </c>
      <c r="G1050" s="79">
        <v>40</v>
      </c>
      <c r="H1050" s="76">
        <f t="shared" si="177"/>
        <v>185</v>
      </c>
      <c r="I1050" s="76">
        <f t="shared" si="170"/>
        <v>0</v>
      </c>
      <c r="J1050" s="79">
        <v>100</v>
      </c>
      <c r="K1050" s="79">
        <v>300</v>
      </c>
      <c r="L1050" s="76">
        <f t="shared" si="173"/>
        <v>1274</v>
      </c>
      <c r="M1050" s="87">
        <v>600</v>
      </c>
      <c r="N1050" s="76">
        <f>30</f>
        <v>30</v>
      </c>
      <c r="O1050" s="79">
        <v>240</v>
      </c>
      <c r="P1050" s="79">
        <v>40</v>
      </c>
      <c r="Q1050" s="79">
        <f t="shared" si="174"/>
        <v>315</v>
      </c>
      <c r="R1050" s="79">
        <f t="shared" si="175"/>
        <v>100</v>
      </c>
      <c r="S1050" s="76">
        <f t="shared" si="176"/>
        <v>695</v>
      </c>
      <c r="T1050" s="76">
        <f>0</f>
        <v>0</v>
      </c>
      <c r="U1050" s="77"/>
      <c r="V1050" s="77"/>
      <c r="W1050" s="77"/>
      <c r="X1050" s="77"/>
      <c r="Y1050" s="77"/>
      <c r="Z1050" s="77"/>
      <c r="AA1050" s="77"/>
      <c r="AB1050" s="77"/>
      <c r="AC1050" s="77"/>
      <c r="AD1050" s="77"/>
    </row>
    <row r="1051" spans="1:30" ht="15.75" x14ac:dyDescent="0.25">
      <c r="A1051" s="31">
        <v>72928</v>
      </c>
      <c r="B1051" s="88">
        <f t="shared" si="178"/>
        <v>31</v>
      </c>
      <c r="C1051" s="76">
        <f>194.205</f>
        <v>194.20500000000001</v>
      </c>
      <c r="D1051" s="76">
        <f>267.466</f>
        <v>267.46600000000001</v>
      </c>
      <c r="E1051" s="85">
        <f>133.845</f>
        <v>133.845</v>
      </c>
      <c r="F1051" s="76">
        <f>278.484-40-25-60-100</f>
        <v>53.48399999999998</v>
      </c>
      <c r="G1051" s="79">
        <v>40</v>
      </c>
      <c r="H1051" s="76">
        <f t="shared" si="177"/>
        <v>185</v>
      </c>
      <c r="I1051" s="76">
        <f t="shared" si="170"/>
        <v>0</v>
      </c>
      <c r="J1051" s="79">
        <v>100</v>
      </c>
      <c r="K1051" s="79">
        <v>300</v>
      </c>
      <c r="L1051" s="76">
        <f t="shared" si="173"/>
        <v>1274</v>
      </c>
      <c r="M1051" s="87">
        <v>600</v>
      </c>
      <c r="N1051" s="76">
        <f>30</f>
        <v>30</v>
      </c>
      <c r="O1051" s="79">
        <v>240</v>
      </c>
      <c r="P1051" s="79">
        <v>40</v>
      </c>
      <c r="Q1051" s="79">
        <f t="shared" si="174"/>
        <v>315</v>
      </c>
      <c r="R1051" s="79">
        <f t="shared" si="175"/>
        <v>100</v>
      </c>
      <c r="S1051" s="76">
        <f t="shared" si="176"/>
        <v>695</v>
      </c>
      <c r="T1051" s="76">
        <f>0</f>
        <v>0</v>
      </c>
      <c r="U1051" s="77"/>
      <c r="V1051" s="77"/>
      <c r="W1051" s="77"/>
      <c r="X1051" s="77"/>
      <c r="Y1051" s="77"/>
      <c r="Z1051" s="77"/>
      <c r="AA1051" s="77"/>
      <c r="AB1051" s="77"/>
      <c r="AC1051" s="77"/>
      <c r="AD1051" s="77"/>
    </row>
    <row r="1052" spans="1:30" ht="15.75" x14ac:dyDescent="0.25">
      <c r="A1052" s="31">
        <v>72958</v>
      </c>
      <c r="B1052" s="88">
        <f t="shared" si="178"/>
        <v>30</v>
      </c>
      <c r="C1052" s="76">
        <f>194.205</f>
        <v>194.20500000000001</v>
      </c>
      <c r="D1052" s="76">
        <f>267.466</f>
        <v>267.46600000000001</v>
      </c>
      <c r="E1052" s="85">
        <f>133.845</f>
        <v>133.845</v>
      </c>
      <c r="F1052" s="76">
        <f>278.484-40-25-60-100</f>
        <v>53.48399999999998</v>
      </c>
      <c r="G1052" s="79">
        <v>40</v>
      </c>
      <c r="H1052" s="76">
        <f t="shared" si="177"/>
        <v>185</v>
      </c>
      <c r="I1052" s="76">
        <f t="shared" si="170"/>
        <v>0</v>
      </c>
      <c r="J1052" s="79">
        <v>100</v>
      </c>
      <c r="K1052" s="79">
        <v>300</v>
      </c>
      <c r="L1052" s="76">
        <f t="shared" si="173"/>
        <v>1274</v>
      </c>
      <c r="M1052" s="87">
        <v>600</v>
      </c>
      <c r="N1052" s="76">
        <f>30</f>
        <v>30</v>
      </c>
      <c r="O1052" s="79">
        <v>240</v>
      </c>
      <c r="P1052" s="79">
        <v>40</v>
      </c>
      <c r="Q1052" s="79">
        <f t="shared" si="174"/>
        <v>315</v>
      </c>
      <c r="R1052" s="79">
        <f t="shared" si="175"/>
        <v>100</v>
      </c>
      <c r="S1052" s="76">
        <f t="shared" si="176"/>
        <v>695</v>
      </c>
      <c r="T1052" s="76">
        <f>0</f>
        <v>0</v>
      </c>
      <c r="U1052" s="77"/>
      <c r="V1052" s="77"/>
      <c r="W1052" s="77"/>
      <c r="X1052" s="77"/>
      <c r="Y1052" s="77"/>
      <c r="Z1052" s="77"/>
      <c r="AA1052" s="77"/>
      <c r="AB1052" s="77"/>
      <c r="AC1052" s="77"/>
      <c r="AD1052" s="77"/>
    </row>
    <row r="1053" spans="1:30" ht="15.75" x14ac:dyDescent="0.25">
      <c r="A1053" s="31">
        <v>72989</v>
      </c>
      <c r="B1053" s="88">
        <f t="shared" si="178"/>
        <v>31</v>
      </c>
      <c r="C1053" s="76">
        <f>131.881</f>
        <v>131.881</v>
      </c>
      <c r="D1053" s="76">
        <f>277.167</f>
        <v>277.16699999999997</v>
      </c>
      <c r="E1053" s="85">
        <f>79.08</f>
        <v>79.08</v>
      </c>
      <c r="F1053" s="76">
        <f>350.872-40-25-60-100</f>
        <v>125.87200000000001</v>
      </c>
      <c r="G1053" s="79">
        <v>40</v>
      </c>
      <c r="H1053" s="76">
        <f t="shared" si="177"/>
        <v>185</v>
      </c>
      <c r="I1053" s="76">
        <f t="shared" si="170"/>
        <v>0</v>
      </c>
      <c r="J1053" s="79">
        <v>100</v>
      </c>
      <c r="K1053" s="79">
        <v>300</v>
      </c>
      <c r="L1053" s="76">
        <f t="shared" si="173"/>
        <v>1239</v>
      </c>
      <c r="M1053" s="87">
        <v>600</v>
      </c>
      <c r="N1053" s="76">
        <f>75</f>
        <v>75</v>
      </c>
      <c r="O1053" s="79">
        <v>240</v>
      </c>
      <c r="P1053" s="79">
        <v>40</v>
      </c>
      <c r="Q1053" s="79">
        <f t="shared" si="174"/>
        <v>315</v>
      </c>
      <c r="R1053" s="79">
        <f t="shared" si="175"/>
        <v>100</v>
      </c>
      <c r="S1053" s="76">
        <f t="shared" si="176"/>
        <v>695</v>
      </c>
      <c r="T1053" s="76">
        <f>0</f>
        <v>0</v>
      </c>
      <c r="U1053" s="77"/>
      <c r="V1053" s="77"/>
      <c r="W1053" s="77"/>
      <c r="X1053" s="77"/>
      <c r="Y1053" s="77"/>
      <c r="Z1053" s="77"/>
      <c r="AA1053" s="77"/>
      <c r="AB1053" s="77"/>
      <c r="AC1053" s="77"/>
      <c r="AD1053" s="77"/>
    </row>
    <row r="1054" spans="1:30" ht="15.75" x14ac:dyDescent="0.25">
      <c r="A1054" s="31">
        <v>73019</v>
      </c>
      <c r="B1054" s="88">
        <f t="shared" si="178"/>
        <v>30</v>
      </c>
      <c r="C1054" s="76">
        <f>122.58</f>
        <v>122.58</v>
      </c>
      <c r="D1054" s="76">
        <f>297.941</f>
        <v>297.94099999999997</v>
      </c>
      <c r="E1054" s="85">
        <f>89.177</f>
        <v>89.177000000000007</v>
      </c>
      <c r="F1054" s="76">
        <f>240.302-40-60-100</f>
        <v>40.301999999999992</v>
      </c>
      <c r="G1054" s="79">
        <v>40</v>
      </c>
      <c r="H1054" s="76">
        <f>60+100</f>
        <v>160</v>
      </c>
      <c r="I1054" s="76">
        <f t="shared" si="170"/>
        <v>0</v>
      </c>
      <c r="J1054" s="79">
        <v>100</v>
      </c>
      <c r="K1054" s="79">
        <v>300</v>
      </c>
      <c r="L1054" s="76">
        <f t="shared" si="173"/>
        <v>1150</v>
      </c>
      <c r="M1054" s="87">
        <v>600</v>
      </c>
      <c r="N1054" s="76">
        <f>100</f>
        <v>100</v>
      </c>
      <c r="O1054" s="79">
        <v>240</v>
      </c>
      <c r="P1054" s="79">
        <v>40</v>
      </c>
      <c r="Q1054" s="79">
        <f t="shared" si="174"/>
        <v>315</v>
      </c>
      <c r="R1054" s="79">
        <f t="shared" si="175"/>
        <v>100</v>
      </c>
      <c r="S1054" s="76">
        <f t="shared" si="176"/>
        <v>695</v>
      </c>
      <c r="T1054" s="76">
        <f>50</f>
        <v>50</v>
      </c>
      <c r="U1054" s="77"/>
      <c r="V1054" s="77"/>
      <c r="W1054" s="77"/>
      <c r="X1054" s="77"/>
      <c r="Y1054" s="77"/>
      <c r="Z1054" s="77"/>
      <c r="AA1054" s="77"/>
      <c r="AB1054" s="77"/>
      <c r="AC1054" s="77"/>
      <c r="AD1054" s="77"/>
    </row>
    <row r="1055" spans="1:30" ht="15.75" x14ac:dyDescent="0.25">
      <c r="A1055" s="31">
        <v>73050</v>
      </c>
      <c r="B1055" s="88">
        <f t="shared" si="178"/>
        <v>31</v>
      </c>
      <c r="C1055" s="76">
        <f>122.58</f>
        <v>122.58</v>
      </c>
      <c r="D1055" s="76">
        <f>297.941</f>
        <v>297.94099999999997</v>
      </c>
      <c r="E1055" s="85">
        <f>89.177</f>
        <v>89.177000000000007</v>
      </c>
      <c r="F1055" s="76">
        <f>240.302-40-60-100</f>
        <v>40.301999999999992</v>
      </c>
      <c r="G1055" s="79">
        <v>40</v>
      </c>
      <c r="H1055" s="76">
        <f>60+100</f>
        <v>160</v>
      </c>
      <c r="I1055" s="76">
        <f t="shared" si="170"/>
        <v>0</v>
      </c>
      <c r="J1055" s="79">
        <v>100</v>
      </c>
      <c r="K1055" s="79">
        <v>300</v>
      </c>
      <c r="L1055" s="76">
        <f t="shared" si="173"/>
        <v>1150</v>
      </c>
      <c r="M1055" s="87">
        <v>600</v>
      </c>
      <c r="N1055" s="76">
        <f>100</f>
        <v>100</v>
      </c>
      <c r="O1055" s="79">
        <v>240</v>
      </c>
      <c r="P1055" s="79">
        <v>40</v>
      </c>
      <c r="Q1055" s="79">
        <f t="shared" si="174"/>
        <v>315</v>
      </c>
      <c r="R1055" s="79">
        <f t="shared" si="175"/>
        <v>100</v>
      </c>
      <c r="S1055" s="76">
        <f t="shared" si="176"/>
        <v>695</v>
      </c>
      <c r="T1055" s="76">
        <f>50</f>
        <v>50</v>
      </c>
      <c r="U1055" s="77"/>
      <c r="V1055" s="77"/>
      <c r="W1055" s="77"/>
      <c r="X1055" s="77"/>
      <c r="Y1055" s="77"/>
      <c r="Z1055" s="77"/>
      <c r="AA1055" s="77"/>
      <c r="AB1055" s="77"/>
      <c r="AC1055" s="77"/>
      <c r="AD1055" s="77"/>
    </row>
    <row r="1056" spans="1:30" ht="15.75" x14ac:dyDescent="0.25">
      <c r="A1056" s="31">
        <v>73081</v>
      </c>
      <c r="B1056" s="88">
        <f t="shared" si="178"/>
        <v>31</v>
      </c>
      <c r="C1056" s="76">
        <f>122.58</f>
        <v>122.58</v>
      </c>
      <c r="D1056" s="76">
        <f>297.941</f>
        <v>297.94099999999997</v>
      </c>
      <c r="E1056" s="85">
        <f>89.177</f>
        <v>89.177000000000007</v>
      </c>
      <c r="F1056" s="76">
        <f>240.302-40-60-100</f>
        <v>40.301999999999992</v>
      </c>
      <c r="G1056" s="79">
        <v>40</v>
      </c>
      <c r="H1056" s="76">
        <f>60+100</f>
        <v>160</v>
      </c>
      <c r="I1056" s="76">
        <f t="shared" si="170"/>
        <v>0</v>
      </c>
      <c r="J1056" s="79">
        <v>100</v>
      </c>
      <c r="K1056" s="79">
        <v>300</v>
      </c>
      <c r="L1056" s="76">
        <f t="shared" si="173"/>
        <v>1150</v>
      </c>
      <c r="M1056" s="87">
        <v>600</v>
      </c>
      <c r="N1056" s="76">
        <f>100</f>
        <v>100</v>
      </c>
      <c r="O1056" s="79">
        <v>240</v>
      </c>
      <c r="P1056" s="79">
        <v>40</v>
      </c>
      <c r="Q1056" s="79">
        <f t="shared" si="174"/>
        <v>315</v>
      </c>
      <c r="R1056" s="79">
        <f t="shared" si="175"/>
        <v>100</v>
      </c>
      <c r="S1056" s="76">
        <f t="shared" si="176"/>
        <v>695</v>
      </c>
      <c r="T1056" s="76">
        <f>50</f>
        <v>50</v>
      </c>
      <c r="U1056" s="77"/>
      <c r="V1056" s="77"/>
      <c r="W1056" s="77"/>
      <c r="X1056" s="77"/>
      <c r="Y1056" s="77"/>
      <c r="Z1056" s="77"/>
      <c r="AA1056" s="77"/>
      <c r="AB1056" s="77"/>
      <c r="AC1056" s="77"/>
      <c r="AD1056" s="77"/>
    </row>
    <row r="1057" spans="1:30" ht="15.75" x14ac:dyDescent="0.25">
      <c r="A1057" s="31">
        <v>73109</v>
      </c>
      <c r="B1057" s="88">
        <f t="shared" si="178"/>
        <v>28</v>
      </c>
      <c r="C1057" s="76">
        <f>122.58</f>
        <v>122.58</v>
      </c>
      <c r="D1057" s="76">
        <f>297.941</f>
        <v>297.94099999999997</v>
      </c>
      <c r="E1057" s="85">
        <f>89.177</f>
        <v>89.177000000000007</v>
      </c>
      <c r="F1057" s="76">
        <f>240.302-40-60-100</f>
        <v>40.301999999999992</v>
      </c>
      <c r="G1057" s="79">
        <v>40</v>
      </c>
      <c r="H1057" s="76">
        <f>60+100</f>
        <v>160</v>
      </c>
      <c r="I1057" s="76">
        <f t="shared" si="170"/>
        <v>0</v>
      </c>
      <c r="J1057" s="79">
        <v>100</v>
      </c>
      <c r="K1057" s="79">
        <v>300</v>
      </c>
      <c r="L1057" s="76">
        <f t="shared" si="173"/>
        <v>1150</v>
      </c>
      <c r="M1057" s="87">
        <v>600</v>
      </c>
      <c r="N1057" s="76">
        <f>100</f>
        <v>100</v>
      </c>
      <c r="O1057" s="79">
        <v>240</v>
      </c>
      <c r="P1057" s="79">
        <v>40</v>
      </c>
      <c r="Q1057" s="79">
        <f t="shared" si="174"/>
        <v>315</v>
      </c>
      <c r="R1057" s="79">
        <f t="shared" si="175"/>
        <v>100</v>
      </c>
      <c r="S1057" s="76">
        <f t="shared" si="176"/>
        <v>695</v>
      </c>
      <c r="T1057" s="76">
        <f>50</f>
        <v>50</v>
      </c>
      <c r="U1057" s="77"/>
      <c r="V1057" s="77"/>
      <c r="W1057" s="77"/>
      <c r="X1057" s="77"/>
      <c r="Y1057" s="77"/>
      <c r="Z1057" s="77"/>
      <c r="AA1057" s="77"/>
      <c r="AB1057" s="77"/>
      <c r="AC1057" s="77"/>
      <c r="AD1057" s="77"/>
    </row>
    <row r="1058" spans="1:30" ht="15.75" x14ac:dyDescent="0.25">
      <c r="A1058" s="31">
        <v>73140</v>
      </c>
      <c r="B1058" s="88">
        <f t="shared" si="178"/>
        <v>31</v>
      </c>
      <c r="C1058" s="76">
        <f>122.58</f>
        <v>122.58</v>
      </c>
      <c r="D1058" s="76">
        <f>297.941</f>
        <v>297.94099999999997</v>
      </c>
      <c r="E1058" s="85">
        <f>89.177</f>
        <v>89.177000000000007</v>
      </c>
      <c r="F1058" s="76">
        <f>240.302-40-60-100</f>
        <v>40.301999999999992</v>
      </c>
      <c r="G1058" s="79">
        <v>40</v>
      </c>
      <c r="H1058" s="76">
        <f>60+100</f>
        <v>160</v>
      </c>
      <c r="I1058" s="76">
        <f t="shared" si="170"/>
        <v>0</v>
      </c>
      <c r="J1058" s="79">
        <v>100</v>
      </c>
      <c r="K1058" s="79">
        <v>300</v>
      </c>
      <c r="L1058" s="76">
        <f t="shared" si="173"/>
        <v>1150</v>
      </c>
      <c r="M1058" s="87">
        <v>600</v>
      </c>
      <c r="N1058" s="76">
        <f>100</f>
        <v>100</v>
      </c>
      <c r="O1058" s="79">
        <v>240</v>
      </c>
      <c r="P1058" s="79">
        <v>40</v>
      </c>
      <c r="Q1058" s="79">
        <f t="shared" si="174"/>
        <v>315</v>
      </c>
      <c r="R1058" s="79">
        <f t="shared" si="175"/>
        <v>100</v>
      </c>
      <c r="S1058" s="76">
        <f t="shared" si="176"/>
        <v>695</v>
      </c>
      <c r="T1058" s="76">
        <f>50</f>
        <v>50</v>
      </c>
      <c r="U1058" s="77"/>
      <c r="V1058" s="77"/>
      <c r="W1058" s="77"/>
      <c r="X1058" s="77"/>
      <c r="Y1058" s="77"/>
      <c r="Z1058" s="77"/>
      <c r="AA1058" s="77"/>
      <c r="AB1058" s="77"/>
      <c r="AC1058" s="77"/>
      <c r="AD1058" s="77"/>
    </row>
    <row r="1059" spans="1:30" ht="15.75" x14ac:dyDescent="0.25">
      <c r="A1059" s="31">
        <v>73170</v>
      </c>
      <c r="B1059" s="88">
        <f t="shared" si="178"/>
        <v>30</v>
      </c>
      <c r="C1059" s="76">
        <f>141.293</f>
        <v>141.29300000000001</v>
      </c>
      <c r="D1059" s="76">
        <f>267.993</f>
        <v>267.99299999999999</v>
      </c>
      <c r="E1059" s="85">
        <f>115.016</f>
        <v>115.01600000000001</v>
      </c>
      <c r="F1059" s="76">
        <f>314.698-40-25-60-100</f>
        <v>89.697999999999979</v>
      </c>
      <c r="G1059" s="79">
        <v>40</v>
      </c>
      <c r="H1059" s="76">
        <f t="shared" ref="H1059:H1065" si="179">25+60+100</f>
        <v>185</v>
      </c>
      <c r="I1059" s="76">
        <f t="shared" si="170"/>
        <v>0</v>
      </c>
      <c r="J1059" s="79">
        <v>100</v>
      </c>
      <c r="K1059" s="79">
        <v>300</v>
      </c>
      <c r="L1059" s="76">
        <f t="shared" si="173"/>
        <v>1239</v>
      </c>
      <c r="M1059" s="87">
        <v>600</v>
      </c>
      <c r="N1059" s="76">
        <f>100</f>
        <v>100</v>
      </c>
      <c r="O1059" s="79">
        <v>240</v>
      </c>
      <c r="P1059" s="79">
        <v>40</v>
      </c>
      <c r="Q1059" s="79">
        <f t="shared" si="174"/>
        <v>315</v>
      </c>
      <c r="R1059" s="79">
        <f t="shared" si="175"/>
        <v>100</v>
      </c>
      <c r="S1059" s="76">
        <f t="shared" si="176"/>
        <v>695</v>
      </c>
      <c r="T1059" s="76">
        <f>50</f>
        <v>50</v>
      </c>
      <c r="U1059" s="77"/>
      <c r="V1059" s="77"/>
      <c r="W1059" s="77"/>
      <c r="X1059" s="77"/>
      <c r="Y1059" s="77"/>
      <c r="Z1059" s="77"/>
      <c r="AA1059" s="77"/>
      <c r="AB1059" s="77"/>
      <c r="AC1059" s="77"/>
      <c r="AD1059" s="77"/>
    </row>
    <row r="1060" spans="1:30" ht="15.75" x14ac:dyDescent="0.25">
      <c r="A1060" s="31">
        <v>73201</v>
      </c>
      <c r="B1060" s="88">
        <f t="shared" si="178"/>
        <v>31</v>
      </c>
      <c r="C1060" s="76">
        <f>194.205</f>
        <v>194.20500000000001</v>
      </c>
      <c r="D1060" s="76">
        <f>267.466</f>
        <v>267.46600000000001</v>
      </c>
      <c r="E1060" s="85">
        <f>133.845</f>
        <v>133.845</v>
      </c>
      <c r="F1060" s="76">
        <f>278.484-40-25-60-100</f>
        <v>53.48399999999998</v>
      </c>
      <c r="G1060" s="79">
        <v>40</v>
      </c>
      <c r="H1060" s="76">
        <f t="shared" si="179"/>
        <v>185</v>
      </c>
      <c r="I1060" s="76">
        <f t="shared" si="170"/>
        <v>0</v>
      </c>
      <c r="J1060" s="79">
        <v>100</v>
      </c>
      <c r="K1060" s="79">
        <v>300</v>
      </c>
      <c r="L1060" s="76">
        <f t="shared" si="173"/>
        <v>1274</v>
      </c>
      <c r="M1060" s="87">
        <v>600</v>
      </c>
      <c r="N1060" s="76">
        <f>75</f>
        <v>75</v>
      </c>
      <c r="O1060" s="79">
        <v>240</v>
      </c>
      <c r="P1060" s="79">
        <v>40</v>
      </c>
      <c r="Q1060" s="79">
        <f t="shared" si="174"/>
        <v>315</v>
      </c>
      <c r="R1060" s="79">
        <f t="shared" si="175"/>
        <v>100</v>
      </c>
      <c r="S1060" s="76">
        <f t="shared" si="176"/>
        <v>695</v>
      </c>
      <c r="T1060" s="76">
        <f>50</f>
        <v>50</v>
      </c>
      <c r="U1060" s="77"/>
      <c r="V1060" s="77"/>
      <c r="W1060" s="77"/>
      <c r="X1060" s="77"/>
      <c r="Y1060" s="77"/>
      <c r="Z1060" s="77"/>
      <c r="AA1060" s="77"/>
      <c r="AB1060" s="77"/>
      <c r="AC1060" s="77"/>
      <c r="AD1060" s="77"/>
    </row>
    <row r="1061" spans="1:30" ht="15.75" x14ac:dyDescent="0.25">
      <c r="A1061" s="31">
        <v>73231</v>
      </c>
      <c r="B1061" s="88">
        <f t="shared" si="178"/>
        <v>30</v>
      </c>
      <c r="C1061" s="76">
        <f>194.205</f>
        <v>194.20500000000001</v>
      </c>
      <c r="D1061" s="76">
        <f>267.466</f>
        <v>267.46600000000001</v>
      </c>
      <c r="E1061" s="85">
        <f>133.845</f>
        <v>133.845</v>
      </c>
      <c r="F1061" s="76">
        <f>278.484-40-25-60-100</f>
        <v>53.48399999999998</v>
      </c>
      <c r="G1061" s="79">
        <v>40</v>
      </c>
      <c r="H1061" s="76">
        <f t="shared" si="179"/>
        <v>185</v>
      </c>
      <c r="I1061" s="76">
        <f t="shared" si="170"/>
        <v>0</v>
      </c>
      <c r="J1061" s="79">
        <v>100</v>
      </c>
      <c r="K1061" s="79">
        <v>300</v>
      </c>
      <c r="L1061" s="76">
        <f t="shared" si="173"/>
        <v>1274</v>
      </c>
      <c r="M1061" s="87">
        <v>600</v>
      </c>
      <c r="N1061" s="76">
        <f>30</f>
        <v>30</v>
      </c>
      <c r="O1061" s="79">
        <v>240</v>
      </c>
      <c r="P1061" s="79">
        <v>40</v>
      </c>
      <c r="Q1061" s="79">
        <f t="shared" si="174"/>
        <v>315</v>
      </c>
      <c r="R1061" s="79">
        <f t="shared" si="175"/>
        <v>100</v>
      </c>
      <c r="S1061" s="76">
        <f t="shared" si="176"/>
        <v>695</v>
      </c>
      <c r="T1061" s="76">
        <f>50</f>
        <v>50</v>
      </c>
      <c r="U1061" s="77"/>
      <c r="V1061" s="77"/>
      <c r="W1061" s="77"/>
      <c r="X1061" s="77"/>
      <c r="Y1061" s="77"/>
      <c r="Z1061" s="77"/>
      <c r="AA1061" s="77"/>
      <c r="AB1061" s="77"/>
      <c r="AC1061" s="77"/>
      <c r="AD1061" s="77"/>
    </row>
    <row r="1062" spans="1:30" ht="15.75" x14ac:dyDescent="0.25">
      <c r="A1062" s="31">
        <v>73262</v>
      </c>
      <c r="B1062" s="88">
        <f t="shared" si="178"/>
        <v>31</v>
      </c>
      <c r="C1062" s="76">
        <f>194.205</f>
        <v>194.20500000000001</v>
      </c>
      <c r="D1062" s="76">
        <f>267.466</f>
        <v>267.46600000000001</v>
      </c>
      <c r="E1062" s="85">
        <f>133.845</f>
        <v>133.845</v>
      </c>
      <c r="F1062" s="76">
        <f>278.484-40-25-60-100</f>
        <v>53.48399999999998</v>
      </c>
      <c r="G1062" s="79">
        <v>40</v>
      </c>
      <c r="H1062" s="76">
        <f t="shared" si="179"/>
        <v>185</v>
      </c>
      <c r="I1062" s="76">
        <f t="shared" si="170"/>
        <v>0</v>
      </c>
      <c r="J1062" s="79">
        <v>100</v>
      </c>
      <c r="K1062" s="79">
        <v>300</v>
      </c>
      <c r="L1062" s="76">
        <f t="shared" si="173"/>
        <v>1274</v>
      </c>
      <c r="M1062" s="87">
        <v>600</v>
      </c>
      <c r="N1062" s="76">
        <f>30</f>
        <v>30</v>
      </c>
      <c r="O1062" s="79">
        <v>240</v>
      </c>
      <c r="P1062" s="79">
        <v>40</v>
      </c>
      <c r="Q1062" s="79">
        <f t="shared" si="174"/>
        <v>315</v>
      </c>
      <c r="R1062" s="79">
        <f t="shared" si="175"/>
        <v>100</v>
      </c>
      <c r="S1062" s="76">
        <f t="shared" si="176"/>
        <v>695</v>
      </c>
      <c r="T1062" s="76">
        <f>0</f>
        <v>0</v>
      </c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</row>
    <row r="1063" spans="1:30" ht="15.75" x14ac:dyDescent="0.25">
      <c r="A1063" s="31">
        <v>73293</v>
      </c>
      <c r="B1063" s="88">
        <f t="shared" si="178"/>
        <v>31</v>
      </c>
      <c r="C1063" s="76">
        <f>194.205</f>
        <v>194.20500000000001</v>
      </c>
      <c r="D1063" s="76">
        <f>267.466</f>
        <v>267.46600000000001</v>
      </c>
      <c r="E1063" s="85">
        <f>133.845</f>
        <v>133.845</v>
      </c>
      <c r="F1063" s="76">
        <f>278.484-40-25-60-100</f>
        <v>53.48399999999998</v>
      </c>
      <c r="G1063" s="79">
        <v>40</v>
      </c>
      <c r="H1063" s="76">
        <f t="shared" si="179"/>
        <v>185</v>
      </c>
      <c r="I1063" s="76">
        <f t="shared" si="170"/>
        <v>0</v>
      </c>
      <c r="J1063" s="79">
        <v>100</v>
      </c>
      <c r="K1063" s="79">
        <v>300</v>
      </c>
      <c r="L1063" s="76">
        <f t="shared" si="173"/>
        <v>1274</v>
      </c>
      <c r="M1063" s="87">
        <v>600</v>
      </c>
      <c r="N1063" s="76">
        <f>30</f>
        <v>30</v>
      </c>
      <c r="O1063" s="79">
        <v>240</v>
      </c>
      <c r="P1063" s="79">
        <v>40</v>
      </c>
      <c r="Q1063" s="79">
        <f t="shared" si="174"/>
        <v>315</v>
      </c>
      <c r="R1063" s="79">
        <f t="shared" si="175"/>
        <v>100</v>
      </c>
      <c r="S1063" s="76">
        <f t="shared" si="176"/>
        <v>695</v>
      </c>
      <c r="T1063" s="76">
        <f>0</f>
        <v>0</v>
      </c>
      <c r="U1063" s="77"/>
      <c r="V1063" s="77"/>
      <c r="W1063" s="77"/>
      <c r="X1063" s="77"/>
      <c r="Y1063" s="77"/>
      <c r="Z1063" s="77"/>
      <c r="AA1063" s="77"/>
      <c r="AB1063" s="77"/>
      <c r="AC1063" s="77"/>
      <c r="AD1063" s="77"/>
    </row>
    <row r="1064" spans="1:30" ht="15.75" x14ac:dyDescent="0.25">
      <c r="A1064" s="31">
        <v>73323</v>
      </c>
      <c r="B1064" s="88">
        <f t="shared" si="178"/>
        <v>30</v>
      </c>
      <c r="C1064" s="76">
        <f>194.205</f>
        <v>194.20500000000001</v>
      </c>
      <c r="D1064" s="76">
        <f>267.466</f>
        <v>267.46600000000001</v>
      </c>
      <c r="E1064" s="85">
        <f>133.845</f>
        <v>133.845</v>
      </c>
      <c r="F1064" s="76">
        <f>278.484-40-25-60-100</f>
        <v>53.48399999999998</v>
      </c>
      <c r="G1064" s="79">
        <v>40</v>
      </c>
      <c r="H1064" s="76">
        <f t="shared" si="179"/>
        <v>185</v>
      </c>
      <c r="I1064" s="76">
        <f t="shared" si="170"/>
        <v>0</v>
      </c>
      <c r="J1064" s="79">
        <v>100</v>
      </c>
      <c r="K1064" s="79">
        <v>300</v>
      </c>
      <c r="L1064" s="76">
        <f t="shared" si="173"/>
        <v>1274</v>
      </c>
      <c r="M1064" s="87">
        <v>600</v>
      </c>
      <c r="N1064" s="76">
        <f>30</f>
        <v>30</v>
      </c>
      <c r="O1064" s="79">
        <v>240</v>
      </c>
      <c r="P1064" s="79">
        <v>40</v>
      </c>
      <c r="Q1064" s="79">
        <f t="shared" si="174"/>
        <v>315</v>
      </c>
      <c r="R1064" s="79">
        <f t="shared" si="175"/>
        <v>100</v>
      </c>
      <c r="S1064" s="76">
        <f t="shared" si="176"/>
        <v>695</v>
      </c>
      <c r="T1064" s="76">
        <f>0</f>
        <v>0</v>
      </c>
      <c r="U1064" s="77"/>
      <c r="V1064" s="77"/>
      <c r="W1064" s="77"/>
      <c r="X1064" s="77"/>
      <c r="Y1064" s="77"/>
      <c r="Z1064" s="77"/>
      <c r="AA1064" s="77"/>
      <c r="AB1064" s="77"/>
      <c r="AC1064" s="77"/>
      <c r="AD1064" s="77"/>
    </row>
    <row r="1065" spans="1:30" ht="15.75" x14ac:dyDescent="0.25">
      <c r="A1065" s="31">
        <v>73354</v>
      </c>
      <c r="B1065" s="88">
        <f t="shared" si="178"/>
        <v>31</v>
      </c>
      <c r="C1065" s="76">
        <f>131.881</f>
        <v>131.881</v>
      </c>
      <c r="D1065" s="76">
        <f>277.167</f>
        <v>277.16699999999997</v>
      </c>
      <c r="E1065" s="85">
        <f>79.08</f>
        <v>79.08</v>
      </c>
      <c r="F1065" s="76">
        <f>350.872-40-25-60-100</f>
        <v>125.87200000000001</v>
      </c>
      <c r="G1065" s="79">
        <v>40</v>
      </c>
      <c r="H1065" s="76">
        <f t="shared" si="179"/>
        <v>185</v>
      </c>
      <c r="I1065" s="76">
        <f t="shared" si="170"/>
        <v>0</v>
      </c>
      <c r="J1065" s="79">
        <v>100</v>
      </c>
      <c r="K1065" s="79">
        <v>300</v>
      </c>
      <c r="L1065" s="76">
        <f t="shared" si="173"/>
        <v>1239</v>
      </c>
      <c r="M1065" s="87">
        <v>600</v>
      </c>
      <c r="N1065" s="76">
        <f>75</f>
        <v>75</v>
      </c>
      <c r="O1065" s="79">
        <v>240</v>
      </c>
      <c r="P1065" s="79">
        <v>40</v>
      </c>
      <c r="Q1065" s="79">
        <f t="shared" si="174"/>
        <v>315</v>
      </c>
      <c r="R1065" s="79">
        <f t="shared" si="175"/>
        <v>100</v>
      </c>
      <c r="S1065" s="76">
        <f t="shared" si="176"/>
        <v>695</v>
      </c>
      <c r="T1065" s="76">
        <f>0</f>
        <v>0</v>
      </c>
      <c r="U1065" s="77"/>
      <c r="V1065" s="77"/>
      <c r="W1065" s="77"/>
      <c r="X1065" s="77"/>
      <c r="Y1065" s="77"/>
      <c r="Z1065" s="77"/>
      <c r="AA1065" s="77"/>
      <c r="AB1065" s="77"/>
      <c r="AC1065" s="77"/>
      <c r="AD1065" s="77"/>
    </row>
    <row r="1066" spans="1:30" ht="15.75" x14ac:dyDescent="0.25">
      <c r="A1066" s="31">
        <v>73384</v>
      </c>
      <c r="B1066" s="88">
        <f t="shared" si="178"/>
        <v>30</v>
      </c>
      <c r="C1066" s="76">
        <f>122.58</f>
        <v>122.58</v>
      </c>
      <c r="D1066" s="76">
        <f>297.941</f>
        <v>297.94099999999997</v>
      </c>
      <c r="E1066" s="85">
        <f>89.177</f>
        <v>89.177000000000007</v>
      </c>
      <c r="F1066" s="76">
        <f>240.302-40-60-100</f>
        <v>40.301999999999992</v>
      </c>
      <c r="G1066" s="79">
        <v>40</v>
      </c>
      <c r="H1066" s="76">
        <f>60+100</f>
        <v>160</v>
      </c>
      <c r="I1066" s="76">
        <f t="shared" si="170"/>
        <v>0</v>
      </c>
      <c r="J1066" s="79">
        <v>100</v>
      </c>
      <c r="K1066" s="79">
        <v>300</v>
      </c>
      <c r="L1066" s="76">
        <f t="shared" si="173"/>
        <v>1150</v>
      </c>
      <c r="M1066" s="87">
        <v>600</v>
      </c>
      <c r="N1066" s="76">
        <f>100</f>
        <v>100</v>
      </c>
      <c r="O1066" s="79">
        <v>240</v>
      </c>
      <c r="P1066" s="79">
        <v>40</v>
      </c>
      <c r="Q1066" s="79">
        <f t="shared" si="174"/>
        <v>315</v>
      </c>
      <c r="R1066" s="79">
        <f t="shared" si="175"/>
        <v>100</v>
      </c>
      <c r="S1066" s="76">
        <f t="shared" si="176"/>
        <v>695</v>
      </c>
      <c r="T1066" s="76">
        <f>50</f>
        <v>50</v>
      </c>
      <c r="U1066" s="77"/>
      <c r="V1066" s="77"/>
      <c r="W1066" s="77"/>
      <c r="X1066" s="77"/>
      <c r="Y1066" s="77"/>
      <c r="Z1066" s="77"/>
      <c r="AA1066" s="77"/>
      <c r="AB1066" s="77"/>
      <c r="AC1066" s="77"/>
      <c r="AD1066" s="77"/>
    </row>
    <row r="1067" spans="1:30" ht="15.75" x14ac:dyDescent="0.25">
      <c r="A1067" s="31">
        <v>73415</v>
      </c>
      <c r="B1067" s="88">
        <f t="shared" si="178"/>
        <v>31</v>
      </c>
      <c r="C1067" s="76">
        <f>122.58</f>
        <v>122.58</v>
      </c>
      <c r="D1067" s="76">
        <f>297.941</f>
        <v>297.94099999999997</v>
      </c>
      <c r="E1067" s="85">
        <f>89.177</f>
        <v>89.177000000000007</v>
      </c>
      <c r="F1067" s="76">
        <f>240.302-40-60-100</f>
        <v>40.301999999999992</v>
      </c>
      <c r="G1067" s="79">
        <v>40</v>
      </c>
      <c r="H1067" s="76">
        <f>60+100</f>
        <v>160</v>
      </c>
      <c r="I1067" s="76">
        <f t="shared" si="170"/>
        <v>0</v>
      </c>
      <c r="J1067" s="79">
        <v>100</v>
      </c>
      <c r="K1067" s="79">
        <v>300</v>
      </c>
      <c r="L1067" s="76">
        <f t="shared" si="173"/>
        <v>1150</v>
      </c>
      <c r="M1067" s="87">
        <v>600</v>
      </c>
      <c r="N1067" s="76">
        <f>100</f>
        <v>100</v>
      </c>
      <c r="O1067" s="79">
        <v>240</v>
      </c>
      <c r="P1067" s="79">
        <v>40</v>
      </c>
      <c r="Q1067" s="79">
        <f t="shared" si="174"/>
        <v>315</v>
      </c>
      <c r="R1067" s="79">
        <f t="shared" si="175"/>
        <v>100</v>
      </c>
      <c r="S1067" s="76">
        <f t="shared" si="176"/>
        <v>695</v>
      </c>
      <c r="T1067" s="76">
        <f>50</f>
        <v>50</v>
      </c>
      <c r="U1067" s="77"/>
      <c r="V1067" s="77"/>
      <c r="W1067" s="77"/>
      <c r="X1067" s="77"/>
      <c r="Y1067" s="77"/>
      <c r="Z1067" s="77"/>
      <c r="AA1067" s="77"/>
      <c r="AB1067" s="77"/>
      <c r="AC1067" s="77"/>
      <c r="AD1067" s="77"/>
    </row>
    <row r="1068" spans="1:30" ht="15" x14ac:dyDescent="0.2">
      <c r="A1068" s="12"/>
      <c r="B1068" s="86"/>
      <c r="C1068" s="76"/>
      <c r="D1068" s="76"/>
      <c r="E1068" s="85"/>
      <c r="F1068" s="76"/>
      <c r="G1068" s="76"/>
      <c r="H1068" s="76"/>
      <c r="I1068" s="76"/>
      <c r="J1068" s="76"/>
      <c r="K1068" s="76"/>
      <c r="L1068" s="76"/>
      <c r="M1068" s="76"/>
      <c r="N1068" s="76"/>
      <c r="O1068" s="79"/>
      <c r="P1068" s="79"/>
      <c r="Q1068" s="79"/>
      <c r="R1068" s="79"/>
      <c r="S1068" s="76"/>
      <c r="T1068" s="76"/>
      <c r="U1068" s="77"/>
      <c r="V1068" s="77"/>
      <c r="W1068" s="77"/>
      <c r="X1068" s="77"/>
      <c r="Y1068" s="77"/>
      <c r="Z1068" s="77"/>
      <c r="AA1068" s="77"/>
      <c r="AB1068" s="77"/>
      <c r="AC1068" s="77"/>
      <c r="AD1068" s="77"/>
    </row>
    <row r="1069" spans="1:30" ht="15" x14ac:dyDescent="0.2">
      <c r="A1069" s="10">
        <v>2013</v>
      </c>
      <c r="B1069" s="10">
        <f t="shared" ref="B1069:B1100" si="180">DATE(A1069+1,1,1)-DATE(A1069,1,1)</f>
        <v>365</v>
      </c>
      <c r="C1069" s="80">
        <f t="shared" ref="C1069:L1069" si="181">AVERAGE(C12:C23)</f>
        <v>154.75825</v>
      </c>
      <c r="D1069" s="80">
        <f t="shared" si="181"/>
        <v>281.0162499999999</v>
      </c>
      <c r="E1069" s="80">
        <f t="shared" si="181"/>
        <v>109.1005</v>
      </c>
      <c r="F1069" s="80">
        <f t="shared" si="181"/>
        <v>217.04166666666666</v>
      </c>
      <c r="G1069" s="80">
        <f t="shared" si="181"/>
        <v>40</v>
      </c>
      <c r="H1069" s="80">
        <f t="shared" si="181"/>
        <v>14.583333333333334</v>
      </c>
      <c r="I1069" s="80">
        <f t="shared" si="181"/>
        <v>12.5</v>
      </c>
      <c r="J1069" s="80">
        <f t="shared" si="181"/>
        <v>100</v>
      </c>
      <c r="K1069" s="80">
        <f t="shared" si="181"/>
        <v>300</v>
      </c>
      <c r="L1069" s="80">
        <f t="shared" si="181"/>
        <v>1229</v>
      </c>
      <c r="M1069" s="84"/>
      <c r="N1069" s="80">
        <f t="shared" ref="N1069:T1069" si="182">AVERAGE(N12:N23)</f>
        <v>97.5</v>
      </c>
      <c r="O1069" s="81">
        <f t="shared" si="182"/>
        <v>240</v>
      </c>
      <c r="P1069" s="81">
        <f t="shared" si="182"/>
        <v>70</v>
      </c>
      <c r="Q1069" s="81">
        <f t="shared" si="182"/>
        <v>285</v>
      </c>
      <c r="R1069" s="81">
        <f t="shared" si="182"/>
        <v>100</v>
      </c>
      <c r="S1069" s="80">
        <f t="shared" si="182"/>
        <v>695</v>
      </c>
      <c r="T1069" s="80">
        <f t="shared" si="182"/>
        <v>33.333333333333336</v>
      </c>
      <c r="U1069" s="77"/>
      <c r="V1069" s="77"/>
      <c r="W1069" s="77"/>
      <c r="X1069" s="77"/>
      <c r="Y1069" s="77"/>
      <c r="Z1069" s="77"/>
      <c r="AA1069" s="77"/>
      <c r="AB1069" s="77"/>
      <c r="AC1069" s="77"/>
      <c r="AD1069" s="77"/>
    </row>
    <row r="1070" spans="1:30" ht="15.75" x14ac:dyDescent="0.25">
      <c r="A1070" s="10">
        <v>2014</v>
      </c>
      <c r="B1070" s="10">
        <f t="shared" si="180"/>
        <v>365</v>
      </c>
      <c r="C1070" s="80">
        <f t="shared" ref="C1070:L1070" si="183">AVERAGE(C24:C35)</f>
        <v>154.75825</v>
      </c>
      <c r="D1070" s="80">
        <f t="shared" si="183"/>
        <v>281.0162499999999</v>
      </c>
      <c r="E1070" s="80">
        <f t="shared" si="183"/>
        <v>109.1005</v>
      </c>
      <c r="F1070" s="80">
        <f t="shared" si="183"/>
        <v>217.04166666666666</v>
      </c>
      <c r="G1070" s="80">
        <f t="shared" si="183"/>
        <v>40</v>
      </c>
      <c r="H1070" s="80">
        <f t="shared" si="183"/>
        <v>14.583333333333334</v>
      </c>
      <c r="I1070" s="80">
        <f t="shared" si="183"/>
        <v>20.833333333333332</v>
      </c>
      <c r="J1070" s="80">
        <f t="shared" si="183"/>
        <v>100</v>
      </c>
      <c r="K1070" s="80">
        <f t="shared" si="183"/>
        <v>300</v>
      </c>
      <c r="L1070" s="80">
        <f t="shared" si="183"/>
        <v>1237.3333333333333</v>
      </c>
      <c r="M1070" s="83"/>
      <c r="N1070" s="80">
        <f t="shared" ref="N1070:T1070" si="184">AVERAGE(N24:N35)</f>
        <v>72.5</v>
      </c>
      <c r="O1070" s="81">
        <f t="shared" si="184"/>
        <v>240</v>
      </c>
      <c r="P1070" s="81">
        <f t="shared" si="184"/>
        <v>70</v>
      </c>
      <c r="Q1070" s="81">
        <f t="shared" si="184"/>
        <v>285</v>
      </c>
      <c r="R1070" s="81">
        <f t="shared" si="184"/>
        <v>100</v>
      </c>
      <c r="S1070" s="80">
        <f t="shared" si="184"/>
        <v>695</v>
      </c>
      <c r="T1070" s="80">
        <f t="shared" si="184"/>
        <v>33.333333333333336</v>
      </c>
      <c r="U1070" s="77"/>
      <c r="V1070" s="77"/>
      <c r="W1070" s="77"/>
      <c r="X1070" s="77"/>
      <c r="Y1070" s="77"/>
      <c r="Z1070" s="77"/>
      <c r="AA1070" s="77"/>
      <c r="AB1070" s="77"/>
      <c r="AC1070" s="77"/>
      <c r="AD1070" s="77"/>
    </row>
    <row r="1071" spans="1:30" ht="15.75" x14ac:dyDescent="0.25">
      <c r="A1071" s="10">
        <v>2015</v>
      </c>
      <c r="B1071" s="10">
        <f t="shared" si="180"/>
        <v>365</v>
      </c>
      <c r="C1071" s="80">
        <f t="shared" ref="C1071:L1071" si="185">AVERAGE(C36:C47)</f>
        <v>154.75825</v>
      </c>
      <c r="D1071" s="80">
        <f t="shared" si="185"/>
        <v>281.0162499999999</v>
      </c>
      <c r="E1071" s="80">
        <f t="shared" si="185"/>
        <v>109.1005</v>
      </c>
      <c r="F1071" s="80">
        <f t="shared" si="185"/>
        <v>97.041666666666629</v>
      </c>
      <c r="G1071" s="80">
        <f t="shared" si="185"/>
        <v>40</v>
      </c>
      <c r="H1071" s="80">
        <f t="shared" si="185"/>
        <v>134.58333333333334</v>
      </c>
      <c r="I1071" s="80">
        <f t="shared" si="185"/>
        <v>20.833333333333332</v>
      </c>
      <c r="J1071" s="80">
        <f t="shared" si="185"/>
        <v>100</v>
      </c>
      <c r="K1071" s="80">
        <f t="shared" si="185"/>
        <v>300</v>
      </c>
      <c r="L1071" s="80">
        <f t="shared" si="185"/>
        <v>1237.3333333333333</v>
      </c>
      <c r="M1071" s="83"/>
      <c r="N1071" s="80">
        <f t="shared" ref="N1071:T1071" si="186">AVERAGE(N36:N47)</f>
        <v>72.5</v>
      </c>
      <c r="O1071" s="81">
        <f t="shared" si="186"/>
        <v>240</v>
      </c>
      <c r="P1071" s="81">
        <f t="shared" si="186"/>
        <v>100</v>
      </c>
      <c r="Q1071" s="81">
        <f t="shared" si="186"/>
        <v>255</v>
      </c>
      <c r="R1071" s="81">
        <f t="shared" si="186"/>
        <v>100</v>
      </c>
      <c r="S1071" s="80">
        <f t="shared" si="186"/>
        <v>695</v>
      </c>
      <c r="T1071" s="80">
        <f t="shared" si="186"/>
        <v>33.333333333333336</v>
      </c>
      <c r="U1071" s="77"/>
      <c r="V1071" s="77"/>
      <c r="W1071" s="77"/>
      <c r="X1071" s="77"/>
      <c r="Y1071" s="77"/>
      <c r="Z1071" s="77"/>
      <c r="AA1071" s="77"/>
      <c r="AB1071" s="77"/>
      <c r="AC1071" s="77"/>
      <c r="AD1071" s="77"/>
    </row>
    <row r="1072" spans="1:30" ht="15.75" x14ac:dyDescent="0.25">
      <c r="A1072" s="10">
        <v>2016</v>
      </c>
      <c r="B1072" s="10">
        <f t="shared" si="180"/>
        <v>366</v>
      </c>
      <c r="C1072" s="80">
        <f t="shared" ref="C1072:L1072" si="187">AVERAGE(C48:C59)</f>
        <v>154.75825</v>
      </c>
      <c r="D1072" s="80">
        <f t="shared" si="187"/>
        <v>281.0162499999999</v>
      </c>
      <c r="E1072" s="80">
        <f t="shared" si="187"/>
        <v>109.1005</v>
      </c>
      <c r="F1072" s="80">
        <f t="shared" si="187"/>
        <v>57.041666666666664</v>
      </c>
      <c r="G1072" s="80">
        <f t="shared" si="187"/>
        <v>40</v>
      </c>
      <c r="H1072" s="80">
        <f t="shared" si="187"/>
        <v>174.58333333333334</v>
      </c>
      <c r="I1072" s="80">
        <f t="shared" si="187"/>
        <v>0</v>
      </c>
      <c r="J1072" s="80">
        <f t="shared" si="187"/>
        <v>100</v>
      </c>
      <c r="K1072" s="80">
        <f t="shared" si="187"/>
        <v>300</v>
      </c>
      <c r="L1072" s="80">
        <f t="shared" si="187"/>
        <v>1216.5</v>
      </c>
      <c r="M1072" s="83"/>
      <c r="N1072" s="80">
        <f t="shared" ref="N1072:T1072" si="188">AVERAGE(N48:N59)</f>
        <v>72.5</v>
      </c>
      <c r="O1072" s="81">
        <f t="shared" si="188"/>
        <v>240</v>
      </c>
      <c r="P1072" s="81">
        <f t="shared" si="188"/>
        <v>110</v>
      </c>
      <c r="Q1072" s="81">
        <f t="shared" si="188"/>
        <v>245</v>
      </c>
      <c r="R1072" s="81">
        <f t="shared" si="188"/>
        <v>100</v>
      </c>
      <c r="S1072" s="80">
        <f t="shared" si="188"/>
        <v>695</v>
      </c>
      <c r="T1072" s="80">
        <f t="shared" si="188"/>
        <v>33.333333333333336</v>
      </c>
      <c r="U1072" s="77"/>
      <c r="V1072" s="77"/>
      <c r="W1072" s="77"/>
      <c r="X1072" s="77"/>
      <c r="Y1072" s="77"/>
      <c r="Z1072" s="77"/>
      <c r="AA1072" s="77"/>
      <c r="AB1072" s="77"/>
      <c r="AC1072" s="77"/>
      <c r="AD1072" s="77"/>
    </row>
    <row r="1073" spans="1:30" ht="15" x14ac:dyDescent="0.2">
      <c r="A1073" s="10">
        <v>2017</v>
      </c>
      <c r="B1073" s="10">
        <f t="shared" si="180"/>
        <v>365</v>
      </c>
      <c r="C1073" s="80">
        <f t="shared" ref="C1073:T1073" si="189">AVERAGE(C60:C71)</f>
        <v>154.75825</v>
      </c>
      <c r="D1073" s="80">
        <f t="shared" si="189"/>
        <v>281.0162499999999</v>
      </c>
      <c r="E1073" s="80">
        <f t="shared" si="189"/>
        <v>109.1005</v>
      </c>
      <c r="F1073" s="80">
        <f t="shared" si="189"/>
        <v>57.041666666666664</v>
      </c>
      <c r="G1073" s="80">
        <f t="shared" si="189"/>
        <v>40</v>
      </c>
      <c r="H1073" s="80">
        <f t="shared" si="189"/>
        <v>174.58333333333334</v>
      </c>
      <c r="I1073" s="80">
        <f t="shared" si="189"/>
        <v>0</v>
      </c>
      <c r="J1073" s="80">
        <f t="shared" si="189"/>
        <v>100</v>
      </c>
      <c r="K1073" s="80">
        <f t="shared" si="189"/>
        <v>300</v>
      </c>
      <c r="L1073" s="80">
        <f t="shared" si="189"/>
        <v>1216.5</v>
      </c>
      <c r="M1073" s="82">
        <f t="shared" si="189"/>
        <v>400</v>
      </c>
      <c r="N1073" s="80">
        <f t="shared" si="189"/>
        <v>72.5</v>
      </c>
      <c r="O1073" s="81">
        <f t="shared" si="189"/>
        <v>240</v>
      </c>
      <c r="P1073" s="81">
        <f t="shared" si="189"/>
        <v>110</v>
      </c>
      <c r="Q1073" s="81">
        <f t="shared" si="189"/>
        <v>245</v>
      </c>
      <c r="R1073" s="81">
        <f t="shared" si="189"/>
        <v>100</v>
      </c>
      <c r="S1073" s="80">
        <f t="shared" si="189"/>
        <v>695</v>
      </c>
      <c r="T1073" s="80">
        <f t="shared" si="189"/>
        <v>33.333333333333336</v>
      </c>
      <c r="U1073" s="77"/>
      <c r="V1073" s="77"/>
      <c r="W1073" s="77"/>
      <c r="X1073" s="77"/>
      <c r="Y1073" s="77"/>
      <c r="Z1073" s="77"/>
      <c r="AA1073" s="77"/>
      <c r="AB1073" s="77"/>
      <c r="AC1073" s="77"/>
      <c r="AD1073" s="77"/>
    </row>
    <row r="1074" spans="1:30" ht="15" x14ac:dyDescent="0.2">
      <c r="A1074" s="10">
        <v>2018</v>
      </c>
      <c r="B1074" s="10">
        <f t="shared" si="180"/>
        <v>365</v>
      </c>
      <c r="C1074" s="80">
        <f t="shared" ref="C1074:T1074" si="190">AVERAGE(C72:C83)</f>
        <v>154.75825</v>
      </c>
      <c r="D1074" s="80">
        <f t="shared" si="190"/>
        <v>281.0162499999999</v>
      </c>
      <c r="E1074" s="80">
        <f t="shared" si="190"/>
        <v>109.1005</v>
      </c>
      <c r="F1074" s="80">
        <f t="shared" si="190"/>
        <v>57.041666666666664</v>
      </c>
      <c r="G1074" s="80">
        <f t="shared" si="190"/>
        <v>40</v>
      </c>
      <c r="H1074" s="80">
        <f t="shared" si="190"/>
        <v>174.58333333333334</v>
      </c>
      <c r="I1074" s="80">
        <f t="shared" si="190"/>
        <v>0</v>
      </c>
      <c r="J1074" s="80">
        <f t="shared" si="190"/>
        <v>100</v>
      </c>
      <c r="K1074" s="80">
        <f t="shared" si="190"/>
        <v>300</v>
      </c>
      <c r="L1074" s="80">
        <f t="shared" si="190"/>
        <v>1216.5</v>
      </c>
      <c r="M1074" s="82">
        <f t="shared" si="190"/>
        <v>400</v>
      </c>
      <c r="N1074" s="80">
        <f t="shared" si="190"/>
        <v>72.5</v>
      </c>
      <c r="O1074" s="81">
        <f t="shared" si="190"/>
        <v>240</v>
      </c>
      <c r="P1074" s="81">
        <f t="shared" si="190"/>
        <v>110</v>
      </c>
      <c r="Q1074" s="81">
        <f t="shared" si="190"/>
        <v>245</v>
      </c>
      <c r="R1074" s="81">
        <f t="shared" si="190"/>
        <v>100</v>
      </c>
      <c r="S1074" s="80">
        <f t="shared" si="190"/>
        <v>695</v>
      </c>
      <c r="T1074" s="80">
        <f t="shared" si="190"/>
        <v>33.333333333333336</v>
      </c>
      <c r="U1074" s="77"/>
      <c r="V1074" s="77"/>
      <c r="W1074" s="77"/>
      <c r="X1074" s="77"/>
      <c r="Y1074" s="77"/>
      <c r="Z1074" s="77"/>
      <c r="AA1074" s="77"/>
      <c r="AB1074" s="77"/>
      <c r="AC1074" s="77"/>
      <c r="AD1074" s="77"/>
    </row>
    <row r="1075" spans="1:30" ht="15" x14ac:dyDescent="0.2">
      <c r="A1075" s="10">
        <v>2019</v>
      </c>
      <c r="B1075" s="10">
        <f t="shared" si="180"/>
        <v>365</v>
      </c>
      <c r="C1075" s="80">
        <f t="shared" ref="C1075:T1075" si="191">AVERAGE(C84:C95)</f>
        <v>154.75825</v>
      </c>
      <c r="D1075" s="80">
        <f t="shared" si="191"/>
        <v>281.0162499999999</v>
      </c>
      <c r="E1075" s="80">
        <f t="shared" si="191"/>
        <v>109.1005</v>
      </c>
      <c r="F1075" s="80">
        <f t="shared" si="191"/>
        <v>57.041666666666664</v>
      </c>
      <c r="G1075" s="80">
        <f t="shared" si="191"/>
        <v>40</v>
      </c>
      <c r="H1075" s="80">
        <f t="shared" si="191"/>
        <v>174.58333333333334</v>
      </c>
      <c r="I1075" s="80">
        <f t="shared" si="191"/>
        <v>0</v>
      </c>
      <c r="J1075" s="80">
        <f t="shared" si="191"/>
        <v>100</v>
      </c>
      <c r="K1075" s="80">
        <f t="shared" si="191"/>
        <v>300</v>
      </c>
      <c r="L1075" s="80">
        <f t="shared" si="191"/>
        <v>1216.5</v>
      </c>
      <c r="M1075" s="82">
        <f t="shared" si="191"/>
        <v>400</v>
      </c>
      <c r="N1075" s="80">
        <f t="shared" si="191"/>
        <v>72.5</v>
      </c>
      <c r="O1075" s="81">
        <f t="shared" si="191"/>
        <v>240</v>
      </c>
      <c r="P1075" s="81">
        <f t="shared" si="191"/>
        <v>110</v>
      </c>
      <c r="Q1075" s="81">
        <f t="shared" si="191"/>
        <v>245</v>
      </c>
      <c r="R1075" s="81">
        <f t="shared" si="191"/>
        <v>100</v>
      </c>
      <c r="S1075" s="80">
        <f t="shared" si="191"/>
        <v>695</v>
      </c>
      <c r="T1075" s="80">
        <f t="shared" si="191"/>
        <v>33.333333333333336</v>
      </c>
      <c r="U1075" s="77"/>
      <c r="V1075" s="77"/>
      <c r="W1075" s="77"/>
      <c r="X1075" s="77"/>
      <c r="Y1075" s="77"/>
      <c r="Z1075" s="77"/>
      <c r="AA1075" s="77"/>
      <c r="AB1075" s="77"/>
      <c r="AC1075" s="77"/>
      <c r="AD1075" s="77"/>
    </row>
    <row r="1076" spans="1:30" ht="15" x14ac:dyDescent="0.2">
      <c r="A1076" s="10">
        <v>2020</v>
      </c>
      <c r="B1076" s="10">
        <f t="shared" si="180"/>
        <v>366</v>
      </c>
      <c r="C1076" s="80">
        <f t="shared" ref="C1076:T1076" si="192">AVERAGE(C96:C107)</f>
        <v>154.75825</v>
      </c>
      <c r="D1076" s="80">
        <f t="shared" si="192"/>
        <v>281.0162499999999</v>
      </c>
      <c r="E1076" s="80">
        <f t="shared" si="192"/>
        <v>109.1005</v>
      </c>
      <c r="F1076" s="80">
        <f t="shared" si="192"/>
        <v>57.041666666666664</v>
      </c>
      <c r="G1076" s="80">
        <f t="shared" si="192"/>
        <v>40</v>
      </c>
      <c r="H1076" s="80">
        <f t="shared" si="192"/>
        <v>174.58333333333334</v>
      </c>
      <c r="I1076" s="80">
        <f t="shared" si="192"/>
        <v>0</v>
      </c>
      <c r="J1076" s="80">
        <f t="shared" si="192"/>
        <v>100</v>
      </c>
      <c r="K1076" s="80">
        <f t="shared" si="192"/>
        <v>300</v>
      </c>
      <c r="L1076" s="80">
        <f t="shared" si="192"/>
        <v>1216.5</v>
      </c>
      <c r="M1076" s="82">
        <f t="shared" si="192"/>
        <v>533.33333333333337</v>
      </c>
      <c r="N1076" s="80">
        <f t="shared" si="192"/>
        <v>72.5</v>
      </c>
      <c r="O1076" s="81">
        <f t="shared" si="192"/>
        <v>240</v>
      </c>
      <c r="P1076" s="81">
        <f t="shared" si="192"/>
        <v>110</v>
      </c>
      <c r="Q1076" s="81">
        <f t="shared" si="192"/>
        <v>245</v>
      </c>
      <c r="R1076" s="81">
        <f t="shared" si="192"/>
        <v>100</v>
      </c>
      <c r="S1076" s="80">
        <f t="shared" si="192"/>
        <v>695</v>
      </c>
      <c r="T1076" s="80">
        <f t="shared" si="192"/>
        <v>33.333333333333336</v>
      </c>
      <c r="U1076" s="77"/>
      <c r="V1076" s="77"/>
      <c r="W1076" s="77"/>
      <c r="X1076" s="77"/>
      <c r="Y1076" s="77"/>
      <c r="Z1076" s="77"/>
      <c r="AA1076" s="77"/>
      <c r="AB1076" s="77"/>
      <c r="AC1076" s="77"/>
      <c r="AD1076" s="77"/>
    </row>
    <row r="1077" spans="1:30" ht="15" x14ac:dyDescent="0.2">
      <c r="A1077" s="10">
        <v>2021</v>
      </c>
      <c r="B1077" s="10">
        <f t="shared" si="180"/>
        <v>365</v>
      </c>
      <c r="C1077" s="80">
        <f t="shared" ref="C1077:T1077" si="193">AVERAGE(C108:C119)</f>
        <v>154.75825</v>
      </c>
      <c r="D1077" s="80">
        <f t="shared" si="193"/>
        <v>281.0162499999999</v>
      </c>
      <c r="E1077" s="80">
        <f t="shared" si="193"/>
        <v>109.1005</v>
      </c>
      <c r="F1077" s="80">
        <f t="shared" si="193"/>
        <v>57.041666666666664</v>
      </c>
      <c r="G1077" s="80">
        <f t="shared" si="193"/>
        <v>40</v>
      </c>
      <c r="H1077" s="80">
        <f t="shared" si="193"/>
        <v>174.58333333333334</v>
      </c>
      <c r="I1077" s="80">
        <f t="shared" si="193"/>
        <v>0</v>
      </c>
      <c r="J1077" s="80">
        <f t="shared" si="193"/>
        <v>100</v>
      </c>
      <c r="K1077" s="80">
        <f t="shared" si="193"/>
        <v>300</v>
      </c>
      <c r="L1077" s="80">
        <f t="shared" si="193"/>
        <v>1216.5</v>
      </c>
      <c r="M1077" s="82">
        <f t="shared" si="193"/>
        <v>600</v>
      </c>
      <c r="N1077" s="80">
        <f t="shared" si="193"/>
        <v>72.5</v>
      </c>
      <c r="O1077" s="81">
        <f t="shared" si="193"/>
        <v>240</v>
      </c>
      <c r="P1077" s="81">
        <f t="shared" si="193"/>
        <v>110</v>
      </c>
      <c r="Q1077" s="81">
        <f t="shared" si="193"/>
        <v>245</v>
      </c>
      <c r="R1077" s="81">
        <f t="shared" si="193"/>
        <v>100</v>
      </c>
      <c r="S1077" s="80">
        <f t="shared" si="193"/>
        <v>695</v>
      </c>
      <c r="T1077" s="80">
        <f t="shared" si="193"/>
        <v>33.333333333333336</v>
      </c>
      <c r="U1077" s="77"/>
      <c r="V1077" s="77"/>
      <c r="W1077" s="77"/>
      <c r="X1077" s="77"/>
      <c r="Y1077" s="77"/>
      <c r="Z1077" s="77"/>
      <c r="AA1077" s="77"/>
      <c r="AB1077" s="77"/>
      <c r="AC1077" s="77"/>
      <c r="AD1077" s="77"/>
    </row>
    <row r="1078" spans="1:30" ht="15" x14ac:dyDescent="0.2">
      <c r="A1078" s="10">
        <v>2022</v>
      </c>
      <c r="B1078" s="10">
        <f t="shared" si="180"/>
        <v>365</v>
      </c>
      <c r="C1078" s="80">
        <f t="shared" ref="C1078:T1078" si="194">AVERAGE(C120:C131)</f>
        <v>154.75825</v>
      </c>
      <c r="D1078" s="80">
        <f t="shared" si="194"/>
        <v>281.0162499999999</v>
      </c>
      <c r="E1078" s="80">
        <f t="shared" si="194"/>
        <v>109.1005</v>
      </c>
      <c r="F1078" s="80">
        <f t="shared" si="194"/>
        <v>57.041666666666664</v>
      </c>
      <c r="G1078" s="80">
        <f t="shared" si="194"/>
        <v>40</v>
      </c>
      <c r="H1078" s="80">
        <f t="shared" si="194"/>
        <v>174.58333333333334</v>
      </c>
      <c r="I1078" s="80">
        <f t="shared" si="194"/>
        <v>0</v>
      </c>
      <c r="J1078" s="80">
        <f t="shared" si="194"/>
        <v>100</v>
      </c>
      <c r="K1078" s="80">
        <f t="shared" si="194"/>
        <v>300</v>
      </c>
      <c r="L1078" s="80">
        <f t="shared" si="194"/>
        <v>1216.5</v>
      </c>
      <c r="M1078" s="82">
        <f t="shared" si="194"/>
        <v>600</v>
      </c>
      <c r="N1078" s="80">
        <f t="shared" si="194"/>
        <v>72.5</v>
      </c>
      <c r="O1078" s="81">
        <f t="shared" si="194"/>
        <v>240</v>
      </c>
      <c r="P1078" s="81">
        <f t="shared" si="194"/>
        <v>110</v>
      </c>
      <c r="Q1078" s="81">
        <f t="shared" si="194"/>
        <v>245</v>
      </c>
      <c r="R1078" s="81">
        <f t="shared" si="194"/>
        <v>100</v>
      </c>
      <c r="S1078" s="80">
        <f t="shared" si="194"/>
        <v>695</v>
      </c>
      <c r="T1078" s="80">
        <f t="shared" si="194"/>
        <v>33.333333333333336</v>
      </c>
      <c r="U1078" s="77"/>
      <c r="V1078" s="77"/>
      <c r="W1078" s="77"/>
      <c r="X1078" s="77"/>
      <c r="Y1078" s="77"/>
      <c r="Z1078" s="77"/>
      <c r="AA1078" s="77"/>
      <c r="AB1078" s="77"/>
      <c r="AC1078" s="77"/>
      <c r="AD1078" s="77"/>
    </row>
    <row r="1079" spans="1:30" ht="15" x14ac:dyDescent="0.2">
      <c r="A1079" s="10">
        <v>2023</v>
      </c>
      <c r="B1079" s="10">
        <f t="shared" si="180"/>
        <v>365</v>
      </c>
      <c r="C1079" s="80">
        <f t="shared" ref="C1079:T1079" si="195">AVERAGE(C132:C143)</f>
        <v>154.75825</v>
      </c>
      <c r="D1079" s="80">
        <f t="shared" si="195"/>
        <v>281.0162499999999</v>
      </c>
      <c r="E1079" s="80">
        <f t="shared" si="195"/>
        <v>109.1005</v>
      </c>
      <c r="F1079" s="80">
        <f t="shared" si="195"/>
        <v>57.041666666666664</v>
      </c>
      <c r="G1079" s="80">
        <f t="shared" si="195"/>
        <v>40</v>
      </c>
      <c r="H1079" s="80">
        <f t="shared" si="195"/>
        <v>174.58333333333334</v>
      </c>
      <c r="I1079" s="80">
        <f t="shared" si="195"/>
        <v>0</v>
      </c>
      <c r="J1079" s="80">
        <f t="shared" si="195"/>
        <v>100</v>
      </c>
      <c r="K1079" s="80">
        <f t="shared" si="195"/>
        <v>300</v>
      </c>
      <c r="L1079" s="80">
        <f t="shared" si="195"/>
        <v>1216.5</v>
      </c>
      <c r="M1079" s="82">
        <f t="shared" si="195"/>
        <v>600</v>
      </c>
      <c r="N1079" s="80">
        <f t="shared" si="195"/>
        <v>72.5</v>
      </c>
      <c r="O1079" s="81">
        <f t="shared" si="195"/>
        <v>240</v>
      </c>
      <c r="P1079" s="81">
        <f t="shared" si="195"/>
        <v>110</v>
      </c>
      <c r="Q1079" s="81">
        <f t="shared" si="195"/>
        <v>245</v>
      </c>
      <c r="R1079" s="81">
        <f t="shared" si="195"/>
        <v>100</v>
      </c>
      <c r="S1079" s="80">
        <f t="shared" si="195"/>
        <v>695</v>
      </c>
      <c r="T1079" s="80">
        <f t="shared" si="195"/>
        <v>33.333333333333336</v>
      </c>
      <c r="U1079" s="77"/>
      <c r="V1079" s="77"/>
      <c r="W1079" s="77"/>
      <c r="X1079" s="77"/>
      <c r="Y1079" s="77"/>
      <c r="Z1079" s="77"/>
      <c r="AA1079" s="77"/>
      <c r="AB1079" s="77"/>
      <c r="AC1079" s="77"/>
      <c r="AD1079" s="77"/>
    </row>
    <row r="1080" spans="1:30" ht="15" x14ac:dyDescent="0.2">
      <c r="A1080" s="10">
        <v>2024</v>
      </c>
      <c r="B1080" s="10">
        <f t="shared" si="180"/>
        <v>366</v>
      </c>
      <c r="C1080" s="80">
        <f t="shared" ref="C1080:T1080" si="196">AVERAGE(C144:C155)</f>
        <v>154.75825</v>
      </c>
      <c r="D1080" s="80">
        <f t="shared" si="196"/>
        <v>281.0162499999999</v>
      </c>
      <c r="E1080" s="80">
        <f t="shared" si="196"/>
        <v>109.1005</v>
      </c>
      <c r="F1080" s="80">
        <f t="shared" si="196"/>
        <v>57.041666666666664</v>
      </c>
      <c r="G1080" s="80">
        <f t="shared" si="196"/>
        <v>40</v>
      </c>
      <c r="H1080" s="80">
        <f t="shared" si="196"/>
        <v>174.58333333333334</v>
      </c>
      <c r="I1080" s="80">
        <f t="shared" si="196"/>
        <v>0</v>
      </c>
      <c r="J1080" s="80">
        <f t="shared" si="196"/>
        <v>100</v>
      </c>
      <c r="K1080" s="80">
        <f t="shared" si="196"/>
        <v>300</v>
      </c>
      <c r="L1080" s="80">
        <f t="shared" si="196"/>
        <v>1216.5</v>
      </c>
      <c r="M1080" s="82">
        <f t="shared" si="196"/>
        <v>600</v>
      </c>
      <c r="N1080" s="80">
        <f t="shared" si="196"/>
        <v>72.5</v>
      </c>
      <c r="O1080" s="81">
        <f t="shared" si="196"/>
        <v>240</v>
      </c>
      <c r="P1080" s="81">
        <f t="shared" si="196"/>
        <v>110</v>
      </c>
      <c r="Q1080" s="81">
        <f t="shared" si="196"/>
        <v>245</v>
      </c>
      <c r="R1080" s="81">
        <f t="shared" si="196"/>
        <v>100</v>
      </c>
      <c r="S1080" s="80">
        <f t="shared" si="196"/>
        <v>695</v>
      </c>
      <c r="T1080" s="80">
        <f t="shared" si="196"/>
        <v>33.333333333333336</v>
      </c>
      <c r="U1080" s="77"/>
      <c r="V1080" s="77"/>
      <c r="W1080" s="77"/>
      <c r="X1080" s="77"/>
      <c r="Y1080" s="77"/>
      <c r="Z1080" s="77"/>
      <c r="AA1080" s="77"/>
      <c r="AB1080" s="77"/>
      <c r="AC1080" s="77"/>
      <c r="AD1080" s="77"/>
    </row>
    <row r="1081" spans="1:30" ht="15" x14ac:dyDescent="0.2">
      <c r="A1081" s="10">
        <v>2025</v>
      </c>
      <c r="B1081" s="10">
        <f t="shared" si="180"/>
        <v>365</v>
      </c>
      <c r="C1081" s="80">
        <f t="shared" ref="C1081:T1081" si="197">AVERAGE(C156:C167)</f>
        <v>154.75825</v>
      </c>
      <c r="D1081" s="80">
        <f t="shared" si="197"/>
        <v>281.0162499999999</v>
      </c>
      <c r="E1081" s="80">
        <f t="shared" si="197"/>
        <v>109.1005</v>
      </c>
      <c r="F1081" s="80">
        <f t="shared" si="197"/>
        <v>57.041666666666664</v>
      </c>
      <c r="G1081" s="80">
        <f t="shared" si="197"/>
        <v>40</v>
      </c>
      <c r="H1081" s="80">
        <f t="shared" si="197"/>
        <v>174.58333333333334</v>
      </c>
      <c r="I1081" s="80">
        <f t="shared" si="197"/>
        <v>0</v>
      </c>
      <c r="J1081" s="80">
        <f t="shared" si="197"/>
        <v>100</v>
      </c>
      <c r="K1081" s="80">
        <f t="shared" si="197"/>
        <v>300</v>
      </c>
      <c r="L1081" s="80">
        <f t="shared" si="197"/>
        <v>1216.5</v>
      </c>
      <c r="M1081" s="82">
        <f t="shared" si="197"/>
        <v>600</v>
      </c>
      <c r="N1081" s="80">
        <f t="shared" si="197"/>
        <v>72.5</v>
      </c>
      <c r="O1081" s="81">
        <f t="shared" si="197"/>
        <v>240</v>
      </c>
      <c r="P1081" s="81">
        <f t="shared" si="197"/>
        <v>110</v>
      </c>
      <c r="Q1081" s="81">
        <f t="shared" si="197"/>
        <v>245</v>
      </c>
      <c r="R1081" s="81">
        <f t="shared" si="197"/>
        <v>100</v>
      </c>
      <c r="S1081" s="80">
        <f t="shared" si="197"/>
        <v>695</v>
      </c>
      <c r="T1081" s="80">
        <f t="shared" si="197"/>
        <v>33.333333333333336</v>
      </c>
      <c r="U1081" s="77"/>
      <c r="V1081" s="77"/>
      <c r="W1081" s="77"/>
      <c r="X1081" s="77"/>
      <c r="Y1081" s="77"/>
      <c r="Z1081" s="77"/>
      <c r="AA1081" s="77"/>
      <c r="AB1081" s="77"/>
      <c r="AC1081" s="77"/>
      <c r="AD1081" s="77"/>
    </row>
    <row r="1082" spans="1:30" ht="15" x14ac:dyDescent="0.2">
      <c r="A1082" s="10">
        <v>2026</v>
      </c>
      <c r="B1082" s="10">
        <f t="shared" si="180"/>
        <v>365</v>
      </c>
      <c r="C1082" s="80">
        <f t="shared" ref="C1082:T1082" si="198">AVERAGE(C168:C179)</f>
        <v>154.75825</v>
      </c>
      <c r="D1082" s="80">
        <f t="shared" si="198"/>
        <v>281.0162499999999</v>
      </c>
      <c r="E1082" s="80">
        <f t="shared" si="198"/>
        <v>109.1005</v>
      </c>
      <c r="F1082" s="80">
        <f t="shared" si="198"/>
        <v>57.041666666666664</v>
      </c>
      <c r="G1082" s="80">
        <f t="shared" si="198"/>
        <v>40</v>
      </c>
      <c r="H1082" s="80">
        <f t="shared" si="198"/>
        <v>174.58333333333334</v>
      </c>
      <c r="I1082" s="80">
        <f t="shared" si="198"/>
        <v>0</v>
      </c>
      <c r="J1082" s="80">
        <f t="shared" si="198"/>
        <v>100</v>
      </c>
      <c r="K1082" s="80">
        <f t="shared" si="198"/>
        <v>300</v>
      </c>
      <c r="L1082" s="80">
        <f t="shared" si="198"/>
        <v>1216.5</v>
      </c>
      <c r="M1082" s="82">
        <f t="shared" si="198"/>
        <v>600</v>
      </c>
      <c r="N1082" s="80">
        <f t="shared" si="198"/>
        <v>72.5</v>
      </c>
      <c r="O1082" s="81">
        <f t="shared" si="198"/>
        <v>240</v>
      </c>
      <c r="P1082" s="81">
        <f t="shared" si="198"/>
        <v>110</v>
      </c>
      <c r="Q1082" s="81">
        <f t="shared" si="198"/>
        <v>245</v>
      </c>
      <c r="R1082" s="81">
        <f t="shared" si="198"/>
        <v>100</v>
      </c>
      <c r="S1082" s="80">
        <f t="shared" si="198"/>
        <v>695</v>
      </c>
      <c r="T1082" s="80">
        <f t="shared" si="198"/>
        <v>33.333333333333336</v>
      </c>
      <c r="U1082" s="77"/>
      <c r="V1082" s="77"/>
      <c r="W1082" s="77"/>
      <c r="X1082" s="77"/>
      <c r="Y1082" s="77"/>
      <c r="Z1082" s="77"/>
      <c r="AA1082" s="77"/>
      <c r="AB1082" s="77"/>
      <c r="AC1082" s="77"/>
      <c r="AD1082" s="77"/>
    </row>
    <row r="1083" spans="1:30" ht="15" x14ac:dyDescent="0.2">
      <c r="A1083" s="10">
        <v>2027</v>
      </c>
      <c r="B1083" s="10">
        <f t="shared" si="180"/>
        <v>365</v>
      </c>
      <c r="C1083" s="80">
        <f t="shared" ref="C1083:T1083" si="199">AVERAGE(C180:C191)</f>
        <v>154.75825</v>
      </c>
      <c r="D1083" s="80">
        <f t="shared" si="199"/>
        <v>281.0162499999999</v>
      </c>
      <c r="E1083" s="80">
        <f t="shared" si="199"/>
        <v>109.1005</v>
      </c>
      <c r="F1083" s="80">
        <f t="shared" si="199"/>
        <v>57.041666666666664</v>
      </c>
      <c r="G1083" s="80">
        <f t="shared" si="199"/>
        <v>40</v>
      </c>
      <c r="H1083" s="80">
        <f t="shared" si="199"/>
        <v>174.58333333333334</v>
      </c>
      <c r="I1083" s="80">
        <f t="shared" si="199"/>
        <v>0</v>
      </c>
      <c r="J1083" s="80">
        <f t="shared" si="199"/>
        <v>100</v>
      </c>
      <c r="K1083" s="80">
        <f t="shared" si="199"/>
        <v>300</v>
      </c>
      <c r="L1083" s="80">
        <f t="shared" si="199"/>
        <v>1216.5</v>
      </c>
      <c r="M1083" s="82">
        <f t="shared" si="199"/>
        <v>600</v>
      </c>
      <c r="N1083" s="80">
        <f t="shared" si="199"/>
        <v>72.5</v>
      </c>
      <c r="O1083" s="81">
        <f t="shared" si="199"/>
        <v>240</v>
      </c>
      <c r="P1083" s="81">
        <f t="shared" si="199"/>
        <v>110</v>
      </c>
      <c r="Q1083" s="81">
        <f t="shared" si="199"/>
        <v>245</v>
      </c>
      <c r="R1083" s="81">
        <f t="shared" si="199"/>
        <v>100</v>
      </c>
      <c r="S1083" s="80">
        <f t="shared" si="199"/>
        <v>695</v>
      </c>
      <c r="T1083" s="80">
        <f t="shared" si="199"/>
        <v>33.333333333333336</v>
      </c>
      <c r="U1083" s="77"/>
      <c r="V1083" s="77"/>
      <c r="W1083" s="77"/>
      <c r="X1083" s="77"/>
      <c r="Y1083" s="77"/>
      <c r="Z1083" s="77"/>
      <c r="AA1083" s="77"/>
      <c r="AB1083" s="77"/>
      <c r="AC1083" s="77"/>
      <c r="AD1083" s="77"/>
    </row>
    <row r="1084" spans="1:30" ht="15" x14ac:dyDescent="0.2">
      <c r="A1084" s="10">
        <v>2028</v>
      </c>
      <c r="B1084" s="10">
        <f t="shared" si="180"/>
        <v>366</v>
      </c>
      <c r="C1084" s="80">
        <f t="shared" ref="C1084:T1084" si="200">AVERAGE(C192:C203)</f>
        <v>154.75825</v>
      </c>
      <c r="D1084" s="80">
        <f t="shared" si="200"/>
        <v>281.0162499999999</v>
      </c>
      <c r="E1084" s="80">
        <f t="shared" si="200"/>
        <v>109.1005</v>
      </c>
      <c r="F1084" s="80">
        <f t="shared" si="200"/>
        <v>57.041666666666664</v>
      </c>
      <c r="G1084" s="80">
        <f t="shared" si="200"/>
        <v>40</v>
      </c>
      <c r="H1084" s="80">
        <f t="shared" si="200"/>
        <v>174.58333333333334</v>
      </c>
      <c r="I1084" s="80">
        <f t="shared" si="200"/>
        <v>0</v>
      </c>
      <c r="J1084" s="80">
        <f t="shared" si="200"/>
        <v>100</v>
      </c>
      <c r="K1084" s="80">
        <f t="shared" si="200"/>
        <v>300</v>
      </c>
      <c r="L1084" s="80">
        <f t="shared" si="200"/>
        <v>1216.5</v>
      </c>
      <c r="M1084" s="82">
        <f t="shared" si="200"/>
        <v>600</v>
      </c>
      <c r="N1084" s="80">
        <f t="shared" si="200"/>
        <v>72.5</v>
      </c>
      <c r="O1084" s="81">
        <f t="shared" si="200"/>
        <v>240</v>
      </c>
      <c r="P1084" s="81">
        <f t="shared" si="200"/>
        <v>110</v>
      </c>
      <c r="Q1084" s="81">
        <f t="shared" si="200"/>
        <v>245</v>
      </c>
      <c r="R1084" s="81">
        <f t="shared" si="200"/>
        <v>100</v>
      </c>
      <c r="S1084" s="80">
        <f t="shared" si="200"/>
        <v>695</v>
      </c>
      <c r="T1084" s="80">
        <f t="shared" si="200"/>
        <v>33.333333333333336</v>
      </c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</row>
    <row r="1085" spans="1:30" ht="15" x14ac:dyDescent="0.2">
      <c r="A1085" s="10">
        <v>2029</v>
      </c>
      <c r="B1085" s="10">
        <f t="shared" si="180"/>
        <v>365</v>
      </c>
      <c r="C1085" s="80">
        <f t="shared" ref="C1085:T1085" si="201">AVERAGE(C204:C215)</f>
        <v>154.75825</v>
      </c>
      <c r="D1085" s="80">
        <f t="shared" si="201"/>
        <v>281.0162499999999</v>
      </c>
      <c r="E1085" s="80">
        <f t="shared" si="201"/>
        <v>109.1005</v>
      </c>
      <c r="F1085" s="80">
        <f t="shared" si="201"/>
        <v>57.041666666666664</v>
      </c>
      <c r="G1085" s="80">
        <f t="shared" si="201"/>
        <v>40</v>
      </c>
      <c r="H1085" s="80">
        <f t="shared" si="201"/>
        <v>174.58333333333334</v>
      </c>
      <c r="I1085" s="80">
        <f t="shared" si="201"/>
        <v>0</v>
      </c>
      <c r="J1085" s="80">
        <f t="shared" si="201"/>
        <v>100</v>
      </c>
      <c r="K1085" s="80">
        <f t="shared" si="201"/>
        <v>300</v>
      </c>
      <c r="L1085" s="80">
        <f t="shared" si="201"/>
        <v>1216.5</v>
      </c>
      <c r="M1085" s="82">
        <f t="shared" si="201"/>
        <v>600</v>
      </c>
      <c r="N1085" s="80">
        <f t="shared" si="201"/>
        <v>72.5</v>
      </c>
      <c r="O1085" s="81">
        <f t="shared" si="201"/>
        <v>240</v>
      </c>
      <c r="P1085" s="81">
        <f t="shared" si="201"/>
        <v>110</v>
      </c>
      <c r="Q1085" s="81">
        <f t="shared" si="201"/>
        <v>245</v>
      </c>
      <c r="R1085" s="81">
        <f t="shared" si="201"/>
        <v>100</v>
      </c>
      <c r="S1085" s="80">
        <f t="shared" si="201"/>
        <v>695</v>
      </c>
      <c r="T1085" s="80">
        <f t="shared" si="201"/>
        <v>33.333333333333336</v>
      </c>
      <c r="U1085" s="77"/>
      <c r="V1085" s="77"/>
      <c r="W1085" s="77"/>
      <c r="X1085" s="77"/>
      <c r="Y1085" s="77"/>
      <c r="Z1085" s="77"/>
      <c r="AA1085" s="77"/>
      <c r="AB1085" s="77"/>
      <c r="AC1085" s="77"/>
      <c r="AD1085" s="77"/>
    </row>
    <row r="1086" spans="1:30" ht="15" x14ac:dyDescent="0.2">
      <c r="A1086" s="10">
        <v>2030</v>
      </c>
      <c r="B1086" s="10">
        <f t="shared" si="180"/>
        <v>365</v>
      </c>
      <c r="C1086" s="80">
        <f t="shared" ref="C1086:T1086" si="202">AVERAGE(C216:C227)</f>
        <v>154.75825</v>
      </c>
      <c r="D1086" s="80">
        <f t="shared" si="202"/>
        <v>281.0162499999999</v>
      </c>
      <c r="E1086" s="80">
        <f t="shared" si="202"/>
        <v>109.1005</v>
      </c>
      <c r="F1086" s="80">
        <f t="shared" si="202"/>
        <v>57.041666666666664</v>
      </c>
      <c r="G1086" s="80">
        <f t="shared" si="202"/>
        <v>40</v>
      </c>
      <c r="H1086" s="80">
        <f t="shared" si="202"/>
        <v>174.58333333333334</v>
      </c>
      <c r="I1086" s="80">
        <f t="shared" si="202"/>
        <v>0</v>
      </c>
      <c r="J1086" s="80">
        <f t="shared" si="202"/>
        <v>100</v>
      </c>
      <c r="K1086" s="80">
        <f t="shared" si="202"/>
        <v>300</v>
      </c>
      <c r="L1086" s="80">
        <f t="shared" si="202"/>
        <v>1216.5</v>
      </c>
      <c r="M1086" s="82">
        <f t="shared" si="202"/>
        <v>600</v>
      </c>
      <c r="N1086" s="80">
        <f t="shared" si="202"/>
        <v>72.5</v>
      </c>
      <c r="O1086" s="81">
        <f t="shared" si="202"/>
        <v>240</v>
      </c>
      <c r="P1086" s="81">
        <f t="shared" si="202"/>
        <v>110</v>
      </c>
      <c r="Q1086" s="81">
        <f t="shared" si="202"/>
        <v>245</v>
      </c>
      <c r="R1086" s="81">
        <f t="shared" si="202"/>
        <v>100</v>
      </c>
      <c r="S1086" s="80">
        <f t="shared" si="202"/>
        <v>695</v>
      </c>
      <c r="T1086" s="80">
        <f t="shared" si="202"/>
        <v>33.333333333333336</v>
      </c>
      <c r="U1086" s="77"/>
      <c r="V1086" s="77"/>
      <c r="W1086" s="77"/>
      <c r="X1086" s="77"/>
      <c r="Y1086" s="77"/>
      <c r="Z1086" s="77"/>
      <c r="AA1086" s="77"/>
      <c r="AB1086" s="77"/>
      <c r="AC1086" s="77"/>
      <c r="AD1086" s="77"/>
    </row>
    <row r="1087" spans="1:30" ht="15" x14ac:dyDescent="0.2">
      <c r="A1087" s="10">
        <v>2031</v>
      </c>
      <c r="B1087" s="10">
        <f t="shared" si="180"/>
        <v>365</v>
      </c>
      <c r="C1087" s="80">
        <f t="shared" ref="C1087:T1087" si="203">AVERAGE(C228:C239)</f>
        <v>154.75825</v>
      </c>
      <c r="D1087" s="80">
        <f t="shared" si="203"/>
        <v>281.0162499999999</v>
      </c>
      <c r="E1087" s="80">
        <f t="shared" si="203"/>
        <v>109.1005</v>
      </c>
      <c r="F1087" s="80">
        <f t="shared" si="203"/>
        <v>57.041666666666664</v>
      </c>
      <c r="G1087" s="80">
        <f t="shared" si="203"/>
        <v>40</v>
      </c>
      <c r="H1087" s="80">
        <f t="shared" si="203"/>
        <v>174.58333333333334</v>
      </c>
      <c r="I1087" s="80">
        <f t="shared" si="203"/>
        <v>0</v>
      </c>
      <c r="J1087" s="80">
        <f t="shared" si="203"/>
        <v>100</v>
      </c>
      <c r="K1087" s="80">
        <f t="shared" si="203"/>
        <v>300</v>
      </c>
      <c r="L1087" s="80">
        <f t="shared" si="203"/>
        <v>1216.5</v>
      </c>
      <c r="M1087" s="82">
        <f t="shared" si="203"/>
        <v>600</v>
      </c>
      <c r="N1087" s="80">
        <f t="shared" si="203"/>
        <v>72.5</v>
      </c>
      <c r="O1087" s="81">
        <f t="shared" si="203"/>
        <v>240</v>
      </c>
      <c r="P1087" s="81">
        <f t="shared" si="203"/>
        <v>110</v>
      </c>
      <c r="Q1087" s="81">
        <f t="shared" si="203"/>
        <v>245</v>
      </c>
      <c r="R1087" s="81">
        <f t="shared" si="203"/>
        <v>100</v>
      </c>
      <c r="S1087" s="80">
        <f t="shared" si="203"/>
        <v>695</v>
      </c>
      <c r="T1087" s="80">
        <f t="shared" si="203"/>
        <v>33.333333333333336</v>
      </c>
      <c r="U1087" s="77"/>
      <c r="V1087" s="77"/>
      <c r="W1087" s="77"/>
      <c r="X1087" s="77"/>
      <c r="Y1087" s="77"/>
      <c r="Z1087" s="77"/>
      <c r="AA1087" s="77"/>
      <c r="AB1087" s="77"/>
      <c r="AC1087" s="77"/>
      <c r="AD1087" s="77"/>
    </row>
    <row r="1088" spans="1:30" ht="15" x14ac:dyDescent="0.2">
      <c r="A1088" s="10">
        <v>2032</v>
      </c>
      <c r="B1088" s="10">
        <f t="shared" si="180"/>
        <v>366</v>
      </c>
      <c r="C1088" s="80">
        <f t="shared" ref="C1088:T1088" si="204">AVERAGE(C240:C251)</f>
        <v>154.75825</v>
      </c>
      <c r="D1088" s="80">
        <f t="shared" si="204"/>
        <v>281.0162499999999</v>
      </c>
      <c r="E1088" s="80">
        <f t="shared" si="204"/>
        <v>109.1005</v>
      </c>
      <c r="F1088" s="80">
        <f t="shared" si="204"/>
        <v>57.041666666666664</v>
      </c>
      <c r="G1088" s="80">
        <f t="shared" si="204"/>
        <v>40</v>
      </c>
      <c r="H1088" s="80">
        <f t="shared" si="204"/>
        <v>174.58333333333334</v>
      </c>
      <c r="I1088" s="80">
        <f t="shared" si="204"/>
        <v>0</v>
      </c>
      <c r="J1088" s="80">
        <f t="shared" si="204"/>
        <v>100</v>
      </c>
      <c r="K1088" s="80">
        <f t="shared" si="204"/>
        <v>300</v>
      </c>
      <c r="L1088" s="80">
        <f t="shared" si="204"/>
        <v>1216.5</v>
      </c>
      <c r="M1088" s="82">
        <f t="shared" si="204"/>
        <v>600</v>
      </c>
      <c r="N1088" s="80">
        <f t="shared" si="204"/>
        <v>72.5</v>
      </c>
      <c r="O1088" s="81">
        <f t="shared" si="204"/>
        <v>240</v>
      </c>
      <c r="P1088" s="81">
        <f t="shared" si="204"/>
        <v>110</v>
      </c>
      <c r="Q1088" s="81">
        <f t="shared" si="204"/>
        <v>245</v>
      </c>
      <c r="R1088" s="81">
        <f t="shared" si="204"/>
        <v>100</v>
      </c>
      <c r="S1088" s="80">
        <f t="shared" si="204"/>
        <v>695</v>
      </c>
      <c r="T1088" s="80">
        <f t="shared" si="204"/>
        <v>33.333333333333336</v>
      </c>
      <c r="U1088" s="77"/>
      <c r="V1088" s="77"/>
      <c r="W1088" s="77"/>
      <c r="X1088" s="77"/>
      <c r="Y1088" s="77"/>
      <c r="Z1088" s="77"/>
      <c r="AA1088" s="77"/>
      <c r="AB1088" s="77"/>
      <c r="AC1088" s="77"/>
      <c r="AD1088" s="77"/>
    </row>
    <row r="1089" spans="1:30" ht="15" x14ac:dyDescent="0.2">
      <c r="A1089" s="10">
        <v>2033</v>
      </c>
      <c r="B1089" s="10">
        <f t="shared" si="180"/>
        <v>365</v>
      </c>
      <c r="C1089" s="80">
        <f t="shared" ref="C1089:T1089" si="205">AVERAGE(C252:C263)</f>
        <v>154.75825</v>
      </c>
      <c r="D1089" s="80">
        <f t="shared" si="205"/>
        <v>281.0162499999999</v>
      </c>
      <c r="E1089" s="80">
        <f t="shared" si="205"/>
        <v>109.1005</v>
      </c>
      <c r="F1089" s="80">
        <f t="shared" si="205"/>
        <v>57.041666666666664</v>
      </c>
      <c r="G1089" s="80">
        <f t="shared" si="205"/>
        <v>40</v>
      </c>
      <c r="H1089" s="80">
        <f t="shared" si="205"/>
        <v>174.58333333333334</v>
      </c>
      <c r="I1089" s="80">
        <f t="shared" si="205"/>
        <v>0</v>
      </c>
      <c r="J1089" s="80">
        <f t="shared" si="205"/>
        <v>100</v>
      </c>
      <c r="K1089" s="80">
        <f t="shared" si="205"/>
        <v>300</v>
      </c>
      <c r="L1089" s="80">
        <f t="shared" si="205"/>
        <v>1216.5</v>
      </c>
      <c r="M1089" s="82">
        <f t="shared" si="205"/>
        <v>600</v>
      </c>
      <c r="N1089" s="80">
        <f t="shared" si="205"/>
        <v>72.5</v>
      </c>
      <c r="O1089" s="81">
        <f t="shared" si="205"/>
        <v>240</v>
      </c>
      <c r="P1089" s="81">
        <f t="shared" si="205"/>
        <v>110</v>
      </c>
      <c r="Q1089" s="81">
        <f t="shared" si="205"/>
        <v>245</v>
      </c>
      <c r="R1089" s="81">
        <f t="shared" si="205"/>
        <v>100</v>
      </c>
      <c r="S1089" s="80">
        <f t="shared" si="205"/>
        <v>695</v>
      </c>
      <c r="T1089" s="80">
        <f t="shared" si="205"/>
        <v>33.333333333333336</v>
      </c>
      <c r="U1089" s="77"/>
      <c r="V1089" s="77"/>
      <c r="W1089" s="77"/>
      <c r="X1089" s="77"/>
      <c r="Y1089" s="77"/>
      <c r="Z1089" s="77"/>
      <c r="AA1089" s="77"/>
      <c r="AB1089" s="77"/>
      <c r="AC1089" s="77"/>
      <c r="AD1089" s="77"/>
    </row>
    <row r="1090" spans="1:30" ht="15" x14ac:dyDescent="0.2">
      <c r="A1090" s="10">
        <v>2034</v>
      </c>
      <c r="B1090" s="10">
        <f t="shared" si="180"/>
        <v>365</v>
      </c>
      <c r="C1090" s="80">
        <f t="shared" ref="C1090:T1090" si="206">AVERAGE(C264:C275)</f>
        <v>154.75825</v>
      </c>
      <c r="D1090" s="80">
        <f t="shared" si="206"/>
        <v>281.0162499999999</v>
      </c>
      <c r="E1090" s="80">
        <f t="shared" si="206"/>
        <v>109.1005</v>
      </c>
      <c r="F1090" s="80">
        <f t="shared" si="206"/>
        <v>57.041666666666664</v>
      </c>
      <c r="G1090" s="80">
        <f t="shared" si="206"/>
        <v>40</v>
      </c>
      <c r="H1090" s="80">
        <f t="shared" si="206"/>
        <v>174.58333333333334</v>
      </c>
      <c r="I1090" s="80">
        <f t="shared" si="206"/>
        <v>0</v>
      </c>
      <c r="J1090" s="80">
        <f t="shared" si="206"/>
        <v>100</v>
      </c>
      <c r="K1090" s="80">
        <f t="shared" si="206"/>
        <v>300</v>
      </c>
      <c r="L1090" s="80">
        <f t="shared" si="206"/>
        <v>1216.5</v>
      </c>
      <c r="M1090" s="82">
        <f t="shared" si="206"/>
        <v>600</v>
      </c>
      <c r="N1090" s="80">
        <f t="shared" si="206"/>
        <v>72.5</v>
      </c>
      <c r="O1090" s="81">
        <f t="shared" si="206"/>
        <v>240</v>
      </c>
      <c r="P1090" s="81">
        <f t="shared" si="206"/>
        <v>110</v>
      </c>
      <c r="Q1090" s="81">
        <f t="shared" si="206"/>
        <v>245</v>
      </c>
      <c r="R1090" s="81">
        <f t="shared" si="206"/>
        <v>100</v>
      </c>
      <c r="S1090" s="80">
        <f t="shared" si="206"/>
        <v>695</v>
      </c>
      <c r="T1090" s="80">
        <f t="shared" si="206"/>
        <v>33.333333333333336</v>
      </c>
      <c r="U1090" s="77"/>
      <c r="V1090" s="77"/>
      <c r="W1090" s="77"/>
      <c r="X1090" s="77"/>
      <c r="Y1090" s="77"/>
      <c r="Z1090" s="77"/>
      <c r="AA1090" s="77"/>
      <c r="AB1090" s="77"/>
      <c r="AC1090" s="77"/>
      <c r="AD1090" s="77"/>
    </row>
    <row r="1091" spans="1:30" ht="15" x14ac:dyDescent="0.2">
      <c r="A1091" s="10">
        <v>2035</v>
      </c>
      <c r="B1091" s="10">
        <f t="shared" si="180"/>
        <v>365</v>
      </c>
      <c r="C1091" s="80">
        <f t="shared" ref="C1091:T1091" si="207">AVERAGE(C276:C287)</f>
        <v>154.75825</v>
      </c>
      <c r="D1091" s="80">
        <f t="shared" si="207"/>
        <v>281.0162499999999</v>
      </c>
      <c r="E1091" s="80">
        <f t="shared" si="207"/>
        <v>109.1005</v>
      </c>
      <c r="F1091" s="80">
        <f t="shared" si="207"/>
        <v>57.041666666666664</v>
      </c>
      <c r="G1091" s="80">
        <f t="shared" si="207"/>
        <v>40</v>
      </c>
      <c r="H1091" s="80">
        <f t="shared" si="207"/>
        <v>174.58333333333334</v>
      </c>
      <c r="I1091" s="80">
        <f t="shared" si="207"/>
        <v>0</v>
      </c>
      <c r="J1091" s="80">
        <f t="shared" si="207"/>
        <v>100</v>
      </c>
      <c r="K1091" s="80">
        <f t="shared" si="207"/>
        <v>300</v>
      </c>
      <c r="L1091" s="80">
        <f t="shared" si="207"/>
        <v>1216.5</v>
      </c>
      <c r="M1091" s="82">
        <f t="shared" si="207"/>
        <v>600</v>
      </c>
      <c r="N1091" s="80">
        <f t="shared" si="207"/>
        <v>72.5</v>
      </c>
      <c r="O1091" s="81">
        <f t="shared" si="207"/>
        <v>240</v>
      </c>
      <c r="P1091" s="81">
        <f t="shared" si="207"/>
        <v>110</v>
      </c>
      <c r="Q1091" s="81">
        <f t="shared" si="207"/>
        <v>245</v>
      </c>
      <c r="R1091" s="81">
        <f t="shared" si="207"/>
        <v>100</v>
      </c>
      <c r="S1091" s="80">
        <f t="shared" si="207"/>
        <v>695</v>
      </c>
      <c r="T1091" s="80">
        <f t="shared" si="207"/>
        <v>33.333333333333336</v>
      </c>
      <c r="U1091" s="77"/>
      <c r="V1091" s="77"/>
      <c r="W1091" s="77"/>
      <c r="X1091" s="77"/>
      <c r="Y1091" s="77"/>
      <c r="Z1091" s="77"/>
      <c r="AA1091" s="77"/>
      <c r="AB1091" s="77"/>
      <c r="AC1091" s="77"/>
      <c r="AD1091" s="77"/>
    </row>
    <row r="1092" spans="1:30" ht="15" x14ac:dyDescent="0.2">
      <c r="A1092" s="10">
        <v>2036</v>
      </c>
      <c r="B1092" s="10">
        <f t="shared" si="180"/>
        <v>366</v>
      </c>
      <c r="C1092" s="80">
        <f t="shared" ref="C1092:T1092" si="208">AVERAGE(C288:C299)</f>
        <v>154.75825</v>
      </c>
      <c r="D1092" s="80">
        <f t="shared" si="208"/>
        <v>281.0162499999999</v>
      </c>
      <c r="E1092" s="80">
        <f t="shared" si="208"/>
        <v>109.1005</v>
      </c>
      <c r="F1092" s="80">
        <f t="shared" si="208"/>
        <v>57.041666666666664</v>
      </c>
      <c r="G1092" s="80">
        <f t="shared" si="208"/>
        <v>40</v>
      </c>
      <c r="H1092" s="80">
        <f t="shared" si="208"/>
        <v>174.58333333333334</v>
      </c>
      <c r="I1092" s="80">
        <f t="shared" si="208"/>
        <v>0</v>
      </c>
      <c r="J1092" s="80">
        <f t="shared" si="208"/>
        <v>100</v>
      </c>
      <c r="K1092" s="80">
        <f t="shared" si="208"/>
        <v>300</v>
      </c>
      <c r="L1092" s="80">
        <f t="shared" si="208"/>
        <v>1216.5</v>
      </c>
      <c r="M1092" s="82">
        <f t="shared" si="208"/>
        <v>600</v>
      </c>
      <c r="N1092" s="80">
        <f t="shared" si="208"/>
        <v>72.5</v>
      </c>
      <c r="O1092" s="81">
        <f t="shared" si="208"/>
        <v>240</v>
      </c>
      <c r="P1092" s="81">
        <f t="shared" si="208"/>
        <v>110</v>
      </c>
      <c r="Q1092" s="81">
        <f t="shared" si="208"/>
        <v>245</v>
      </c>
      <c r="R1092" s="81">
        <f t="shared" si="208"/>
        <v>100</v>
      </c>
      <c r="S1092" s="80">
        <f t="shared" si="208"/>
        <v>695</v>
      </c>
      <c r="T1092" s="80">
        <f t="shared" si="208"/>
        <v>33.333333333333336</v>
      </c>
      <c r="U1092" s="77"/>
      <c r="V1092" s="77"/>
      <c r="W1092" s="77"/>
      <c r="X1092" s="77"/>
      <c r="Y1092" s="77"/>
      <c r="Z1092" s="77"/>
      <c r="AA1092" s="77"/>
      <c r="AB1092" s="77"/>
      <c r="AC1092" s="77"/>
      <c r="AD1092" s="77"/>
    </row>
    <row r="1093" spans="1:30" ht="15" x14ac:dyDescent="0.2">
      <c r="A1093" s="10">
        <v>2037</v>
      </c>
      <c r="B1093" s="10">
        <f t="shared" si="180"/>
        <v>365</v>
      </c>
      <c r="C1093" s="80">
        <f t="shared" ref="C1093:T1093" si="209">AVERAGE(C300:C311)</f>
        <v>154.75825</v>
      </c>
      <c r="D1093" s="80">
        <f t="shared" si="209"/>
        <v>281.0162499999999</v>
      </c>
      <c r="E1093" s="80">
        <f t="shared" si="209"/>
        <v>109.1005</v>
      </c>
      <c r="F1093" s="80">
        <f t="shared" si="209"/>
        <v>57.041666666666664</v>
      </c>
      <c r="G1093" s="80">
        <f t="shared" si="209"/>
        <v>40</v>
      </c>
      <c r="H1093" s="80">
        <f t="shared" si="209"/>
        <v>174.58333333333334</v>
      </c>
      <c r="I1093" s="80">
        <f t="shared" si="209"/>
        <v>0</v>
      </c>
      <c r="J1093" s="80">
        <f t="shared" si="209"/>
        <v>100</v>
      </c>
      <c r="K1093" s="80">
        <f t="shared" si="209"/>
        <v>300</v>
      </c>
      <c r="L1093" s="80">
        <f t="shared" si="209"/>
        <v>1216.5</v>
      </c>
      <c r="M1093" s="82">
        <f t="shared" si="209"/>
        <v>600</v>
      </c>
      <c r="N1093" s="80">
        <f t="shared" si="209"/>
        <v>72.5</v>
      </c>
      <c r="O1093" s="81">
        <f t="shared" si="209"/>
        <v>240</v>
      </c>
      <c r="P1093" s="81">
        <f t="shared" si="209"/>
        <v>110</v>
      </c>
      <c r="Q1093" s="81">
        <f t="shared" si="209"/>
        <v>245</v>
      </c>
      <c r="R1093" s="81">
        <f t="shared" si="209"/>
        <v>100</v>
      </c>
      <c r="S1093" s="80">
        <f t="shared" si="209"/>
        <v>695</v>
      </c>
      <c r="T1093" s="80">
        <f t="shared" si="209"/>
        <v>33.333333333333336</v>
      </c>
      <c r="U1093" s="77"/>
      <c r="V1093" s="77"/>
      <c r="W1093" s="77"/>
      <c r="X1093" s="77"/>
      <c r="Y1093" s="77"/>
      <c r="Z1093" s="77"/>
      <c r="AA1093" s="77"/>
      <c r="AB1093" s="77"/>
      <c r="AC1093" s="77"/>
      <c r="AD1093" s="77"/>
    </row>
    <row r="1094" spans="1:30" ht="15" x14ac:dyDescent="0.2">
      <c r="A1094" s="10">
        <f t="shared" ref="A1094:A1125" si="210">A1093+1</f>
        <v>2038</v>
      </c>
      <c r="B1094" s="10">
        <f t="shared" si="180"/>
        <v>365</v>
      </c>
      <c r="C1094" s="76">
        <f t="shared" ref="C1094:T1094" si="211">AVERAGE(C312:C323)</f>
        <v>154.75825</v>
      </c>
      <c r="D1094" s="76">
        <f t="shared" si="211"/>
        <v>281.0162499999999</v>
      </c>
      <c r="E1094" s="76">
        <f t="shared" si="211"/>
        <v>109.1005</v>
      </c>
      <c r="F1094" s="76">
        <f t="shared" si="211"/>
        <v>57.041666666666664</v>
      </c>
      <c r="G1094" s="76">
        <f t="shared" si="211"/>
        <v>40</v>
      </c>
      <c r="H1094" s="76">
        <f t="shared" si="211"/>
        <v>174.58333333333334</v>
      </c>
      <c r="I1094" s="76">
        <f t="shared" si="211"/>
        <v>0</v>
      </c>
      <c r="J1094" s="76">
        <f t="shared" si="211"/>
        <v>100</v>
      </c>
      <c r="K1094" s="76">
        <f t="shared" si="211"/>
        <v>300</v>
      </c>
      <c r="L1094" s="76">
        <f t="shared" si="211"/>
        <v>1216.5</v>
      </c>
      <c r="M1094" s="78">
        <f t="shared" si="211"/>
        <v>600</v>
      </c>
      <c r="N1094" s="76">
        <f t="shared" si="211"/>
        <v>72.5</v>
      </c>
      <c r="O1094" s="79">
        <f t="shared" si="211"/>
        <v>240</v>
      </c>
      <c r="P1094" s="79">
        <f t="shared" si="211"/>
        <v>110</v>
      </c>
      <c r="Q1094" s="79">
        <f t="shared" si="211"/>
        <v>245</v>
      </c>
      <c r="R1094" s="79">
        <f t="shared" si="211"/>
        <v>100</v>
      </c>
      <c r="S1094" s="76">
        <f t="shared" si="211"/>
        <v>695</v>
      </c>
      <c r="T1094" s="76">
        <f t="shared" si="211"/>
        <v>33.333333333333336</v>
      </c>
      <c r="U1094" s="77"/>
      <c r="V1094" s="77"/>
      <c r="W1094" s="77"/>
      <c r="X1094" s="77"/>
      <c r="Y1094" s="77"/>
      <c r="Z1094" s="77"/>
      <c r="AA1094" s="77"/>
      <c r="AB1094" s="77"/>
      <c r="AC1094" s="77"/>
      <c r="AD1094" s="77"/>
    </row>
    <row r="1095" spans="1:30" ht="15" x14ac:dyDescent="0.2">
      <c r="A1095" s="10">
        <f t="shared" si="210"/>
        <v>2039</v>
      </c>
      <c r="B1095" s="10">
        <f t="shared" si="180"/>
        <v>365</v>
      </c>
      <c r="C1095" s="76">
        <f t="shared" ref="C1095:T1095" si="212">AVERAGE(C324:C335)</f>
        <v>154.75825</v>
      </c>
      <c r="D1095" s="76">
        <f t="shared" si="212"/>
        <v>281.0162499999999</v>
      </c>
      <c r="E1095" s="76">
        <f t="shared" si="212"/>
        <v>109.1005</v>
      </c>
      <c r="F1095" s="76">
        <f t="shared" si="212"/>
        <v>57.041666666666664</v>
      </c>
      <c r="G1095" s="76">
        <f t="shared" si="212"/>
        <v>40</v>
      </c>
      <c r="H1095" s="76">
        <f t="shared" si="212"/>
        <v>174.58333333333334</v>
      </c>
      <c r="I1095" s="76">
        <f t="shared" si="212"/>
        <v>0</v>
      </c>
      <c r="J1095" s="76">
        <f t="shared" si="212"/>
        <v>100</v>
      </c>
      <c r="K1095" s="76">
        <f t="shared" si="212"/>
        <v>300</v>
      </c>
      <c r="L1095" s="76">
        <f t="shared" si="212"/>
        <v>1216.5</v>
      </c>
      <c r="M1095" s="78">
        <f t="shared" si="212"/>
        <v>600</v>
      </c>
      <c r="N1095" s="76">
        <f t="shared" si="212"/>
        <v>72.5</v>
      </c>
      <c r="O1095" s="79">
        <f t="shared" si="212"/>
        <v>240</v>
      </c>
      <c r="P1095" s="79">
        <f t="shared" si="212"/>
        <v>110</v>
      </c>
      <c r="Q1095" s="79">
        <f t="shared" si="212"/>
        <v>245</v>
      </c>
      <c r="R1095" s="79">
        <f t="shared" si="212"/>
        <v>100</v>
      </c>
      <c r="S1095" s="76">
        <f t="shared" si="212"/>
        <v>695</v>
      </c>
      <c r="T1095" s="76">
        <f t="shared" si="212"/>
        <v>33.333333333333336</v>
      </c>
      <c r="U1095" s="77"/>
      <c r="V1095" s="77"/>
      <c r="W1095" s="77"/>
      <c r="X1095" s="77"/>
      <c r="Y1095" s="77"/>
      <c r="Z1095" s="77"/>
      <c r="AA1095" s="77"/>
      <c r="AB1095" s="77"/>
      <c r="AC1095" s="77"/>
      <c r="AD1095" s="77"/>
    </row>
    <row r="1096" spans="1:30" ht="15" x14ac:dyDescent="0.2">
      <c r="A1096" s="10">
        <f t="shared" si="210"/>
        <v>2040</v>
      </c>
      <c r="B1096" s="10">
        <f t="shared" si="180"/>
        <v>366</v>
      </c>
      <c r="C1096" s="76">
        <f t="shared" ref="C1096:T1096" si="213">AVERAGE(C336:C347)</f>
        <v>154.75825</v>
      </c>
      <c r="D1096" s="76">
        <f t="shared" si="213"/>
        <v>281.0162499999999</v>
      </c>
      <c r="E1096" s="76">
        <f t="shared" si="213"/>
        <v>109.1005</v>
      </c>
      <c r="F1096" s="76">
        <f t="shared" si="213"/>
        <v>57.041666666666664</v>
      </c>
      <c r="G1096" s="76">
        <f t="shared" si="213"/>
        <v>40</v>
      </c>
      <c r="H1096" s="76">
        <f t="shared" si="213"/>
        <v>174.58333333333334</v>
      </c>
      <c r="I1096" s="76">
        <f t="shared" si="213"/>
        <v>0</v>
      </c>
      <c r="J1096" s="76">
        <f t="shared" si="213"/>
        <v>100</v>
      </c>
      <c r="K1096" s="76">
        <f t="shared" si="213"/>
        <v>300</v>
      </c>
      <c r="L1096" s="76">
        <f t="shared" si="213"/>
        <v>1216.5</v>
      </c>
      <c r="M1096" s="78">
        <f t="shared" si="213"/>
        <v>600</v>
      </c>
      <c r="N1096" s="76">
        <f t="shared" si="213"/>
        <v>72.5</v>
      </c>
      <c r="O1096" s="79">
        <f t="shared" si="213"/>
        <v>240</v>
      </c>
      <c r="P1096" s="79">
        <f t="shared" si="213"/>
        <v>110</v>
      </c>
      <c r="Q1096" s="79">
        <f t="shared" si="213"/>
        <v>245</v>
      </c>
      <c r="R1096" s="79">
        <f t="shared" si="213"/>
        <v>100</v>
      </c>
      <c r="S1096" s="76">
        <f t="shared" si="213"/>
        <v>695</v>
      </c>
      <c r="T1096" s="76">
        <f t="shared" si="213"/>
        <v>33.333333333333336</v>
      </c>
      <c r="U1096" s="77"/>
      <c r="V1096" s="77"/>
      <c r="W1096" s="77"/>
      <c r="X1096" s="77"/>
      <c r="Y1096" s="77"/>
      <c r="Z1096" s="77"/>
      <c r="AA1096" s="77"/>
      <c r="AB1096" s="77"/>
      <c r="AC1096" s="77"/>
      <c r="AD1096" s="77"/>
    </row>
    <row r="1097" spans="1:30" ht="15" x14ac:dyDescent="0.2">
      <c r="A1097" s="10">
        <f t="shared" si="210"/>
        <v>2041</v>
      </c>
      <c r="B1097" s="10">
        <f t="shared" si="180"/>
        <v>365</v>
      </c>
      <c r="C1097" s="76">
        <f t="shared" ref="C1097:T1097" si="214">AVERAGE(C348:C359)</f>
        <v>154.75825</v>
      </c>
      <c r="D1097" s="76">
        <f t="shared" si="214"/>
        <v>281.0162499999999</v>
      </c>
      <c r="E1097" s="76">
        <f t="shared" si="214"/>
        <v>109.1005</v>
      </c>
      <c r="F1097" s="76">
        <f t="shared" si="214"/>
        <v>57.041666666666664</v>
      </c>
      <c r="G1097" s="76">
        <f t="shared" si="214"/>
        <v>40</v>
      </c>
      <c r="H1097" s="76">
        <f t="shared" si="214"/>
        <v>174.58333333333334</v>
      </c>
      <c r="I1097" s="76">
        <f t="shared" si="214"/>
        <v>0</v>
      </c>
      <c r="J1097" s="76">
        <f t="shared" si="214"/>
        <v>100</v>
      </c>
      <c r="K1097" s="76">
        <f t="shared" si="214"/>
        <v>300</v>
      </c>
      <c r="L1097" s="76">
        <f t="shared" si="214"/>
        <v>1216.5</v>
      </c>
      <c r="M1097" s="78">
        <f t="shared" si="214"/>
        <v>600</v>
      </c>
      <c r="N1097" s="76">
        <f t="shared" si="214"/>
        <v>72.5</v>
      </c>
      <c r="O1097" s="79">
        <f t="shared" si="214"/>
        <v>240</v>
      </c>
      <c r="P1097" s="79">
        <f t="shared" si="214"/>
        <v>110</v>
      </c>
      <c r="Q1097" s="79">
        <f t="shared" si="214"/>
        <v>245</v>
      </c>
      <c r="R1097" s="79">
        <f t="shared" si="214"/>
        <v>100</v>
      </c>
      <c r="S1097" s="76">
        <f t="shared" si="214"/>
        <v>695</v>
      </c>
      <c r="T1097" s="76">
        <f t="shared" si="214"/>
        <v>33.333333333333336</v>
      </c>
      <c r="U1097" s="77"/>
      <c r="V1097" s="77"/>
      <c r="W1097" s="77"/>
      <c r="X1097" s="77"/>
      <c r="Y1097" s="77"/>
      <c r="Z1097" s="77"/>
      <c r="AA1097" s="77"/>
      <c r="AB1097" s="77"/>
      <c r="AC1097" s="77"/>
      <c r="AD1097" s="77"/>
    </row>
    <row r="1098" spans="1:30" ht="15" x14ac:dyDescent="0.2">
      <c r="A1098" s="10">
        <f t="shared" si="210"/>
        <v>2042</v>
      </c>
      <c r="B1098" s="10">
        <f t="shared" si="180"/>
        <v>365</v>
      </c>
      <c r="C1098" s="76">
        <f t="shared" ref="C1098:T1098" si="215">AVERAGE(C360:C371)</f>
        <v>154.75825</v>
      </c>
      <c r="D1098" s="76">
        <f t="shared" si="215"/>
        <v>281.0162499999999</v>
      </c>
      <c r="E1098" s="76">
        <f t="shared" si="215"/>
        <v>109.1005</v>
      </c>
      <c r="F1098" s="76">
        <f t="shared" si="215"/>
        <v>57.041666666666664</v>
      </c>
      <c r="G1098" s="76">
        <f t="shared" si="215"/>
        <v>40</v>
      </c>
      <c r="H1098" s="76">
        <f t="shared" si="215"/>
        <v>174.58333333333334</v>
      </c>
      <c r="I1098" s="76">
        <f t="shared" si="215"/>
        <v>0</v>
      </c>
      <c r="J1098" s="76">
        <f t="shared" si="215"/>
        <v>100</v>
      </c>
      <c r="K1098" s="76">
        <f t="shared" si="215"/>
        <v>300</v>
      </c>
      <c r="L1098" s="76">
        <f t="shared" si="215"/>
        <v>1216.5</v>
      </c>
      <c r="M1098" s="78">
        <f t="shared" si="215"/>
        <v>600</v>
      </c>
      <c r="N1098" s="76">
        <f t="shared" si="215"/>
        <v>72.5</v>
      </c>
      <c r="O1098" s="79">
        <f t="shared" si="215"/>
        <v>240</v>
      </c>
      <c r="P1098" s="79">
        <f t="shared" si="215"/>
        <v>110</v>
      </c>
      <c r="Q1098" s="79">
        <f t="shared" si="215"/>
        <v>245</v>
      </c>
      <c r="R1098" s="79">
        <f t="shared" si="215"/>
        <v>100</v>
      </c>
      <c r="S1098" s="76">
        <f t="shared" si="215"/>
        <v>695</v>
      </c>
      <c r="T1098" s="76">
        <f t="shared" si="215"/>
        <v>33.333333333333336</v>
      </c>
      <c r="U1098" s="77"/>
      <c r="V1098" s="77"/>
      <c r="W1098" s="77"/>
      <c r="X1098" s="77"/>
      <c r="Y1098" s="77"/>
      <c r="Z1098" s="77"/>
      <c r="AA1098" s="77"/>
      <c r="AB1098" s="77"/>
      <c r="AC1098" s="77"/>
      <c r="AD1098" s="77"/>
    </row>
    <row r="1099" spans="1:30" ht="15" x14ac:dyDescent="0.2">
      <c r="A1099" s="10">
        <f t="shared" si="210"/>
        <v>2043</v>
      </c>
      <c r="B1099" s="10">
        <f t="shared" si="180"/>
        <v>365</v>
      </c>
      <c r="C1099" s="76">
        <f t="shared" ref="C1099:T1099" si="216">AVERAGE(C372:C383)</f>
        <v>154.75825</v>
      </c>
      <c r="D1099" s="76">
        <f t="shared" si="216"/>
        <v>281.0162499999999</v>
      </c>
      <c r="E1099" s="76">
        <f t="shared" si="216"/>
        <v>109.1005</v>
      </c>
      <c r="F1099" s="76">
        <f t="shared" si="216"/>
        <v>57.041666666666664</v>
      </c>
      <c r="G1099" s="76">
        <f t="shared" si="216"/>
        <v>40</v>
      </c>
      <c r="H1099" s="76">
        <f t="shared" si="216"/>
        <v>174.58333333333334</v>
      </c>
      <c r="I1099" s="76">
        <f t="shared" si="216"/>
        <v>0</v>
      </c>
      <c r="J1099" s="76">
        <f t="shared" si="216"/>
        <v>100</v>
      </c>
      <c r="K1099" s="76">
        <f t="shared" si="216"/>
        <v>300</v>
      </c>
      <c r="L1099" s="76">
        <f t="shared" si="216"/>
        <v>1216.5</v>
      </c>
      <c r="M1099" s="78">
        <f t="shared" si="216"/>
        <v>600</v>
      </c>
      <c r="N1099" s="76">
        <f t="shared" si="216"/>
        <v>72.5</v>
      </c>
      <c r="O1099" s="79">
        <f t="shared" si="216"/>
        <v>240</v>
      </c>
      <c r="P1099" s="79">
        <f t="shared" si="216"/>
        <v>110</v>
      </c>
      <c r="Q1099" s="79">
        <f t="shared" si="216"/>
        <v>245</v>
      </c>
      <c r="R1099" s="79">
        <f t="shared" si="216"/>
        <v>100</v>
      </c>
      <c r="S1099" s="76">
        <f t="shared" si="216"/>
        <v>695</v>
      </c>
      <c r="T1099" s="76">
        <f t="shared" si="216"/>
        <v>33.333333333333336</v>
      </c>
      <c r="U1099" s="77"/>
      <c r="V1099" s="77"/>
      <c r="W1099" s="77"/>
      <c r="X1099" s="77"/>
      <c r="Y1099" s="77"/>
      <c r="Z1099" s="77"/>
      <c r="AA1099" s="77"/>
      <c r="AB1099" s="77"/>
      <c r="AC1099" s="77"/>
      <c r="AD1099" s="77"/>
    </row>
    <row r="1100" spans="1:30" ht="15" x14ac:dyDescent="0.2">
      <c r="A1100" s="10">
        <f t="shared" si="210"/>
        <v>2044</v>
      </c>
      <c r="B1100" s="10">
        <f t="shared" si="180"/>
        <v>366</v>
      </c>
      <c r="C1100" s="76">
        <f t="shared" ref="C1100:T1100" si="217">AVERAGE(C384:C395)</f>
        <v>154.75825</v>
      </c>
      <c r="D1100" s="76">
        <f t="shared" si="217"/>
        <v>281.0162499999999</v>
      </c>
      <c r="E1100" s="76">
        <f t="shared" si="217"/>
        <v>109.1005</v>
      </c>
      <c r="F1100" s="76">
        <f t="shared" si="217"/>
        <v>57.041666666666664</v>
      </c>
      <c r="G1100" s="76">
        <f t="shared" si="217"/>
        <v>40</v>
      </c>
      <c r="H1100" s="76">
        <f t="shared" si="217"/>
        <v>174.58333333333334</v>
      </c>
      <c r="I1100" s="76">
        <f t="shared" si="217"/>
        <v>0</v>
      </c>
      <c r="J1100" s="76">
        <f t="shared" si="217"/>
        <v>100</v>
      </c>
      <c r="K1100" s="76">
        <f t="shared" si="217"/>
        <v>300</v>
      </c>
      <c r="L1100" s="76">
        <f t="shared" si="217"/>
        <v>1216.5</v>
      </c>
      <c r="M1100" s="78">
        <f t="shared" si="217"/>
        <v>600</v>
      </c>
      <c r="N1100" s="76">
        <f t="shared" si="217"/>
        <v>72.5</v>
      </c>
      <c r="O1100" s="79">
        <f t="shared" si="217"/>
        <v>240</v>
      </c>
      <c r="P1100" s="79">
        <f t="shared" si="217"/>
        <v>110</v>
      </c>
      <c r="Q1100" s="79">
        <f t="shared" si="217"/>
        <v>245</v>
      </c>
      <c r="R1100" s="79">
        <f t="shared" si="217"/>
        <v>100</v>
      </c>
      <c r="S1100" s="76">
        <f t="shared" si="217"/>
        <v>695</v>
      </c>
      <c r="T1100" s="76">
        <f t="shared" si="217"/>
        <v>33.333333333333336</v>
      </c>
      <c r="U1100" s="77"/>
      <c r="V1100" s="77"/>
      <c r="W1100" s="77"/>
      <c r="X1100" s="77"/>
      <c r="Y1100" s="77"/>
      <c r="Z1100" s="77"/>
      <c r="AA1100" s="77"/>
      <c r="AB1100" s="77"/>
      <c r="AC1100" s="77"/>
      <c r="AD1100" s="77"/>
    </row>
    <row r="1101" spans="1:30" ht="15" x14ac:dyDescent="0.2">
      <c r="A1101" s="10">
        <f t="shared" si="210"/>
        <v>2045</v>
      </c>
      <c r="B1101" s="10">
        <f t="shared" ref="B1101:B1132" si="218">DATE(A1101+1,1,1)-DATE(A1101,1,1)</f>
        <v>365</v>
      </c>
      <c r="C1101" s="76">
        <f t="shared" ref="C1101:T1101" si="219">AVERAGE(C396:C407)</f>
        <v>154.75825</v>
      </c>
      <c r="D1101" s="76">
        <f t="shared" si="219"/>
        <v>281.0162499999999</v>
      </c>
      <c r="E1101" s="76">
        <f t="shared" si="219"/>
        <v>109.1005</v>
      </c>
      <c r="F1101" s="76">
        <f t="shared" si="219"/>
        <v>57.041666666666664</v>
      </c>
      <c r="G1101" s="76">
        <f t="shared" si="219"/>
        <v>40</v>
      </c>
      <c r="H1101" s="76">
        <f t="shared" si="219"/>
        <v>174.58333333333334</v>
      </c>
      <c r="I1101" s="76">
        <f t="shared" si="219"/>
        <v>0</v>
      </c>
      <c r="J1101" s="76">
        <f t="shared" si="219"/>
        <v>100</v>
      </c>
      <c r="K1101" s="76">
        <f t="shared" si="219"/>
        <v>300</v>
      </c>
      <c r="L1101" s="76">
        <f t="shared" si="219"/>
        <v>1216.5</v>
      </c>
      <c r="M1101" s="78">
        <f t="shared" si="219"/>
        <v>600</v>
      </c>
      <c r="N1101" s="76">
        <f t="shared" si="219"/>
        <v>72.5</v>
      </c>
      <c r="O1101" s="79">
        <f t="shared" si="219"/>
        <v>240</v>
      </c>
      <c r="P1101" s="79">
        <f t="shared" si="219"/>
        <v>110</v>
      </c>
      <c r="Q1101" s="79">
        <f t="shared" si="219"/>
        <v>245</v>
      </c>
      <c r="R1101" s="79">
        <f t="shared" si="219"/>
        <v>100</v>
      </c>
      <c r="S1101" s="76">
        <f t="shared" si="219"/>
        <v>695</v>
      </c>
      <c r="T1101" s="76">
        <f t="shared" si="219"/>
        <v>33.333333333333336</v>
      </c>
      <c r="U1101" s="77"/>
      <c r="V1101" s="77"/>
      <c r="W1101" s="77"/>
      <c r="X1101" s="77"/>
      <c r="Y1101" s="77"/>
      <c r="Z1101" s="77"/>
      <c r="AA1101" s="77"/>
      <c r="AB1101" s="77"/>
      <c r="AC1101" s="77"/>
      <c r="AD1101" s="77"/>
    </row>
    <row r="1102" spans="1:30" ht="15" x14ac:dyDescent="0.2">
      <c r="A1102" s="10">
        <f t="shared" si="210"/>
        <v>2046</v>
      </c>
      <c r="B1102" s="10">
        <f t="shared" si="218"/>
        <v>365</v>
      </c>
      <c r="C1102" s="76">
        <f t="shared" ref="C1102:T1102" si="220">AVERAGE(C408:C419)</f>
        <v>154.75825</v>
      </c>
      <c r="D1102" s="76">
        <f t="shared" si="220"/>
        <v>281.0162499999999</v>
      </c>
      <c r="E1102" s="76">
        <f t="shared" si="220"/>
        <v>109.1005</v>
      </c>
      <c r="F1102" s="76">
        <f t="shared" si="220"/>
        <v>57.041666666666664</v>
      </c>
      <c r="G1102" s="76">
        <f t="shared" si="220"/>
        <v>40</v>
      </c>
      <c r="H1102" s="76">
        <f t="shared" si="220"/>
        <v>174.58333333333334</v>
      </c>
      <c r="I1102" s="76">
        <f t="shared" si="220"/>
        <v>0</v>
      </c>
      <c r="J1102" s="76">
        <f t="shared" si="220"/>
        <v>100</v>
      </c>
      <c r="K1102" s="76">
        <f t="shared" si="220"/>
        <v>300</v>
      </c>
      <c r="L1102" s="76">
        <f t="shared" si="220"/>
        <v>1216.5</v>
      </c>
      <c r="M1102" s="78">
        <f t="shared" si="220"/>
        <v>600</v>
      </c>
      <c r="N1102" s="76">
        <f t="shared" si="220"/>
        <v>72.5</v>
      </c>
      <c r="O1102" s="79">
        <f t="shared" si="220"/>
        <v>240</v>
      </c>
      <c r="P1102" s="79">
        <f t="shared" si="220"/>
        <v>110</v>
      </c>
      <c r="Q1102" s="79">
        <f t="shared" si="220"/>
        <v>245</v>
      </c>
      <c r="R1102" s="79">
        <f t="shared" si="220"/>
        <v>100</v>
      </c>
      <c r="S1102" s="76">
        <f t="shared" si="220"/>
        <v>695</v>
      </c>
      <c r="T1102" s="76">
        <f t="shared" si="220"/>
        <v>33.333333333333336</v>
      </c>
      <c r="U1102" s="77"/>
      <c r="V1102" s="77"/>
      <c r="W1102" s="77"/>
      <c r="X1102" s="77"/>
      <c r="Y1102" s="77"/>
      <c r="Z1102" s="77"/>
      <c r="AA1102" s="77"/>
      <c r="AB1102" s="77"/>
      <c r="AC1102" s="77"/>
      <c r="AD1102" s="77"/>
    </row>
    <row r="1103" spans="1:30" ht="15" x14ac:dyDescent="0.2">
      <c r="A1103" s="10">
        <f t="shared" si="210"/>
        <v>2047</v>
      </c>
      <c r="B1103" s="10">
        <f t="shared" si="218"/>
        <v>365</v>
      </c>
      <c r="C1103" s="76">
        <f t="shared" ref="C1103:T1103" si="221">AVERAGE(C420:C431)</f>
        <v>154.75825</v>
      </c>
      <c r="D1103" s="76">
        <f t="shared" si="221"/>
        <v>281.0162499999999</v>
      </c>
      <c r="E1103" s="76">
        <f t="shared" si="221"/>
        <v>109.1005</v>
      </c>
      <c r="F1103" s="76">
        <f t="shared" si="221"/>
        <v>57.041666666666664</v>
      </c>
      <c r="G1103" s="76">
        <f t="shared" si="221"/>
        <v>40</v>
      </c>
      <c r="H1103" s="76">
        <f t="shared" si="221"/>
        <v>174.58333333333334</v>
      </c>
      <c r="I1103" s="76">
        <f t="shared" si="221"/>
        <v>0</v>
      </c>
      <c r="J1103" s="76">
        <f t="shared" si="221"/>
        <v>100</v>
      </c>
      <c r="K1103" s="76">
        <f t="shared" si="221"/>
        <v>300</v>
      </c>
      <c r="L1103" s="76">
        <f t="shared" si="221"/>
        <v>1216.5</v>
      </c>
      <c r="M1103" s="78">
        <f t="shared" si="221"/>
        <v>600</v>
      </c>
      <c r="N1103" s="76">
        <f t="shared" si="221"/>
        <v>72.5</v>
      </c>
      <c r="O1103" s="79">
        <f t="shared" si="221"/>
        <v>240</v>
      </c>
      <c r="P1103" s="79">
        <f t="shared" si="221"/>
        <v>110</v>
      </c>
      <c r="Q1103" s="79">
        <f t="shared" si="221"/>
        <v>245</v>
      </c>
      <c r="R1103" s="79">
        <f t="shared" si="221"/>
        <v>100</v>
      </c>
      <c r="S1103" s="76">
        <f t="shared" si="221"/>
        <v>695</v>
      </c>
      <c r="T1103" s="76">
        <f t="shared" si="221"/>
        <v>33.333333333333336</v>
      </c>
      <c r="U1103" s="77"/>
      <c r="V1103" s="77"/>
      <c r="W1103" s="77"/>
      <c r="X1103" s="77"/>
      <c r="Y1103" s="77"/>
      <c r="Z1103" s="77"/>
      <c r="AA1103" s="77"/>
      <c r="AB1103" s="77"/>
      <c r="AC1103" s="77"/>
      <c r="AD1103" s="77"/>
    </row>
    <row r="1104" spans="1:30" ht="15" x14ac:dyDescent="0.2">
      <c r="A1104" s="10">
        <f t="shared" si="210"/>
        <v>2048</v>
      </c>
      <c r="B1104" s="10">
        <f t="shared" si="218"/>
        <v>366</v>
      </c>
      <c r="C1104" s="76">
        <f t="shared" ref="C1104:T1104" si="222">AVERAGE(C432:C443)</f>
        <v>154.75825</v>
      </c>
      <c r="D1104" s="76">
        <f t="shared" si="222"/>
        <v>281.0162499999999</v>
      </c>
      <c r="E1104" s="76">
        <f t="shared" si="222"/>
        <v>109.1005</v>
      </c>
      <c r="F1104" s="76">
        <f t="shared" si="222"/>
        <v>57.041666666666664</v>
      </c>
      <c r="G1104" s="76">
        <f t="shared" si="222"/>
        <v>40</v>
      </c>
      <c r="H1104" s="76">
        <f t="shared" si="222"/>
        <v>174.58333333333334</v>
      </c>
      <c r="I1104" s="76">
        <f t="shared" si="222"/>
        <v>0</v>
      </c>
      <c r="J1104" s="76">
        <f t="shared" si="222"/>
        <v>100</v>
      </c>
      <c r="K1104" s="76">
        <f t="shared" si="222"/>
        <v>300</v>
      </c>
      <c r="L1104" s="76">
        <f t="shared" si="222"/>
        <v>1216.5</v>
      </c>
      <c r="M1104" s="78">
        <f t="shared" si="222"/>
        <v>600</v>
      </c>
      <c r="N1104" s="76">
        <f t="shared" si="222"/>
        <v>72.5</v>
      </c>
      <c r="O1104" s="79">
        <f t="shared" si="222"/>
        <v>240</v>
      </c>
      <c r="P1104" s="79">
        <f t="shared" si="222"/>
        <v>110</v>
      </c>
      <c r="Q1104" s="79">
        <f t="shared" si="222"/>
        <v>245</v>
      </c>
      <c r="R1104" s="79">
        <f t="shared" si="222"/>
        <v>100</v>
      </c>
      <c r="S1104" s="76">
        <f t="shared" si="222"/>
        <v>695</v>
      </c>
      <c r="T1104" s="76">
        <f t="shared" si="222"/>
        <v>33.333333333333336</v>
      </c>
      <c r="U1104" s="77"/>
      <c r="V1104" s="77"/>
      <c r="W1104" s="77"/>
      <c r="X1104" s="77"/>
      <c r="Y1104" s="77"/>
      <c r="Z1104" s="77"/>
      <c r="AA1104" s="77"/>
      <c r="AB1104" s="77"/>
      <c r="AC1104" s="77"/>
      <c r="AD1104" s="77"/>
    </row>
    <row r="1105" spans="1:30" ht="15" x14ac:dyDescent="0.2">
      <c r="A1105" s="10">
        <f t="shared" si="210"/>
        <v>2049</v>
      </c>
      <c r="B1105" s="10">
        <f t="shared" si="218"/>
        <v>365</v>
      </c>
      <c r="C1105" s="76">
        <f t="shared" ref="C1105:T1105" si="223">AVERAGE(C444:C455)</f>
        <v>154.75825</v>
      </c>
      <c r="D1105" s="76">
        <f t="shared" si="223"/>
        <v>281.0162499999999</v>
      </c>
      <c r="E1105" s="76">
        <f t="shared" si="223"/>
        <v>109.1005</v>
      </c>
      <c r="F1105" s="76">
        <f t="shared" si="223"/>
        <v>57.041666666666664</v>
      </c>
      <c r="G1105" s="76">
        <f t="shared" si="223"/>
        <v>40</v>
      </c>
      <c r="H1105" s="76">
        <f t="shared" si="223"/>
        <v>174.58333333333334</v>
      </c>
      <c r="I1105" s="76">
        <f t="shared" si="223"/>
        <v>0</v>
      </c>
      <c r="J1105" s="76">
        <f t="shared" si="223"/>
        <v>100</v>
      </c>
      <c r="K1105" s="76">
        <f t="shared" si="223"/>
        <v>300</v>
      </c>
      <c r="L1105" s="76">
        <f t="shared" si="223"/>
        <v>1216.5</v>
      </c>
      <c r="M1105" s="78">
        <f t="shared" si="223"/>
        <v>600</v>
      </c>
      <c r="N1105" s="76">
        <f t="shared" si="223"/>
        <v>72.5</v>
      </c>
      <c r="O1105" s="79">
        <f t="shared" si="223"/>
        <v>240</v>
      </c>
      <c r="P1105" s="79">
        <f t="shared" si="223"/>
        <v>110</v>
      </c>
      <c r="Q1105" s="79">
        <f t="shared" si="223"/>
        <v>245</v>
      </c>
      <c r="R1105" s="79">
        <f t="shared" si="223"/>
        <v>100</v>
      </c>
      <c r="S1105" s="76">
        <f t="shared" si="223"/>
        <v>695</v>
      </c>
      <c r="T1105" s="76">
        <f t="shared" si="223"/>
        <v>33.333333333333336</v>
      </c>
      <c r="U1105" s="77"/>
      <c r="V1105" s="77"/>
      <c r="W1105" s="77"/>
      <c r="X1105" s="77"/>
      <c r="Y1105" s="77"/>
      <c r="Z1105" s="77"/>
      <c r="AA1105" s="77"/>
      <c r="AB1105" s="77"/>
      <c r="AC1105" s="77"/>
      <c r="AD1105" s="77"/>
    </row>
    <row r="1106" spans="1:30" ht="15" x14ac:dyDescent="0.2">
      <c r="A1106" s="10">
        <f t="shared" si="210"/>
        <v>2050</v>
      </c>
      <c r="B1106" s="10">
        <f t="shared" si="218"/>
        <v>365</v>
      </c>
      <c r="C1106" s="76">
        <f t="shared" ref="C1106:T1106" si="224">AVERAGE(C456:C467)</f>
        <v>154.75825</v>
      </c>
      <c r="D1106" s="76">
        <f t="shared" si="224"/>
        <v>281.0162499999999</v>
      </c>
      <c r="E1106" s="76">
        <f t="shared" si="224"/>
        <v>109.1005</v>
      </c>
      <c r="F1106" s="76">
        <f t="shared" si="224"/>
        <v>57.041666666666664</v>
      </c>
      <c r="G1106" s="76">
        <f t="shared" si="224"/>
        <v>40</v>
      </c>
      <c r="H1106" s="76">
        <f t="shared" si="224"/>
        <v>174.58333333333334</v>
      </c>
      <c r="I1106" s="76">
        <f t="shared" si="224"/>
        <v>0</v>
      </c>
      <c r="J1106" s="76">
        <f t="shared" si="224"/>
        <v>100</v>
      </c>
      <c r="K1106" s="76">
        <f t="shared" si="224"/>
        <v>300</v>
      </c>
      <c r="L1106" s="76">
        <f t="shared" si="224"/>
        <v>1216.5</v>
      </c>
      <c r="M1106" s="78">
        <f t="shared" si="224"/>
        <v>600</v>
      </c>
      <c r="N1106" s="76">
        <f t="shared" si="224"/>
        <v>72.5</v>
      </c>
      <c r="O1106" s="79">
        <f t="shared" si="224"/>
        <v>240</v>
      </c>
      <c r="P1106" s="79">
        <f t="shared" si="224"/>
        <v>110</v>
      </c>
      <c r="Q1106" s="79">
        <f t="shared" si="224"/>
        <v>245</v>
      </c>
      <c r="R1106" s="79">
        <f t="shared" si="224"/>
        <v>100</v>
      </c>
      <c r="S1106" s="76">
        <f t="shared" si="224"/>
        <v>695</v>
      </c>
      <c r="T1106" s="76">
        <f t="shared" si="224"/>
        <v>33.333333333333336</v>
      </c>
      <c r="U1106" s="77"/>
      <c r="V1106" s="77"/>
      <c r="W1106" s="77"/>
      <c r="X1106" s="77"/>
      <c r="Y1106" s="77"/>
      <c r="Z1106" s="77"/>
      <c r="AA1106" s="77"/>
      <c r="AB1106" s="77"/>
      <c r="AC1106" s="77"/>
      <c r="AD1106" s="77"/>
    </row>
    <row r="1107" spans="1:30" ht="15" x14ac:dyDescent="0.2">
      <c r="A1107" s="10">
        <f t="shared" si="210"/>
        <v>2051</v>
      </c>
      <c r="B1107" s="10">
        <f t="shared" si="218"/>
        <v>365</v>
      </c>
      <c r="C1107" s="76">
        <f t="shared" ref="C1107:T1107" si="225">AVERAGE(C468:C479)</f>
        <v>154.75825</v>
      </c>
      <c r="D1107" s="76">
        <f t="shared" si="225"/>
        <v>281.0162499999999</v>
      </c>
      <c r="E1107" s="76">
        <f t="shared" si="225"/>
        <v>109.1005</v>
      </c>
      <c r="F1107" s="76">
        <f t="shared" si="225"/>
        <v>57.041666666666664</v>
      </c>
      <c r="G1107" s="76">
        <f t="shared" si="225"/>
        <v>40</v>
      </c>
      <c r="H1107" s="76">
        <f t="shared" si="225"/>
        <v>174.58333333333334</v>
      </c>
      <c r="I1107" s="76">
        <f t="shared" si="225"/>
        <v>0</v>
      </c>
      <c r="J1107" s="76">
        <f t="shared" si="225"/>
        <v>100</v>
      </c>
      <c r="K1107" s="76">
        <f t="shared" si="225"/>
        <v>300</v>
      </c>
      <c r="L1107" s="76">
        <f t="shared" si="225"/>
        <v>1216.5</v>
      </c>
      <c r="M1107" s="78">
        <f t="shared" si="225"/>
        <v>600</v>
      </c>
      <c r="N1107" s="76">
        <f t="shared" si="225"/>
        <v>72.5</v>
      </c>
      <c r="O1107" s="79">
        <f t="shared" si="225"/>
        <v>240</v>
      </c>
      <c r="P1107" s="79">
        <f t="shared" si="225"/>
        <v>110</v>
      </c>
      <c r="Q1107" s="79">
        <f t="shared" si="225"/>
        <v>245</v>
      </c>
      <c r="R1107" s="79">
        <f t="shared" si="225"/>
        <v>100</v>
      </c>
      <c r="S1107" s="76">
        <f t="shared" si="225"/>
        <v>695</v>
      </c>
      <c r="T1107" s="76">
        <f t="shared" si="225"/>
        <v>33.333333333333336</v>
      </c>
      <c r="U1107" s="77"/>
      <c r="V1107" s="77"/>
      <c r="W1107" s="77"/>
      <c r="X1107" s="77"/>
      <c r="Y1107" s="77"/>
      <c r="Z1107" s="77"/>
      <c r="AA1107" s="77"/>
      <c r="AB1107" s="77"/>
      <c r="AC1107" s="77"/>
      <c r="AD1107" s="77"/>
    </row>
    <row r="1108" spans="1:30" ht="15" x14ac:dyDescent="0.2">
      <c r="A1108" s="10">
        <f t="shared" si="210"/>
        <v>2052</v>
      </c>
      <c r="B1108" s="10">
        <f t="shared" si="218"/>
        <v>366</v>
      </c>
      <c r="C1108" s="76">
        <f t="shared" ref="C1108:T1108" si="226">AVERAGE(C480:C491)</f>
        <v>154.75825</v>
      </c>
      <c r="D1108" s="76">
        <f t="shared" si="226"/>
        <v>281.0162499999999</v>
      </c>
      <c r="E1108" s="76">
        <f t="shared" si="226"/>
        <v>109.1005</v>
      </c>
      <c r="F1108" s="76">
        <f t="shared" si="226"/>
        <v>57.041666666666664</v>
      </c>
      <c r="G1108" s="76">
        <f t="shared" si="226"/>
        <v>40</v>
      </c>
      <c r="H1108" s="76">
        <f t="shared" si="226"/>
        <v>174.58333333333334</v>
      </c>
      <c r="I1108" s="76">
        <f t="shared" si="226"/>
        <v>0</v>
      </c>
      <c r="J1108" s="76">
        <f t="shared" si="226"/>
        <v>100</v>
      </c>
      <c r="K1108" s="76">
        <f t="shared" si="226"/>
        <v>300</v>
      </c>
      <c r="L1108" s="76">
        <f t="shared" si="226"/>
        <v>1216.5</v>
      </c>
      <c r="M1108" s="78">
        <f t="shared" si="226"/>
        <v>600</v>
      </c>
      <c r="N1108" s="76">
        <f t="shared" si="226"/>
        <v>72.5</v>
      </c>
      <c r="O1108" s="79">
        <f t="shared" si="226"/>
        <v>240</v>
      </c>
      <c r="P1108" s="79">
        <f t="shared" si="226"/>
        <v>110</v>
      </c>
      <c r="Q1108" s="79">
        <f t="shared" si="226"/>
        <v>245</v>
      </c>
      <c r="R1108" s="79">
        <f t="shared" si="226"/>
        <v>100</v>
      </c>
      <c r="S1108" s="76">
        <f t="shared" si="226"/>
        <v>695</v>
      </c>
      <c r="T1108" s="76">
        <f t="shared" si="226"/>
        <v>33.333333333333336</v>
      </c>
      <c r="U1108" s="77"/>
      <c r="V1108" s="77"/>
      <c r="W1108" s="77"/>
      <c r="X1108" s="77"/>
      <c r="Y1108" s="77"/>
      <c r="Z1108" s="77"/>
      <c r="AA1108" s="77"/>
      <c r="AB1108" s="77"/>
      <c r="AC1108" s="77"/>
      <c r="AD1108" s="77"/>
    </row>
    <row r="1109" spans="1:30" ht="15" x14ac:dyDescent="0.2">
      <c r="A1109" s="10">
        <f t="shared" si="210"/>
        <v>2053</v>
      </c>
      <c r="B1109" s="10">
        <f t="shared" si="218"/>
        <v>365</v>
      </c>
      <c r="C1109" s="76">
        <f t="shared" ref="C1109:T1109" si="227">AVERAGE(C492:C503)</f>
        <v>154.75825</v>
      </c>
      <c r="D1109" s="76">
        <f t="shared" si="227"/>
        <v>281.0162499999999</v>
      </c>
      <c r="E1109" s="76">
        <f t="shared" si="227"/>
        <v>109.1005</v>
      </c>
      <c r="F1109" s="76">
        <f t="shared" si="227"/>
        <v>57.041666666666664</v>
      </c>
      <c r="G1109" s="76">
        <f t="shared" si="227"/>
        <v>40</v>
      </c>
      <c r="H1109" s="76">
        <f t="shared" si="227"/>
        <v>174.58333333333334</v>
      </c>
      <c r="I1109" s="76">
        <f t="shared" si="227"/>
        <v>0</v>
      </c>
      <c r="J1109" s="76">
        <f t="shared" si="227"/>
        <v>100</v>
      </c>
      <c r="K1109" s="76">
        <f t="shared" si="227"/>
        <v>300</v>
      </c>
      <c r="L1109" s="76">
        <f t="shared" si="227"/>
        <v>1216.5</v>
      </c>
      <c r="M1109" s="78">
        <f t="shared" si="227"/>
        <v>600</v>
      </c>
      <c r="N1109" s="76">
        <f t="shared" si="227"/>
        <v>72.5</v>
      </c>
      <c r="O1109" s="79">
        <f t="shared" si="227"/>
        <v>240</v>
      </c>
      <c r="P1109" s="79">
        <f t="shared" si="227"/>
        <v>110</v>
      </c>
      <c r="Q1109" s="79">
        <f t="shared" si="227"/>
        <v>245</v>
      </c>
      <c r="R1109" s="79">
        <f t="shared" si="227"/>
        <v>100</v>
      </c>
      <c r="S1109" s="76">
        <f t="shared" si="227"/>
        <v>695</v>
      </c>
      <c r="T1109" s="76">
        <f t="shared" si="227"/>
        <v>33.333333333333336</v>
      </c>
      <c r="U1109" s="77"/>
      <c r="V1109" s="77"/>
      <c r="W1109" s="77"/>
      <c r="X1109" s="77"/>
      <c r="Y1109" s="77"/>
      <c r="Z1109" s="77"/>
      <c r="AA1109" s="77"/>
      <c r="AB1109" s="77"/>
      <c r="AC1109" s="77"/>
      <c r="AD1109" s="77"/>
    </row>
    <row r="1110" spans="1:30" ht="15" x14ac:dyDescent="0.2">
      <c r="A1110" s="10">
        <f t="shared" si="210"/>
        <v>2054</v>
      </c>
      <c r="B1110" s="10">
        <f t="shared" si="218"/>
        <v>365</v>
      </c>
      <c r="C1110" s="76">
        <f t="shared" ref="C1110:T1110" si="228">AVERAGE(C504:C515)</f>
        <v>154.75825</v>
      </c>
      <c r="D1110" s="76">
        <f t="shared" si="228"/>
        <v>281.0162499999999</v>
      </c>
      <c r="E1110" s="76">
        <f t="shared" si="228"/>
        <v>109.1005</v>
      </c>
      <c r="F1110" s="76">
        <f t="shared" si="228"/>
        <v>57.041666666666664</v>
      </c>
      <c r="G1110" s="76">
        <f t="shared" si="228"/>
        <v>40</v>
      </c>
      <c r="H1110" s="76">
        <f t="shared" si="228"/>
        <v>174.58333333333334</v>
      </c>
      <c r="I1110" s="76">
        <f t="shared" si="228"/>
        <v>0</v>
      </c>
      <c r="J1110" s="76">
        <f t="shared" si="228"/>
        <v>100</v>
      </c>
      <c r="K1110" s="76">
        <f t="shared" si="228"/>
        <v>300</v>
      </c>
      <c r="L1110" s="76">
        <f t="shared" si="228"/>
        <v>1216.5</v>
      </c>
      <c r="M1110" s="78">
        <f t="shared" si="228"/>
        <v>600</v>
      </c>
      <c r="N1110" s="76">
        <f t="shared" si="228"/>
        <v>72.5</v>
      </c>
      <c r="O1110" s="76">
        <f t="shared" si="228"/>
        <v>240</v>
      </c>
      <c r="P1110" s="76">
        <f t="shared" si="228"/>
        <v>110</v>
      </c>
      <c r="Q1110" s="76">
        <f t="shared" si="228"/>
        <v>245</v>
      </c>
      <c r="R1110" s="76">
        <f t="shared" si="228"/>
        <v>100</v>
      </c>
      <c r="S1110" s="76">
        <f t="shared" si="228"/>
        <v>695</v>
      </c>
      <c r="T1110" s="76">
        <f t="shared" si="228"/>
        <v>33.333333333333336</v>
      </c>
      <c r="U1110" s="77"/>
      <c r="V1110" s="77"/>
      <c r="W1110" s="77"/>
      <c r="X1110" s="77"/>
      <c r="Y1110" s="77"/>
      <c r="Z1110" s="77"/>
      <c r="AA1110" s="77"/>
      <c r="AB1110" s="77"/>
      <c r="AC1110" s="77"/>
      <c r="AD1110" s="77"/>
    </row>
    <row r="1111" spans="1:30" ht="15" x14ac:dyDescent="0.2">
      <c r="A1111" s="10">
        <f t="shared" si="210"/>
        <v>2055</v>
      </c>
      <c r="B1111" s="10">
        <f t="shared" si="218"/>
        <v>365</v>
      </c>
      <c r="C1111" s="76">
        <f t="shared" ref="C1111:T1111" si="229">AVERAGE(C505:C516)</f>
        <v>154.75825</v>
      </c>
      <c r="D1111" s="76">
        <f t="shared" si="229"/>
        <v>281.0162499999999</v>
      </c>
      <c r="E1111" s="76">
        <f t="shared" si="229"/>
        <v>109.1005</v>
      </c>
      <c r="F1111" s="76">
        <f t="shared" si="229"/>
        <v>57.041666666666657</v>
      </c>
      <c r="G1111" s="76">
        <f t="shared" si="229"/>
        <v>40</v>
      </c>
      <c r="H1111" s="76">
        <f t="shared" si="229"/>
        <v>174.58333333333334</v>
      </c>
      <c r="I1111" s="76">
        <f t="shared" si="229"/>
        <v>0</v>
      </c>
      <c r="J1111" s="76">
        <f t="shared" si="229"/>
        <v>100</v>
      </c>
      <c r="K1111" s="76">
        <f t="shared" si="229"/>
        <v>300</v>
      </c>
      <c r="L1111" s="76">
        <f t="shared" si="229"/>
        <v>1216.5</v>
      </c>
      <c r="M1111" s="78">
        <f t="shared" si="229"/>
        <v>600</v>
      </c>
      <c r="N1111" s="76">
        <f t="shared" si="229"/>
        <v>72.5</v>
      </c>
      <c r="O1111" s="76">
        <f t="shared" si="229"/>
        <v>240</v>
      </c>
      <c r="P1111" s="76">
        <f t="shared" si="229"/>
        <v>110</v>
      </c>
      <c r="Q1111" s="76">
        <f t="shared" si="229"/>
        <v>245</v>
      </c>
      <c r="R1111" s="76">
        <f t="shared" si="229"/>
        <v>100</v>
      </c>
      <c r="S1111" s="76">
        <f t="shared" si="229"/>
        <v>695</v>
      </c>
      <c r="T1111" s="76">
        <f t="shared" si="229"/>
        <v>33.333333333333336</v>
      </c>
      <c r="U1111" s="77"/>
      <c r="V1111" s="77"/>
      <c r="W1111" s="77"/>
      <c r="X1111" s="77"/>
      <c r="Y1111" s="77"/>
      <c r="Z1111" s="77"/>
      <c r="AA1111" s="77"/>
      <c r="AB1111" s="77"/>
      <c r="AC1111" s="77"/>
      <c r="AD1111" s="77"/>
    </row>
    <row r="1112" spans="1:30" ht="15" x14ac:dyDescent="0.2">
      <c r="A1112" s="10">
        <f t="shared" si="210"/>
        <v>2056</v>
      </c>
      <c r="B1112" s="10">
        <f t="shared" si="218"/>
        <v>366</v>
      </c>
      <c r="C1112" s="76">
        <f t="shared" ref="C1112:T1112" si="230">AVERAGE(C506:C517)</f>
        <v>154.75824999999998</v>
      </c>
      <c r="D1112" s="76">
        <f t="shared" si="230"/>
        <v>281.0162499999999</v>
      </c>
      <c r="E1112" s="76">
        <f t="shared" si="230"/>
        <v>109.1005</v>
      </c>
      <c r="F1112" s="76">
        <f t="shared" si="230"/>
        <v>57.041666666666664</v>
      </c>
      <c r="G1112" s="76">
        <f t="shared" si="230"/>
        <v>40</v>
      </c>
      <c r="H1112" s="76">
        <f t="shared" si="230"/>
        <v>174.58333333333334</v>
      </c>
      <c r="I1112" s="76">
        <f t="shared" si="230"/>
        <v>0</v>
      </c>
      <c r="J1112" s="76">
        <f t="shared" si="230"/>
        <v>100</v>
      </c>
      <c r="K1112" s="76">
        <f t="shared" si="230"/>
        <v>300</v>
      </c>
      <c r="L1112" s="76">
        <f t="shared" si="230"/>
        <v>1216.5</v>
      </c>
      <c r="M1112" s="78">
        <f t="shared" si="230"/>
        <v>600</v>
      </c>
      <c r="N1112" s="76">
        <f t="shared" si="230"/>
        <v>72.5</v>
      </c>
      <c r="O1112" s="76">
        <f t="shared" si="230"/>
        <v>240</v>
      </c>
      <c r="P1112" s="76">
        <f t="shared" si="230"/>
        <v>110</v>
      </c>
      <c r="Q1112" s="76">
        <f t="shared" si="230"/>
        <v>245</v>
      </c>
      <c r="R1112" s="76">
        <f t="shared" si="230"/>
        <v>100</v>
      </c>
      <c r="S1112" s="76">
        <f t="shared" si="230"/>
        <v>695</v>
      </c>
      <c r="T1112" s="76">
        <f t="shared" si="230"/>
        <v>33.333333333333336</v>
      </c>
      <c r="U1112" s="77"/>
      <c r="V1112" s="77"/>
      <c r="W1112" s="77"/>
      <c r="X1112" s="77"/>
      <c r="Y1112" s="77"/>
      <c r="Z1112" s="77"/>
      <c r="AA1112" s="77"/>
      <c r="AB1112" s="77"/>
      <c r="AC1112" s="77"/>
      <c r="AD1112" s="77"/>
    </row>
    <row r="1113" spans="1:30" ht="15" x14ac:dyDescent="0.2">
      <c r="A1113" s="10">
        <f t="shared" si="210"/>
        <v>2057</v>
      </c>
      <c r="B1113" s="10">
        <f t="shared" si="218"/>
        <v>365</v>
      </c>
      <c r="C1113" s="76">
        <f t="shared" ref="C1113:T1113" si="231">AVERAGE(C507:C518)</f>
        <v>154.75825</v>
      </c>
      <c r="D1113" s="76">
        <f t="shared" si="231"/>
        <v>281.0162499999999</v>
      </c>
      <c r="E1113" s="76">
        <f t="shared" si="231"/>
        <v>109.1005</v>
      </c>
      <c r="F1113" s="76">
        <f t="shared" si="231"/>
        <v>57.041666666666664</v>
      </c>
      <c r="G1113" s="76">
        <f t="shared" si="231"/>
        <v>40</v>
      </c>
      <c r="H1113" s="76">
        <f t="shared" si="231"/>
        <v>174.58333333333334</v>
      </c>
      <c r="I1113" s="76">
        <f t="shared" si="231"/>
        <v>0</v>
      </c>
      <c r="J1113" s="76">
        <f t="shared" si="231"/>
        <v>100</v>
      </c>
      <c r="K1113" s="76">
        <f t="shared" si="231"/>
        <v>300</v>
      </c>
      <c r="L1113" s="76">
        <f t="shared" si="231"/>
        <v>1216.5</v>
      </c>
      <c r="M1113" s="78">
        <f t="shared" si="231"/>
        <v>600</v>
      </c>
      <c r="N1113" s="76">
        <f t="shared" si="231"/>
        <v>72.5</v>
      </c>
      <c r="O1113" s="76">
        <f t="shared" si="231"/>
        <v>240</v>
      </c>
      <c r="P1113" s="76">
        <f t="shared" si="231"/>
        <v>110</v>
      </c>
      <c r="Q1113" s="76">
        <f t="shared" si="231"/>
        <v>245</v>
      </c>
      <c r="R1113" s="76">
        <f t="shared" si="231"/>
        <v>100</v>
      </c>
      <c r="S1113" s="76">
        <f t="shared" si="231"/>
        <v>695</v>
      </c>
      <c r="T1113" s="76">
        <f t="shared" si="231"/>
        <v>33.333333333333336</v>
      </c>
      <c r="U1113" s="77"/>
      <c r="V1113" s="77"/>
      <c r="W1113" s="77"/>
      <c r="X1113" s="77"/>
      <c r="Y1113" s="77"/>
      <c r="Z1113" s="77"/>
      <c r="AA1113" s="77"/>
      <c r="AB1113" s="77"/>
      <c r="AC1113" s="77"/>
      <c r="AD1113" s="77"/>
    </row>
    <row r="1114" spans="1:30" ht="15" x14ac:dyDescent="0.2">
      <c r="A1114" s="10">
        <f t="shared" si="210"/>
        <v>2058</v>
      </c>
      <c r="B1114" s="10">
        <f t="shared" si="218"/>
        <v>365</v>
      </c>
      <c r="C1114" s="76">
        <f t="shared" ref="C1114:T1114" si="232">AVERAGE(C508:C519)</f>
        <v>154.75824999999998</v>
      </c>
      <c r="D1114" s="76">
        <f t="shared" si="232"/>
        <v>281.01624999999996</v>
      </c>
      <c r="E1114" s="76">
        <f t="shared" si="232"/>
        <v>109.10050000000001</v>
      </c>
      <c r="F1114" s="76">
        <f t="shared" si="232"/>
        <v>57.041666666666664</v>
      </c>
      <c r="G1114" s="76">
        <f t="shared" si="232"/>
        <v>40</v>
      </c>
      <c r="H1114" s="76">
        <f t="shared" si="232"/>
        <v>174.58333333333334</v>
      </c>
      <c r="I1114" s="76">
        <f t="shared" si="232"/>
        <v>0</v>
      </c>
      <c r="J1114" s="76">
        <f t="shared" si="232"/>
        <v>100</v>
      </c>
      <c r="K1114" s="76">
        <f t="shared" si="232"/>
        <v>300</v>
      </c>
      <c r="L1114" s="76">
        <f t="shared" si="232"/>
        <v>1216.5</v>
      </c>
      <c r="M1114" s="78">
        <f t="shared" si="232"/>
        <v>600</v>
      </c>
      <c r="N1114" s="76">
        <f t="shared" si="232"/>
        <v>72.5</v>
      </c>
      <c r="O1114" s="76">
        <f t="shared" si="232"/>
        <v>240</v>
      </c>
      <c r="P1114" s="76">
        <f t="shared" si="232"/>
        <v>110</v>
      </c>
      <c r="Q1114" s="76">
        <f t="shared" si="232"/>
        <v>245</v>
      </c>
      <c r="R1114" s="76">
        <f t="shared" si="232"/>
        <v>100</v>
      </c>
      <c r="S1114" s="76">
        <f t="shared" si="232"/>
        <v>695</v>
      </c>
      <c r="T1114" s="76">
        <f t="shared" si="232"/>
        <v>33.333333333333336</v>
      </c>
      <c r="U1114" s="77"/>
      <c r="V1114" s="77"/>
      <c r="W1114" s="77"/>
      <c r="X1114" s="77"/>
      <c r="Y1114" s="77"/>
      <c r="Z1114" s="77"/>
      <c r="AA1114" s="77"/>
      <c r="AB1114" s="77"/>
      <c r="AC1114" s="77"/>
      <c r="AD1114" s="77"/>
    </row>
    <row r="1115" spans="1:30" ht="15" x14ac:dyDescent="0.2">
      <c r="A1115" s="10">
        <f t="shared" si="210"/>
        <v>2059</v>
      </c>
      <c r="B1115" s="10">
        <f t="shared" si="218"/>
        <v>365</v>
      </c>
      <c r="C1115" s="76">
        <f t="shared" ref="C1115:T1115" si="233">AVERAGE(C509:C520)</f>
        <v>154.75824999999998</v>
      </c>
      <c r="D1115" s="76">
        <f t="shared" si="233"/>
        <v>281.01624999999996</v>
      </c>
      <c r="E1115" s="76">
        <f t="shared" si="233"/>
        <v>109.10050000000001</v>
      </c>
      <c r="F1115" s="76">
        <f t="shared" si="233"/>
        <v>57.041666666666664</v>
      </c>
      <c r="G1115" s="76">
        <f t="shared" si="233"/>
        <v>40</v>
      </c>
      <c r="H1115" s="76">
        <f t="shared" si="233"/>
        <v>174.58333333333334</v>
      </c>
      <c r="I1115" s="76">
        <f t="shared" si="233"/>
        <v>0</v>
      </c>
      <c r="J1115" s="76">
        <f t="shared" si="233"/>
        <v>100</v>
      </c>
      <c r="K1115" s="76">
        <f t="shared" si="233"/>
        <v>300</v>
      </c>
      <c r="L1115" s="76">
        <f t="shared" si="233"/>
        <v>1216.5</v>
      </c>
      <c r="M1115" s="78">
        <f t="shared" si="233"/>
        <v>600</v>
      </c>
      <c r="N1115" s="76">
        <f t="shared" si="233"/>
        <v>72.5</v>
      </c>
      <c r="O1115" s="76">
        <f t="shared" si="233"/>
        <v>240</v>
      </c>
      <c r="P1115" s="76">
        <f t="shared" si="233"/>
        <v>110</v>
      </c>
      <c r="Q1115" s="76">
        <f t="shared" si="233"/>
        <v>245</v>
      </c>
      <c r="R1115" s="76">
        <f t="shared" si="233"/>
        <v>100</v>
      </c>
      <c r="S1115" s="76">
        <f t="shared" si="233"/>
        <v>695</v>
      </c>
      <c r="T1115" s="76">
        <f t="shared" si="233"/>
        <v>33.333333333333336</v>
      </c>
      <c r="U1115" s="77"/>
      <c r="V1115" s="77"/>
      <c r="W1115" s="77"/>
      <c r="X1115" s="77"/>
      <c r="Y1115" s="77"/>
      <c r="Z1115" s="77"/>
      <c r="AA1115" s="77"/>
      <c r="AB1115" s="77"/>
      <c r="AC1115" s="77"/>
      <c r="AD1115" s="77"/>
    </row>
    <row r="1116" spans="1:30" ht="15" x14ac:dyDescent="0.2">
      <c r="A1116" s="10">
        <f t="shared" si="210"/>
        <v>2060</v>
      </c>
      <c r="B1116" s="10">
        <f t="shared" si="218"/>
        <v>366</v>
      </c>
      <c r="C1116" s="76">
        <f t="shared" ref="C1116:T1116" si="234">AVERAGE(C510:C521)</f>
        <v>154.75824999999998</v>
      </c>
      <c r="D1116" s="76">
        <f t="shared" si="234"/>
        <v>281.01624999999996</v>
      </c>
      <c r="E1116" s="76">
        <f t="shared" si="234"/>
        <v>109.10050000000001</v>
      </c>
      <c r="F1116" s="76">
        <f t="shared" si="234"/>
        <v>57.041666666666664</v>
      </c>
      <c r="G1116" s="76">
        <f t="shared" si="234"/>
        <v>40</v>
      </c>
      <c r="H1116" s="76">
        <f t="shared" si="234"/>
        <v>174.58333333333334</v>
      </c>
      <c r="I1116" s="76">
        <f t="shared" si="234"/>
        <v>0</v>
      </c>
      <c r="J1116" s="76">
        <f t="shared" si="234"/>
        <v>100</v>
      </c>
      <c r="K1116" s="76">
        <f t="shared" si="234"/>
        <v>300</v>
      </c>
      <c r="L1116" s="76">
        <f t="shared" si="234"/>
        <v>1216.5</v>
      </c>
      <c r="M1116" s="78">
        <f t="shared" si="234"/>
        <v>600</v>
      </c>
      <c r="N1116" s="76">
        <f t="shared" si="234"/>
        <v>72.5</v>
      </c>
      <c r="O1116" s="76">
        <f t="shared" si="234"/>
        <v>240</v>
      </c>
      <c r="P1116" s="76">
        <f t="shared" si="234"/>
        <v>110</v>
      </c>
      <c r="Q1116" s="76">
        <f t="shared" si="234"/>
        <v>245</v>
      </c>
      <c r="R1116" s="76">
        <f t="shared" si="234"/>
        <v>100</v>
      </c>
      <c r="S1116" s="76">
        <f t="shared" si="234"/>
        <v>695</v>
      </c>
      <c r="T1116" s="76">
        <f t="shared" si="234"/>
        <v>33.333333333333336</v>
      </c>
      <c r="U1116" s="77"/>
      <c r="V1116" s="77"/>
      <c r="W1116" s="77"/>
      <c r="X1116" s="77"/>
      <c r="Y1116" s="77"/>
      <c r="Z1116" s="77"/>
      <c r="AA1116" s="77"/>
      <c r="AB1116" s="77"/>
      <c r="AC1116" s="77"/>
      <c r="AD1116" s="77"/>
    </row>
    <row r="1117" spans="1:30" ht="15" x14ac:dyDescent="0.2">
      <c r="A1117" s="10">
        <f t="shared" si="210"/>
        <v>2061</v>
      </c>
      <c r="B1117" s="10">
        <f t="shared" si="218"/>
        <v>365</v>
      </c>
      <c r="C1117" s="76">
        <f t="shared" ref="C1117:T1117" si="235">AVERAGE(C511:C522)</f>
        <v>154.75825</v>
      </c>
      <c r="D1117" s="76">
        <f t="shared" si="235"/>
        <v>281.01624999999996</v>
      </c>
      <c r="E1117" s="76">
        <f t="shared" si="235"/>
        <v>109.10050000000001</v>
      </c>
      <c r="F1117" s="76">
        <f t="shared" si="235"/>
        <v>57.04166666666665</v>
      </c>
      <c r="G1117" s="76">
        <f t="shared" si="235"/>
        <v>40</v>
      </c>
      <c r="H1117" s="76">
        <f t="shared" si="235"/>
        <v>174.58333333333334</v>
      </c>
      <c r="I1117" s="76">
        <f t="shared" si="235"/>
        <v>0</v>
      </c>
      <c r="J1117" s="76">
        <f t="shared" si="235"/>
        <v>100</v>
      </c>
      <c r="K1117" s="76">
        <f t="shared" si="235"/>
        <v>300</v>
      </c>
      <c r="L1117" s="76">
        <f t="shared" si="235"/>
        <v>1216.5</v>
      </c>
      <c r="M1117" s="78">
        <f t="shared" si="235"/>
        <v>600</v>
      </c>
      <c r="N1117" s="76">
        <f t="shared" si="235"/>
        <v>72.5</v>
      </c>
      <c r="O1117" s="76">
        <f t="shared" si="235"/>
        <v>240</v>
      </c>
      <c r="P1117" s="76">
        <f t="shared" si="235"/>
        <v>110</v>
      </c>
      <c r="Q1117" s="76">
        <f t="shared" si="235"/>
        <v>245</v>
      </c>
      <c r="R1117" s="76">
        <f t="shared" si="235"/>
        <v>100</v>
      </c>
      <c r="S1117" s="76">
        <f t="shared" si="235"/>
        <v>695</v>
      </c>
      <c r="T1117" s="76">
        <f t="shared" si="235"/>
        <v>33.333333333333336</v>
      </c>
      <c r="U1117" s="77"/>
      <c r="V1117" s="77"/>
      <c r="W1117" s="77"/>
      <c r="X1117" s="77"/>
      <c r="Y1117" s="77"/>
      <c r="Z1117" s="77"/>
      <c r="AA1117" s="77"/>
      <c r="AB1117" s="77"/>
      <c r="AC1117" s="77"/>
      <c r="AD1117" s="77"/>
    </row>
    <row r="1118" spans="1:30" ht="15" x14ac:dyDescent="0.2">
      <c r="A1118" s="10">
        <f t="shared" si="210"/>
        <v>2062</v>
      </c>
      <c r="B1118" s="10">
        <f t="shared" si="218"/>
        <v>365</v>
      </c>
      <c r="C1118" s="76">
        <f t="shared" ref="C1118:L1127" ca="1" si="236">AVERAGE(OFFSET(C$600,($A1118-$A$1118)*12,0,12,1))</f>
        <v>154.75825</v>
      </c>
      <c r="D1118" s="76">
        <f t="shared" ca="1" si="236"/>
        <v>281.0162499999999</v>
      </c>
      <c r="E1118" s="76">
        <f t="shared" ca="1" si="236"/>
        <v>109.1005</v>
      </c>
      <c r="F1118" s="76">
        <f t="shared" ca="1" si="236"/>
        <v>57.041666666666664</v>
      </c>
      <c r="G1118" s="76">
        <f t="shared" ca="1" si="236"/>
        <v>40</v>
      </c>
      <c r="H1118" s="76">
        <f t="shared" ca="1" si="236"/>
        <v>174.58333333333334</v>
      </c>
      <c r="I1118" s="76">
        <f t="shared" ca="1" si="236"/>
        <v>0</v>
      </c>
      <c r="J1118" s="76">
        <f t="shared" ca="1" si="236"/>
        <v>100</v>
      </c>
      <c r="K1118" s="76">
        <f t="shared" ca="1" si="236"/>
        <v>300</v>
      </c>
      <c r="L1118" s="76">
        <f t="shared" ca="1" si="236"/>
        <v>1216.5</v>
      </c>
      <c r="M1118" s="76">
        <f t="shared" ref="M1118:T1127" ca="1" si="237">AVERAGE(OFFSET(M$600,($A1118-$A$1118)*12,0,12,1))</f>
        <v>600</v>
      </c>
      <c r="N1118" s="76">
        <f t="shared" ca="1" si="237"/>
        <v>72.5</v>
      </c>
      <c r="O1118" s="76">
        <f t="shared" ca="1" si="237"/>
        <v>240</v>
      </c>
      <c r="P1118" s="76">
        <f t="shared" ca="1" si="237"/>
        <v>40</v>
      </c>
      <c r="Q1118" s="76">
        <f t="shared" ca="1" si="237"/>
        <v>315</v>
      </c>
      <c r="R1118" s="76">
        <f t="shared" ca="1" si="237"/>
        <v>100</v>
      </c>
      <c r="S1118" s="76">
        <f t="shared" ca="1" si="237"/>
        <v>695</v>
      </c>
      <c r="T1118" s="76">
        <f t="shared" ca="1" si="237"/>
        <v>33.333333333333336</v>
      </c>
      <c r="U1118" s="77"/>
      <c r="V1118" s="77"/>
      <c r="W1118" s="77"/>
      <c r="X1118" s="77"/>
      <c r="Y1118" s="77"/>
      <c r="Z1118" s="77"/>
      <c r="AA1118" s="77"/>
      <c r="AB1118" s="77"/>
      <c r="AC1118" s="77"/>
      <c r="AD1118" s="77"/>
    </row>
    <row r="1119" spans="1:30" ht="15" x14ac:dyDescent="0.2">
      <c r="A1119" s="10">
        <f t="shared" si="210"/>
        <v>2063</v>
      </c>
      <c r="B1119" s="10">
        <f t="shared" si="218"/>
        <v>365</v>
      </c>
      <c r="C1119" s="76">
        <f t="shared" ca="1" si="236"/>
        <v>154.75825</v>
      </c>
      <c r="D1119" s="76">
        <f t="shared" ca="1" si="236"/>
        <v>281.0162499999999</v>
      </c>
      <c r="E1119" s="76">
        <f t="shared" ca="1" si="236"/>
        <v>109.1005</v>
      </c>
      <c r="F1119" s="76">
        <f t="shared" ca="1" si="236"/>
        <v>57.041666666666664</v>
      </c>
      <c r="G1119" s="76">
        <f t="shared" ca="1" si="236"/>
        <v>40</v>
      </c>
      <c r="H1119" s="76">
        <f t="shared" ca="1" si="236"/>
        <v>174.58333333333334</v>
      </c>
      <c r="I1119" s="76">
        <f t="shared" ca="1" si="236"/>
        <v>0</v>
      </c>
      <c r="J1119" s="76">
        <f t="shared" ca="1" si="236"/>
        <v>100</v>
      </c>
      <c r="K1119" s="76">
        <f t="shared" ca="1" si="236"/>
        <v>300</v>
      </c>
      <c r="L1119" s="76">
        <f t="shared" ca="1" si="236"/>
        <v>1216.5</v>
      </c>
      <c r="M1119" s="76">
        <f t="shared" ca="1" si="237"/>
        <v>600</v>
      </c>
      <c r="N1119" s="76">
        <f t="shared" ca="1" si="237"/>
        <v>72.5</v>
      </c>
      <c r="O1119" s="76">
        <f t="shared" ca="1" si="237"/>
        <v>240</v>
      </c>
      <c r="P1119" s="76">
        <f t="shared" ca="1" si="237"/>
        <v>40</v>
      </c>
      <c r="Q1119" s="76">
        <f t="shared" ca="1" si="237"/>
        <v>315</v>
      </c>
      <c r="R1119" s="76">
        <f t="shared" ca="1" si="237"/>
        <v>100</v>
      </c>
      <c r="S1119" s="76">
        <f t="shared" ca="1" si="237"/>
        <v>695</v>
      </c>
      <c r="T1119" s="76">
        <f t="shared" ca="1" si="237"/>
        <v>33.333333333333336</v>
      </c>
      <c r="U1119" s="77"/>
      <c r="V1119" s="77"/>
      <c r="W1119" s="77"/>
      <c r="X1119" s="77"/>
      <c r="Y1119" s="77"/>
      <c r="Z1119" s="77"/>
      <c r="AA1119" s="77"/>
      <c r="AB1119" s="77"/>
      <c r="AC1119" s="77"/>
      <c r="AD1119" s="77"/>
    </row>
    <row r="1120" spans="1:30" ht="15" x14ac:dyDescent="0.2">
      <c r="A1120" s="10">
        <f t="shared" si="210"/>
        <v>2064</v>
      </c>
      <c r="B1120" s="10">
        <f t="shared" si="218"/>
        <v>366</v>
      </c>
      <c r="C1120" s="76">
        <f t="shared" ca="1" si="236"/>
        <v>154.75825</v>
      </c>
      <c r="D1120" s="76">
        <f t="shared" ca="1" si="236"/>
        <v>281.0162499999999</v>
      </c>
      <c r="E1120" s="76">
        <f t="shared" ca="1" si="236"/>
        <v>109.1005</v>
      </c>
      <c r="F1120" s="76">
        <f t="shared" ca="1" si="236"/>
        <v>57.041666666666664</v>
      </c>
      <c r="G1120" s="76">
        <f t="shared" ca="1" si="236"/>
        <v>40</v>
      </c>
      <c r="H1120" s="76">
        <f t="shared" ca="1" si="236"/>
        <v>174.58333333333334</v>
      </c>
      <c r="I1120" s="76">
        <f t="shared" ca="1" si="236"/>
        <v>0</v>
      </c>
      <c r="J1120" s="76">
        <f t="shared" ca="1" si="236"/>
        <v>100</v>
      </c>
      <c r="K1120" s="76">
        <f t="shared" ca="1" si="236"/>
        <v>300</v>
      </c>
      <c r="L1120" s="76">
        <f t="shared" ca="1" si="236"/>
        <v>1216.5</v>
      </c>
      <c r="M1120" s="76">
        <f t="shared" ca="1" si="237"/>
        <v>600</v>
      </c>
      <c r="N1120" s="76">
        <f t="shared" ca="1" si="237"/>
        <v>72.5</v>
      </c>
      <c r="O1120" s="76">
        <f t="shared" ca="1" si="237"/>
        <v>240</v>
      </c>
      <c r="P1120" s="76">
        <f t="shared" ca="1" si="237"/>
        <v>40</v>
      </c>
      <c r="Q1120" s="76">
        <f t="shared" ca="1" si="237"/>
        <v>315</v>
      </c>
      <c r="R1120" s="76">
        <f t="shared" ca="1" si="237"/>
        <v>100</v>
      </c>
      <c r="S1120" s="76">
        <f t="shared" ca="1" si="237"/>
        <v>695</v>
      </c>
      <c r="T1120" s="76">
        <f t="shared" ca="1" si="237"/>
        <v>33.333333333333336</v>
      </c>
      <c r="U1120" s="77"/>
      <c r="V1120" s="77"/>
      <c r="W1120" s="77"/>
      <c r="X1120" s="77"/>
      <c r="Y1120" s="77"/>
      <c r="Z1120" s="77"/>
      <c r="AA1120" s="77"/>
      <c r="AB1120" s="77"/>
      <c r="AC1120" s="77"/>
      <c r="AD1120" s="77"/>
    </row>
    <row r="1121" spans="1:30" ht="15" x14ac:dyDescent="0.2">
      <c r="A1121" s="10">
        <f t="shared" si="210"/>
        <v>2065</v>
      </c>
      <c r="B1121" s="10">
        <f t="shared" si="218"/>
        <v>365</v>
      </c>
      <c r="C1121" s="76">
        <f t="shared" ca="1" si="236"/>
        <v>154.75825</v>
      </c>
      <c r="D1121" s="76">
        <f t="shared" ca="1" si="236"/>
        <v>281.0162499999999</v>
      </c>
      <c r="E1121" s="76">
        <f t="shared" ca="1" si="236"/>
        <v>109.1005</v>
      </c>
      <c r="F1121" s="76">
        <f t="shared" ca="1" si="236"/>
        <v>57.041666666666664</v>
      </c>
      <c r="G1121" s="76">
        <f t="shared" ca="1" si="236"/>
        <v>40</v>
      </c>
      <c r="H1121" s="76">
        <f t="shared" ca="1" si="236"/>
        <v>174.58333333333334</v>
      </c>
      <c r="I1121" s="76">
        <f t="shared" ca="1" si="236"/>
        <v>0</v>
      </c>
      <c r="J1121" s="76">
        <f t="shared" ca="1" si="236"/>
        <v>100</v>
      </c>
      <c r="K1121" s="76">
        <f t="shared" ca="1" si="236"/>
        <v>300</v>
      </c>
      <c r="L1121" s="76">
        <f t="shared" ca="1" si="236"/>
        <v>1216.5</v>
      </c>
      <c r="M1121" s="76">
        <f t="shared" ca="1" si="237"/>
        <v>600</v>
      </c>
      <c r="N1121" s="76">
        <f t="shared" ca="1" si="237"/>
        <v>72.5</v>
      </c>
      <c r="O1121" s="76">
        <f t="shared" ca="1" si="237"/>
        <v>240</v>
      </c>
      <c r="P1121" s="76">
        <f t="shared" ca="1" si="237"/>
        <v>40</v>
      </c>
      <c r="Q1121" s="76">
        <f t="shared" ca="1" si="237"/>
        <v>315</v>
      </c>
      <c r="R1121" s="76">
        <f t="shared" ca="1" si="237"/>
        <v>100</v>
      </c>
      <c r="S1121" s="76">
        <f t="shared" ca="1" si="237"/>
        <v>695</v>
      </c>
      <c r="T1121" s="76">
        <f t="shared" ca="1" si="237"/>
        <v>33.333333333333336</v>
      </c>
      <c r="U1121" s="77"/>
      <c r="V1121" s="77"/>
      <c r="W1121" s="77"/>
      <c r="X1121" s="77"/>
      <c r="Y1121" s="77"/>
      <c r="Z1121" s="77"/>
      <c r="AA1121" s="77"/>
      <c r="AB1121" s="77"/>
      <c r="AC1121" s="77"/>
      <c r="AD1121" s="77"/>
    </row>
    <row r="1122" spans="1:30" ht="15" x14ac:dyDescent="0.2">
      <c r="A1122" s="10">
        <f t="shared" si="210"/>
        <v>2066</v>
      </c>
      <c r="B1122" s="10">
        <f t="shared" si="218"/>
        <v>365</v>
      </c>
      <c r="C1122" s="76">
        <f t="shared" ca="1" si="236"/>
        <v>154.75825</v>
      </c>
      <c r="D1122" s="76">
        <f t="shared" ca="1" si="236"/>
        <v>281.0162499999999</v>
      </c>
      <c r="E1122" s="76">
        <f t="shared" ca="1" si="236"/>
        <v>109.1005</v>
      </c>
      <c r="F1122" s="76">
        <f t="shared" ca="1" si="236"/>
        <v>57.041666666666664</v>
      </c>
      <c r="G1122" s="76">
        <f t="shared" ca="1" si="236"/>
        <v>40</v>
      </c>
      <c r="H1122" s="76">
        <f t="shared" ca="1" si="236"/>
        <v>174.58333333333334</v>
      </c>
      <c r="I1122" s="76">
        <f t="shared" ca="1" si="236"/>
        <v>0</v>
      </c>
      <c r="J1122" s="76">
        <f t="shared" ca="1" si="236"/>
        <v>100</v>
      </c>
      <c r="K1122" s="76">
        <f t="shared" ca="1" si="236"/>
        <v>300</v>
      </c>
      <c r="L1122" s="76">
        <f t="shared" ca="1" si="236"/>
        <v>1216.5</v>
      </c>
      <c r="M1122" s="76">
        <f t="shared" ca="1" si="237"/>
        <v>600</v>
      </c>
      <c r="N1122" s="76">
        <f t="shared" ca="1" si="237"/>
        <v>72.5</v>
      </c>
      <c r="O1122" s="76">
        <f t="shared" ca="1" si="237"/>
        <v>240</v>
      </c>
      <c r="P1122" s="76">
        <f t="shared" ca="1" si="237"/>
        <v>40</v>
      </c>
      <c r="Q1122" s="76">
        <f t="shared" ca="1" si="237"/>
        <v>315</v>
      </c>
      <c r="R1122" s="76">
        <f t="shared" ca="1" si="237"/>
        <v>100</v>
      </c>
      <c r="S1122" s="76">
        <f t="shared" ca="1" si="237"/>
        <v>695</v>
      </c>
      <c r="T1122" s="76">
        <f t="shared" ca="1" si="237"/>
        <v>33.333333333333336</v>
      </c>
      <c r="U1122" s="77"/>
      <c r="V1122" s="77"/>
      <c r="W1122" s="77"/>
      <c r="X1122" s="77"/>
      <c r="Y1122" s="77"/>
      <c r="Z1122" s="77"/>
      <c r="AA1122" s="77"/>
      <c r="AB1122" s="77"/>
      <c r="AC1122" s="77"/>
      <c r="AD1122" s="77"/>
    </row>
    <row r="1123" spans="1:30" ht="15" x14ac:dyDescent="0.2">
      <c r="A1123" s="10">
        <f t="shared" si="210"/>
        <v>2067</v>
      </c>
      <c r="B1123" s="10">
        <f t="shared" si="218"/>
        <v>365</v>
      </c>
      <c r="C1123" s="76">
        <f t="shared" ca="1" si="236"/>
        <v>154.75825</v>
      </c>
      <c r="D1123" s="76">
        <f t="shared" ca="1" si="236"/>
        <v>281.0162499999999</v>
      </c>
      <c r="E1123" s="76">
        <f t="shared" ca="1" si="236"/>
        <v>109.1005</v>
      </c>
      <c r="F1123" s="76">
        <f t="shared" ca="1" si="236"/>
        <v>57.041666666666664</v>
      </c>
      <c r="G1123" s="76">
        <f t="shared" ca="1" si="236"/>
        <v>40</v>
      </c>
      <c r="H1123" s="76">
        <f t="shared" ca="1" si="236"/>
        <v>174.58333333333334</v>
      </c>
      <c r="I1123" s="76">
        <f t="shared" ca="1" si="236"/>
        <v>0</v>
      </c>
      <c r="J1123" s="76">
        <f t="shared" ca="1" si="236"/>
        <v>100</v>
      </c>
      <c r="K1123" s="76">
        <f t="shared" ca="1" si="236"/>
        <v>300</v>
      </c>
      <c r="L1123" s="76">
        <f t="shared" ca="1" si="236"/>
        <v>1216.5</v>
      </c>
      <c r="M1123" s="76">
        <f t="shared" ca="1" si="237"/>
        <v>600</v>
      </c>
      <c r="N1123" s="76">
        <f t="shared" ca="1" si="237"/>
        <v>72.5</v>
      </c>
      <c r="O1123" s="76">
        <f t="shared" ca="1" si="237"/>
        <v>240</v>
      </c>
      <c r="P1123" s="76">
        <f t="shared" ca="1" si="237"/>
        <v>40</v>
      </c>
      <c r="Q1123" s="76">
        <f t="shared" ca="1" si="237"/>
        <v>315</v>
      </c>
      <c r="R1123" s="76">
        <f t="shared" ca="1" si="237"/>
        <v>100</v>
      </c>
      <c r="S1123" s="76">
        <f t="shared" ca="1" si="237"/>
        <v>695</v>
      </c>
      <c r="T1123" s="76">
        <f t="shared" ca="1" si="237"/>
        <v>33.333333333333336</v>
      </c>
      <c r="U1123" s="77"/>
      <c r="V1123" s="77"/>
      <c r="W1123" s="77"/>
      <c r="X1123" s="77"/>
      <c r="Y1123" s="77"/>
      <c r="Z1123" s="77"/>
      <c r="AA1123" s="77"/>
      <c r="AB1123" s="77"/>
      <c r="AC1123" s="77"/>
      <c r="AD1123" s="77"/>
    </row>
    <row r="1124" spans="1:30" ht="15" x14ac:dyDescent="0.2">
      <c r="A1124" s="10">
        <f t="shared" si="210"/>
        <v>2068</v>
      </c>
      <c r="B1124" s="10">
        <f t="shared" si="218"/>
        <v>366</v>
      </c>
      <c r="C1124" s="76">
        <f t="shared" ca="1" si="236"/>
        <v>154.75825</v>
      </c>
      <c r="D1124" s="76">
        <f t="shared" ca="1" si="236"/>
        <v>281.0162499999999</v>
      </c>
      <c r="E1124" s="76">
        <f t="shared" ca="1" si="236"/>
        <v>109.1005</v>
      </c>
      <c r="F1124" s="76">
        <f t="shared" ca="1" si="236"/>
        <v>57.041666666666664</v>
      </c>
      <c r="G1124" s="76">
        <f t="shared" ca="1" si="236"/>
        <v>40</v>
      </c>
      <c r="H1124" s="76">
        <f t="shared" ca="1" si="236"/>
        <v>174.58333333333334</v>
      </c>
      <c r="I1124" s="76">
        <f t="shared" ca="1" si="236"/>
        <v>0</v>
      </c>
      <c r="J1124" s="76">
        <f t="shared" ca="1" si="236"/>
        <v>100</v>
      </c>
      <c r="K1124" s="76">
        <f t="shared" ca="1" si="236"/>
        <v>300</v>
      </c>
      <c r="L1124" s="76">
        <f t="shared" ca="1" si="236"/>
        <v>1216.5</v>
      </c>
      <c r="M1124" s="76">
        <f t="shared" ca="1" si="237"/>
        <v>600</v>
      </c>
      <c r="N1124" s="76">
        <f t="shared" ca="1" si="237"/>
        <v>72.5</v>
      </c>
      <c r="O1124" s="76">
        <f t="shared" ca="1" si="237"/>
        <v>240</v>
      </c>
      <c r="P1124" s="76">
        <f t="shared" ca="1" si="237"/>
        <v>40</v>
      </c>
      <c r="Q1124" s="76">
        <f t="shared" ca="1" si="237"/>
        <v>315</v>
      </c>
      <c r="R1124" s="76">
        <f t="shared" ca="1" si="237"/>
        <v>100</v>
      </c>
      <c r="S1124" s="76">
        <f t="shared" ca="1" si="237"/>
        <v>695</v>
      </c>
      <c r="T1124" s="76">
        <f t="shared" ca="1" si="237"/>
        <v>33.333333333333336</v>
      </c>
      <c r="U1124" s="77"/>
      <c r="V1124" s="77"/>
      <c r="W1124" s="77"/>
      <c r="X1124" s="77"/>
      <c r="Y1124" s="77"/>
      <c r="Z1124" s="77"/>
      <c r="AA1124" s="77"/>
      <c r="AB1124" s="77"/>
      <c r="AC1124" s="77"/>
      <c r="AD1124" s="77"/>
    </row>
    <row r="1125" spans="1:30" ht="15" x14ac:dyDescent="0.2">
      <c r="A1125" s="10">
        <f t="shared" si="210"/>
        <v>2069</v>
      </c>
      <c r="B1125" s="10">
        <f t="shared" si="218"/>
        <v>365</v>
      </c>
      <c r="C1125" s="76">
        <f t="shared" ca="1" si="236"/>
        <v>154.75825</v>
      </c>
      <c r="D1125" s="76">
        <f t="shared" ca="1" si="236"/>
        <v>281.0162499999999</v>
      </c>
      <c r="E1125" s="76">
        <f t="shared" ca="1" si="236"/>
        <v>109.1005</v>
      </c>
      <c r="F1125" s="76">
        <f t="shared" ca="1" si="236"/>
        <v>57.041666666666664</v>
      </c>
      <c r="G1125" s="76">
        <f t="shared" ca="1" si="236"/>
        <v>40</v>
      </c>
      <c r="H1125" s="76">
        <f t="shared" ca="1" si="236"/>
        <v>174.58333333333334</v>
      </c>
      <c r="I1125" s="76">
        <f t="shared" ca="1" si="236"/>
        <v>0</v>
      </c>
      <c r="J1125" s="76">
        <f t="shared" ca="1" si="236"/>
        <v>100</v>
      </c>
      <c r="K1125" s="76">
        <f t="shared" ca="1" si="236"/>
        <v>300</v>
      </c>
      <c r="L1125" s="76">
        <f t="shared" ca="1" si="236"/>
        <v>1216.5</v>
      </c>
      <c r="M1125" s="76">
        <f t="shared" ca="1" si="237"/>
        <v>600</v>
      </c>
      <c r="N1125" s="76">
        <f t="shared" ca="1" si="237"/>
        <v>72.5</v>
      </c>
      <c r="O1125" s="76">
        <f t="shared" ca="1" si="237"/>
        <v>240</v>
      </c>
      <c r="P1125" s="76">
        <f t="shared" ca="1" si="237"/>
        <v>40</v>
      </c>
      <c r="Q1125" s="76">
        <f t="shared" ca="1" si="237"/>
        <v>315</v>
      </c>
      <c r="R1125" s="76">
        <f t="shared" ca="1" si="237"/>
        <v>100</v>
      </c>
      <c r="S1125" s="76">
        <f t="shared" ca="1" si="237"/>
        <v>695</v>
      </c>
      <c r="T1125" s="76">
        <f t="shared" ca="1" si="237"/>
        <v>33.333333333333336</v>
      </c>
      <c r="U1125" s="77"/>
      <c r="V1125" s="77"/>
      <c r="W1125" s="77"/>
      <c r="X1125" s="77"/>
      <c r="Y1125" s="77"/>
      <c r="Z1125" s="77"/>
      <c r="AA1125" s="77"/>
      <c r="AB1125" s="77"/>
      <c r="AC1125" s="77"/>
      <c r="AD1125" s="77"/>
    </row>
    <row r="1126" spans="1:30" ht="15" x14ac:dyDescent="0.2">
      <c r="A1126" s="10">
        <f t="shared" ref="A1126:A1156" si="238">A1125+1</f>
        <v>2070</v>
      </c>
      <c r="B1126" s="10">
        <f t="shared" si="218"/>
        <v>365</v>
      </c>
      <c r="C1126" s="76">
        <f t="shared" ca="1" si="236"/>
        <v>154.75825</v>
      </c>
      <c r="D1126" s="76">
        <f t="shared" ca="1" si="236"/>
        <v>281.0162499999999</v>
      </c>
      <c r="E1126" s="76">
        <f t="shared" ca="1" si="236"/>
        <v>109.1005</v>
      </c>
      <c r="F1126" s="76">
        <f t="shared" ca="1" si="236"/>
        <v>57.041666666666664</v>
      </c>
      <c r="G1126" s="76">
        <f t="shared" ca="1" si="236"/>
        <v>40</v>
      </c>
      <c r="H1126" s="76">
        <f t="shared" ca="1" si="236"/>
        <v>174.58333333333334</v>
      </c>
      <c r="I1126" s="76">
        <f t="shared" ca="1" si="236"/>
        <v>0</v>
      </c>
      <c r="J1126" s="76">
        <f t="shared" ca="1" si="236"/>
        <v>100</v>
      </c>
      <c r="K1126" s="76">
        <f t="shared" ca="1" si="236"/>
        <v>300</v>
      </c>
      <c r="L1126" s="76">
        <f t="shared" ca="1" si="236"/>
        <v>1216.5</v>
      </c>
      <c r="M1126" s="76">
        <f t="shared" ca="1" si="237"/>
        <v>600</v>
      </c>
      <c r="N1126" s="76">
        <f t="shared" ca="1" si="237"/>
        <v>72.5</v>
      </c>
      <c r="O1126" s="76">
        <f t="shared" ca="1" si="237"/>
        <v>240</v>
      </c>
      <c r="P1126" s="76">
        <f t="shared" ca="1" si="237"/>
        <v>40</v>
      </c>
      <c r="Q1126" s="76">
        <f t="shared" ca="1" si="237"/>
        <v>315</v>
      </c>
      <c r="R1126" s="76">
        <f t="shared" ca="1" si="237"/>
        <v>100</v>
      </c>
      <c r="S1126" s="76">
        <f t="shared" ca="1" si="237"/>
        <v>695</v>
      </c>
      <c r="T1126" s="76">
        <f t="shared" ca="1" si="237"/>
        <v>33.333333333333336</v>
      </c>
      <c r="U1126" s="77"/>
      <c r="V1126" s="77"/>
      <c r="W1126" s="77"/>
      <c r="X1126" s="77"/>
      <c r="Y1126" s="77"/>
      <c r="Z1126" s="77"/>
      <c r="AA1126" s="77"/>
      <c r="AB1126" s="77"/>
      <c r="AC1126" s="77"/>
      <c r="AD1126" s="77"/>
    </row>
    <row r="1127" spans="1:30" ht="15" x14ac:dyDescent="0.2">
      <c r="A1127" s="10">
        <f t="shared" si="238"/>
        <v>2071</v>
      </c>
      <c r="B1127" s="10">
        <f t="shared" si="218"/>
        <v>365</v>
      </c>
      <c r="C1127" s="76">
        <f t="shared" ca="1" si="236"/>
        <v>154.75825</v>
      </c>
      <c r="D1127" s="76">
        <f t="shared" ca="1" si="236"/>
        <v>281.0162499999999</v>
      </c>
      <c r="E1127" s="76">
        <f t="shared" ca="1" si="236"/>
        <v>109.1005</v>
      </c>
      <c r="F1127" s="76">
        <f t="shared" ca="1" si="236"/>
        <v>57.041666666666664</v>
      </c>
      <c r="G1127" s="76">
        <f t="shared" ca="1" si="236"/>
        <v>40</v>
      </c>
      <c r="H1127" s="76">
        <f t="shared" ca="1" si="236"/>
        <v>174.58333333333334</v>
      </c>
      <c r="I1127" s="76">
        <f t="shared" ca="1" si="236"/>
        <v>0</v>
      </c>
      <c r="J1127" s="76">
        <f t="shared" ca="1" si="236"/>
        <v>100</v>
      </c>
      <c r="K1127" s="76">
        <f t="shared" ca="1" si="236"/>
        <v>300</v>
      </c>
      <c r="L1127" s="76">
        <f t="shared" ca="1" si="236"/>
        <v>1216.5</v>
      </c>
      <c r="M1127" s="76">
        <f t="shared" ca="1" si="237"/>
        <v>600</v>
      </c>
      <c r="N1127" s="76">
        <f t="shared" ca="1" si="237"/>
        <v>72.5</v>
      </c>
      <c r="O1127" s="76">
        <f t="shared" ca="1" si="237"/>
        <v>240</v>
      </c>
      <c r="P1127" s="76">
        <f t="shared" ca="1" si="237"/>
        <v>40</v>
      </c>
      <c r="Q1127" s="76">
        <f t="shared" ca="1" si="237"/>
        <v>315</v>
      </c>
      <c r="R1127" s="76">
        <f t="shared" ca="1" si="237"/>
        <v>100</v>
      </c>
      <c r="S1127" s="76">
        <f t="shared" ca="1" si="237"/>
        <v>695</v>
      </c>
      <c r="T1127" s="76">
        <f t="shared" ca="1" si="237"/>
        <v>33.333333333333336</v>
      </c>
      <c r="U1127" s="77"/>
      <c r="V1127" s="77"/>
      <c r="W1127" s="77"/>
      <c r="X1127" s="77"/>
      <c r="Y1127" s="77"/>
      <c r="Z1127" s="77"/>
      <c r="AA1127" s="77"/>
      <c r="AB1127" s="77"/>
      <c r="AC1127" s="77"/>
      <c r="AD1127" s="77"/>
    </row>
    <row r="1128" spans="1:30" ht="15" x14ac:dyDescent="0.2">
      <c r="A1128" s="10">
        <f t="shared" si="238"/>
        <v>2072</v>
      </c>
      <c r="B1128" s="10">
        <f t="shared" si="218"/>
        <v>366</v>
      </c>
      <c r="C1128" s="76">
        <f t="shared" ref="C1128:L1137" ca="1" si="239">AVERAGE(OFFSET(C$600,($A1128-$A$1118)*12,0,12,1))</f>
        <v>154.75825</v>
      </c>
      <c r="D1128" s="76">
        <f t="shared" ca="1" si="239"/>
        <v>281.0162499999999</v>
      </c>
      <c r="E1128" s="76">
        <f t="shared" ca="1" si="239"/>
        <v>109.1005</v>
      </c>
      <c r="F1128" s="76">
        <f t="shared" ca="1" si="239"/>
        <v>57.041666666666664</v>
      </c>
      <c r="G1128" s="76">
        <f t="shared" ca="1" si="239"/>
        <v>40</v>
      </c>
      <c r="H1128" s="76">
        <f t="shared" ca="1" si="239"/>
        <v>174.58333333333334</v>
      </c>
      <c r="I1128" s="76">
        <f t="shared" ca="1" si="239"/>
        <v>0</v>
      </c>
      <c r="J1128" s="76">
        <f t="shared" ca="1" si="239"/>
        <v>100</v>
      </c>
      <c r="K1128" s="76">
        <f t="shared" ca="1" si="239"/>
        <v>300</v>
      </c>
      <c r="L1128" s="76">
        <f t="shared" ca="1" si="239"/>
        <v>1216.5</v>
      </c>
      <c r="M1128" s="76">
        <f t="shared" ref="M1128:T1137" ca="1" si="240">AVERAGE(OFFSET(M$600,($A1128-$A$1118)*12,0,12,1))</f>
        <v>600</v>
      </c>
      <c r="N1128" s="76">
        <f t="shared" ca="1" si="240"/>
        <v>72.5</v>
      </c>
      <c r="O1128" s="76">
        <f t="shared" ca="1" si="240"/>
        <v>240</v>
      </c>
      <c r="P1128" s="76">
        <f t="shared" ca="1" si="240"/>
        <v>40</v>
      </c>
      <c r="Q1128" s="76">
        <f t="shared" ca="1" si="240"/>
        <v>315</v>
      </c>
      <c r="R1128" s="76">
        <f t="shared" ca="1" si="240"/>
        <v>100</v>
      </c>
      <c r="S1128" s="76">
        <f t="shared" ca="1" si="240"/>
        <v>695</v>
      </c>
      <c r="T1128" s="76">
        <f t="shared" ca="1" si="240"/>
        <v>33.333333333333336</v>
      </c>
      <c r="U1128" s="77"/>
      <c r="V1128" s="77"/>
      <c r="W1128" s="77"/>
      <c r="X1128" s="77"/>
      <c r="Y1128" s="77"/>
      <c r="Z1128" s="77"/>
      <c r="AA1128" s="77"/>
      <c r="AB1128" s="77"/>
      <c r="AC1128" s="77"/>
      <c r="AD1128" s="77"/>
    </row>
    <row r="1129" spans="1:30" ht="15" x14ac:dyDescent="0.2">
      <c r="A1129" s="10">
        <f t="shared" si="238"/>
        <v>2073</v>
      </c>
      <c r="B1129" s="10">
        <f t="shared" si="218"/>
        <v>365</v>
      </c>
      <c r="C1129" s="76">
        <f t="shared" ca="1" si="239"/>
        <v>154.75825</v>
      </c>
      <c r="D1129" s="76">
        <f t="shared" ca="1" si="239"/>
        <v>281.0162499999999</v>
      </c>
      <c r="E1129" s="76">
        <f t="shared" ca="1" si="239"/>
        <v>109.1005</v>
      </c>
      <c r="F1129" s="76">
        <f t="shared" ca="1" si="239"/>
        <v>57.041666666666664</v>
      </c>
      <c r="G1129" s="76">
        <f t="shared" ca="1" si="239"/>
        <v>40</v>
      </c>
      <c r="H1129" s="76">
        <f t="shared" ca="1" si="239"/>
        <v>174.58333333333334</v>
      </c>
      <c r="I1129" s="76">
        <f t="shared" ca="1" si="239"/>
        <v>0</v>
      </c>
      <c r="J1129" s="76">
        <f t="shared" ca="1" si="239"/>
        <v>100</v>
      </c>
      <c r="K1129" s="76">
        <f t="shared" ca="1" si="239"/>
        <v>300</v>
      </c>
      <c r="L1129" s="76">
        <f t="shared" ca="1" si="239"/>
        <v>1216.5</v>
      </c>
      <c r="M1129" s="76">
        <f t="shared" ca="1" si="240"/>
        <v>600</v>
      </c>
      <c r="N1129" s="76">
        <f t="shared" ca="1" si="240"/>
        <v>72.5</v>
      </c>
      <c r="O1129" s="76">
        <f t="shared" ca="1" si="240"/>
        <v>240</v>
      </c>
      <c r="P1129" s="76">
        <f t="shared" ca="1" si="240"/>
        <v>40</v>
      </c>
      <c r="Q1129" s="76">
        <f t="shared" ca="1" si="240"/>
        <v>315</v>
      </c>
      <c r="R1129" s="76">
        <f t="shared" ca="1" si="240"/>
        <v>100</v>
      </c>
      <c r="S1129" s="76">
        <f t="shared" ca="1" si="240"/>
        <v>695</v>
      </c>
      <c r="T1129" s="76">
        <f t="shared" ca="1" si="240"/>
        <v>33.333333333333336</v>
      </c>
      <c r="U1129" s="77"/>
      <c r="V1129" s="77"/>
      <c r="W1129" s="77"/>
      <c r="X1129" s="77"/>
      <c r="Y1129" s="77"/>
      <c r="Z1129" s="77"/>
      <c r="AA1129" s="77"/>
      <c r="AB1129" s="77"/>
      <c r="AC1129" s="77"/>
      <c r="AD1129" s="77"/>
    </row>
    <row r="1130" spans="1:30" ht="15" x14ac:dyDescent="0.2">
      <c r="A1130" s="10">
        <f t="shared" si="238"/>
        <v>2074</v>
      </c>
      <c r="B1130" s="10">
        <f t="shared" si="218"/>
        <v>365</v>
      </c>
      <c r="C1130" s="76">
        <f t="shared" ca="1" si="239"/>
        <v>154.75825</v>
      </c>
      <c r="D1130" s="76">
        <f t="shared" ca="1" si="239"/>
        <v>281.0162499999999</v>
      </c>
      <c r="E1130" s="76">
        <f t="shared" ca="1" si="239"/>
        <v>109.1005</v>
      </c>
      <c r="F1130" s="76">
        <f t="shared" ca="1" si="239"/>
        <v>57.041666666666664</v>
      </c>
      <c r="G1130" s="76">
        <f t="shared" ca="1" si="239"/>
        <v>40</v>
      </c>
      <c r="H1130" s="76">
        <f t="shared" ca="1" si="239"/>
        <v>174.58333333333334</v>
      </c>
      <c r="I1130" s="76">
        <f t="shared" ca="1" si="239"/>
        <v>0</v>
      </c>
      <c r="J1130" s="76">
        <f t="shared" ca="1" si="239"/>
        <v>100</v>
      </c>
      <c r="K1130" s="76">
        <f t="shared" ca="1" si="239"/>
        <v>300</v>
      </c>
      <c r="L1130" s="76">
        <f t="shared" ca="1" si="239"/>
        <v>1216.5</v>
      </c>
      <c r="M1130" s="76">
        <f t="shared" ca="1" si="240"/>
        <v>600</v>
      </c>
      <c r="N1130" s="76">
        <f t="shared" ca="1" si="240"/>
        <v>72.5</v>
      </c>
      <c r="O1130" s="76">
        <f t="shared" ca="1" si="240"/>
        <v>240</v>
      </c>
      <c r="P1130" s="76">
        <f t="shared" ca="1" si="240"/>
        <v>40</v>
      </c>
      <c r="Q1130" s="76">
        <f t="shared" ca="1" si="240"/>
        <v>315</v>
      </c>
      <c r="R1130" s="76">
        <f t="shared" ca="1" si="240"/>
        <v>100</v>
      </c>
      <c r="S1130" s="76">
        <f t="shared" ca="1" si="240"/>
        <v>695</v>
      </c>
      <c r="T1130" s="76">
        <f t="shared" ca="1" si="240"/>
        <v>33.333333333333336</v>
      </c>
      <c r="U1130" s="77"/>
      <c r="V1130" s="77"/>
      <c r="W1130" s="77"/>
      <c r="X1130" s="77"/>
      <c r="Y1130" s="77"/>
      <c r="Z1130" s="77"/>
      <c r="AA1130" s="77"/>
      <c r="AB1130" s="77"/>
      <c r="AC1130" s="77"/>
      <c r="AD1130" s="77"/>
    </row>
    <row r="1131" spans="1:30" ht="15" x14ac:dyDescent="0.2">
      <c r="A1131" s="10">
        <f t="shared" si="238"/>
        <v>2075</v>
      </c>
      <c r="B1131" s="10">
        <f t="shared" si="218"/>
        <v>365</v>
      </c>
      <c r="C1131" s="76">
        <f t="shared" ca="1" si="239"/>
        <v>154.75825</v>
      </c>
      <c r="D1131" s="76">
        <f t="shared" ca="1" si="239"/>
        <v>281.0162499999999</v>
      </c>
      <c r="E1131" s="76">
        <f t="shared" ca="1" si="239"/>
        <v>109.1005</v>
      </c>
      <c r="F1131" s="76">
        <f t="shared" ca="1" si="239"/>
        <v>57.041666666666664</v>
      </c>
      <c r="G1131" s="76">
        <f t="shared" ca="1" si="239"/>
        <v>40</v>
      </c>
      <c r="H1131" s="76">
        <f t="shared" ca="1" si="239"/>
        <v>174.58333333333334</v>
      </c>
      <c r="I1131" s="76">
        <f t="shared" ca="1" si="239"/>
        <v>0</v>
      </c>
      <c r="J1131" s="76">
        <f t="shared" ca="1" si="239"/>
        <v>100</v>
      </c>
      <c r="K1131" s="76">
        <f t="shared" ca="1" si="239"/>
        <v>300</v>
      </c>
      <c r="L1131" s="76">
        <f t="shared" ca="1" si="239"/>
        <v>1216.5</v>
      </c>
      <c r="M1131" s="76">
        <f t="shared" ca="1" si="240"/>
        <v>600</v>
      </c>
      <c r="N1131" s="76">
        <f t="shared" ca="1" si="240"/>
        <v>72.5</v>
      </c>
      <c r="O1131" s="76">
        <f t="shared" ca="1" si="240"/>
        <v>240</v>
      </c>
      <c r="P1131" s="76">
        <f t="shared" ca="1" si="240"/>
        <v>40</v>
      </c>
      <c r="Q1131" s="76">
        <f t="shared" ca="1" si="240"/>
        <v>315</v>
      </c>
      <c r="R1131" s="76">
        <f t="shared" ca="1" si="240"/>
        <v>100</v>
      </c>
      <c r="S1131" s="76">
        <f t="shared" ca="1" si="240"/>
        <v>695</v>
      </c>
      <c r="T1131" s="76">
        <f t="shared" ca="1" si="240"/>
        <v>33.333333333333336</v>
      </c>
      <c r="U1131" s="77"/>
      <c r="V1131" s="77"/>
      <c r="W1131" s="77"/>
      <c r="X1131" s="77"/>
      <c r="Y1131" s="77"/>
      <c r="Z1131" s="77"/>
      <c r="AA1131" s="77"/>
      <c r="AB1131" s="77"/>
      <c r="AC1131" s="77"/>
      <c r="AD1131" s="77"/>
    </row>
    <row r="1132" spans="1:30" ht="15" x14ac:dyDescent="0.2">
      <c r="A1132" s="10">
        <f t="shared" si="238"/>
        <v>2076</v>
      </c>
      <c r="B1132" s="10">
        <f t="shared" si="218"/>
        <v>366</v>
      </c>
      <c r="C1132" s="76">
        <f t="shared" ca="1" si="239"/>
        <v>154.75825</v>
      </c>
      <c r="D1132" s="76">
        <f t="shared" ca="1" si="239"/>
        <v>281.0162499999999</v>
      </c>
      <c r="E1132" s="76">
        <f t="shared" ca="1" si="239"/>
        <v>109.1005</v>
      </c>
      <c r="F1132" s="76">
        <f t="shared" ca="1" si="239"/>
        <v>57.041666666666664</v>
      </c>
      <c r="G1132" s="76">
        <f t="shared" ca="1" si="239"/>
        <v>40</v>
      </c>
      <c r="H1132" s="76">
        <f t="shared" ca="1" si="239"/>
        <v>174.58333333333334</v>
      </c>
      <c r="I1132" s="76">
        <f t="shared" ca="1" si="239"/>
        <v>0</v>
      </c>
      <c r="J1132" s="76">
        <f t="shared" ca="1" si="239"/>
        <v>100</v>
      </c>
      <c r="K1132" s="76">
        <f t="shared" ca="1" si="239"/>
        <v>300</v>
      </c>
      <c r="L1132" s="76">
        <f t="shared" ca="1" si="239"/>
        <v>1216.5</v>
      </c>
      <c r="M1132" s="76">
        <f t="shared" ca="1" si="240"/>
        <v>600</v>
      </c>
      <c r="N1132" s="76">
        <f t="shared" ca="1" si="240"/>
        <v>72.5</v>
      </c>
      <c r="O1132" s="76">
        <f t="shared" ca="1" si="240"/>
        <v>240</v>
      </c>
      <c r="P1132" s="76">
        <f t="shared" ca="1" si="240"/>
        <v>40</v>
      </c>
      <c r="Q1132" s="76">
        <f t="shared" ca="1" si="240"/>
        <v>315</v>
      </c>
      <c r="R1132" s="76">
        <f t="shared" ca="1" si="240"/>
        <v>100</v>
      </c>
      <c r="S1132" s="76">
        <f t="shared" ca="1" si="240"/>
        <v>695</v>
      </c>
      <c r="T1132" s="76">
        <f t="shared" ca="1" si="240"/>
        <v>33.333333333333336</v>
      </c>
      <c r="U1132" s="77"/>
      <c r="V1132" s="77"/>
      <c r="W1132" s="77"/>
      <c r="X1132" s="77"/>
      <c r="Y1132" s="77"/>
      <c r="Z1132" s="77"/>
      <c r="AA1132" s="77"/>
      <c r="AB1132" s="77"/>
      <c r="AC1132" s="77"/>
      <c r="AD1132" s="77"/>
    </row>
    <row r="1133" spans="1:30" ht="15" x14ac:dyDescent="0.2">
      <c r="A1133" s="10">
        <f t="shared" si="238"/>
        <v>2077</v>
      </c>
      <c r="B1133" s="10">
        <f t="shared" ref="B1133:B1156" si="241">DATE(A1133+1,1,1)-DATE(A1133,1,1)</f>
        <v>365</v>
      </c>
      <c r="C1133" s="76">
        <f t="shared" ca="1" si="239"/>
        <v>154.75825</v>
      </c>
      <c r="D1133" s="76">
        <f t="shared" ca="1" si="239"/>
        <v>281.0162499999999</v>
      </c>
      <c r="E1133" s="76">
        <f t="shared" ca="1" si="239"/>
        <v>109.1005</v>
      </c>
      <c r="F1133" s="76">
        <f t="shared" ca="1" si="239"/>
        <v>57.041666666666664</v>
      </c>
      <c r="G1133" s="76">
        <f t="shared" ca="1" si="239"/>
        <v>40</v>
      </c>
      <c r="H1133" s="76">
        <f t="shared" ca="1" si="239"/>
        <v>174.58333333333334</v>
      </c>
      <c r="I1133" s="76">
        <f t="shared" ca="1" si="239"/>
        <v>0</v>
      </c>
      <c r="J1133" s="76">
        <f t="shared" ca="1" si="239"/>
        <v>100</v>
      </c>
      <c r="K1133" s="76">
        <f t="shared" ca="1" si="239"/>
        <v>300</v>
      </c>
      <c r="L1133" s="76">
        <f t="shared" ca="1" si="239"/>
        <v>1216.5</v>
      </c>
      <c r="M1133" s="76">
        <f t="shared" ca="1" si="240"/>
        <v>600</v>
      </c>
      <c r="N1133" s="76">
        <f t="shared" ca="1" si="240"/>
        <v>72.5</v>
      </c>
      <c r="O1133" s="76">
        <f t="shared" ca="1" si="240"/>
        <v>240</v>
      </c>
      <c r="P1133" s="76">
        <f t="shared" ca="1" si="240"/>
        <v>40</v>
      </c>
      <c r="Q1133" s="76">
        <f t="shared" ca="1" si="240"/>
        <v>315</v>
      </c>
      <c r="R1133" s="76">
        <f t="shared" ca="1" si="240"/>
        <v>100</v>
      </c>
      <c r="S1133" s="76">
        <f t="shared" ca="1" si="240"/>
        <v>695</v>
      </c>
      <c r="T1133" s="76">
        <f t="shared" ca="1" si="240"/>
        <v>33.333333333333336</v>
      </c>
      <c r="U1133" s="77"/>
      <c r="V1133" s="77"/>
      <c r="W1133" s="77"/>
      <c r="X1133" s="77"/>
      <c r="Y1133" s="77"/>
      <c r="Z1133" s="77"/>
      <c r="AA1133" s="77"/>
      <c r="AB1133" s="77"/>
      <c r="AC1133" s="77"/>
      <c r="AD1133" s="77"/>
    </row>
    <row r="1134" spans="1:30" ht="15" x14ac:dyDescent="0.2">
      <c r="A1134" s="10">
        <f t="shared" si="238"/>
        <v>2078</v>
      </c>
      <c r="B1134" s="10">
        <f t="shared" si="241"/>
        <v>365</v>
      </c>
      <c r="C1134" s="76">
        <f t="shared" ca="1" si="239"/>
        <v>154.75825</v>
      </c>
      <c r="D1134" s="76">
        <f t="shared" ca="1" si="239"/>
        <v>281.0162499999999</v>
      </c>
      <c r="E1134" s="76">
        <f t="shared" ca="1" si="239"/>
        <v>109.1005</v>
      </c>
      <c r="F1134" s="76">
        <f t="shared" ca="1" si="239"/>
        <v>57.041666666666664</v>
      </c>
      <c r="G1134" s="76">
        <f t="shared" ca="1" si="239"/>
        <v>40</v>
      </c>
      <c r="H1134" s="76">
        <f t="shared" ca="1" si="239"/>
        <v>174.58333333333334</v>
      </c>
      <c r="I1134" s="76">
        <f t="shared" ca="1" si="239"/>
        <v>0</v>
      </c>
      <c r="J1134" s="76">
        <f t="shared" ca="1" si="239"/>
        <v>100</v>
      </c>
      <c r="K1134" s="76">
        <f t="shared" ca="1" si="239"/>
        <v>300</v>
      </c>
      <c r="L1134" s="76">
        <f t="shared" ca="1" si="239"/>
        <v>1216.5</v>
      </c>
      <c r="M1134" s="76">
        <f t="shared" ca="1" si="240"/>
        <v>600</v>
      </c>
      <c r="N1134" s="76">
        <f t="shared" ca="1" si="240"/>
        <v>72.5</v>
      </c>
      <c r="O1134" s="76">
        <f t="shared" ca="1" si="240"/>
        <v>240</v>
      </c>
      <c r="P1134" s="76">
        <f t="shared" ca="1" si="240"/>
        <v>40</v>
      </c>
      <c r="Q1134" s="76">
        <f t="shared" ca="1" si="240"/>
        <v>315</v>
      </c>
      <c r="R1134" s="76">
        <f t="shared" ca="1" si="240"/>
        <v>100</v>
      </c>
      <c r="S1134" s="76">
        <f t="shared" ca="1" si="240"/>
        <v>695</v>
      </c>
      <c r="T1134" s="76">
        <f t="shared" ca="1" si="240"/>
        <v>33.333333333333336</v>
      </c>
      <c r="U1134" s="77"/>
      <c r="V1134" s="77"/>
      <c r="W1134" s="77"/>
      <c r="X1134" s="77"/>
      <c r="Y1134" s="77"/>
      <c r="Z1134" s="77"/>
      <c r="AA1134" s="77"/>
      <c r="AB1134" s="77"/>
      <c r="AC1134" s="77"/>
      <c r="AD1134" s="77"/>
    </row>
    <row r="1135" spans="1:30" ht="15" x14ac:dyDescent="0.2">
      <c r="A1135" s="10">
        <f t="shared" si="238"/>
        <v>2079</v>
      </c>
      <c r="B1135" s="10">
        <f t="shared" si="241"/>
        <v>365</v>
      </c>
      <c r="C1135" s="76">
        <f t="shared" ca="1" si="239"/>
        <v>154.75825</v>
      </c>
      <c r="D1135" s="76">
        <f t="shared" ca="1" si="239"/>
        <v>281.0162499999999</v>
      </c>
      <c r="E1135" s="76">
        <f t="shared" ca="1" si="239"/>
        <v>109.1005</v>
      </c>
      <c r="F1135" s="76">
        <f t="shared" ca="1" si="239"/>
        <v>57.041666666666664</v>
      </c>
      <c r="G1135" s="76">
        <f t="shared" ca="1" si="239"/>
        <v>40</v>
      </c>
      <c r="H1135" s="76">
        <f t="shared" ca="1" si="239"/>
        <v>174.58333333333334</v>
      </c>
      <c r="I1135" s="76">
        <f t="shared" ca="1" si="239"/>
        <v>0</v>
      </c>
      <c r="J1135" s="76">
        <f t="shared" ca="1" si="239"/>
        <v>100</v>
      </c>
      <c r="K1135" s="76">
        <f t="shared" ca="1" si="239"/>
        <v>300</v>
      </c>
      <c r="L1135" s="76">
        <f t="shared" ca="1" si="239"/>
        <v>1216.5</v>
      </c>
      <c r="M1135" s="76">
        <f t="shared" ca="1" si="240"/>
        <v>600</v>
      </c>
      <c r="N1135" s="76">
        <f t="shared" ca="1" si="240"/>
        <v>72.5</v>
      </c>
      <c r="O1135" s="76">
        <f t="shared" ca="1" si="240"/>
        <v>240</v>
      </c>
      <c r="P1135" s="76">
        <f t="shared" ca="1" si="240"/>
        <v>40</v>
      </c>
      <c r="Q1135" s="76">
        <f t="shared" ca="1" si="240"/>
        <v>315</v>
      </c>
      <c r="R1135" s="76">
        <f t="shared" ca="1" si="240"/>
        <v>100</v>
      </c>
      <c r="S1135" s="76">
        <f t="shared" ca="1" si="240"/>
        <v>695</v>
      </c>
      <c r="T1135" s="76">
        <f t="shared" ca="1" si="240"/>
        <v>33.333333333333336</v>
      </c>
      <c r="U1135" s="77"/>
      <c r="V1135" s="77"/>
      <c r="W1135" s="77"/>
      <c r="X1135" s="77"/>
      <c r="Y1135" s="77"/>
      <c r="Z1135" s="77"/>
      <c r="AA1135" s="77"/>
      <c r="AB1135" s="77"/>
      <c r="AC1135" s="77"/>
      <c r="AD1135" s="77"/>
    </row>
    <row r="1136" spans="1:30" ht="15" x14ac:dyDescent="0.2">
      <c r="A1136" s="10">
        <f t="shared" si="238"/>
        <v>2080</v>
      </c>
      <c r="B1136" s="10">
        <f t="shared" si="241"/>
        <v>366</v>
      </c>
      <c r="C1136" s="76">
        <f t="shared" ca="1" si="239"/>
        <v>154.75825</v>
      </c>
      <c r="D1136" s="76">
        <f t="shared" ca="1" si="239"/>
        <v>281.0162499999999</v>
      </c>
      <c r="E1136" s="76">
        <f t="shared" ca="1" si="239"/>
        <v>109.1005</v>
      </c>
      <c r="F1136" s="76">
        <f t="shared" ca="1" si="239"/>
        <v>57.041666666666664</v>
      </c>
      <c r="G1136" s="76">
        <f t="shared" ca="1" si="239"/>
        <v>40</v>
      </c>
      <c r="H1136" s="76">
        <f t="shared" ca="1" si="239"/>
        <v>174.58333333333334</v>
      </c>
      <c r="I1136" s="76">
        <f t="shared" ca="1" si="239"/>
        <v>0</v>
      </c>
      <c r="J1136" s="76">
        <f t="shared" ca="1" si="239"/>
        <v>100</v>
      </c>
      <c r="K1136" s="76">
        <f t="shared" ca="1" si="239"/>
        <v>300</v>
      </c>
      <c r="L1136" s="76">
        <f t="shared" ca="1" si="239"/>
        <v>1216.5</v>
      </c>
      <c r="M1136" s="76">
        <f t="shared" ca="1" si="240"/>
        <v>600</v>
      </c>
      <c r="N1136" s="76">
        <f t="shared" ca="1" si="240"/>
        <v>72.5</v>
      </c>
      <c r="O1136" s="76">
        <f t="shared" ca="1" si="240"/>
        <v>240</v>
      </c>
      <c r="P1136" s="76">
        <f t="shared" ca="1" si="240"/>
        <v>40</v>
      </c>
      <c r="Q1136" s="76">
        <f t="shared" ca="1" si="240"/>
        <v>315</v>
      </c>
      <c r="R1136" s="76">
        <f t="shared" ca="1" si="240"/>
        <v>100</v>
      </c>
      <c r="S1136" s="76">
        <f t="shared" ca="1" si="240"/>
        <v>695</v>
      </c>
      <c r="T1136" s="76">
        <f t="shared" ca="1" si="240"/>
        <v>33.333333333333336</v>
      </c>
      <c r="U1136" s="77"/>
      <c r="V1136" s="77"/>
      <c r="W1136" s="77"/>
      <c r="X1136" s="77"/>
      <c r="Y1136" s="77"/>
      <c r="Z1136" s="77"/>
      <c r="AA1136" s="77"/>
      <c r="AB1136" s="77"/>
      <c r="AC1136" s="77"/>
      <c r="AD1136" s="77"/>
    </row>
    <row r="1137" spans="1:30" ht="15" x14ac:dyDescent="0.2">
      <c r="A1137" s="10">
        <f t="shared" si="238"/>
        <v>2081</v>
      </c>
      <c r="B1137" s="10">
        <f t="shared" si="241"/>
        <v>365</v>
      </c>
      <c r="C1137" s="76">
        <f t="shared" ca="1" si="239"/>
        <v>154.75825</v>
      </c>
      <c r="D1137" s="76">
        <f t="shared" ca="1" si="239"/>
        <v>281.0162499999999</v>
      </c>
      <c r="E1137" s="76">
        <f t="shared" ca="1" si="239"/>
        <v>109.1005</v>
      </c>
      <c r="F1137" s="76">
        <f t="shared" ca="1" si="239"/>
        <v>57.041666666666664</v>
      </c>
      <c r="G1137" s="76">
        <f t="shared" ca="1" si="239"/>
        <v>40</v>
      </c>
      <c r="H1137" s="76">
        <f t="shared" ca="1" si="239"/>
        <v>174.58333333333334</v>
      </c>
      <c r="I1137" s="76">
        <f t="shared" ca="1" si="239"/>
        <v>0</v>
      </c>
      <c r="J1137" s="76">
        <f t="shared" ca="1" si="239"/>
        <v>100</v>
      </c>
      <c r="K1137" s="76">
        <f t="shared" ca="1" si="239"/>
        <v>300</v>
      </c>
      <c r="L1137" s="76">
        <f t="shared" ca="1" si="239"/>
        <v>1216.5</v>
      </c>
      <c r="M1137" s="76">
        <f t="shared" ca="1" si="240"/>
        <v>600</v>
      </c>
      <c r="N1137" s="76">
        <f t="shared" ca="1" si="240"/>
        <v>72.5</v>
      </c>
      <c r="O1137" s="76">
        <f t="shared" ca="1" si="240"/>
        <v>240</v>
      </c>
      <c r="P1137" s="76">
        <f t="shared" ca="1" si="240"/>
        <v>40</v>
      </c>
      <c r="Q1137" s="76">
        <f t="shared" ca="1" si="240"/>
        <v>315</v>
      </c>
      <c r="R1137" s="76">
        <f t="shared" ca="1" si="240"/>
        <v>100</v>
      </c>
      <c r="S1137" s="76">
        <f t="shared" ca="1" si="240"/>
        <v>695</v>
      </c>
      <c r="T1137" s="76">
        <f t="shared" ca="1" si="240"/>
        <v>33.333333333333336</v>
      </c>
      <c r="U1137" s="77"/>
      <c r="V1137" s="77"/>
      <c r="W1137" s="77"/>
      <c r="X1137" s="77"/>
      <c r="Y1137" s="77"/>
      <c r="Z1137" s="77"/>
      <c r="AA1137" s="77"/>
      <c r="AB1137" s="77"/>
      <c r="AC1137" s="77"/>
      <c r="AD1137" s="77"/>
    </row>
    <row r="1138" spans="1:30" ht="15" x14ac:dyDescent="0.2">
      <c r="A1138" s="10">
        <f t="shared" si="238"/>
        <v>2082</v>
      </c>
      <c r="B1138" s="10">
        <f t="shared" si="241"/>
        <v>365</v>
      </c>
      <c r="C1138" s="76">
        <f t="shared" ref="C1138:L1147" ca="1" si="242">AVERAGE(OFFSET(C$600,($A1138-$A$1118)*12,0,12,1))</f>
        <v>154.75825</v>
      </c>
      <c r="D1138" s="76">
        <f t="shared" ca="1" si="242"/>
        <v>281.0162499999999</v>
      </c>
      <c r="E1138" s="76">
        <f t="shared" ca="1" si="242"/>
        <v>109.1005</v>
      </c>
      <c r="F1138" s="76">
        <f t="shared" ca="1" si="242"/>
        <v>57.041666666666664</v>
      </c>
      <c r="G1138" s="76">
        <f t="shared" ca="1" si="242"/>
        <v>40</v>
      </c>
      <c r="H1138" s="76">
        <f t="shared" ca="1" si="242"/>
        <v>174.58333333333334</v>
      </c>
      <c r="I1138" s="76">
        <f t="shared" ca="1" si="242"/>
        <v>0</v>
      </c>
      <c r="J1138" s="76">
        <f t="shared" ca="1" si="242"/>
        <v>100</v>
      </c>
      <c r="K1138" s="76">
        <f t="shared" ca="1" si="242"/>
        <v>300</v>
      </c>
      <c r="L1138" s="76">
        <f t="shared" ca="1" si="242"/>
        <v>1216.5</v>
      </c>
      <c r="M1138" s="76">
        <f t="shared" ref="M1138:T1147" ca="1" si="243">AVERAGE(OFFSET(M$600,($A1138-$A$1118)*12,0,12,1))</f>
        <v>600</v>
      </c>
      <c r="N1138" s="76">
        <f t="shared" ca="1" si="243"/>
        <v>72.5</v>
      </c>
      <c r="O1138" s="76">
        <f t="shared" ca="1" si="243"/>
        <v>240</v>
      </c>
      <c r="P1138" s="76">
        <f t="shared" ca="1" si="243"/>
        <v>40</v>
      </c>
      <c r="Q1138" s="76">
        <f t="shared" ca="1" si="243"/>
        <v>315</v>
      </c>
      <c r="R1138" s="76">
        <f t="shared" ca="1" si="243"/>
        <v>100</v>
      </c>
      <c r="S1138" s="76">
        <f t="shared" ca="1" si="243"/>
        <v>695</v>
      </c>
      <c r="T1138" s="76">
        <f t="shared" ca="1" si="243"/>
        <v>33.333333333333336</v>
      </c>
      <c r="U1138" s="77"/>
      <c r="V1138" s="77"/>
      <c r="W1138" s="77"/>
      <c r="X1138" s="77"/>
      <c r="Y1138" s="77"/>
      <c r="Z1138" s="77"/>
      <c r="AA1138" s="77"/>
      <c r="AB1138" s="77"/>
      <c r="AC1138" s="77"/>
      <c r="AD1138" s="77"/>
    </row>
    <row r="1139" spans="1:30" ht="15" x14ac:dyDescent="0.2">
      <c r="A1139" s="10">
        <f t="shared" si="238"/>
        <v>2083</v>
      </c>
      <c r="B1139" s="10">
        <f t="shared" si="241"/>
        <v>365</v>
      </c>
      <c r="C1139" s="76">
        <f t="shared" ca="1" si="242"/>
        <v>154.75825</v>
      </c>
      <c r="D1139" s="76">
        <f t="shared" ca="1" si="242"/>
        <v>281.0162499999999</v>
      </c>
      <c r="E1139" s="76">
        <f t="shared" ca="1" si="242"/>
        <v>109.1005</v>
      </c>
      <c r="F1139" s="76">
        <f t="shared" ca="1" si="242"/>
        <v>57.041666666666664</v>
      </c>
      <c r="G1139" s="76">
        <f t="shared" ca="1" si="242"/>
        <v>40</v>
      </c>
      <c r="H1139" s="76">
        <f t="shared" ca="1" si="242"/>
        <v>174.58333333333334</v>
      </c>
      <c r="I1139" s="76">
        <f t="shared" ca="1" si="242"/>
        <v>0</v>
      </c>
      <c r="J1139" s="76">
        <f t="shared" ca="1" si="242"/>
        <v>100</v>
      </c>
      <c r="K1139" s="76">
        <f t="shared" ca="1" si="242"/>
        <v>300</v>
      </c>
      <c r="L1139" s="76">
        <f t="shared" ca="1" si="242"/>
        <v>1216.5</v>
      </c>
      <c r="M1139" s="76">
        <f t="shared" ca="1" si="243"/>
        <v>600</v>
      </c>
      <c r="N1139" s="76">
        <f t="shared" ca="1" si="243"/>
        <v>72.5</v>
      </c>
      <c r="O1139" s="76">
        <f t="shared" ca="1" si="243"/>
        <v>240</v>
      </c>
      <c r="P1139" s="76">
        <f t="shared" ca="1" si="243"/>
        <v>40</v>
      </c>
      <c r="Q1139" s="76">
        <f t="shared" ca="1" si="243"/>
        <v>315</v>
      </c>
      <c r="R1139" s="76">
        <f t="shared" ca="1" si="243"/>
        <v>100</v>
      </c>
      <c r="S1139" s="76">
        <f t="shared" ca="1" si="243"/>
        <v>695</v>
      </c>
      <c r="T1139" s="76">
        <f t="shared" ca="1" si="243"/>
        <v>33.333333333333336</v>
      </c>
      <c r="U1139" s="77"/>
      <c r="V1139" s="77"/>
      <c r="W1139" s="77"/>
      <c r="X1139" s="77"/>
      <c r="Y1139" s="77"/>
      <c r="Z1139" s="77"/>
      <c r="AA1139" s="77"/>
      <c r="AB1139" s="77"/>
      <c r="AC1139" s="77"/>
      <c r="AD1139" s="77"/>
    </row>
    <row r="1140" spans="1:30" ht="15" x14ac:dyDescent="0.2">
      <c r="A1140" s="10">
        <f t="shared" si="238"/>
        <v>2084</v>
      </c>
      <c r="B1140" s="10">
        <f t="shared" si="241"/>
        <v>366</v>
      </c>
      <c r="C1140" s="76">
        <f t="shared" ca="1" si="242"/>
        <v>154.75825</v>
      </c>
      <c r="D1140" s="76">
        <f t="shared" ca="1" si="242"/>
        <v>281.0162499999999</v>
      </c>
      <c r="E1140" s="76">
        <f t="shared" ca="1" si="242"/>
        <v>109.1005</v>
      </c>
      <c r="F1140" s="76">
        <f t="shared" ca="1" si="242"/>
        <v>57.041666666666664</v>
      </c>
      <c r="G1140" s="76">
        <f t="shared" ca="1" si="242"/>
        <v>40</v>
      </c>
      <c r="H1140" s="76">
        <f t="shared" ca="1" si="242"/>
        <v>174.58333333333334</v>
      </c>
      <c r="I1140" s="76">
        <f t="shared" ca="1" si="242"/>
        <v>0</v>
      </c>
      <c r="J1140" s="76">
        <f t="shared" ca="1" si="242"/>
        <v>100</v>
      </c>
      <c r="K1140" s="76">
        <f t="shared" ca="1" si="242"/>
        <v>300</v>
      </c>
      <c r="L1140" s="76">
        <f t="shared" ca="1" si="242"/>
        <v>1216.5</v>
      </c>
      <c r="M1140" s="76">
        <f t="shared" ca="1" si="243"/>
        <v>600</v>
      </c>
      <c r="N1140" s="76">
        <f t="shared" ca="1" si="243"/>
        <v>72.5</v>
      </c>
      <c r="O1140" s="76">
        <f t="shared" ca="1" si="243"/>
        <v>240</v>
      </c>
      <c r="P1140" s="76">
        <f t="shared" ca="1" si="243"/>
        <v>40</v>
      </c>
      <c r="Q1140" s="76">
        <f t="shared" ca="1" si="243"/>
        <v>315</v>
      </c>
      <c r="R1140" s="76">
        <f t="shared" ca="1" si="243"/>
        <v>100</v>
      </c>
      <c r="S1140" s="76">
        <f t="shared" ca="1" si="243"/>
        <v>695</v>
      </c>
      <c r="T1140" s="76">
        <f t="shared" ca="1" si="243"/>
        <v>33.333333333333336</v>
      </c>
      <c r="U1140" s="77"/>
      <c r="V1140" s="77"/>
      <c r="W1140" s="77"/>
      <c r="X1140" s="77"/>
      <c r="Y1140" s="77"/>
      <c r="Z1140" s="77"/>
      <c r="AA1140" s="77"/>
      <c r="AB1140" s="77"/>
      <c r="AC1140" s="77"/>
      <c r="AD1140" s="77"/>
    </row>
    <row r="1141" spans="1:30" ht="15" x14ac:dyDescent="0.2">
      <c r="A1141" s="10">
        <f t="shared" si="238"/>
        <v>2085</v>
      </c>
      <c r="B1141" s="10">
        <f t="shared" si="241"/>
        <v>365</v>
      </c>
      <c r="C1141" s="76">
        <f t="shared" ca="1" si="242"/>
        <v>154.75825</v>
      </c>
      <c r="D1141" s="76">
        <f t="shared" ca="1" si="242"/>
        <v>281.0162499999999</v>
      </c>
      <c r="E1141" s="76">
        <f t="shared" ca="1" si="242"/>
        <v>109.1005</v>
      </c>
      <c r="F1141" s="76">
        <f t="shared" ca="1" si="242"/>
        <v>57.041666666666664</v>
      </c>
      <c r="G1141" s="76">
        <f t="shared" ca="1" si="242"/>
        <v>40</v>
      </c>
      <c r="H1141" s="76">
        <f t="shared" ca="1" si="242"/>
        <v>174.58333333333334</v>
      </c>
      <c r="I1141" s="76">
        <f t="shared" ca="1" si="242"/>
        <v>0</v>
      </c>
      <c r="J1141" s="76">
        <f t="shared" ca="1" si="242"/>
        <v>100</v>
      </c>
      <c r="K1141" s="76">
        <f t="shared" ca="1" si="242"/>
        <v>300</v>
      </c>
      <c r="L1141" s="76">
        <f t="shared" ca="1" si="242"/>
        <v>1216.5</v>
      </c>
      <c r="M1141" s="76">
        <f t="shared" ca="1" si="243"/>
        <v>600</v>
      </c>
      <c r="N1141" s="76">
        <f t="shared" ca="1" si="243"/>
        <v>72.5</v>
      </c>
      <c r="O1141" s="76">
        <f t="shared" ca="1" si="243"/>
        <v>240</v>
      </c>
      <c r="P1141" s="76">
        <f t="shared" ca="1" si="243"/>
        <v>40</v>
      </c>
      <c r="Q1141" s="76">
        <f t="shared" ca="1" si="243"/>
        <v>315</v>
      </c>
      <c r="R1141" s="76">
        <f t="shared" ca="1" si="243"/>
        <v>100</v>
      </c>
      <c r="S1141" s="76">
        <f t="shared" ca="1" si="243"/>
        <v>695</v>
      </c>
      <c r="T1141" s="76">
        <f t="shared" ca="1" si="243"/>
        <v>33.333333333333336</v>
      </c>
      <c r="U1141" s="77"/>
      <c r="V1141" s="77"/>
      <c r="W1141" s="77"/>
      <c r="X1141" s="77"/>
      <c r="Y1141" s="77"/>
      <c r="Z1141" s="77"/>
      <c r="AA1141" s="77"/>
      <c r="AB1141" s="77"/>
      <c r="AC1141" s="77"/>
      <c r="AD1141" s="77"/>
    </row>
    <row r="1142" spans="1:30" ht="15" x14ac:dyDescent="0.2">
      <c r="A1142" s="10">
        <f t="shared" si="238"/>
        <v>2086</v>
      </c>
      <c r="B1142" s="10">
        <f t="shared" si="241"/>
        <v>365</v>
      </c>
      <c r="C1142" s="76">
        <f t="shared" ca="1" si="242"/>
        <v>154.75825</v>
      </c>
      <c r="D1142" s="76">
        <f t="shared" ca="1" si="242"/>
        <v>281.0162499999999</v>
      </c>
      <c r="E1142" s="76">
        <f t="shared" ca="1" si="242"/>
        <v>109.1005</v>
      </c>
      <c r="F1142" s="76">
        <f t="shared" ca="1" si="242"/>
        <v>57.041666666666664</v>
      </c>
      <c r="G1142" s="76">
        <f t="shared" ca="1" si="242"/>
        <v>40</v>
      </c>
      <c r="H1142" s="76">
        <f t="shared" ca="1" si="242"/>
        <v>174.58333333333334</v>
      </c>
      <c r="I1142" s="76">
        <f t="shared" ca="1" si="242"/>
        <v>0</v>
      </c>
      <c r="J1142" s="76">
        <f t="shared" ca="1" si="242"/>
        <v>100</v>
      </c>
      <c r="K1142" s="76">
        <f t="shared" ca="1" si="242"/>
        <v>300</v>
      </c>
      <c r="L1142" s="76">
        <f t="shared" ca="1" si="242"/>
        <v>1216.5</v>
      </c>
      <c r="M1142" s="76">
        <f t="shared" ca="1" si="243"/>
        <v>600</v>
      </c>
      <c r="N1142" s="76">
        <f t="shared" ca="1" si="243"/>
        <v>72.5</v>
      </c>
      <c r="O1142" s="76">
        <f t="shared" ca="1" si="243"/>
        <v>240</v>
      </c>
      <c r="P1142" s="76">
        <f t="shared" ca="1" si="243"/>
        <v>40</v>
      </c>
      <c r="Q1142" s="76">
        <f t="shared" ca="1" si="243"/>
        <v>315</v>
      </c>
      <c r="R1142" s="76">
        <f t="shared" ca="1" si="243"/>
        <v>100</v>
      </c>
      <c r="S1142" s="76">
        <f t="shared" ca="1" si="243"/>
        <v>695</v>
      </c>
      <c r="T1142" s="76">
        <f t="shared" ca="1" si="243"/>
        <v>33.333333333333336</v>
      </c>
      <c r="U1142" s="77"/>
      <c r="V1142" s="77"/>
      <c r="W1142" s="77"/>
      <c r="X1142" s="77"/>
      <c r="Y1142" s="77"/>
      <c r="Z1142" s="77"/>
      <c r="AA1142" s="77"/>
      <c r="AB1142" s="77"/>
      <c r="AC1142" s="77"/>
      <c r="AD1142" s="77"/>
    </row>
    <row r="1143" spans="1:30" ht="15" x14ac:dyDescent="0.2">
      <c r="A1143" s="10">
        <f t="shared" si="238"/>
        <v>2087</v>
      </c>
      <c r="B1143" s="10">
        <f t="shared" si="241"/>
        <v>365</v>
      </c>
      <c r="C1143" s="76">
        <f t="shared" ca="1" si="242"/>
        <v>154.75825</v>
      </c>
      <c r="D1143" s="76">
        <f t="shared" ca="1" si="242"/>
        <v>281.0162499999999</v>
      </c>
      <c r="E1143" s="76">
        <f t="shared" ca="1" si="242"/>
        <v>109.1005</v>
      </c>
      <c r="F1143" s="76">
        <f t="shared" ca="1" si="242"/>
        <v>57.041666666666664</v>
      </c>
      <c r="G1143" s="76">
        <f t="shared" ca="1" si="242"/>
        <v>40</v>
      </c>
      <c r="H1143" s="76">
        <f t="shared" ca="1" si="242"/>
        <v>174.58333333333334</v>
      </c>
      <c r="I1143" s="76">
        <f t="shared" ca="1" si="242"/>
        <v>0</v>
      </c>
      <c r="J1143" s="76">
        <f t="shared" ca="1" si="242"/>
        <v>100</v>
      </c>
      <c r="K1143" s="76">
        <f t="shared" ca="1" si="242"/>
        <v>300</v>
      </c>
      <c r="L1143" s="76">
        <f t="shared" ca="1" si="242"/>
        <v>1216.5</v>
      </c>
      <c r="M1143" s="76">
        <f t="shared" ca="1" si="243"/>
        <v>600</v>
      </c>
      <c r="N1143" s="76">
        <f t="shared" ca="1" si="243"/>
        <v>72.5</v>
      </c>
      <c r="O1143" s="76">
        <f t="shared" ca="1" si="243"/>
        <v>240</v>
      </c>
      <c r="P1143" s="76">
        <f t="shared" ca="1" si="243"/>
        <v>40</v>
      </c>
      <c r="Q1143" s="76">
        <f t="shared" ca="1" si="243"/>
        <v>315</v>
      </c>
      <c r="R1143" s="76">
        <f t="shared" ca="1" si="243"/>
        <v>100</v>
      </c>
      <c r="S1143" s="76">
        <f t="shared" ca="1" si="243"/>
        <v>695</v>
      </c>
      <c r="T1143" s="76">
        <f t="shared" ca="1" si="243"/>
        <v>33.333333333333336</v>
      </c>
      <c r="U1143" s="77"/>
      <c r="V1143" s="77"/>
      <c r="W1143" s="77"/>
      <c r="X1143" s="77"/>
      <c r="Y1143" s="77"/>
      <c r="Z1143" s="77"/>
      <c r="AA1143" s="77"/>
      <c r="AB1143" s="77"/>
      <c r="AC1143" s="77"/>
      <c r="AD1143" s="77"/>
    </row>
    <row r="1144" spans="1:30" ht="15" x14ac:dyDescent="0.2">
      <c r="A1144" s="10">
        <f t="shared" si="238"/>
        <v>2088</v>
      </c>
      <c r="B1144" s="10">
        <f t="shared" si="241"/>
        <v>366</v>
      </c>
      <c r="C1144" s="76">
        <f t="shared" ca="1" si="242"/>
        <v>154.75825</v>
      </c>
      <c r="D1144" s="76">
        <f t="shared" ca="1" si="242"/>
        <v>281.0162499999999</v>
      </c>
      <c r="E1144" s="76">
        <f t="shared" ca="1" si="242"/>
        <v>109.1005</v>
      </c>
      <c r="F1144" s="76">
        <f t="shared" ca="1" si="242"/>
        <v>57.041666666666664</v>
      </c>
      <c r="G1144" s="76">
        <f t="shared" ca="1" si="242"/>
        <v>40</v>
      </c>
      <c r="H1144" s="76">
        <f t="shared" ca="1" si="242"/>
        <v>174.58333333333334</v>
      </c>
      <c r="I1144" s="76">
        <f t="shared" ca="1" si="242"/>
        <v>0</v>
      </c>
      <c r="J1144" s="76">
        <f t="shared" ca="1" si="242"/>
        <v>100</v>
      </c>
      <c r="K1144" s="76">
        <f t="shared" ca="1" si="242"/>
        <v>300</v>
      </c>
      <c r="L1144" s="76">
        <f t="shared" ca="1" si="242"/>
        <v>1216.5</v>
      </c>
      <c r="M1144" s="76">
        <f t="shared" ca="1" si="243"/>
        <v>600</v>
      </c>
      <c r="N1144" s="76">
        <f t="shared" ca="1" si="243"/>
        <v>72.5</v>
      </c>
      <c r="O1144" s="76">
        <f t="shared" ca="1" si="243"/>
        <v>240</v>
      </c>
      <c r="P1144" s="76">
        <f t="shared" ca="1" si="243"/>
        <v>40</v>
      </c>
      <c r="Q1144" s="76">
        <f t="shared" ca="1" si="243"/>
        <v>315</v>
      </c>
      <c r="R1144" s="76">
        <f t="shared" ca="1" si="243"/>
        <v>100</v>
      </c>
      <c r="S1144" s="76">
        <f t="shared" ca="1" si="243"/>
        <v>695</v>
      </c>
      <c r="T1144" s="76">
        <f t="shared" ca="1" si="243"/>
        <v>33.333333333333336</v>
      </c>
      <c r="U1144" s="77"/>
      <c r="V1144" s="77"/>
      <c r="W1144" s="77"/>
      <c r="X1144" s="77"/>
      <c r="Y1144" s="77"/>
      <c r="Z1144" s="77"/>
      <c r="AA1144" s="77"/>
      <c r="AB1144" s="77"/>
      <c r="AC1144" s="77"/>
      <c r="AD1144" s="77"/>
    </row>
    <row r="1145" spans="1:30" ht="15" x14ac:dyDescent="0.2">
      <c r="A1145" s="10">
        <f t="shared" si="238"/>
        <v>2089</v>
      </c>
      <c r="B1145" s="10">
        <f t="shared" si="241"/>
        <v>365</v>
      </c>
      <c r="C1145" s="76">
        <f t="shared" ca="1" si="242"/>
        <v>154.75825</v>
      </c>
      <c r="D1145" s="76">
        <f t="shared" ca="1" si="242"/>
        <v>281.0162499999999</v>
      </c>
      <c r="E1145" s="76">
        <f t="shared" ca="1" si="242"/>
        <v>109.1005</v>
      </c>
      <c r="F1145" s="76">
        <f t="shared" ca="1" si="242"/>
        <v>57.041666666666664</v>
      </c>
      <c r="G1145" s="76">
        <f t="shared" ca="1" si="242"/>
        <v>40</v>
      </c>
      <c r="H1145" s="76">
        <f t="shared" ca="1" si="242"/>
        <v>174.58333333333334</v>
      </c>
      <c r="I1145" s="76">
        <f t="shared" ca="1" si="242"/>
        <v>0</v>
      </c>
      <c r="J1145" s="76">
        <f t="shared" ca="1" si="242"/>
        <v>100</v>
      </c>
      <c r="K1145" s="76">
        <f t="shared" ca="1" si="242"/>
        <v>300</v>
      </c>
      <c r="L1145" s="76">
        <f t="shared" ca="1" si="242"/>
        <v>1216.5</v>
      </c>
      <c r="M1145" s="76">
        <f t="shared" ca="1" si="243"/>
        <v>600</v>
      </c>
      <c r="N1145" s="76">
        <f t="shared" ca="1" si="243"/>
        <v>72.5</v>
      </c>
      <c r="O1145" s="76">
        <f t="shared" ca="1" si="243"/>
        <v>240</v>
      </c>
      <c r="P1145" s="76">
        <f t="shared" ca="1" si="243"/>
        <v>40</v>
      </c>
      <c r="Q1145" s="76">
        <f t="shared" ca="1" si="243"/>
        <v>315</v>
      </c>
      <c r="R1145" s="76">
        <f t="shared" ca="1" si="243"/>
        <v>100</v>
      </c>
      <c r="S1145" s="76">
        <f t="shared" ca="1" si="243"/>
        <v>695</v>
      </c>
      <c r="T1145" s="76">
        <f t="shared" ca="1" si="243"/>
        <v>33.333333333333336</v>
      </c>
      <c r="U1145" s="77"/>
      <c r="V1145" s="77"/>
      <c r="W1145" s="77"/>
      <c r="X1145" s="77"/>
      <c r="Y1145" s="77"/>
      <c r="Z1145" s="77"/>
      <c r="AA1145" s="77"/>
      <c r="AB1145" s="77"/>
      <c r="AC1145" s="77"/>
      <c r="AD1145" s="77"/>
    </row>
    <row r="1146" spans="1:30" ht="15" x14ac:dyDescent="0.2">
      <c r="A1146" s="10">
        <f t="shared" si="238"/>
        <v>2090</v>
      </c>
      <c r="B1146" s="10">
        <f t="shared" si="241"/>
        <v>365</v>
      </c>
      <c r="C1146" s="76">
        <f t="shared" ca="1" si="242"/>
        <v>154.75825</v>
      </c>
      <c r="D1146" s="76">
        <f t="shared" ca="1" si="242"/>
        <v>281.0162499999999</v>
      </c>
      <c r="E1146" s="76">
        <f t="shared" ca="1" si="242"/>
        <v>109.1005</v>
      </c>
      <c r="F1146" s="76">
        <f t="shared" ca="1" si="242"/>
        <v>57.041666666666664</v>
      </c>
      <c r="G1146" s="76">
        <f t="shared" ca="1" si="242"/>
        <v>40</v>
      </c>
      <c r="H1146" s="76">
        <f t="shared" ca="1" si="242"/>
        <v>174.58333333333334</v>
      </c>
      <c r="I1146" s="76">
        <f t="shared" ca="1" si="242"/>
        <v>0</v>
      </c>
      <c r="J1146" s="76">
        <f t="shared" ca="1" si="242"/>
        <v>100</v>
      </c>
      <c r="K1146" s="76">
        <f t="shared" ca="1" si="242"/>
        <v>300</v>
      </c>
      <c r="L1146" s="76">
        <f t="shared" ca="1" si="242"/>
        <v>1216.5</v>
      </c>
      <c r="M1146" s="76">
        <f t="shared" ca="1" si="243"/>
        <v>600</v>
      </c>
      <c r="N1146" s="76">
        <f t="shared" ca="1" si="243"/>
        <v>72.5</v>
      </c>
      <c r="O1146" s="76">
        <f t="shared" ca="1" si="243"/>
        <v>240</v>
      </c>
      <c r="P1146" s="76">
        <f t="shared" ca="1" si="243"/>
        <v>40</v>
      </c>
      <c r="Q1146" s="76">
        <f t="shared" ca="1" si="243"/>
        <v>315</v>
      </c>
      <c r="R1146" s="76">
        <f t="shared" ca="1" si="243"/>
        <v>100</v>
      </c>
      <c r="S1146" s="76">
        <f t="shared" ca="1" si="243"/>
        <v>695</v>
      </c>
      <c r="T1146" s="76">
        <f t="shared" ca="1" si="243"/>
        <v>33.333333333333336</v>
      </c>
      <c r="U1146" s="77"/>
      <c r="V1146" s="77"/>
      <c r="W1146" s="77"/>
      <c r="X1146" s="77"/>
      <c r="Y1146" s="77"/>
      <c r="Z1146" s="77"/>
      <c r="AA1146" s="77"/>
      <c r="AB1146" s="77"/>
      <c r="AC1146" s="77"/>
      <c r="AD1146" s="77"/>
    </row>
    <row r="1147" spans="1:30" ht="15" x14ac:dyDescent="0.2">
      <c r="A1147" s="10">
        <f t="shared" si="238"/>
        <v>2091</v>
      </c>
      <c r="B1147" s="10">
        <f t="shared" si="241"/>
        <v>365</v>
      </c>
      <c r="C1147" s="76">
        <f t="shared" ca="1" si="242"/>
        <v>154.75825</v>
      </c>
      <c r="D1147" s="76">
        <f t="shared" ca="1" si="242"/>
        <v>281.0162499999999</v>
      </c>
      <c r="E1147" s="76">
        <f t="shared" ca="1" si="242"/>
        <v>109.1005</v>
      </c>
      <c r="F1147" s="76">
        <f t="shared" ca="1" si="242"/>
        <v>57.041666666666664</v>
      </c>
      <c r="G1147" s="76">
        <f t="shared" ca="1" si="242"/>
        <v>40</v>
      </c>
      <c r="H1147" s="76">
        <f t="shared" ca="1" si="242"/>
        <v>174.58333333333334</v>
      </c>
      <c r="I1147" s="76">
        <f t="shared" ca="1" si="242"/>
        <v>0</v>
      </c>
      <c r="J1147" s="76">
        <f t="shared" ca="1" si="242"/>
        <v>100</v>
      </c>
      <c r="K1147" s="76">
        <f t="shared" ca="1" si="242"/>
        <v>300</v>
      </c>
      <c r="L1147" s="76">
        <f t="shared" ca="1" si="242"/>
        <v>1216.5</v>
      </c>
      <c r="M1147" s="76">
        <f t="shared" ca="1" si="243"/>
        <v>600</v>
      </c>
      <c r="N1147" s="76">
        <f t="shared" ca="1" si="243"/>
        <v>72.5</v>
      </c>
      <c r="O1147" s="76">
        <f t="shared" ca="1" si="243"/>
        <v>240</v>
      </c>
      <c r="P1147" s="76">
        <f t="shared" ca="1" si="243"/>
        <v>40</v>
      </c>
      <c r="Q1147" s="76">
        <f t="shared" ca="1" si="243"/>
        <v>315</v>
      </c>
      <c r="R1147" s="76">
        <f t="shared" ca="1" si="243"/>
        <v>100</v>
      </c>
      <c r="S1147" s="76">
        <f t="shared" ca="1" si="243"/>
        <v>695</v>
      </c>
      <c r="T1147" s="76">
        <f t="shared" ca="1" si="243"/>
        <v>33.333333333333336</v>
      </c>
    </row>
    <row r="1148" spans="1:30" ht="15" x14ac:dyDescent="0.2">
      <c r="A1148" s="10">
        <f t="shared" si="238"/>
        <v>2092</v>
      </c>
      <c r="B1148" s="10">
        <f t="shared" si="241"/>
        <v>366</v>
      </c>
      <c r="C1148" s="76">
        <f t="shared" ref="C1148:L1156" ca="1" si="244">AVERAGE(OFFSET(C$600,($A1148-$A$1118)*12,0,12,1))</f>
        <v>154.75825</v>
      </c>
      <c r="D1148" s="76">
        <f t="shared" ca="1" si="244"/>
        <v>281.0162499999999</v>
      </c>
      <c r="E1148" s="76">
        <f t="shared" ca="1" si="244"/>
        <v>109.1005</v>
      </c>
      <c r="F1148" s="76">
        <f t="shared" ca="1" si="244"/>
        <v>57.041666666666664</v>
      </c>
      <c r="G1148" s="76">
        <f t="shared" ca="1" si="244"/>
        <v>40</v>
      </c>
      <c r="H1148" s="76">
        <f t="shared" ca="1" si="244"/>
        <v>174.58333333333334</v>
      </c>
      <c r="I1148" s="76">
        <f t="shared" ca="1" si="244"/>
        <v>0</v>
      </c>
      <c r="J1148" s="76">
        <f t="shared" ca="1" si="244"/>
        <v>100</v>
      </c>
      <c r="K1148" s="76">
        <f t="shared" ca="1" si="244"/>
        <v>300</v>
      </c>
      <c r="L1148" s="76">
        <f t="shared" ca="1" si="244"/>
        <v>1216.5</v>
      </c>
      <c r="M1148" s="76">
        <f t="shared" ref="M1148:T1156" ca="1" si="245">AVERAGE(OFFSET(M$600,($A1148-$A$1118)*12,0,12,1))</f>
        <v>600</v>
      </c>
      <c r="N1148" s="76">
        <f t="shared" ca="1" si="245"/>
        <v>72.5</v>
      </c>
      <c r="O1148" s="76">
        <f t="shared" ca="1" si="245"/>
        <v>240</v>
      </c>
      <c r="P1148" s="76">
        <f t="shared" ca="1" si="245"/>
        <v>40</v>
      </c>
      <c r="Q1148" s="76">
        <f t="shared" ca="1" si="245"/>
        <v>315</v>
      </c>
      <c r="R1148" s="76">
        <f t="shared" ca="1" si="245"/>
        <v>100</v>
      </c>
      <c r="S1148" s="76">
        <f t="shared" ca="1" si="245"/>
        <v>695</v>
      </c>
      <c r="T1148" s="76">
        <f t="shared" ca="1" si="245"/>
        <v>33.333333333333336</v>
      </c>
    </row>
    <row r="1149" spans="1:30" ht="15" x14ac:dyDescent="0.2">
      <c r="A1149" s="10">
        <f t="shared" si="238"/>
        <v>2093</v>
      </c>
      <c r="B1149" s="10">
        <f t="shared" si="241"/>
        <v>365</v>
      </c>
      <c r="C1149" s="76">
        <f t="shared" ca="1" si="244"/>
        <v>154.75825</v>
      </c>
      <c r="D1149" s="76">
        <f t="shared" ca="1" si="244"/>
        <v>281.0162499999999</v>
      </c>
      <c r="E1149" s="76">
        <f t="shared" ca="1" si="244"/>
        <v>109.1005</v>
      </c>
      <c r="F1149" s="76">
        <f t="shared" ca="1" si="244"/>
        <v>57.041666666666664</v>
      </c>
      <c r="G1149" s="76">
        <f t="shared" ca="1" si="244"/>
        <v>40</v>
      </c>
      <c r="H1149" s="76">
        <f t="shared" ca="1" si="244"/>
        <v>174.58333333333334</v>
      </c>
      <c r="I1149" s="76">
        <f t="shared" ca="1" si="244"/>
        <v>0</v>
      </c>
      <c r="J1149" s="76">
        <f t="shared" ca="1" si="244"/>
        <v>100</v>
      </c>
      <c r="K1149" s="76">
        <f t="shared" ca="1" si="244"/>
        <v>300</v>
      </c>
      <c r="L1149" s="76">
        <f t="shared" ca="1" si="244"/>
        <v>1216.5</v>
      </c>
      <c r="M1149" s="76">
        <f t="shared" ca="1" si="245"/>
        <v>600</v>
      </c>
      <c r="N1149" s="76">
        <f t="shared" ca="1" si="245"/>
        <v>72.5</v>
      </c>
      <c r="O1149" s="76">
        <f t="shared" ca="1" si="245"/>
        <v>240</v>
      </c>
      <c r="P1149" s="76">
        <f t="shared" ca="1" si="245"/>
        <v>40</v>
      </c>
      <c r="Q1149" s="76">
        <f t="shared" ca="1" si="245"/>
        <v>315</v>
      </c>
      <c r="R1149" s="76">
        <f t="shared" ca="1" si="245"/>
        <v>100</v>
      </c>
      <c r="S1149" s="76">
        <f t="shared" ca="1" si="245"/>
        <v>695</v>
      </c>
      <c r="T1149" s="76">
        <f t="shared" ca="1" si="245"/>
        <v>33.333333333333336</v>
      </c>
    </row>
    <row r="1150" spans="1:30" ht="15" x14ac:dyDescent="0.2">
      <c r="A1150" s="10">
        <f t="shared" si="238"/>
        <v>2094</v>
      </c>
      <c r="B1150" s="10">
        <f t="shared" si="241"/>
        <v>365</v>
      </c>
      <c r="C1150" s="76">
        <f t="shared" ca="1" si="244"/>
        <v>154.75825</v>
      </c>
      <c r="D1150" s="76">
        <f t="shared" ca="1" si="244"/>
        <v>281.0162499999999</v>
      </c>
      <c r="E1150" s="76">
        <f t="shared" ca="1" si="244"/>
        <v>109.1005</v>
      </c>
      <c r="F1150" s="76">
        <f t="shared" ca="1" si="244"/>
        <v>57.041666666666664</v>
      </c>
      <c r="G1150" s="76">
        <f t="shared" ca="1" si="244"/>
        <v>40</v>
      </c>
      <c r="H1150" s="76">
        <f t="shared" ca="1" si="244"/>
        <v>174.58333333333334</v>
      </c>
      <c r="I1150" s="76">
        <f t="shared" ca="1" si="244"/>
        <v>0</v>
      </c>
      <c r="J1150" s="76">
        <f t="shared" ca="1" si="244"/>
        <v>100</v>
      </c>
      <c r="K1150" s="76">
        <f t="shared" ca="1" si="244"/>
        <v>300</v>
      </c>
      <c r="L1150" s="76">
        <f t="shared" ca="1" si="244"/>
        <v>1216.5</v>
      </c>
      <c r="M1150" s="76">
        <f t="shared" ca="1" si="245"/>
        <v>600</v>
      </c>
      <c r="N1150" s="76">
        <f t="shared" ca="1" si="245"/>
        <v>72.5</v>
      </c>
      <c r="O1150" s="76">
        <f t="shared" ca="1" si="245"/>
        <v>240</v>
      </c>
      <c r="P1150" s="76">
        <f t="shared" ca="1" si="245"/>
        <v>40</v>
      </c>
      <c r="Q1150" s="76">
        <f t="shared" ca="1" si="245"/>
        <v>315</v>
      </c>
      <c r="R1150" s="76">
        <f t="shared" ca="1" si="245"/>
        <v>100</v>
      </c>
      <c r="S1150" s="76">
        <f t="shared" ca="1" si="245"/>
        <v>695</v>
      </c>
      <c r="T1150" s="76">
        <f t="shared" ca="1" si="245"/>
        <v>33.333333333333336</v>
      </c>
    </row>
    <row r="1151" spans="1:30" ht="15" x14ac:dyDescent="0.2">
      <c r="A1151" s="10">
        <f t="shared" si="238"/>
        <v>2095</v>
      </c>
      <c r="B1151" s="10">
        <f t="shared" si="241"/>
        <v>365</v>
      </c>
      <c r="C1151" s="76">
        <f t="shared" ca="1" si="244"/>
        <v>154.75825</v>
      </c>
      <c r="D1151" s="76">
        <f t="shared" ca="1" si="244"/>
        <v>281.0162499999999</v>
      </c>
      <c r="E1151" s="76">
        <f t="shared" ca="1" si="244"/>
        <v>109.1005</v>
      </c>
      <c r="F1151" s="76">
        <f t="shared" ca="1" si="244"/>
        <v>57.041666666666664</v>
      </c>
      <c r="G1151" s="76">
        <f t="shared" ca="1" si="244"/>
        <v>40</v>
      </c>
      <c r="H1151" s="76">
        <f t="shared" ca="1" si="244"/>
        <v>174.58333333333334</v>
      </c>
      <c r="I1151" s="76">
        <f t="shared" ca="1" si="244"/>
        <v>0</v>
      </c>
      <c r="J1151" s="76">
        <f t="shared" ca="1" si="244"/>
        <v>100</v>
      </c>
      <c r="K1151" s="76">
        <f t="shared" ca="1" si="244"/>
        <v>300</v>
      </c>
      <c r="L1151" s="76">
        <f t="shared" ca="1" si="244"/>
        <v>1216.5</v>
      </c>
      <c r="M1151" s="76">
        <f t="shared" ca="1" si="245"/>
        <v>600</v>
      </c>
      <c r="N1151" s="76">
        <f t="shared" ca="1" si="245"/>
        <v>72.5</v>
      </c>
      <c r="O1151" s="76">
        <f t="shared" ca="1" si="245"/>
        <v>240</v>
      </c>
      <c r="P1151" s="76">
        <f t="shared" ca="1" si="245"/>
        <v>40</v>
      </c>
      <c r="Q1151" s="76">
        <f t="shared" ca="1" si="245"/>
        <v>315</v>
      </c>
      <c r="R1151" s="76">
        <f t="shared" ca="1" si="245"/>
        <v>100</v>
      </c>
      <c r="S1151" s="76">
        <f t="shared" ca="1" si="245"/>
        <v>695</v>
      </c>
      <c r="T1151" s="76">
        <f t="shared" ca="1" si="245"/>
        <v>33.333333333333336</v>
      </c>
    </row>
    <row r="1152" spans="1:30" ht="15" x14ac:dyDescent="0.2">
      <c r="A1152" s="10">
        <f t="shared" si="238"/>
        <v>2096</v>
      </c>
      <c r="B1152" s="10">
        <f t="shared" si="241"/>
        <v>366</v>
      </c>
      <c r="C1152" s="76">
        <f t="shared" ca="1" si="244"/>
        <v>154.75825</v>
      </c>
      <c r="D1152" s="76">
        <f t="shared" ca="1" si="244"/>
        <v>281.0162499999999</v>
      </c>
      <c r="E1152" s="76">
        <f t="shared" ca="1" si="244"/>
        <v>109.1005</v>
      </c>
      <c r="F1152" s="76">
        <f t="shared" ca="1" si="244"/>
        <v>57.041666666666664</v>
      </c>
      <c r="G1152" s="76">
        <f t="shared" ca="1" si="244"/>
        <v>40</v>
      </c>
      <c r="H1152" s="76">
        <f t="shared" ca="1" si="244"/>
        <v>174.58333333333334</v>
      </c>
      <c r="I1152" s="76">
        <f t="shared" ca="1" si="244"/>
        <v>0</v>
      </c>
      <c r="J1152" s="76">
        <f t="shared" ca="1" si="244"/>
        <v>100</v>
      </c>
      <c r="K1152" s="76">
        <f t="shared" ca="1" si="244"/>
        <v>300</v>
      </c>
      <c r="L1152" s="76">
        <f t="shared" ca="1" si="244"/>
        <v>1216.5</v>
      </c>
      <c r="M1152" s="76">
        <f t="shared" ca="1" si="245"/>
        <v>600</v>
      </c>
      <c r="N1152" s="76">
        <f t="shared" ca="1" si="245"/>
        <v>72.5</v>
      </c>
      <c r="O1152" s="76">
        <f t="shared" ca="1" si="245"/>
        <v>240</v>
      </c>
      <c r="P1152" s="76">
        <f t="shared" ca="1" si="245"/>
        <v>40</v>
      </c>
      <c r="Q1152" s="76">
        <f t="shared" ca="1" si="245"/>
        <v>315</v>
      </c>
      <c r="R1152" s="76">
        <f t="shared" ca="1" si="245"/>
        <v>100</v>
      </c>
      <c r="S1152" s="76">
        <f t="shared" ca="1" si="245"/>
        <v>695</v>
      </c>
      <c r="T1152" s="76">
        <f t="shared" ca="1" si="245"/>
        <v>33.333333333333336</v>
      </c>
    </row>
    <row r="1153" spans="1:20" ht="15" x14ac:dyDescent="0.2">
      <c r="A1153" s="10">
        <f t="shared" si="238"/>
        <v>2097</v>
      </c>
      <c r="B1153" s="10">
        <f t="shared" si="241"/>
        <v>365</v>
      </c>
      <c r="C1153" s="76">
        <f t="shared" ca="1" si="244"/>
        <v>154.75825</v>
      </c>
      <c r="D1153" s="76">
        <f t="shared" ca="1" si="244"/>
        <v>281.0162499999999</v>
      </c>
      <c r="E1153" s="76">
        <f t="shared" ca="1" si="244"/>
        <v>109.1005</v>
      </c>
      <c r="F1153" s="76">
        <f t="shared" ca="1" si="244"/>
        <v>57.041666666666664</v>
      </c>
      <c r="G1153" s="76">
        <f t="shared" ca="1" si="244"/>
        <v>40</v>
      </c>
      <c r="H1153" s="76">
        <f t="shared" ca="1" si="244"/>
        <v>174.58333333333334</v>
      </c>
      <c r="I1153" s="76">
        <f t="shared" ca="1" si="244"/>
        <v>0</v>
      </c>
      <c r="J1153" s="76">
        <f t="shared" ca="1" si="244"/>
        <v>100</v>
      </c>
      <c r="K1153" s="76">
        <f t="shared" ca="1" si="244"/>
        <v>300</v>
      </c>
      <c r="L1153" s="76">
        <f t="shared" ca="1" si="244"/>
        <v>1216.5</v>
      </c>
      <c r="M1153" s="76">
        <f t="shared" ca="1" si="245"/>
        <v>600</v>
      </c>
      <c r="N1153" s="76">
        <f t="shared" ca="1" si="245"/>
        <v>72.5</v>
      </c>
      <c r="O1153" s="76">
        <f t="shared" ca="1" si="245"/>
        <v>240</v>
      </c>
      <c r="P1153" s="76">
        <f t="shared" ca="1" si="245"/>
        <v>40</v>
      </c>
      <c r="Q1153" s="76">
        <f t="shared" ca="1" si="245"/>
        <v>315</v>
      </c>
      <c r="R1153" s="76">
        <f t="shared" ca="1" si="245"/>
        <v>100</v>
      </c>
      <c r="S1153" s="76">
        <f t="shared" ca="1" si="245"/>
        <v>695</v>
      </c>
      <c r="T1153" s="76">
        <f t="shared" ca="1" si="245"/>
        <v>33.333333333333336</v>
      </c>
    </row>
    <row r="1154" spans="1:20" ht="15" x14ac:dyDescent="0.2">
      <c r="A1154" s="10">
        <f t="shared" si="238"/>
        <v>2098</v>
      </c>
      <c r="B1154" s="10">
        <f t="shared" si="241"/>
        <v>365</v>
      </c>
      <c r="C1154" s="76">
        <f t="shared" ca="1" si="244"/>
        <v>154.75825</v>
      </c>
      <c r="D1154" s="76">
        <f t="shared" ca="1" si="244"/>
        <v>281.0162499999999</v>
      </c>
      <c r="E1154" s="76">
        <f t="shared" ca="1" si="244"/>
        <v>109.1005</v>
      </c>
      <c r="F1154" s="76">
        <f t="shared" ca="1" si="244"/>
        <v>57.041666666666664</v>
      </c>
      <c r="G1154" s="76">
        <f t="shared" ca="1" si="244"/>
        <v>40</v>
      </c>
      <c r="H1154" s="76">
        <f t="shared" ca="1" si="244"/>
        <v>174.58333333333334</v>
      </c>
      <c r="I1154" s="76">
        <f t="shared" ca="1" si="244"/>
        <v>0</v>
      </c>
      <c r="J1154" s="76">
        <f t="shared" ca="1" si="244"/>
        <v>100</v>
      </c>
      <c r="K1154" s="76">
        <f t="shared" ca="1" si="244"/>
        <v>300</v>
      </c>
      <c r="L1154" s="76">
        <f t="shared" ca="1" si="244"/>
        <v>1216.5</v>
      </c>
      <c r="M1154" s="76">
        <f t="shared" ca="1" si="245"/>
        <v>600</v>
      </c>
      <c r="N1154" s="76">
        <f t="shared" ca="1" si="245"/>
        <v>72.5</v>
      </c>
      <c r="O1154" s="76">
        <f t="shared" ca="1" si="245"/>
        <v>240</v>
      </c>
      <c r="P1154" s="76">
        <f t="shared" ca="1" si="245"/>
        <v>40</v>
      </c>
      <c r="Q1154" s="76">
        <f t="shared" ca="1" si="245"/>
        <v>315</v>
      </c>
      <c r="R1154" s="76">
        <f t="shared" ca="1" si="245"/>
        <v>100</v>
      </c>
      <c r="S1154" s="76">
        <f t="shared" ca="1" si="245"/>
        <v>695</v>
      </c>
      <c r="T1154" s="76">
        <f t="shared" ca="1" si="245"/>
        <v>33.333333333333336</v>
      </c>
    </row>
    <row r="1155" spans="1:20" ht="15" x14ac:dyDescent="0.2">
      <c r="A1155" s="10">
        <f t="shared" si="238"/>
        <v>2099</v>
      </c>
      <c r="B1155" s="10">
        <f t="shared" si="241"/>
        <v>365</v>
      </c>
      <c r="C1155" s="76">
        <f t="shared" ca="1" si="244"/>
        <v>154.75825</v>
      </c>
      <c r="D1155" s="76">
        <f t="shared" ca="1" si="244"/>
        <v>281.0162499999999</v>
      </c>
      <c r="E1155" s="76">
        <f t="shared" ca="1" si="244"/>
        <v>109.1005</v>
      </c>
      <c r="F1155" s="76">
        <f t="shared" ca="1" si="244"/>
        <v>57.041666666666664</v>
      </c>
      <c r="G1155" s="76">
        <f t="shared" ca="1" si="244"/>
        <v>40</v>
      </c>
      <c r="H1155" s="76">
        <f t="shared" ca="1" si="244"/>
        <v>174.58333333333334</v>
      </c>
      <c r="I1155" s="76">
        <f t="shared" ca="1" si="244"/>
        <v>0</v>
      </c>
      <c r="J1155" s="76">
        <f t="shared" ca="1" si="244"/>
        <v>100</v>
      </c>
      <c r="K1155" s="76">
        <f t="shared" ca="1" si="244"/>
        <v>300</v>
      </c>
      <c r="L1155" s="76">
        <f t="shared" ca="1" si="244"/>
        <v>1216.5</v>
      </c>
      <c r="M1155" s="76">
        <f t="shared" ca="1" si="245"/>
        <v>600</v>
      </c>
      <c r="N1155" s="76">
        <f t="shared" ca="1" si="245"/>
        <v>72.5</v>
      </c>
      <c r="O1155" s="76">
        <f t="shared" ca="1" si="245"/>
        <v>240</v>
      </c>
      <c r="P1155" s="76">
        <f t="shared" ca="1" si="245"/>
        <v>40</v>
      </c>
      <c r="Q1155" s="76">
        <f t="shared" ca="1" si="245"/>
        <v>315</v>
      </c>
      <c r="R1155" s="76">
        <f t="shared" ca="1" si="245"/>
        <v>100</v>
      </c>
      <c r="S1155" s="76">
        <f t="shared" ca="1" si="245"/>
        <v>695</v>
      </c>
      <c r="T1155" s="76">
        <f t="shared" ca="1" si="245"/>
        <v>33.333333333333336</v>
      </c>
    </row>
    <row r="1156" spans="1:20" ht="15" x14ac:dyDescent="0.2">
      <c r="A1156" s="10">
        <f t="shared" si="238"/>
        <v>2100</v>
      </c>
      <c r="B1156" s="10">
        <f t="shared" si="241"/>
        <v>365</v>
      </c>
      <c r="C1156" s="76">
        <f t="shared" ca="1" si="244"/>
        <v>154.75825</v>
      </c>
      <c r="D1156" s="76">
        <f t="shared" ca="1" si="244"/>
        <v>281.0162499999999</v>
      </c>
      <c r="E1156" s="76">
        <f t="shared" ca="1" si="244"/>
        <v>109.1005</v>
      </c>
      <c r="F1156" s="76">
        <f t="shared" ca="1" si="244"/>
        <v>57.041666666666664</v>
      </c>
      <c r="G1156" s="76">
        <f t="shared" ca="1" si="244"/>
        <v>40</v>
      </c>
      <c r="H1156" s="76">
        <f t="shared" ca="1" si="244"/>
        <v>174.58333333333334</v>
      </c>
      <c r="I1156" s="76">
        <f t="shared" ca="1" si="244"/>
        <v>0</v>
      </c>
      <c r="J1156" s="76">
        <f t="shared" ca="1" si="244"/>
        <v>100</v>
      </c>
      <c r="K1156" s="76">
        <f t="shared" ca="1" si="244"/>
        <v>300</v>
      </c>
      <c r="L1156" s="76">
        <f t="shared" ca="1" si="244"/>
        <v>1216.5</v>
      </c>
      <c r="M1156" s="76">
        <f t="shared" ca="1" si="245"/>
        <v>600</v>
      </c>
      <c r="N1156" s="76">
        <f t="shared" ca="1" si="245"/>
        <v>72.5</v>
      </c>
      <c r="O1156" s="76">
        <f t="shared" ca="1" si="245"/>
        <v>240</v>
      </c>
      <c r="P1156" s="76">
        <f t="shared" ca="1" si="245"/>
        <v>40</v>
      </c>
      <c r="Q1156" s="76">
        <f t="shared" ca="1" si="245"/>
        <v>315</v>
      </c>
      <c r="R1156" s="76">
        <f t="shared" ca="1" si="245"/>
        <v>100</v>
      </c>
      <c r="S1156" s="76">
        <f t="shared" ca="1" si="245"/>
        <v>695</v>
      </c>
      <c r="T1156" s="76">
        <f t="shared" ca="1" si="245"/>
        <v>33.333333333333336</v>
      </c>
    </row>
    <row r="1157" spans="1:20" x14ac:dyDescent="0.2">
      <c r="A1157" s="8"/>
      <c r="B1157" s="8"/>
    </row>
    <row r="1158" spans="1:20" x14ac:dyDescent="0.2">
      <c r="A1158" s="8"/>
      <c r="B1158" s="8"/>
    </row>
    <row r="1159" spans="1:20" x14ac:dyDescent="0.2">
      <c r="A1159" s="8"/>
      <c r="B1159" s="8"/>
    </row>
    <row r="1160" spans="1:20" x14ac:dyDescent="0.2">
      <c r="A1160" s="8"/>
      <c r="B1160" s="8"/>
    </row>
    <row r="1161" spans="1:20" x14ac:dyDescent="0.2">
      <c r="A1161" s="8"/>
      <c r="B1161" s="8"/>
    </row>
    <row r="1162" spans="1:20" x14ac:dyDescent="0.2">
      <c r="A1162" s="8"/>
      <c r="B1162" s="8"/>
    </row>
    <row r="1163" spans="1:20" x14ac:dyDescent="0.2">
      <c r="A1163" s="8"/>
      <c r="B1163" s="8"/>
    </row>
    <row r="1164" spans="1:20" x14ac:dyDescent="0.2">
      <c r="A1164" s="8"/>
      <c r="B1164" s="8"/>
    </row>
    <row r="1165" spans="1:20" x14ac:dyDescent="0.2">
      <c r="A1165" s="8"/>
      <c r="B1165" s="8"/>
    </row>
    <row r="1166" spans="1:20" x14ac:dyDescent="0.2">
      <c r="A1166" s="8"/>
      <c r="B1166" s="8"/>
    </row>
    <row r="1167" spans="1:20" x14ac:dyDescent="0.2">
      <c r="A1167" s="8"/>
      <c r="B1167" s="8"/>
    </row>
    <row r="1168" spans="1:20" x14ac:dyDescent="0.2">
      <c r="A1168" s="8"/>
      <c r="B1168" s="8"/>
    </row>
    <row r="1169" spans="1:2" x14ac:dyDescent="0.2">
      <c r="A1169" s="8"/>
      <c r="B1169" s="8"/>
    </row>
    <row r="1170" spans="1:2" x14ac:dyDescent="0.2">
      <c r="A1170" s="8"/>
      <c r="B1170" s="8"/>
    </row>
    <row r="1171" spans="1:2" x14ac:dyDescent="0.2">
      <c r="A1171" s="8"/>
      <c r="B1171" s="8"/>
    </row>
    <row r="1172" spans="1:2" x14ac:dyDescent="0.2">
      <c r="A1172" s="8"/>
      <c r="B1172" s="8"/>
    </row>
    <row r="1173" spans="1:2" x14ac:dyDescent="0.2">
      <c r="A1173" s="8"/>
      <c r="B1173" s="8"/>
    </row>
    <row r="1174" spans="1:2" x14ac:dyDescent="0.2">
      <c r="A1174" s="8"/>
      <c r="B1174" s="8"/>
    </row>
    <row r="1175" spans="1:2" x14ac:dyDescent="0.2">
      <c r="A1175" s="8"/>
      <c r="B1175" s="8"/>
    </row>
    <row r="1176" spans="1:2" x14ac:dyDescent="0.2">
      <c r="A1176" s="8"/>
      <c r="B1176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RAP-SOLID FUEL PRICES</vt:lpstr>
      <vt:lpstr>RAP-LIGHT OIL</vt:lpstr>
      <vt:lpstr>RAP-HEAVY OIL&amp;WTI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2016-07-29T16:40:21Z</dcterms:created>
  <dcterms:modified xsi:type="dcterms:W3CDTF">2016-07-29T16:40:24Z</dcterms:modified>
</cp:coreProperties>
</file>